
<file path=[Content_Types].xml><?xml version="1.0" encoding="utf-8"?>
<Types xmlns="http://schemas.openxmlformats.org/package/2006/content-types">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_rels/sheet1.xml.rels" ContentType="application/vnd.openxmlformats-package.relationships+xml"/>
  <Override PartName="/xl/worksheets/sheet2.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inzo abe japan election lange" sheetId="1" state="visible" r:id="rId2"/>
    <sheet name="Logs Twitter Archiver" sheetId="2" state="visible" r:id="rId3"/>
  </sheets>
  <calcPr iterateCount="100" refMode="A1" iterate="false" iterateDelta="0.0001"/>
  <extLst>
    <ext xmlns:loext="http://schemas.libreoffice.org/" uri="{7626C862-2A13-11E5-B345-FEFF819CDC9F}">
      <loext:extCalcPr stringRefSyntax="CalcA1ExcelA1"/>
    </ext>
  </extLst>
</workbook>
</file>

<file path=xl/sharedStrings.xml><?xml version="1.0" encoding="utf-8"?>
<sst xmlns="http://schemas.openxmlformats.org/spreadsheetml/2006/main" count="49555" uniqueCount="19429">
  <si>
    <t xml:space="preserve">Twitter Search Rule: shinzo abe japan election lang:en</t>
  </si>
  <si>
    <t xml:space="preserve">User Details</t>
  </si>
  <si>
    <t xml:space="preserve">Date</t>
  </si>
  <si>
    <t xml:space="preserve">Screen Name</t>
  </si>
  <si>
    <t xml:space="preserve">Full Name</t>
  </si>
  <si>
    <t xml:space="preserve">Tweet Text</t>
  </si>
  <si>
    <t xml:space="preserve">Tweet ID</t>
  </si>
  <si>
    <t xml:space="preserve">App</t>
  </si>
  <si>
    <t xml:space="preserve">Followers</t>
  </si>
  <si>
    <t xml:space="preserve">Follows</t>
  </si>
  <si>
    <t xml:space="preserve">Retweets</t>
  </si>
  <si>
    <t xml:space="preserve">Favorites</t>
  </si>
  <si>
    <t xml:space="preserve">Verfied</t>
  </si>
  <si>
    <t xml:space="preserve">User Since</t>
  </si>
  <si>
    <t xml:space="preserve">Location</t>
  </si>
  <si>
    <t xml:space="preserve">Bio</t>
  </si>
  <si>
    <t xml:space="preserve">Profile Image</t>
  </si>
  <si>
    <t xml:space="preserve">Google Maps</t>
  </si>
  <si>
    <t xml:space="preserve">globemail_diff</t>
  </si>
  <si>
    <t xml:space="preserve">Japan’s Shinzo Abe considering snap election as early as October: sources - The Globe… https://t.co/wN1LgH8tok ➜… https://t.co/ulwIEzkp3h</t>
  </si>
  <si>
    <t xml:space="preserve">No</t>
  </si>
  <si>
    <t xml:space="preserve">Toronto, Ontario</t>
  </si>
  <si>
    <t xml:space="preserve">Tweeting edits to The Globe and Mail. Avatar by Robert Taylor https://t.co/P5MFrFK9Cj</t>
  </si>
  <si>
    <t xml:space="preserve">Amit</t>
  </si>
  <si>
    <t xml:space="preserve">RT @RanaAyyub: Shinzo Abe in power despite unpopular policies. Reason being lack of a credible opposition. Sounds familiar ? https://t.co…</t>
  </si>
  <si>
    <t xml:space="preserve">Twitter for Android</t>
  </si>
  <si>
    <t xml:space="preserve">Azamgarh, India</t>
  </si>
  <si>
    <t xml:space="preserve">Team #HMP /A hyper nationalist/Bharat Mata ki jai/ AAPian aur Congressiyo ka kaal/Rts are not endorsement</t>
  </si>
  <si>
    <t xml:space="preserve">Tax Trends Weekly</t>
  </si>
  <si>
    <t xml:space="preserve">How Shinzo Abe's Main Challenger Plans To Upset Japan's Snap Election: Yurinomics https://t.co/WM7ZjsHohY</t>
  </si>
  <si>
    <t xml:space="preserve">SocialReport.com</t>
  </si>
  <si>
    <t xml:space="preserve">Keeping readers updated on the current tax landscape and global financial climate.</t>
  </si>
  <si>
    <t xml:space="preserve">Scribulatora</t>
  </si>
  <si>
    <t xml:space="preserve">@ShikataGaNai100 Haven't seen anything from him in a while. Stepek had a good piece in Money Week a few weeks ago… https://t.co/4waYYETGns</t>
  </si>
  <si>
    <t xml:space="preserve">Acadian Forest</t>
  </si>
  <si>
    <t xml:space="preserve">🇨🇦 Researcher, Writer, Photographer. Forbes alumni. I'm old, I have stories. S/R dog handler. My dog is smarter than me.</t>
  </si>
  <si>
    <t xml:space="preserve">Japan's Snap Election: How Shinzo Abe's Main Challenger Is Planning An Upset https://t.co/bMqoAn4x3p</t>
  </si>
  <si>
    <t xml:space="preserve">Kenneth Connor</t>
  </si>
  <si>
    <t xml:space="preserve">Japan is holding a general election – what could possibly go wrong? - MoneyWeek https://t.co/iLvPmeXjDm</t>
  </si>
  <si>
    <t xml:space="preserve">Twitter Web Client</t>
  </si>
  <si>
    <t xml:space="preserve">South Dakota, USA</t>
  </si>
  <si>
    <t xml:space="preserve">Progressive, MA/MPA/ABD/IR Grad Student, USAFVet(SCDis), BrooklynBorn, Musician, Irish/Italian, Otaku, Wannabe Intellectual, Commenting on Stuff. #TheResistance</t>
  </si>
  <si>
    <t xml:space="preserve">u3Y4BDE</t>
  </si>
  <si>
    <t xml:space="preserve">RT @ShikataGaNai100: Japan is holding a general election – what could possibly go wrong? - MoneyWeek https://t.co/iLvPmeXjDm</t>
  </si>
  <si>
    <t xml:space="preserve">"...And when they came for me, there was no one left to object..."#TheResistance #Indivisible #Impeach #FlipItBlue2018 #FollowBackResistance #TheOpposition #FBR</t>
  </si>
  <si>
    <t xml:space="preserve">Roberto Manzoni</t>
  </si>
  <si>
    <t xml:space="preserve">TOKYO (Reuters) - Japanese companies overwhelmingly want Prime Minister Shinzo Abe's ruling coalition to stay in... https://t.co/RwZBhEF6iN</t>
  </si>
  <si>
    <t xml:space="preserve">Facebook</t>
  </si>
  <si>
    <t xml:space="preserve">Arinaga de Gran Canaria</t>
  </si>
  <si>
    <t xml:space="preserve">Non sopporto gli idioti ! Basta un click per eliminarli .</t>
  </si>
  <si>
    <t xml:space="preserve">CAGCH</t>
  </si>
  <si>
    <t xml:space="preserve">Twitter for iPhone</t>
  </si>
  <si>
    <t xml:space="preserve">Arizona, USA</t>
  </si>
  <si>
    <t xml:space="preserve">Mexico News Robot</t>
  </si>
  <si>
    <t xml:space="preserve">TOKYO (Reuters) - Japanese companies overwhelmingly want Prime Minister Shinzo Abe's ruling coalition to stay… https://t.co/NUq4XWBNPT #FB</t>
  </si>
  <si>
    <t xml:space="preserve">Google</t>
  </si>
  <si>
    <t xml:space="preserve">TOKYO (Reuters) - Japanese Prime Minister Shinzo Abe's coalition is on track for a roughly two-thirds majority in... https://t.co/BWF3krIw0K</t>
  </si>
  <si>
    <t xml:space="preserve">TOKYO (Reuters) - Japanese Prime Minister Shinzo Abe's coalition is on track for a roughly two-thirds majority… https://t.co/mcSUUsdeoE #FB</t>
  </si>
  <si>
    <t xml:space="preserve">Support Modi</t>
  </si>
  <si>
    <t xml:space="preserve">#ModiMinistry Japan prime minister Shinzo Abe’s coalition set to win by two-thirds majority in general election ne… https://t.co/8gJHQ4Z2mh</t>
  </si>
  <si>
    <t xml:space="preserve">IFTTT</t>
  </si>
  <si>
    <t xml:space="preserve">#iVoteForBest Vote for India</t>
  </si>
  <si>
    <t xml:space="preserve">अच्छे दिन आने वालेहै</t>
  </si>
  <si>
    <t xml:space="preserve">Japan prime minister Shinzo Abe’s coalition set to win by two-thirds majority in general election next week, says report …</t>
  </si>
  <si>
    <t xml:space="preserve">New Delhi, India</t>
  </si>
  <si>
    <t xml:space="preserve">Get the latest news about #indianpolitics and JOIN @AcheDinAaneWale and Support the PM of INDIA Shri #NarendraModi ji. kyuki #achedinaanewalehain</t>
  </si>
  <si>
    <t xml:space="preserve">Asia Times</t>
  </si>
  <si>
    <t xml:space="preserve">#Japan PM Shinzo Abe’s coalition is on track for a two-thirds majority in Sunday’s general #election: survey https://t.co/A39CQKr4LF</t>
  </si>
  <si>
    <t xml:space="preserve">Hong Kong</t>
  </si>
  <si>
    <t xml:space="preserve">Breaking news and analysis on everything business and politics in Asia</t>
  </si>
  <si>
    <t xml:space="preserve">News18</t>
  </si>
  <si>
    <t xml:space="preserve">Japanese PM Shinzo Abe’s coalition is on track for a roughly two-thirds majority in Sunday’s general election https://t.co/K7OEgxmcOm</t>
  </si>
  <si>
    <t xml:space="preserve">India</t>
  </si>
  <si>
    <t xml:space="preserve">Latest news alerts from India and the world.</t>
  </si>
  <si>
    <t xml:space="preserve">Dishank Sharma</t>
  </si>
  <si>
    <t xml:space="preserve">Japanese PM Shinzo Abe’s coalition is on track for a roughly two-thirds majority in Sunday’s general election https://t.co/kRn1DFBS3A</t>
  </si>
  <si>
    <t xml:space="preserve">दिल्ली, भारत</t>
  </si>
  <si>
    <t xml:space="preserve">Novel, music, Travelling, GOT, US Sitcoms lover COFFEE makes my day</t>
  </si>
  <si>
    <t xml:space="preserve">Pandey Ishtkam 🇮🇳</t>
  </si>
  <si>
    <t xml:space="preserve">Japanese PM Shinzo Abe’s coalition is on track for a roughly two-thirds majority in Sunday’s general election https://t.co/8ezvAlRwUz</t>
  </si>
  <si>
    <t xml:space="preserve">TV Journalist with @News18India &amp; @CNNNews18, #Network18,Past: @ZeeNews, &amp; BIG FM/ 10 awesome years of TV Journalism &amp; Radio. 🙂 "Hum Lucknow wale hian" 🙂</t>
  </si>
  <si>
    <t xml:space="preserve">A.S.U.K Studio ●</t>
  </si>
  <si>
    <t xml:space="preserve">Japanese PM Shinzo Abe’s coalition is on track for a roughly two-thirds majority in Sunday’s general election https://t.co/4CxibH2rhz</t>
  </si>
  <si>
    <t xml:space="preserve">Bio Link &amp; Pinned Post</t>
  </si>
  <si>
    <t xml:space="preserve">We Write About 📰News + 📺Tech + 🍔Food || we also provide 💹Twitter Marketing || Founder+Admin➡ @anshumanjohriAJ || Website link⬇ Bio Link⬇</t>
  </si>
  <si>
    <t xml:space="preserve">Anil Zuitshi</t>
  </si>
  <si>
    <t xml:space="preserve">RT @CNNnews18: Japanese PM Shinzo Abe’s coalition is on track for a roughly two-thirds majority in Sunday’s general election https://t.co/K…</t>
  </si>
  <si>
    <t xml:space="preserve">New Delhi</t>
  </si>
  <si>
    <r>
      <rPr>
        <sz val="8"/>
        <rFont val="Noto Sans CJK SC Regular"/>
        <family val="2"/>
      </rPr>
      <t xml:space="preserve">ﾚ</t>
    </r>
    <r>
      <rPr>
        <sz val="8"/>
        <rFont val="Droid Sans"/>
        <family val="0"/>
        <charset val="1"/>
      </rPr>
      <t xml:space="preserve">ov</t>
    </r>
    <r>
      <rPr>
        <sz val="8"/>
        <rFont val="Noto Sans CJK SC Regular"/>
        <family val="2"/>
      </rPr>
      <t xml:space="preserve">乇 </t>
    </r>
    <r>
      <rPr>
        <sz val="8"/>
        <rFont val="Droid Sans"/>
        <family val="0"/>
        <charset val="1"/>
      </rPr>
      <t xml:space="preserve">the </t>
    </r>
    <r>
      <rPr>
        <sz val="8"/>
        <rFont val="Noto Sans CJK SC Regular"/>
        <family val="2"/>
      </rPr>
      <t xml:space="preserve">ﾚ</t>
    </r>
    <r>
      <rPr>
        <sz val="8"/>
        <rFont val="Droid Sans"/>
        <family val="0"/>
        <charset val="1"/>
      </rPr>
      <t xml:space="preserve">if</t>
    </r>
    <r>
      <rPr>
        <sz val="8"/>
        <rFont val="Noto Sans CJK SC Regular"/>
        <family val="2"/>
      </rPr>
      <t xml:space="preserve">乇 </t>
    </r>
    <r>
      <rPr>
        <sz val="8"/>
        <rFont val="Droid Sans"/>
        <family val="0"/>
        <charset val="1"/>
      </rPr>
      <t xml:space="preserve">you </t>
    </r>
    <r>
      <rPr>
        <sz val="8"/>
        <rFont val="Noto Sans CJK SC Regular"/>
        <family val="2"/>
      </rPr>
      <t xml:space="preserve">ﾚ</t>
    </r>
    <r>
      <rPr>
        <sz val="8"/>
        <rFont val="Droid Sans"/>
        <family val="0"/>
        <charset val="1"/>
      </rPr>
      <t xml:space="preserve">iv</t>
    </r>
    <r>
      <rPr>
        <sz val="8"/>
        <rFont val="Noto Sans CJK SC Regular"/>
        <family val="2"/>
      </rPr>
      <t xml:space="preserve">乇</t>
    </r>
    <r>
      <rPr>
        <sz val="8"/>
        <rFont val="Droid Sans"/>
        <family val="0"/>
        <charset val="1"/>
      </rPr>
      <t xml:space="preserve">, </t>
    </r>
    <r>
      <rPr>
        <sz val="8"/>
        <rFont val="Noto Sans CJK SC Regular"/>
        <family val="2"/>
      </rPr>
      <t xml:space="preserve">ﾚ</t>
    </r>
    <r>
      <rPr>
        <sz val="8"/>
        <rFont val="Droid Sans"/>
        <family val="0"/>
        <charset val="1"/>
      </rPr>
      <t xml:space="preserve">iv</t>
    </r>
    <r>
      <rPr>
        <sz val="8"/>
        <rFont val="Noto Sans CJK SC Regular"/>
        <family val="2"/>
      </rPr>
      <t xml:space="preserve">乇 </t>
    </r>
    <r>
      <rPr>
        <sz val="8"/>
        <rFont val="Droid Sans"/>
        <family val="0"/>
        <charset val="1"/>
      </rPr>
      <t xml:space="preserve">the </t>
    </r>
    <r>
      <rPr>
        <sz val="8"/>
        <rFont val="Noto Sans CJK SC Regular"/>
        <family val="2"/>
      </rPr>
      <t xml:space="preserve">ﾚ</t>
    </r>
    <r>
      <rPr>
        <sz val="8"/>
        <rFont val="Droid Sans"/>
        <family val="0"/>
        <charset val="1"/>
      </rPr>
      <t xml:space="preserve">if</t>
    </r>
    <r>
      <rPr>
        <sz val="8"/>
        <rFont val="Noto Sans CJK SC Regular"/>
        <family val="2"/>
      </rPr>
      <t xml:space="preserve">乇 </t>
    </r>
    <r>
      <rPr>
        <sz val="8"/>
        <rFont val="Droid Sans"/>
        <family val="0"/>
        <charset val="1"/>
      </rPr>
      <t xml:space="preserve">you </t>
    </r>
    <r>
      <rPr>
        <sz val="8"/>
        <rFont val="Noto Sans CJK SC Regular"/>
        <family val="2"/>
      </rPr>
      <t xml:space="preserve">ﾚ</t>
    </r>
    <r>
      <rPr>
        <sz val="8"/>
        <rFont val="Droid Sans"/>
        <family val="0"/>
        <charset val="1"/>
      </rPr>
      <t xml:space="preserve">ov</t>
    </r>
    <r>
      <rPr>
        <sz val="8"/>
        <rFont val="Noto Sans CJK SC Regular"/>
        <family val="2"/>
      </rPr>
      <t xml:space="preserve">乇</t>
    </r>
    <r>
      <rPr>
        <sz val="8"/>
        <rFont val="Droid Sans"/>
        <family val="0"/>
        <charset val="1"/>
      </rPr>
      <t xml:space="preserve">!! Occasional Surfer on life's waves..:-) Making a difference with technology is my thing.</t>
    </r>
  </si>
  <si>
    <t xml:space="preserve">Communicator Sudhir</t>
  </si>
  <si>
    <t xml:space="preserve">New Delhi,  INDIA</t>
  </si>
  <si>
    <t xml:space="preserve">Indian minded thinking of overall change in every sphere of lives, no matter whether it is individuals or institutions. Attempt is on.</t>
  </si>
  <si>
    <t xml:space="preserve">Devang Shah</t>
  </si>
  <si>
    <t xml:space="preserve">Ahmedabad,Gujarat,India</t>
  </si>
  <si>
    <t xml:space="preserve">Karyakarta Of BJP</t>
  </si>
  <si>
    <t xml:space="preserve">SL</t>
  </si>
  <si>
    <t xml:space="preserve">ur hrt if lvd,ur mind if hated</t>
  </si>
  <si>
    <t xml:space="preserve">Green Gabbar</t>
  </si>
  <si>
    <t xml:space="preserve">Twitter Lite</t>
  </si>
  <si>
    <t xml:space="preserve">Japanese Culture</t>
  </si>
  <si>
    <t xml:space="preserve">Elections, abductees, nuclear weapons and North Korea - https://t.co/jZdrGRqhHp Prime Minister Shinzo Abe's unusual election call was des...</t>
  </si>
  <si>
    <t xml:space="preserve">Japan Culture</t>
  </si>
  <si>
    <t xml:space="preserve">Tokyo-to, Japan</t>
  </si>
  <si>
    <t xml:space="preserve">Japanese food and recipes, fashion, art and news and so much more.</t>
  </si>
  <si>
    <t xml:space="preserve">GEN</t>
  </si>
  <si>
    <t xml:space="preserve">RT @itsjapanforward: PM Shinzo Abe: Election to Decide Who Leads Japan Amid North Korean Threat https://t.co/mdDZiLLtuN via @itsjapanforward</t>
  </si>
  <si>
    <t xml:space="preserve">日本 東京</t>
  </si>
  <si>
    <r>
      <rPr>
        <sz val="8"/>
        <rFont val="Noto Sans CJK SC Regular"/>
        <family val="2"/>
      </rPr>
      <t xml:space="preserve">基本無言です</t>
    </r>
    <r>
      <rPr>
        <sz val="8"/>
        <rFont val="Droid Sans"/>
        <family val="0"/>
        <charset val="1"/>
      </rPr>
      <t xml:space="preserve">w</t>
    </r>
  </si>
  <si>
    <t xml:space="preserve">Olugbenga Oribayo</t>
  </si>
  <si>
    <t xml:space="preserve">Japan's snap election explained - Shinzo Abe is banking on his rebounding popularity and his opposition in disa... https://t.co/JqPxMu6MRC</t>
  </si>
  <si>
    <t xml:space="preserve">Hootsuite</t>
  </si>
  <si>
    <t xml:space="preserve">Lagos nigeria</t>
  </si>
  <si>
    <t xml:space="preserve">Official Twitter Account of Headbayo • Digital Content Manager at @ChannelsTv • WhatsApp +234-8067205806 • RT ≠ Endorsement</t>
  </si>
  <si>
    <t xml:space="preserve">JamesBurnsConsulting</t>
  </si>
  <si>
    <t xml:space="preserve">Japan's snap election explained - Shinzo Abe is banking on his rebounding popularity and his opposition in disa... https://t.co/tqdcCCkDHT</t>
  </si>
  <si>
    <t xml:space="preserve">✈️ World Wide ✈️</t>
  </si>
  <si>
    <t xml:space="preserve">A #Veteran owned small business. We specialize in #IT, #Aviation and #Healthcare industries. #leadership #smallbiz #SmallBusiness #Entrepreneur</t>
  </si>
  <si>
    <t xml:space="preserve">Aws</t>
  </si>
  <si>
    <t xml:space="preserve">#سوريا #حمص #حلب Japan's snap election explained - Shinzo Abe is banking on his rebounding popularity and his o... https://t.co/mGAv3U9D99</t>
  </si>
  <si>
    <t xml:space="preserve">SYRIA</t>
  </si>
  <si>
    <t xml:space="preserve">Syrian Soldier - الجندي المجهول http://t.co/8HgBxC2ABq https://t.co/BvGgnohcSS</t>
  </si>
  <si>
    <t xml:space="preserve">Christian Anelka</t>
  </si>
  <si>
    <t xml:space="preserve">Japan's snap election explained - Shinzo Abe is banking on his rebounding popularity and his opposition in disa... https://t.co/uLMtxampKS</t>
  </si>
  <si>
    <t xml:space="preserve">Surakarta, indONEsia</t>
  </si>
  <si>
    <t xml:space="preserve">Mark 13:13</t>
  </si>
  <si>
    <t xml:space="preserve">Borneo_Always</t>
  </si>
  <si>
    <t xml:space="preserve">Japan prime minister Shinzo Abe's coalition set to win by two-thirds majority in general election next week, says report</t>
  </si>
  <si>
    <t xml:space="preserve">Kuching, Sarawak</t>
  </si>
  <si>
    <t xml:space="preserve">matthew yap</t>
  </si>
  <si>
    <t xml:space="preserve">Bahagian Kuching, Sarawak</t>
  </si>
  <si>
    <t xml:space="preserve">Finance Follow</t>
  </si>
  <si>
    <t xml:space="preserve">Japan's snap election explained https://t.co/SGqlg9WuDZ Shinzo Abe is banking on his rebounding</t>
  </si>
  <si>
    <t xml:space="preserve">The Netherlands</t>
  </si>
  <si>
    <t xml:space="preserve">Everything about Finance to Follow http://t.co/8wdPNlbugr</t>
  </si>
  <si>
    <t xml:space="preserve">DA MARKET SECURITIES</t>
  </si>
  <si>
    <t xml:space="preserve">Japan general election this weekend, Prime Minister Shinzo Abe leading polls</t>
  </si>
  <si>
    <t xml:space="preserve">Online Trading @</t>
  </si>
  <si>
    <t xml:space="preserve">Pursuits : 1.61803398875</t>
  </si>
  <si>
    <t xml:space="preserve">KAKAPO➤Endangered</t>
  </si>
  <si>
    <t xml:space="preserve">RT @178kakapo: @IndianExpress Kick out #Abe◢◤ "PM Abe gambles on sending Japan to a snap election, but it may yet backfire https://t.co/qa…</t>
  </si>
  <si>
    <t xml:space="preserve">Somewhere</t>
  </si>
  <si>
    <r>
      <rPr>
        <sz val="8"/>
        <rFont val="Droid Sans"/>
        <family val="0"/>
        <charset val="1"/>
      </rPr>
      <t xml:space="preserve">#SolidarityWaveBDS◢◤ NoWar◢ NoNukes◢ Kakapo➤endangered species, inhabit in NZ. DM outage, I'm sorry. DM</t>
    </r>
    <r>
      <rPr>
        <sz val="8"/>
        <rFont val="Noto Sans CJK SC Regular"/>
        <family val="2"/>
      </rPr>
      <t xml:space="preserve">機能停止中</t>
    </r>
  </si>
  <si>
    <t xml:space="preserve">❌Deborah Eisele</t>
  </si>
  <si>
    <t xml:space="preserve">Ashland Pennsylvania, USA</t>
  </si>
  <si>
    <t xml:space="preserve">#ProPalestinian, #AntiZionist, #Rohingya #PapauianRights, #Syria, #AntiIslamiphobia,Progressive Independent #Wikileaks, #Anonymous, #ChelseaManniing</t>
  </si>
  <si>
    <t xml:space="preserve">T4caw.Bryan Walker.</t>
  </si>
  <si>
    <t xml:space="preserve">Mental Health Scrap Heap</t>
  </si>
  <si>
    <t xml:space="preserve">Proving BBC a Bully. #10th10thEveryear . MH activist by MH misdiagnosis.T4CAW. Generation RX.#LivingHistory This is all me, all mine 😆</t>
  </si>
  <si>
    <t xml:space="preserve">呉瀟</t>
  </si>
  <si>
    <t xml:space="preserve">RT @178kakapo: Kick out #Abe &amp; his party◢◤ "Japan PM Abe dissolves lower house, calls election https://t.co/gvvCFDeFXB via @IndianExpress”…</t>
  </si>
  <si>
    <r>
      <rPr>
        <sz val="8"/>
        <rFont val="Noto Sans CJK SC Regular"/>
        <family val="2"/>
      </rPr>
      <t xml:space="preserve">アベ政権打倒 反新自由主義 沖縄基地廃絶 原発即時廃炉 </t>
    </r>
    <r>
      <rPr>
        <sz val="8"/>
        <rFont val="Droid Sans"/>
        <family val="0"/>
        <charset val="1"/>
      </rPr>
      <t xml:space="preserve">LGBT</t>
    </r>
    <r>
      <rPr>
        <sz val="8"/>
        <rFont val="Noto Sans CJK SC Regular"/>
        <family val="2"/>
      </rPr>
      <t xml:space="preserve">解放 反民族主義 死刑反対 ニコチンアルコールカフェイン中毒者 人名に敬称着けません 悪しからず！ 人呼んで極左フェミ</t>
    </r>
  </si>
  <si>
    <t xml:space="preserve">ToshihikoArai</t>
  </si>
  <si>
    <t xml:space="preserve">日本</t>
  </si>
  <si>
    <t xml:space="preserve">♿ 🚫Israel #BDS I love Jesus ✌Pray for Palestine.</t>
  </si>
  <si>
    <t xml:space="preserve">Gift of Mercy</t>
  </si>
  <si>
    <t xml:space="preserve">G L O B A L .                 </t>
  </si>
  <si>
    <t xml:space="preserve">God 1st ! Truth, Justice &amp; Equality. Eschatology, Technology, Politics, Economics Without INTEREST, Alternative Health, [giftmercy@gmail.com]</t>
  </si>
  <si>
    <t xml:space="preserve">Kazumi Watanabe</t>
  </si>
  <si>
    <t xml:space="preserve">Japan election: Shinzo Abe offers stability and for many that's sufficient - The Washington Post https://t.co/Xu8OWZxxa4</t>
  </si>
  <si>
    <t xml:space="preserve">TwitPanePlus for Android</t>
  </si>
  <si>
    <t xml:space="preserve">埼玉県川口市</t>
  </si>
  <si>
    <r>
      <rPr>
        <sz val="8"/>
        <rFont val="Noto Sans CJK SC Regular"/>
        <family val="2"/>
      </rPr>
      <t xml:space="preserve">週日は川口市民、週末は福島市民。いつのまにか、人生の</t>
    </r>
    <r>
      <rPr>
        <sz val="8"/>
        <rFont val="Droid Sans"/>
        <family val="0"/>
        <charset val="1"/>
      </rPr>
      <t xml:space="preserve">10</t>
    </r>
    <r>
      <rPr>
        <sz val="8"/>
        <rFont val="Noto Sans CJK SC Regular"/>
        <family val="2"/>
      </rPr>
      <t xml:space="preserve">分の</t>
    </r>
    <r>
      <rPr>
        <sz val="8"/>
        <rFont val="Droid Sans"/>
        <family val="0"/>
        <charset val="1"/>
      </rPr>
      <t xml:space="preserve">1</t>
    </r>
    <r>
      <rPr>
        <sz val="8"/>
        <rFont val="Noto Sans CJK SC Regular"/>
        <family val="2"/>
      </rPr>
      <t xml:space="preserve">は福島で過ごしたことに。現在、避難した娘とほぼ二人暮らし。避難元の福島市渡利をウォッチする一方で、仕事絡みで、イギリス関係のニュースをつぶやいています。</t>
    </r>
  </si>
  <si>
    <t xml:space="preserve">красная душа</t>
  </si>
  <si>
    <t xml:space="preserve">☭ Apoyando a los países que no se arrodillan ante el capital</t>
  </si>
  <si>
    <t xml:space="preserve">三好　洋</t>
  </si>
  <si>
    <t xml:space="preserve">鳥取県東伯郡</t>
  </si>
  <si>
    <t xml:space="preserve">mafuyu</t>
  </si>
  <si>
    <t xml:space="preserve">Japan election: Shinzo Abe offers stability and for many that's sufficient - The Washington Post https://t.co/nm4eZNlrTK</t>
  </si>
  <si>
    <t xml:space="preserve">beeter (β)</t>
  </si>
  <si>
    <t xml:space="preserve">southern kanto</t>
  </si>
  <si>
    <r>
      <rPr>
        <sz val="8"/>
        <rFont val="Noto Sans CJK SC Regular"/>
        <family val="2"/>
      </rPr>
      <t xml:space="preserve">まふゆ 楽天競馬・馬コミ予想的中率</t>
    </r>
    <r>
      <rPr>
        <sz val="8"/>
        <rFont val="Droid Sans"/>
        <family val="0"/>
        <charset val="1"/>
      </rPr>
      <t xml:space="preserve">100%</t>
    </r>
    <r>
      <rPr>
        <sz val="8"/>
        <rFont val="Noto Sans CJK SC Regular"/>
        <family val="2"/>
      </rPr>
      <t xml:space="preserve">ランキング第１位タイ </t>
    </r>
    <r>
      <rPr>
        <sz val="8"/>
        <rFont val="Droid Sans"/>
        <family val="0"/>
        <charset val="1"/>
      </rPr>
      <t xml:space="preserve">2009</t>
    </r>
    <r>
      <rPr>
        <sz val="8"/>
        <rFont val="Noto Sans CJK SC Regular"/>
        <family val="2"/>
      </rPr>
      <t xml:space="preserve">年度</t>
    </r>
    <r>
      <rPr>
        <sz val="8"/>
        <rFont val="Droid Sans"/>
        <family val="0"/>
        <charset val="1"/>
      </rPr>
      <t xml:space="preserve">6455</t>
    </r>
    <r>
      <rPr>
        <sz val="8"/>
        <rFont val="Noto Sans CJK SC Regular"/>
        <family val="2"/>
      </rPr>
      <t xml:space="preserve">戦 </t>
    </r>
    <r>
      <rPr>
        <sz val="8"/>
        <rFont val="Droid Sans"/>
        <family val="0"/>
        <charset val="1"/>
      </rPr>
      <t xml:space="preserve">6427</t>
    </r>
    <r>
      <rPr>
        <sz val="8"/>
        <rFont val="Noto Sans CJK SC Regular"/>
        <family val="2"/>
      </rPr>
      <t xml:space="preserve">勝 </t>
    </r>
    <r>
      <rPr>
        <sz val="8"/>
        <rFont val="Droid Sans"/>
        <family val="0"/>
        <charset val="1"/>
      </rPr>
      <t xml:space="preserve">2010</t>
    </r>
    <r>
      <rPr>
        <sz val="8"/>
        <rFont val="Noto Sans CJK SC Regular"/>
        <family val="2"/>
      </rPr>
      <t xml:space="preserve">年度</t>
    </r>
    <r>
      <rPr>
        <sz val="8"/>
        <rFont val="Droid Sans"/>
        <family val="0"/>
        <charset val="1"/>
      </rPr>
      <t xml:space="preserve">3335</t>
    </r>
    <r>
      <rPr>
        <sz val="8"/>
        <rFont val="Noto Sans CJK SC Regular"/>
        <family val="2"/>
      </rPr>
      <t xml:space="preserve">戦</t>
    </r>
    <r>
      <rPr>
        <sz val="8"/>
        <rFont val="Droid Sans"/>
        <family val="0"/>
        <charset val="1"/>
      </rPr>
      <t xml:space="preserve">3321</t>
    </r>
    <r>
      <rPr>
        <sz val="8"/>
        <rFont val="Noto Sans CJK SC Regular"/>
        <family val="2"/>
      </rPr>
      <t xml:space="preserve">勝</t>
    </r>
  </si>
  <si>
    <t xml:space="preserve">Zyite</t>
  </si>
  <si>
    <t xml:space="preserve">Japan's Abe Set for Landslide Election Win - Japanese Prime Minister Shinzo Abe’s early election gamble looks l... https://t.co/kKswXyODye</t>
  </si>
  <si>
    <t xml:space="preserve">http://www.zyite.com/</t>
  </si>
  <si>
    <t xml:space="preserve">Zyite is a Global retailer of Smart Watches, Hover boards, Tablets, Drones and Wearable Devices. We donate 10% of every sale to Autism Research and Advocacy</t>
  </si>
  <si>
    <t xml:space="preserve">Faye Longmuir</t>
  </si>
  <si>
    <t xml:space="preserve">Polls show Japan's Shinzo Abe is set for a landslide election win on Sunday https://t.co/C9PKk5Hu6b via @bpolitics</t>
  </si>
  <si>
    <t xml:space="preserve">Twitter for iPad</t>
  </si>
  <si>
    <t xml:space="preserve">Perth Western Australia</t>
  </si>
  <si>
    <t xml:space="preserve">Financial Planner &amp; Stockbroker - help clients meet THEIR needs. Views my own NOT my employers. No advice given. Strong Advocate for The Hunger Project</t>
  </si>
  <si>
    <t xml:space="preserve">Binary Options</t>
  </si>
  <si>
    <t xml:space="preserve">Japan equity funds suffer record outflows ahead of election Investors opt not to trust forecasts of Shinzo Abe vic… https://t.co/wbwpEBJANw</t>
  </si>
  <si>
    <t xml:space="preserve">London, England</t>
  </si>
  <si>
    <t xml:space="preserve">How I Left My Job to Become a #BinaryOptions #Trader #MakeMoneyFromHome. My secret : IQ Option...The method that's made me rich...</t>
  </si>
  <si>
    <t xml:space="preserve">Zheluo Cai</t>
  </si>
  <si>
    <t xml:space="preserve">Polls show Japan's Shinzo Abe is set for a landslide election win on Sunday https://t.co/os7z9ENGzv via @bpolitics</t>
  </si>
  <si>
    <t xml:space="preserve">Singapore</t>
  </si>
  <si>
    <t xml:space="preserve">A life-long learner. Fascinated with the beauty of creation. Longing for peace and justice in this world.</t>
  </si>
  <si>
    <t xml:space="preserve">Stuart Yeomans</t>
  </si>
  <si>
    <t xml:space="preserve">Polls show Japan's Shinzo Abe is set for a landslide election win on Sunday https://t.co/REwTmm5GEI via @bpolitics</t>
  </si>
  <si>
    <t xml:space="preserve">Kuala Lumpur</t>
  </si>
  <si>
    <t xml:space="preserve">CEO of Farringdon Group</t>
  </si>
  <si>
    <t xml:space="preserve">Scott McLean</t>
  </si>
  <si>
    <t xml:space="preserve">A surprise to some... ;) &gt; Polls show Japan's Shinzo Abe is set for a landslide election win on Sunday https://t.co/DD4hTdksz9</t>
  </si>
  <si>
    <t xml:space="preserve">Tokyo Japan</t>
  </si>
  <si>
    <t xml:space="preserve">P.O.J. - West coast Canadian guy currently being held in the far north of Nakano ward in Tokyo. Tweet on Japan, economics, sports, music and everything else</t>
  </si>
  <si>
    <t xml:space="preserve">Bloomberg</t>
  </si>
  <si>
    <t xml:space="preserve">Japan PM Shinzo Abe’s early election gamble looks like it will pay off https://t.co/gpuoFDeP4i https://t.co/PasTg8aXfR</t>
  </si>
  <si>
    <t xml:space="preserve">SnappyTV.com</t>
  </si>
  <si>
    <t xml:space="preserve">New York and the World</t>
  </si>
  <si>
    <t xml:space="preserve">The first word in business news.</t>
  </si>
  <si>
    <t xml:space="preserve">SANDEEPAN ( Sandy)</t>
  </si>
  <si>
    <t xml:space="preserve">RT @business: Japan PM Shinzo Abe’s early election gamble looks like it will pay off https://t.co/gpuoFDeP4i https://t.co/PasTg8aXfR</t>
  </si>
  <si>
    <t xml:space="preserve">United Kingdom</t>
  </si>
  <si>
    <t xml:space="preserve">Student of Sociology, Proponent of Empathy,Street food and Street Music , Poetry and Wine!</t>
  </si>
  <si>
    <t xml:space="preserve">Jaime Otero</t>
  </si>
  <si>
    <t xml:space="preserve">Japan PM Shinzo Abe’s early election gamble looks like it will pay off https://t.co/rsgiJFlR4Y https://t.co/a3lVH6ODi5</t>
  </si>
  <si>
    <t xml:space="preserve">Viña del Mar, Chile</t>
  </si>
  <si>
    <t xml:space="preserve">#Eat #Tech And #Rocknroll Foodhuntr ▶ https://t.co/xaY8lePp1n Linkedin ▶ https://t.co/hcLJJtlXFW</t>
  </si>
  <si>
    <t xml:space="preserve">むつら</t>
  </si>
  <si>
    <r>
      <rPr>
        <sz val="8"/>
        <rFont val="Noto Sans CJK SC Regular"/>
        <family val="2"/>
      </rPr>
      <t xml:space="preserve">タウイ</t>
    </r>
    <r>
      <rPr>
        <sz val="8"/>
        <rFont val="Droid Sans"/>
        <family val="0"/>
        <charset val="1"/>
      </rPr>
      <t xml:space="preserve">114 / instinct 35 / feh 20</t>
    </r>
  </si>
  <si>
    <r>
      <rPr>
        <sz val="8"/>
        <rFont val="Noto Sans CJK SC Regular"/>
        <family val="2"/>
      </rPr>
      <t xml:space="preserve">ちわ共分散だよ！ フィボナッチ厨で</t>
    </r>
    <r>
      <rPr>
        <sz val="8"/>
        <rFont val="Droid Sans"/>
        <family val="0"/>
        <charset val="1"/>
      </rPr>
      <t xml:space="preserve">38.2</t>
    </r>
    <r>
      <rPr>
        <sz val="8"/>
        <rFont val="Noto Sans CJK SC Regular"/>
        <family val="2"/>
      </rPr>
      <t xml:space="preserve">や</t>
    </r>
    <r>
      <rPr>
        <sz val="8"/>
        <rFont val="Droid Sans"/>
        <family val="0"/>
        <charset val="1"/>
      </rPr>
      <t xml:space="preserve">61.8</t>
    </r>
    <r>
      <rPr>
        <sz val="8"/>
        <rFont val="Noto Sans CJK SC Regular"/>
        <family val="2"/>
      </rPr>
      <t xml:space="preserve">が好物です ＜</t>
    </r>
    <r>
      <rPr>
        <sz val="8"/>
        <rFont val="Droid Sans"/>
        <family val="0"/>
        <charset val="1"/>
      </rPr>
      <t xml:space="preserve">(</t>
    </r>
    <r>
      <rPr>
        <sz val="8"/>
        <rFont val="Noto Sans CJK SC Regular"/>
        <family val="2"/>
      </rPr>
      <t xml:space="preserve">゜∀。</t>
    </r>
    <r>
      <rPr>
        <sz val="8"/>
        <rFont val="Droid Sans"/>
        <family val="0"/>
        <charset val="1"/>
      </rPr>
      <t xml:space="preserve">) 3-5-8-13-21-34-55-89-144-233-377</t>
    </r>
  </si>
  <si>
    <t xml:space="preserve">serge poznanski</t>
  </si>
  <si>
    <t xml:space="preserve">business: Japan PM Shinzo Abe’s early election gamble looks like it will pay off https://t.co/Z0Ct18hgbX https://t.co/cGvCiWXwaq</t>
  </si>
  <si>
    <t xml:space="preserve">hanalfabeta</t>
  </si>
  <si>
    <t xml:space="preserve">https://t.co/zcRXaBxskj [Bloomberg Business] Japan PM Shinzo Abe’s early election gamble looks like it will pay o… https://t.co/LFEoCMA7Ta</t>
  </si>
  <si>
    <t xml:space="preserve">Bangladesh News 24</t>
  </si>
  <si>
    <t xml:space="preserve">business: Japan PM Shinzo Abe’s early election gamble looks like it will pay off https://t.co/8nqoosspMF … https://t.co/wpm769DS2d</t>
  </si>
  <si>
    <t xml:space="preserve">London E1 &amp; E14</t>
  </si>
  <si>
    <t xml:space="preserve">We are a technology start-up (social enterprise) based in Tower Hamlets - the heart of the Bangladeshi community in UK. We believe technology is an enabler.</t>
  </si>
  <si>
    <t xml:space="preserve">Jose Chalhoub</t>
  </si>
  <si>
    <t xml:space="preserve">Venezuela</t>
  </si>
  <si>
    <t xml:space="preserve">Political risk analyst on Russia Mena region and oil and gas. Contributing for Wikistrat Levant News The Raddington Report Medium Venezuelan #oott</t>
  </si>
  <si>
    <t xml:space="preserve">Bullish Market</t>
  </si>
  <si>
    <t xml:space="preserve">Japan PM Shinzo Abe’s early election gamble looks like it will pay off https://t.co/YpLTGc5duR https://t.co/h0WiDOuXAY</t>
  </si>
  <si>
    <t xml:space="preserve">Tekki.co | VR</t>
  </si>
  <si>
    <t xml:space="preserve">jaimeotero_: Japan PM Shinzo Abe’s early election gamble looks like it will pay off https://t.co/i24kfy4rrZ https://t.co/wLnl8V5wCS RT</t>
  </si>
  <si>
    <t xml:space="preserve">San Diego, CA</t>
  </si>
  <si>
    <t xml:space="preserve">The latest VR news everyday</t>
  </si>
  <si>
    <t xml:space="preserve">Ray Kuersten</t>
  </si>
  <si>
    <t xml:space="preserve">United States</t>
  </si>
  <si>
    <t xml:space="preserve">If you follow me I won't follow you so that you can follow me, and don't worry I've trained for this whole following thing my whole life.</t>
  </si>
  <si>
    <t xml:space="preserve">GAThompson</t>
  </si>
  <si>
    <t xml:space="preserve">Canberra</t>
  </si>
  <si>
    <t xml:space="preserve">Only strong conservative values and governments have the right stuff to stop decline of the West due to socialist Left delusions, debt, depravity &amp; disruption.</t>
  </si>
  <si>
    <t xml:space="preserve">Alan PrepZilla</t>
  </si>
  <si>
    <t xml:space="preserve">RT business "Japan PM Shinzo Abe’s early election gamble looks like it will pay off https://t.co/4cCzvCpA6f https://t.co/6mhx5nXWwj"</t>
  </si>
  <si>
    <t xml:space="preserve">Chicago iL</t>
  </si>
  <si>
    <t xml:space="preserve">Rocket ship builder, Pizza Expert, Chanel Enthusiast</t>
  </si>
  <si>
    <t xml:space="preserve">蒋伯宇</t>
  </si>
  <si>
    <t xml:space="preserve">东京</t>
  </si>
  <si>
    <t xml:space="preserve">サイリー</t>
  </si>
  <si>
    <t xml:space="preserve">ニューヨーク</t>
  </si>
  <si>
    <r>
      <rPr>
        <sz val="8"/>
        <rFont val="Noto Sans CJK SC Regular"/>
        <family val="2"/>
      </rPr>
      <t xml:space="preserve">趣味はアニメ</t>
    </r>
    <r>
      <rPr>
        <sz val="8"/>
        <rFont val="Droid Sans"/>
        <family val="0"/>
        <charset val="1"/>
      </rPr>
      <t xml:space="preserve">/</t>
    </r>
    <r>
      <rPr>
        <sz val="8"/>
        <rFont val="Noto Sans CJK SC Regular"/>
        <family val="2"/>
      </rPr>
      <t xml:space="preserve">特撮</t>
    </r>
    <r>
      <rPr>
        <sz val="8"/>
        <rFont val="Droid Sans"/>
        <family val="0"/>
        <charset val="1"/>
      </rPr>
      <t xml:space="preserve">/</t>
    </r>
    <r>
      <rPr>
        <sz val="8"/>
        <rFont val="Noto Sans CJK SC Regular"/>
        <family val="2"/>
      </rPr>
      <t xml:space="preserve">マンガ</t>
    </r>
    <r>
      <rPr>
        <sz val="8"/>
        <rFont val="Droid Sans"/>
        <family val="0"/>
        <charset val="1"/>
      </rPr>
      <t xml:space="preserve">/</t>
    </r>
    <r>
      <rPr>
        <sz val="8"/>
        <rFont val="Noto Sans CJK SC Regular"/>
        <family val="2"/>
      </rPr>
      <t xml:space="preserve">ラノベ</t>
    </r>
    <r>
      <rPr>
        <sz val="8"/>
        <rFont val="Droid Sans"/>
        <family val="0"/>
        <charset val="1"/>
      </rPr>
      <t xml:space="preserve">/</t>
    </r>
    <r>
      <rPr>
        <sz val="8"/>
        <rFont val="Noto Sans CJK SC Regular"/>
        <family val="2"/>
      </rPr>
      <t xml:space="preserve">ゲーム</t>
    </r>
    <r>
      <rPr>
        <sz val="8"/>
        <rFont val="Droid Sans"/>
        <family val="0"/>
        <charset val="1"/>
      </rPr>
      <t xml:space="preserve">/</t>
    </r>
    <r>
      <rPr>
        <sz val="8"/>
        <rFont val="Noto Sans CJK SC Regular"/>
        <family val="2"/>
      </rPr>
      <t xml:space="preserve">金融</t>
    </r>
    <r>
      <rPr>
        <sz val="8"/>
        <rFont val="Droid Sans"/>
        <family val="0"/>
        <charset val="1"/>
      </rPr>
      <t xml:space="preserve">/</t>
    </r>
    <r>
      <rPr>
        <sz val="8"/>
        <rFont val="Noto Sans CJK SC Regular"/>
        <family val="2"/>
      </rPr>
      <t xml:space="preserve">経済</t>
    </r>
    <r>
      <rPr>
        <sz val="8"/>
        <rFont val="Droid Sans"/>
        <family val="0"/>
        <charset val="1"/>
      </rPr>
      <t xml:space="preserve">/</t>
    </r>
    <r>
      <rPr>
        <sz val="8"/>
        <rFont val="Noto Sans CJK SC Regular"/>
        <family val="2"/>
      </rPr>
      <t xml:space="preserve">投資</t>
    </r>
    <r>
      <rPr>
        <sz val="8"/>
        <rFont val="Droid Sans"/>
        <family val="0"/>
        <charset val="1"/>
      </rPr>
      <t xml:space="preserve">/IT/</t>
    </r>
    <r>
      <rPr>
        <sz val="8"/>
        <rFont val="Noto Sans CJK SC Regular"/>
        <family val="2"/>
      </rPr>
      <t xml:space="preserve">ミシュランレストラン。ツイートは独り言や愚痴話がメイン。</t>
    </r>
  </si>
  <si>
    <t xml:space="preserve">Must be -2bs.Drummer</t>
  </si>
  <si>
    <t xml:space="preserve">Kyoto city</t>
  </si>
  <si>
    <t xml:space="preserve">I'm a Drummer. And I need more some live stage experience now . Also I love 2 bass drum set up and learning them day by day . I'll look for the band who need me</t>
  </si>
  <si>
    <t xml:space="preserve">Swiss International</t>
  </si>
  <si>
    <t xml:space="preserve">Japan PM Shinzo Abe’s early election gamble looks like it will pay off https://t.co/CAEtlfF2wa https://t.co/iJHEYcfLA7</t>
  </si>
  <si>
    <t xml:space="preserve">Sarnen and Zürich Switzerland</t>
  </si>
  <si>
    <t xml:space="preserve">Swiss International Finance Group AG (SIFG) is a Swiss financial services firm specialising in corporate finance and capital markets IPOs.</t>
  </si>
  <si>
    <t xml:space="preserve">Shailendra Nair</t>
  </si>
  <si>
    <t xml:space="preserve">Japan PM Shinzo Abe’s early election gamble looks like it will pay off https://t.co/Q2IAvwGwd4 https://t.co/EkziWtR8RH</t>
  </si>
  <si>
    <t xml:space="preserve">Mumbai, India</t>
  </si>
  <si>
    <t xml:space="preserve">Head #IT &amp; #Digital &amp; #photographer, adamant NOT arrogant, traveler &amp; foodie at heart , multidimensional thinker &amp; dreamer. Opinion/RT's ≠ endorsements</t>
  </si>
  <si>
    <t xml:space="preserve">MarthaLeah Nangalama</t>
  </si>
  <si>
    <t xml:space="preserve">business: Japan PM Shinzo Abe’s early election gamble looks like it will pay off https://t.co/9yfdj184X0 https://t.co/XV75c0csl6</t>
  </si>
  <si>
    <t xml:space="preserve">New Brunswick, Canada</t>
  </si>
  <si>
    <t xml:space="preserve">Geek, BigData, Editor, Blogger, CAJ member. All sins are mine. https://t.co/B82S9AV8mG https://t.co/Z2TdxZqvkg https://t.co/ptDTWsdi1c</t>
  </si>
  <si>
    <t xml:space="preserve">Hobbit Shone</t>
  </si>
  <si>
    <t xml:space="preserve">Fally Sombo Nkhwazi</t>
  </si>
  <si>
    <t xml:space="preserve">business: Japan PM Shinzo Abe’s early election gamble looks like it will pay off https://t.co/BentH919rm https://t.co/Ahgxyuc7Kk</t>
  </si>
  <si>
    <t xml:space="preserve">Grand Rapids, MI</t>
  </si>
  <si>
    <t xml:space="preserve">married</t>
  </si>
  <si>
    <t xml:space="preserve">Determination</t>
  </si>
  <si>
    <t xml:space="preserve">Sometimes the majority only means that all the fools are on the same side. News, politics, free speech, censorship, freedom, equality &amp; human rights.</t>
  </si>
  <si>
    <t xml:space="preserve">Bloomberg Politics</t>
  </si>
  <si>
    <t xml:space="preserve">Polls show Japan's Shinzo Abe is set for a landslide election win on Sunday https://t.co/XWJWPyr7Dz https://t.co/7MRCTQDiEL</t>
  </si>
  <si>
    <t xml:space="preserve">SocialFlow</t>
  </si>
  <si>
    <t xml:space="preserve">Bloomberg Politics is the spot for smart, non-partisan political coverage from around the world. Sign-up for our daily newsletter: https://t.co/mJ9FvVjAXL</t>
  </si>
  <si>
    <t xml:space="preserve">Robert Glynn</t>
  </si>
  <si>
    <t xml:space="preserve">Norwood, MA</t>
  </si>
  <si>
    <t xml:space="preserve">Husband, father of 3 great kids, political junkie. Retweets are not endorsements. Opinions are my own.</t>
  </si>
  <si>
    <t xml:space="preserve">Ramón Cadena</t>
  </si>
  <si>
    <t xml:space="preserve">Electionarium</t>
  </si>
  <si>
    <t xml:space="preserve">RT @bpolitics: Polls show Japan's Shinzo Abe is set for a landslide election win on Sunday https://t.co/XWJWPyr7Dz https://t.co/7MRCTQDiEL</t>
  </si>
  <si>
    <t xml:space="preserve">TweetDeck</t>
  </si>
  <si>
    <t xml:space="preserve">Mukehs Das</t>
  </si>
  <si>
    <t xml:space="preserve">मध्य प्रदेश, भारत</t>
  </si>
  <si>
    <t xml:space="preserve">Rene</t>
  </si>
  <si>
    <t xml:space="preserve">politiek,nieuws en beurs, AEX, DAX, TURBO tags:#history #NASDAQ #Keynes #politics #geschiedenis #GGZ #Verslavingszorg tegen #gristenliberaalschurkendom</t>
  </si>
  <si>
    <t xml:space="preserve">Carolyn Craig</t>
  </si>
  <si>
    <t xml:space="preserve">#RESIST #StillWithHer #HillaryClinton2020</t>
  </si>
  <si>
    <t xml:space="preserve">carole conrad</t>
  </si>
  <si>
    <t xml:space="preserve">Only for politics, i am a complete ultra liberal. Living in NY and NC. I love listening to all, plus giving kindness, empathy, respect and politeness to all.</t>
  </si>
  <si>
    <t xml:space="preserve">Japan’s Young Workers Get a Lift, and Its Leaders Profit - Prime Minister Shinzo Abe stands to benefit in Sunda... https://t.co/vA6ZQTAjts</t>
  </si>
  <si>
    <t xml:space="preserve">Japan PM Shinzo Abe’s early election gamble looks like it will pay off https://t.co/NIGaA17Bdp https://t.co/qCE9AXNlGl</t>
  </si>
  <si>
    <t xml:space="preserve">daiichi crisis</t>
  </si>
  <si>
    <t xml:space="preserve">• NYT: Japan’s Young Workers Get a Lift, and Its Leaders Profit: Prime Minister Shinzo Abe… https://t.co/kRkVustbda</t>
  </si>
  <si>
    <t xml:space="preserve">news on #tohuku quake/tsunami &amp; #fukushima #daiichi crisis; asahi/minyu/mainichi/nhk/sankei/yomiuri titles are auto-translated by google.</t>
  </si>
  <si>
    <t xml:space="preserve">Greg Benson</t>
  </si>
  <si>
    <t xml:space="preserve">RT @bpolitics: Japan PM Shinzo Abe’s early election gamble looks like it will pay off https://t.co/NIGaA17Bdp https://t.co/qCE9AXNlGl</t>
  </si>
  <si>
    <t xml:space="preserve">Costa Rica, L.A. &amp; S.F. Bay </t>
  </si>
  <si>
    <r>
      <rPr>
        <sz val="8"/>
        <rFont val="Droid Sans"/>
        <family val="0"/>
        <charset val="1"/>
      </rPr>
      <t xml:space="preserve">News Junkie | music aficionado | #fighting #</t>
    </r>
    <r>
      <rPr>
        <sz val="8"/>
        <rFont val="Noto Sans CJK SC Regular"/>
        <family val="2"/>
      </rPr>
      <t xml:space="preserve">수능 </t>
    </r>
    <r>
      <rPr>
        <sz val="8"/>
        <rFont val="Droid Sans"/>
        <family val="0"/>
        <charset val="1"/>
      </rPr>
      <t xml:space="preserve">| Links &amp; Retweets are not endorsements unless expressed fully | live fast, die hot | 2016.06.06 updated</t>
    </r>
  </si>
  <si>
    <t xml:space="preserve">The Art of Awesome</t>
  </si>
  <si>
    <t xml:space="preserve">California, USA</t>
  </si>
  <si>
    <t xml:space="preserve">The official Twitter of The Art of Awesome YouTube channel! Stay tuned for weekly video updates...</t>
  </si>
  <si>
    <t xml:space="preserve">Jenn-Aye!</t>
  </si>
  <si>
    <t xml:space="preserve">Shenandoah, Iowa</t>
  </si>
  <si>
    <t xml:space="preserve">Secret nerd &amp; psychology enthusiast. I also dabble in politics &amp; the like. Being short means I'm a ninja!</t>
  </si>
  <si>
    <t xml:space="preserve">Dave Deen</t>
  </si>
  <si>
    <t xml:space="preserve">Journalist &amp; filmmaker from TORONTO🇨🇦☃️Currently Digital Producer for documentary show @AJ101East on Al Jazeera English @AJEnglish</t>
  </si>
  <si>
    <t xml:space="preserve">Rosalind Mathieson</t>
  </si>
  <si>
    <t xml:space="preserve">After a scare a few weeks back: Polls show #Japan's Shinzo Abe is set for a landslide election win on Sunday… https://t.co/YnpTMUlTPl</t>
  </si>
  <si>
    <t xml:space="preserve">Executive Editor for International Government news at Bloomberg, based in Singapore. Plagues, pestilence and #KimJongUn. Ex @dow and @wsj Views my own</t>
  </si>
  <si>
    <t xml:space="preserve">sunny side</t>
  </si>
  <si>
    <t xml:space="preserve">Social Media Hub</t>
  </si>
  <si>
    <t xml:space="preserve">Japan’s Young Workers Get a Lift, and Its Leaders Profit - Prime Minister Shinzo Abe stands to benefit in Sunda... https://t.co/nP9EI2Zjlh</t>
  </si>
  <si>
    <t xml:space="preserve">With over a million followers Social Media Hub brings out the best from social media. #SMHub</t>
  </si>
  <si>
    <t xml:space="preserve">Japan’s Young Workers Get a Lift, and Its Leaders Profit - Prime Minister Shinzo Abe stands to benefit in Sunda... https://t.co/0zG9nNpvmm</t>
  </si>
  <si>
    <t xml:space="preserve">Breaking News</t>
  </si>
  <si>
    <t xml:space="preserve">Japan’s Young Workers Get a Lift, and Its Leaders Profit - Prime Minister Shinzo Abe stands to benefit in Sunda... https://t.co/sYmd1figXf</t>
  </si>
  <si>
    <t xml:space="preserve">New York, USA</t>
  </si>
  <si>
    <t xml:space="preserve">Online Breaking News non-stop!</t>
  </si>
  <si>
    <t xml:space="preserve">Social Media Info</t>
  </si>
  <si>
    <t xml:space="preserve">Japan’s Young Workers Get a Lift, and Its Leaders Profit - Prime Minister Shinzo Abe stands to benefit in Sunda... https://t.co/xTtFrbjM8c</t>
  </si>
  <si>
    <t xml:space="preserve">Social Media Hub brings you all the latest news &amp; information presented on a colorful new web platform which is interfaced with Social Media #SMHub</t>
  </si>
  <si>
    <t xml:space="preserve">Bloomberg TV</t>
  </si>
  <si>
    <t xml:space="preserve">Japan PM Shinzo Abe’s early election gamble looks like it will pay off https://t.co/1nlrs5VqOc https://t.co/24P3YMgCeF</t>
  </si>
  <si>
    <t xml:space="preserve">New York</t>
  </si>
  <si>
    <t xml:space="preserve">Breaking news. Exclusive interviews. Market-moving scoops. Watch Bloomberg #Daybreak LIVE on @Twitter, every weekday from 7:00 - 9:00 AM ET.</t>
  </si>
  <si>
    <t xml:space="preserve">TopFiveTraders</t>
  </si>
  <si>
    <t xml:space="preserve">RT BloombergTV "Japan PM Shinzo Abe’s early election gamble looks like it will pay off https://t.co/7YNXQMrGTx https://t.co/89MgtcdVxL"</t>
  </si>
  <si>
    <t xml:space="preserve">The Trading Desk</t>
  </si>
  <si>
    <t xml:space="preserve">#TFT is a cool subscription site 4 stock traders. Get the best alerts in the business https://t.co/WOym8AwsTd #NASDAQ, #NYSE</t>
  </si>
  <si>
    <t xml:space="preserve">CNBCTraders</t>
  </si>
  <si>
    <t xml:space="preserve">RT TopFiveTraders "RT BloombergTV "Japan PM Shinzo Abe’s early election gamble looks like it will pay off … https://t.co/sti3IAvtRq""</t>
  </si>
  <si>
    <t xml:space="preserve">Outside the set of CNBC</t>
  </si>
  <si>
    <t xml:space="preserve">Follow the best #CNBC traders @riskreversal, @timseymour, @guyadami. @BKBrianKelly - Our premium service https://t.co/WOym8AwsTd</t>
  </si>
  <si>
    <t xml:space="preserve">Destiny O'Connor</t>
  </si>
  <si>
    <t xml:space="preserve">Japan’s Young Workers Get a Lift, and Its Leaders Profit - Prime Minister Shinzo Abe stands to benefit in Sunda... https://t.co/KDL8eieKVF</t>
  </si>
  <si>
    <t xml:space="preserve">Botize</t>
  </si>
  <si>
    <t xml:space="preserve">American Daily</t>
  </si>
  <si>
    <t xml:space="preserve">Japan’s Young Workers Get a Lift, and Its Leaders Profit: Prime Minister Shinzo Abe… https://t.co/a0I9pHoIZ8 #news</t>
  </si>
  <si>
    <t xml:space="preserve">News &amp; Medias</t>
  </si>
  <si>
    <t xml:space="preserve">Vi Rai⚡️ (ϑ ℛai)</t>
  </si>
  <si>
    <t xml:space="preserve">#BloombergTV ❧ Japan PM Shinzo Abe’s early election gamble looks like it will pay off https://t.co/C63Gd8b8sT https://t.co/nfPYVJNSLh</t>
  </si>
  <si>
    <t xml:space="preserve">Startup Zealot ☄ archiving best ☯ News &amp; latest⏳Trend #1st ➤ retweet ♻️ ℀ @Verified ℅ Twitter® ⏰ Retweets:endorphins #Tweets⚡Endorsement ❌ Everywhere ▶️ vrai777</t>
  </si>
  <si>
    <t xml:space="preserve">TopFiveTradersCS</t>
  </si>
  <si>
    <t xml:space="preserve">RT BloombergTV "Japan PM Shinzo Abe’s early election gamble looks like it will pay off https://t.co/SStnPuQUAU https://t.co/38uDkc8F8n"</t>
  </si>
  <si>
    <t xml:space="preserve">The War Room</t>
  </si>
  <si>
    <t xml:space="preserve">CSR 4 https://t.co/hanZmCmf5C - Our main Twitter handle is @TopFiveTraders - Our premium service is https://t.co/WOym8AwsTd</t>
  </si>
  <si>
    <t xml:space="preserve">RT TFTCS "RT BloombergTV "Japan PM Shinzo Abe’s early election gamble looks like it will pay off … https://t.co/sti3IAvtRq""</t>
  </si>
  <si>
    <t xml:space="preserve">Julius Ssemakula</t>
  </si>
  <si>
    <t xml:space="preserve">Kampala</t>
  </si>
  <si>
    <t xml:space="preserve">HatomA Spot . Corp</t>
  </si>
  <si>
    <t xml:space="preserve">ZZ222</t>
  </si>
  <si>
    <t xml:space="preserve">Украина</t>
  </si>
  <si>
    <t xml:space="preserve">RT TFTCS "RT BloombergTV "Japan PM Shinzo Abe’s early election gamble looks like it will pay off … https://t.co/89MgtcdVxL""</t>
  </si>
  <si>
    <t xml:space="preserve">Japan’s Young Workers Get a Lift, and Its Leaders Profit - Prime Minister Shinzo Abe stands to benefit in Sunda... https://t.co/rBOcczqy2Q</t>
  </si>
  <si>
    <t xml:space="preserve">With over a million followers the Social Media Hub gives you the best news and information from the top influencers in social media #SMHub</t>
  </si>
  <si>
    <t xml:space="preserve">Pedro Muñoz Lorite</t>
  </si>
  <si>
    <t xml:space="preserve">Japan’s Young Workers Get a Lift, and Its Leaders Profit - Prime Minister Shinzo Abe stands to benefit in Sunda... https://t.co/gRwDLdWXVj</t>
  </si>
  <si>
    <t xml:space="preserve">Madrid</t>
  </si>
  <si>
    <t xml:space="preserve">Libertarian Lawyer “Freedom is a state of mind, which is achieved with effort, and many will try to steal you it” Pedro Muñoz</t>
  </si>
  <si>
    <t xml:space="preserve">CNN International</t>
  </si>
  <si>
    <t xml:space="preserve">Snap election gamble looks set to pay off for Japan's Shinzo Abe https://t.co/a1tAtn3j1m https://t.co/6onuZ2wT7U</t>
  </si>
  <si>
    <t xml:space="preserve">Everywhere</t>
  </si>
  <si>
    <t xml:space="preserve">Breaking news from around the world, plus business, style, travel, sport and entertainment. We #gothere.</t>
  </si>
  <si>
    <t xml:space="preserve">Lucas B Pérez Gangas</t>
  </si>
  <si>
    <t xml:space="preserve">RT @cnni: Snap election gamble looks set to pay off for Japan's Shinzo Abe https://t.co/a1tAtn3j1m https://t.co/6onuZ2wT7U</t>
  </si>
  <si>
    <t xml:space="preserve">Panguipulli, Chile</t>
  </si>
  <si>
    <t xml:space="preserve">Soy Lucas Bruno Pérez Gangas y me gusta mucho #T13Noche, adoro jugar Nintendo y también hablar con periodistas conocidos de Chile como Antonio Quinteros,etc.</t>
  </si>
  <si>
    <t xml:space="preserve">Hey Jude</t>
  </si>
  <si>
    <t xml:space="preserve">New York, England</t>
  </si>
  <si>
    <t xml:space="preserve">Histrionic is my 2017 WORD OF THE YEAR! Veggie egg foo yung lover. The face of mental illness.</t>
  </si>
  <si>
    <t xml:space="preserve">Aniket Singh</t>
  </si>
  <si>
    <t xml:space="preserve">Avid reader. Curious. Moody. Believe in Destiny. Chess, Chai,Table Tennis, Ice-cream. Like History, Strange but True. @cardiffuni Alum. RTs are not endorsement.</t>
  </si>
  <si>
    <t xml:space="preserve">Channel 1 World</t>
  </si>
  <si>
    <t xml:space="preserve">CNN reports Snap election gamble looks set to pay off for Japan's Shinzo Abe https://t.co/cieEDvvMhX … https://t.co/RNq8TvCWjP</t>
  </si>
  <si>
    <t xml:space="preserve">Worldwide</t>
  </si>
  <si>
    <t xml:space="preserve">(BREAKING WORLDWIDE NOW) LIVE Coverage of #Breaking #News as it happens from around the World! Apart of @channel1atlanta</t>
  </si>
  <si>
    <t xml:space="preserve">FRANCIS K S LIM</t>
  </si>
  <si>
    <t xml:space="preserve">Japan’s Young Workers Get a Lift, and Its Leaders Profit: Prime Minister Shinzo Abe stands… https://t.co/XJany2FU49</t>
  </si>
  <si>
    <t xml:space="preserve">Thailand Malaysia Indonesia </t>
  </si>
  <si>
    <t xml:space="preserve">CEO Founder Suntex Strategic Investment Ltd (Private Investment Banking) PSS WORLDWIDE-TOP OF THE WORLD - HOTEL &amp; RESORTS</t>
  </si>
  <si>
    <t xml:space="preserve">News 365247</t>
  </si>
  <si>
    <t xml:space="preserve">News365247live</t>
  </si>
  <si>
    <t xml:space="preserve">Breaking news from around the world. We provide you quality accurate news around the world. See the whole picture with @News365247live.</t>
  </si>
  <si>
    <t xml:space="preserve">adi</t>
  </si>
  <si>
    <t xml:space="preserve">Austin, TX</t>
  </si>
  <si>
    <t xml:space="preserve">#austin #music #kitties #sports #food #quesoff #lunchwithadi @guerillasuit @hotluckfest</t>
  </si>
  <si>
    <t xml:space="preserve">Himanish Prabhakar</t>
  </si>
  <si>
    <t xml:space="preserve">cnni: Snap election gamble looks set to pay off for Japan's Shinzo Abe https://t.co/T2tbAd7J0d https://t.co/ltifTFIJG1</t>
  </si>
  <si>
    <t xml:space="preserve">#no #there' #no-one #else' #eyes #that #could #see #into #me #no-one #else' #arm #can #lift #lift #me #up #so #high</t>
  </si>
  <si>
    <t xml:space="preserve">RT TopFiveTraders "RT TFTCS "RT BloombergTV "Japan PM Shinzo Abe’s early election gamble looks like it will pa… https://t.co/sti3IAvtRq"""</t>
  </si>
  <si>
    <t xml:space="preserve">Enterate On Line</t>
  </si>
  <si>
    <t xml:space="preserve">Snap election gamble looks set to pay off for Japan's Shinzo Abe https://t.co/DZv1mQmXRl https://t.co/4HI4ua97qg</t>
  </si>
  <si>
    <t xml:space="preserve">El más grande portal de noticias y opinión de del MUNDO #EnterateLine</t>
  </si>
  <si>
    <t xml:space="preserve">MusmanuttrA</t>
  </si>
  <si>
    <t xml:space="preserve">: Snap election gamble looks set to pay off for Japan's Shinzo Abe https://t.co/EgFgLYVAv0 https://t.co/pIAzvkRirK</t>
  </si>
  <si>
    <t xml:space="preserve">PAKISTAN </t>
  </si>
  <si>
    <t xml:space="preserve">Alain-Vilakazi™|Inc.</t>
  </si>
  <si>
    <t xml:space="preserve">Snap election gamble looks set to pay off for Japan's Shinzo Abe https://t.co/ynVazuH2PP https://t.co/yR5oV4Li5n</t>
  </si>
  <si>
    <t xml:space="preserve">Everywhere </t>
  </si>
  <si>
    <t xml:space="preserve">Father, Husband, Founder &amp; CEO of AlVil™ Medi-Care Centre | Human Rights Activist | My aim is to share info because it's a human's right ! RT's≠endorsements!</t>
  </si>
  <si>
    <t xml:space="preserve">Ilona Antoniszyn</t>
  </si>
  <si>
    <t xml:space="preserve">Wrocław</t>
  </si>
  <si>
    <t xml:space="preserve">Trade, Investment, Energy &amp; Good Life. Only private views.</t>
  </si>
  <si>
    <t xml:space="preserve">CNN</t>
  </si>
  <si>
    <t xml:space="preserve">Snap election gamble looks set to pay off for Japan's Shinzo Abe https://t.co/FTkedvCVGj https://t.co/GTJlvqJY5r</t>
  </si>
  <si>
    <t xml:space="preserve">It’s our job to #GoThere &amp; tell the most difficult stories. Join us! For more breaking news updates follow @CNNBRK &amp; Download our app 📲https://t.co/Xgo5kjIt8c</t>
  </si>
  <si>
    <t xml:space="preserve">Anna-bear</t>
  </si>
  <si>
    <t xml:space="preserve">RT @CNN: Snap election gamble looks set to pay off for Japan's Shinzo Abe https://t.co/FTkedvCVGj https://t.co/GTJlvqJY5r</t>
  </si>
  <si>
    <t xml:space="preserve">Burke, VA</t>
  </si>
  <si>
    <t xml:space="preserve">A beach girl stuck in the suburbs</t>
  </si>
  <si>
    <t xml:space="preserve">Japan’s Young Workers Get a Lift, and Its Leaders Profit - Prime Minister Shinzo Abe stands to benefit in Sunda... https://t.co/SalU9cClbj</t>
  </si>
  <si>
    <t xml:space="preserve">With over a million followers Social Media Hub brings you the best social media news and information on a colorful new CMS web platform. #SMHub</t>
  </si>
  <si>
    <t xml:space="preserve">Hassan Khan</t>
  </si>
  <si>
    <t xml:space="preserve">لاہور, پاکستان</t>
  </si>
  <si>
    <t xml:space="preserve">Patriot | Support any change good for Pakistan. I Support Imran Khan because i dont want Status quo to loot my Country Further https://t.co/kteZj99Ir2</t>
  </si>
  <si>
    <t xml:space="preserve">CopyNews</t>
  </si>
  <si>
    <t xml:space="preserve">Snap election gamble looks set to pay off for Japan's Shinzo Abe https://t.co/SYB9UvFbQy https://t.co/CgrdCIOsRj</t>
  </si>
  <si>
    <t xml:space="preserve">HAITI - Port-Au-Prince</t>
  </si>
  <si>
    <t xml:space="preserve">CopyNews: Le concentré d’infos des grandes agences de pesse du monde. Un Seul clic pour vous informer en temps réel 24/24. #Kreyòl|#Français |#English |#Español</t>
  </si>
  <si>
    <r>
      <rPr>
        <sz val="8"/>
        <rFont val="Droid Sans"/>
        <family val="0"/>
        <charset val="1"/>
      </rPr>
      <t xml:space="preserve">[11</t>
    </r>
    <r>
      <rPr>
        <sz val="8"/>
        <rFont val="Noto Sans CJK SC Regular"/>
        <family val="2"/>
      </rPr>
      <t xml:space="preserve">월</t>
    </r>
    <r>
      <rPr>
        <sz val="8"/>
        <rFont val="Droid Sans"/>
        <family val="0"/>
        <charset val="1"/>
      </rPr>
      <t xml:space="preserve">6</t>
    </r>
    <r>
      <rPr>
        <sz val="8"/>
        <rFont val="Noto Sans CJK SC Regular"/>
        <family val="2"/>
      </rPr>
      <t xml:space="preserve">일 슈주</t>
    </r>
    <r>
      <rPr>
        <sz val="8"/>
        <rFont val="Droid Sans"/>
        <family val="0"/>
        <charset val="1"/>
      </rPr>
      <t xml:space="preserve">8</t>
    </r>
    <r>
      <rPr>
        <sz val="8"/>
        <rFont val="Noto Sans CJK SC Regular"/>
        <family val="2"/>
      </rPr>
      <t xml:space="preserve">집</t>
    </r>
    <r>
      <rPr>
        <sz val="8"/>
        <rFont val="Droid Sans"/>
        <family val="0"/>
        <charset val="1"/>
      </rPr>
      <t xml:space="preserve">] </t>
    </r>
    <r>
      <rPr>
        <sz val="8"/>
        <rFont val="Noto Sans CJK SC Regular"/>
        <family val="2"/>
      </rPr>
      <t xml:space="preserve">희콩🌈</t>
    </r>
  </si>
  <si>
    <t xml:space="preserve">날 모로 보는거냐 윷으로 바조</t>
  </si>
  <si>
    <t xml:space="preserve">Tony De Vos</t>
  </si>
  <si>
    <t xml:space="preserve">RT CNN "Snap election gamble looks set to pay off for Japan's Shinzo Abe https://t.co/lNJEr3ZIIC https://t.co/cUg47NoLT1"</t>
  </si>
  <si>
    <t xml:space="preserve">Ghent</t>
  </si>
  <si>
    <t xml:space="preserve">Don't Worry Be Happy I Follow Back #news #breakingnews #worldnews #trading #travel</t>
  </si>
  <si>
    <t xml:space="preserve">Sorgitza</t>
  </si>
  <si>
    <t xml:space="preserve">Snap election gamble looks set to pay off for Japan's Shinzo Abe https://t.co/pDUFHtWom5 https://t.co/VjQPGtAJqq</t>
  </si>
  <si>
    <t xml:space="preserve">Brasil</t>
  </si>
  <si>
    <t xml:space="preserve">blunt67</t>
  </si>
  <si>
    <t xml:space="preserve">Easy going. 23 yrs military service.</t>
  </si>
  <si>
    <t xml:space="preserve">News Junkie</t>
  </si>
  <si>
    <t xml:space="preserve">CNN: Snap election gamble looks set to pay off for Japan's Shinzo Abe https://t.co/yiUsMmxTrm https://t.co/vwaNxMwbRf</t>
  </si>
  <si>
    <t xml:space="preserve">SWMO</t>
  </si>
  <si>
    <t xml:space="preserve">News for SW MO including Joplin, Springfield, Branson and National News.</t>
  </si>
  <si>
    <t xml:space="preserve">avtisticDog</t>
  </si>
  <si>
    <t xml:space="preserve">CNN: Snap election gamble looks set to pay off for Japan's Shinzo Abe https://t.co/Nt7dS8uMfe https://t.co/N83GZjyrOz</t>
  </si>
  <si>
    <t xml:space="preserve">Marcelo Moura</t>
  </si>
  <si>
    <t xml:space="preserve">J ChuckNorris Fatos</t>
  </si>
  <si>
    <t xml:space="preserve">Goiânia, Brazil</t>
  </si>
  <si>
    <r>
      <rPr>
        <sz val="8"/>
        <rFont val="Noto Sans CJK SC Regular"/>
        <family val="2"/>
      </rPr>
      <t xml:space="preserve">さみ㌠</t>
    </r>
    <r>
      <rPr>
        <sz val="8"/>
        <rFont val="Droid Sans"/>
        <family val="0"/>
        <charset val="1"/>
      </rPr>
      <t xml:space="preserve">@</t>
    </r>
    <r>
      <rPr>
        <sz val="8"/>
        <rFont val="Noto Sans CJK SC Regular"/>
        <family val="2"/>
      </rPr>
      <t xml:space="preserve">エロアイコン</t>
    </r>
  </si>
  <si>
    <r>
      <rPr>
        <sz val="8"/>
        <rFont val="Droid Sans"/>
        <family val="0"/>
        <charset val="1"/>
      </rPr>
      <t xml:space="preserve">(*´</t>
    </r>
    <r>
      <rPr>
        <sz val="8"/>
        <rFont val="Noto Sans CJK SC Regular"/>
        <family val="2"/>
      </rPr>
      <t xml:space="preserve">꒳</t>
    </r>
    <r>
      <rPr>
        <sz val="8"/>
        <rFont val="Droid Sans"/>
        <family val="0"/>
        <charset val="1"/>
      </rPr>
      <t xml:space="preserve">`*)</t>
    </r>
  </si>
  <si>
    <r>
      <rPr>
        <sz val="8"/>
        <rFont val="Noto Sans CJK SC Regular"/>
        <family val="2"/>
      </rPr>
      <t xml:space="preserve">ときどき過激なツイート、リツイート流れてくるから注意だよ！ 若干ゃ不健全 </t>
    </r>
    <r>
      <rPr>
        <sz val="8"/>
        <rFont val="Droid Sans"/>
        <family val="0"/>
        <charset val="1"/>
      </rPr>
      <t xml:space="preserve">/</t>
    </r>
    <r>
      <rPr>
        <sz val="8"/>
        <rFont val="Noto Sans CJK SC Regular"/>
        <family val="2"/>
      </rPr>
      <t xml:space="preserve">動物園 水族館 </t>
    </r>
    <r>
      <rPr>
        <sz val="8"/>
        <rFont val="Droid Sans"/>
        <family val="0"/>
        <charset val="1"/>
      </rPr>
      <t xml:space="preserve">/</t>
    </r>
    <r>
      <rPr>
        <sz val="8"/>
        <rFont val="Noto Sans CJK SC Regular"/>
        <family val="2"/>
      </rPr>
      <t xml:space="preserve">けもフレ</t>
    </r>
    <r>
      <rPr>
        <sz val="8"/>
        <rFont val="Droid Sans"/>
        <family val="0"/>
        <charset val="1"/>
      </rPr>
      <t xml:space="preserve">/</t>
    </r>
    <r>
      <rPr>
        <sz val="8"/>
        <rFont val="Noto Sans CJK SC Regular"/>
        <family val="2"/>
      </rPr>
      <t xml:space="preserve">アズレン</t>
    </r>
    <r>
      <rPr>
        <sz val="8"/>
        <rFont val="Droid Sans"/>
        <family val="0"/>
        <charset val="1"/>
      </rPr>
      <t xml:space="preserve">/CB400SF/</t>
    </r>
    <r>
      <rPr>
        <sz val="8"/>
        <rFont val="Noto Sans CJK SC Regular"/>
        <family val="2"/>
      </rPr>
      <t xml:space="preserve">サバゲ</t>
    </r>
  </si>
  <si>
    <t xml:space="preserve">RafaelAngel0812</t>
  </si>
  <si>
    <t xml:space="preserve">CNN: Snap election gamble looks set to pay off for Japan's Shinzo Abe https://t.co/rjDCeBaJS9 https://t.co/2gOo9fgK7h</t>
  </si>
  <si>
    <t xml:space="preserve">Daytona Beach, FL</t>
  </si>
  <si>
    <t xml:space="preserve">My bilingual blog https://t.co/OKNlTNjlNX Mi blog bilingüe</t>
  </si>
  <si>
    <t xml:space="preserve">RT CNN "Snap election gamble looks set to pay off for Japan's Shinzo Abe https://t.co/cPcFyRxjs5 https://t.co/RJvgezrjtm"</t>
  </si>
  <si>
    <t xml:space="preserve">Jake Cornwall</t>
  </si>
  <si>
    <t xml:space="preserve">Snap election gamble looks set to pay off for Japan's Shinzo Abe https://t.co/DutSmrmgBn https://t.co/ce1oGKBGaV</t>
  </si>
  <si>
    <t xml:space="preserve">United Kingdom, London</t>
  </si>
  <si>
    <t xml:space="preserve">Technology freak, Website Developer, Anime lover, teenager, :3</t>
  </si>
  <si>
    <t xml:space="preserve">Electro Edward!</t>
  </si>
  <si>
    <t xml:space="preserve">Snap election gamble looks set to pay off for Japan's Shinzo Abe https://t.co/qeZ7GKIKLp https://t.co/nCZ63IvPZT</t>
  </si>
  <si>
    <t xml:space="preserve">Oklahoma, USA</t>
  </si>
  <si>
    <t xml:space="preserve">He hecho muchas películas... ¿Recuerdas haberme visto en Hulk?</t>
  </si>
  <si>
    <t xml:space="preserve">FG</t>
  </si>
  <si>
    <t xml:space="preserve">Snap election gamble looks set to pay off for Japan's Shinzo Abe https://t.co/dIsRcn1Qkf https://t.co/caauaqMOKq CNN</t>
  </si>
  <si>
    <t xml:space="preserve">The truth may hurt for a little while but a lie hurts forever.</t>
  </si>
  <si>
    <t xml:space="preserve">Raul Gonzales</t>
  </si>
  <si>
    <t xml:space="preserve">Kansas City MO</t>
  </si>
  <si>
    <t xml:space="preserve">I was told there'd be cake.</t>
  </si>
  <si>
    <t xml:space="preserve">suzanne mcdaniel</t>
  </si>
  <si>
    <t xml:space="preserve">CNN : Snap election gamble looks set to pay off for Japan's Shinzo Abe https://t.co/HUsxIemMcO …… https://t.co/tkqt9XjNG0</t>
  </si>
  <si>
    <t xml:space="preserve">i am a #T_Shirt _Designer #Graphics_Designer #Designer #fathersday #mothersday #Trends</t>
  </si>
  <si>
    <t xml:space="preserve">Khalfan Bin Ahmed</t>
  </si>
  <si>
    <t xml:space="preserve">Snap election gamble looks set to pay off for Japan's Shinzo Abe https://t.co/P41T7zlWt6 https://t.co/scv6hhycUP</t>
  </si>
  <si>
    <t xml:space="preserve">United Arab Emirates</t>
  </si>
  <si>
    <t xml:space="preserve">parfois, vous devez vous déconnecter pour rester connecté.</t>
  </si>
  <si>
    <t xml:space="preserve">Peter Davis</t>
  </si>
  <si>
    <t xml:space="preserve">(via https://t.co/NPLd7drR9U ) CNN: Snap election gamble looks set to pay off for Japan's Shinzo Abe … https://t.co/jbrxnZIz3x</t>
  </si>
  <si>
    <t xml:space="preserve">Grand Island NY</t>
  </si>
  <si>
    <t xml:space="preserve">Internet Marketer Extraordinaire, Author, writer, Speaker, Father of 5 Husband of One, Places, Twitter, Facebook, Mobile Marketing You name it I can help you.</t>
  </si>
  <si>
    <t xml:space="preserve">Narrendra Malhotra</t>
  </si>
  <si>
    <t xml:space="preserve">Snap election gamble looks set to pay off for Japan's Shinzo Abe https://t.co/WLUubhbnKW https://t.co/tPvnYo8dJm</t>
  </si>
  <si>
    <t xml:space="preserve">Student | Fan of Narrendra Modhi PM of India | Photography |</t>
  </si>
  <si>
    <t xml:space="preserve">Allen Vollbrecht</t>
  </si>
  <si>
    <t xml:space="preserve">SoCal</t>
  </si>
  <si>
    <t xml:space="preserve">USMC Vet Married 35 Yrs. Father, G-Pa &amp; GG-Pa With Knowledge comes Wisdom, With Wisdom comes the realization, Life is but a Brief Moment in Time. Use it Wisely!</t>
  </si>
  <si>
    <t xml:space="preserve">Ryan Wolfe</t>
  </si>
  <si>
    <t xml:space="preserve">Snap election gamble looks set to pay off for Japan's Shinzo Abe https://t.co/2kfMZXdFQo https://t.co/qtKoWzzvD0</t>
  </si>
  <si>
    <t xml:space="preserve">Miami, FL</t>
  </si>
  <si>
    <t xml:space="preserve">Si quieres twittear, podemos hacerlo de modo científico</t>
  </si>
  <si>
    <t xml:space="preserve">Will Wrobel</t>
  </si>
  <si>
    <t xml:space="preserve">Snap election gamble looks set to pay off for Japan's Shinzo Abe https://t.co/wQPOBJK4U9 https://t.co/8YkFf8l1uY</t>
  </si>
  <si>
    <t xml:space="preserve">Keene, NH</t>
  </si>
  <si>
    <t xml:space="preserve">Photographer. IG: @william.wrobel</t>
  </si>
  <si>
    <t xml:space="preserve">Acimlife</t>
  </si>
  <si>
    <t xml:space="preserve">吳永傑</t>
  </si>
  <si>
    <t xml:space="preserve">CNN: Snap election gamble looks set to pay off for Japan's Shinzo Abe https://t.co/B4aDdx5797 https://t.co/SeDHxJYSfE</t>
  </si>
  <si>
    <t xml:space="preserve">usa</t>
  </si>
  <si>
    <t xml:space="preserve">🤡</t>
  </si>
  <si>
    <t xml:space="preserve">tochybana</t>
  </si>
  <si>
    <t xml:space="preserve">CNN: Snap election gamble looks set to pay off for Japan's Shinzo Abe https://t.co/cPcFyRxjs5 … https://t.co/J3c8fywCjD</t>
  </si>
  <si>
    <t xml:space="preserve">Fausto Enrique Abreu</t>
  </si>
  <si>
    <t xml:space="preserve">Japan’s Young Workers Get a Lift, and Its Leaders Profit: Prime Minister Shinzo Abe stands… https://t.co/WI50M2fenW</t>
  </si>
  <si>
    <t xml:space="preserve">New York, NY</t>
  </si>
  <si>
    <t xml:space="preserve">Fausto is a variant of Faust &amp; its meaning is fortunate, enjoying good luck. Live the Good Life! Catch top news, cigars, scotch, rum, wine &amp; technology updates.</t>
  </si>
  <si>
    <t xml:space="preserve">Brody</t>
  </si>
  <si>
    <t xml:space="preserve">Snap election gamble looks set to pay off for Japan's Shinzo Abe https://t.co/L23LyCH9ts https://t.co/OwrGqG7iut</t>
  </si>
  <si>
    <t xml:space="preserve">los angeles</t>
  </si>
  <si>
    <t xml:space="preserve">Tweet to me what stock, team, or currency you want me to post daily.</t>
  </si>
  <si>
    <t xml:space="preserve">JACKY LEESAN</t>
  </si>
  <si>
    <t xml:space="preserve">Greater Accra, Ghana</t>
  </si>
  <si>
    <t xml:space="preserve">Life-long Learner/ Liberty Fighter/ Blessed/ Fortunate/ Humbly Living &amp; Working in Ghana with Life Motto "Future is Now &amp; Unset"</t>
  </si>
  <si>
    <t xml:space="preserve">🇺🇸Channel1 America</t>
  </si>
  <si>
    <t xml:space="preserve">CNN reports Snap election gamble looks set to pay off for Japan's Shinzo Abe https://t.co/9Q1nnHnTz3 … https://t.co/n5Cxa5mGUZ</t>
  </si>
  <si>
    <t xml:space="preserve">USA</t>
  </si>
  <si>
    <t xml:space="preserve">(JUST THE FACTS) Breaking news across America! News from the most reliable sources! Apart of @channel1network!</t>
  </si>
  <si>
    <t xml:space="preserve">PIPSFINDER.COM</t>
  </si>
  <si>
    <t xml:space="preserve">#PipsHub Breaking: Snap election gamble looks set to pay off for Japan's Shinzo Abe https://t.co/t093emHhRx… https://t.co/ViiWCRrLoZ</t>
  </si>
  <si>
    <t xml:space="preserve">WORDLWIDE</t>
  </si>
  <si>
    <t xml:space="preserve">Making PIPS Made EASY Follow us on IG @PipCoinCash</t>
  </si>
  <si>
    <t xml:space="preserve">相模原のおじさん</t>
  </si>
  <si>
    <t xml:space="preserve">KANAGAWA</t>
  </si>
  <si>
    <r>
      <rPr>
        <sz val="8"/>
        <rFont val="Noto Sans CJK SC Regular"/>
        <family val="2"/>
      </rPr>
      <t xml:space="preserve">心に傷をおったサラリマン </t>
    </r>
    <r>
      <rPr>
        <sz val="8"/>
        <rFont val="Droid Sans"/>
        <family val="0"/>
        <charset val="1"/>
      </rPr>
      <t xml:space="preserve">/ </t>
    </r>
    <r>
      <rPr>
        <sz val="8"/>
        <rFont val="Noto Sans CJK SC Regular"/>
        <family val="2"/>
      </rPr>
      <t xml:space="preserve">好きな単位はデニール </t>
    </r>
    <r>
      <rPr>
        <sz val="8"/>
        <rFont val="Droid Sans"/>
        <family val="0"/>
        <charset val="1"/>
      </rPr>
      <t xml:space="preserve">/ </t>
    </r>
    <r>
      <rPr>
        <sz val="8"/>
        <rFont val="Noto Sans CJK SC Regular"/>
        <family val="2"/>
      </rPr>
      <t xml:space="preserve">尊敬する人はカロザース</t>
    </r>
  </si>
  <si>
    <t xml:space="preserve">Shekhar Mahapatra</t>
  </si>
  <si>
    <t xml:space="preserve">India, World</t>
  </si>
  <si>
    <t xml:space="preserve">Lawyer, enthusiast 🤔...... https://t.co/1OKCvR5qK4 #DeferDeter electronic goods consumption dnt buy unnecessary new electronic till nxt 6-12 months</t>
  </si>
  <si>
    <t xml:space="preserve">IK-PTI✌/PAKISTAN🇵🇰</t>
  </si>
  <si>
    <t xml:space="preserve">erased13026323</t>
  </si>
  <si>
    <t xml:space="preserve">Pakistan</t>
  </si>
  <si>
    <t xml:space="preserve">Love/Respect/Support for @ImranKhanPTI</t>
  </si>
  <si>
    <t xml:space="preserve">mayank</t>
  </si>
  <si>
    <t xml:space="preserve">Japan: Snap election gamble looks set to payoff for Shinzo Abe https://t.co/prx9B8rAzv</t>
  </si>
  <si>
    <t xml:space="preserve">: : Snap election gamble looks set to pay off for Japan's Shinzo Abe https://t.co/XxMtSC070J … https://t.co/F1uhUOFrvN</t>
  </si>
  <si>
    <t xml:space="preserve">Lotraine Hubertus</t>
  </si>
  <si>
    <t xml:space="preserve">Bronx, NY</t>
  </si>
  <si>
    <t xml:space="preserve">study deviant behavior, work in Behavioral Science, also a paid PROFILER, Humanitarian, Rebel CATHOLIC, Animal Lover, Nature lover, Hair Triggered Temper</t>
  </si>
  <si>
    <t xml:space="preserve">DigitalClusterz</t>
  </si>
  <si>
    <t xml:space="preserve">Snap election gamble looks set to pay off for Japan's Shinzo Abe https://t.co/abZdDYiGuT https://t.co/UTanwWCGGT</t>
  </si>
  <si>
    <t xml:space="preserve">Lagos, Nigeria</t>
  </si>
  <si>
    <t xml:space="preserve">Digital Media Marketer,Social Media Analyst, Blogger, Digital Strategist for CashPoint Entertainment Contact : ajayi.ayodele0410@gmail.com +2349092248060</t>
  </si>
  <si>
    <t xml:space="preserve">mcatat beta</t>
  </si>
  <si>
    <t xml:space="preserve">mcatatBeta_bot</t>
  </si>
  <si>
    <t xml:space="preserve">Cefas Lira</t>
  </si>
  <si>
    <t xml:space="preserve">RT CNN "Snap election gamble looks set to pay off for Japan's Shinzo Abe https://t.co/LmM9MR5SCS https://t.co/KKqUNGj5HQ"</t>
  </si>
  <si>
    <t xml:space="preserve">São Bento</t>
  </si>
  <si>
    <t xml:space="preserve">And In That Moment, I Swear We Were Infinite</t>
  </si>
  <si>
    <t xml:space="preserve">FFTroutPoet</t>
  </si>
  <si>
    <t xml:space="preserve">SilverLand</t>
  </si>
  <si>
    <t xml:space="preserve">FX&amp;StockInvestment, BiochemicalR&amp;D, Poem, Picture, Photo, StarGazing, BirdWatching, OutdoorLife(Fly&amp;LureFishing,Camp), MotorcycleTrip(WoodlandPath), HotSpring</t>
  </si>
  <si>
    <t xml:space="preserve">CNN-WORLD NEWS</t>
  </si>
  <si>
    <t xml:space="preserve">RT CNN "Snap election gamble looks set to pay off for Japan's Shinzo Abe https://t.co/IFAsrL01x4 https://t.co/GMshnPx2Qz"</t>
  </si>
  <si>
    <t xml:space="preserve">Enugu, Nigeria</t>
  </si>
  <si>
    <t xml:space="preserve">Latest Global News In One Place...Just Follow and get updated and don't forget to retweet</t>
  </si>
  <si>
    <t xml:space="preserve">Dr. Falke</t>
  </si>
  <si>
    <t xml:space="preserve">ウィーン</t>
  </si>
  <si>
    <t xml:space="preserve">Dr.Falke’s as a cast of Die Fredermaus monologue tweets . And I'm an archaeologists to dig up the old tweets from TL.</t>
  </si>
  <si>
    <t xml:space="preserve">redrider</t>
  </si>
  <si>
    <t xml:space="preserve">Panama City Beach Florida</t>
  </si>
  <si>
    <t xml:space="preserve">Bloomberg Markets</t>
  </si>
  <si>
    <t xml:space="preserve">Polls show Japan's Shinzo Abe is set for a landslide election win on Sunday https://t.co/GuYTFdTzZr https://t.co/qhJked9LIu</t>
  </si>
  <si>
    <t xml:space="preserve">Breaking news and analysis on global financial markets</t>
  </si>
  <si>
    <t xml:space="preserve">Cibeles Capital</t>
  </si>
  <si>
    <t xml:space="preserve">RT markets "Polls show Japan's Shinzo Abe is set for a landslide election win on Sunday https://t.co/3g3Q2WKtUO https://t.co/nmg87ARvMY"</t>
  </si>
  <si>
    <t xml:space="preserve">Mexico</t>
  </si>
  <si>
    <t xml:space="preserve">Cibeles Capital is a financial consulting firm based in Mexico. We specialize in developing and implementing bespoke financial solutions for our clients</t>
  </si>
  <si>
    <t xml:space="preserve">Frederik Engholm</t>
  </si>
  <si>
    <t xml:space="preserve">RT @markets: Polls show Japan's Shinzo Abe is set for a landslide election win on Sunday https://t.co/GuYTFdTzZr https://t.co/qhJked9LIu</t>
  </si>
  <si>
    <t xml:space="preserve">Chefstrateg, Nykredit. Chef for Int. makro &amp; strategi. Twitter om global økonomi, politik og markeder Mobil 23675777</t>
  </si>
  <si>
    <t xml:space="preserve">😠 Angry Trader 💹</t>
  </si>
  <si>
    <t xml:space="preserve">🇦🇺</t>
  </si>
  <si>
    <t xml:space="preserve">All tweets constitute legal advice and you should do everything I say to the tiniest detail. Day trader on $USDJPY &amp; tweets about the Yen/Japan. 😤</t>
  </si>
  <si>
    <t xml:space="preserve">Widener Money Club</t>
  </si>
  <si>
    <t xml:space="preserve">Polls show Japan's Shinzo Abe is set for a landslide election win on Sunday https://t.co/1XJdCZx1mC https://t.co/2EBE26P7ZK</t>
  </si>
  <si>
    <t xml:space="preserve">Chester, PA</t>
  </si>
  <si>
    <t xml:space="preserve">The Widener Money Club's mission is to further enrich students' academic experience with extracurricular and experiential activities in finance.</t>
  </si>
  <si>
    <t xml:space="preserve">RoundTeam</t>
  </si>
  <si>
    <t xml:space="preserve">Atlanta,Georgia</t>
  </si>
  <si>
    <t xml:space="preserve">#God1st #GitbukkPromo #AlCaponeCigarillos #yakman404 shellz360@gmail.com Music https://t.co/1dewyavTZj PA/GA</t>
  </si>
  <si>
    <t xml:space="preserve">Pierre Barral</t>
  </si>
  <si>
    <t xml:space="preserve">France</t>
  </si>
  <si>
    <t xml:space="preserve">Global-Macro | Eco | Society | Finance &amp; Markets | #globalmacro #centralbanks #markets #technicalanalysis #economics My comments and analysis are my own.</t>
  </si>
  <si>
    <t xml:space="preserve">#PipsHub Boom: Polls show Japan's Shinzo Abe is set for a landslide election win on Sunday …… https://t.co/PCu4lCtBMP</t>
  </si>
  <si>
    <t xml:space="preserve">online biz</t>
  </si>
  <si>
    <t xml:space="preserve">Polls show Japan's Shinzo Abe is set for a landslide election win on Sunday https://t.co/llxaxvvwY8 https://t.co/TbOKThPnHQ</t>
  </si>
  <si>
    <t xml:space="preserve">Stuff that interests me.. Crypto activist, social media enthusiast.</t>
  </si>
  <si>
    <r>
      <rPr>
        <sz val="8"/>
        <rFont val="Droid Sans"/>
        <family val="0"/>
        <charset val="1"/>
      </rPr>
      <t xml:space="preserve">Jittoku </t>
    </r>
    <r>
      <rPr>
        <sz val="8"/>
        <rFont val="Noto Sans CJK SC Regular"/>
        <family val="2"/>
      </rPr>
      <t xml:space="preserve">拾得</t>
    </r>
  </si>
  <si>
    <t xml:space="preserve">Japan</t>
  </si>
  <si>
    <r>
      <rPr>
        <sz val="8"/>
        <rFont val="Droid Sans"/>
        <family val="0"/>
        <charset val="1"/>
      </rPr>
      <t xml:space="preserve">Nikkei futures and options.Ketogenic Diet, Heavy metal, Classic music, Moi dix Mois, Versailles, Kaya. male.</t>
    </r>
    <r>
      <rPr>
        <sz val="8"/>
        <rFont val="Noto Sans CJK SC Regular"/>
        <family val="2"/>
      </rPr>
      <t xml:space="preserve">糖質ゼロ。</t>
    </r>
  </si>
  <si>
    <t xml:space="preserve">Rafa Carranza.</t>
  </si>
  <si>
    <t xml:space="preserve">Snap election gamble looks set to pay off for Japan's Shinzo Abe https://t.co/yBM2izYy11 https://t.co/N03AbHS6WY</t>
  </si>
  <si>
    <t xml:space="preserve">El Salvador</t>
  </si>
  <si>
    <t xml:space="preserve">El Pueblo debe pensar su próximo voto , elegir mal jamás nos traerá el bien .</t>
  </si>
  <si>
    <t xml:space="preserve">Pat Hahn</t>
  </si>
  <si>
    <t xml:space="preserve">Two degrees. Raised Catholic born in Midwest been in California since 1986 Lived. In Australia for 3 years Free thinker</t>
  </si>
  <si>
    <t xml:space="preserve">Timmy O' Toole</t>
  </si>
  <si>
    <t xml:space="preserve">Jermaine Soul Busby</t>
  </si>
  <si>
    <t xml:space="preserve">Benin</t>
  </si>
  <si>
    <t xml:space="preserve">A Nigga With Ambition... J. Busby</t>
  </si>
  <si>
    <t xml:space="preserve">NYTimes Tech</t>
  </si>
  <si>
    <t xml:space="preserve">Japan's economic prospects are slowly improving. Does Prime Minister Shinzo Abe deserve the credit? https://t.co/Z45Y2BAUT5</t>
  </si>
  <si>
    <t xml:space="preserve">San Francisco, CA</t>
  </si>
  <si>
    <t xml:space="preserve">Tech news and analysis from The New York Times. Banner photo by Jason Henry.</t>
  </si>
  <si>
    <t xml:space="preserve">saki</t>
  </si>
  <si>
    <t xml:space="preserve">かまうな</t>
  </si>
  <si>
    <t xml:space="preserve">MSD Tech News</t>
  </si>
  <si>
    <t xml:space="preserve">Japan's economic prospects are slowly improving. Does Prime Minister Shinzo Abe deserve the credit? https://t.co/q8exYVMaI9</t>
  </si>
  <si>
    <t xml:space="preserve">Fareham, Hampshire</t>
  </si>
  <si>
    <t xml:space="preserve">The home of technology news, brought to you by @MaX_MSD, @MaXSaxeDesign &amp; @MSDTechBlog Twitter bot: @MSDHawk https://t.co/hjdHAYTzrU</t>
  </si>
  <si>
    <t xml:space="preserve">Tabish Sayed</t>
  </si>
  <si>
    <t xml:space="preserve">Japan's economic prospects are slowly improving. Does Prime Minister Shinzo Abe deserve the credit? https://t.co/RTkkinIxFg</t>
  </si>
  <si>
    <t xml:space="preserve">मुंबई, भारत</t>
  </si>
  <si>
    <t xml:space="preserve">#engineer #software #technology #IT #business #planning</t>
  </si>
  <si>
    <t xml:space="preserve">Raymond P Rangel</t>
  </si>
  <si>
    <t xml:space="preserve">Texas, USA</t>
  </si>
  <si>
    <t xml:space="preserve">The World is against me. It wouldn’t be fair otherwise.</t>
  </si>
  <si>
    <t xml:space="preserve">CFD Handel NL</t>
  </si>
  <si>
    <t xml:space="preserve">Nederland</t>
  </si>
  <si>
    <t xml:space="preserve">ContractForDifference.nl is een informatieve Nederlandse site over de handel in CFD's. Ontdek ook hoe je geld kunt verdienen door slim te handelen in CFD's!</t>
  </si>
  <si>
    <t xml:space="preserve">wasantha udayasiri</t>
  </si>
  <si>
    <t xml:space="preserve">Rexcharles Blog</t>
  </si>
  <si>
    <t xml:space="preserve">Enugu,Nigeria,Africa</t>
  </si>
  <si>
    <t xml:space="preserve">FOLLOW AND RETWEET. Rexcharlesblog publishes CNN, BBC latest News, World News. Local News. Interesting Facts. Stories. Funny Posts and More.....!!!</t>
  </si>
  <si>
    <t xml:space="preserve">Werner</t>
  </si>
  <si>
    <t xml:space="preserve">Defending Daedalus. Passionality curious. Whats the answer to The Big Question? The Seeker will find the Truth.</t>
  </si>
  <si>
    <t xml:space="preserve">NYT Media</t>
  </si>
  <si>
    <t xml:space="preserve">Japan's economic prospects are slowly improving. Does Prime Minister Shinzo Abe deserve the credit? https://t.co/NDMUnYRSyi</t>
  </si>
  <si>
    <t xml:space="preserve">Links to breaking news, commentary and analysis about the media and advertising industries by The New York Times.</t>
  </si>
  <si>
    <t xml:space="preserve">Peter Burns</t>
  </si>
  <si>
    <t xml:space="preserve">Mobile Web (PB2)</t>
  </si>
  <si>
    <t xml:space="preserve">Out of Nowhere</t>
  </si>
  <si>
    <t xml:space="preserve">Sharing Market commentary &amp; Technical Analysis. Position Trader. Trend Follower. #Trading #Economics #Stocks #Forex. RT/Tweets = opinions not advice</t>
  </si>
  <si>
    <t xml:space="preserve">#RT @CNN: Snap election gamble looks set to pay off for Japan's Shinzo Abe https://t.co/IFAsrL01x4 https://t.co/GMshnPx2Qz</t>
  </si>
  <si>
    <t xml:space="preserve">pendulum5884</t>
  </si>
  <si>
    <t xml:space="preserve">New York Times World</t>
  </si>
  <si>
    <t xml:space="preserve">Does Prime Minister Shinzo Abe deserve the credit? https://t.co/PARf9aVfNa</t>
  </si>
  <si>
    <t xml:space="preserve">World news from The New York Times. Follow our journalists here: https://t.co/dZjTQkxoyM</t>
  </si>
  <si>
    <t xml:space="preserve">Laila Cakes</t>
  </si>
  <si>
    <t xml:space="preserve">RT @nytimesworld: Does Prime Minister Shinzo Abe deserve the credit? https://t.co/PARf9aVfNa</t>
  </si>
  <si>
    <t xml:space="preserve">kota kinabalu sabah malaysia </t>
  </si>
  <si>
    <t xml:space="preserve">this my second account twitter laila andiny nurdin..metting with me in my Facebook account laila cakes and andiny nurdin ...sabah Malaysia</t>
  </si>
  <si>
    <t xml:space="preserve">Grigor Gevorgyan</t>
  </si>
  <si>
    <t xml:space="preserve">Armenia</t>
  </si>
  <si>
    <t xml:space="preserve">Journalist, KentronaTV , News,</t>
  </si>
  <si>
    <t xml:space="preserve">Ar Robin  ✈</t>
  </si>
  <si>
    <t xml:space="preserve">nytimesworld: Does Prime Minister Shinzo Abe deserve the credit? https://t.co/8xb4hvFJCA #arrobin</t>
  </si>
  <si>
    <t xml:space="preserve">If you love traveling ✈ then follow me for travel news (around the world)</t>
  </si>
  <si>
    <t xml:space="preserve">Brad</t>
  </si>
  <si>
    <t xml:space="preserve">geo kalp</t>
  </si>
  <si>
    <t xml:space="preserve">ΔΕΟΠΣ / MSc in Finance</t>
  </si>
  <si>
    <t xml:space="preserve">Does Prime Minister Shinzo Abe deserve the credit? https://t.co/Cl7n6ahXzd</t>
  </si>
  <si>
    <t xml:space="preserve">Bert Egbe</t>
  </si>
  <si>
    <t xml:space="preserve">Kharkiv,Ukraine</t>
  </si>
  <si>
    <t xml:space="preserve">Political Analyst, Author Wannabe, Fitness Enthusiast, Film Critic, Image Consultant, Life Coach, Citizen Journalist and #ACK Publicity Secretary</t>
  </si>
  <si>
    <t xml:space="preserve">Srbija Evropa</t>
  </si>
  <si>
    <t xml:space="preserve">Polls show Japan's Shinzo Abe is set for a landslide election win on Sunday https://t.co/LJQ2aQLmZR</t>
  </si>
  <si>
    <t xml:space="preserve">Иной мир. Drugi svet.</t>
  </si>
  <si>
    <t xml:space="preserve">The Truth Is Out There . Истина где-то там. Ne veruj nikome. Не доверять никому. Želim da verujem. I want to believe</t>
  </si>
  <si>
    <t xml:space="preserve">More Japanese workers find better jobs with better pay. Does Prime Minister Shinzo Abe deserve the credit? https://t.co/kYuwWJAfID</t>
  </si>
  <si>
    <t xml:space="preserve">(((JCC-1701-D)))</t>
  </si>
  <si>
    <t xml:space="preserve">RT @nytimesworld: More Japanese workers find better jobs with better pay. Does Prime Minister Shinzo Abe deserve the credit? https://t.co/k…</t>
  </si>
  <si>
    <t xml:space="preserve">Part PoliSci/band/computer/Japan/disaster nerd, part sorority sister. I think way too hard about random stuff. San Diego native, #Aztec4Life. Tweets are my own.</t>
  </si>
  <si>
    <t xml:space="preserve">Glenn Quagmire ☣</t>
  </si>
  <si>
    <t xml:space="preserve">CNN Latest: Debt, old age, stagnation: Japan's economy faces huge challenges: Shinzo Abe is… https://t.co/VcjJcP6uer</t>
  </si>
  <si>
    <t xml:space="preserve">Miami</t>
  </si>
  <si>
    <t xml:space="preserve">First there will be anarchy, then there will be me!</t>
  </si>
  <si>
    <t xml:space="preserve">(((TRUTH_TWEETERS)))</t>
  </si>
  <si>
    <t xml:space="preserve">IF YOU TELL THE TRUTH YOU DON'T HAVE TO REMEMBER ANYTHING. ~ MARK TWAIN ~HONESTY IS EVERYTHING~</t>
  </si>
  <si>
    <t xml:space="preserve">Yokotin</t>
  </si>
  <si>
    <t xml:space="preserve">Bang-na,Bang-cock Tie-land</t>
  </si>
  <si>
    <t xml:space="preserve">If the fool would persist in his folly he would become wise</t>
  </si>
  <si>
    <t xml:space="preserve">More Japanese workers find better jobs with better pay. Does Prime Minister Shinzo Abe deserve the credit? https://t.co/QnqDeDkd7R</t>
  </si>
  <si>
    <t xml:space="preserve">Antonino Mallaci B.</t>
  </si>
  <si>
    <t xml:space="preserve">Global markets intern at Amplify Trading. Economics with Finance student</t>
  </si>
  <si>
    <t xml:space="preserve">夢見るトトロ</t>
  </si>
  <si>
    <t xml:space="preserve">トトロが大好きです。トトロは、美しく純粋な心を持っている人にしか見えないそうです。</t>
  </si>
  <si>
    <r>
      <rPr>
        <sz val="8"/>
        <rFont val="Droid Sans"/>
        <family val="0"/>
        <charset val="1"/>
      </rPr>
      <t xml:space="preserve">_( :3</t>
    </r>
    <r>
      <rPr>
        <sz val="8"/>
        <rFont val="Noto Sans CJK SC Regular"/>
        <family val="2"/>
      </rPr>
      <t xml:space="preserve">」∠</t>
    </r>
    <r>
      <rPr>
        <sz val="8"/>
        <rFont val="Droid Sans"/>
        <family val="0"/>
        <charset val="1"/>
      </rPr>
      <t xml:space="preserve">)_bot</t>
    </r>
  </si>
  <si>
    <t xml:space="preserve">"Debt, old age, stagnation: Japan's economy faces huge challenges"Shinzo Abe is betting Japan's economy is in good… https://t.co/MZobrmoo7I</t>
  </si>
  <si>
    <t xml:space="preserve">...</t>
  </si>
  <si>
    <t xml:space="preserve">Tian_A1 (Thierry)</t>
  </si>
  <si>
    <t xml:space="preserve">#Japan election : shinzo #Abe's #Economy faces #Huge - #Cnn #Money by #Daniel shane atcnnmoney october 20, 2017: https://t.co/v6ZqrRVJXu</t>
  </si>
  <si>
    <t xml:space="preserve">Arduino</t>
  </si>
  <si>
    <t xml:space="preserve">Arcachon, France</t>
  </si>
  <si>
    <t xml:space="preserve">| The best way to predict your future is to create it #AbLincoln | 47 years in #job Search #Bdx #programming #developers #unemployed #handicap #poor #author</t>
  </si>
  <si>
    <t xml:space="preserve">DealBook</t>
  </si>
  <si>
    <t xml:space="preserve">Japan's economic prospects are slowly improving. Does Prime Minister Shinzo Abe deserve the credit? https://t.co/lshgPxYQ9J</t>
  </si>
  <si>
    <t xml:space="preserve">News from The New York Times about deals and those who make and break them.</t>
  </si>
  <si>
    <t xml:space="preserve">The Briefing Room</t>
  </si>
  <si>
    <t xml:space="preserve">DEALBOOK: Japan's economic prospects are slowly improving. Does Prime Minister Shinzo Abe deserve the credit? https://t.co/1CUcSrVkFC</t>
  </si>
  <si>
    <t xml:space="preserve">Welcome to The Briefing Room News App. See both sides and our App (New Version!) at: https://t.co/5ophkKrnVM We'll see you there.</t>
  </si>
  <si>
    <r>
      <rPr>
        <sz val="8"/>
        <rFont val="Noto Sans CJK SC Regular"/>
        <family val="2"/>
      </rPr>
      <t xml:space="preserve">ぱらみり（準軍事組織＆</t>
    </r>
    <r>
      <rPr>
        <sz val="8"/>
        <rFont val="Droid Sans"/>
        <family val="0"/>
        <charset val="1"/>
      </rPr>
      <t xml:space="preserve">LE</t>
    </r>
    <r>
      <rPr>
        <sz val="8"/>
        <rFont val="Noto Sans CJK SC Regular"/>
        <family val="2"/>
      </rPr>
      <t xml:space="preserve">情報収集アカ）</t>
    </r>
  </si>
  <si>
    <t xml:space="preserve">JAPARI PARK GUARD HEADQUARTERS</t>
  </si>
  <si>
    <r>
      <rPr>
        <sz val="8"/>
        <rFont val="Noto Sans CJK SC Regular"/>
        <family val="2"/>
      </rPr>
      <t xml:space="preserve">警 告 </t>
    </r>
    <r>
      <rPr>
        <sz val="8"/>
        <rFont val="Droid Sans"/>
        <family val="0"/>
        <charset val="1"/>
      </rPr>
      <t xml:space="preserve">KDKW</t>
    </r>
    <r>
      <rPr>
        <sz val="8"/>
        <rFont val="Noto Sans CJK SC Regular"/>
        <family val="2"/>
      </rPr>
      <t xml:space="preserve">の許可なくパークに立ち入ることは契約違反である。パークにいる間は、すべてのフレンズは身体及び創作物の捜索を受けるかもしれない。不法な立入りは</t>
    </r>
    <r>
      <rPr>
        <sz val="8"/>
        <rFont val="Droid Sans"/>
        <family val="0"/>
        <charset val="1"/>
      </rPr>
      <t xml:space="preserve">KDKW</t>
    </r>
    <r>
      <rPr>
        <sz val="8"/>
        <rFont val="Noto Sans CJK SC Regular"/>
        <family val="2"/>
      </rPr>
      <t xml:space="preserve">によって罰せられる。パーク内は軍用犬のフレンズによって巡回されている。</t>
    </r>
    <r>
      <rPr>
        <sz val="8"/>
        <rFont val="Droid Sans"/>
        <family val="0"/>
        <charset val="1"/>
      </rPr>
      <t xml:space="preserve">https://t.co/oS67YewbDp</t>
    </r>
  </si>
  <si>
    <t xml:space="preserve">TradeWithSuper</t>
  </si>
  <si>
    <t xml:space="preserve">Japan’s Young Workers Get a Lift, and Its Leaders Profit - Prime Minister Shinzo Abe stands to benefit in Sunda... https://t.co/PRXPNoahGQ</t>
  </si>
  <si>
    <t xml:space="preserve">The Hunt for Winners</t>
  </si>
  <si>
    <t xml:space="preserve">The Twitter handle 4 @TopFiveTraders that follows @paulscolardi and his other Twitter feed @super_trades - this is not investment advice and we are not brokers</t>
  </si>
  <si>
    <t xml:space="preserve">thestoxlab</t>
  </si>
  <si>
    <t xml:space="preserve">Japan’s Young Workers Get a Lift, and Its Leaders Profit - Prime Minister Shinzo Abe stands to benefit in Sunda... https://t.co/sbD3PphtvW</t>
  </si>
  <si>
    <t xml:space="preserve">The Lab</t>
  </si>
  <si>
    <t xml:space="preserve">We are not investment advisors - seek advice before buying or selling - cool trading ideas https://t.co/WOym8AwsTd</t>
  </si>
  <si>
    <t xml:space="preserve">BullFan2016</t>
  </si>
  <si>
    <t xml:space="preserve">RT dealbook "Japan's economic prospects are slowly improving. Does Prime Minister Shinzo Abe deserve the credit? https://t.co/Vveu2hczn2"</t>
  </si>
  <si>
    <t xml:space="preserve">Wall Street</t>
  </si>
  <si>
    <t xml:space="preserve">We love the team @bullsonwallst - @Kunal00 and @pauljsingh know their stuff - this account is for entertainment (not advice)</t>
  </si>
  <si>
    <t xml:space="preserve">BloombergQuint</t>
  </si>
  <si>
    <t xml:space="preserve">Japanese Prime Minister Shinzo Abe’s early election gamble looks like it will pay off. https://t.co/99ZeZ9HXL8 https://t.co/J9uuzafErW</t>
  </si>
  <si>
    <t xml:space="preserve">#India’s premier multi-platform #business and financial #news company.</t>
  </si>
  <si>
    <t xml:space="preserve">The New York Times</t>
  </si>
  <si>
    <t xml:space="preserve">Japan’s economic prospects are slowly improving. Does Prime Minister Shinzo Abe deserve the credit? https://t.co/s98fY82i0B</t>
  </si>
  <si>
    <t xml:space="preserve">New York City</t>
  </si>
  <si>
    <t xml:space="preserve">Where the conversation begins. Follow for breaking news, special reports, RTs of our journalists and more from https://t.co/YapuoqX0HS.</t>
  </si>
  <si>
    <t xml:space="preserve">noticias  venezuela</t>
  </si>
  <si>
    <t xml:space="preserve">RT: @nytimes :Japan’s economic prospects are slowly improving. Does Prime Minister Shinzo Abe deserve the credit? https://t.co/DpgnIF1P4F</t>
  </si>
  <si>
    <t xml:space="preserve">notiven</t>
  </si>
  <si>
    <t xml:space="preserve">venezuela</t>
  </si>
  <si>
    <t xml:space="preserve">notiven . com Venezuelan news curator and agg regator Posteo mensajes de los twiteros que sigo no sus RT. Sígame también por http://t.co/KblmmiUuW2</t>
  </si>
  <si>
    <t xml:space="preserve">Anik Adamali</t>
  </si>
  <si>
    <t xml:space="preserve">RT @nytimes: Japan’s economic prospects are slowly improving. Does Prime Minister Shinzo Abe deserve the credit? https://t.co/s98fY82i0B</t>
  </si>
  <si>
    <t xml:space="preserve">nairobi, kenya</t>
  </si>
  <si>
    <t xml:space="preserve">too young to know about forever</t>
  </si>
  <si>
    <t xml:space="preserve">OK</t>
  </si>
  <si>
    <t xml:space="preserve">東京</t>
  </si>
  <si>
    <t xml:space="preserve">映画館によくいます。</t>
  </si>
  <si>
    <t xml:space="preserve">Deduped</t>
  </si>
  <si>
    <t xml:space="preserve">Japan’s economic prospects are slowly improving. Does Prime Minister Shinzo Abe deserve the credit? https://t.co/u82DCKZ2rQ</t>
  </si>
  <si>
    <r>
      <rPr>
        <sz val="8"/>
        <rFont val="Noto Sans CJK SC Regular"/>
        <family val="2"/>
      </rPr>
      <t xml:space="preserve">ちゅわん</t>
    </r>
    <r>
      <rPr>
        <sz val="8"/>
        <rFont val="Droid Sans"/>
        <family val="0"/>
        <charset val="1"/>
      </rPr>
      <t xml:space="preserve">@</t>
    </r>
    <r>
      <rPr>
        <sz val="8"/>
        <rFont val="Noto Sans CJK SC Regular"/>
        <family val="2"/>
      </rPr>
      <t xml:space="preserve">全日</t>
    </r>
    <r>
      <rPr>
        <sz val="8"/>
        <rFont val="Droid Sans"/>
        <family val="0"/>
        <charset val="1"/>
      </rPr>
      <t xml:space="preserve">COP🇸🇩</t>
    </r>
  </si>
  <si>
    <r>
      <rPr>
        <sz val="8"/>
        <rFont val="Noto Sans CJK SC Regular"/>
        <family val="2"/>
      </rPr>
      <t xml:space="preserve">■東京外国語大学</t>
    </r>
    <r>
      <rPr>
        <sz val="8"/>
        <rFont val="Droid Sans"/>
        <family val="0"/>
        <charset val="1"/>
      </rPr>
      <t xml:space="preserve">2</t>
    </r>
    <r>
      <rPr>
        <sz val="8"/>
        <rFont val="Noto Sans CJK SC Regular"/>
        <family val="2"/>
      </rPr>
      <t xml:space="preserve">年</t>
    </r>
    <r>
      <rPr>
        <sz val="8"/>
        <rFont val="Droid Sans"/>
        <family val="0"/>
        <charset val="1"/>
      </rPr>
      <t xml:space="preserve">/</t>
    </r>
    <r>
      <rPr>
        <sz val="8"/>
        <rFont val="Noto Sans CJK SC Regular"/>
        <family val="2"/>
      </rPr>
      <t xml:space="preserve">言語文化学部英語専攻</t>
    </r>
    <r>
      <rPr>
        <sz val="8"/>
        <rFont val="Droid Sans"/>
        <family val="0"/>
        <charset val="1"/>
      </rPr>
      <t xml:space="preserve">/</t>
    </r>
    <r>
      <rPr>
        <sz val="8"/>
        <rFont val="Noto Sans CJK SC Regular"/>
        <family val="2"/>
      </rPr>
      <t xml:space="preserve">北アメリカ地域■模擬国連国立研究会第</t>
    </r>
    <r>
      <rPr>
        <sz val="8"/>
        <rFont val="Droid Sans"/>
        <family val="0"/>
        <charset val="1"/>
      </rPr>
      <t xml:space="preserve">35</t>
    </r>
    <r>
      <rPr>
        <sz val="8"/>
        <rFont val="Noto Sans CJK SC Regular"/>
        <family val="2"/>
      </rPr>
      <t xml:space="preserve">期副会長■五研英語会議ディレク ■関西大会海洋法会議</t>
    </r>
    <r>
      <rPr>
        <sz val="8"/>
        <rFont val="Droid Sans"/>
        <family val="0"/>
        <charset val="1"/>
      </rPr>
      <t xml:space="preserve">Indonesia🇮🇩→</t>
    </r>
    <r>
      <rPr>
        <sz val="8"/>
        <rFont val="Noto Sans CJK SC Regular"/>
        <family val="2"/>
      </rPr>
      <t xml:space="preserve">全日</t>
    </r>
    <r>
      <rPr>
        <sz val="8"/>
        <rFont val="Droid Sans"/>
        <family val="0"/>
        <charset val="1"/>
      </rPr>
      <t xml:space="preserve">COP🇸🇩■</t>
    </r>
    <r>
      <rPr>
        <sz val="8"/>
        <rFont val="Noto Sans CJK SC Regular"/>
        <family val="2"/>
      </rPr>
      <t xml:space="preserve">すみっコぐらしとお茶が好き。えりちと梨子推し＼＼</t>
    </r>
    <r>
      <rPr>
        <sz val="8"/>
        <rFont val="Droid Sans"/>
        <family val="0"/>
        <charset val="1"/>
      </rPr>
      <t xml:space="preserve">\\٩( 'ω' )و //</t>
    </r>
    <r>
      <rPr>
        <sz val="8"/>
        <rFont val="Noto Sans CJK SC Regular"/>
        <family val="2"/>
      </rPr>
      <t xml:space="preserve">／／</t>
    </r>
  </si>
  <si>
    <t xml:space="preserve">Japan’s economic prospects are slowly improving. Does Prime Minister Shinzo Abe deserve the credit? https://t.co/QpEUuDeurc</t>
  </si>
  <si>
    <t xml:space="preserve">nathi sukazi</t>
  </si>
  <si>
    <t xml:space="preserve">Hillcrest, South Africa</t>
  </si>
  <si>
    <t xml:space="preserve">A journalist, communicator, and socio-economic as well as political development activist. Africa will reclaim her past glory.</t>
  </si>
  <si>
    <t xml:space="preserve">Kingmakerspotlight</t>
  </si>
  <si>
    <r>
      <rPr>
        <sz val="8"/>
        <rFont val="Noto Sans CJK SC Regular"/>
        <family val="2"/>
      </rPr>
      <t xml:space="preserve">세상이 나를 속일 지라도 나는 오늘에 충실하리라</t>
    </r>
    <r>
      <rPr>
        <sz val="8"/>
        <rFont val="Droid Sans"/>
        <family val="0"/>
        <charset val="1"/>
      </rPr>
      <t xml:space="preserve">..</t>
    </r>
  </si>
  <si>
    <t xml:space="preserve">Spencer Reid</t>
  </si>
  <si>
    <t xml:space="preserve">Japan’s economic prospects are slowly improving. Does Prime Minister Shinzo Abe deserve the credit? https://t.co/cyE0UKamjW</t>
  </si>
  <si>
    <t xml:space="preserve">Washington, DC</t>
  </si>
  <si>
    <t xml:space="preserve">Resuelvo misterios ... ¿Y tú?</t>
  </si>
  <si>
    <t xml:space="preserve">Mary Davies</t>
  </si>
  <si>
    <t xml:space="preserve">Birmingham, England</t>
  </si>
  <si>
    <t xml:space="preserve">Daily Tucsonan</t>
  </si>
  <si>
    <t xml:space="preserve">Guide to News, Info &amp; People</t>
  </si>
  <si>
    <t xml:space="preserve">Lil Pepper 🌹</t>
  </si>
  <si>
    <t xml:space="preserve">.</t>
  </si>
  <si>
    <t xml:space="preserve">RT: nytimes :Japan’s economic prospects are slowly improving. Does Prime Minister Shinzo Abe deserve the credit? https://t.co/kjrG1yMJqF</t>
  </si>
  <si>
    <t xml:space="preserve">taepan(H)</t>
  </si>
  <si>
    <t xml:space="preserve">RT: nytimes :Japan’s economic prospects are slowly improving. Does Prime Minister Shinzo Abe deserve the credit? https://t.co/KNCJNP5JWZ</t>
  </si>
  <si>
    <t xml:space="preserve">jeenekim's♡</t>
  </si>
  <si>
    <t xml:space="preserve">( RP ) Kim Taehyung-1995-from @BTS_twt</t>
  </si>
  <si>
    <t xml:space="preserve">NYTimes Once</t>
  </si>
  <si>
    <t xml:space="preserve">node-rss-tweet</t>
  </si>
  <si>
    <t xml:space="preserve">Twitter bot retweeting news stories just once. Full source and other feeds available on GitHub page. Not affiliated with The New York Times.</t>
  </si>
  <si>
    <t xml:space="preserve">Steady Drip</t>
  </si>
  <si>
    <t xml:space="preserve">steadydrip</t>
  </si>
  <si>
    <t xml:space="preserve">A filter for those twitter accounts which can't seem to stop retweeting themselves</t>
  </si>
  <si>
    <t xml:space="preserve">SHP</t>
  </si>
  <si>
    <t xml:space="preserve">Japan’s economic prospects are slowly improving. Does Prime Minister Shinzo Abe deserve the credit? https://t.co/KuOitNAF7z</t>
  </si>
  <si>
    <t xml:space="preserve">Senlac Hill Publishing: print and digital books, magazines, games, including @TheNaughtyCook @FearlessGeorge and @Rousseau_Media</t>
  </si>
  <si>
    <t xml:space="preserve">Dibakar</t>
  </si>
  <si>
    <t xml:space="preserve">#TheNewYorkTimes 👉 Japan’s economic prospects are slowly improving. Does Prime Minister Shinzo Abe deserve the cre… https://t.co/nPZHITVPqD</t>
  </si>
  <si>
    <t xml:space="preserve">Tbilisi, Georgia</t>
  </si>
  <si>
    <t xml:space="preserve">An Indian🇮🇳, Real Patriot, Commentator. Fan Of Heavy Metal Band(SOD)🎻. I Tweet On Politics, World News, NationalSecurity, Entertainment</t>
  </si>
  <si>
    <t xml:space="preserve">Japan’s economic prospects are slowly improving. Does Prime Minister Shinzo Abe deserve the credit? https://t.co/CsBTNtWAfH</t>
  </si>
  <si>
    <t xml:space="preserve">Social Life In LA</t>
  </si>
  <si>
    <t xml:space="preserve">Japan’s economic prospects are slowly improving. Does Prime Minister Shinzo Abe deserve the credit? https://t.co/vEOxScDO8b</t>
  </si>
  <si>
    <t xml:space="preserve">Los Angeles, CA</t>
  </si>
  <si>
    <t xml:space="preserve">Events, Night Life, Trips, Food, Restaurants, Community Manager and more.</t>
  </si>
  <si>
    <r>
      <rPr>
        <sz val="8"/>
        <rFont val="Droid Sans"/>
        <family val="0"/>
        <charset val="1"/>
      </rPr>
      <t xml:space="preserve">kwon jiyong/</t>
    </r>
    <r>
      <rPr>
        <sz val="8"/>
        <rFont val="Noto Sans CJK SC Regular"/>
        <family val="2"/>
      </rPr>
      <t xml:space="preserve">クラウディン</t>
    </r>
  </si>
  <si>
    <t xml:space="preserve">life sucks. get hope.</t>
  </si>
  <si>
    <t xml:space="preserve">Yvette zoquai</t>
  </si>
  <si>
    <t xml:space="preserve">Committed to truth and a united world in peace</t>
  </si>
  <si>
    <t xml:space="preserve">VanVann</t>
  </si>
  <si>
    <t xml:space="preserve">Wherever SeoJuhyun is</t>
  </si>
  <si>
    <r>
      <rPr>
        <sz val="8"/>
        <rFont val="Droid Sans"/>
        <family val="0"/>
        <charset val="1"/>
      </rPr>
      <t xml:space="preserve">Love, Still </t>
    </r>
    <r>
      <rPr>
        <sz val="8"/>
        <rFont val="Noto Sans CJK SC Regular"/>
        <family val="2"/>
      </rPr>
      <t xml:space="preserve">서주현 ♡</t>
    </r>
  </si>
  <si>
    <t xml:space="preserve">NYT Retweeter</t>
  </si>
  <si>
    <t xml:space="preserve">A bot that retweets each article from @nytimes only once, for people who read their full feeds and don't like repetition. Made by @teiladnam.</t>
  </si>
  <si>
    <t xml:space="preserve">なんでも　かんでも</t>
  </si>
  <si>
    <t xml:space="preserve">徳島県</t>
  </si>
  <si>
    <t xml:space="preserve">Humberto Peixoto</t>
  </si>
  <si>
    <t xml:space="preserve">RT biblewords3: Japan’s economic prospects are slowly improving. Does Prime Minister Shinzo Abe deserve the credit? https://t.co/utnNJNY0yl</t>
  </si>
  <si>
    <t xml:space="preserve">Santos_sp</t>
  </si>
  <si>
    <t xml:space="preserve">Jinyoung</t>
  </si>
  <si>
    <t xml:space="preserve">RT: nytimes :Japan’s economic prospects are slowly improving. Does Prime Minister Shinzo Abe deserve the credit? https://t.co/c9Z6gWFz0V</t>
  </si>
  <si>
    <t xml:space="preserve">pasang ifttt dulu bentar</t>
  </si>
  <si>
    <t xml:space="preserve">Pastor Keyworth</t>
  </si>
  <si>
    <t xml:space="preserve">Japan’s economic prospects are slowly improving. Does Prime Minister Shinzo Abe deserve the credit? https://t.co/3pWxoSkGns</t>
  </si>
  <si>
    <t xml:space="preserve">rori pierpont</t>
  </si>
  <si>
    <t xml:space="preserve">nytimes: Japan’s economic prospects are slowly improving. Does Prime Minister Shinzo Abe deserve the credit? https://t.co/baIdt8G930</t>
  </si>
  <si>
    <t xml:space="preserve">Kan Kimura (on DL)</t>
  </si>
  <si>
    <t xml:space="preserve">Somewhere in the world</t>
  </si>
  <si>
    <r>
      <rPr>
        <sz val="8"/>
        <rFont val="Noto Sans CJK SC Regular"/>
        <family val="2"/>
      </rPr>
      <t xml:space="preserve">比較政治学・朝鮮半島地域研究（詳しくはホームページをご参照のこと）。このアカウントでの呟きの大半は、日々の生活から生まれる愚痴でしかありませんので、お間違いなきようにお願いします。勿論、所属機関その他のいかなる公的見解を示すものでも、ありません。</t>
    </r>
    <r>
      <rPr>
        <sz val="8"/>
        <rFont val="Droid Sans"/>
        <family val="0"/>
        <charset val="1"/>
      </rPr>
      <t xml:space="preserve">RT</t>
    </r>
    <r>
      <rPr>
        <sz val="8"/>
        <rFont val="Noto Sans CJK SC Regular"/>
        <family val="2"/>
      </rPr>
      <t xml:space="preserve">したメッセージは特に注釈がない限り、それを支持する事を意味しません。</t>
    </r>
  </si>
  <si>
    <t xml:space="preserve">Alpesh Patel</t>
  </si>
  <si>
    <t xml:space="preserve">RT @BloombergQuint: Japanese Prime Minister Shinzo Abe’s early election gamble looks like it will pay off. https://t.co/99ZeZ9HXL8 https://…</t>
  </si>
  <si>
    <t xml:space="preserve">Management Consultant, author of the science fiction book 'Future of the Past'</t>
  </si>
  <si>
    <t xml:space="preserve">Yongbin</t>
  </si>
  <si>
    <t xml:space="preserve">RT: nytimes :Japan’s economic prospects are slowly improving. Does Prime Minister Shinzo Abe deserve the credit? https://t.co/SQsJaXGCT4</t>
  </si>
  <si>
    <t xml:space="preserve">Jean-François Musy</t>
  </si>
  <si>
    <t xml:space="preserve">"Japan’s economic prospects are slowly improving. Does Prime Minister Shinzo Abe deserve the credit? https://t.co/e6aGD8ygHT"</t>
  </si>
  <si>
    <t xml:space="preserve">In my head...</t>
  </si>
  <si>
    <t xml:space="preserve">Project Manager &amp; Business: Elite, La Vigie , Cats and Dogs Switzerland , EasyNails manucure express, GetKosmo, SEC, Musha Switzerland, Yumeetmi, soyez-visible</t>
  </si>
  <si>
    <t xml:space="preserve">eloy m. mejia jr</t>
  </si>
  <si>
    <t xml:space="preserve">Brooklyn / NY</t>
  </si>
  <si>
    <t xml:space="preserve">I love video games, comic books, Japanese anime, life &amp; party!!</t>
  </si>
  <si>
    <t xml:space="preserve">THE NEW YORK TIMES: Japan’s economic prospects are slowly improving. Does Prime Minister Shinzo Abe deserve the cr… https://t.co/FfbudLTRdc</t>
  </si>
  <si>
    <t xml:space="preserve">Nicha Thanatchachs</t>
  </si>
  <si>
    <t xml:space="preserve">Bangkok,Thailand</t>
  </si>
  <si>
    <t xml:space="preserve">I'm a woman has inspired my beautiful life and dream like human in this world, easy life,love life,freedom,energy,Inspired,dream, art.</t>
  </si>
  <si>
    <t xml:space="preserve">Noticiero Bolívar</t>
  </si>
  <si>
    <t xml:space="preserve">No envainaré jamás la espada mientras la libertad de mi patria no esté completamente asegurada (Caracas, 2 ene. 1814)</t>
  </si>
  <si>
    <t xml:space="preserve">360MediaX</t>
  </si>
  <si>
    <t xml:space="preserve">Debt, old age, stagnation: Japan's economy faces huge challenges: Shinzo Abe is betting… https://t.co/t9oguNgO6J</t>
  </si>
  <si>
    <t xml:space="preserve">Chicago, IL</t>
  </si>
  <si>
    <t xml:space="preserve">US/World News. See also https://t.co/mD9yIGUTJE</t>
  </si>
  <si>
    <t xml:space="preserve">TRIGGA</t>
  </si>
  <si>
    <t xml:space="preserve">K-Town X Worldwide</t>
  </si>
  <si>
    <t xml:space="preserve">Young CEO Making My Way Up. 6 O's Make A Million. #1500 #Keeler</t>
  </si>
  <si>
    <t xml:space="preserve">柴本寛</t>
  </si>
  <si>
    <t xml:space="preserve">Benjamin Blandin</t>
  </si>
  <si>
    <t xml:space="preserve">Paris</t>
  </si>
  <si>
    <t xml:space="preserve">I am working as a consultant in innovation and curious about all sorts of topics including high tech, geopolitics &amp; international relations and history</t>
  </si>
  <si>
    <t xml:space="preserve">Hiroo Ono</t>
  </si>
  <si>
    <r>
      <rPr>
        <sz val="8"/>
        <rFont val="Noto Sans CJK SC Regular"/>
        <family val="2"/>
      </rPr>
      <t xml:space="preserve">ツイタマ </t>
    </r>
    <r>
      <rPr>
        <sz val="8"/>
        <rFont val="Droid Sans"/>
        <family val="0"/>
        <charset val="1"/>
      </rPr>
      <t xml:space="preserve">for Android</t>
    </r>
  </si>
  <si>
    <t xml:space="preserve">somewhere on the Earth</t>
  </si>
  <si>
    <t xml:space="preserve">rashid al dosari</t>
  </si>
  <si>
    <t xml:space="preserve">I listen to and respect others views and I expect them to do the same, I like political analysis-constructive criticism required</t>
  </si>
  <si>
    <t xml:space="preserve">Shalin Talajia</t>
  </si>
  <si>
    <t xml:space="preserve">Japan election: Shinzo Abe set for victory as opponents bicker https://t.co/PfhZ3mwFdS</t>
  </si>
  <si>
    <t xml:space="preserve">Ahmedabad</t>
  </si>
  <si>
    <t xml:space="preserve">International Marketing Manager at Geofresh #MBA #IOT #Entrepreneur #Startups #Equity #Mutualfunds #Technology #Import #Exports #Football</t>
  </si>
  <si>
    <t xml:space="preserve">Livemint</t>
  </si>
  <si>
    <t xml:space="preserve">Japan election: Shinzo Abe set for victory as opponents bicker https://t.co/PAawsX4cpn</t>
  </si>
  <si>
    <t xml:space="preserve">Breaking news &amp; analyses of Indian and world business, economy &amp; politics from Mint. @livemint, @mint_lounge, @Mint_Opinion and @livemint_m2m are official IDs</t>
  </si>
  <si>
    <t xml:space="preserve">Yash</t>
  </si>
  <si>
    <t xml:space="preserve">Japan election: Shinzo Abe set for victory as opponents bicker</t>
  </si>
  <si>
    <t xml:space="preserve">Yep, that Digital Marketing guy • Freelancer • Content Creator • Cricket Aficionado • Sports Enthusiast • Observer • Thinker • Seeker • Multitasker • Foodie</t>
  </si>
  <si>
    <t xml:space="preserve">Aazar</t>
  </si>
  <si>
    <t xml:space="preserve">RETWEETER_AAZAR</t>
  </si>
  <si>
    <t xml:space="preserve">Earth, Most of the times.</t>
  </si>
  <si>
    <t xml:space="preserve">Pro user @Google &amp; @Twitter, a lil afraid of the people rushing behind my car for an autograph, in coming days #Determined</t>
  </si>
  <si>
    <t xml:space="preserve">Niang</t>
  </si>
  <si>
    <t xml:space="preserve">Barcelona, España</t>
  </si>
  <si>
    <t xml:space="preserve">Asesor Inmobiliario</t>
  </si>
  <si>
    <t xml:space="preserve">kbc</t>
  </si>
  <si>
    <t xml:space="preserve">Japan election: Shinzo Abe set for victory as opponents bicker https://t.co/aDXBqKUxwS</t>
  </si>
  <si>
    <t xml:space="preserve">AllStartups.in</t>
  </si>
  <si>
    <t xml:space="preserve">Japan election: Shinzo Abe set for victory as opponents bicker https://t.co/dOU9AyCeoY https://t.co/KWKdLXHEDG</t>
  </si>
  <si>
    <t xml:space="preserve">New platform coming up..</t>
  </si>
  <si>
    <t xml:space="preserve">Neus</t>
  </si>
  <si>
    <t xml:space="preserve">RaviVisvesvaraPrasad</t>
  </si>
  <si>
    <t xml:space="preserve">Via rvp Ravi VS Prasad - RT livemint "Japan election: Shinzo Abe set for victory as opponents bicker https://t.co/5MhUZwGGaD"</t>
  </si>
  <si>
    <t xml:space="preserve">https://t.co/nExVzlNYQs Consultant - Software, Telecom, InfoTech MSEE, MEngg MatSc Carnegie-Mellon '85, '86; IIT K '82</t>
  </si>
  <si>
    <t xml:space="preserve">IASGurukul</t>
  </si>
  <si>
    <t xml:space="preserve">Japan election: Shinzo Abe set for victory as opponents bicker https://t.co/JQVoxh7jXz</t>
  </si>
  <si>
    <t xml:space="preserve">News in 24 languages. Brainchild of Ankur Shrivastava (https://t.co/36Oepcb4zN)</t>
  </si>
  <si>
    <t xml:space="preserve">News - Murali Kumar</t>
  </si>
  <si>
    <t xml:space="preserve">RT @livemint: Japan election: Shinzo Abe set for victory as opponents bicker https://t.co/PAawsX4cpn</t>
  </si>
  <si>
    <t xml:space="preserve">Tamil Nadu, India</t>
  </si>
  <si>
    <t xml:space="preserve">Latest news updates.... Indian and other Global Stock markets related news and more.</t>
  </si>
  <si>
    <t xml:space="preserve">Stephen James</t>
  </si>
  <si>
    <t xml:space="preserve">Pierre, SD</t>
  </si>
  <si>
    <t xml:space="preserve">#PoliticalScientist #Polyamorous #Metrosexual #Gamer #ZenBuddhist #Nerd #Cook #Satirist #Introvert #sub #Artist #foodie #nightOwl. DM for my SnapChat info!</t>
  </si>
  <si>
    <t xml:space="preserve">意味のない風景</t>
  </si>
  <si>
    <t xml:space="preserve">都内で法律関係のお仕事してます。 四十の手習いにツイッター始めてみました。無言でフォローしたらごめんなさい🙇アカウントの趣旨は模索中です。</t>
  </si>
  <si>
    <t xml:space="preserve">nternet.in</t>
  </si>
  <si>
    <t xml:space="preserve">Japan election: Shinzo Abe set for victory as opponents bicker - https://t.co/9YY18pTnQH https://t.co/JIzINNsomE</t>
  </si>
  <si>
    <t xml:space="preserve">Nternet.in</t>
  </si>
  <si>
    <t xml:space="preserve">Japan election: Shinzo Abe set for victory as opponents bicker https://t.co/hHuzaQN7jB</t>
  </si>
  <si>
    <t xml:space="preserve">MARIA MUÑOZ</t>
  </si>
  <si>
    <t xml:space="preserve">Sumit Kumar</t>
  </si>
  <si>
    <t xml:space="preserve">Japan election: Shinzo Abe set for victory as opponents bicker https://t.co/s2CJA9HacO</t>
  </si>
  <si>
    <t xml:space="preserve">Delhi, India</t>
  </si>
  <si>
    <t xml:space="preserve">Manager - LAP | Volleyball &amp; Cricket lover | Tweets are personal | Social Worker in NGOs | BIT Sindri | IMNU Ahmedabad</t>
  </si>
  <si>
    <t xml:space="preserve">VSJ</t>
  </si>
  <si>
    <t xml:space="preserve">Mumbai</t>
  </si>
  <si>
    <t xml:space="preserve">....</t>
  </si>
  <si>
    <t xml:space="preserve">Dominique Vanpée</t>
  </si>
  <si>
    <t xml:space="preserve">Leuven Belgium</t>
  </si>
  <si>
    <t xml:space="preserve">Own opinion/RT = not endors lib sc inf KM IPR data doc ref mngt publ content context ICT intell arch media learn wisdom strat thesaurus KO heritage hist tourism</t>
  </si>
  <si>
    <t xml:space="preserve">StockViz</t>
  </si>
  <si>
    <t xml:space="preserve">RT @dealbook: Japan's economic prospects are slowly improving. Does Prime Minister Shinzo Abe deserve the credit? https://t.co/lshgPxYQ9J</t>
  </si>
  <si>
    <t xml:space="preserve">StockViz Messager</t>
  </si>
  <si>
    <t xml:space="preserve">Bangalore</t>
  </si>
  <si>
    <t xml:space="preserve">Quantitative Value and Momentum Investing for India</t>
  </si>
  <si>
    <t xml:space="preserve">Japan election: Shinzo Abe set for victory as opponents bicker https://t.co/6HYPFSjrAQ</t>
  </si>
  <si>
    <t xml:space="preserve">YAMANE Toshiaki</t>
  </si>
  <si>
    <t xml:space="preserve">“Japan election: Shinzo Abe's economy faces huge challenges - Oct. 20, 2017” https://t.co/qLRo3QW4Px</t>
  </si>
  <si>
    <t xml:space="preserve">Hatena</t>
  </si>
  <si>
    <t xml:space="preserve">Okinawa, Japan</t>
  </si>
  <si>
    <t xml:space="preserve">みつき</t>
  </si>
  <si>
    <r>
      <rPr>
        <sz val="8"/>
        <rFont val="Noto Sans CJK SC Regular"/>
        <family val="2"/>
      </rPr>
      <t xml:space="preserve">映画、海外ドラマ、声優、飼い猫を溺愛してます♪♡</t>
    </r>
    <r>
      <rPr>
        <sz val="8"/>
        <rFont val="Droid Sans"/>
        <family val="0"/>
        <charset val="1"/>
      </rPr>
      <t xml:space="preserve">(*'ω'*) ♡12/1.2.3 TOKYO COMIC CON♡</t>
    </r>
  </si>
  <si>
    <t xml:space="preserve">Kleine Lucía</t>
  </si>
  <si>
    <t xml:space="preserve">München, Bayern</t>
  </si>
  <si>
    <t xml:space="preserve">松代守弘：仕事募集中</t>
  </si>
  <si>
    <t xml:space="preserve">オブレゴンの旦那のひよこ豆畑</t>
  </si>
  <si>
    <r>
      <rPr>
        <sz val="8"/>
        <rFont val="Noto Sans CJK SC Regular"/>
        <family val="2"/>
      </rPr>
      <t xml:space="preserve">軍事ライター兼写真家の松代守弘です。文章に限らず仕事を募集しています。 賛否無関係になんでも</t>
    </r>
    <r>
      <rPr>
        <sz val="8"/>
        <rFont val="Droid Sans"/>
        <family val="0"/>
        <charset val="1"/>
      </rPr>
      <t xml:space="preserve">RT</t>
    </r>
    <r>
      <rPr>
        <sz val="8"/>
        <rFont val="Noto Sans CJK SC Regular"/>
        <family val="2"/>
      </rPr>
      <t xml:space="preserve">するので、公式</t>
    </r>
    <r>
      <rPr>
        <sz val="8"/>
        <rFont val="Droid Sans"/>
        <family val="0"/>
        <charset val="1"/>
      </rPr>
      <t xml:space="preserve">RT</t>
    </r>
    <r>
      <rPr>
        <sz val="8"/>
        <rFont val="Noto Sans CJK SC Regular"/>
        <family val="2"/>
      </rPr>
      <t xml:space="preserve">非表示推奨します。リフォローはしませんが、公式</t>
    </r>
    <r>
      <rPr>
        <sz val="8"/>
        <rFont val="Droid Sans"/>
        <family val="0"/>
        <charset val="1"/>
      </rPr>
      <t xml:space="preserve">RT</t>
    </r>
    <r>
      <rPr>
        <sz val="8"/>
        <rFont val="Noto Sans CJK SC Regular"/>
        <family val="2"/>
      </rPr>
      <t xml:space="preserve">はします。こちらは駄洒落、オタク話、セクシャルマイノリティーネタなど、個人的な内容を垂れ流す垢です。</t>
    </r>
  </si>
  <si>
    <t xml:space="preserve">Love Japan Magazine</t>
  </si>
  <si>
    <t xml:space="preserve">UK + Japan</t>
  </si>
  <si>
    <t xml:space="preserve">The online mag for people with a passion for Japan ❤ promoting Japanese culture to a global audience ❤ food / fashion / art / music / lifestyle and more! ❤</t>
  </si>
  <si>
    <t xml:space="preserve">dream-traveller hide</t>
  </si>
  <si>
    <t xml:space="preserve">Tokyo, Japan </t>
  </si>
  <si>
    <t xml:space="preserve">Have a happy life! ☆Luv: travel /movie /music /sports/gourmet/sea/animal &amp; @Marvel @DCComics @DisneyPixar ☆Blog of the movie on the web! ☆Plz No DM.</t>
  </si>
  <si>
    <t xml:space="preserve">Diane Brajkovic</t>
  </si>
  <si>
    <t xml:space="preserve">Born Miami Florida USA In Can </t>
  </si>
  <si>
    <t xml:space="preserve">Special Education Teacher,Member Of International Nurses Association @ Peel District School Board Mississauga Ontario Canada Attended Ashworth Norcross Georgia</t>
  </si>
  <si>
    <t xml:space="preserve">Stuart Breyer</t>
  </si>
  <si>
    <t xml:space="preserve">Japan election: Shinzo Abe's economy faces huge challenges https://t.co/vJiPnsXqNR via @CNNMoney</t>
  </si>
  <si>
    <t xml:space="preserve">London</t>
  </si>
  <si>
    <t xml:space="preserve">CEO of @mallowstreet - Working to solve the pensions and savings crisis. I'm fascinated by the interplay of finance, policy and social media.</t>
  </si>
  <si>
    <t xml:space="preserve">Kathryn</t>
  </si>
  <si>
    <t xml:space="preserve">Debt, stagnation: Japan's economy's huge challenges - Prime Minister Shinzo Abe is betting Japan's economy is i... https://t.co/MaXwZhgwbi</t>
  </si>
  <si>
    <t xml:space="preserve">Award-Winning Internet Strategist</t>
  </si>
  <si>
    <t xml:space="preserve">FUNDEF</t>
  </si>
  <si>
    <t xml:space="preserve">#Finanzas Japan's economy faces huge challenges - Prime Minister Shinzo Abe is betting Japan's economy is in go... https://t.co/goe3Jf78tH</t>
  </si>
  <si>
    <t xml:space="preserve">México D.F.</t>
  </si>
  <si>
    <t xml:space="preserve">FUNDACION DE ESTUDIOS FINANCIEROS -FUNDEF A.C. Centro de Investigación independiente sobre el sector financiero que reside en @ITAM_mx</t>
  </si>
  <si>
    <t xml:space="preserve">Debt, stagnation: Japan's economy's huge challenges - Prime Minister Shinzo Abe is betting Japan's economy is i... https://t.co/oxaRLxVqdj</t>
  </si>
  <si>
    <t xml:space="preserve">BAYGUI</t>
  </si>
  <si>
    <t xml:space="preserve">Tampa, Florida</t>
  </si>
  <si>
    <t xml:space="preserve">News Related Stories From All Over the world. Opinions Are My Own. Retweets Are Not Endorsements.</t>
  </si>
  <si>
    <t xml:space="preserve">Poll Watcher</t>
  </si>
  <si>
    <t xml:space="preserve">Japanese go to the polls on Sunday following a snap election by PM Shinzo Abe. It looks like it could pay off. https://t.co/4Ysnkec8Qt</t>
  </si>
  <si>
    <t xml:space="preserve">It is election season so we will be keeping out a watchful eye. "Anonymity is not just a cloak, but a shield to protect those unable to speak freely."</t>
  </si>
  <si>
    <t xml:space="preserve">Gaurav Yadav</t>
  </si>
  <si>
    <t xml:space="preserve">Chandigarh,India</t>
  </si>
  <si>
    <t xml:space="preserve">police officer,student of terrorism,interested in fitness,nutrition,trivia,wellness,history,politics,IR,economics-all views mine,retweets not endorsements !</t>
  </si>
  <si>
    <t xml:space="preserve">Caroline Stark</t>
  </si>
  <si>
    <t xml:space="preserve">IL</t>
  </si>
  <si>
    <t xml:space="preserve">WIFE. MOTHER. AVID READER</t>
  </si>
  <si>
    <t xml:space="preserve">OptionsAlchemist</t>
  </si>
  <si>
    <t xml:space="preserve">Loves the capital markets, trading options, fast cars, being single, realizing my potential, winning, and philanthropy. Dislikes haters!</t>
  </si>
  <si>
    <t xml:space="preserve">ShareBoss.in</t>
  </si>
  <si>
    <t xml:space="preserve">Japan election: Shinzo Abe set for victory as opponents bicker.. https://t.co/lqHAp2bmhK</t>
  </si>
  <si>
    <t xml:space="preserve">ShareBoss</t>
  </si>
  <si>
    <t xml:space="preserve">Search less. Research more! ShareBoss.in your gateway for stock research.</t>
  </si>
  <si>
    <t xml:space="preserve">NYT Business</t>
  </si>
  <si>
    <t xml:space="preserve">Japan's economic prospects are slowly improving. Does Prime Minister Shinzo Abe deserve the credit? https://t.co/1LEErZbxtg</t>
  </si>
  <si>
    <t xml:space="preserve">Financial, tech, media and other business news from The New York Times. Banner photo by Jason Henry.</t>
  </si>
  <si>
    <t xml:space="preserve">Blue Streak Daily</t>
  </si>
  <si>
    <t xml:space="preserve">Japan's economic prospects are slowly improving. Does Prime Minister Shinzo Abe deserve the credit? https://t.co/w6XGvE53SE — NYT Busines…</t>
  </si>
  <si>
    <t xml:space="preserve">Get #Business #Funding in 2 hours. Even if you have bad #Credit, or have been denied by your #Bank. #Merchant #Cash #Advance</t>
  </si>
  <si>
    <t xml:space="preserve">mehmet öztürk</t>
  </si>
  <si>
    <t xml:space="preserve">RT @nytimesbusiness: Japan's economic prospects are slowly improving. Does Prime Minister Shinzo Abe deserve the credit? https://t.co/1LEEr…</t>
  </si>
  <si>
    <t xml:space="preserve">İzmir/Ankara </t>
  </si>
  <si>
    <t xml:space="preserve">Gazi Üniversitesi</t>
  </si>
  <si>
    <t xml:space="preserve">crissy hicks</t>
  </si>
  <si>
    <t xml:space="preserve">RT @FUNDEF: #Finanzas Japan's economy faces huge challenges - Prime Minister Shinzo Abe is betting Japan's economy is in go... https://t.co…</t>
  </si>
  <si>
    <t xml:space="preserve">South Carolina </t>
  </si>
  <si>
    <t xml:space="preserve">Investing Insight</t>
  </si>
  <si>
    <t xml:space="preserve">nytimesbusiness: Japan's economic prospects are slowly improving. Does Prime Minister Shinzo Abe deserve the credi… https://t.co/Y8wTiiBgPh</t>
  </si>
  <si>
    <t xml:space="preserve">All the latest news right here for the informed investor. Any feedback and enquiries can be directed to InvestingInsightNews@gmail.com.</t>
  </si>
  <si>
    <t xml:space="preserve">TIMEWorld</t>
  </si>
  <si>
    <t xml:space="preserve">Here’s What You Need to Know About the Upcoming Election in Japan https://t.co/wPaEzeikIW</t>
  </si>
  <si>
    <t xml:space="preserve">Breaking international news and analysis from TIME's correspondents around the world.</t>
  </si>
  <si>
    <t xml:space="preserve">Latikia</t>
  </si>
  <si>
    <t xml:space="preserve">Here’s What You Need to Know About the Upcoming Election in Japan by Charlie Campbell via TIME https://t.co/hxaJujSWoa</t>
  </si>
  <si>
    <t xml:space="preserve">22 km SSW of nowhere special</t>
  </si>
  <si>
    <t xml:space="preserve">Wear the mask long enough and it becomes the face.</t>
  </si>
  <si>
    <t xml:space="preserve">Steve</t>
  </si>
  <si>
    <t xml:space="preserve">New top story from Time: https://t.co/7y98qDpE3y</t>
  </si>
  <si>
    <t xml:space="preserve">The State Of Pittsburgh</t>
  </si>
  <si>
    <t xml:space="preserve">An unapologetic Pittsburgh Penguins fan, born, raised and living in Pure Michigan. Send your Death Threats and Hate Mail to: ihatesteve@mail.com</t>
  </si>
  <si>
    <t xml:space="preserve">JROSENBERG</t>
  </si>
  <si>
    <t xml:space="preserve">New top story from Time: https://t.co/Yo5EAvrPgf</t>
  </si>
  <si>
    <t xml:space="preserve">41.509491,-87.709131</t>
  </si>
  <si>
    <t xml:space="preserve">https://t.co/ivXuk8t59y The Biggest News Ever! (JASON ROSENBERG, CHICAGOLAND REAL ESTATE BROKER, COMEDIAN FOR HIRE, AND SLEEPAHOLIC!)</t>
  </si>
  <si>
    <t xml:space="preserve">Luc Chaoui</t>
  </si>
  <si>
    <t xml:space="preserve">New top story from Time: https://t.co/I2AL6GvIpJ Japan goes to the polls on Sunday to elect a new government, with chaos in the oppositi…</t>
  </si>
  <si>
    <t xml:space="preserve">Silicon Valley, CA </t>
  </si>
  <si>
    <t xml:space="preserve">Wireless Comms Architect, WLAN Technologist, Patents holder, USC Trojan and, International Sabre Fencer. My TWEETS are my OWN.</t>
  </si>
  <si>
    <t xml:space="preserve">News Screamer</t>
  </si>
  <si>
    <t xml:space="preserve">New top story from Time: https://t.co/EwbhzTmXRY</t>
  </si>
  <si>
    <t xml:space="preserve">Breaking news and more.</t>
  </si>
  <si>
    <t xml:space="preserve">Ali</t>
  </si>
  <si>
    <t xml:space="preserve">New top story from Time: https://t.co/5F7yuxYyQO</t>
  </si>
  <si>
    <t xml:space="preserve">☬ Richard Allen</t>
  </si>
  <si>
    <t xml:space="preserve">Here’s What You Need to Know About the Upcoming Election in Japan https://t.co/lE8qe6uTaj</t>
  </si>
  <si>
    <t xml:space="preserve">Sby/S'pore</t>
  </si>
  <si>
    <t xml:space="preserve">#IamRomani #Palestine #Libya #Bahrain #Educator American in #Indonesia. Nenávist ti nesluší! RD.Allen@activist.com [RT ≠ endorsement] #EndItMovement</t>
  </si>
  <si>
    <t xml:space="preserve">SᏋLᏋNᏋ Ᏸ. ᏰᏘLLiᏤiᏘN</t>
  </si>
  <si>
    <t xml:space="preserve">New top story from Time: https://t.co/tUt7bxxKKa</t>
  </si>
  <si>
    <t xml:space="preserve">Antofagasta, Chile</t>
  </si>
  <si>
    <t xml:space="preserve">#news #tech #robot #AI #business #3D #music #travel #art #internet #corporate #fashion #arquitecture #sustainable #ecology #science #TV #comics #games #books</t>
  </si>
  <si>
    <t xml:space="preserve">Cao Haipeng</t>
  </si>
  <si>
    <t xml:space="preserve">New top story from Time: https://t.co/60qMieyeOI</t>
  </si>
  <si>
    <t xml:space="preserve">Miroslav Georgiev</t>
  </si>
  <si>
    <t xml:space="preserve">Here’s What You Need to Know About the Upcoming Election in Japan https://t.co/eE66JzSNK9 via @TIME</t>
  </si>
  <si>
    <t xml:space="preserve">Stone Mountain, GA</t>
  </si>
  <si>
    <t xml:space="preserve">#Liberté, #égalité, #fraternité #ViveLaFrance #ViveLaTerre</t>
  </si>
  <si>
    <t xml:space="preserve">まっくろスヌーピー</t>
  </si>
  <si>
    <r>
      <rPr>
        <sz val="8"/>
        <rFont val="Noto Sans CJK SC Regular"/>
        <family val="2"/>
      </rPr>
      <t xml:space="preserve">昼は社会人、夜は学生。休日は引き籠もりか万年寝太郎。しょうもない事しか呟きません。友達になる事も薦められないダメ人間なので、知らない方のフォローはお薦めしません</t>
    </r>
    <r>
      <rPr>
        <sz val="8"/>
        <rFont val="Droid Sans"/>
        <family val="0"/>
        <charset val="1"/>
      </rPr>
      <t xml:space="preserve">(</t>
    </r>
    <r>
      <rPr>
        <sz val="8"/>
        <rFont val="Noto Sans CJK SC Regular"/>
        <family val="2"/>
      </rPr>
      <t xml:space="preserve">特に真面目な方や団体等</t>
    </r>
    <r>
      <rPr>
        <sz val="8"/>
        <rFont val="Droid Sans"/>
        <family val="0"/>
        <charset val="1"/>
      </rPr>
      <t xml:space="preserve">)</t>
    </r>
    <r>
      <rPr>
        <sz val="8"/>
        <rFont val="Noto Sans CJK SC Regular"/>
        <family val="2"/>
      </rPr>
      <t xml:space="preserve">。フォロー返しもしません。</t>
    </r>
  </si>
  <si>
    <t xml:space="preserve">invtrade</t>
  </si>
  <si>
    <t xml:space="preserve">Here’s What You Need to Know About the Upcoming Election in Japan https://t.co/iWDcFCbOvr</t>
  </si>
  <si>
    <t xml:space="preserve">WordPress.com</t>
  </si>
  <si>
    <t xml:space="preserve">Gabrielle Johnson</t>
  </si>
  <si>
    <t xml:space="preserve">RT @FUNDEF: Debt, stagnation: Japan's economy's huge challenges - Prime Minister Shinzo Abe is betting Japan's economy is i... https://t.co…</t>
  </si>
  <si>
    <t xml:space="preserve">I❤PLL AND WWE</t>
  </si>
  <si>
    <t xml:space="preserve">Here’s What You Need to Know About the Upcoming Election in Japan https://t.co/eE66JzSNK9 via @TIMEPolitics</t>
  </si>
  <si>
    <t xml:space="preserve">New world news from Time: https://t.co/I2AL6GvIpJ Japan goes to the polls on Sunday to elect a new government, with chaos in the opposit…</t>
  </si>
  <si>
    <t xml:space="preserve">Nephtali12307 Navarr</t>
  </si>
  <si>
    <t xml:space="preserve">Here’s What You Need to Know About the Upcoming Election in Japan https://t.co/ce2T7BOIQa</t>
  </si>
  <si>
    <t xml:space="preserve">Schenectady, NY</t>
  </si>
  <si>
    <t xml:space="preserve">Euthenia Investing</t>
  </si>
  <si>
    <t xml:space="preserve">Manhattan, NY</t>
  </si>
  <si>
    <t xml:space="preserve">Euthenia is an #investor's club. We #trade #options with fully documented trades. The founder, Rupam is an #IIT #MIT #Columbia alum with a #CFA #CAIA #FRM</t>
  </si>
  <si>
    <t xml:space="preserve">Pagina Nuova</t>
  </si>
  <si>
    <t xml:space="preserve">TIME WORLD - Here’s What You Need to Know About the Upcoming Election in Japan https://t.co/GI1Gw6zSRe #PaginaNuova #Press</t>
  </si>
  <si>
    <t xml:space="preserve"> Torino, Italy</t>
  </si>
  <si>
    <t xml:space="preserve">Pagina Nuova è un news magazine multimediale dedicato alla cultura, all'attualità e allo sport, che dedica grande attenzione ai libri. La conoscenza condivisa!</t>
  </si>
  <si>
    <t xml:space="preserve">faris taiey</t>
  </si>
  <si>
    <t xml:space="preserve">New world news from Time: https://t.co/41OMK5QuhZ https://t.co/gVApmCAbAN</t>
  </si>
  <si>
    <t xml:space="preserve">Justice is the Basis of Ruling #no_justice_in_iraq #thaarjustice #BBC #RT #CNN #Breaking #BreakingNews #news #BBCArabic #CNNArabic #RTArabic #GoThere RT# endo</t>
  </si>
  <si>
    <t xml:space="preserve">Fair Witness</t>
  </si>
  <si>
    <t xml:space="preserve">Change your *****? Change your email? use multiple accounts? Let Twitter cue home? Random sample? Cue tweets? Responses? Open new Twitter tab? Make scrn grabs?</t>
  </si>
  <si>
    <t xml:space="preserve">Vipul Jasani</t>
  </si>
  <si>
    <t xml:space="preserve">Here’s What You Need to Know About the Upcoming Election in Japan https://t.co/2EpNjLbl6s</t>
  </si>
  <si>
    <t xml:space="preserve">Love business, investments with High ROI, technology, innovation, social media, work without price tags. Volunteer for life #Giveback</t>
  </si>
  <si>
    <t xml:space="preserve">TIME</t>
  </si>
  <si>
    <t xml:space="preserve">Here's what you need to know about the upcoming election in Japan https://t.co/uL1xPD0IXL</t>
  </si>
  <si>
    <t xml:space="preserve">Breaking news and current events from around the globe. Hosted by TIME staff. Tweet questions to our customer service team @TIMEmag_Service.</t>
  </si>
  <si>
    <t xml:space="preserve">Elivan Souza</t>
  </si>
  <si>
    <t xml:space="preserve">RT TIME "Here's what you need to know about the upcoming election in Japan https://t.co/l55AQPeWz4"</t>
  </si>
  <si>
    <t xml:space="preserve">São Paulo</t>
  </si>
  <si>
    <t xml:space="preserve">Twitter is my playground. #Teacher #Translator #Coach #Consultant #Brazilian #Portuguese 💚📖✈️🌏☔️🛌🎹🎼🎧🚴⛱🏊🏻🍹#healthy 🍏🍌🍉🍯🥗#custserv #bufferchat #EFL #TESOL 🙌🏻</t>
  </si>
  <si>
    <t xml:space="preserve">TIME TOP STORIES - Here’s What You Need to Know About the Upcoming Election in Japan https://t.co/GI1Gw6zSRe #PaginaNuova #Press</t>
  </si>
  <si>
    <t xml:space="preserve">Karlo Kovač</t>
  </si>
  <si>
    <t xml:space="preserve">TIME: Here's what you need to know about the upcoming election in Japan https://t.co/ZLm424dICt https://t.co/2BoflibjNg</t>
  </si>
  <si>
    <t xml:space="preserve">Croatia</t>
  </si>
  <si>
    <t xml:space="preserve">Would i follow myself if i read this</t>
  </si>
  <si>
    <t xml:space="preserve">Dawn</t>
  </si>
  <si>
    <t xml:space="preserve">RT @TIME: Here's what you need to know about the upcoming election in Japan https://t.co/uL1xPD0IXL</t>
  </si>
  <si>
    <t xml:space="preserve">Twitter for Windows</t>
  </si>
  <si>
    <t xml:space="preserve">North York Canada</t>
  </si>
  <si>
    <t xml:space="preserve">Live Life....😎</t>
  </si>
  <si>
    <t xml:space="preserve">LOUISFANUCCHIIV</t>
  </si>
  <si>
    <t xml:space="preserve">HAHAHA :)</t>
  </si>
  <si>
    <t xml:space="preserve">Fanucchi Productions Journalist,Entertainer,Song Writer,DJ,Businessman,Open Investigation Online Security fact checking gathering info :) COPYRIGHTED</t>
  </si>
  <si>
    <t xml:space="preserve">#WOMENAGAINSTRENELLG</t>
  </si>
  <si>
    <t xml:space="preserve">Mobile Web (M2)</t>
  </si>
  <si>
    <t xml:space="preserve">Bedford, OH</t>
  </si>
  <si>
    <t xml:space="preserve">Autistic/OCD/UGLY, SINGLE LOSER/age 26/aka #UGLYRETURD/#UGLIESTMANALIVE/ #WOMENAGAINSTRENELLGLOVER/cartoonist/ BLOCKED and HATED BY A LOT OF GORGEOUS WOMEN</t>
  </si>
  <si>
    <t xml:space="preserve">GloryofGodtv at Mctv</t>
  </si>
  <si>
    <t xml:space="preserve">Nairobi, Kenya</t>
  </si>
  <si>
    <t xml:space="preserve">To broadcast Jesus Christ and His Love to all people. Greatest of Love. GloryofGodTV 17/10/2017 For the Glory of God.777 GloryofGodtv/Youtube @muriungiRose</t>
  </si>
  <si>
    <t xml:space="preserve">New world news from Time: https://t.co/tUt7bxxKKa</t>
  </si>
  <si>
    <t xml:space="preserve">news</t>
  </si>
  <si>
    <t xml:space="preserve">New world news from Time: https://t.co/9M2geHgqhc</t>
  </si>
  <si>
    <t xml:space="preserve">ANALYSIS: Catalonia's fateful independence vote was spurred by Spain's rigidity https://t.co/UtMlzg2qZ2</t>
  </si>
  <si>
    <t xml:space="preserve">Janko Bananko</t>
  </si>
  <si>
    <t xml:space="preserve">KarloMdz: TIME: Here's what you need to know about the upcoming election in Japan https://t.co/Nk2Ppo8eju … https://t.co/kCLfzUFxzq</t>
  </si>
  <si>
    <t xml:space="preserve">https://t.co/1d0DNM2ac0</t>
  </si>
  <si>
    <t xml:space="preserve">TIME: Here's what you need to know about the upcoming election in Japan https://t.co/nExCSJKoqC</t>
  </si>
  <si>
    <t xml:space="preserve">Milica Ćosić</t>
  </si>
  <si>
    <t xml:space="preserve">Sydney, New South Wales</t>
  </si>
  <si>
    <t xml:space="preserve">Journalist // music and politics enthusiast // ViperMag freelance writer // SmokeMag contributor</t>
  </si>
  <si>
    <t xml:space="preserve">ごったん</t>
  </si>
  <si>
    <t xml:space="preserve">Auburn, WA</t>
  </si>
  <si>
    <r>
      <rPr>
        <sz val="8"/>
        <rFont val="Noto Sans CJK SC Regular"/>
        <family val="2"/>
      </rPr>
      <t xml:space="preserve">修猷 執行部 </t>
    </r>
    <r>
      <rPr>
        <sz val="8"/>
        <rFont val="Droid Sans"/>
        <family val="0"/>
        <charset val="1"/>
      </rPr>
      <t xml:space="preserve">69th</t>
    </r>
    <r>
      <rPr>
        <sz val="8"/>
        <rFont val="Noto Sans CJK SC Regular"/>
        <family val="2"/>
      </rPr>
      <t xml:space="preserve">運営競進→🇺🇸→？？</t>
    </r>
  </si>
  <si>
    <t xml:space="preserve">vasili</t>
  </si>
  <si>
    <t xml:space="preserve">San Antonio, TX </t>
  </si>
  <si>
    <t xml:space="preserve">#politics I'm passionate &amp; unapologetic about my politics views!</t>
  </si>
  <si>
    <t xml:space="preserve">Social Life In Miami</t>
  </si>
  <si>
    <t xml:space="preserve">Here's what you need to know about the upcoming election in Japan https://t.co/Rp42Y4uRf6</t>
  </si>
  <si>
    <t xml:space="preserve">Krunox</t>
  </si>
  <si>
    <t xml:space="preserve">Here’s What You Need to Know About the Upcoming Election in Japan https://t.co/PoimOYZ42C</t>
  </si>
  <si>
    <t xml:space="preserve">Not Found</t>
  </si>
  <si>
    <t xml:space="preserve">Latest news, stories, rumors, and more from numerous sources of newsfeed and social media accounts.</t>
  </si>
  <si>
    <t xml:space="preserve">Here's what you need to know about the upcoming election in Japan https://t.co/YVgsphyXJL</t>
  </si>
  <si>
    <t xml:space="preserve">Anabele</t>
  </si>
  <si>
    <t xml:space="preserve">El ¿Porque? , conocimiento , 🎶 , 🎬, y porque no las ideas de está realidad.</t>
  </si>
  <si>
    <t xml:space="preserve">Sabrina Volarondo</t>
  </si>
  <si>
    <t xml:space="preserve">Reshma</t>
  </si>
  <si>
    <t xml:space="preserve">house of balloons</t>
  </si>
  <si>
    <t xml:space="preserve">It's a cool story when I get it right..</t>
  </si>
  <si>
    <t xml:space="preserve">Perogyo</t>
  </si>
  <si>
    <r>
      <rPr>
        <sz val="8"/>
        <rFont val="Droid Sans"/>
        <family val="0"/>
        <charset val="1"/>
      </rPr>
      <t xml:space="preserve">Canadian in Japan. Fan of Canlit for kids, Avispa Fukuoka, and the Oxford comma. </t>
    </r>
    <r>
      <rPr>
        <sz val="8"/>
        <rFont val="Noto Sans CJK SC Regular"/>
        <family val="2"/>
      </rPr>
      <t xml:space="preserve">アビスパ </t>
    </r>
    <r>
      <rPr>
        <sz val="8"/>
        <rFont val="Droid Sans"/>
        <family val="0"/>
        <charset val="1"/>
      </rPr>
      <t xml:space="preserve">/J</t>
    </r>
    <r>
      <rPr>
        <sz val="8"/>
        <rFont val="Noto Sans CJK SC Regular"/>
        <family val="2"/>
      </rPr>
      <t xml:space="preserve">リーグ</t>
    </r>
    <r>
      <rPr>
        <sz val="8"/>
        <rFont val="Droid Sans"/>
        <family val="0"/>
        <charset val="1"/>
      </rPr>
      <t xml:space="preserve">/</t>
    </r>
    <r>
      <rPr>
        <sz val="8"/>
        <rFont val="Noto Sans CJK SC Regular"/>
        <family val="2"/>
      </rPr>
      <t xml:space="preserve">チーズ</t>
    </r>
  </si>
  <si>
    <t xml:space="preserve">戸嶋 久</t>
  </si>
  <si>
    <t xml:space="preserve">YoruFukurou</t>
  </si>
  <si>
    <r>
      <rPr>
        <sz val="8"/>
        <rFont val="Noto Sans CJK SC Regular"/>
        <family val="2"/>
      </rPr>
      <t xml:space="preserve">愛媛県 </t>
    </r>
    <r>
      <rPr>
        <sz val="8"/>
        <rFont val="Droid Sans"/>
        <family val="0"/>
        <charset val="1"/>
      </rPr>
      <t xml:space="preserve">Japan</t>
    </r>
  </si>
  <si>
    <r>
      <rPr>
        <sz val="8"/>
        <rFont val="Droid Sans"/>
        <family val="0"/>
        <charset val="1"/>
      </rPr>
      <t xml:space="preserve">MacBook Pro</t>
    </r>
    <r>
      <rPr>
        <sz val="8"/>
        <rFont val="Noto Sans CJK SC Regular"/>
        <family val="2"/>
      </rPr>
      <t xml:space="preserve">ユーザ。音楽とサッカー（とその他スポーツ）と猫関係のツイート、リツイートが多め。マイルス・デイヴィス・マニアにして、戦前ジャズやブルーズ、ファンク、ロック、ワールド・ミュージックなどを中心に、音楽をすこし聴いています。</t>
    </r>
  </si>
  <si>
    <t xml:space="preserve">Yash K</t>
  </si>
  <si>
    <t xml:space="preserve">Kates☄️✨💫</t>
  </si>
  <si>
    <t xml:space="preserve">West Yorkshire</t>
  </si>
  <si>
    <t xml:space="preserve">👑Aspiring royal correspondent👑</t>
  </si>
  <si>
    <t xml:space="preserve">Marika M. Abdul Gani</t>
  </si>
  <si>
    <t xml:space="preserve">Quran 93:7</t>
  </si>
  <si>
    <t xml:space="preserve">Love her family so much; she like clouds, drink green tea, huntering sunset, smelling the rain, &amp; believe everything she keeps in her mind. xo // Igma Dwi's🌹</t>
  </si>
  <si>
    <t xml:space="preserve">Eurozonian</t>
  </si>
  <si>
    <t xml:space="preserve">pro-Federal Eurozone</t>
  </si>
  <si>
    <t xml:space="preserve">⦁politics⦁⦁⦁cars⦁⦁⦁luxury⦁⦁⦁brands⦁⦁⦁tech. NO to: Merkel, Wilders/PVV, LePen/FN, BeppeGrillo/5SM, Salvini/LegaNord, AfD &amp; Podemos. ▲🛡️$12T Eurozone</t>
  </si>
  <si>
    <t xml:space="preserve">Ezgi Basaranoglu</t>
  </si>
  <si>
    <t xml:space="preserve">İstanbul, Türkiye</t>
  </si>
  <si>
    <t xml:space="preserve">The Twitter account for Ezgi Başaranoğlu. Alsancak, Izmir. Dokuz Eylül University / Law School</t>
  </si>
  <si>
    <t xml:space="preserve">Dr Alex Concorde</t>
  </si>
  <si>
    <t xml:space="preserve">TopStory: Here’s What You Need to Know About the Upcoming Election in Japan https://t.co/1d9ZyDkUOO</t>
  </si>
  <si>
    <t xml:space="preserve">www.science-sense.healthcare</t>
  </si>
  <si>
    <t xml:space="preserve">BS MD PhD MS MBA World's Most Highly-Educated♀️ Human Theorist🤓 Creator: New Paradigm Psych🧠&amp; Med⚕️&amp; GAIN theory https://t.co/E05qTDZde1 https://t.co/AJ6ggmp6HH</t>
  </si>
  <si>
    <t xml:space="preserve">Ravindra Soni</t>
  </si>
  <si>
    <t xml:space="preserve">Japan election: Shinzo Abe set for victory as opponents bicker https://t.co/hQS3qVdXJG https://t.co/IN9KVzMvzA</t>
  </si>
  <si>
    <t xml:space="preserve">Bhopal</t>
  </si>
  <si>
    <t xml:space="preserve">Over the last twenty four years I have been into media. Alongside I entered into PR industry eight years back.</t>
  </si>
  <si>
    <t xml:space="preserve">THAILAND [ TH ]</t>
  </si>
  <si>
    <t xml:space="preserve">"Here’s What You Need to Know About the Upcoming Election in Japan" https://t.co/pXqAINGMkg #Time</t>
  </si>
  <si>
    <t xml:space="preserve">นครศรีธรรมราช, ประเทศไทย</t>
  </si>
  <si>
    <t xml:space="preserve">#News #ThaiLand #ข่าวสาร #ประเทศไทย #NakhonSiThammarat #นครศรีธรรมราช #การเมือง #ค่าครองชีพ #เศรษฐกิจ #ที่นี่เมืองนคร #THAI #ข่าว #Twitter #เมืองคอน #การจราจร 🐾</t>
  </si>
  <si>
    <t xml:space="preserve">TIME: Here's what you need to know about the upcoming election in Japan https://t.co/Nk2Ppo8eju. https://t.co/kCLfzUFxzq</t>
  </si>
  <si>
    <t xml:space="preserve">Supra1BqTeam</t>
  </si>
  <si>
    <t xml:space="preserve">PolticsNewz: Here's What You Need to Know About the Upcoming Election in Japan https://t.co/6DOoK4ShVk</t>
  </si>
  <si>
    <t xml:space="preserve">Orem, UT</t>
  </si>
  <si>
    <t xml:space="preserve">“To unfollow me, simply don’t follow me”</t>
  </si>
  <si>
    <t xml:space="preserve">██████████</t>
  </si>
  <si>
    <t xml:space="preserve">Here’s What You Need to Know About the Upcoming Election in Japan https://t.co/kIqRtJjBaW</t>
  </si>
  <si>
    <t xml:space="preserve">Latest Thailand &amp; World News - ข่าวล่าสุด</t>
  </si>
  <si>
    <t xml:space="preserve">sella</t>
  </si>
  <si>
    <t xml:space="preserve">There is no gain without pain.</t>
  </si>
  <si>
    <t xml:space="preserve">Ryan</t>
  </si>
  <si>
    <t xml:space="preserve">Traveler. Environmentalist. Foodie. Shopper. Lover of Life.</t>
  </si>
  <si>
    <t xml:space="preserve">Swarnava Adhikary</t>
  </si>
  <si>
    <t xml:space="preserve">Bangalore, India</t>
  </si>
  <si>
    <t xml:space="preserve">Experienced research and analytics professional, a realist and, above all, master of my destiny</t>
  </si>
  <si>
    <t xml:space="preserve">Analogr</t>
  </si>
  <si>
    <t xml:space="preserve">Here’s What You Need to Know About the Upcoming Election in Japan https://t.co/7O2weLHSxE</t>
  </si>
  <si>
    <t xml:space="preserve">pAris</t>
  </si>
  <si>
    <t xml:space="preserve">Learned film roll processing by myself in the early 90's. Since then, been exposed to huge amounts of megapixels .. too many .. now back to film photography :)</t>
  </si>
  <si>
    <t xml:space="preserve">BonAfide</t>
  </si>
  <si>
    <t xml:space="preserve">the drawin board</t>
  </si>
  <si>
    <t xml:space="preserve">not a horrible actor or puppet</t>
  </si>
  <si>
    <t xml:space="preserve">Will Smirk 4 Food™</t>
  </si>
  <si>
    <t xml:space="preserve">New story on Donnie Two-scoops from Time: https://t.co/BMHtICgrb3</t>
  </si>
  <si>
    <t xml:space="preserve">ÜT: 41.2634049,-95.9692819</t>
  </si>
  <si>
    <t xml:space="preserve">I consider myself a sardonic wit, but that just means I'm a wise ass. Much of my feed is auto-generated, but I'm a flesh and blood native of Toledo.</t>
  </si>
  <si>
    <t xml:space="preserve">孙妲薇</t>
  </si>
  <si>
    <t xml:space="preserve">mina.</t>
  </si>
  <si>
    <t xml:space="preserve">UPRAg ♡</t>
  </si>
  <si>
    <t xml:space="preserve">GOD'S NOT DEAD.</t>
  </si>
  <si>
    <t xml:space="preserve">Politics Newz</t>
  </si>
  <si>
    <t xml:space="preserve">Here's What You Need to Know About the Upcoming Election in Japan https://t.co/DGiMXuURUL https://t.co/3HG0OlDXc7</t>
  </si>
  <si>
    <t xml:space="preserve">Seesmic twhirl</t>
  </si>
  <si>
    <t xml:space="preserve">All the #politic facts here, in one profile only. Keep you posted!</t>
  </si>
  <si>
    <t xml:space="preserve">Pura Moran</t>
  </si>
  <si>
    <t xml:space="preserve">Madrid, España</t>
  </si>
  <si>
    <t xml:space="preserve">Steven</t>
  </si>
  <si>
    <t xml:space="preserve">Κεντρική Μακεδονία, Ελλάς</t>
  </si>
  <si>
    <t xml:space="preserve">Eruditio</t>
  </si>
  <si>
    <t xml:space="preserve">Young American Thinker</t>
  </si>
  <si>
    <t xml:space="preserve">PolticsNewz: Here's What You Need to Know About the Upcoming Election in Japan https://t.co/6DOoK4ShVk https://t.co/j5bMnCFiU1</t>
  </si>
  <si>
    <t xml:space="preserve">Politics News</t>
  </si>
  <si>
    <t xml:space="preserve">Here's What You Need to Know About the Upcoming Election in Japan https://t.co/uRcenBuWOo https://t.co/eP35URUdxQ</t>
  </si>
  <si>
    <t xml:space="preserve">Bad Kitty</t>
  </si>
  <si>
    <t xml:space="preserve">佐々木紀彦</t>
  </si>
  <si>
    <t xml:space="preserve">東京都渋谷区恵比寿</t>
  </si>
  <si>
    <r>
      <rPr>
        <sz val="8"/>
        <rFont val="Droid Sans"/>
        <family val="0"/>
        <charset val="1"/>
      </rPr>
      <t xml:space="preserve">1979</t>
    </r>
    <r>
      <rPr>
        <sz val="8"/>
        <rFont val="Noto Sans CJK SC Regular"/>
        <family val="2"/>
      </rPr>
      <t xml:space="preserve">年生まれ。</t>
    </r>
    <r>
      <rPr>
        <sz val="8"/>
        <rFont val="Droid Sans"/>
        <family val="0"/>
        <charset val="1"/>
      </rPr>
      <t xml:space="preserve">NewsPicks</t>
    </r>
    <r>
      <rPr>
        <sz val="8"/>
        <rFont val="Noto Sans CJK SC Regular"/>
        <family val="2"/>
      </rPr>
      <t xml:space="preserve">編集長。最新著書に『日本</t>
    </r>
    <r>
      <rPr>
        <sz val="8"/>
        <rFont val="Droid Sans"/>
        <family val="0"/>
        <charset val="1"/>
      </rPr>
      <t xml:space="preserve">3.0</t>
    </r>
    <r>
      <rPr>
        <sz val="8"/>
        <rFont val="Noto Sans CJK SC Regular"/>
        <family val="2"/>
      </rPr>
      <t xml:space="preserve">』。ほかに『米国製エリートは本当にすごいのか？』『</t>
    </r>
    <r>
      <rPr>
        <sz val="8"/>
        <rFont val="Droid Sans"/>
        <family val="0"/>
        <charset val="1"/>
      </rPr>
      <t xml:space="preserve">5</t>
    </r>
    <r>
      <rPr>
        <sz val="8"/>
        <rFont val="Noto Sans CJK SC Regular"/>
        <family val="2"/>
      </rPr>
      <t xml:space="preserve">年後、メディアは稼げるか』の著作がある。発言内容は所属先とは独立した個人の見解です。</t>
    </r>
  </si>
  <si>
    <t xml:space="preserve">Mitzi RUTH</t>
  </si>
  <si>
    <t xml:space="preserve">Southern California </t>
  </si>
  <si>
    <t xml:space="preserve">Retweeting and learning. I despise #45. #THERESISTANCE #TRUMPRUSSIA #IMPEACHTRUMP #BLACKLIVESMATTER #HUMANRIGHTS #45 is a CLEAR and PRESENT DANGER!</t>
  </si>
  <si>
    <t xml:space="preserve">Richard Krauss</t>
  </si>
  <si>
    <t xml:space="preserve">#USA #TIME MAGAZIN #NEWS broadcast by #EMET_NEWS_PRESS: Here’s What You Need to Know About the Upcoming Electio... https://t.co/Z4cKcs1T9S</t>
  </si>
  <si>
    <t xml:space="preserve">Global</t>
  </si>
  <si>
    <t xml:space="preserve">Journalist. TW &amp; RT or following means not approval. Read, think and decide. Nothing more, that´s your job. https://t.co/1yf36761KN</t>
  </si>
  <si>
    <t xml:space="preserve">Pandora P.</t>
  </si>
  <si>
    <t xml:space="preserve">Here’s What You Need to Know About the Upcoming Election in Japan https://t.co/jkRR6jOPwB https://t.co/5CatNa168G</t>
  </si>
  <si>
    <t xml:space="preserve">dlvr.it</t>
  </si>
  <si>
    <t xml:space="preserve">Kansas, USA</t>
  </si>
  <si>
    <t xml:space="preserve">I see dead people</t>
  </si>
  <si>
    <t xml:space="preserve">How might this impact PM Shinzo Abe? Strong typhoon headed for #Japan may affect Sunday election turnout… https://t.co/qSKvgdoi8j</t>
  </si>
  <si>
    <t xml:space="preserve">Ak Baş</t>
  </si>
  <si>
    <t xml:space="preserve">Here’s What You Need to Know About the Upcoming Election in Japan https://t.co/6aZnZmuItz</t>
  </si>
  <si>
    <t xml:space="preserve">Hannover, Germany</t>
  </si>
  <si>
    <t xml:space="preserve">Science, medicine, technology, culture, human rights, politics news ,http://t.co/KOQhBoiC7i</t>
  </si>
  <si>
    <t xml:space="preserve">J.M. Hamilton</t>
  </si>
  <si>
    <t xml:space="preserve">blogosphere!</t>
  </si>
  <si>
    <t xml:space="preserve">Publishing free economic and political thought. Instagram at jm_hamilton_blog</t>
  </si>
  <si>
    <t xml:space="preserve">Charlie Campbell</t>
  </si>
  <si>
    <t xml:space="preserve">Here's what you need to know about the upcoming election in Japan https://t.co/86sB9Hco17</t>
  </si>
  <si>
    <t xml:space="preserve">Beijing, People's Republic of China</t>
  </si>
  <si>
    <t xml:space="preserve">Beijing correspondent for @TIME. Head in China, heart in Southeast Asia, face in bowl of khao soi. Audere est Facere.</t>
  </si>
  <si>
    <t xml:space="preserve">ㅤ</t>
  </si>
  <si>
    <t xml:space="preserve">Marrakesh, Dark Continent</t>
  </si>
  <si>
    <t xml:space="preserve">Yo! I'm Ginko, Born early 90's, I'm Climber, Archaeologist, Vagabond, Stubborn, 🐼Phile, Also I'm Ging Freecss's Successor. https://t.co/DVdBsGPh4m</t>
  </si>
  <si>
    <t xml:space="preserve">Andrew Burgess</t>
  </si>
  <si>
    <t xml:space="preserve">#Japan: Shinzo Abe's coalition set for near supermajority in this weekend's snap election https://t.co/IfVEI7hsrc (… https://t.co/KtZAH89RgC</t>
  </si>
  <si>
    <t xml:space="preserve">Buffer</t>
  </si>
  <si>
    <t xml:space="preserve">Brussels, Belgium</t>
  </si>
  <si>
    <t xml:space="preserve">EU citizen from Devon, UK. Work in #EU politics, liberal, democrat, avid #mufc supporter and Asiaphile.</t>
  </si>
  <si>
    <t xml:space="preserve">Luis Benguerel</t>
  </si>
  <si>
    <t xml:space="preserve">Japan election: Shinzo Abe's economy faces huge challenges https://t.co/vKA5GixN3Z via @CNNMoney</t>
  </si>
  <si>
    <t xml:space="preserve">BARCELONA </t>
  </si>
  <si>
    <t xml:space="preserve">Bolsa , mercados de renta variable , renta fija , futuros , divisas , forex , economía, en bolsa desde 1995 , Fintech , Insurtech</t>
  </si>
  <si>
    <t xml:space="preserve">Jannie Kayla</t>
  </si>
  <si>
    <t xml:space="preserve">In three words I can sum up everything I've learned about life: it goes on.</t>
  </si>
  <si>
    <t xml:space="preserve">The Kake and Morimoto scandals and the bureaucracy - https://t.co/VHFUli5cXi Even if Prime Minister Shinzo Abe survives the election, he...</t>
  </si>
  <si>
    <t xml:space="preserve">News Summed Up</t>
  </si>
  <si>
    <t xml:space="preserve">Japan election: Shinzo Abe set for victory as opponents bicker https://t.co/128BV6CK89</t>
  </si>
  <si>
    <t xml:space="preserve">Brand Whistle</t>
  </si>
  <si>
    <t xml:space="preserve">Latest news from your favourite newspapers. US - UK - India - Canada - New Zealand - Kenya Get Press Coverage for your company Mail us newssummedup@gmail.com</t>
  </si>
  <si>
    <t xml:space="preserve">Ray Lawson</t>
  </si>
  <si>
    <t xml:space="preserve">Here's what you need to know about the upcoming election in Japan https://t.co/4pH6RF8K1J</t>
  </si>
  <si>
    <t xml:space="preserve">Kenosha, Wi</t>
  </si>
  <si>
    <t xml:space="preserve">Owner Operator Trucker since 1974, Lifetime OOIDA member. Still amazed at how much my dogs add to my life. Spelling Challenged Progressive who can think.</t>
  </si>
  <si>
    <t xml:space="preserve">Jane</t>
  </si>
  <si>
    <t xml:space="preserve">RT @Lawsonbulk: Here's what you need to know about the upcoming election in Japan https://t.co/4pH6RF8K1J</t>
  </si>
  <si>
    <t xml:space="preserve">Fitzwalkerstan</t>
  </si>
  <si>
    <t xml:space="preserve">A RT doesn't indicate agreement ;-)</t>
  </si>
  <si>
    <r>
      <rPr>
        <sz val="8"/>
        <rFont val="Noto Sans CJK SC Regular"/>
        <family val="2"/>
      </rPr>
      <t xml:space="preserve">キュウリウオ亜目アユ科</t>
    </r>
    <r>
      <rPr>
        <sz val="8"/>
        <rFont val="Droid Sans"/>
        <family val="0"/>
        <charset val="1"/>
      </rPr>
      <t xml:space="preserve">_T</t>
    </r>
    <r>
      <rPr>
        <sz val="8"/>
        <rFont val="Noto Sans CJK SC Regular"/>
        <family val="2"/>
      </rPr>
      <t xml:space="preserve">といえば</t>
    </r>
    <r>
      <rPr>
        <sz val="8"/>
        <rFont val="Droid Sans"/>
        <family val="0"/>
        <charset val="1"/>
      </rPr>
      <t xml:space="preserve">Y😼</t>
    </r>
  </si>
  <si>
    <t xml:space="preserve">テギョンのへそ。</t>
  </si>
  <si>
    <r>
      <rPr>
        <sz val="8"/>
        <rFont val="Droid Sans"/>
        <family val="0"/>
        <charset val="1"/>
      </rPr>
      <t xml:space="preserve">no fashion no life, peches mignons, 2PM, Taecyeon❤, Paris, France. </t>
    </r>
    <r>
      <rPr>
        <sz val="8"/>
        <rFont val="Noto Sans CJK SC Regular"/>
        <family val="2"/>
      </rPr>
      <t xml:space="preserve">どーでもいいこといっぱいだらだら♪</t>
    </r>
    <r>
      <rPr>
        <sz val="8"/>
        <rFont val="Droid Sans"/>
        <family val="0"/>
        <charset val="1"/>
      </rPr>
      <t xml:space="preserve">18</t>
    </r>
    <r>
      <rPr>
        <sz val="8"/>
        <rFont val="Noto Sans CJK SC Regular"/>
        <family val="2"/>
      </rPr>
      <t xml:space="preserve">禁。</t>
    </r>
  </si>
  <si>
    <t xml:space="preserve">@rneplus</t>
  </si>
  <si>
    <t xml:space="preserve">Top story:TRY1 Japan election: Shinzo Abe's economy faces huge challenges - Oct… https://t.co/2xxJ45LZuv, see more https://t.co/tiyAoFcVIO</t>
  </si>
  <si>
    <t xml:space="preserve">The Tweeted Times</t>
  </si>
  <si>
    <t xml:space="preserve">¡¡ ᶠᶸᶜᵏᵧₒᵤ ┌П┐!!  </t>
  </si>
  <si>
    <t xml:space="preserve">TUITEO EL PAN NUESTRO DE CADA DIA DECOMISO DE DROGAS, SECUESTRO, ASESINATOS, CORRUPCCION, VIOLENCIA , DEPORTES Y DATOS DIFERENTES SALUDOS DSD MAZATLAN MEXICO =)</t>
  </si>
  <si>
    <t xml:space="preserve">Ian Hanke</t>
  </si>
  <si>
    <t xml:space="preserve">RT @PollVoyeur: Japanese go to the polls on Sunday following a snap election by PM Shinzo Abe. It looks like it could pay off. https://t.co…</t>
  </si>
  <si>
    <t xml:space="preserve">Australia</t>
  </si>
  <si>
    <t xml:space="preserve">Work at PM&amp;C Group. I enjoy cigars, red wine and sailing.</t>
  </si>
  <si>
    <t xml:space="preserve">Suresh Menon</t>
  </si>
  <si>
    <t xml:space="preserve">  Proud to be an Indian</t>
  </si>
  <si>
    <t xml:space="preserve">Alessandro</t>
  </si>
  <si>
    <t xml:space="preserve">Here's what you need to know about the upcoming election in Japan https://t.co/dp8GbBLSYT</t>
  </si>
  <si>
    <t xml:space="preserve">Livorno</t>
  </si>
  <si>
    <t xml:space="preserve">Independent Financial Consultant. Financial blogger, vlogger, content provider w/ @DaDaMoneyBlog. Finance, investing. FX, geopolitics, other interesting stuff.</t>
  </si>
  <si>
    <t xml:space="preserve">HarrisErman #Global</t>
  </si>
  <si>
    <t xml:space="preserve">Here's what you need to know about the upcoming election in Japan 👇 https://t.co/bOYPilIol8</t>
  </si>
  <si>
    <t xml:space="preserve">Jakarta ,Indonesia. </t>
  </si>
  <si>
    <t xml:space="preserve">Entrepreneur|Believer|HighSchoolGraduates|LoveMusic🎼Sport|Read📚Books|Peace✌Adventurer✈Nature🌎WorldNews➡harriserman2@gmail.com</t>
  </si>
  <si>
    <t xml:space="preserve">LOS</t>
  </si>
  <si>
    <t xml:space="preserve">ZolazraiZolkapli.</t>
  </si>
  <si>
    <t xml:space="preserve">Gombak, Selangor</t>
  </si>
  <si>
    <t xml:space="preserve">Take one of mine to the hospital, I'll take one of yours to the morgue. ⚖️⌛️⏳</t>
  </si>
  <si>
    <t xml:space="preserve">Barbecue Chicken</t>
  </si>
  <si>
    <t xml:space="preserve">Real_Infinity95</t>
  </si>
  <si>
    <t xml:space="preserve">Unknown</t>
  </si>
  <si>
    <t xml:space="preserve">Likes and retweets are appreciated. Turn on my notifications. Games / Gaming News/Music Hip-Hop/Rap US &amp; World News /Music. This account is not automated.</t>
  </si>
  <si>
    <t xml:space="preserve">beherenow</t>
  </si>
  <si>
    <t xml:space="preserve">@tonygoldwyn #teamcouch #TheXFiles @davidduchovny #foxmulder #Aquarius #Californication 🎵can't buy forgiveness if you don't know the cost 🎶🎸</t>
  </si>
  <si>
    <t xml:space="preserve">Yu Haramoto</t>
  </si>
  <si>
    <t xml:space="preserve">William Pesek: Shinzo Abe's selfish Japan election gamble- Nikkei Asian Review https://t.co/ruV4UnG6UX</t>
  </si>
  <si>
    <t xml:space="preserve">Tokyo-JAPAN</t>
  </si>
  <si>
    <r>
      <rPr>
        <sz val="8"/>
        <rFont val="Droid Sans"/>
        <family val="0"/>
        <charset val="1"/>
      </rPr>
      <t xml:space="preserve">Twitter</t>
    </r>
    <r>
      <rPr>
        <sz val="8"/>
        <rFont val="Noto Sans CJK SC Regular"/>
        <family val="2"/>
      </rPr>
      <t xml:space="preserve">の</t>
    </r>
    <r>
      <rPr>
        <sz val="8"/>
        <rFont val="Droid Sans"/>
        <family val="0"/>
        <charset val="1"/>
      </rPr>
      <t xml:space="preserve">I/O</t>
    </r>
    <r>
      <rPr>
        <sz val="8"/>
        <rFont val="Noto Sans CJK SC Regular"/>
        <family val="2"/>
      </rPr>
      <t xml:space="preserve">を導線の１つとして徒然なるままに</t>
    </r>
    <r>
      <rPr>
        <sz val="8"/>
        <rFont val="Droid Sans"/>
        <family val="0"/>
        <charset val="1"/>
      </rPr>
      <t xml:space="preserve">twitter about </t>
    </r>
    <r>
      <rPr>
        <sz val="8"/>
        <rFont val="Noto Sans CJK SC Regular"/>
        <family val="2"/>
      </rPr>
      <t xml:space="preserve">日常の気づき♪</t>
    </r>
    <r>
      <rPr>
        <sz val="8"/>
        <rFont val="Droid Sans"/>
        <family val="0"/>
        <charset val="1"/>
      </rPr>
      <t xml:space="preserve">Cycling(Bianchi-1885),Tennis,F1,MLB Playing the Piano,Liszt,Beethoven,Renoir,VerMeer,Movie,Travel,</t>
    </r>
    <r>
      <rPr>
        <sz val="8"/>
        <rFont val="Noto Sans CJK SC Regular"/>
        <family val="2"/>
      </rPr>
      <t xml:space="preserve">落語</t>
    </r>
    <r>
      <rPr>
        <sz val="8"/>
        <rFont val="Droid Sans"/>
        <family val="0"/>
        <charset val="1"/>
      </rPr>
      <t xml:space="preserve">etc.</t>
    </r>
  </si>
  <si>
    <t xml:space="preserve">AbdoulSalam</t>
  </si>
  <si>
    <t xml:space="preserve">Kigali-Rwanda.</t>
  </si>
  <si>
    <t xml:space="preserve">Parano sur Twitter, j'ai l'impression d'être suivi.</t>
  </si>
  <si>
    <t xml:space="preserve">James Stanhope</t>
  </si>
  <si>
    <t xml:space="preserve">Polls show Japan's Shinzo Abe is set for a landslide election win on Sunday https://t.co/C9ZanU2QW1 via @bpolitics</t>
  </si>
  <si>
    <t xml:space="preserve">Atlanta, Georgia, USA</t>
  </si>
  <si>
    <t xml:space="preserve">Following news/commentary about Middle East and U.S. Healthcare. Retweets =/= endorsement.</t>
  </si>
  <si>
    <t xml:space="preserve">All News 24/7</t>
  </si>
  <si>
    <t xml:space="preserve">Here’s What You Need to Know About the Upcoming Election in Japan https://t.co/our2Gj4hPj</t>
  </si>
  <si>
    <t xml:space="preserve">Follow us to keep up with the latest news 24/7! Make sure to tell the world about our account thats dedicated to delivering breaking news</t>
  </si>
  <si>
    <t xml:space="preserve">asuka</t>
  </si>
  <si>
    <r>
      <rPr>
        <sz val="8"/>
        <rFont val="Droid Sans"/>
        <family val="0"/>
        <charset val="1"/>
      </rPr>
      <t xml:space="preserve">No Nukes. </t>
    </r>
    <r>
      <rPr>
        <sz val="8"/>
        <rFont val="Noto Sans CJK SC Regular"/>
        <family val="2"/>
      </rPr>
      <t xml:space="preserve">沖縄の辺野古基地埋め立て工事反対 </t>
    </r>
    <r>
      <rPr>
        <sz val="8"/>
        <rFont val="Droid Sans"/>
        <family val="0"/>
        <charset val="1"/>
      </rPr>
      <t xml:space="preserve">National University of Singapore NUS Admissions Video (International) 🇸🇬🏝️💖😃🌞https://t.co/OHX8xfWzNM #autofollow</t>
    </r>
  </si>
  <si>
    <t xml:space="preserve">ceph alba abata</t>
  </si>
  <si>
    <t xml:space="preserve">Here's what you need to know about the upcoming election in Japan https://t.co/YX7xplhs01</t>
  </si>
  <si>
    <t xml:space="preserve">Philippines</t>
  </si>
  <si>
    <t xml:space="preserve">C oco Rocha is my fashion icon. E verybody's friend. P aranoid. H ave interests in books, volleyball and fashion.</t>
  </si>
  <si>
    <t xml:space="preserve">Muraya Kariuki</t>
  </si>
  <si>
    <t xml:space="preserve">JAPAN ELECTIONS https://t.co/q745kKGQeS</t>
  </si>
  <si>
    <t xml:space="preserve">Here, There</t>
  </si>
  <si>
    <t xml:space="preserve">Student of life, Journalist, Dog breeder Stubborn self-willed seeker... My Mother's son -I AM</t>
  </si>
  <si>
    <t xml:space="preserve">Doc</t>
  </si>
  <si>
    <t xml:space="preserve">South Africa</t>
  </si>
  <si>
    <t xml:space="preserve">#FoodLover #Traveller #HpReInventor #manu #Zlatan #TechAddict #digitaleverything #music #comedy Opinions shared are my Own.</t>
  </si>
  <si>
    <t xml:space="preserve">MȺŧŧɨȺs WȺȼħŧmɇɨsŧɇɍ</t>
  </si>
  <si>
    <t xml:space="preserve">Japan's Upcoming -🇯🇵Election: Here's What You Need to Know https://t.co/CtN2qokVbb #ShihoAbe https://t.co/L0gh5qJKAa</t>
  </si>
  <si>
    <t xml:space="preserve">ÜT: 59.19408,17.620422</t>
  </si>
  <si>
    <t xml:space="preserve">MattiasWac #AR - #SWEDEN Listening, sometimes filming Extensively. Primarily for HITS and personality. Always #NewMusic</t>
  </si>
  <si>
    <t xml:space="preserve">rhinocharge007</t>
  </si>
  <si>
    <t xml:space="preserve">GlobalTraders</t>
  </si>
  <si>
    <t xml:space="preserve">Mexico city and Global</t>
  </si>
  <si>
    <t xml:space="preserve">By traders for traders. Financial Markets and Wealth Management English Español</t>
  </si>
  <si>
    <t xml:space="preserve">Magazine Reader</t>
  </si>
  <si>
    <t xml:space="preserve">JAPAN</t>
  </si>
  <si>
    <r>
      <rPr>
        <sz val="8"/>
        <rFont val="Noto Sans CJK SC Regular"/>
        <family val="2"/>
      </rPr>
      <t xml:space="preserve">雑誌、エレクトロニック・ミュージック、アメリカ・ドラマ好き。 自分用メモ。</t>
    </r>
    <r>
      <rPr>
        <sz val="8"/>
        <rFont val="Droid Sans"/>
        <family val="0"/>
        <charset val="1"/>
      </rPr>
      <t xml:space="preserve">I like Magazines, Electronic Music &amp; American Drama TV Series. Notes for myself.</t>
    </r>
  </si>
  <si>
    <t xml:space="preserve">Japan's economic prospects are slowly improving. Does Prime Minister Shinzo Abe deserve the credit? https://t.co/2GnLVQbwme</t>
  </si>
  <si>
    <t xml:space="preserve">Humberto Zamora Ruiz</t>
  </si>
  <si>
    <t xml:space="preserve">RT @nytimesbusiness: Japan's economic prospects are slowly improving. Does Prime Minister Shinzo Abe deserve the credit? https://t.co/2GnLV…</t>
  </si>
  <si>
    <t xml:space="preserve">La Paz, BCS</t>
  </si>
  <si>
    <t xml:space="preserve">Soy periodista con más de 4 décadas en el oficio. Soy Jefe de Información del periódico El Sudcaliforniano de La Paz, BCS. Blog:http//:http://t.co/puxE4URI1K</t>
  </si>
  <si>
    <t xml:space="preserve">nytimesbusiness: Japan's economic prospects are slowly improving. Does Prime Minister Shinzo Abe deserve the credi… https://t.co/1aKIXSbUvO</t>
  </si>
  <si>
    <t xml:space="preserve">Japan's economic prospects are slowly improving. Does Prime Minister Shinzo Abe deserve the credit? https://t.co/V25dd1dmAX — NYT Busines…</t>
  </si>
  <si>
    <t xml:space="preserve">THE INDIPENDENT - Japan election 2017: Will voters stick with Shinzo Abe for fear of North Korea? https://t.co/yDnCXJnml4 #PaginaNuova #Pr…</t>
  </si>
  <si>
    <t xml:space="preserve">Walkileaks</t>
  </si>
  <si>
    <t xml:space="preserve">Japan election 2017: Will voters stick with Shinzo Abe for fear of North Korea? https://t.co/IENn2dI9iJ https://t.co/9Ol2yyM5wv</t>
  </si>
  <si>
    <t xml:space="preserve">24Hr Real-Time Breaking News #follow4follow #parodyfollowtrain #InstantFollowBack #OpenFollow #AutoFollowBack #followback #followforfollow #like4follow</t>
  </si>
  <si>
    <t xml:space="preserve">Anonymous News</t>
  </si>
  <si>
    <t xml:space="preserve">Japan election 2017: Will voters stick with Shinzo Abe for fear of North Korea? https://t.co/25aFetuAOw #WorldNews… https://t.co/b6rQpPdE3w</t>
  </si>
  <si>
    <t xml:space="preserve">Sailing The Interwebz</t>
  </si>
  <si>
    <t xml:space="preserve">#Anonymous #News #Humanity #StopTPP #nocensorship #privacy #freeanons #Snowden #solidarity #impeachtrump #PardonSnowden #pressegruppen #NetNeutrality #NoDAPL</t>
  </si>
  <si>
    <t xml:space="preserve">o==[]::::::::::::::▶</t>
  </si>
  <si>
    <t xml:space="preserve">RT @Anon_Eu: Japan election 2017: Will voters stick with Shinzo Abe for fear of North Korea? https://t.co/25aFetuAOw #WorldNews #News https…</t>
  </si>
  <si>
    <t xml:space="preserve">Notifier for Chrome</t>
  </si>
  <si>
    <t xml:space="preserve">▁ ▂ ▃ ▄ ▅ ▆ █</t>
  </si>
  <si>
    <t xml:space="preserve">ΛN0N</t>
  </si>
  <si>
    <t xml:space="preserve">RT Anon_Eu "Japan election 2017: Will voters stick with Shinzo Abe for fear of North Korea? … https://t.co/01ZP6NyUue"</t>
  </si>
  <si>
    <t xml:space="preserve">Activist | @wikileaks supporter, Web Design &amp; Programmer | Anarchist #Anonymous</t>
  </si>
  <si>
    <t xml:space="preserve">newsly</t>
  </si>
  <si>
    <t xml:space="preserve">Japan election 2017: Will voters stick with Shinzo Abe for fear of North Korea? https://t.co/eThLPpPMAb #NewslyTweet</t>
  </si>
  <si>
    <t xml:space="preserve">These tweets are not endorsements and do not necessarily reflect the views of newsly. Web Hosting from https://t.co/zJOrQOJ4g8. @crslng</t>
  </si>
  <si>
    <t xml:space="preserve">The Independent</t>
  </si>
  <si>
    <t xml:space="preserve">Will Japanese voters stick with Shinzo Abe out of fear of North Korea? https://t.co/f0EnGMMyu2</t>
  </si>
  <si>
    <t xml:space="preserve">News, comment and features from The Independent.</t>
  </si>
  <si>
    <t xml:space="preserve">Calluy Walter</t>
  </si>
  <si>
    <t xml:space="preserve">RT @Independent: Will Japanese voters stick with Shinzo Abe out of fear of North Korea? https://t.co/f0EnGMMyu2</t>
  </si>
  <si>
    <t xml:space="preserve">TweetCaster for Android</t>
  </si>
  <si>
    <t xml:space="preserve">Antwerpen/Oelegem/Belgium</t>
  </si>
  <si>
    <t xml:space="preserve">Gepensioneerd maar niet 'burned-out'</t>
  </si>
  <si>
    <t xml:space="preserve">Will Japanese voters stick with Shinzo Abe out of fear of North Korea? https://t.co/pnTkU8CQEZ Independent</t>
  </si>
  <si>
    <t xml:space="preserve">Sudip Saha</t>
  </si>
  <si>
    <t xml:space="preserve">Monica Martin</t>
  </si>
  <si>
    <t xml:space="preserve">Both sides of the pond</t>
  </si>
  <si>
    <t xml:space="preserve">🎵 They sentenced me to twenty years of boredom, for trying to change the system from within... 🎵</t>
  </si>
  <si>
    <t xml:space="preserve">Antonio Saalamandras</t>
  </si>
  <si>
    <t xml:space="preserve">Japan election 2017: Will voters stick with Shinzo Abe for fear of North Korea? https://t.co/LS5w5LY5l4 #breakingnews #news</t>
  </si>
  <si>
    <t xml:space="preserve">CEO at #Saalamandraas INC. #Nigromante, #DomadorDeBasiliscos, Pomotor Cultural, #Trotamundos, #Pedagogo, #Antropofago... Like A Sir!!!</t>
  </si>
  <si>
    <t xml:space="preserve">Carly.</t>
  </si>
  <si>
    <t xml:space="preserve"> San Isidro (BUE)</t>
  </si>
  <si>
    <t xml:space="preserve">I am currently under construction ~ thank you for your patience.</t>
  </si>
  <si>
    <t xml:space="preserve">Morgan</t>
  </si>
  <si>
    <t xml:space="preserve">London, USA, ASIA</t>
  </si>
  <si>
    <t xml:space="preserve">World Politics, Election Analyst, will not support Bad Government or corruption in Any part of d world. Support People's Rights. BORN AGAIN TO SERVE THE PEOPLE.</t>
  </si>
  <si>
    <t xml:space="preserve">BreakingNews</t>
  </si>
  <si>
    <t xml:space="preserve">RT @Apocrifos: Japan election 2017: Will voters stick with Shinzo Abe for fear of North Korea? https://t.co/LS5w5LY5l4 #breakingnews #news</t>
  </si>
  <si>
    <t xml:space="preserve">Jordan Ritchie</t>
  </si>
  <si>
    <t xml:space="preserve">Reporting #BreakingNews to you.</t>
  </si>
  <si>
    <r>
      <rPr>
        <sz val="8"/>
        <rFont val="Droid Sans"/>
        <family val="0"/>
        <charset val="1"/>
      </rPr>
      <t xml:space="preserve">WATANABE</t>
    </r>
    <r>
      <rPr>
        <sz val="8"/>
        <rFont val="Noto Sans CJK SC Regular"/>
        <family val="2"/>
      </rPr>
      <t xml:space="preserve">　</t>
    </r>
    <r>
      <rPr>
        <sz val="8"/>
        <rFont val="Droid Sans"/>
        <family val="0"/>
        <charset val="1"/>
      </rPr>
      <t xml:space="preserve">Yukiko</t>
    </r>
  </si>
  <si>
    <t xml:space="preserve">Korea Alerts HQ</t>
  </si>
  <si>
    <t xml:space="preserve">Will Japanese voters stick with Shinzo Abe out of fear of North Korea? https://t.co/53U9rKMn6y</t>
  </si>
  <si>
    <t xml:space="preserve">North Korea</t>
  </si>
  <si>
    <t xml:space="preserve">Latest #BREAKING NEWS From #NorthKorea | @FirstNewsHQ affiliate</t>
  </si>
  <si>
    <r>
      <rPr>
        <sz val="8"/>
        <rFont val="Noto Sans CJK SC Regular"/>
        <family val="2"/>
      </rPr>
      <t xml:space="preserve">밤은 부드러워</t>
    </r>
    <r>
      <rPr>
        <sz val="8"/>
        <rFont val="Droid Sans"/>
        <family val="0"/>
        <charset val="1"/>
      </rPr>
      <t xml:space="preserve">~*~*</t>
    </r>
  </si>
  <si>
    <t xml:space="preserve">대거 리트윗😻</t>
  </si>
  <si>
    <r>
      <rPr>
        <sz val="8"/>
        <rFont val="Noto Sans CJK SC Regular"/>
        <family val="2"/>
      </rPr>
      <t xml:space="preserve">한번도 느껴보지 못한 너를 나는 그리워하지</t>
    </r>
    <r>
      <rPr>
        <sz val="8"/>
        <rFont val="Droid Sans"/>
        <family val="0"/>
        <charset val="1"/>
      </rPr>
      <t xml:space="preserve">/</t>
    </r>
    <r>
      <rPr>
        <sz val="8"/>
        <rFont val="Noto Sans CJK SC Regular"/>
        <family val="2"/>
      </rPr>
      <t xml:space="preserve">가을에 제일 예뻐요</t>
    </r>
    <r>
      <rPr>
        <sz val="8"/>
        <rFont val="Droid Sans"/>
        <family val="0"/>
        <charset val="1"/>
      </rPr>
      <t xml:space="preserve">/</t>
    </r>
    <r>
      <rPr>
        <sz val="8"/>
        <rFont val="Noto Sans CJK SC Regular"/>
        <family val="2"/>
      </rPr>
      <t xml:space="preserve">바이로맨틱 헤테로섹슈얼</t>
    </r>
    <r>
      <rPr>
        <sz val="8"/>
        <rFont val="Droid Sans"/>
        <family val="0"/>
        <charset val="1"/>
      </rPr>
      <t xml:space="preserve">(...ish?)</t>
    </r>
  </si>
  <si>
    <t xml:space="preserve">Roberto Curiel</t>
  </si>
  <si>
    <t xml:space="preserve">London, UK</t>
  </si>
  <si>
    <t xml:space="preserve">Flamboyant, radical, what you see is what you get, wine &amp; whiskey fan and raw critic, soccer lover, crazy skier &amp; a family man !!Loyalty !!</t>
  </si>
  <si>
    <t xml:space="preserve">كي</t>
  </si>
  <si>
    <t xml:space="preserve">Kingdom of Cat </t>
  </si>
  <si>
    <t xml:space="preserve">ぬぇぇぇえこぉ</t>
  </si>
  <si>
    <t xml:space="preserve">Hornet</t>
  </si>
  <si>
    <t xml:space="preserve">Will Japanese voters stick with Shinzo Abe out of fear of North Korea? https://t.co/PZNFJY2wNd via @NewsNowUK</t>
  </si>
  <si>
    <t xml:space="preserve">FEMA REGION V, USA</t>
  </si>
  <si>
    <t xml:space="preserve">Pro Real Money, Pro Life, Pro Constitution of the United States, III%, Americanism Not Globalism</t>
  </si>
  <si>
    <t xml:space="preserve">Juana</t>
  </si>
  <si>
    <t xml:space="preserve">Jürgen F. Wacker</t>
  </si>
  <si>
    <t xml:space="preserve">Will Japanese voters stick with Shinzo Abe out of fear of North Korea? https://t.co/Eaek7Cxhon</t>
  </si>
  <si>
    <t xml:space="preserve">Mexiko Stadt</t>
  </si>
  <si>
    <t xml:space="preserve">My hobbys: Photographer, GoPro, make Videos, worldwide News, Beach Boys, Travel, Animals, Nature, Soccer, Sports and Politics. English...Español...Deutsch</t>
  </si>
  <si>
    <t xml:space="preserve">Linda DelaBarrera</t>
  </si>
  <si>
    <t xml:space="preserve">Here's what you need to know about the upcoming election in Japan https://t.co/mjPyrF7mrD</t>
  </si>
  <si>
    <t xml:space="preserve">Mexico City</t>
  </si>
  <si>
    <t xml:space="preserve">Clinical Psychologist “You have your way. I have my way. As for the right way, the correct way, and the only way, it does not exist.” Friedrich Nietzsche</t>
  </si>
  <si>
    <t xml:space="preserve">Will Japanese voters stick with Shinzo Abe out of fear of North Korea? https://t.co/UXrKLeGgak</t>
  </si>
  <si>
    <t xml:space="preserve">Razor Must Die</t>
  </si>
  <si>
    <t xml:space="preserve">Japan PM Confident Ahead of Sunday's Election Japanese Prime Minster Shinzo Abe' https://t.co/ocAEKRXcS5</t>
  </si>
  <si>
    <t xml:space="preserve">twittbot.net</t>
  </si>
  <si>
    <t xml:space="preserve">I was meant to make you smile, I was meant to make you shine.</t>
  </si>
  <si>
    <t xml:space="preserve">sic</t>
  </si>
  <si>
    <t xml:space="preserve">(stupidity is contagious)</t>
  </si>
  <si>
    <t xml:space="preserve">Martin Fackler</t>
  </si>
  <si>
    <t xml:space="preserve">Japan's economic prospects are improving. How much credit does Prime Minister Shinzo Abe deserve? @nytimes https://t.co/unUtrLQitU</t>
  </si>
  <si>
    <r>
      <rPr>
        <sz val="8"/>
        <rFont val="Droid Sans"/>
        <family val="0"/>
        <charset val="1"/>
      </rPr>
      <t xml:space="preserve">Asisitant Asia Editor and foreign correspondent for @nytimes. Also @WSJ, @AP, @CJR, @ForeignPolicy. RT not endorsement.</t>
    </r>
    <r>
      <rPr>
        <sz val="8"/>
        <rFont val="Noto Sans CJK SC Regular"/>
        <family val="2"/>
      </rPr>
      <t xml:space="preserve">「世界が認めた「普通でない国」日本」等の著者。</t>
    </r>
  </si>
  <si>
    <t xml:space="preserve">RT @martfack: Japan's economic prospects are improving. How much credit does Prime Minister Shinzo Abe deserve? @nytimes https://t.co/unUtr…</t>
  </si>
  <si>
    <t xml:space="preserve">InvestmentTaoist</t>
  </si>
  <si>
    <t xml:space="preserve">Polls show Japan's Shinzo Abe is set for a landslide election win on Sunday https://t.co/fy3KloODRZ via @bpolitics</t>
  </si>
  <si>
    <t xml:space="preserve">Seattle</t>
  </si>
  <si>
    <t xml:space="preserve">satoko</t>
  </si>
  <si>
    <t xml:space="preserve">東京 国分寺市</t>
  </si>
  <si>
    <r>
      <rPr>
        <sz val="8"/>
        <rFont val="Noto Sans CJK SC Regular"/>
        <family val="2"/>
      </rPr>
      <t xml:space="preserve">大阪→海外→東京 </t>
    </r>
    <r>
      <rPr>
        <sz val="8"/>
        <rFont val="Droid Sans"/>
        <family val="0"/>
        <charset val="1"/>
      </rPr>
      <t xml:space="preserve">/ </t>
    </r>
    <r>
      <rPr>
        <sz val="8"/>
        <rFont val="Noto Sans CJK SC Regular"/>
        <family val="2"/>
      </rPr>
      <t xml:space="preserve">教育 </t>
    </r>
    <r>
      <rPr>
        <sz val="8"/>
        <rFont val="Droid Sans"/>
        <family val="0"/>
        <charset val="1"/>
      </rPr>
      <t xml:space="preserve">/ #</t>
    </r>
    <r>
      <rPr>
        <sz val="8"/>
        <rFont val="Noto Sans CJK SC Regular"/>
        <family val="2"/>
      </rPr>
      <t xml:space="preserve">立憲民主党 </t>
    </r>
    <r>
      <rPr>
        <sz val="8"/>
        <rFont val="Droid Sans"/>
        <family val="0"/>
        <charset val="1"/>
      </rPr>
      <t xml:space="preserve">#</t>
    </r>
    <r>
      <rPr>
        <sz val="8"/>
        <rFont val="Noto Sans CJK SC Regular"/>
        <family val="2"/>
      </rPr>
      <t xml:space="preserve">枝野を総理に </t>
    </r>
    <r>
      <rPr>
        <sz val="8"/>
        <rFont val="Droid Sans"/>
        <family val="0"/>
        <charset val="1"/>
      </rPr>
      <t xml:space="preserve">#</t>
    </r>
    <r>
      <rPr>
        <sz val="8"/>
        <rFont val="Noto Sans CJK SC Regular"/>
        <family val="2"/>
      </rPr>
      <t xml:space="preserve">えだのん</t>
    </r>
  </si>
  <si>
    <t xml:space="preserve">UK Election 2017</t>
  </si>
  <si>
    <t xml:space="preserve">Japan election 2017: Will voters stick with Shinzo Abe for fear of North Korea? https://t.co/9mNtZi7ypD</t>
  </si>
  <si>
    <t xml:space="preserve">Updated through the day. Daily news about the UK 2017 #generalelection in ten seconds. #ge17 #ge2017</t>
  </si>
  <si>
    <t xml:space="preserve">John Lothian</t>
  </si>
  <si>
    <t xml:space="preserve">Polls show Japan's Shinzo Abe is set for a landslide election win on Sunday https://t.co/SL0F7tEncw via @bpolitics</t>
  </si>
  <si>
    <t xml:space="preserve">Chicago</t>
  </si>
  <si>
    <t xml:space="preserve">Executive Chairman of John J. Lothian &amp; Co. Publisher of @MarketsWiki, @MarketsReform @JohnLothianNews. Subscribe: https://t.co/UIq73XXnlT</t>
  </si>
  <si>
    <t xml:space="preserve">Japan PM Confident Ahead of Sunday's Election: Japanese Prime Minster Shinzo Abe's… https://t.co/0DxqV1YInQ</t>
  </si>
  <si>
    <t xml:space="preserve">craig s matsuda</t>
  </si>
  <si>
    <t xml:space="preserve">Los Angeles</t>
  </si>
  <si>
    <t xml:space="preserve">Journalist, Teacher, Administrator, Mischief Maker. Opinions mine; retweets aren't an endorsement of others' views.</t>
  </si>
  <si>
    <t xml:space="preserve">walabytrack 🇦🇺⚓️</t>
  </si>
  <si>
    <t xml:space="preserve">Japan election:Shinzo Abe and his policies are unpopular,so why are voters set to stick to Because he’s a GOOD Ma… https://t.co/38JxNS3C08</t>
  </si>
  <si>
    <t xml:space="preserve">Central Victoria AUSTRALIA </t>
  </si>
  <si>
    <t xml:space="preserve">Genuine,Fair Dinkum,Born and Bred No Bullshit Australian.♌️E&amp;OE</t>
  </si>
  <si>
    <t xml:space="preserve">Pesona Indonesia</t>
  </si>
  <si>
    <t xml:space="preserve">Japan election: Shinzo Abe and his policies are unpopular, so why are voters set to stick… https://t.co/LRya5rmq4o https://t.co/DsiJ6Gf20S</t>
  </si>
  <si>
    <t xml:space="preserve">Indonesia</t>
  </si>
  <si>
    <t xml:space="preserve">All About INDONESIA</t>
  </si>
  <si>
    <t xml:space="preserve">Anthony Miller</t>
  </si>
  <si>
    <t xml:space="preserve">Japan election: Shinzo Abe and his policies are unpopular, so why are voters set to stick with him? https://t.co/Vb0She7kGx via @abcnews</t>
  </si>
  <si>
    <t xml:space="preserve">newsworld</t>
  </si>
  <si>
    <t xml:space="preserve">Japan election: Shinzo Abe and his policies are unpopular, so why are voters set to stick with him? via /r/worldne… https://t.co/FUxcxTkKH8</t>
  </si>
  <si>
    <t xml:space="preserve">Hassan Tawfiq</t>
  </si>
  <si>
    <t xml:space="preserve">Japan election 2017: Will voters stick with Shinzo Abe for fear of North Korea? https://t.co/R4U5vwerlz</t>
  </si>
  <si>
    <t xml:space="preserve">Brit. Conservative. Retweets aren't endorsements.</t>
  </si>
  <si>
    <t xml:space="preserve">Nicole</t>
  </si>
  <si>
    <t xml:space="preserve">Japan election: Shinzo Abe and his policies are unpopular, so why are voters set to stick with him?… https://t.co/MNP4ZWCJsn</t>
  </si>
  <si>
    <t xml:space="preserve">Nothing can ever change my feelings for you.</t>
  </si>
  <si>
    <t xml:space="preserve">Google Pixel</t>
  </si>
  <si>
    <t xml:space="preserve">Japan election: Shinzo Abe and his policies are unpopular, so why are voters set to stick with him?… https://t.co/35n3Yk6NuW</t>
  </si>
  <si>
    <t xml:space="preserve">Click the link on our bio to get best deals</t>
  </si>
  <si>
    <r>
      <rPr>
        <sz val="8"/>
        <rFont val="Droid Sans"/>
        <family val="0"/>
        <charset val="1"/>
      </rPr>
      <t xml:space="preserve">Arthur H Kim (</t>
    </r>
    <r>
      <rPr>
        <sz val="8"/>
        <rFont val="Noto Sans CJK SC Regular"/>
        <family val="2"/>
      </rPr>
      <t xml:space="preserve">김형진</t>
    </r>
    <r>
      <rPr>
        <sz val="8"/>
        <rFont val="Droid Sans"/>
        <family val="0"/>
        <charset val="1"/>
      </rPr>
      <t xml:space="preserve">)</t>
    </r>
  </si>
  <si>
    <t xml:space="preserve">Economist/Adjunct Professor</t>
  </si>
  <si>
    <t xml:space="preserve">Reddit r/worldnews</t>
  </si>
  <si>
    <t xml:space="preserve">Japan election: Shinzo Abe and his policies are unpopular, so why are voters set to stick with him? https://t.co/mu3IsWdWhn</t>
  </si>
  <si>
    <t xml:space="preserve">Feed from r/worldnews.</t>
  </si>
  <si>
    <t xml:space="preserve">WorldNews</t>
  </si>
  <si>
    <t xml:space="preserve">Japan election: Shinzo Abe and his policies are unpopular, so why are voters set to stick with him? via /r/worldne… https://t.co/S5ucXW35OY</t>
  </si>
  <si>
    <t xml:space="preserve">Bot posting the current news stories from multiple subreddits — Automation done with @IFTTT</t>
  </si>
  <si>
    <t xml:space="preserve">Diann Rodgers-Healey</t>
  </si>
  <si>
    <t xml:space="preserve">Snap election gamble looks set to pay off for Japan's PM Shinzo Abe https://t.co/k3NkEqjdJH</t>
  </si>
  <si>
    <t xml:space="preserve">Dr Diann Rodgers-Healey is the Director of the Australian Centre for Leadership for Women (ACLW) a virtual Centre at http://t.co/krt1fF6iYR</t>
  </si>
  <si>
    <t xml:space="preserve">Sheila A. Smith</t>
  </si>
  <si>
    <t xml:space="preserve">Senior Fellow for Japan Studies @CFR_org. Author of Intimate Rivals (2015). Retweets are not endorsements. Views my own.</t>
  </si>
  <si>
    <t xml:space="preserve">Bloomberg Asia</t>
  </si>
  <si>
    <t xml:space="preserve">More than 100 million Japanese voters are poised to give Shinzo Abe a fresh mandate https://t.co/HBaVQSgNb0 https://t.co/GonjWuZdsn</t>
  </si>
  <si>
    <t xml:space="preserve">The official Twitter account for Bloomberg in Asia, bringing you the top stories in business from the region and around the world.</t>
  </si>
  <si>
    <r>
      <rPr>
        <sz val="8"/>
        <rFont val="Droid Sans"/>
        <family val="0"/>
        <charset val="1"/>
      </rPr>
      <t xml:space="preserve">Sampan Newspaper </t>
    </r>
    <r>
      <rPr>
        <sz val="8"/>
        <rFont val="Noto Sans CJK SC Regular"/>
        <family val="2"/>
      </rPr>
      <t xml:space="preserve">舢舨</t>
    </r>
  </si>
  <si>
    <t xml:space="preserve">"Japan’s prime minister, Shinzō Abe, has called a snap election to take advantage of opposition disarray and... https://t.co/vDPlT0VvEF</t>
  </si>
  <si>
    <t xml:space="preserve">Boston, MA</t>
  </si>
  <si>
    <t xml:space="preserve">The only bilingual Chinese-English newspaper in New England. Providing coverage of Asian American community affairs since 1972. RT's are not endorsements.</t>
  </si>
  <si>
    <t xml:space="preserve">Michael Fullilove</t>
  </si>
  <si>
    <t xml:space="preserve">Japan election 2017: Will voters stick with Shinzo Abe for fear of North Korea? | The Independent https://t.co/VwNEcNsAwj</t>
  </si>
  <si>
    <t xml:space="preserve">Sydney</t>
  </si>
  <si>
    <t xml:space="preserve">Executive Director of the @LowyInstitute in Sydney, Australia. Boyer Lecturer. Author of 'Rendezvous with Destiny' and 'A Larger Australia'.</t>
  </si>
  <si>
    <t xml:space="preserve">More than 100 million Japanese voters are poised to give Shinzo Abe a fresh mandate https://t.co/DHsFHgVl7E https://t.co/LtqsFx7prq</t>
  </si>
  <si>
    <t xml:space="preserve">Yazdgerd J Bilimoria</t>
  </si>
  <si>
    <t xml:space="preserve">RT @business: More than 100 million Japanese voters are poised to give Shinzo Abe a fresh mandate https://t.co/DHsFHgVl7E https://t.co/Ltqs…</t>
  </si>
  <si>
    <t xml:space="preserve">1978 - 2008.. LIFE made ME disgruntled! 2008 - NOW.. Time personified, my personality has turned to Ether!Jst an Xseptionl Advertising Copy writer..5EE89FA1 bbm</t>
  </si>
  <si>
    <t xml:space="preserve">More than 100 million Japanese voters are poised to give Shinzo Abe a fresh mandate https://t.co/Xq8Cpcbgcy https://t.co/nHI28QHz0W</t>
  </si>
  <si>
    <t xml:space="preserve">joe trader</t>
  </si>
  <si>
    <t xml:space="preserve">My American values: equality, tolerance, melting pot. political, economic and religious freedom. pursuit of happiness and justice for all.</t>
  </si>
  <si>
    <t xml:space="preserve">More than 100 million Japanese voters are poised to give Shinzo Abe a fresh mandate https://t.co/nwRKbHWwFS https://t.co/xcPJRBmEBy</t>
  </si>
  <si>
    <t xml:space="preserve">Анжелика Хинкус</t>
  </si>
  <si>
    <t xml:space="preserve">Хабаровск, Хабаровский край</t>
  </si>
  <si>
    <t xml:space="preserve">Учусь)))</t>
  </si>
  <si>
    <t xml:space="preserve">More than 100 million Japanese voters are poised to give Shinzo Abe a fresh mandate https://t.co/kCwkmDASpL https://t.co/31WGSut0JY</t>
  </si>
  <si>
    <t xml:space="preserve">blackbronze7@gmail.c</t>
  </si>
  <si>
    <t xml:space="preserve">Philadelphia, PA</t>
  </si>
  <si>
    <t xml:space="preserve">I'm not here for people's lies &amp; prejudices. I'll just say my piece &amp; stand as tall as I can &amp; to raise others up. And maybe bring some things to light✊🙀🔥👍🐉</t>
  </si>
  <si>
    <t xml:space="preserve">Bernard Williams</t>
  </si>
  <si>
    <t xml:space="preserve">jaimeotero_: More than 100 million Japanese voters are poised to give Shinzo Abe a fresh mandate https://t.co/2bvCBRrMBo …</t>
  </si>
  <si>
    <t xml:space="preserve">Chidi Luckyprince</t>
  </si>
  <si>
    <t xml:space="preserve">Milano</t>
  </si>
  <si>
    <t xml:space="preserve">Male</t>
  </si>
  <si>
    <t xml:space="preserve">Paul Jenks</t>
  </si>
  <si>
    <t xml:space="preserve">RT @mfullilove: Japan election 2017: Will voters stick with Shinzo Abe for fear of North Korea? | The Independent https://t.co/VwNEcNsAwj</t>
  </si>
  <si>
    <t xml:space="preserve">The Dry Continent</t>
  </si>
  <si>
    <t xml:space="preserve">IR Policy &amp; Economics Wonk, Grants &amp; Research, Human Rights, North East Asia, Aviation, Nonproliferation &amp; Cars: RT does not mean an endorsement just topical</t>
  </si>
  <si>
    <t xml:space="preserve">Canseco</t>
  </si>
  <si>
    <t xml:space="preserve">RT @BloombergAsia: More than 100 million Japanese voters are poised to give Shinzo Abe a fresh mandate https://t.co/HBaVQSgNb0 https://t.co…</t>
  </si>
  <si>
    <t xml:space="preserve">Puebla, México</t>
  </si>
  <si>
    <t xml:space="preserve">stay hungry and follow your dreams jack ma. Hey what's up! I'm Canseco from México, 24 years old nice too meet you 😉</t>
  </si>
  <si>
    <t xml:space="preserve">More than 100 million Japanese voters are poised to give Shinzo Abe a fresh mandate https://t.co/0Muo45y2jQ https://t.co/jJ81oLzJx0</t>
  </si>
  <si>
    <t xml:space="preserve">More than 100 million Japanese voters are poised to give Shinzo Abe a fresh mandate https://t.co/TIEmAriqVP https://t.co/7tN81yLXPi</t>
  </si>
  <si>
    <t xml:space="preserve">More than 100 million Japanese voters are poised to give Shinzo Abe a fresh mandate https://t.co/XP22CqYXOz https://t.co/LUp2OhzuAo</t>
  </si>
  <si>
    <t xml:space="preserve">Kessaikssa?</t>
  </si>
  <si>
    <t xml:space="preserve">Santiago Garcia H.</t>
  </si>
  <si>
    <t xml:space="preserve">Sara Gomez Arancibia</t>
  </si>
  <si>
    <t xml:space="preserve">Partager les nouvelles de cette petite planète terre! Share the news of this small planet earth!</t>
  </si>
  <si>
    <t xml:space="preserve">Aminu</t>
  </si>
  <si>
    <t xml:space="preserve">enzo f arcangeli</t>
  </si>
  <si>
    <t xml:space="preserve">RT @bpolitics: More than 100 million Japanese voters are poised to give Shinzo Abe a fresh mandate https://t.co/0Muo45y2jQ https://t.co/jJ8…</t>
  </si>
  <si>
    <t xml:space="preserve">Rio de Janeiro</t>
  </si>
  <si>
    <t xml:space="preserve">@BHLBlog libertarian,Inn.diff.(PhD) scholar,Regional Sci.,Urban sociologist. AISRe(RSA) founder,Erasmus co-inventor,Venice planner</t>
  </si>
  <si>
    <t xml:space="preserve">The European</t>
  </si>
  <si>
    <t xml:space="preserve">The European takes its readers on a thought provoking and objective tour of Business, Political, geo political and cultural initiatives.</t>
  </si>
  <si>
    <t xml:space="preserve">batasearoyal</t>
  </si>
  <si>
    <r>
      <rPr>
        <sz val="8"/>
        <rFont val="Droid Sans"/>
        <family val="0"/>
        <charset val="1"/>
      </rPr>
      <t xml:space="preserve">Japan election: Shinzo Abe and his policies are unpopular, so why are voters set to stick with him? https://t.co/V0g4IBeCdN @abcnews</t>
    </r>
    <r>
      <rPr>
        <sz val="8"/>
        <rFont val="Noto Sans CJK SC Regular"/>
        <family val="2"/>
      </rPr>
      <t xml:space="preserve">より</t>
    </r>
  </si>
  <si>
    <t xml:space="preserve">Fukuoka,JPN</t>
  </si>
  <si>
    <r>
      <rPr>
        <sz val="8"/>
        <rFont val="Droid Sans"/>
        <family val="0"/>
        <charset val="1"/>
      </rPr>
      <t xml:space="preserve">line.</t>
    </r>
    <r>
      <rPr>
        <sz val="8"/>
        <rFont val="Noto Sans CJK SC Regular"/>
        <family val="2"/>
      </rPr>
      <t xml:space="preserve">インスタ垢有り〼、探してみてください。</t>
    </r>
  </si>
  <si>
    <t xml:space="preserve">UxbEconomist07</t>
  </si>
  <si>
    <t xml:space="preserve">City - Trading, Economics, Stocks, Forex, Commodities. Sports - NFL, Rugby, Cricket, Golf, Chelsea FC, Wing Chun. Science &amp; Nature - Birds, Cosmology. #Flexcit</t>
  </si>
  <si>
    <t xml:space="preserve">Adam Cheung</t>
  </si>
  <si>
    <t xml:space="preserve">RT @SampanNewspaper: "Japan’s prime minister, Shinzō Abe, has called a snap election to take advantage of opposition disarray and... https:…</t>
  </si>
  <si>
    <t xml:space="preserve">Jamaica Plain, MA</t>
  </si>
  <si>
    <t xml:space="preserve">Kung Fu Stay at home Dad</t>
  </si>
  <si>
    <t xml:space="preserve">Hidetoshi Azuma</t>
  </si>
  <si>
    <t xml:space="preserve">More than 100 million Japanese voters are poised to give Shinzo Abe a fresh mandate https://t.co/5gZnzTBeP1 via @bpolitics</t>
  </si>
  <si>
    <t xml:space="preserve">Global bridge-builder &amp; guru specializing in #geopolitics, #US/#Japan/#Eurasia/#Russia, #energy/#defense @apcoworldwide.</t>
  </si>
  <si>
    <t xml:space="preserve">Janie Cartney</t>
  </si>
  <si>
    <t xml:space="preserve">UK</t>
  </si>
  <si>
    <t xml:space="preserve">Woman. Wisdom not populism. United Kingdom. Isola di Sicilia. 'Sausage Dawg &amp; Mealie Puddin'. Regent Gallery Art &amp; Antique Consultants. PPC@PCC.. #GLOBALBRITAIN</t>
  </si>
  <si>
    <t xml:space="preserve">Dmitry Klimenko</t>
  </si>
  <si>
    <t xml:space="preserve">Москва, Россия</t>
  </si>
  <si>
    <t xml:space="preserve">Трейдер и просто хороший человек</t>
  </si>
  <si>
    <t xml:space="preserve">Nikkei Asian Review</t>
  </si>
  <si>
    <t xml:space="preserve">What he really cares about is rewriting Japan's constitution and little else. https://t.co/7asRJ7lb2z</t>
  </si>
  <si>
    <t xml:space="preserve">Tokyo</t>
  </si>
  <si>
    <t xml:space="preserve">The latest headlines from the Nikkei Asian Review. We tell untold stories about Asia, from Asia.</t>
  </si>
  <si>
    <t xml:space="preserve">Adrian Milano</t>
  </si>
  <si>
    <t xml:space="preserve">Japan’s Young Workers Get a Lift, and Its Leaders Profit - Prime Minister Shinzo Abe stands to benefit in Sunda... https://t.co/v1G2EjHir9</t>
  </si>
  <si>
    <t xml:space="preserve">Bojami Nguyen</t>
  </si>
  <si>
    <t xml:space="preserve">Japan’s Young Workers Get a Lift, and Its Leaders Profit - Prime Minister Shinzo Abe stands to benefit in Sunda... https://t.co/ca251hJbV4</t>
  </si>
  <si>
    <t xml:space="preserve">Alexandria, VA</t>
  </si>
  <si>
    <t xml:space="preserve">Jackie Meng</t>
  </si>
  <si>
    <r>
      <rPr>
        <sz val="8"/>
        <rFont val="Noto Sans CJK SC Regular"/>
        <family val="2"/>
      </rPr>
      <t xml:space="preserve">星座：金牛座</t>
    </r>
    <r>
      <rPr>
        <sz val="8"/>
        <rFont val="Droid Sans"/>
        <family val="0"/>
        <charset val="1"/>
      </rPr>
      <t xml:space="preserve">Taurus</t>
    </r>
    <r>
      <rPr>
        <sz val="8"/>
        <rFont val="Noto Sans CJK SC Regular"/>
        <family val="2"/>
      </rPr>
      <t xml:space="preserve">，行業：金融</t>
    </r>
    <r>
      <rPr>
        <sz val="8"/>
        <rFont val="Droid Sans"/>
        <family val="0"/>
        <charset val="1"/>
      </rPr>
      <t xml:space="preserve">Finance</t>
    </r>
    <r>
      <rPr>
        <sz val="8"/>
        <rFont val="Noto Sans CJK SC Regular"/>
        <family val="2"/>
      </rPr>
      <t xml:space="preserve">，工作領域：對沖基金</t>
    </r>
    <r>
      <rPr>
        <sz val="8"/>
        <rFont val="Droid Sans"/>
        <family val="0"/>
        <charset val="1"/>
      </rPr>
      <t xml:space="preserve">Hedge Fund</t>
    </r>
    <r>
      <rPr>
        <sz val="8"/>
        <rFont val="Noto Sans CJK SC Regular"/>
        <family val="2"/>
      </rPr>
      <t xml:space="preserve">，經常出沒：</t>
    </r>
    <r>
      <rPr>
        <sz val="8"/>
        <rFont val="Droid Sans"/>
        <family val="0"/>
        <charset val="1"/>
      </rPr>
      <t xml:space="preserve">pub</t>
    </r>
    <r>
      <rPr>
        <sz val="8"/>
        <rFont val="Noto Sans CJK SC Regular"/>
        <family val="2"/>
      </rPr>
      <t xml:space="preserve">，</t>
    </r>
    <r>
      <rPr>
        <sz val="8"/>
        <rFont val="Droid Sans"/>
        <family val="0"/>
        <charset val="1"/>
      </rPr>
      <t xml:space="preserve">lounge bar</t>
    </r>
    <r>
      <rPr>
        <sz val="8"/>
        <rFont val="Noto Sans CJK SC Regular"/>
        <family val="2"/>
      </rPr>
      <t xml:space="preserve">，</t>
    </r>
    <r>
      <rPr>
        <sz val="8"/>
        <rFont val="Droid Sans"/>
        <family val="0"/>
        <charset val="1"/>
      </rPr>
      <t xml:space="preserve">tennis court</t>
    </r>
    <r>
      <rPr>
        <sz val="8"/>
        <rFont val="Noto Sans CJK SC Regular"/>
        <family val="2"/>
      </rPr>
      <t xml:space="preserve">，</t>
    </r>
    <r>
      <rPr>
        <sz val="8"/>
        <rFont val="Droid Sans"/>
        <family val="0"/>
        <charset val="1"/>
      </rPr>
      <t xml:space="preserve">bowling alley</t>
    </r>
    <r>
      <rPr>
        <sz val="8"/>
        <rFont val="Noto Sans CJK SC Regular"/>
        <family val="2"/>
      </rPr>
      <t xml:space="preserve">，</t>
    </r>
    <r>
      <rPr>
        <sz val="8"/>
        <rFont val="Droid Sans"/>
        <family val="0"/>
        <charset val="1"/>
      </rPr>
      <t xml:space="preserve">natatorium</t>
    </r>
  </si>
  <si>
    <t xml:space="preserve">George Lavrov</t>
  </si>
  <si>
    <t xml:space="preserve">RT @NAR: What he really cares about is rewriting Japan's constitution and little else. https://t.co/7asRJ7lb2z</t>
  </si>
  <si>
    <t xml:space="preserve">San Rafael, CA </t>
  </si>
  <si>
    <t xml:space="preserve">George Lavrov was born and raised in Yokohama Japan. Attended SJC ('59) He is the author of Yokohama Gaijin.</t>
  </si>
  <si>
    <t xml:space="preserve">明らめる卍 🇯🇵🇦🇺🌈</t>
  </si>
  <si>
    <t xml:space="preserve">Shinzo Abe's selfish Japan election gamble https://t.co/gsJDwQAWJc</t>
  </si>
  <si>
    <t xml:space="preserve">🇯🇵 🇦🇺 </t>
  </si>
  <si>
    <r>
      <rPr>
        <sz val="8"/>
        <rFont val="Noto Sans CJK SC Regular"/>
        <family val="2"/>
      </rPr>
      <t xml:space="preserve">竹之内判官流小具足腰之廻。</t>
    </r>
    <r>
      <rPr>
        <sz val="8"/>
        <rFont val="Droid Sans"/>
        <family val="0"/>
        <charset val="1"/>
      </rPr>
      <t xml:space="preserve">Historian. Ex-Buddhist priest. Samurai history/culture/religion/current affairs/cuisine/gardens/language. The </t>
    </r>
    <r>
      <rPr>
        <sz val="8"/>
        <rFont val="Noto Sans CJK SC Regular"/>
        <family val="2"/>
      </rPr>
      <t xml:space="preserve">卍 </t>
    </r>
    <r>
      <rPr>
        <sz val="8"/>
        <rFont val="Droid Sans"/>
        <family val="0"/>
        <charset val="1"/>
      </rPr>
      <t xml:space="preserve">is a Japanese family crest.</t>
    </r>
  </si>
  <si>
    <t xml:space="preserve">yuuji</t>
  </si>
  <si>
    <t xml:space="preserve">SmartNews</t>
  </si>
  <si>
    <t xml:space="preserve">Goofygogo</t>
  </si>
  <si>
    <r>
      <rPr>
        <sz val="8"/>
        <rFont val="Droid Sans"/>
        <family val="0"/>
        <charset val="1"/>
      </rPr>
      <t xml:space="preserve">More than 100 million Japanese voters are poised to give Shinzo Abe a fresh mandate https://t.co/9oK8qI5LDH @bpolitics</t>
    </r>
    <r>
      <rPr>
        <sz val="8"/>
        <rFont val="Noto Sans CJK SC Regular"/>
        <family val="2"/>
      </rPr>
      <t xml:space="preserve">より</t>
    </r>
  </si>
  <si>
    <r>
      <rPr>
        <sz val="8"/>
        <rFont val="Noto Sans CJK SC Regular"/>
        <family val="2"/>
      </rPr>
      <t xml:space="preserve">ヒューマンエラー（</t>
    </r>
    <r>
      <rPr>
        <sz val="8"/>
        <rFont val="Droid Sans"/>
        <family val="0"/>
        <charset val="1"/>
      </rPr>
      <t xml:space="preserve">Human error</t>
    </r>
    <r>
      <rPr>
        <sz val="8"/>
        <rFont val="Noto Sans CJK SC Regular"/>
        <family val="2"/>
      </rPr>
      <t xml:space="preserve">）</t>
    </r>
    <r>
      <rPr>
        <sz val="8"/>
        <rFont val="Droid Sans"/>
        <family val="0"/>
        <charset val="1"/>
      </rPr>
      <t xml:space="preserve">:</t>
    </r>
    <r>
      <rPr>
        <sz val="8"/>
        <rFont val="Noto Sans CJK SC Regular"/>
        <family val="2"/>
      </rPr>
      <t xml:space="preserve">「意図しない結果を生じる人間の行為」 基本 チキンです。「疑う力」はある？</t>
    </r>
  </si>
  <si>
    <t xml:space="preserve">Open XML</t>
  </si>
  <si>
    <t xml:space="preserve">@zaogon What's going with this snap election in Japan and is it just Shinzo Abe taking advantage of the lack of negative press</t>
  </si>
  <si>
    <t xml:space="preserve">Somewhere in CA.</t>
  </si>
  <si>
    <t xml:space="preserve">I like music, video games, and art stuff. Formerly MisterBo</t>
  </si>
  <si>
    <t xml:space="preserve">Sou</t>
  </si>
  <si>
    <t xml:space="preserve">대한민국 서울</t>
  </si>
  <si>
    <r>
      <rPr>
        <sz val="8"/>
        <rFont val="Noto Sans CJK SC Regular"/>
        <family val="2"/>
      </rPr>
      <t xml:space="preserve">음악 </t>
    </r>
    <r>
      <rPr>
        <sz val="8"/>
        <rFont val="Droid Sans"/>
        <family val="0"/>
        <charset val="1"/>
      </rPr>
      <t xml:space="preserve">electronic and electrical /computer engineering </t>
    </r>
    <r>
      <rPr>
        <sz val="8"/>
        <rFont val="Noto Sans CJK SC Regular"/>
        <family val="2"/>
      </rPr>
      <t xml:space="preserve">대학생이에요 짆자루 짆자라니깐</t>
    </r>
    <r>
      <rPr>
        <sz val="8"/>
        <rFont val="Droid Sans"/>
        <family val="0"/>
        <charset val="1"/>
      </rPr>
      <t xml:space="preserve">? </t>
    </r>
    <r>
      <rPr>
        <sz val="8"/>
        <rFont val="Noto Sans CJK SC Regular"/>
        <family val="2"/>
      </rPr>
      <t xml:space="preserve">프사는 소녀전선의 수호요정 </t>
    </r>
    <r>
      <rPr>
        <sz val="8"/>
        <rFont val="Droid Sans"/>
        <family val="0"/>
        <charset val="1"/>
      </rPr>
      <t xml:space="preserve">/financial</t>
    </r>
  </si>
  <si>
    <t xml:space="preserve">ENG Portals</t>
  </si>
  <si>
    <t xml:space="preserve">New New : Japan election: Shinzo Abe's economy faces huge challenges - https://t.co/Kc3kgj91BX https://t.co/Rq7e3mXVz5</t>
  </si>
  <si>
    <t xml:space="preserve">AutoTweetEngPortals</t>
  </si>
  <si>
    <t xml:space="preserve">Leroy</t>
  </si>
  <si>
    <t xml:space="preserve">Japan election: Shinzo Abe and his policies are unpopular, so why are voters set to stick with him? https://t.co/kv7W8IhZXc by @rachelmealey</t>
  </si>
  <si>
    <t xml:space="preserve">Melbourne</t>
  </si>
  <si>
    <t xml:space="preserve">ALP member. Social Democrat. Tweets are mainly news, plus some history and general interest. *No tears for the creatures of the night*</t>
  </si>
  <si>
    <t xml:space="preserve">Anand K.Vajapeyam</t>
  </si>
  <si>
    <t xml:space="preserve">Japan election: Shinzo Abe's economy faces huge challenges https://t.co/hFNKhjaBlO via @CNNMoney</t>
  </si>
  <si>
    <t xml:space="preserve">BENGALURU</t>
  </si>
  <si>
    <t xml:space="preserve">The Above team of OUTREACH 2014 strongly believed in WE CAN &amp; WE WILL.Those were the days!!</t>
  </si>
  <si>
    <t xml:space="preserve">dehydratedpaani</t>
  </si>
  <si>
    <t xml:space="preserve">Admirer of Ramdev/SriSri/Pathmeda. Allergic to Congress/Sonia &amp; her Ford Foundation poodle Kejru. Passions: Gau Seva, Ayurved/Yog, Vegetarianism. Hindu Atheist.</t>
  </si>
  <si>
    <t xml:space="preserve">Victor Hui</t>
  </si>
  <si>
    <t xml:space="preserve">Christian, Singaporean, Diplomat. All tweets are solely my opinion and not those of the institutions I represent.</t>
  </si>
  <si>
    <t xml:space="preserve">Baahubali Pragnik</t>
  </si>
  <si>
    <t xml:space="preserve">Building and executing ideas for next generation!</t>
  </si>
  <si>
    <t xml:space="preserve">Martha Camacho-Rodri</t>
  </si>
  <si>
    <t xml:space="preserve">*Organizer &amp; tweeter for Dignity and Power Now *Working to eliminate AR-15 weapons/grenade launchers in 8 SoCal school districts</t>
  </si>
  <si>
    <t xml:space="preserve">Anand Rajhauns</t>
  </si>
  <si>
    <t xml:space="preserve">Pune</t>
  </si>
  <si>
    <t xml:space="preserve">Ironical that in a country where one of the most imp. WAR was fought for dharma, most of the politicians want to be on the side of dharmanirapeksha</t>
  </si>
  <si>
    <t xml:space="preserve">Hiromi Shane</t>
  </si>
  <si>
    <t xml:space="preserve">Election in Japan is happening this weekend!! I believe that Shinzo Abe is the perfect example why Prime Ministers should have term limits.</t>
  </si>
  <si>
    <t xml:space="preserve">why are you here?</t>
  </si>
  <si>
    <t xml:space="preserve">Rachel Mealey</t>
  </si>
  <si>
    <t xml:space="preserve">Japan election: Shinzo Abe and his policies are unpopular, so why are voters set to stick with him? https://t.co/f4CjPKYtjs via @abcnews</t>
  </si>
  <si>
    <t xml:space="preserve">Tokyo, Japan</t>
  </si>
  <si>
    <t xml:space="preserve">Tokyo Correspondent for the Australian Broadcasting Corporation (ABC)</t>
  </si>
  <si>
    <t xml:space="preserve">Japan voters poised to give Shinzo Abe fresh mandate as election nears https://t.co/LHkqW1ZBaA</t>
  </si>
  <si>
    <t xml:space="preserve">Japan voters poised to give Shinzo Abe fresh mandate as election nears https://t.co/haGPDNY74P</t>
  </si>
  <si>
    <t xml:space="preserve">Japan voters poised to give Shinzo Abe fresh mandate as election nears</t>
  </si>
  <si>
    <t xml:space="preserve">Japan voters poised to give Shinzo Abe fresh mandate as election nears https://t.co/pPKXgEdy2N https://t.co/gnrw4DFhKG</t>
  </si>
  <si>
    <t xml:space="preserve">Japan voters poised to give Shinzo Abe fresh mandate as election nears https://t.co/MiOa7yNVP2</t>
  </si>
  <si>
    <t xml:space="preserve">Japan voters poised to give Shinzo Abe fresh mandate as election nears https://t.co/Md5CqPfk4B</t>
  </si>
  <si>
    <t xml:space="preserve">The Kake and Moritomo scandals and the bureaucracy - https://t.co/jlI63zmtCQ Even if Prime Minister Shinzo Abe survives the election, he...</t>
  </si>
  <si>
    <t xml:space="preserve">Tran Nguyen</t>
  </si>
  <si>
    <t xml:space="preserve">Japan voters poised to give Shinzo Abe fresh mandate as election nears - Livemint https://t.co/lTQ6flgl6M</t>
  </si>
  <si>
    <t xml:space="preserve">Japan voters poised to give Shinzo Abe fresh mandate as election nears https://t.co/yMaw1N2ZrJ</t>
  </si>
  <si>
    <t xml:space="preserve">Ashish</t>
  </si>
  <si>
    <t xml:space="preserve">RT @livemint: Japan voters poised to give Shinzo Abe fresh mandate as election nears https://t.co/haGPDNY74P</t>
  </si>
  <si>
    <t xml:space="preserve">TRT World Now</t>
  </si>
  <si>
    <t xml:space="preserve">Candidates in Japan made a last-ditch plea to voters before an election expected to return Shinzo Abe to power… https://t.co/EA4xPiBspd</t>
  </si>
  <si>
    <t xml:space="preserve">Istanbul, Turkey</t>
  </si>
  <si>
    <t xml:space="preserve">Breaking news, live updates, and developing stories around the world. Follow @TRTWorld for in-depth coverage, features, videos and more.</t>
  </si>
  <si>
    <t xml:space="preserve">Daniel Sneider</t>
  </si>
  <si>
    <t xml:space="preserve">Jeffrey Kingston gives us everything you need to know about the Japanese election in The Atlantic: https://t.co/fWlzw1PpX3</t>
  </si>
  <si>
    <t xml:space="preserve">rvrbreeze</t>
  </si>
  <si>
    <t xml:space="preserve"> India.</t>
  </si>
  <si>
    <t xml:space="preserve">Jack of some trades, Master of one! Delete the words secular and socialist from our Constitution.</t>
  </si>
  <si>
    <t xml:space="preserve">TRT World</t>
  </si>
  <si>
    <t xml:space="preserve">Candidates in Japan made a last-ditch plea to voters before an election expected to return Shinzo Abe to power… https://t.co/qn314xzKNp</t>
  </si>
  <si>
    <t xml:space="preserve">Where news inspires change. Features, opinion, video, and in-depth coverage. Follow @TRTWorldNow for breaking news and live updates.</t>
  </si>
  <si>
    <t xml:space="preserve">mahinur</t>
  </si>
  <si>
    <t xml:space="preserve">RT @trtworld: Candidates in Japan made a last-ditch plea to voters before an election expected to return Shinzo Abe to power https://t.co/d…</t>
  </si>
  <si>
    <t xml:space="preserve">Balıkesir</t>
  </si>
  <si>
    <t xml:space="preserve">Doğa, Mimari, tasavvuf,...</t>
  </si>
  <si>
    <t xml:space="preserve">backer911</t>
  </si>
  <si>
    <t xml:space="preserve">Japan election: Shinzo Abe and his policies are unpopular, so why are voters set to stick with him? https://t.co/lrp5xSXsFG via @abcnews</t>
  </si>
  <si>
    <t xml:space="preserve">GURUGRAM</t>
  </si>
  <si>
    <t xml:space="preserve">Throughout life people will make you mad, disrespect you and treat you bad. Let God deal with the things they do, cause hate in your heart will consume you too</t>
  </si>
  <si>
    <t xml:space="preserve">Ateşli Oğlan</t>
  </si>
  <si>
    <t xml:space="preserve">More than 100 million Japanese voters are poised to give Shinzo Abe a fresh mandate https://t.co/AG45aMMqRO https://t.co/OAwZPOuUmX</t>
  </si>
  <si>
    <t xml:space="preserve">MR.NIYOM   WANGSAP</t>
  </si>
  <si>
    <t xml:space="preserve">More than 100 million Japanese voters are poised to give Shinzo Abe a fresh mandate https://t.co/9X45A0Tgbm via @bpolitics</t>
  </si>
  <si>
    <r>
      <rPr>
        <sz val="8"/>
        <rFont val="Droid Sans"/>
        <family val="0"/>
        <charset val="1"/>
      </rPr>
      <t xml:space="preserve">MI11-</t>
    </r>
    <r>
      <rPr>
        <sz val="8"/>
        <rFont val="Noto Sans CJK SC Regular"/>
        <family val="2"/>
      </rPr>
      <t xml:space="preserve">エムアイイレブン⇒</t>
    </r>
    <r>
      <rPr>
        <sz val="8"/>
        <rFont val="Droid Sans"/>
        <family val="0"/>
        <charset val="1"/>
      </rPr>
      <t xml:space="preserve">Ray☆</t>
    </r>
  </si>
  <si>
    <t xml:space="preserve">RT @bpolitics: More than 100 million Japanese voters are poised to give Shinzo Abe a fresh mandate https://t.co/AG45aMMqRO https://t.co/OAw…</t>
  </si>
  <si>
    <t xml:space="preserve">Japan⇒Small World Network</t>
  </si>
  <si>
    <r>
      <rPr>
        <sz val="8"/>
        <rFont val="Droid Sans"/>
        <family val="0"/>
        <charset val="1"/>
      </rPr>
      <t xml:space="preserve">☆A</t>
    </r>
    <r>
      <rPr>
        <sz val="8"/>
        <rFont val="Noto Sans CJK SC Regular"/>
        <family val="2"/>
      </rPr>
      <t xml:space="preserve">型</t>
    </r>
    <r>
      <rPr>
        <sz val="8"/>
        <rFont val="Droid Sans"/>
        <family val="0"/>
        <charset val="1"/>
      </rPr>
      <t xml:space="preserve">/size L/</t>
    </r>
    <r>
      <rPr>
        <sz val="8"/>
        <rFont val="Noto Sans CJK SC Regular"/>
        <family val="2"/>
      </rPr>
      <t xml:space="preserve">射手座</t>
    </r>
    <r>
      <rPr>
        <sz val="8"/>
        <rFont val="Droid Sans"/>
        <family val="0"/>
        <charset val="1"/>
      </rPr>
      <t xml:space="preserve">/Music/Movie/News/Dieu et mon droit.</t>
    </r>
    <r>
      <rPr>
        <sz val="8"/>
        <rFont val="Noto Sans CJK SC Regular"/>
        <family val="2"/>
      </rPr>
      <t xml:space="preserve">《神と我が権利》</t>
    </r>
    <r>
      <rPr>
        <sz val="8"/>
        <rFont val="Droid Sans"/>
        <family val="0"/>
        <charset val="1"/>
      </rPr>
      <t xml:space="preserve">Freelance equality fraternity</t>
    </r>
  </si>
  <si>
    <t xml:space="preserve">Billy D</t>
  </si>
  <si>
    <t xml:space="preserve">Eugene, OR</t>
  </si>
  <si>
    <t xml:space="preserve">Nomadic Software Engineer R.C.J. Resist #TrumpCrimeFamily Resist Trumpkin occupation Resist Trump® Pinche Trump® Con trolls get blocked #ResistanceUnited</t>
  </si>
  <si>
    <t xml:space="preserve">Sebastian Maslow</t>
  </si>
  <si>
    <t xml:space="preserve">My view on #Abe’s prospects in tomorrow’s election @DeutscheWelle: https://t.co/1KaknLedSN</t>
  </si>
  <si>
    <t xml:space="preserve">Tweetbot for Mac</t>
  </si>
  <si>
    <t xml:space="preserve">Kobe &amp; Tsukuba, Japan</t>
  </si>
  <si>
    <t xml:space="preserve">Assistant Professor, Graduate School of International Cooperation Studies, Kobe University. Japan politics &amp; East Asia security. RTs &amp; likes ≠ endorsements.</t>
  </si>
  <si>
    <t xml:space="preserve">Révolution Française</t>
  </si>
  <si>
    <t xml:space="preserve">U</t>
  </si>
  <si>
    <t xml:space="preserve">Il est temps d'aborder les grandes questions. Apolitique - Notre cible ? (presque) tout le monde</t>
  </si>
  <si>
    <t xml:space="preserve">HITC</t>
  </si>
  <si>
    <t xml:space="preserve">7 must-know facts about Japan’s snap election - will Shinzo Abe win? #uk #politics #shiinzoabe #japan #kibonoto https://t.co/0VFGb6hOPn</t>
  </si>
  <si>
    <t xml:space="preserve">HITC Tweet Service</t>
  </si>
  <si>
    <t xml:space="preserve">HITC, digitally native since 2000, bringing you news and sometime irreverent views, specialising in business, sport, tech, lifestyle, and politics.</t>
  </si>
  <si>
    <t xml:space="preserve">HITC Politics</t>
  </si>
  <si>
    <t xml:space="preserve">RT @HITCnews: 7 must-know facts about Japan’s snap election - will Shinzo Abe win? #uk #politics #shiinzoabe #japan #kibonoto https://t.co/…</t>
  </si>
  <si>
    <t xml:space="preserve">Gareth SAMBROOK</t>
  </si>
  <si>
    <t xml:space="preserve">Japan election: Shinzo Abe and his policies are unpopular, so why are voters set to stick with him? - ABC News https://t.co/YmCyN5pLxt</t>
  </si>
  <si>
    <t xml:space="preserve">Melbourne, AU</t>
  </si>
  <si>
    <t xml:space="preserve">Busy confounding people- any views are mine entirely &amp; in no way represent my family, friends or employer! Lets face it, they are not nearly as daft as me!</t>
  </si>
  <si>
    <t xml:space="preserve">Gaven Morris</t>
  </si>
  <si>
    <t xml:space="preserve">Japan election: Shinzo Abe and his policies are unpopular, so why are voters set to stick with him? https://t.co/tzs7yv07T4 via @abcnews</t>
  </si>
  <si>
    <t xml:space="preserve">Director, ABC News</t>
  </si>
  <si>
    <t xml:space="preserve">Mjjp</t>
  </si>
  <si>
    <t xml:space="preserve">RT @gavmorris: Japan election: Shinzo Abe and his policies are unpopular, so why are voters set to stick with him? https://t.co/tzs7yv07T4…</t>
  </si>
  <si>
    <t xml:space="preserve">sydney australia</t>
  </si>
  <si>
    <t xml:space="preserve">I have achieved so much through learning, knowledge &amp; experience that i accept i know nothing - each day i start again.</t>
  </si>
  <si>
    <t xml:space="preserve">Japan voters poised to give Shinzo Abe fresh mandate as election nears.. https://t.co/mX7vgVPQzv</t>
  </si>
  <si>
    <t xml:space="preserve">Rappler</t>
  </si>
  <si>
    <t xml:space="preserve">Prime Minister Shinzo Abe has called on voters to cast their ballots early to avoid bad weather. https://t.co/63yN8noTd4</t>
  </si>
  <si>
    <t xml:space="preserve">The Social News Network. Uncompromised journalism that inspires smart conversation and a thirst for change. We have an app for iOS, Android &amp; Windows8!</t>
  </si>
  <si>
    <t xml:space="preserve">Japan voters poised to give Shinzo Abe fresh mandate as election nears - https://t.co/d1qElKhMEa https://t.co/S9QZXu4otQ</t>
  </si>
  <si>
    <t xml:space="preserve">Aylin Çelik</t>
  </si>
  <si>
    <t xml:space="preserve">RT @TRTWorldNow: Candidates in Japan made a last-ditch plea to voters before an election expected to return Shinzo Abe to power https://t.c…</t>
  </si>
  <si>
    <t xml:space="preserve">Japan voters poised to give Shinzo Abe fresh mandate as election nears https://t.co/8q9PaDSIDy</t>
  </si>
  <si>
    <t xml:space="preserve">Japan voters poised to give Shinzo Abe fresh mandate as election nears https://t.co/uDz0mMx9Is https://t.co/cdiIe1GpI3</t>
  </si>
  <si>
    <t xml:space="preserve">Bloomberg View</t>
  </si>
  <si>
    <t xml:space="preserve">Japan's economic future, and Shinzo Abe's legacy, may well depend on this election https://t.co/FctH3nXT9O https://t.co/5Xc1WT0feb</t>
  </si>
  <si>
    <t xml:space="preserve">Opinions on everything from the editors and contributors of Bloomberg View. Sign up for our daily newsletter: https://t.co/j1vc1w9LMr</t>
  </si>
  <si>
    <t xml:space="preserve">예헌</t>
  </si>
  <si>
    <t xml:space="preserve">Japan election: Shinzo Abe's economy faces huge challenges https://t.co/JA1TXMt6wx</t>
  </si>
  <si>
    <t xml:space="preserve">미리벌</t>
  </si>
  <si>
    <t xml:space="preserve">百折不屈</t>
  </si>
  <si>
    <t xml:space="preserve">Prime Minister Shinzo Abe poised to become Japan’s longest-serving leader. https://t.co/GtSEb5FfIm https://t.co/JVKqer7NlZ</t>
  </si>
  <si>
    <t xml:space="preserve">Rich Justice</t>
  </si>
  <si>
    <t xml:space="preserve">Pennsylvania</t>
  </si>
  <si>
    <t xml:space="preserve">Tired &amp; retired but still learning ! ♒️ VietnamVet69 ☯️STOP WARS✌🏼peace</t>
  </si>
  <si>
    <t xml:space="preserve">Xania Tube</t>
  </si>
  <si>
    <t xml:space="preserve">Japan's pre-election polls forecast landslide victory for Shinzo Abe - https://t.co/8AfTETtqqQ #XaniaTube</t>
  </si>
  <si>
    <t xml:space="preserve">XaniaTube.com</t>
  </si>
  <si>
    <t xml:space="preserve">Belgium</t>
  </si>
  <si>
    <t xml:space="preserve">XaniaTube - Publish Any Videos. Import, stream or embed. Registered user has an advanced profile page access, can embed or upload videos. Join us now!</t>
  </si>
  <si>
    <t xml:space="preserve">More than 100 million Japanese voters are poised to give Shinzo Abe a fresh mandate https://t.co/BNCFQvhVY6 via @bpolitics</t>
  </si>
  <si>
    <t xml:space="preserve">(e,e)</t>
  </si>
  <si>
    <t xml:space="preserve">Yokohama JAPAN</t>
  </si>
  <si>
    <r>
      <rPr>
        <sz val="8"/>
        <rFont val="Droid Sans"/>
        <family val="0"/>
        <charset val="1"/>
      </rPr>
      <t xml:space="preserve">out of step ,</t>
    </r>
    <r>
      <rPr>
        <sz val="8"/>
        <rFont val="Noto Sans CJK SC Regular"/>
        <family val="2"/>
      </rPr>
      <t xml:space="preserve">にわか師</t>
    </r>
    <r>
      <rPr>
        <sz val="8"/>
        <rFont val="Droid Sans"/>
        <family val="0"/>
        <charset val="1"/>
      </rPr>
      <t xml:space="preserve">,</t>
    </r>
    <r>
      <rPr>
        <sz val="8"/>
        <rFont val="Noto Sans CJK SC Regular"/>
        <family val="2"/>
      </rPr>
      <t xml:space="preserve">ネコ中毒</t>
    </r>
    <r>
      <rPr>
        <sz val="8"/>
        <rFont val="Droid Sans"/>
        <family val="0"/>
        <charset val="1"/>
      </rPr>
      <t xml:space="preserve">(=^x^=) New York,Monky majik ,80's music</t>
    </r>
    <r>
      <rPr>
        <sz val="8"/>
        <rFont val="Noto Sans CJK SC Regular"/>
        <family val="2"/>
      </rPr>
      <t xml:space="preserve">（最近</t>
    </r>
    <r>
      <rPr>
        <sz val="8"/>
        <rFont val="Droid Sans"/>
        <family val="0"/>
        <charset val="1"/>
      </rPr>
      <t xml:space="preserve">70's</t>
    </r>
    <r>
      <rPr>
        <sz val="8"/>
        <rFont val="Noto Sans CJK SC Regular"/>
        <family val="2"/>
      </rPr>
      <t xml:space="preserve">も） </t>
    </r>
    <r>
      <rPr>
        <sz val="8"/>
        <rFont val="Droid Sans"/>
        <family val="0"/>
        <charset val="1"/>
      </rPr>
      <t xml:space="preserve">,Jazz,salsa, </t>
    </r>
    <r>
      <rPr>
        <sz val="8"/>
        <rFont val="Noto Sans CJK SC Regular"/>
        <family val="2"/>
      </rPr>
      <t xml:space="preserve">日本の将来が心配。本当に美しい国、世界に誇れるすてきな日本にしなくてはいけないとつくづく思う 今日 この頃。</t>
    </r>
  </si>
  <si>
    <t xml:space="preserve">Mike Walker</t>
  </si>
  <si>
    <t xml:space="preserve">More than 100 million Japanese voters are poised to give Shinzo Abe a fresh mandate https://t.co/N51LNBK9qW https://t.co/raM0DKSjAz</t>
  </si>
  <si>
    <t xml:space="preserve">On the road</t>
  </si>
  <si>
    <t xml:space="preserve">Former acting SecArmy &amp; deputy FEMA director narrative on analyzing threats, managing hazards, countering radicalization &amp; developing leaders</t>
  </si>
  <si>
    <t xml:space="preserve">WatsupEurope</t>
  </si>
  <si>
    <t xml:space="preserve">#Europe: Japan’s pre-election polls forecast landslide victory for Shinzo Abe https://t.co/DmVkJOpkMo</t>
  </si>
  <si>
    <t xml:space="preserve">watsupeurope</t>
  </si>
  <si>
    <t xml:space="preserve">Europe</t>
  </si>
  <si>
    <t xml:space="preserve">Europe's Latest News &amp; Entertainment. All Video. Follow For Instant News Updates @watsupeurope. FB: https://t.co/UeZIdec3H9</t>
  </si>
  <si>
    <t xml:space="preserve">1 News Net</t>
  </si>
  <si>
    <t xml:space="preserve">Japan's pre-election polls forecast landslide victory for Shinzo Abe - https://t.co/lidF2Om7fA https://t.co/iKCO4a0xf6</t>
  </si>
  <si>
    <t xml:space="preserve">1NewsNet</t>
  </si>
  <si>
    <t xml:space="preserve">1 NEWS NET News Videos Music VIdeos</t>
  </si>
  <si>
    <t xml:space="preserve">CarolineHamilton</t>
  </si>
  <si>
    <t xml:space="preserve">RT @New_Narrative: More than 100 million Japanese voters are poised to give Shinzo Abe a fresh mandate https://t.co/N51LNBK9qW https://t.co…</t>
  </si>
  <si>
    <t xml:space="preserve">Tweetbot for iΟS</t>
  </si>
  <si>
    <t xml:space="preserve">South Florida &amp; Maryland</t>
  </si>
  <si>
    <t xml:space="preserve">Security Risk Assessment Expert, Special Programs- Active Shooter, CMS Final Rule on Emergency Preparedness, RISKAlerts, Hospital Security, Facilities Risk</t>
  </si>
  <si>
    <t xml:space="preserve">Trending Newscast</t>
  </si>
  <si>
    <t xml:space="preserve">Japan's pre-election polls forecast landslide victory for Shinzo Abe https://t.co/nTtNaJ1Kys #breaking #world #news #video #today #watch #…</t>
  </si>
  <si>
    <t xml:space="preserve">Metro Detroit, MI</t>
  </si>
  <si>
    <t xml:space="preserve">Trending U.S. and world news videos and breaking livestreams via YouTube &amp; Daily Motion 📺 (part of DVNET). https://t.co/GgeW8DqffT and https://t.co/6TZzIifLqa</t>
  </si>
  <si>
    <t xml:space="preserve">Samar</t>
  </si>
  <si>
    <t xml:space="preserve">toosan</t>
  </si>
  <si>
    <t xml:space="preserve">Here’s What You Need to Know About the Upcoming Election in Japan - https://t.co/R8ZlGOX5Lm</t>
  </si>
  <si>
    <t xml:space="preserve">Post with Klout</t>
  </si>
  <si>
    <t xml:space="preserve">Sinjuku-ku, Tokyo, Japan</t>
  </si>
  <si>
    <r>
      <rPr>
        <sz val="8"/>
        <rFont val="Droid Sans"/>
        <family val="0"/>
        <charset val="1"/>
      </rPr>
      <t xml:space="preserve">I'm thinking to emigrate to Thailand after retirement. </t>
    </r>
    <r>
      <rPr>
        <sz val="8"/>
        <rFont val="Noto Sans CJK SC Regular"/>
        <family val="2"/>
      </rPr>
      <t xml:space="preserve">定年後の生活安定に向け、どれだけ準備できるのか？日々、情報収集・分析を行い、一歩踏み出すときに備えています。</t>
    </r>
  </si>
  <si>
    <t xml:space="preserve">Shrikant G. Shetey</t>
  </si>
  <si>
    <t xml:space="preserve">Prime Minister Shinzo Abe is betting it's in good enough shape to help him win a national election on Sunday. But cr…https://t.co/DJVQ6SraoK</t>
  </si>
  <si>
    <t xml:space="preserve">LinkedIn</t>
  </si>
  <si>
    <t xml:space="preserve">CEO of Payment and Healthcare Startups based in Gold Coast Australia set to disrupt finance and Healthcare industry. Bringing next stage of Internet Revolution.</t>
  </si>
  <si>
    <t xml:space="preserve">James CS Carrington</t>
  </si>
  <si>
    <t xml:space="preserve">Japan Election 2017: I stand with Shinzo ABE and the conservative Liberal Democratic Party.</t>
  </si>
  <si>
    <t xml:space="preserve">London, Reykjavik, JKT, Tokyo</t>
  </si>
  <si>
    <t xml:space="preserve">Radical Centrist. Supporter of United States of Europe. Pro-European. Future husband of Kim Sarang, South Korean actress &amp; Miss Korea 2000.</t>
  </si>
  <si>
    <t xml:space="preserve">Newsweek INT.</t>
  </si>
  <si>
    <t xml:space="preserve">Japan's PM is betting that fear of North Korea and a divided opposition will win him a landslide on Sunday's vote… https://t.co/7kklEb0xEF</t>
  </si>
  <si>
    <t xml:space="preserve">Newsweek International is a premium weekly news magazine and website, bringing high-quality journalism to readers around the globe for over 80 years.</t>
  </si>
  <si>
    <t xml:space="preserve">Japan's Shinzo Abe in Box Seat as Election Campaigning Wraps up https://t.co/5FpBULaYL7</t>
  </si>
  <si>
    <t xml:space="preserve">NEWS</t>
  </si>
  <si>
    <t xml:space="preserve">Japan Election: In North Korea's Shadow Shinzo Abe Gambles for Power https://t.co/91WX8HfTqS</t>
  </si>
  <si>
    <t xml:space="preserve">Earth</t>
  </si>
  <si>
    <t xml:space="preserve">RTs are not endorsement. #News #India #World #Editorials #Opinion #Comment #Columns #Live</t>
  </si>
  <si>
    <t xml:space="preserve">GzG</t>
  </si>
  <si>
    <t xml:space="preserve">RT @Newsweek_INT: Japan's PM is betting that fear of North Korea and a divided opposition will win him a landslide on Sunday's vote https:/…</t>
  </si>
  <si>
    <t xml:space="preserve">Never Never Land</t>
  </si>
  <si>
    <t xml:space="preserve">Not who you think I am. Politically Obsessed, GoldenAgeMysteryFan, FunnySometimes. Believe inTruth&amp;Justice,Retweeting&amp; the reality of Fred Astaire Movies</t>
  </si>
  <si>
    <t xml:space="preserve">Japan PM vows to step up pressure on North Korea to protect the Japanese people https://t.co/fF5rXVwAbF</t>
  </si>
  <si>
    <t xml:space="preserve">Japan PM vows to step up pressure on North Korea to protect the Japanese people https://t.co/fyGBy1rGdj</t>
  </si>
  <si>
    <t xml:space="preserve">RTGWorld</t>
  </si>
  <si>
    <t xml:space="preserve">Japan Election: In North Korea's Shadow, Shinzo Abe Gambles for Power | #NorthKorea #RTGWorld</t>
  </si>
  <si>
    <t xml:space="preserve">VINOD RAWAT</t>
  </si>
  <si>
    <t xml:space="preserve">Premier Shinzo Abe's ruling coalition seen to win Japans snap election Sunday @abeshinz #LDP #tokyo #JapanElection… https://t.co/obZn8TA7bH</t>
  </si>
  <si>
    <t xml:space="preserve">uniindianews</t>
  </si>
  <si>
    <t xml:space="preserve">Premier Shinzo Abe's ruling coalition seen to win Japans snap election Sunday @abeshinz #LDP #tokyo #JapanElection… https://t.co/sFQtrUrHH2</t>
  </si>
  <si>
    <t xml:space="preserve">New Delhi, Delhi</t>
  </si>
  <si>
    <t xml:space="preserve">United New of India-News Agnecy</t>
  </si>
  <si>
    <t xml:space="preserve">Japan PM vows to step up pressure on North Korea to protect the Japanese people https://t.co/9s8R3vJmsT</t>
  </si>
  <si>
    <t xml:space="preserve">Japan PM vows to step up pressure on North Korea to protect the Japanese people https://t.co/I4THIjQHUn</t>
  </si>
  <si>
    <t xml:space="preserve">OPENN HQ NEWS ®™</t>
  </si>
  <si>
    <t xml:space="preserve">#korea Japan Election: In North Korea's Shadow, Shinzo Abe Gambles for Power - Newsweek… https://t.co/xifQJy0skz</t>
  </si>
  <si>
    <t xml:space="preserve">europe</t>
  </si>
  <si>
    <t xml:space="preserve">♛OFFICIAL PUBLIC EUROPEAN♛ NETHERLANDS NETWORK - ROYAL ®©™ EUROPESE OMROEP - OPENN https://t.co/jN8bRM57I4 https://t.co/ic3I3JhWKj (300,000 members+)</t>
  </si>
  <si>
    <t xml:space="preserve">Cyrus S. Saiwalla</t>
  </si>
  <si>
    <t xml:space="preserve">RT @CNNnews18: Japan PM vows to step up pressure on North Korea to protect the Japanese people https://t.co/fF5rXVwAbF</t>
  </si>
  <si>
    <t xml:space="preserve">Retired from Business: Aviation: maint: https://t.co/LoMCsz4MG7.S. London: 15 yrs Mech engg. Proud to be Recipient :“Republic Day Parade”, 1966, New Delhi.</t>
  </si>
  <si>
    <t xml:space="preserve">iDEFY</t>
  </si>
  <si>
    <t xml:space="preserve">Japan Election: In North Korea's Shadow, Shinzo Abe Gambles for Power - Newsweek: https://t.co/jy1KbZa5xF</t>
  </si>
  <si>
    <t xml:space="preserve">everywhere</t>
  </si>
  <si>
    <t xml:space="preserve">Providing Global NATSEC+INFOSEC+OSINT News &amp; Info. Provoking thought. Tweets do not necessarily = endorsement or = iDefy POV's.</t>
  </si>
  <si>
    <t xml:space="preserve">Adwaith Sreekumar</t>
  </si>
  <si>
    <t xml:space="preserve">Coonoor, India</t>
  </si>
  <si>
    <t xml:space="preserve">VIT University</t>
  </si>
  <si>
    <t xml:space="preserve">...david jones</t>
  </si>
  <si>
    <t xml:space="preserve">#New Japan Election: In North Korea's Shadow, Shinzo Abe Gambles for Power https://t.co/XJ8ZPRurLx</t>
  </si>
  <si>
    <t xml:space="preserve">#DV #CSA  #Daniel_Morgan</t>
  </si>
  <si>
    <t xml:space="preserve">DAILY UK &amp; WORLDWIDE NEWS... Please RT or "Quote" etc. RECENT HEART ATTACK SURVIVOR. I ❤️❤️NHS. Just DON'T SHOOT THE MESSENGER !! NO Auto DM's. Thanks &amp; Enjoy.</t>
  </si>
  <si>
    <t xml:space="preserve">ASHWANI KUMAR GOYAL</t>
  </si>
  <si>
    <t xml:space="preserve">Love OpenMind bum su</t>
  </si>
  <si>
    <t xml:space="preserve">대한민국 충청북도</t>
  </si>
  <si>
    <t xml:space="preserve">💘 world 0 family 1 and 0friends always8 happy3 God's 1together 4💘mind good luck 7good luck 0world people 7friends 8💘 mind.</t>
  </si>
  <si>
    <t xml:space="preserve">Gary CCTV</t>
  </si>
  <si>
    <t xml:space="preserve">Japan Election: In North Korea's Shadow, Shinzo Abe Gambles for Power https://t.co/QOtSbhWtyy #ADI #CCTV #Cameras #News</t>
  </si>
  <si>
    <t xml:space="preserve">Yorkshire and The Humber</t>
  </si>
  <si>
    <t xml:space="preserve">Are you looking for a supplier of CCTV High definition or HD, closed circuit television cameras that will give you a very effective security system and Security</t>
  </si>
  <si>
    <t xml:space="preserve">OpenNewsWindows</t>
  </si>
  <si>
    <t xml:space="preserve">Japan Election: In North Korea’s Shadow, Shinzo Abe Gambles for Power https://t.co/ZcMKwGWECp https://t.co/xguxrlvsDz</t>
  </si>
  <si>
    <t xml:space="preserve">What You See Is What Is Trending</t>
  </si>
  <si>
    <t xml:space="preserve">Joe Mayami</t>
  </si>
  <si>
    <t xml:space="preserve">Japan Election: In North Korea’s Shadow, Shinzo Abe Gambles for Power https://t.co/HGHszZ7UgE https://t.co/13nqJLfzJQ</t>
  </si>
  <si>
    <t xml:space="preserve">Developer and Analyst</t>
  </si>
  <si>
    <t xml:space="preserve">Anointing lawal</t>
  </si>
  <si>
    <t xml:space="preserve">Japan Election: In North Korea’s Shadow, Shinzo Abe Gambles for Power https://t.co/luhamRgGnU https://t.co/AqzMxbeaUF</t>
  </si>
  <si>
    <t xml:space="preserve">Developer and Designer</t>
  </si>
  <si>
    <t xml:space="preserve">Anil Kumar Katiyar</t>
  </si>
  <si>
    <t xml:space="preserve">Punjab, India</t>
  </si>
  <si>
    <t xml:space="preserve">Mohit Varma</t>
  </si>
  <si>
    <t xml:space="preserve">CNNnews18: Japan PM vows to step up pressure on North Korea to protect the Japanese people https://t.co/Abx5hikjvO</t>
  </si>
  <si>
    <t xml:space="preserve">Journalist @News18India Always believe in God, because there are some questions that even Google can't answer... India First #Nationalist #Foodie #Traveller.</t>
  </si>
  <si>
    <t xml:space="preserve">governn1</t>
  </si>
  <si>
    <t xml:space="preserve">Japan's snap election Sunday should be a win for Shinzo Abe. That will be good news for investors.</t>
  </si>
  <si>
    <t xml:space="preserve">footbal it's my love #followback</t>
  </si>
  <si>
    <t xml:space="preserve">Missiya</t>
  </si>
  <si>
    <t xml:space="preserve">Why ‘unpopular’ PM #Abe is slated to win #Japan vote https://t.co/aGsvvRe0Gf</t>
  </si>
  <si>
    <t xml:space="preserve">Journaliste et Responsable éditorial multimédia à France 24. Auteure de Française et musulmane, pourquoi j'aime les terrasses et les mojitos</t>
  </si>
  <si>
    <t xml:space="preserve">#korea Japan Election: In North Korea's Shadow, Shinzo Abe Gambles for Power - Newsweek… https://t.co/2R8tBBW9q9</t>
  </si>
  <si>
    <t xml:space="preserve">Actu America</t>
  </si>
  <si>
    <t xml:space="preserve">Why ‘unpopular’ Japanese PM Abe is expected to win Sunday’s polls - https://t.co/VtCMIsRkiX</t>
  </si>
  <si>
    <t xml:space="preserve">News of the #world, #buisness, #politics, #health, #education, #science, #technology, #entertainment</t>
  </si>
  <si>
    <t xml:space="preserve">WorldNews_net</t>
  </si>
  <si>
    <t xml:space="preserve">Why ‘unpopular’ Japanese PM Abe is expected to win Sunday’s polls https://t.co/8HxkcMzt0U #France24 #news</t>
  </si>
  <si>
    <t xml:space="preserve">Breaking World News.</t>
  </si>
  <si>
    <t xml:space="preserve">Why ‘unpopular’ Japanese PM Abe is expected to win Sunday’s polls https://t.co/7lyUh9n9ro #BreakingNews https://t.co/xqhFbtz5EQ</t>
  </si>
  <si>
    <t xml:space="preserve">Yu mreža</t>
  </si>
  <si>
    <t xml:space="preserve">Why ‘unpopular’ Japanese PM Abe is expected to win Sunday’s polls https://t.co/0RZ57AWtZ9 #BreakingNews https://t.co/YWkykWcn8p</t>
  </si>
  <si>
    <t xml:space="preserve">Beograd</t>
  </si>
  <si>
    <t xml:space="preserve">Najveća kategorizovana baza/spisak domaćih sajtova - sajtova iz Srbije i ex-Yu. 24.000 sajtova na jednom mestu! Vesti iz minuta u minut! https://t.co/SN5wkQrEzw</t>
  </si>
  <si>
    <t xml:space="preserve">Why ‘unpopular’ Japanese PM Abe is expected to win Sunday’s polls https://t.co/UlD8xw3Vfa via @FRANCE24</t>
  </si>
  <si>
    <t xml:space="preserve">イオタ</t>
  </si>
  <si>
    <t xml:space="preserve">RT @asuka_250: Why ‘unpopular’ Japanese PM Abe is expected to win Sunday’s polls https://t.co/UlD8xw3Vfa via @FRANCE24</t>
  </si>
  <si>
    <t xml:space="preserve">WORLD NEWS</t>
  </si>
  <si>
    <t xml:space="preserve">Why ‘unpopular’ Japanese PM Abe is expected to win Sunday’s polls https://t.co/dkp5jLArHl</t>
  </si>
  <si>
    <t xml:space="preserve">The main world news. Breaking News, policy, chronicle, finance, sport, enviromental, scienze, health, etc.</t>
  </si>
  <si>
    <t xml:space="preserve">FRANCE 24</t>
  </si>
  <si>
    <t xml:space="preserve">Why ‘unpopular’ Japanese PM Abe is expected to win Sunday’s polls https://t.co/YFEF4fqjzE https://t.co/MBcVqx8DK5</t>
  </si>
  <si>
    <t xml:space="preserve">Paris, France</t>
  </si>
  <si>
    <t xml:space="preserve">🌍 International News 24/7, 4 languages: @France24_fr - @France24_en - 🆕 @France24_es - @France24_ar 📱 https://t.co/xDU6EWz22o ✉️ https://t.co/ZaaXsh7FeN</t>
  </si>
  <si>
    <t xml:space="preserve">命どぅ宝！いのちが一番！</t>
  </si>
  <si>
    <t xml:space="preserve">東京→長野→沖縄</t>
  </si>
  <si>
    <r>
      <rPr>
        <sz val="8"/>
        <rFont val="Noto Sans CJK SC Regular"/>
        <family val="2"/>
      </rPr>
      <t xml:space="preserve">世界中が笑顔でいてほしいから。辺野古新基地</t>
    </r>
    <r>
      <rPr>
        <sz val="8"/>
        <rFont val="Droid Sans"/>
        <family val="0"/>
        <charset val="1"/>
      </rPr>
      <t xml:space="preserve">NO! </t>
    </r>
    <r>
      <rPr>
        <sz val="8"/>
        <rFont val="Noto Sans CJK SC Regular"/>
        <family val="2"/>
      </rPr>
      <t xml:space="preserve">原発</t>
    </r>
    <r>
      <rPr>
        <sz val="8"/>
        <rFont val="Droid Sans"/>
        <family val="0"/>
        <charset val="1"/>
      </rPr>
      <t xml:space="preserve">NO! </t>
    </r>
    <r>
      <rPr>
        <sz val="8"/>
        <rFont val="Noto Sans CJK SC Regular"/>
        <family val="2"/>
      </rPr>
      <t xml:space="preserve">再稼働</t>
    </r>
    <r>
      <rPr>
        <sz val="8"/>
        <rFont val="Droid Sans"/>
        <family val="0"/>
        <charset val="1"/>
      </rPr>
      <t xml:space="preserve">NO! </t>
    </r>
    <r>
      <rPr>
        <sz val="8"/>
        <rFont val="Noto Sans CJK SC Regular"/>
        <family val="2"/>
      </rPr>
      <t xml:space="preserve">誰かを犠牲に成り立つ世界にさよならを！</t>
    </r>
  </si>
  <si>
    <t xml:space="preserve">All News Asia</t>
  </si>
  <si>
    <t xml:space="preserve">Asia from France24: Why ‘unpopular’ Japanese PM Abe is expected to win Sunday’s polls https://t.co/T9my3JbtNe</t>
  </si>
  <si>
    <t xml:space="preserve">South East Asia</t>
  </si>
  <si>
    <t xml:space="preserve">Breaking news from South East Asia : Politic, Economy, Sport, Media, Finance (a Bagatelle Enterprises company, curated by Wishtrend Thailand)</t>
  </si>
  <si>
    <t xml:space="preserve">Di Angelo_T</t>
  </si>
  <si>
    <t xml:space="preserve">RT @FRANCE24: Why ‘unpopular’ Japanese PM Abe is expected to win Sunday’s polls https://t.co/YFEF4fqjzE https://t.co/MBcVqx8DK5</t>
  </si>
  <si>
    <t xml:space="preserve">Belfast. Houston. France.</t>
  </si>
  <si>
    <t xml:space="preserve">#ReproRights Are #HumanRights. Angry. Fighting the Hateful Actions of Conservative Asshats Everywhere. #TheResistance #gopequalskkk #altrightequalskkk</t>
  </si>
  <si>
    <t xml:space="preserve">Finde Semana Redondo</t>
  </si>
  <si>
    <t xml:space="preserve">https://t.co/EqUUHZFYwi #Pamplona Why ‘unpopular’ Japanese PM Abe is expected to win Sunday’s polls https://t.co/JIa9V5N9x1</t>
  </si>
  <si>
    <t xml:space="preserve">Me gusta el fútbol por encima de cualquier cosa</t>
  </si>
  <si>
    <t xml:space="preserve">EuroBurghur</t>
  </si>
  <si>
    <t xml:space="preserve">It's my why; I own it. What beliefs does my thinking drive. Challenge historical thinking.</t>
  </si>
  <si>
    <t xml:space="preserve">Nonkanyiso Nombewu</t>
  </si>
  <si>
    <t xml:space="preserve">Twitter for BlackBerry®</t>
  </si>
  <si>
    <t xml:space="preserve">Africa Land </t>
  </si>
  <si>
    <t xml:space="preserve">Still searching....</t>
  </si>
  <si>
    <t xml:space="preserve">OriginalBADYOGAKITTY</t>
  </si>
  <si>
    <t xml:space="preserve">#Japan's PM is betting that fear of #NorthKorea and a divided opposition will win him a landslide on Sunday's vote https://t.co/yINix8hPHC</t>
  </si>
  <si>
    <t xml:space="preserve">worldwide</t>
  </si>
  <si>
    <t xml:space="preserve">Ⓥ Marketing/Biz Graduate #Politics #Books #Human &amp; #Indigenous Rights #Vegan Hates Cruelty/Bigotry #Art Judge a society by how it treats its VULNERABLE. NO DMs</t>
  </si>
  <si>
    <t xml:space="preserve">TWEET NEWS NETWORK</t>
  </si>
  <si>
    <t xml:space="preserve">USA.PHILIPPINES.CHINA.ARGNTINA</t>
  </si>
  <si>
    <t xml:space="preserve">This is the official twitter account of TWEET NEWS NETWORK TWEETING NEWS.! AROUND THE WORLD.!</t>
  </si>
  <si>
    <t xml:space="preserve">abdulrahman abosife</t>
  </si>
  <si>
    <t xml:space="preserve">عبدالرحمن ابوسيف</t>
  </si>
  <si>
    <t xml:space="preserve">SIFEBOOK</t>
  </si>
  <si>
    <t xml:space="preserve">トシ｡</t>
  </si>
  <si>
    <r>
      <rPr>
        <sz val="8"/>
        <rFont val="Noto Sans CJK SC Regular"/>
        <family val="2"/>
      </rPr>
      <t xml:space="preserve">個人事業主</t>
    </r>
    <r>
      <rPr>
        <sz val="8"/>
        <rFont val="Droid Sans"/>
        <family val="0"/>
        <charset val="1"/>
      </rPr>
      <t xml:space="preserve">/</t>
    </r>
    <r>
      <rPr>
        <sz val="8"/>
        <rFont val="Noto Sans CJK SC Regular"/>
        <family val="2"/>
      </rPr>
      <t xml:space="preserve">フリーランス</t>
    </r>
    <r>
      <rPr>
        <sz val="8"/>
        <rFont val="Droid Sans"/>
        <family val="0"/>
        <charset val="1"/>
      </rPr>
      <t xml:space="preserve">/</t>
    </r>
    <r>
      <rPr>
        <sz val="8"/>
        <rFont val="Noto Sans CJK SC Regular"/>
        <family val="2"/>
      </rPr>
      <t xml:space="preserve">プログラマ</t>
    </r>
    <r>
      <rPr>
        <sz val="8"/>
        <rFont val="Droid Sans"/>
        <family val="0"/>
        <charset val="1"/>
      </rPr>
      <t xml:space="preserve">/</t>
    </r>
    <r>
      <rPr>
        <sz val="8"/>
        <rFont val="Noto Sans CJK SC Regular"/>
        <family val="2"/>
      </rPr>
      <t xml:space="preserve">文系出身 </t>
    </r>
    <r>
      <rPr>
        <sz val="8"/>
        <rFont val="Droid Sans"/>
        <family val="0"/>
        <charset val="1"/>
      </rPr>
      <t xml:space="preserve">Monkey Bussines. </t>
    </r>
    <r>
      <rPr>
        <sz val="8"/>
        <rFont val="Noto Sans CJK SC Regular"/>
        <family val="2"/>
      </rPr>
      <t xml:space="preserve">興味あるもの</t>
    </r>
    <r>
      <rPr>
        <sz val="8"/>
        <rFont val="Droid Sans"/>
        <family val="0"/>
        <charset val="1"/>
      </rPr>
      <t xml:space="preserve">:</t>
    </r>
    <r>
      <rPr>
        <sz val="8"/>
        <rFont val="Noto Sans CJK SC Regular"/>
        <family val="2"/>
      </rPr>
      <t xml:space="preserve">海外旅行、歴史、ミリタリー、スタミナ料理、サブカル、映画、落語、お笑い。</t>
    </r>
  </si>
  <si>
    <t xml:space="preserve">okolie marvellous</t>
  </si>
  <si>
    <t xml:space="preserve">Why ‘unpopular’ Japanese PM Abe is expected to win Sunday’s polls: Japanese voters head to… https://t.co/MpThIyJK00</t>
  </si>
  <si>
    <t xml:space="preserve">NIGERIA</t>
  </si>
  <si>
    <t xml:space="preserve">Why talk when you can mock? Why hide your Face like I got Mace? Is it all an act or just a Fact. Maybe if you didn’t drool, you’d be cool. Ran out of room boom,</t>
  </si>
  <si>
    <t xml:space="preserve">Why ‘unpopular’ Japanese PM Abe is expected to win Sunday’s polls https://t.co/BMkPMJW7ev</t>
  </si>
  <si>
    <t xml:space="preserve">global news</t>
  </si>
  <si>
    <t xml:space="preserve">Why ‘unpopular’ Japanese PM Abe is expected to win Sunday’s polls https://t.co/fWCN4qU4eq</t>
  </si>
  <si>
    <r>
      <rPr>
        <sz val="8"/>
        <rFont val="Noto Sans CJK SC Regular"/>
        <family val="2"/>
      </rPr>
      <t xml:space="preserve">くも</t>
    </r>
    <r>
      <rPr>
        <sz val="8"/>
        <rFont val="Droid Sans"/>
        <family val="0"/>
        <charset val="1"/>
      </rPr>
      <t xml:space="preserve">(</t>
    </r>
    <r>
      <rPr>
        <sz val="8"/>
        <rFont val="Noto Sans CJK SC Regular"/>
        <family val="2"/>
      </rPr>
      <t xml:space="preserve">　＾▽＾</t>
    </r>
    <r>
      <rPr>
        <sz val="8"/>
        <rFont val="Droid Sans"/>
        <family val="0"/>
        <charset val="1"/>
      </rPr>
      <t xml:space="preserve">)</t>
    </r>
  </si>
  <si>
    <t xml:space="preserve">東京のすみっこ</t>
  </si>
  <si>
    <r>
      <rPr>
        <sz val="8"/>
        <rFont val="Droid Sans"/>
        <family val="0"/>
        <charset val="1"/>
      </rPr>
      <t xml:space="preserve">GLAY</t>
    </r>
    <r>
      <rPr>
        <sz val="8"/>
        <rFont val="Noto Sans CJK SC Regular"/>
        <family val="2"/>
      </rPr>
      <t xml:space="preserve">と世の中に興味あり😄</t>
    </r>
    <r>
      <rPr>
        <sz val="8"/>
        <rFont val="Droid Sans"/>
        <family val="0"/>
        <charset val="1"/>
      </rPr>
      <t xml:space="preserve">/session22/</t>
    </r>
    <r>
      <rPr>
        <sz val="8"/>
        <rFont val="Noto Sans CJK SC Regular"/>
        <family val="2"/>
      </rPr>
      <t xml:space="preserve">クロスは最近微妙</t>
    </r>
    <r>
      <rPr>
        <sz val="8"/>
        <rFont val="Droid Sans"/>
        <family val="0"/>
        <charset val="1"/>
      </rPr>
      <t xml:space="preserve">/</t>
    </r>
    <r>
      <rPr>
        <sz val="8"/>
        <rFont val="Noto Sans CJK SC Regular"/>
        <family val="2"/>
      </rPr>
      <t xml:space="preserve">無言ﾌｫﾛｰすみません</t>
    </r>
    <r>
      <rPr>
        <sz val="8"/>
        <rFont val="Droid Sans"/>
        <family val="0"/>
        <charset val="1"/>
      </rPr>
      <t xml:space="preserve">/</t>
    </r>
    <r>
      <rPr>
        <sz val="8"/>
        <rFont val="Noto Sans CJK SC Regular"/>
        <family val="2"/>
      </rPr>
      <t xml:space="preserve">サッカー、ラジオについても</t>
    </r>
    <r>
      <rPr>
        <sz val="8"/>
        <rFont val="Droid Sans"/>
        <family val="0"/>
        <charset val="1"/>
      </rPr>
      <t xml:space="preserve">/</t>
    </r>
    <r>
      <rPr>
        <sz val="8"/>
        <rFont val="Noto Sans CJK SC Regular"/>
        <family val="2"/>
      </rPr>
      <t xml:space="preserve">社会人元転勤族</t>
    </r>
    <r>
      <rPr>
        <sz val="8"/>
        <rFont val="Droid Sans"/>
        <family val="0"/>
        <charset val="1"/>
      </rPr>
      <t xml:space="preserve">(</t>
    </r>
    <r>
      <rPr>
        <sz val="8"/>
        <rFont val="Noto Sans CJK SC Regular"/>
        <family val="2"/>
      </rPr>
      <t xml:space="preserve">北海道と東北いました</t>
    </r>
    <r>
      <rPr>
        <sz val="8"/>
        <rFont val="Droid Sans"/>
        <family val="0"/>
        <charset val="1"/>
      </rPr>
      <t xml:space="preserve">)</t>
    </r>
    <r>
      <rPr>
        <sz val="8"/>
        <rFont val="Noto Sans CJK SC Regular"/>
        <family val="2"/>
      </rPr>
      <t xml:space="preserve">現東京都民</t>
    </r>
  </si>
  <si>
    <t xml:space="preserve">Detektei - S.  Guard</t>
  </si>
  <si>
    <t xml:space="preserve">Japan election: Shinzo Abe's economy faces huge challenges https://t.co/YHJ1sgGrDp</t>
  </si>
  <si>
    <t xml:space="preserve">Wetzlar (DE) und Zürich (CH) - (EU)</t>
  </si>
  <si>
    <t xml:space="preserve">Kãmpfe aus Leidenschaft, siege mit stolz, verliere mit respekt aber gib niemals auf!</t>
  </si>
  <si>
    <t xml:space="preserve">Japan election: Shinzo Abe's economy faces huge challenges https://t.co/jvzf8SE26K</t>
  </si>
  <si>
    <t xml:space="preserve">Collected News</t>
  </si>
  <si>
    <t xml:space="preserve">Why ‘unpopular’ Japanese PM Abe is expected to win Sunday’s polls https://t.co/EmiX6Fm5Ji</t>
  </si>
  <si>
    <t xml:space="preserve">Various News, Videos, Opinions.</t>
  </si>
  <si>
    <t xml:space="preserve">Loretta Glama</t>
  </si>
  <si>
    <t xml:space="preserve">Southeastern USA</t>
  </si>
  <si>
    <t xml:space="preserve">passionate ab family, health, humanity, sun, sand'n'surf, clean water/food &amp; green earth</t>
  </si>
  <si>
    <t xml:space="preserve">FRANCE 24 English</t>
  </si>
  <si>
    <t xml:space="preserve">Why ‘unpopular’ Japanese PM Abe is expected to win Sunday’s polls https://t.co/cvLBuLmdPG https://t.co/YJTixRvwod</t>
  </si>
  <si>
    <t xml:space="preserve">🌍 The French international news channel live 24/7 from Paris - Follow us for top stories on #business, #politics and #sports - 🔴 Breaking Alerts: @BreakingF24</t>
  </si>
  <si>
    <t xml:space="preserve">Amanda Alverez</t>
  </si>
  <si>
    <t xml:space="preserve">Why ‘unpopular’ Japanese PM Abe is expected to win Sunday’s polls https://t.co/ZpMNfAq8q9</t>
  </si>
  <si>
    <t xml:space="preserve">California</t>
  </si>
  <si>
    <t xml:space="preserve">G Rated | Get FREE subscription - a Pro Christ, Family, Military, Police, Firemen, Constitution, Bible, Capitalism, Business, Liberty, Conservative, #MAGA</t>
  </si>
  <si>
    <t xml:space="preserve">Why ‘unpopular’ Japanese PM Abe is expected to win Sunday’s polls https://t.co/pecqsZPT7n https://t.co/zWA2ZeUNZB</t>
  </si>
  <si>
    <t xml:space="preserve">yasuko kurono</t>
  </si>
  <si>
    <t xml:space="preserve">RT @France24_en: Why ‘unpopular’ Japanese PM Abe is expected to win Sunday’s polls https://t.co/cvLBuLmdPG https://t.co/YJTixRvwod</t>
  </si>
  <si>
    <t xml:space="preserve">mike papadopoulos</t>
  </si>
  <si>
    <t xml:space="preserve">Andrés440</t>
  </si>
  <si>
    <t xml:space="preserve">Brandon, FL, USA</t>
  </si>
  <si>
    <t xml:space="preserve">Caribbean born, mix of Spanish,African,Dutch and Native American descend. Educated, Curious, Hard Worker, Perfectionist, History, life,nature and trees lover!</t>
  </si>
  <si>
    <t xml:space="preserve">Why ‘unpopular’ Japanese PM Abe is expected to win Sunday’s polls https://t.co/cj3fVq3KjM</t>
  </si>
  <si>
    <t xml:space="preserve">yua 🦋</t>
  </si>
  <si>
    <t xml:space="preserve">Japan is heading to the polls on Sunday in a snap election called by Prime Minister Shinzo Abe.</t>
  </si>
  <si>
    <t xml:space="preserve">japan🇯🇵</t>
  </si>
  <si>
    <r>
      <rPr>
        <sz val="8"/>
        <rFont val="Droid Sans"/>
        <family val="0"/>
        <charset val="1"/>
      </rPr>
      <t xml:space="preserve">🇯🇵20yr 🌹I love YOU so much Camila🌹 //Camila/1D/Ariana/Taylor/Justin/FifthHarmony/Little mix/Ftisland/Mrs . Green Apple/</t>
    </r>
    <r>
      <rPr>
        <sz val="8"/>
        <rFont val="Noto Sans CJK SC Regular"/>
        <family val="2"/>
      </rPr>
      <t xml:space="preserve">Ｍ</t>
    </r>
    <r>
      <rPr>
        <sz val="8"/>
        <rFont val="Droid Sans"/>
        <family val="0"/>
        <charset val="1"/>
      </rPr>
      <t xml:space="preserve">y first story///</t>
    </r>
  </si>
  <si>
    <t xml:space="preserve">Malou Tiquia</t>
  </si>
  <si>
    <t xml:space="preserve">This is my personal account. Follow if you want political commentaries and views. MA in Political Management, GWU. MPA and AB PolSci, UP-Diliman</t>
  </si>
  <si>
    <t xml:space="preserve">John Nilsson-Wright</t>
  </si>
  <si>
    <t xml:space="preserve">Looking ahead to Sunday, this looks like #Abe's election to lose. Sharp LDP turnaround from start of campaign. https://t.co/xf5Xw55XcJ</t>
  </si>
  <si>
    <t xml:space="preserve">Paris, Cambridge &amp; London</t>
  </si>
  <si>
    <t xml:space="preserve">Senior Lecturer, Japanese Politics and Int'l Relations, Cambridge; Senior Research Fellow for Northeast Asia, Chatham House &amp; nomadic husband of @LucyWilliamson</t>
  </si>
  <si>
    <t xml:space="preserve">Ahab</t>
  </si>
  <si>
    <t xml:space="preserve">Not a commie. Atheist, Republican, Neanderthal lover,science nerd, white whale harpoonist.</t>
  </si>
  <si>
    <t xml:space="preserve">Why ‘unpopular’ Japanese PM Abe is expected to win Sunday’s polls https://t.co/xrvFepQoy1</t>
  </si>
  <si>
    <t xml:space="preserve">PolticsNewz: Why ‘unpopular’ Japanese PM Abe is expected to win Sunday’s polls https://t.co/plA7jQNhl5</t>
  </si>
  <si>
    <t xml:space="preserve">End Times Synapse</t>
  </si>
  <si>
    <t xml:space="preserve">Japan Election: In North Korea's Shadow, Shinzo Abe Gambles for Power https://t.co/uPXS6NbDHY #Trending #News #Politics #Defense #Crisis</t>
  </si>
  <si>
    <t xml:space="preserve">Your news for the end of times aggregated from various sources (part of DVNET).</t>
  </si>
  <si>
    <t xml:space="preserve">3NovicesUK</t>
  </si>
  <si>
    <t xml:space="preserve">#3Novices : ‘Protect Japan!’ Protesters confront leader as North Korea’s World War 3 threats rise https://t.co/GxQB3FvKf4 PROTESTORS have…</t>
  </si>
  <si>
    <t xml:space="preserve">England, United Kingdom</t>
  </si>
  <si>
    <t xml:space="preserve">The First Online Media Updater Founder Meghashyam, Vaishnavi, Bharath</t>
  </si>
  <si>
    <t xml:space="preserve">caffeine free</t>
  </si>
  <si>
    <t xml:space="preserve">HK</t>
  </si>
  <si>
    <t xml:space="preserve">bisbille</t>
  </si>
  <si>
    <t xml:space="preserve">dans l'oeil du cyclone</t>
  </si>
  <si>
    <t xml:space="preserve">Retweter n'est pas acquiescer, Followback ou j' unfollow</t>
  </si>
  <si>
    <t xml:space="preserve">Nuclear War News</t>
  </si>
  <si>
    <t xml:space="preserve">#nuclearwar - 'Protect Japan!' Protesters confront leader as North Korea's World War 3 threats…… https://t.co/nS0ehqNCTR</t>
  </si>
  <si>
    <t xml:space="preserve">#WW3 has already started and it's only a matter of time before it turns #nuclear - Please Also Follow @northkorea247</t>
  </si>
  <si>
    <t xml:space="preserve">Why ‘unpopular’ Japanese PM Abe is expected to win Sunday’s polls https://t.co/cgrOcLsQr4 https://t.co/lNihZHvTpD</t>
  </si>
  <si>
    <t xml:space="preserve">Why ‘unpopular’ Japanese PM Abe is expected to win Sunday’s polls https://t.co/GhZGZiuhoM https://t.co/QlpBuCkJR5</t>
  </si>
  <si>
    <t xml:space="preserve">EndGameShow</t>
  </si>
  <si>
    <t xml:space="preserve">‘Protect Japan!’ Protesters confront leader as North Korea’s World War 3 threats rise https://t.co/Naoc2Uojty</t>
  </si>
  <si>
    <t xml:space="preserve">North Dakota</t>
  </si>
  <si>
    <t xml:space="preserve">Events leading to the next World War also National and International News... U.S. Navy Veteran</t>
  </si>
  <si>
    <t xml:space="preserve">PolticsNewz: Why ‘unpopular’ Japanese PM Abe is expected to win Sunday’s polls https://t.co/plA7jQNhl5 https://t.co/Ut5xxTgxbD</t>
  </si>
  <si>
    <t xml:space="preserve">siena</t>
  </si>
  <si>
    <t xml:space="preserve">SIENA-ITALIA</t>
  </si>
  <si>
    <t xml:space="preserve">Mark wengler</t>
  </si>
  <si>
    <t xml:space="preserve">RT @nukewarnews: #nuclearwar - 'Protect Japan!' Protesters confront leader as North Korea's World War 3 threats… https://t.co/YZni4pKWNh…</t>
  </si>
  <si>
    <t xml:space="preserve">perryville Missouri, USA</t>
  </si>
  <si>
    <t xml:space="preserve">liberal Demercate. like the unexplained. Wants to rid the planet of Nuclear Weapons. Music classical to mid 70's. still single.</t>
  </si>
  <si>
    <t xml:space="preserve">ibjen</t>
  </si>
  <si>
    <t xml:space="preserve">RT @EndGameShowWW3: ‘Protect Japan!’ Protesters confront leader as North Korea’s World War 3 threats rise https://t.co/Naoc2Uojty</t>
  </si>
  <si>
    <t xml:space="preserve">I follow bloggers, love saving money &amp; will retweet Military, important, or funny news. Sorry if too much, just important stuff to share!</t>
  </si>
  <si>
    <t xml:space="preserve">Japan🌸Unmasked🇯🇵</t>
  </si>
  <si>
    <t xml:space="preserve">Japan election: Shinzo Abe and his policies are unpopular, so why are voters set to stick with him? https://t.co/iAEM3wFvNj</t>
  </si>
  <si>
    <t xml:space="preserve">Japanese culture including topics like geisha, samurai, tea ceremony, gardens, kimonos, anime, music and the Japanese Language.</t>
  </si>
  <si>
    <t xml:space="preserve">PERRYBLAIR</t>
  </si>
  <si>
    <t xml:space="preserve">‘Protect Japan!’ Protesters confront leader as North Korea’s World War 3 threats rise https://t.co/RqKKOsMb5C</t>
  </si>
  <si>
    <t xml:space="preserve">I don't dwell on my age. It might limit what I can do. As long as I have my mind and health, it's just a number</t>
  </si>
  <si>
    <t xml:space="preserve">Indian Indra Singh</t>
  </si>
  <si>
    <t xml:space="preserve">Modiji's friend, Japan's Shinzo Abe in Box Seat as Election Campaigning Wraps up https://t.co/KS1xQGVQrN</t>
  </si>
  <si>
    <t xml:space="preserve">Kolkata, India</t>
  </si>
  <si>
    <t xml:space="preserve">Ajay Ghai</t>
  </si>
  <si>
    <t xml:space="preserve">Research Insights Expert</t>
  </si>
  <si>
    <t xml:space="preserve">Rocketnews</t>
  </si>
  <si>
    <t xml:space="preserve">Here&amp;#39;s What You Need to Know About the Upcoming Election in Japan | Shinzo Abe is poised to become the ... |… https://t.co/Iekkky9F74</t>
  </si>
  <si>
    <t xml:space="preserve">RocketNewsPosts</t>
  </si>
  <si>
    <t xml:space="preserve">Rocketnews is an aggregator of the top online news articles and stories from around the globe.</t>
  </si>
  <si>
    <t xml:space="preserve">Paris France News</t>
  </si>
  <si>
    <t xml:space="preserve">Why 'unpopular' Japanese PM Abe is expected to win Sunday's polls - https://t.co/OKERAacM5b #GoogleAlerts</t>
  </si>
  <si>
    <t xml:space="preserve">Paris France News : Michel Vincent Le Goff</t>
  </si>
  <si>
    <t xml:space="preserve">Simeon Borissov</t>
  </si>
  <si>
    <t xml:space="preserve">Japan's PM is betting that fear of North Korea and a divided opposition will win him a landslide on Sunday's vote https://t.co/CF9IWBt3nR</t>
  </si>
  <si>
    <t xml:space="preserve">Contemporary world</t>
  </si>
  <si>
    <t xml:space="preserve">Geologist, Mining engineer, Writer, Hunter</t>
  </si>
  <si>
    <t xml:space="preserve">The Times of London</t>
  </si>
  <si>
    <t xml:space="preserve">Shinzo Abe looks certain to secure an overwhelming victory in an election that has reshaped Japanese politics… https://t.co/ydKWOaeM4M</t>
  </si>
  <si>
    <t xml:space="preserve">Sprinklr</t>
  </si>
  <si>
    <t xml:space="preserve">The best of our journalism. Subscribe here: https://t.co/Kq4ItERnQC Speak to our customer service team: https://t.co/VIDSflmdIL</t>
  </si>
  <si>
    <t xml:space="preserve">Newsweek</t>
  </si>
  <si>
    <t xml:space="preserve">Japan's PM is betting that fear of North Korea and a divided opposition will win him a landslide on Sunday's vote… https://t.co/CGxgv7igWs</t>
  </si>
  <si>
    <t xml:space="preserve">Stay relevant. News and analysis on politics, science, technology, and culture.</t>
  </si>
  <si>
    <t xml:space="preserve">W.K. Heisenberg</t>
  </si>
  <si>
    <t xml:space="preserve">RT @Newsweek: Japan's PM is betting that fear of North Korea and a divided opposition will win him a landslide on Sunday's vote https://t.c…</t>
  </si>
  <si>
    <t xml:space="preserve">Around Sagittarius A*</t>
  </si>
  <si>
    <t xml:space="preserve">🇫🇷Aeronautics Engineer dealing now with Energy. MiddleEast frequent traveller. Tweets on Oil&amp;Gas, Aeronautics and Geopolitics mainly. AstrophysicsGeek....yes.</t>
  </si>
  <si>
    <t xml:space="preserve">The Mt. Shasta Trend</t>
  </si>
  <si>
    <t xml:space="preserve">Mount Shasta, CA</t>
  </si>
  <si>
    <t xml:space="preserve">Iouri Podladtchikovs tumblr,1 of millions of his https://t.co/mhrq0aazs5 @iouriamazing @bigairdemon @PyeongChangold @pipejackoff @airbornagain</t>
  </si>
  <si>
    <t xml:space="preserve">Michael Dinh</t>
  </si>
  <si>
    <t xml:space="preserve">SoCal of course... No where else I'd rather be.</t>
  </si>
  <si>
    <t xml:space="preserve">Fight the DEAD! Fear the LIVING!!</t>
  </si>
  <si>
    <t xml:space="preserve">Japan's PM is betting that fear of North Korea and a divided opposition will win him a landslide on Sunday's vote https://t.co/7443jMAKSn …</t>
  </si>
  <si>
    <t xml:space="preserve">Jason Pridgen</t>
  </si>
  <si>
    <t xml:space="preserve">RT @thetimes: Shinzo Abe looks certain to secure an overwhelming victory in an election that has reshaped Japanese politics https://t.co/e1…</t>
  </si>
  <si>
    <t xml:space="preserve">Ze Jason Pridgen App</t>
  </si>
  <si>
    <t xml:space="preserve">Westland, MI</t>
  </si>
  <si>
    <t xml:space="preserve">Will I Am biug Fan ! Go Michigan</t>
  </si>
  <si>
    <t xml:space="preserve">Serafeim Stasinos</t>
  </si>
  <si>
    <t xml:space="preserve">Athens, Greece.</t>
  </si>
  <si>
    <t xml:space="preserve">Έπεα πτερόεντα. Winged words. Repeated history and repeating history.</t>
  </si>
  <si>
    <t xml:space="preserve">Mary Findlay</t>
  </si>
  <si>
    <t xml:space="preserve">Godfrey Kāfir-Goy'</t>
  </si>
  <si>
    <t xml:space="preserve">Earth, EUrope, UNITED Kingdom, England, Kent.</t>
  </si>
  <si>
    <t xml:space="preserve">My Tweets,interesting RTs #Gaia #Humanity #UNITEDRepublicOfGreatBritain #NasLàidireCòmhla #SaveRedPandas #TigerTimeFamily #AtheistRollCall #AllahNExistePas∞</t>
  </si>
  <si>
    <t xml:space="preserve">Liz Carter</t>
  </si>
  <si>
    <t xml:space="preserve">Wife and Step-Mum with experience in delivering Prison Education.</t>
  </si>
  <si>
    <t xml:space="preserve">Trish Murphy</t>
  </si>
  <si>
    <t xml:space="preserve">Those who make peaceful revolution impossible will make violent revolution inevitable. John F. Kennedy</t>
  </si>
  <si>
    <t xml:space="preserve">D.  Aydin</t>
  </si>
  <si>
    <t xml:space="preserve">Penny Lane V</t>
  </si>
  <si>
    <t xml:space="preserve">Claudia Albanese</t>
  </si>
  <si>
    <t xml:space="preserve">Luxembourg</t>
  </si>
  <si>
    <t xml:space="preserve">Ph.D. @uni_lu 🔬👩🏻‍🔬 Scientist @royaleconsoc</t>
  </si>
  <si>
    <t xml:space="preserve">News Dingo</t>
  </si>
  <si>
    <t xml:space="preserve">Japan's Shinzo Abe in Box Seat as Election Campaigning Wraps up https://t.co/rcm01t4u3R https://t.co/dRZynED6ux</t>
  </si>
  <si>
    <t xml:space="preserve">ND Latest News</t>
  </si>
  <si>
    <t xml:space="preserve">Wherever news breaks (Global)</t>
  </si>
  <si>
    <t xml:space="preserve">News Dingo is the first truly global news aggregation service. News, news and more news.</t>
  </si>
  <si>
    <t xml:space="preserve">Mark in Dallas</t>
  </si>
  <si>
    <t xml:space="preserve">Dallas TX</t>
  </si>
  <si>
    <t xml:space="preserve">MBA-Finance. Blogger, trader, and concerned world citizen. Slightly to right of center but not crazy. Agnostic but not anti-religious.</t>
  </si>
  <si>
    <t xml:space="preserve">‘Protect Japan!’ Protesters confront leader as North Korea’s World War 3 threats rise https://t.co/0mBVJxG5LH https://t.co/ZGwxthmgAZ</t>
  </si>
  <si>
    <t xml:space="preserve">MySourceSpot</t>
  </si>
  <si>
    <t xml:space="preserve">Japan’s pre-election polls forecast landslide victory for Shinzo Abe https://t.co/Fr4Tmj6rJ3 https://t.co/BwWq49Imwk</t>
  </si>
  <si>
    <t xml:space="preserve">Periodical World</t>
  </si>
  <si>
    <t xml:space="preserve">Japan Election: In North Korea's Shadow, Shinzo Abe Gambles for Power https://t.co/8KrWdnJzpR</t>
  </si>
  <si>
    <t xml:space="preserve">News and features from around the world.</t>
  </si>
  <si>
    <t xml:space="preserve">NYI International</t>
  </si>
  <si>
    <t xml:space="preserve">Japan Election: In North Korea's Shadow, Shinzo Abe Gambles for Power https://t.co/qnISbIPwSS</t>
  </si>
  <si>
    <t xml:space="preserve">International</t>
  </si>
  <si>
    <t xml:space="preserve">International headlines from @nyinquirer</t>
  </si>
  <si>
    <t xml:space="preserve">Columnist World</t>
  </si>
  <si>
    <t xml:space="preserve">Japan Election: In North Korea's Shadow, Shinzo Abe Gambles for Power https://t.co/SLr5OMMS2j</t>
  </si>
  <si>
    <t xml:space="preserve">Breaking news from around the world. For headlines @TheCoIumnist | Business News @WeeklyJour | Opinion @ColumnistOpn</t>
  </si>
  <si>
    <t xml:space="preserve">Tribune World News</t>
  </si>
  <si>
    <t xml:space="preserve">Japan Election: In North Korea's Shadow, Shinzo Abe Gambles for Power https://t.co/b55b2hktxn</t>
  </si>
  <si>
    <t xml:space="preserve">Headlines news coverage from around the world from the @NYTRB. Also follow @TribuneUS for the latest news alert on US.</t>
  </si>
  <si>
    <t xml:space="preserve">ebirobu</t>
  </si>
  <si>
    <t xml:space="preserve">岩手県</t>
  </si>
  <si>
    <r>
      <rPr>
        <sz val="8"/>
        <rFont val="Noto Sans CJK SC Regular"/>
        <family val="2"/>
      </rPr>
      <t xml:space="preserve">万年寝不足。みんなでつくる放射線量マップ </t>
    </r>
    <r>
      <rPr>
        <sz val="8"/>
        <rFont val="Droid Sans"/>
        <family val="0"/>
        <charset val="1"/>
      </rPr>
      <t xml:space="preserve">https://t.co/yW5b9Gxikw</t>
    </r>
  </si>
  <si>
    <t xml:space="preserve">AllNews World</t>
  </si>
  <si>
    <t xml:space="preserve">Japan Election: In North Korea's Shadow, Shinzo Abe Gambles for Power https://t.co/gLeYuvIRJa</t>
  </si>
  <si>
    <t xml:space="preserve">Oscar del Rio.</t>
  </si>
  <si>
    <t xml:space="preserve">Why ‘unpopular’ Japanese PM Abe is expected to win Sunday’s polls https://t.co/Jmm8lAenIX https://t.co/qvqZCzyvmV</t>
  </si>
  <si>
    <t xml:space="preserve">Florida, USA</t>
  </si>
  <si>
    <t xml:space="preserve">Locutor cubano jubilado.-Retired Cuban Radio announcer- Para mi patria siempre mis mejores pensamientos y deseos.</t>
  </si>
  <si>
    <t xml:space="preserve">Pasi Pykälistö</t>
  </si>
  <si>
    <t xml:space="preserve">Helsinki</t>
  </si>
  <si>
    <t xml:space="preserve">Hyyh15 &amp; KyO</t>
  </si>
  <si>
    <t xml:space="preserve">Ladywhitepeace</t>
  </si>
  <si>
    <t xml:space="preserve">Why ‘unpopular’ Japanese PM Abe is expected to win Sunday’s polls https://t.co/MfJddtfcd1 https://t.co/Ltj5JmLqey</t>
  </si>
  <si>
    <t xml:space="preserve">Sydney Australia</t>
  </si>
  <si>
    <t xml:space="preserve">The Right in politics have forgotten what sort of past they want to preserve &amp; Left has forgotten what sort of future it wishes to realise. We're in the Middle!</t>
  </si>
  <si>
    <t xml:space="preserve">रींकेश</t>
  </si>
  <si>
    <t xml:space="preserve">RT @BloombergQuint: Prime Minister Shinzo Abe poised to become Japan’s longest-serving leader. https://t.co/GtSEb5FfIm https://t.co/JVKqer7…</t>
  </si>
  <si>
    <t xml:space="preserve">Mumbai, Surat, India</t>
  </si>
  <si>
    <t xml:space="preserve">CS Aspirant, Tech Enthusiastic, Music, Market, Money, MSDhoni, Masti, Moody.</t>
  </si>
  <si>
    <t xml:space="preserve">Why ‘unpopular’ Japanese PM Abe is expected to win Sunday’s polls https://t.co/cSzjediiHl</t>
  </si>
  <si>
    <t xml:space="preserve">Marie Valla</t>
  </si>
  <si>
    <t xml:space="preserve">Why ‘unpopular’ PM Abe is slated to win Japan vote https://t.co/ml6xOfrIDv @FRANCE24 @JDungelhoeff</t>
  </si>
  <si>
    <t xml:space="preserve">Rédactrice en Chef, Nouveaux Médias @FRANCE24</t>
  </si>
  <si>
    <t xml:space="preserve">NewsInn</t>
  </si>
  <si>
    <t xml:space="preserve">Japan: New term likely for Shinzo Abe and Liberal Democrats #election #northkorea https://t.co/7bCy8AnJcb https://t.co/gvHToNbHE8</t>
  </si>
  <si>
    <t xml:space="preserve">NewsInn.org</t>
  </si>
  <si>
    <t xml:space="preserve">An Artificial Intelligence Application created for aggregating, processing and delivering the news in an easy-to-understand fashion</t>
  </si>
  <si>
    <t xml:space="preserve">France &amp; Paris</t>
  </si>
  <si>
    <t xml:space="preserve">Why 'unpopular' Japanese PM Abe is expected to win Sunday's polls - FRANCE 24 https://t.co/AXQLPYxBUu</t>
  </si>
  <si>
    <t xml:space="preserve">France and paris travel tips</t>
  </si>
  <si>
    <t xml:space="preserve">France Forum</t>
  </si>
  <si>
    <t xml:space="preserve">Why 'unpopular' Japanese PM Abe is expected to win Sunday's polls - FRANCE 24 https://t.co/LUPP1qN1vE</t>
  </si>
  <si>
    <t xml:space="preserve">Want to travel in France, learn some easy words free here : http://t.co/fouHBAYU36</t>
  </si>
  <si>
    <t xml:space="preserve">neiro</t>
  </si>
  <si>
    <t xml:space="preserve">a small blue dot</t>
  </si>
  <si>
    <t xml:space="preserve">It's a matter of choice.</t>
  </si>
  <si>
    <t xml:space="preserve">Mark Thomas Geiger</t>
  </si>
  <si>
    <t xml:space="preserve">Japan's Shinzo Abe Gambles for Power in Snap Election. https://t.co/DBcZ5qy06O</t>
  </si>
  <si>
    <t xml:space="preserve">Pasadena, CA</t>
  </si>
  <si>
    <t xml:space="preserve">I am a California Army National Guard Retiree and Veteran of Operation Iraqi Freedom in 2005. I am a loyal patriot. I am also a TREKKER</t>
  </si>
  <si>
    <t xml:space="preserve">RT @JNilssonWright: Looking ahead to Sunday, this looks like #Abe's election to lose. Sharp LDP turnaround from start of campaign. https://…</t>
  </si>
  <si>
    <t xml:space="preserve">Shawn Holmgren</t>
  </si>
  <si>
    <t xml:space="preserve">Why ‘unpopular’ Japanese PM Abe is expected to win Sunday’s polls https://t.co/3rfGSdgMRA</t>
  </si>
  <si>
    <t xml:space="preserve">North Korea 24</t>
  </si>
  <si>
    <t xml:space="preserve">Protect Japan!' Protesters confront leader as North Korea's World War 3 threats rise - https://t.co/HEJ7bjooyN https://t.co/qNAyVptty5</t>
  </si>
  <si>
    <t xml:space="preserve">George Miyakawa</t>
  </si>
  <si>
    <t xml:space="preserve">Why ‘unpopular’ Japanese PM Abe is expected to win Sunday’s polls https://t.co/lCXp4srqo4</t>
  </si>
  <si>
    <t xml:space="preserve">東京都狛江市</t>
  </si>
  <si>
    <r>
      <rPr>
        <sz val="8"/>
        <rFont val="Droid Sans"/>
        <family val="0"/>
        <charset val="1"/>
      </rPr>
      <t xml:space="preserve">over70</t>
    </r>
    <r>
      <rPr>
        <sz val="8"/>
        <rFont val="Noto Sans CJK SC Regular"/>
        <family val="2"/>
      </rPr>
      <t xml:space="preserve">の暇人です。</t>
    </r>
    <r>
      <rPr>
        <sz val="8"/>
        <rFont val="Droid Sans"/>
        <family val="0"/>
        <charset val="1"/>
      </rPr>
      <t xml:space="preserve">bebop jazz</t>
    </r>
    <r>
      <rPr>
        <sz val="8"/>
        <rFont val="Noto Sans CJK SC Regular"/>
        <family val="2"/>
      </rPr>
      <t xml:space="preserve">と</t>
    </r>
    <r>
      <rPr>
        <sz val="8"/>
        <rFont val="Droid Sans"/>
        <family val="0"/>
        <charset val="1"/>
      </rPr>
      <t xml:space="preserve">sax</t>
    </r>
    <r>
      <rPr>
        <sz val="8"/>
        <rFont val="Noto Sans CJK SC Regular"/>
        <family val="2"/>
      </rPr>
      <t xml:space="preserve">を趣味としております。加齢とともにますます怒りっぽくなり、早起きと早寝になりました。夜は８時にネルトダウンです。福祉関係</t>
    </r>
    <r>
      <rPr>
        <sz val="8"/>
        <rFont val="Droid Sans"/>
        <family val="0"/>
        <charset val="1"/>
      </rPr>
      <t xml:space="preserve">NPO</t>
    </r>
    <r>
      <rPr>
        <sz val="8"/>
        <rFont val="Noto Sans CJK SC Regular"/>
        <family val="2"/>
      </rPr>
      <t xml:space="preserve">のお仕事してます。原発大反対です。</t>
    </r>
  </si>
  <si>
    <t xml:space="preserve">下川 拓平</t>
  </si>
  <si>
    <r>
      <rPr>
        <sz val="8"/>
        <rFont val="Noto Sans CJK SC Regular"/>
        <family val="2"/>
      </rPr>
      <t xml:space="preserve">専門</t>
    </r>
    <r>
      <rPr>
        <sz val="8"/>
        <rFont val="Droid Sans"/>
        <family val="0"/>
        <charset val="1"/>
      </rPr>
      <t xml:space="preserve">: </t>
    </r>
    <r>
      <rPr>
        <sz val="8"/>
        <rFont val="Noto Sans CJK SC Regular"/>
        <family val="2"/>
      </rPr>
      <t xml:space="preserve">数理システム理論。経済学部勤務。『主として大学の教育現場について「つぶやき」ます。』← 撤回。とにかくどうでもいい事だけつぶやく</t>
    </r>
    <r>
      <rPr>
        <sz val="8"/>
        <rFont val="Droid Sans"/>
        <family val="0"/>
        <charset val="1"/>
      </rPr>
      <t xml:space="preserve">(rt </t>
    </r>
    <r>
      <rPr>
        <sz val="8"/>
        <rFont val="Noto Sans CJK SC Regular"/>
        <family val="2"/>
      </rPr>
      <t xml:space="preserve">はその範囲ではない</t>
    </r>
    <r>
      <rPr>
        <sz val="8"/>
        <rFont val="Droid Sans"/>
        <family val="0"/>
        <charset val="1"/>
      </rPr>
      <t xml:space="preserve">)</t>
    </r>
  </si>
  <si>
    <t xml:space="preserve">DAILY SABAH</t>
  </si>
  <si>
    <t xml:space="preserve">Japanese brave typhoon conditions to vote in snap election, in which PM Shinzo Abe's party likely to score victory https://t.co/hxKA2pJQFe</t>
  </si>
  <si>
    <t xml:space="preserve">Istanbul</t>
  </si>
  <si>
    <t xml:space="preserve">Give us your ear for the latest headlines, special reports and interesting stories from Turkey and the world.</t>
  </si>
  <si>
    <t xml:space="preserve">パラナより愛をこめて</t>
  </si>
  <si>
    <t xml:space="preserve">Shinzo Abe expected to comfortably win Japan election https://t.co/LOHRBj0tUh via @ABCNews</t>
  </si>
  <si>
    <t xml:space="preserve">en Brasil</t>
  </si>
  <si>
    <t xml:space="preserve">二千十年に愛する妻と二人の息子たちとブラジルに移住しました、現在はパラナ州の首都クリチバよりブラジルの話題を中心につぶやいております。日本の憂える現状については知り得る範囲でコメントを書きたいと思います。</t>
  </si>
  <si>
    <t xml:space="preserve">Voting begins in Japan snap election in which PM Shinzo Abe is widely expected to win a comfortable majority… https://t.co/hTfvCbIbvi</t>
  </si>
  <si>
    <t xml:space="preserve">RT @TRTWorldNow: Voting begins in Japan snap election in which PM Shinzo Abe is widely expected to win a comfortable majority https://t.co/…</t>
  </si>
  <si>
    <t xml:space="preserve">Why ‘unpopular’ PM Abe is slated to win Japan vote https://t.co/UlD8xw3Vfa via @FRANCE24</t>
  </si>
  <si>
    <t xml:space="preserve">Upset12</t>
  </si>
  <si>
    <t xml:space="preserve">RT @asuka_250: Why ‘unpopular’ PM Abe is slated to win Japan vote https://t.co/UlD8xw3Vfa via @FRANCE24</t>
  </si>
  <si>
    <t xml:space="preserve">NothingAboutUs,WithoutUs!</t>
  </si>
  <si>
    <r>
      <rPr>
        <sz val="8"/>
        <rFont val="Noto Sans CJK SC Regular"/>
        <family val="2"/>
      </rPr>
      <t xml:space="preserve">自民党憲法改革草案に断固反対。恐るべきは隷属する市民の熱狂 </t>
    </r>
    <r>
      <rPr>
        <sz val="8"/>
        <rFont val="Droid Sans"/>
        <family val="0"/>
        <charset val="1"/>
      </rPr>
      <t xml:space="preserve">#</t>
    </r>
    <r>
      <rPr>
        <sz val="8"/>
        <rFont val="Noto Sans CJK SC Regular"/>
        <family val="2"/>
      </rPr>
      <t xml:space="preserve">立憲主義 </t>
    </r>
    <r>
      <rPr>
        <sz val="8"/>
        <rFont val="Droid Sans"/>
        <family val="0"/>
        <charset val="1"/>
      </rPr>
      <t xml:space="preserve">#</t>
    </r>
    <r>
      <rPr>
        <sz val="8"/>
        <rFont val="Noto Sans CJK SC Regular"/>
        <family val="2"/>
      </rPr>
      <t xml:space="preserve">対米独立 自守自立 </t>
    </r>
    <r>
      <rPr>
        <sz val="8"/>
        <rFont val="Droid Sans"/>
        <family val="0"/>
        <charset val="1"/>
      </rPr>
      <t xml:space="preserve">#</t>
    </r>
    <r>
      <rPr>
        <sz val="8"/>
        <rFont val="Noto Sans CJK SC Regular"/>
        <family val="2"/>
      </rPr>
      <t xml:space="preserve">日米地位協定 大本営発表 </t>
    </r>
    <r>
      <rPr>
        <sz val="8"/>
        <rFont val="Droid Sans"/>
        <family val="0"/>
        <charset val="1"/>
      </rPr>
      <t xml:space="preserve">#</t>
    </r>
    <r>
      <rPr>
        <sz val="8"/>
        <rFont val="Noto Sans CJK SC Regular"/>
        <family val="2"/>
      </rPr>
      <t xml:space="preserve">脱被曝 </t>
    </r>
    <r>
      <rPr>
        <sz val="8"/>
        <rFont val="Droid Sans"/>
        <family val="0"/>
        <charset val="1"/>
      </rPr>
      <t xml:space="preserve">#</t>
    </r>
    <r>
      <rPr>
        <sz val="8"/>
        <rFont val="Noto Sans CJK SC Regular"/>
        <family val="2"/>
      </rPr>
      <t xml:space="preserve">辺野古 </t>
    </r>
    <r>
      <rPr>
        <sz val="8"/>
        <rFont val="Droid Sans"/>
        <family val="0"/>
        <charset val="1"/>
      </rPr>
      <t xml:space="preserve">#</t>
    </r>
    <r>
      <rPr>
        <sz val="8"/>
        <rFont val="Noto Sans CJK SC Regular"/>
        <family val="2"/>
      </rPr>
      <t xml:space="preserve">棄民 脱官僚 </t>
    </r>
    <r>
      <rPr>
        <sz val="8"/>
        <rFont val="Droid Sans"/>
        <family val="0"/>
        <charset val="1"/>
      </rPr>
      <t xml:space="preserve">#</t>
    </r>
    <r>
      <rPr>
        <sz val="8"/>
        <rFont val="Noto Sans CJK SC Regular"/>
        <family val="2"/>
      </rPr>
      <t xml:space="preserve">日本会議 </t>
    </r>
    <r>
      <rPr>
        <sz val="8"/>
        <rFont val="Droid Sans"/>
        <family val="0"/>
        <charset val="1"/>
      </rPr>
      <t xml:space="preserve">#</t>
    </r>
    <r>
      <rPr>
        <sz val="8"/>
        <rFont val="Noto Sans CJK SC Regular"/>
        <family val="2"/>
      </rPr>
      <t xml:space="preserve">日米合同委員会 自発的隷従 </t>
    </r>
    <r>
      <rPr>
        <sz val="8"/>
        <rFont val="Droid Sans"/>
        <family val="0"/>
        <charset val="1"/>
      </rPr>
      <t xml:space="preserve">#</t>
    </r>
    <r>
      <rPr>
        <sz val="8"/>
        <rFont val="Noto Sans CJK SC Regular"/>
        <family val="2"/>
      </rPr>
      <t xml:space="preserve">分断統治 </t>
    </r>
    <r>
      <rPr>
        <sz val="8"/>
        <rFont val="Droid Sans"/>
        <family val="0"/>
        <charset val="1"/>
      </rPr>
      <t xml:space="preserve">#</t>
    </r>
    <r>
      <rPr>
        <sz val="8"/>
        <rFont val="Noto Sans CJK SC Regular"/>
        <family val="2"/>
      </rPr>
      <t xml:space="preserve">内閣人事局 電通 </t>
    </r>
    <r>
      <rPr>
        <sz val="8"/>
        <rFont val="Droid Sans"/>
        <family val="0"/>
        <charset val="1"/>
      </rPr>
      <t xml:space="preserve">#</t>
    </r>
    <r>
      <rPr>
        <sz val="8"/>
        <rFont val="Noto Sans CJK SC Regular"/>
        <family val="2"/>
      </rPr>
      <t xml:space="preserve">石井紘基 </t>
    </r>
    <r>
      <rPr>
        <sz val="8"/>
        <rFont val="Droid Sans"/>
        <family val="0"/>
        <charset val="1"/>
      </rPr>
      <t xml:space="preserve">#</t>
    </r>
    <r>
      <rPr>
        <sz val="8"/>
        <rFont val="Noto Sans CJK SC Regular"/>
        <family val="2"/>
      </rPr>
      <t xml:space="preserve">特別会計 緊急事態条項 </t>
    </r>
    <r>
      <rPr>
        <sz val="8"/>
        <rFont val="Droid Sans"/>
        <family val="0"/>
        <charset val="1"/>
      </rPr>
      <t xml:space="preserve">#Telescreen #Resistance</t>
    </r>
  </si>
  <si>
    <t xml:space="preserve">WorldpeacenoWar</t>
  </si>
  <si>
    <t xml:space="preserve">Time to do something, to let the people know about the true psychopathic world we live in. The daily propaganda to spread the lies must stop. NO NUKES NO WARS.</t>
  </si>
  <si>
    <t xml:space="preserve">merit</t>
  </si>
  <si>
    <t xml:space="preserve">🇹🇷 Tuncay ŞAHİN</t>
  </si>
  <si>
    <t xml:space="preserve">ISTANBUL</t>
  </si>
  <si>
    <t xml:space="preserve">İstiyorsan Hakk’a varmayı, meslek edin gönül almayı. Bırak saraylarda mermer olmayı, toprak ol bağrında güller yetişsin. Hz. Mevlana</t>
  </si>
  <si>
    <t xml:space="preserve">The Third Eye</t>
  </si>
  <si>
    <t xml:space="preserve">BBCNEWS 4:09pm JAPAN ELECTION VOTING BEGINS. Election comes after Shinzo Abe dissolved parliament EGYPT POLICE DEATHS. Officials...</t>
  </si>
  <si>
    <t xml:space="preserve">tvThirdEyeB</t>
  </si>
  <si>
    <t xml:space="preserve">Analyzed chyron "lower thirds" from BBC NEWS TV using OCR.. || https://t.co/6jk17i9xQ4 || More chans: https://t.co/4OvHgbwKpf || API: https://t.co/RRUoP52JVp</t>
  </si>
  <si>
    <t xml:space="preserve">BBCNEWS 4:10pm JAPAN ELECTION VOTING BEGINS. Election comes after Shinzo Abe dissolved parliament</t>
  </si>
  <si>
    <t xml:space="preserve">bazzittoo</t>
  </si>
  <si>
    <t xml:space="preserve">Japan election: Shinzo Abe's economy faces huge challenges https://t.co/JN9A0DBtsg via @CNNMoney</t>
  </si>
  <si>
    <t xml:space="preserve">Beirut ✌🏻</t>
  </si>
  <si>
    <t xml:space="preserve">Your only limit is YOU!</t>
  </si>
  <si>
    <t xml:space="preserve">ハマのシルバー</t>
  </si>
  <si>
    <t xml:space="preserve">政治と地震予知関係に興味</t>
  </si>
  <si>
    <t xml:space="preserve">Julie Dungelhoeff</t>
  </si>
  <si>
    <t xml:space="preserve">RT @MarieVallaF24: Why ‘unpopular’ PM Abe is slated to win Japan vote https://t.co/ml6xOfrIDv @FRANCE24 @JDungelhoeff</t>
  </si>
  <si>
    <t xml:space="preserve">Paris </t>
  </si>
  <si>
    <t xml:space="preserve">Reporter - France 24 Mes tweets n'engagent que moi.</t>
  </si>
  <si>
    <t xml:space="preserve">Shinzo Abe Set For Fresh Term As Japan Goes To Polls Amid North Korea Threats - NDTV https://t.co/6qShaQPmJU News!</t>
  </si>
  <si>
    <t xml:space="preserve">We Give Latest World Breaking News, Stay Tune Get Updates on Latest News.</t>
  </si>
  <si>
    <t xml:space="preserve">Rodger Varley</t>
  </si>
  <si>
    <t xml:space="preserve">‘Protect Japan!’ Protesters confront leader as North Korea’s World War 3 threats rise https://t.co/G51YnZrh2Y</t>
  </si>
  <si>
    <t xml:space="preserve">Believes a STRONG AMERICA is the greatest contributor to WORLD peace/prosperity = Donald Trump !</t>
  </si>
  <si>
    <t xml:space="preserve">NewsTwe.com</t>
  </si>
  <si>
    <t xml:space="preserve">https://t.co/ah7HQ0IgNR #WorldNews Shinzo Abe Set For Fresh Term As Japan Goes To Polls Amid North Korea Threats … https://t.co/87NCCghbcY</t>
  </si>
  <si>
    <t xml:space="preserve">All Reliable News just after they publish it. You can check my work at https://t.co/ZIL1mttDDN</t>
  </si>
  <si>
    <t xml:space="preserve">luimoreno</t>
  </si>
  <si>
    <t xml:space="preserve">Why ‘unpopular’ PM Abe is slated to win Japan vote https://t.co/iRXd0SWzFH</t>
  </si>
  <si>
    <t xml:space="preserve">ibirá</t>
  </si>
  <si>
    <t xml:space="preserve">Administrador de negócios</t>
  </si>
  <si>
    <t xml:space="preserve">SurvivalGear</t>
  </si>
  <si>
    <t xml:space="preserve">Protect Japan!' Protesters confront leader as North Korea's World War 3 threats rise -… https://t.co/bRyXhob3Hf vi… https://t.co/mHY4h9vzVl</t>
  </si>
  <si>
    <t xml:space="preserve">#survival #ww3 #apocalypse #shtf #zombies #disaster #preparedness #prepping #preppers #survivingskills #doomsday #tshtf #prepper</t>
  </si>
  <si>
    <t xml:space="preserve">Shinzo Abe’s ruling coalition expected to win decisively in Japan election https://t.co/KSaiCZP1pp</t>
  </si>
  <si>
    <t xml:space="preserve">Guardian World</t>
  </si>
  <si>
    <t xml:space="preserve">Shinzo Abe’s ruling coalition expected to win decisively in Japan election https://t.co/x1W65qgqfv</t>
  </si>
  <si>
    <t xml:space="preserve">All the latest from the foreign desk at the @Guardian in London and all points north, south, east and west</t>
  </si>
  <si>
    <t xml:space="preserve">RT @guardianworld: Shinzo Abe’s ruling coalition expected to win decisively in Japan election https://t.co/x1W65qgqfv</t>
  </si>
  <si>
    <t xml:space="preserve">むつ総研</t>
  </si>
  <si>
    <r>
      <rPr>
        <sz val="8"/>
        <rFont val="Noto Sans CJK SC Regular"/>
        <family val="2"/>
      </rPr>
      <t xml:space="preserve">英語非常勤講師 </t>
    </r>
    <r>
      <rPr>
        <sz val="8"/>
        <rFont val="Droid Sans"/>
        <family val="0"/>
        <charset val="1"/>
      </rPr>
      <t xml:space="preserve">/ Lecturer of English</t>
    </r>
  </si>
  <si>
    <t xml:space="preserve">Tarek</t>
  </si>
  <si>
    <t xml:space="preserve">Paulo Heleno</t>
  </si>
  <si>
    <t xml:space="preserve">Leiria, Portugal</t>
  </si>
  <si>
    <t xml:space="preserve">RT are not endorsements. Tweets in PT/EN</t>
  </si>
  <si>
    <t xml:space="preserve">guardianworld: Shinzo Abe’s ruling coalition expected to win decisively in Japan election https://t.co/xIAeZxYhbU</t>
  </si>
  <si>
    <t xml:space="preserve">Shinzo Abe’s ruling coalition expected to win decisively in Japan election https://t.co/uQ2Z8tG9Gz #guardian</t>
  </si>
  <si>
    <r>
      <rPr>
        <sz val="8"/>
        <rFont val="Noto Sans CJK SC Regular"/>
        <family val="2"/>
      </rPr>
      <t xml:space="preserve">ときどき</t>
    </r>
    <r>
      <rPr>
        <sz val="8"/>
        <rFont val="Droid Sans"/>
        <family val="0"/>
        <charset val="1"/>
      </rPr>
      <t xml:space="preserve">+happy</t>
    </r>
  </si>
  <si>
    <t xml:space="preserve">岬の先っぽの方に住んでいます。 地デジ受信困難＆携帯電波ときどき切断エリアから、ツィート練習してます。</t>
  </si>
  <si>
    <t xml:space="preserve">Richard Lazzara</t>
  </si>
  <si>
    <t xml:space="preserve">"Why ‘unpopular’ Japanese PM Abe is expected to win Sunday’s polls - France 24" ( https://t.co/ZaWa1CrYjP )</t>
  </si>
  <si>
    <t xml:space="preserve">twitthat</t>
  </si>
  <si>
    <t xml:space="preserve">Boulder,Colorado.USA.</t>
  </si>
  <si>
    <t xml:space="preserve">https://t.co/xGFIpE4BxO</t>
  </si>
  <si>
    <t xml:space="preserve">TOKYO (Reuters) - Japanese voters deliver their verdict on Prime Minister Shinzo Abe's nearly five years in power... https://t.co/XxXu3QGJAd</t>
  </si>
  <si>
    <t xml:space="preserve">Guardian Australia</t>
  </si>
  <si>
    <t xml:space="preserve">Shinzo Abe’s ruling coalition expected to win decisively in Japan election https://t.co/y8yQdkeJOh</t>
  </si>
  <si>
    <t xml:space="preserve">Latest news from Guardian Australia</t>
  </si>
  <si>
    <t xml:space="preserve">TOKYO (Reuters) - Japanese voters deliver their verdict on Prime Minister Shinzo Abe's nearly five years in… https://t.co/TdPeadOF53 #FB</t>
  </si>
  <si>
    <t xml:space="preserve">Pusat Sepatu Sports</t>
  </si>
  <si>
    <t xml:space="preserve">Shinzo Abe’s ruling coalition expected to win decisively in Japan election https://t.co/Y4tibWUqEj</t>
  </si>
  <si>
    <t xml:space="preserve">Tangerang</t>
  </si>
  <si>
    <t xml:space="preserve">Pusat Sepatu Sport, #Casual #Boots #Pantopel #Tracking untuk Pria n Wanita Import&amp;Lokal. #Ori#GradeOri#KWS melayani Ecer Grosir. WA/✉081352323249|PIN.2BBE8543</t>
  </si>
  <si>
    <t xml:space="preserve">alimuddin</t>
  </si>
  <si>
    <t xml:space="preserve">Shinzo Abe’s ruling coalition expected to win decisively in Japan election https://t.co/X734aFLG8t</t>
  </si>
  <si>
    <t xml:space="preserve">Shinzo Abe’s ruling coalition expected to win decisively in Japan election: https://t.co/DOZTmkFjph</t>
  </si>
  <si>
    <t xml:space="preserve">Google News CA</t>
  </si>
  <si>
    <t xml:space="preserve">Shinzo Abe's ruling coalition expected to win decisively in Japan election - The Guardian https://t.co/UOn2iZVPBC</t>
  </si>
  <si>
    <t xml:space="preserve">Breaking news, updates and tips from Google News.</t>
  </si>
  <si>
    <t xml:space="preserve">FUJITA YUH</t>
  </si>
  <si>
    <t xml:space="preserve">Virtual Seven Sisters</t>
  </si>
  <si>
    <r>
      <rPr>
        <sz val="8"/>
        <rFont val="Noto Sans CJK SC Regular"/>
        <family val="2"/>
      </rPr>
      <t xml:space="preserve">公立大学英語教員。ロックについてツイートするつもりだったのに・・イギリス思想史研究を再開したものの・・ </t>
    </r>
    <r>
      <rPr>
        <sz val="8"/>
        <rFont val="Droid Sans"/>
        <family val="0"/>
        <charset val="1"/>
      </rPr>
      <t xml:space="preserve">An English teacher working at a public university. Studying the intellectual history of Victorian Britain.</t>
    </r>
  </si>
  <si>
    <t xml:space="preserve">爺</t>
  </si>
  <si>
    <r>
      <rPr>
        <sz val="8"/>
        <rFont val="Noto Sans CJK SC Regular"/>
        <family val="2"/>
      </rPr>
      <t xml:space="preserve">アニメ好きの爺さんです。ﾅﾝﾂｯﾃ。</t>
    </r>
    <r>
      <rPr>
        <sz val="8"/>
        <rFont val="Droid Sans"/>
        <family val="0"/>
        <charset val="1"/>
      </rPr>
      <t xml:space="preserve">RT</t>
    </r>
    <r>
      <rPr>
        <sz val="8"/>
        <rFont val="Noto Sans CJK SC Regular"/>
        <family val="2"/>
      </rPr>
      <t xml:space="preserve">は必ずしも同意ではございませんのでお気を悪くなさらぬよう。恐縮です。</t>
    </r>
  </si>
  <si>
    <t xml:space="preserve">DJ LNR</t>
  </si>
  <si>
    <t xml:space="preserve">Shinzo Abe’s ruling coalition expected to win decisively in Japan election https://t.co/pSZvHAXMr3 The Guardian World News Voting is unde…</t>
  </si>
  <si>
    <t xml:space="preserve">Skype: Always online! Mixcloud/djlnr https://t.co/AbPC3My0ze wideband.records.tv@gmail.com DJLNR2@KIK DJLNR@zello</t>
  </si>
  <si>
    <t xml:space="preserve">World News Box</t>
  </si>
  <si>
    <t xml:space="preserve">Shinzo Abe’s ruling coalition expected to win decisively in Japan election https://t.co/0iQRF1typS</t>
  </si>
  <si>
    <t xml:space="preserve">World</t>
  </si>
  <si>
    <t xml:space="preserve">Euan</t>
  </si>
  <si>
    <t xml:space="preserve">RT @GuardianAus: Shinzo Abe’s ruling coalition expected to win decisively in Japan election https://t.co/y8yQdkeJOh</t>
  </si>
  <si>
    <t xml:space="preserve">Analyst, @ForeignBrief &amp; research intern, @LowyInstitute. Politics, the Pacific, foreign policy, human rights. RT ≠ endorsement. Can eat more pastizzi than you.</t>
  </si>
  <si>
    <t xml:space="preserve">UK140</t>
  </si>
  <si>
    <t xml:space="preserve">Shinzo Abe’s ruling coalition expected to win decisively in Japan election https://t.co/IJGjSa3Mq8</t>
  </si>
  <si>
    <t xml:space="preserve">Breaking UK news from the BBC, Sky and others.</t>
  </si>
  <si>
    <t xml:space="preserve">Shinzo Abe’s ruling coalition expected to win decisively in Japan election https://t.co/HLCwy4zM7X</t>
  </si>
  <si>
    <t xml:space="preserve">financenews009</t>
  </si>
  <si>
    <t xml:space="preserve">Shinzo Abe’s ruling coalition expected to win decisively in Japan election https://t.co/e5RS9eXwtv</t>
  </si>
  <si>
    <t xml:space="preserve">uk</t>
  </si>
  <si>
    <t xml:space="preserve">Tech Consultant http://t.co/gEooKHD775</t>
  </si>
  <si>
    <t xml:space="preserve">PR3SITATÁN PRIM3RA</t>
  </si>
  <si>
    <t xml:space="preserve">RT @UK140: Shinzo Abe’s ruling coalition expected to win decisively in Japan election https://t.co/IJGjSa3Mq8</t>
  </si>
  <si>
    <t xml:space="preserve">CHILE VAMOS CHILE</t>
  </si>
  <si>
    <t xml:space="preserve">LIBERTARÍAN RÉPUBLIC 🔻STOP NON PRODUCTIVE STATISM &amp; MONOPOLIC BUROCRACY 🇦🇷🇨🇱🇺🇾🇫🇷🇺🇸🇪🇸PROTOPY #PIÑ3RAenPRIM3RA #CAMBIEMOSCHILE</t>
  </si>
  <si>
    <t xml:space="preserve">Nicholas Kinberg</t>
  </si>
  <si>
    <t xml:space="preserve">St Louis, MO</t>
  </si>
  <si>
    <t xml:space="preserve">Web editor @WUPR, member of @AEI Executive Councils, research assistant at 'Creating a Federal Government.' Usual caveats.</t>
  </si>
  <si>
    <t xml:space="preserve">Japan Guide</t>
  </si>
  <si>
    <t xml:space="preserve">Japan's PM is betting that fear of North Korea and a divided opposition will win him a landslide on Sunday's vote https://t.co/LWro7VN7jQ</t>
  </si>
  <si>
    <t xml:space="preserve">I'm a certified Japan Tour Guide. Whenever you need in Japan or you have a plan to visit Japan, I offer you reasonable price to guide you.</t>
  </si>
  <si>
    <t xml:space="preserve">Japan's PM is betting that fear of North Korea and a divided opposition will win him a landslide on Sunday's vote https://t.co/Zl9UocQ4Jr</t>
  </si>
  <si>
    <t xml:space="preserve">My Daily Reporter</t>
  </si>
  <si>
    <t xml:space="preserve">Shinzo Abe’s ruling coalition expected to win decisively in Japan election https://t.co/coXQwnQHEX</t>
  </si>
  <si>
    <t xml:space="preserve">D S N 🔴</t>
  </si>
  <si>
    <t xml:space="preserve">Shinzo Abe’s ruling coalition expected to win decisively in #Japan election https://t.co/XCE6DW9s0v #DSNWorld</t>
  </si>
  <si>
    <t xml:space="preserve">Dreieich, Germany</t>
  </si>
  <si>
    <t xml:space="preserve">Are You In The Mood To Be Educated? #Animals #Education #Europe #Health #Politics #Science #Space #Tech #World Managed By Danny Shook. Please Refrain From DMs</t>
  </si>
  <si>
    <t xml:space="preserve">Shinzo Abe’s ruling coalition expected to win decisively in Japan election https://t.co/tgfO6hq7PP</t>
  </si>
  <si>
    <t xml:space="preserve">kristoferkawas</t>
  </si>
  <si>
    <t xml:space="preserve">TOKYO (Reuters) - Japanese voters deliver their verdict on Prime Minister Shinzo Abe's nearly five years in power … https://t.co/oFQFa5rpEy</t>
  </si>
  <si>
    <t xml:space="preserve">Charleston, SC</t>
  </si>
  <si>
    <t xml:space="preserve">I tweet about the IT world's most interesting products Iphone,Sumsung,Microsoft,Cisco I tweet also about what is happening in the USA Europe and M East.</t>
  </si>
  <si>
    <t xml:space="preserve">Global Issues Web</t>
  </si>
  <si>
    <t xml:space="preserve">Shinzo Abe’s ruling coalition expected to win decisively in Japan election https://t.co/Zx3sAewPGk https://t.co/r5ygl2WIeC</t>
  </si>
  <si>
    <t xml:space="preserve">Twibble.io</t>
  </si>
  <si>
    <t xml:space="preserve">Los Angeles, California, USA</t>
  </si>
  <si>
    <t xml:space="preserve">Forum on Global Issues, Geography, and Culture. In the interests of economic justice, sustainable development and universal human welfare.</t>
  </si>
  <si>
    <t xml:space="preserve">Shinzo Abe’s ruling coalition expected to win decisively in Japan election https://t.co/678YdeCWNL</t>
  </si>
  <si>
    <t xml:space="preserve">weathertweet</t>
  </si>
  <si>
    <t xml:space="preserve">Shinzo Abe’s ruling coalition expected to win decisively in Japan election https://t.co/mDxMQYaymt</t>
  </si>
  <si>
    <t xml:space="preserve">Cradely Heath</t>
  </si>
  <si>
    <t xml:space="preserve">web consultant</t>
  </si>
  <si>
    <t xml:space="preserve">PeterS</t>
  </si>
  <si>
    <t xml:space="preserve">Japan Election: In North Korea's Shadow, Shinzo Abe Gambles for Power - Newsweek https://t.co/4jT0yvwFcG</t>
  </si>
  <si>
    <t xml:space="preserve">Dark Side Of The Moon</t>
  </si>
  <si>
    <t xml:space="preserve">Verbum Dei/ Amor Omnia Vincit / The Truth Is Out There / AFC Ajax Amsterdam XXX / Married to Jenny / VERITAS HBS</t>
  </si>
  <si>
    <t xml:space="preserve">Shinzo Abe's ruling coalition expected to win decisively in Japan election - The Guardian https://t.co/wSCqwL1rsj</t>
  </si>
  <si>
    <t xml:space="preserve">Shinzo Abe’s ruling coalition expected to win decisively in Japan election: Uncertainly… https://t.co/xNsfvHqW7q</t>
  </si>
  <si>
    <t xml:space="preserve">LudmilaVajenina</t>
  </si>
  <si>
    <t xml:space="preserve">Shinzo Abe’s ruling coalition expected to win decisively in Japan election</t>
  </si>
  <si>
    <t xml:space="preserve">✈London✈Paris✈St.Petersburg✈</t>
  </si>
  <si>
    <t xml:space="preserve">#blogger ♥https://t.co/ClcsBfvSRl ♥ #art ✈ https://t.co/90THClCVRv ✈ https://t.co/wgKcfGcPHa</t>
  </si>
  <si>
    <t xml:space="preserve">Jmds Course</t>
  </si>
  <si>
    <t xml:space="preserve">Shinzo Abe’s ruling coalition expected to win decisively in Japan election https://t.co/VYKQD3zEnD</t>
  </si>
  <si>
    <t xml:space="preserve">Ongmv</t>
  </si>
  <si>
    <t xml:space="preserve">William Casey</t>
  </si>
  <si>
    <t xml:space="preserve">Api testing app - xd</t>
  </si>
  <si>
    <t xml:space="preserve">Shinzo Abe’s ruling coalition expected to win decisively in #Japan election https://t.co/6zzjaSR2jB #shinzoabe</t>
  </si>
  <si>
    <t xml:space="preserve">I💛my Shakha</t>
  </si>
  <si>
    <t xml:space="preserve">Shinzo Abe’s ruling coalition expected to win decisively in Japan election https://t.co/e8l27Ozvj2</t>
  </si>
  <si>
    <t xml:space="preserve">0RCR</t>
  </si>
  <si>
    <t xml:space="preserve">Supermom | Patriot | Social Activist | Frustrated Indian. Want to remove the mockery from democracy. Want to leave a better India for my children.</t>
  </si>
  <si>
    <t xml:space="preserve">AutoDCMation01</t>
  </si>
  <si>
    <t xml:space="preserve">[World News] Shinzo Abe's ruling coalition expected to win decisively in Japan election - The Guardian https://t.co/r7aFrGnMYI</t>
  </si>
  <si>
    <t xml:space="preserve">zohaib ayyaz</t>
  </si>
  <si>
    <t xml:space="preserve">Seekh lo kuch shareef saab. Japan is heading to the polls a month after Prime Minister Shinzo Abe called a snap election #plmn #nawazshareef</t>
  </si>
  <si>
    <t xml:space="preserve">Tripoli, LIBYA</t>
  </si>
  <si>
    <t xml:space="preserve">A man of science whose soul is made of arts &amp; religion. Knowledge of any kind interests me. Beauty is a weakness.</t>
  </si>
  <si>
    <t xml:space="preserve">信也</t>
  </si>
  <si>
    <t xml:space="preserve">群馬・安中市</t>
  </si>
  <si>
    <t xml:space="preserve">「民はなお滅びに向かっていた」 ※リツイートやいいねは必ずしも賛同をあらわすものではありません。</t>
  </si>
  <si>
    <t xml:space="preserve">Guardian US</t>
  </si>
  <si>
    <t xml:space="preserve">Shinzo Abe’s ruling coalition expected to win decisively in Japan election https://t.co/20XisVQRUz</t>
  </si>
  <si>
    <t xml:space="preserve">The Guardian's US coverage, conversations and reporters</t>
  </si>
  <si>
    <t xml:space="preserve">Fabiola González O.</t>
  </si>
  <si>
    <t xml:space="preserve">RT @GuardianUS: Shinzo Abe’s ruling coalition expected to win decisively in Japan election https://t.co/20XisVQRUz</t>
  </si>
  <si>
    <t xml:space="preserve">Moiz Esufally</t>
  </si>
  <si>
    <t xml:space="preserve">RT @BloombergTV: Japan PM Shinzo Abe’s early election gamble looks like it will pay off https://t.co/1nlrs5VqOc https://t.co/24P3YMgCeF</t>
  </si>
  <si>
    <t xml:space="preserve">colombo</t>
  </si>
  <si>
    <t xml:space="preserve">40year old male in businesswith a wife and 2 children</t>
  </si>
  <si>
    <t xml:space="preserve">Shinzo Abe’s ruling coalition expected to win decisively in Japan election https://t.co/peDFu0ZwA9</t>
  </si>
  <si>
    <t xml:space="preserve">JapanVisitor</t>
  </si>
  <si>
    <t xml:space="preserve">Shinzo Abe’s ruling coalition expected to win decisively in Japan election https://t.co/qno1iDzYOg</t>
  </si>
  <si>
    <t xml:space="preserve">Nagoya</t>
  </si>
  <si>
    <t xml:space="preserve">Orients You to life in Japan: Tokyo, Kyoto, Nagoya - onsen, manga, photography, culture &amp; much more.</t>
  </si>
  <si>
    <t xml:space="preserve">Au Lac</t>
  </si>
  <si>
    <t xml:space="preserve">Shinzo Abe’s ruling coalition expected to win decisively in Japan election https://t.co/MGUdkCJfUo</t>
  </si>
  <si>
    <t xml:space="preserve">Alex</t>
  </si>
  <si>
    <t xml:space="preserve">Shinzo Abe’s ruling coalition expected to win decisively in Japan election https://t.co/EefMjhRbtK</t>
  </si>
  <si>
    <t xml:space="preserve">Olukunle Adeosun</t>
  </si>
  <si>
    <t xml:space="preserve">Shinzo Abe’s ruling coalition expected to win decisively in Japan election https://t.co/KZJBRPUK8S</t>
  </si>
  <si>
    <t xml:space="preserve">mangesh damre</t>
  </si>
  <si>
    <t xml:space="preserve">Shinzo Abe's ruling coalition expected to win decisively in Japan election - The… https://t.co/iJ1MhVSSBG #news</t>
  </si>
  <si>
    <t xml:space="preserve">Trieste</t>
  </si>
  <si>
    <t xml:space="preserve">PhD (ITALY); Sometimes I just want to give it all up and become a handsome billioniare. -India https://t.co/sHEvJHVLEj</t>
  </si>
  <si>
    <t xml:space="preserve">Shahab</t>
  </si>
  <si>
    <t xml:space="preserve">How decisively Abe’s party wins the Japan Elections will help determine future of Tokyo’s #NorthKorea policy. https://t.co/P6L5MxfijM</t>
  </si>
  <si>
    <t xml:space="preserve">Writer at Olympic Media.</t>
  </si>
  <si>
    <t xml:space="preserve">ClipTrends</t>
  </si>
  <si>
    <t xml:space="preserve">#Japan's pre-#Election #POLLS #Forecast ... - #ClipTrends #VideoTrends #News_Politics #Al_Jazeera #Aljazeera… https://t.co/rbpauWYuKD</t>
  </si>
  <si>
    <t xml:space="preserve">Cliptrends</t>
  </si>
  <si>
    <t xml:space="preserve">https://t.co/Z00vvhuPm3 - Hot Trending Videos - Hot Trending Clips</t>
  </si>
  <si>
    <t xml:space="preserve">Markson</t>
  </si>
  <si>
    <t xml:space="preserve">Shinzo Abe’s ruling coalition expected to win decisively in #Japan election: Uncertainly over North Korea and its… https://t.co/5sQ3F9JPej</t>
  </si>
  <si>
    <t xml:space="preserve">Your favorite animator and NewsFeed editor.</t>
  </si>
  <si>
    <t xml:space="preserve">Shinzo Abe’s ruling coalition expected to win decisively in Japan election https://t.co/QoQSdOd7U6</t>
  </si>
  <si>
    <t xml:space="preserve">BBCNEWS 6:11pm JAPAN SNAP ELECTION. 118O candidates contest 465 seats in lower house JAPAN SNAP ELECTION. Shinzo Abe called for snap...</t>
  </si>
  <si>
    <t xml:space="preserve">Polls Everywhere</t>
  </si>
  <si>
    <t xml:space="preserve">RT @ClipTrends: #Japan's pre-#Election #POLLS #Forecast ... - #ClipTrends #VideoTrends #News_Politics #Al_Jazeera #Aljazeera https://t.co/P…</t>
  </si>
  <si>
    <t xml:space="preserve">Twitter Poll Bot</t>
  </si>
  <si>
    <t xml:space="preserve">We #RT #Polls from all over the world. Follow us if you love polls &amp; give your opinions. Cheers!👍✌️</t>
  </si>
  <si>
    <t xml:space="preserve">United News America</t>
  </si>
  <si>
    <t xml:space="preserve">TOKYO — Media polls indicate Japan’s Prime Minister Shinzo Abe’s ruling coalition will handily… https://t.co/uco3fOFvDA @UnitedNewsofUSA</t>
  </si>
  <si>
    <t xml:space="preserve">United States of America</t>
  </si>
  <si>
    <t xml:space="preserve">United News of America news syndication of all large US news agencies with US and global news distribution. UNoA rocks!!</t>
  </si>
  <si>
    <t xml:space="preserve">Jiro_MYZK</t>
  </si>
  <si>
    <t xml:space="preserve">More than 100 million Japanese voters are poised to give Shinzo Abe a fresh mandate https://t.co/4vY8ZzFomk via @bpolitics</t>
  </si>
  <si>
    <r>
      <rPr>
        <sz val="8"/>
        <rFont val="Noto Sans CJK SC Regular"/>
        <family val="2"/>
      </rPr>
      <t xml:space="preserve">時事・社会ネタ好きの某メディアの編集記者だよ。／</t>
    </r>
    <r>
      <rPr>
        <sz val="8"/>
        <rFont val="Droid Sans"/>
        <family val="0"/>
        <charset val="1"/>
      </rPr>
      <t xml:space="preserve">an Editorial Writer @ Web Medias</t>
    </r>
  </si>
  <si>
    <t xml:space="preserve">Video Contagion</t>
  </si>
  <si>
    <t xml:space="preserve">Japan's pre-election polls forecast landslide victory for Shinzo Abe https://t.co/c77pYOlMJn #breaking #news #video #trending #today #watch</t>
  </si>
  <si>
    <t xml:space="preserve">Metro Detroit</t>
  </si>
  <si>
    <t xml:space="preserve">Trending headline, sports and entertainment news videos, and popular videos today on Youtube. (Part of DVNET). https://t.co/NkwhT7moDA</t>
  </si>
  <si>
    <t xml:space="preserve">mehr6a6</t>
  </si>
  <si>
    <t xml:space="preserve">Shinzo Abe’s ruling coalition expected to win decisively in Japan election https://t.co/vKZ1D0Sgqb</t>
  </si>
  <si>
    <t xml:space="preserve">#Relax #Share #Connect #Follow</t>
  </si>
  <si>
    <t xml:space="preserve">FXTrader Hub</t>
  </si>
  <si>
    <t xml:space="preserve">Japan goes to the polls in snap election https://t.co/V05dUhCe6u Japan is heading to the polls a month after Prime Minister Shinzo Abe cal…</t>
  </si>
  <si>
    <t xml:space="preserve">Ramjanki Ashram</t>
  </si>
  <si>
    <t xml:space="preserve">Shinzo Abe Set For Fresh Term As Japan Goes To Polls Amid North Korea Threats https://t.co/hCZ9hRYqMK</t>
  </si>
  <si>
    <t xml:space="preserve">microcarpa</t>
  </si>
  <si>
    <t xml:space="preserve">Planet Earth,Japan</t>
  </si>
  <si>
    <r>
      <rPr>
        <sz val="8"/>
        <rFont val="Noto Sans CJK SC Regular"/>
        <family val="2"/>
      </rPr>
      <t xml:space="preserve">【</t>
    </r>
    <r>
      <rPr>
        <sz val="8"/>
        <rFont val="Droid Sans"/>
        <family val="0"/>
        <charset val="1"/>
      </rPr>
      <t xml:space="preserve">Gon out.Back son.Bizy Back son:)) </t>
    </r>
    <r>
      <rPr>
        <sz val="8"/>
        <rFont val="Noto Sans CJK SC Regular"/>
        <family val="2"/>
      </rPr>
      <t xml:space="preserve">多忙でしばらくあまりネットができません】関東⇔オアフ⇔関西⇔九州。 </t>
    </r>
    <r>
      <rPr>
        <sz val="8"/>
        <rFont val="Droid Sans"/>
        <family val="0"/>
        <charset val="1"/>
      </rPr>
      <t xml:space="preserve">LOHAS, #WildlIfe, #Permaculture, Ecosphere, Food therapy, #Meditation, #Taoism,&amp; #NONUKE!</t>
    </r>
  </si>
  <si>
    <t xml:space="preserve">War World News</t>
  </si>
  <si>
    <t xml:space="preserve">Protect Japan!' Protesters confront leader as North Korea's World War 3 threats rise - https://t.co/rC8ZeVn2tg https://t.co/unvPgynEGd</t>
  </si>
  <si>
    <t xml:space="preserve">Military and war news, created by @KrtNthny</t>
  </si>
  <si>
    <t xml:space="preserve">rbodpr</t>
  </si>
  <si>
    <t xml:space="preserve">Shinzo Abe’s ruling coalition expected to win decisively in Japan election https://t.co/8ixMrmpDjZ</t>
  </si>
  <si>
    <t xml:space="preserve">ecoda TOKYO JAPAN</t>
  </si>
  <si>
    <r>
      <rPr>
        <sz val="8"/>
        <rFont val="Droid Sans"/>
        <family val="0"/>
        <charset val="1"/>
      </rPr>
      <t xml:space="preserve">ROCK</t>
    </r>
    <r>
      <rPr>
        <sz val="8"/>
        <rFont val="Noto Sans CJK SC Regular"/>
        <family val="2"/>
      </rPr>
      <t xml:space="preserve">＆</t>
    </r>
    <r>
      <rPr>
        <sz val="8"/>
        <rFont val="Droid Sans"/>
        <family val="0"/>
        <charset val="1"/>
      </rPr>
      <t xml:space="preserve">VOLCANO</t>
    </r>
    <r>
      <rPr>
        <sz val="8"/>
        <rFont val="Noto Sans CJK SC Regular"/>
        <family val="2"/>
      </rPr>
      <t xml:space="preserve">＆</t>
    </r>
    <r>
      <rPr>
        <sz val="8"/>
        <rFont val="Droid Sans"/>
        <family val="0"/>
        <charset val="1"/>
      </rPr>
      <t xml:space="preserve">custom knife</t>
    </r>
  </si>
  <si>
    <t xml:space="preserve">砂田橋【公式】</t>
  </si>
  <si>
    <r>
      <rPr>
        <sz val="8"/>
        <rFont val="Droid Sans"/>
        <family val="0"/>
        <charset val="1"/>
      </rPr>
      <t xml:space="preserve">NGY</t>
    </r>
    <r>
      <rPr>
        <sz val="8"/>
        <rFont val="Noto Sans CJK SC Regular"/>
        <family val="2"/>
      </rPr>
      <t xml:space="preserve">高校</t>
    </r>
    <r>
      <rPr>
        <sz val="8"/>
        <rFont val="Droid Sans"/>
        <family val="0"/>
        <charset val="1"/>
      </rPr>
      <t xml:space="preserve">3</t>
    </r>
    <r>
      <rPr>
        <sz val="8"/>
        <rFont val="Noto Sans CJK SC Regular"/>
        <family val="2"/>
      </rPr>
      <t xml:space="preserve">年</t>
    </r>
    <r>
      <rPr>
        <sz val="8"/>
        <rFont val="Droid Sans"/>
        <family val="0"/>
        <charset val="1"/>
      </rPr>
      <t xml:space="preserve">D</t>
    </r>
    <r>
      <rPr>
        <sz val="8"/>
        <rFont val="Noto Sans CJK SC Regular"/>
        <family val="2"/>
      </rPr>
      <t xml:space="preserve">組</t>
    </r>
  </si>
  <si>
    <r>
      <rPr>
        <sz val="8"/>
        <rFont val="Droid Sans"/>
        <family val="0"/>
        <charset val="1"/>
      </rPr>
      <t xml:space="preserve">#</t>
    </r>
    <r>
      <rPr>
        <sz val="8"/>
        <rFont val="Noto Sans CJK SC Regular"/>
        <family val="2"/>
      </rPr>
      <t xml:space="preserve">低品質なツイート</t>
    </r>
  </si>
  <si>
    <t xml:space="preserve">Takshak G Pai</t>
  </si>
  <si>
    <t xml:space="preserve">Shinzo Abe’s ruling coalition expected to win decisively in Japan election https://t.co/V29JVqhFfM</t>
  </si>
  <si>
    <t xml:space="preserve">Bahrain/India </t>
  </si>
  <si>
    <t xml:space="preserve">20, student of media and communication at Manipal. Reporter and Head of PR for @tmanipalj. Former Intern @IPI_MENA. @chelseafc, @cavs fan.</t>
  </si>
  <si>
    <t xml:space="preserve">RNZ</t>
  </si>
  <si>
    <t xml:space="preserve">Japan heads to the polls after PM Shinzo Abe calls snap election in the face of rising threat from North Korea… https://t.co/4zsUPeN8mM</t>
  </si>
  <si>
    <t xml:space="preserve">Wellington, New Zealand</t>
  </si>
  <si>
    <t xml:space="preserve">We are NZ's public broadcaster - comprehensive NZ news (@rnz_news) &amp; current affairs, audio features &amp; documentaries. Find us on social: https://t.co/ZR4T1excZo</t>
  </si>
  <si>
    <t xml:space="preserve">Vishaal Bhat MD</t>
  </si>
  <si>
    <t xml:space="preserve">RT @takshakpai: Shinzo Abe’s ruling coalition expected to win decisively in Japan election https://t.co/V29JVqhFfM</t>
  </si>
  <si>
    <t xml:space="preserve">Manipal, Karnataka</t>
  </si>
  <si>
    <t xml:space="preserve">Founder @manipalblog| Student| Father| Blogger| Pharmacology Teacher @ManipalUni | Chess &amp; Photography Enthusiast| Voracious Reader| Coordinator @CIMR_MU.</t>
  </si>
  <si>
    <t xml:space="preserve">Rai-Jon</t>
  </si>
  <si>
    <t xml:space="preserve">Rai-Jon's app</t>
  </si>
  <si>
    <t xml:space="preserve">Wazaaaaaaaaaaaaap</t>
  </si>
  <si>
    <t xml:space="preserve">AXBXCX</t>
  </si>
  <si>
    <t xml:space="preserve">Shinzo Abe’s ruling coalition expected to win decisively in Japan election https://t.co/gBoLTQIq96</t>
  </si>
  <si>
    <t xml:space="preserve">A fieldworker. Favorite things: 1969-74 King Crimson, indie films, Ozu / Kurosawa films, modern jazz etc. Photos: at Bahir Dar and Yabelo, Borana, Ethiopia.</t>
  </si>
  <si>
    <t xml:space="preserve">Rachael M. Rudolph</t>
  </si>
  <si>
    <t xml:space="preserve">Shinzo Abe’s ruling coalition expected to win decisively in Japan election https://t.co/39iviFQJBv</t>
  </si>
  <si>
    <t xml:space="preserve">Hua Hin, Thailand</t>
  </si>
  <si>
    <t xml:space="preserve">Lecturer/Researcher</t>
  </si>
  <si>
    <t xml:space="preserve">zentrade.online</t>
  </si>
  <si>
    <t xml:space="preserve">Shinzo Abe’s ruling coalition expected to win decisively in general election https://t.co/ry9eul5Pye #election #japan #news</t>
  </si>
  <si>
    <t xml:space="preserve">zentrade.online - WP to Twitter</t>
  </si>
  <si>
    <t xml:space="preserve">Home of #CFTC Commitment of Traders Summary, #CME Daily Bulletin Summary on Option Expiry Levels, #FX signals for currencies and commodities, related news</t>
  </si>
  <si>
    <t xml:space="preserve">Newscenter PHL</t>
  </si>
  <si>
    <t xml:space="preserve">RT @rapplerdotcom: Prime Minister Shinzo Abe has called on voters to cast their ballots early to avoid bad weather. https://t.co/63yN8noTd4</t>
  </si>
  <si>
    <t xml:space="preserve">BBCNEWS 8:08pm JAPAN SNAP ELECTION. Polls have opened in snap elections JAPAN SNAP ELECTION. Shinzo Abe called for snap election last...</t>
  </si>
  <si>
    <t xml:space="preserve">Lankanewsweb.net</t>
  </si>
  <si>
    <t xml:space="preserve">Japan is heading to the polls a month after Prime Minister Shinzo Abe called a snap election in the face of the... https://t.co/fdggODoiay</t>
  </si>
  <si>
    <t xml:space="preserve">London / Colombo</t>
  </si>
  <si>
    <t xml:space="preserve">News beyond borders</t>
  </si>
  <si>
    <t xml:space="preserve">BBCNEWS 8:10pm JAPAN SNAP ELECTION. 118O candidates contest 465 seats in lower house JAPAN SNAP ELECTION. Shinzo Abe called for snap...</t>
  </si>
  <si>
    <t xml:space="preserve">Japan election: Shinzo Abe eyes fresh term as Japan votes under North Korea threats - The Times of India on Mobile https://t.co/owRAEvkN68</t>
  </si>
  <si>
    <t xml:space="preserve">JOJO69</t>
  </si>
  <si>
    <t xml:space="preserve">RT @asuka_250: Japan election: Shinzo Abe eyes fresh term as Japan votes under North Korea threats - The Times of India on Mobile https://t…</t>
  </si>
  <si>
    <r>
      <rPr>
        <sz val="8"/>
        <rFont val="Noto Sans CJK SC Regular"/>
        <family val="2"/>
      </rPr>
      <t xml:space="preserve">ライブ好き 美味しい物好き 楽しい事 大好き</t>
    </r>
    <r>
      <rPr>
        <sz val="8"/>
        <rFont val="Droid Sans"/>
        <family val="0"/>
        <charset val="1"/>
      </rPr>
      <t xml:space="preserve">!!</t>
    </r>
  </si>
  <si>
    <t xml:space="preserve">Anonymous 🌐🐈🐾</t>
  </si>
  <si>
    <t xml:space="preserve">Our mission is global peace.</t>
  </si>
  <si>
    <r>
      <rPr>
        <sz val="8"/>
        <rFont val="Droid Sans"/>
        <family val="0"/>
        <charset val="1"/>
      </rPr>
      <t xml:space="preserve">🏴 @rul3r #Anonymous #YAR #BREAKING </t>
    </r>
    <r>
      <rPr>
        <sz val="8"/>
        <rFont val="Noto Sans CJK SC Regular"/>
        <family val="2"/>
      </rPr>
      <t xml:space="preserve">＆</t>
    </r>
    <r>
      <rPr>
        <sz val="8"/>
        <rFont val="Droid Sans"/>
        <family val="0"/>
        <charset val="1"/>
      </rPr>
      <t xml:space="preserve">#CYBERSECURITY NEWS Whistleblowers #FreeAnons #Direniş #RedHack #TeamVene10 #IntelGroup #AntiSec #400lbCr3w</t>
    </r>
  </si>
  <si>
    <t xml:space="preserve">Firstpost</t>
  </si>
  <si>
    <t xml:space="preserve">#Japan's incumbent PM #ShinzoAbe eyes fresh term as millions vote under North Korea threats https://t.co/XlYwfENwfO</t>
  </si>
  <si>
    <t xml:space="preserve">https://t.co/LGesb4pt66 for India &amp; Indians in the world. Live. Follow us on https://t.co/VQ9x6mA1ux</t>
  </si>
  <si>
    <t xml:space="preserve">SCMP News</t>
  </si>
  <si>
    <t xml:space="preserve">What Shinzo Abe’s election win will mean for China-Japan relations https://t.co/7qK5zFsHd7</t>
  </si>
  <si>
    <t xml:space="preserve">South China Morning Post provides news and analysis on Hong Kong, China and the rest of Asia.</t>
  </si>
  <si>
    <t xml:space="preserve">RT @firstpost: #Japan's incumbent PM #ShinzoAbe eyes fresh term as millions vote under North Korea threats https://t.co/XlYwfENwfO</t>
  </si>
  <si>
    <t xml:space="preserve">ChuluunbilegО</t>
  </si>
  <si>
    <t xml:space="preserve">RT @SCMP_News: What Shinzo Abe’s election win will mean for China-Japan relations https://t.co/7qK5zFsHd7</t>
  </si>
  <si>
    <t xml:space="preserve">Mongolia</t>
  </si>
  <si>
    <t xml:space="preserve">жирийн л монгол</t>
  </si>
  <si>
    <r>
      <rPr>
        <sz val="8"/>
        <rFont val="Droid Sans"/>
        <family val="0"/>
        <charset val="1"/>
      </rPr>
      <t xml:space="preserve">Mohan Malik </t>
    </r>
    <r>
      <rPr>
        <sz val="8"/>
        <rFont val="Noto Sans CJK SC Regular"/>
        <family val="2"/>
      </rPr>
      <t xml:space="preserve">马立克</t>
    </r>
  </si>
  <si>
    <t xml:space="preserve">Abe will strengthen Japan-US links to curb China’s activities in the E&amp;SC Seas &amp;amp; offer an alternative to China’s OBO…https://t.co/K43NJSaD0z</t>
  </si>
  <si>
    <t xml:space="preserve">Paradise</t>
  </si>
  <si>
    <t xml:space="preserve">Teach GAMES NATIONS PLAY &amp; ASIAN SECURITY Recent books: China and India &amp; Maritime Security. Fan of GOEBBLES TIMES 😊CHINDIA skeptic. RT means IT (InTeresting)</t>
  </si>
  <si>
    <t xml:space="preserve">India's Big Debate</t>
  </si>
  <si>
    <t xml:space="preserve">Welcome All who would like to debate on Important Issues concerning India. Follow us with your concern &amp; We will fight 4 Your Right! Jai Hind! #indiasbigdebate</t>
  </si>
  <si>
    <t xml:space="preserve">AJ</t>
  </si>
  <si>
    <t xml:space="preserve">Eternal state of sunshine</t>
  </si>
  <si>
    <t xml:space="preserve">Mama | Designer | Wife | Artist | Pacifist | Immigrant | (future) M.A. in Sustainable Design</t>
  </si>
  <si>
    <t xml:space="preserve">ODD</t>
  </si>
  <si>
    <t xml:space="preserve">Financial Review</t>
  </si>
  <si>
    <t xml:space="preserve">OPINION: Shinzo Abe's government looks set to win another easy victory, writes Kuniaki Nemeto. https://t.co/axEYS42iT1 #japan</t>
  </si>
  <si>
    <t xml:space="preserve">For 60 years, The Australian Financial Review has been the authority on business, finance and political news in Australia.</t>
  </si>
  <si>
    <t xml:space="preserve">What Shinzo Abe’s election win will mean for China-Japan relations https://t.co/amQW9n4IOP https://t.co/UjKRkBsK4d</t>
  </si>
  <si>
    <t xml:space="preserve">What Shinzo Abe’s election win will mean for China-Japan relations https://t.co/YND6eg6Fig https://t.co/lNDuF02tC3</t>
  </si>
  <si>
    <t xml:space="preserve">vs.Arrulmozhy.</t>
  </si>
  <si>
    <t xml:space="preserve">Shinzo Abe Set For Fresh Term As Japan Goes To Polls Amid North Korea Threats https://t.co/fE3nEddkAU @ndtv வழியாக</t>
  </si>
  <si>
    <t xml:space="preserve">Pondicherry  india.605001</t>
  </si>
  <si>
    <t xml:space="preserve">RTD.-social.work 57. aged.Pondicherry ,https://t.co/dkitYimKpU-7094732741...</t>
  </si>
  <si>
    <t xml:space="preserve">Ted McDonnell</t>
  </si>
  <si>
    <t xml:space="preserve">RT @FinancialReview: OPINION: Shinzo Abe's government looks set to win another easy victory, writes Kuniaki Nemeto. https://t.co/axEYS42iT…</t>
  </si>
  <si>
    <t xml:space="preserve">Media dude; Photojournalist (SIPA Press, France); - IG: tedmcdonnell https://t.co/zgOrK4pz6o</t>
  </si>
  <si>
    <t xml:space="preserve">Financial Express</t>
  </si>
  <si>
    <t xml:space="preserve">#JapanElection: Shinzo Abe eyes fresh term as country votes under North Korea threats https://t.co/qu1wX3nCOr https://t.co/dHx9SyYvyh</t>
  </si>
  <si>
    <t xml:space="preserve">The Financial Express - A complete up-to-date source for business news, finance news, stock market news, economy and financial news online.</t>
  </si>
  <si>
    <t xml:space="preserve">ritulistic</t>
  </si>
  <si>
    <t xml:space="preserve">Money, power, prestige, are uncreative; not only uncreative, but destructive activities. Beware of them - Osho</t>
  </si>
  <si>
    <t xml:space="preserve">Ru An</t>
  </si>
  <si>
    <r>
      <rPr>
        <sz val="8"/>
        <rFont val="Noto Sans CJK SC Regular"/>
        <family val="2"/>
      </rPr>
      <t xml:space="preserve">東京 </t>
    </r>
    <r>
      <rPr>
        <sz val="8"/>
        <rFont val="Droid Sans"/>
        <family val="0"/>
        <charset val="1"/>
      </rPr>
      <t xml:space="preserve">Tokyo 🇯🇵</t>
    </r>
  </si>
  <si>
    <r>
      <rPr>
        <sz val="8"/>
        <rFont val="Droid Sans"/>
        <family val="0"/>
        <charset val="1"/>
      </rPr>
      <t xml:space="preserve">🇯🇵Tokyo, </t>
    </r>
    <r>
      <rPr>
        <sz val="8"/>
        <rFont val="Noto Sans CJK SC Regular"/>
        <family val="2"/>
      </rPr>
      <t xml:space="preserve">日本の景色、</t>
    </r>
    <r>
      <rPr>
        <sz val="8"/>
        <rFont val="Droid Sans"/>
        <family val="0"/>
        <charset val="1"/>
      </rPr>
      <t xml:space="preserve">music-lover, </t>
    </r>
    <r>
      <rPr>
        <sz val="8"/>
        <rFont val="Noto Sans CJK SC Regular"/>
        <family val="2"/>
      </rPr>
      <t xml:space="preserve">犬、イタグレ</t>
    </r>
    <r>
      <rPr>
        <sz val="8"/>
        <rFont val="Droid Sans"/>
        <family val="0"/>
        <charset val="1"/>
      </rPr>
      <t xml:space="preserve">, Italian Greyhound </t>
    </r>
    <r>
      <rPr>
        <sz val="8"/>
        <rFont val="Noto Sans CJK SC Regular"/>
        <family val="2"/>
      </rPr>
      <t xml:space="preserve">、酒、ビール、ワイン、文化、お笑い、靴、</t>
    </r>
    <r>
      <rPr>
        <sz val="8"/>
        <rFont val="Droid Sans"/>
        <family val="0"/>
        <charset val="1"/>
      </rPr>
      <t xml:space="preserve">news, </t>
    </r>
    <r>
      <rPr>
        <sz val="8"/>
        <rFont val="Noto Sans CJK SC Regular"/>
        <family val="2"/>
      </rPr>
      <t xml:space="preserve">音楽、きれいな音、山、海、祭、健康、歴史、</t>
    </r>
    <r>
      <rPr>
        <sz val="8"/>
        <rFont val="Droid Sans"/>
        <family val="0"/>
        <charset val="1"/>
      </rPr>
      <t xml:space="preserve">LP</t>
    </r>
    <r>
      <rPr>
        <sz val="8"/>
        <rFont val="Noto Sans CJK SC Regular"/>
        <family val="2"/>
      </rPr>
      <t xml:space="preserve">レコード、</t>
    </r>
    <r>
      <rPr>
        <sz val="8"/>
        <rFont val="Droid Sans"/>
        <family val="0"/>
        <charset val="1"/>
      </rPr>
      <t xml:space="preserve">NO PORN 🚫, </t>
    </r>
    <r>
      <rPr>
        <sz val="8"/>
        <rFont val="Noto Sans CJK SC Regular"/>
        <family val="2"/>
      </rPr>
      <t xml:space="preserve">茶</t>
    </r>
    <r>
      <rPr>
        <sz val="8"/>
        <rFont val="Droid Sans"/>
        <family val="0"/>
        <charset val="1"/>
      </rPr>
      <t xml:space="preserve">, world ✌🏻 peace</t>
    </r>
  </si>
  <si>
    <t xml:space="preserve">Debasish R Chowdhury</t>
  </si>
  <si>
    <t xml:space="preserve">What Shinzo Abe’s win will mean for China-Japan relations https://t.co/JPCilE7Mox</t>
  </si>
  <si>
    <t xml:space="preserve">Debasish Roy Chowdhury, Deputy Editor, This Week in Asia, South China Morning Post. Tweets my own, retweets not endorsements</t>
  </si>
  <si>
    <t xml:space="preserve">WSJ Asia</t>
  </si>
  <si>
    <t xml:space="preserve">On a stormy election day in Japan, polls suggest Prime Minister Shinzo Abe looks forward to a fresh mandate. https://t.co/OmLFW0741A</t>
  </si>
  <si>
    <t xml:space="preserve">Asia</t>
  </si>
  <si>
    <t xml:space="preserve">Breaking news and features from The Wall Street Journal with a local and regional focus on Asia.</t>
  </si>
  <si>
    <t xml:space="preserve">Wall Street Journal</t>
  </si>
  <si>
    <t xml:space="preserve">On a stormy election day in Japan, polls suggest Prime Minister Shinzo Abe looks forward to a fresh mandate. https://t.co/q5xlMAnUSj</t>
  </si>
  <si>
    <t xml:space="preserve">Breaking news and features from the WSJ.</t>
  </si>
  <si>
    <t xml:space="preserve">Ishani</t>
  </si>
  <si>
    <t xml:space="preserve">RT @WSJ: On a stormy election day in Japan, polls suggest Prime Minister Shinzo Abe looks forward to a fresh mandate. https://t.co/q5xlMAnU…</t>
  </si>
  <si>
    <t xml:space="preserve">Delhi</t>
  </si>
  <si>
    <t xml:space="preserve">Works at The Economic Times. Views personal; retweets not endorsements.</t>
  </si>
  <si>
    <t xml:space="preserve">M</t>
  </si>
  <si>
    <t xml:space="preserve">Seoul Korea</t>
  </si>
  <si>
    <t xml:space="preserve">シロクマ</t>
  </si>
  <si>
    <r>
      <rPr>
        <sz val="8"/>
        <rFont val="Droid Sans"/>
        <family val="0"/>
        <charset val="1"/>
      </rPr>
      <t xml:space="preserve">KANAGAWA</t>
    </r>
    <r>
      <rPr>
        <sz val="8"/>
        <rFont val="Noto Sans CJK SC Regular"/>
        <family val="2"/>
      </rPr>
      <t xml:space="preserve">　</t>
    </r>
    <r>
      <rPr>
        <sz val="8"/>
        <rFont val="Droid Sans"/>
        <family val="0"/>
        <charset val="1"/>
      </rPr>
      <t xml:space="preserve">JAPAN</t>
    </r>
  </si>
  <si>
    <r>
      <rPr>
        <sz val="8"/>
        <rFont val="Droid Sans"/>
        <family val="0"/>
        <charset val="1"/>
      </rPr>
      <t xml:space="preserve">174x85x48</t>
    </r>
    <r>
      <rPr>
        <sz val="8"/>
        <rFont val="Noto Sans CJK SC Regular"/>
        <family val="2"/>
      </rPr>
      <t xml:space="preserve">のＧ組合員。申年。もう倍は生きないよね～人生折り返しを意識して</t>
    </r>
    <r>
      <rPr>
        <sz val="8"/>
        <rFont val="Droid Sans"/>
        <family val="0"/>
        <charset val="1"/>
      </rPr>
      <t xml:space="preserve">50</t>
    </r>
    <r>
      <rPr>
        <sz val="8"/>
        <rFont val="Noto Sans CJK SC Regular"/>
        <family val="2"/>
      </rPr>
      <t xml:space="preserve">独り身ゲイの準備開始！モットーは </t>
    </r>
    <r>
      <rPr>
        <sz val="8"/>
        <rFont val="Droid Sans"/>
        <family val="0"/>
        <charset val="1"/>
      </rPr>
      <t xml:space="preserve">1</t>
    </r>
    <r>
      <rPr>
        <sz val="8"/>
        <rFont val="Noto Sans CJK SC Regular"/>
        <family val="2"/>
      </rPr>
      <t xml:space="preserve">．らしさの追求と役割 の再構成 </t>
    </r>
    <r>
      <rPr>
        <sz val="8"/>
        <rFont val="Droid Sans"/>
        <family val="0"/>
        <charset val="1"/>
      </rPr>
      <t xml:space="preserve">2</t>
    </r>
    <r>
      <rPr>
        <sz val="8"/>
        <rFont val="Noto Sans CJK SC Regular"/>
        <family val="2"/>
      </rPr>
      <t xml:space="preserve">．お金と時間は有限 </t>
    </r>
    <r>
      <rPr>
        <sz val="8"/>
        <rFont val="Droid Sans"/>
        <family val="0"/>
        <charset val="1"/>
      </rPr>
      <t xml:space="preserve">3</t>
    </r>
    <r>
      <rPr>
        <sz val="8"/>
        <rFont val="Noto Sans CJK SC Regular"/>
        <family val="2"/>
      </rPr>
      <t xml:space="preserve">．人と同じ</t>
    </r>
    <r>
      <rPr>
        <sz val="8"/>
        <rFont val="Droid Sans"/>
        <family val="0"/>
        <charset val="1"/>
      </rPr>
      <t xml:space="preserve">INPUT </t>
    </r>
    <r>
      <rPr>
        <sz val="8"/>
        <rFont val="Noto Sans CJK SC Regular"/>
        <family val="2"/>
      </rPr>
      <t xml:space="preserve">で結果だけ人以上を求めるな！ </t>
    </r>
    <r>
      <rPr>
        <sz val="8"/>
        <rFont val="Droid Sans"/>
        <family val="0"/>
        <charset val="1"/>
      </rPr>
      <t xml:space="preserve">4</t>
    </r>
    <r>
      <rPr>
        <sz val="8"/>
        <rFont val="Noto Sans CJK SC Regular"/>
        <family val="2"/>
      </rPr>
      <t xml:space="preserve">．自明性への疑え </t>
    </r>
    <r>
      <rPr>
        <sz val="8"/>
        <rFont val="Droid Sans"/>
        <family val="0"/>
        <charset val="1"/>
      </rPr>
      <t xml:space="preserve">5</t>
    </r>
    <r>
      <rPr>
        <sz val="8"/>
        <rFont val="Noto Sans CJK SC Regular"/>
        <family val="2"/>
      </rPr>
      <t xml:space="preserve">．人はそもそも本能が壊れた存在 かなりうざくて青臭いことつぶやきます。</t>
    </r>
  </si>
  <si>
    <t xml:space="preserve">Walid Muhammad</t>
  </si>
  <si>
    <t xml:space="preserve">Charlotte, NC</t>
  </si>
  <si>
    <t xml:space="preserve">Realtor | Charlotte NC Real Estate Broker | This City is what it is because our citizens are what they are — Plato | https://t.co/rdtncdbpzn</t>
  </si>
  <si>
    <t xml:space="preserve">WSJ: On a stormy election day in Japan, polls suggest Prime Minister Shinzo Abe looks forward to a fresh mandate. https://t.co/EcZOabaG1J</t>
  </si>
  <si>
    <t xml:space="preserve">Shu Ubukata</t>
  </si>
  <si>
    <t xml:space="preserve">Kamakura/Ginza/Ebina JPN</t>
  </si>
  <si>
    <t xml:space="preserve">The Newest Creation: THETA Type HATSUNE MIKU, Creator of RICOH R DevKit and 1st RICOH THETA, Founder of Save The Memory Project, Creator of quanp</t>
  </si>
  <si>
    <t xml:space="preserve">Jack Paylor</t>
  </si>
  <si>
    <t xml:space="preserve">RT WSJ: On a stormy election day in Japan, polls suggest Prime Minister Shinzo Abe looks forward to a fresh mandat… https://t.co/n4aSnJJ4zA</t>
  </si>
  <si>
    <t xml:space="preserve">Raleigh | Houston</t>
  </si>
  <si>
    <t xml:space="preserve">Telecommunications enthusiast • Member of Montgomery County EOC • Amateur Radio Operator • Radio Station Owner.</t>
  </si>
  <si>
    <t xml:space="preserve">Saad Alqahtani</t>
  </si>
  <si>
    <t xml:space="preserve">RT WSJ "On a stormy election day in Japan, polls suggest Prime Minister Shinzo Abe looks forward to a fresh mandat… https://t.co/90BxMUQHWq"</t>
  </si>
  <si>
    <t xml:space="preserve">Riyadh, Kingdom of Saudi Arabia</t>
  </si>
  <si>
    <t xml:space="preserve">مهتم في المالية والمخاطر، القانون، المحاسبة والضرائب، الاعلام والتخطيط الاستراتيجي Financial &amp; Risk, Legal, Tax &amp; Accounting, and Media &amp; strategic planning</t>
  </si>
  <si>
    <t xml:space="preserve">Captain Bitcoin</t>
  </si>
  <si>
    <t xml:space="preserve">Seeking ways to facilitate adoption and use of bitcoin. Truth, Justice and Bitcoin! 1CptBTCKvHvWzM8QiH6RDpPFrpXjXovSog</t>
  </si>
  <si>
    <t xml:space="preserve">Damansara, Selangor</t>
  </si>
  <si>
    <t xml:space="preserve">don't think about it too much...</t>
  </si>
  <si>
    <t xml:space="preserve">WSJ: On a stormy election day in Japan, polls suggest Prime Minister Shinzo Abe looks forward to a fresh mandate. … https://t.co/2BoflibjNg</t>
  </si>
  <si>
    <t xml:space="preserve">thouautumn</t>
  </si>
  <si>
    <t xml:space="preserve">原発も核爆弾も化学兵器もなくすべきと考えています。</t>
  </si>
  <si>
    <t xml:space="preserve">Luc</t>
  </si>
  <si>
    <t xml:space="preserve">NO CENSORSHIP TWITTER!!! Machen Sie es wie Sie wollen, machen Sie es nur schön! (Do it as you like, just make it beautiful.) Brahms</t>
  </si>
  <si>
    <t xml:space="preserve">tòxico</t>
  </si>
  <si>
    <t xml:space="preserve">Page...</t>
  </si>
  <si>
    <t xml:space="preserve">wayneewald</t>
  </si>
  <si>
    <t xml:space="preserve">Publicopinion</t>
  </si>
  <si>
    <t xml:space="preserve">WSJ Once</t>
  </si>
  <si>
    <t xml:space="preserve">Twitter bot retweeting news stories just once. Full source and other feeds available on GitHub page. Not affiliated with Wall Street Journal.</t>
  </si>
  <si>
    <t xml:space="preserve">WSJ: On a stormy election day in Japan, polls suggest Prime Minister Shinzo Abe looks forward to a fresh mandate. https://t.co/5gTO15QNDm</t>
  </si>
  <si>
    <t xml:space="preserve">Publico Japon</t>
  </si>
  <si>
    <r>
      <rPr>
        <sz val="8"/>
        <rFont val="Noto Sans CJK SC Regular"/>
        <family val="2"/>
      </rPr>
      <t xml:space="preserve">政治</t>
    </r>
    <r>
      <rPr>
        <sz val="8"/>
        <rFont val="Droid Sans"/>
        <family val="0"/>
        <charset val="1"/>
      </rPr>
      <t xml:space="preserve">/</t>
    </r>
    <r>
      <rPr>
        <sz val="8"/>
        <rFont val="Noto Sans CJK SC Regular"/>
        <family val="2"/>
      </rPr>
      <t xml:space="preserve">世界</t>
    </r>
    <r>
      <rPr>
        <sz val="8"/>
        <rFont val="Droid Sans"/>
        <family val="0"/>
        <charset val="1"/>
      </rPr>
      <t xml:space="preserve">/</t>
    </r>
    <r>
      <rPr>
        <sz val="8"/>
        <rFont val="Noto Sans CJK SC Regular"/>
        <family val="2"/>
      </rPr>
      <t xml:space="preserve">経済</t>
    </r>
    <r>
      <rPr>
        <sz val="8"/>
        <rFont val="Droid Sans"/>
        <family val="0"/>
        <charset val="1"/>
      </rPr>
      <t xml:space="preserve">/</t>
    </r>
    <r>
      <rPr>
        <sz val="8"/>
        <rFont val="Noto Sans CJK SC Regular"/>
        <family val="2"/>
      </rPr>
      <t xml:space="preserve">女性と社会</t>
    </r>
    <r>
      <rPr>
        <sz val="8"/>
        <rFont val="Droid Sans"/>
        <family val="0"/>
        <charset val="1"/>
      </rPr>
      <t xml:space="preserve">/</t>
    </r>
    <r>
      <rPr>
        <sz val="8"/>
        <rFont val="Noto Sans CJK SC Regular"/>
        <family val="2"/>
      </rPr>
      <t xml:space="preserve">日本</t>
    </r>
    <r>
      <rPr>
        <sz val="8"/>
        <rFont val="Droid Sans"/>
        <family val="0"/>
        <charset val="1"/>
      </rPr>
      <t xml:space="preserve">/</t>
    </r>
    <r>
      <rPr>
        <sz val="8"/>
        <rFont val="Noto Sans CJK SC Regular"/>
        <family val="2"/>
      </rPr>
      <t xml:space="preserve">自然環境</t>
    </r>
    <r>
      <rPr>
        <sz val="8"/>
        <rFont val="Droid Sans"/>
        <family val="0"/>
        <charset val="1"/>
      </rPr>
      <t xml:space="preserve">/</t>
    </r>
    <r>
      <rPr>
        <sz val="8"/>
        <rFont val="Noto Sans CJK SC Regular"/>
        <family val="2"/>
      </rPr>
      <t xml:space="preserve">文化</t>
    </r>
    <r>
      <rPr>
        <sz val="8"/>
        <rFont val="Droid Sans"/>
        <family val="0"/>
        <charset val="1"/>
      </rPr>
      <t xml:space="preserve">/Política/mundo/economía/mujer y sociedad/Japan/medio ambiente/cultura. </t>
    </r>
    <r>
      <rPr>
        <sz val="8"/>
        <rFont val="Noto Sans CJK SC Regular"/>
        <family val="2"/>
      </rPr>
      <t xml:space="preserve">作成した政治系アンケートは、 </t>
    </r>
    <r>
      <rPr>
        <sz val="8"/>
        <rFont val="Droid Sans"/>
        <family val="0"/>
        <charset val="1"/>
      </rPr>
      <t xml:space="preserve">#</t>
    </r>
    <r>
      <rPr>
        <sz val="8"/>
        <rFont val="Noto Sans CJK SC Regular"/>
        <family val="2"/>
      </rPr>
      <t xml:space="preserve">パボジャポ世論調査 で検索して下さい。</t>
    </r>
    <r>
      <rPr>
        <sz val="8"/>
        <rFont val="Droid Sans"/>
        <family val="0"/>
        <charset val="1"/>
      </rPr>
      <t xml:space="preserve">michikohirota@outlook.com</t>
    </r>
  </si>
  <si>
    <t xml:space="preserve">Le_cristal</t>
  </si>
  <si>
    <t xml:space="preserve">RT @WSJAsia: On a stormy election day in Japan, polls suggest Prime Minister Shinzo Abe looks forward to a fresh mandate. https://t.co/OmLF…</t>
  </si>
  <si>
    <r>
      <rPr>
        <sz val="8"/>
        <rFont val="Droid Sans"/>
        <family val="0"/>
        <charset val="1"/>
      </rPr>
      <t xml:space="preserve">The Only Thing Necessary for the Triumph of Evil is that Good Persons Do Nothing. </t>
    </r>
    <r>
      <rPr>
        <sz val="8"/>
        <rFont val="Noto Sans CJK SC Regular"/>
        <family val="2"/>
      </rPr>
      <t xml:space="preserve">気分は「明日に架ける橋」♪ 事情があってパクツイお許し下さい。</t>
    </r>
    <r>
      <rPr>
        <sz val="8"/>
        <rFont val="Droid Sans"/>
        <family val="0"/>
        <charset val="1"/>
      </rPr>
      <t xml:space="preserve">RT</t>
    </r>
    <r>
      <rPr>
        <sz val="8"/>
        <rFont val="Noto Sans CJK SC Regular"/>
        <family val="2"/>
      </rPr>
      <t xml:space="preserve">は賛意とは限りません。「個人の見解です」</t>
    </r>
  </si>
  <si>
    <t xml:space="preserve">On a stormy election day in Japan, polls suggest Prime Minister Shinzo Abe looks forward to a fresh mandate. https://t.co/e385iIhj1P</t>
  </si>
  <si>
    <t xml:space="preserve">livenews🌀</t>
  </si>
  <si>
    <t xml:space="preserve">On a stormy election day in Japan, polls suggest Prime Minister Shinzo Abe looks forward to a fresh mandate. https://t.co/SmIFrHgEeo</t>
  </si>
  <si>
    <t xml:space="preserve">Live news, updated every 5 seconds on our web site.</t>
  </si>
  <si>
    <t xml:space="preserve">tirta news</t>
  </si>
  <si>
    <t xml:space="preserve">On a stormy election day in Japan, polls suggest Prime Minister Shinzo Abe looks forward to a fresh mandate. https://t.co/6uToEQn7qG</t>
  </si>
  <si>
    <t xml:space="preserve">Hugo</t>
  </si>
  <si>
    <t xml:space="preserve">Boucherville, Québec</t>
  </si>
  <si>
    <t xml:space="preserve">Je suis Cathare</t>
  </si>
  <si>
    <t xml:space="preserve">Daley ✨</t>
  </si>
  <si>
    <t xml:space="preserve">#TheResistance, By The Way, I'm 27 and I'm deaf. Like Twitter so much as of politics have strong influence on me, I enjoy some good debates. Also I'm gay. ;)</t>
  </si>
  <si>
    <t xml:space="preserve">Amir Amadeus Hafizi</t>
  </si>
  <si>
    <t xml:space="preserve">Nairomi</t>
  </si>
  <si>
    <t xml:space="preserve">Tepuk burit, tanya kelentit</t>
  </si>
  <si>
    <t xml:space="preserve">On a stormy election day in Japan, polls suggest Prime Minister Shinzo Abe looks forward to a fresh mandate. https://t.co/3TNZEBZv9V</t>
  </si>
  <si>
    <t xml:space="preserve">Kenyan News</t>
  </si>
  <si>
    <t xml:space="preserve">Abe eyes fresh term as Japan votes under N. Korea threats: Abe shocked Japan by calling the snap election a year…… https://t.co/v1lcPDfDGv</t>
  </si>
  <si>
    <t xml:space="preserve">Nairobi</t>
  </si>
  <si>
    <t xml:space="preserve">Latest Kenyan News: Get Breaking News on Twitter. For Kenyan blogs: @Blogs_Kenya | Curated by @peteretelej</t>
  </si>
  <si>
    <t xml:space="preserve">J Clyde</t>
  </si>
  <si>
    <t xml:space="preserve">WSJ: On a stormy election day in Japan, polls suggest Prime Minister Shinzo Abe looks forward to a fresh mandate. https://t.co/wUI7ZwKXUi</t>
  </si>
  <si>
    <t xml:space="preserve">Gavin Glenn Harris</t>
  </si>
  <si>
    <t xml:space="preserve">Between the A and the T.</t>
  </si>
  <si>
    <t xml:space="preserve">Crossword-addicted polymath for hire. Cuiridh mi clach air do chàrn.</t>
  </si>
  <si>
    <t xml:space="preserve">WSJ: On a stormy election day in Japan, polls suggest Prime Minister Shinzo Abe looks forward to a fresh mandate. … https://t.co/EXF32jQDFi</t>
  </si>
  <si>
    <t xml:space="preserve">THE WALL STREET JOURNAL: On a stormy election day in Japan, polls suggest Prime Minister Shinzo Abe looks forward … https://t.co/Q7Kl0YHLTD</t>
  </si>
  <si>
    <t xml:space="preserve">信國嘉史</t>
  </si>
  <si>
    <t xml:space="preserve">鉄道とグラビアアイドルとプロ野球好きです。 関心あるものは政治•社会の動きです。私が一番欲しい物はこの国で温かい家庭です、我孫子で９条を守る会の会員です。</t>
  </si>
  <si>
    <t xml:space="preserve">Jose Reyes</t>
  </si>
  <si>
    <t xml:space="preserve">What Shinzo Abe's election win will mean for China-Japan relations https://t.co/Alo67A8tfG</t>
  </si>
  <si>
    <t xml:space="preserve">TwNYY</t>
  </si>
  <si>
    <t xml:space="preserve">New York + Texas</t>
  </si>
  <si>
    <t xml:space="preserve">|| Software QA Engineer by day || Twitter Ninja by night ||</t>
  </si>
  <si>
    <t xml:space="preserve">chris</t>
  </si>
  <si>
    <t xml:space="preserve">Away!</t>
  </si>
  <si>
    <t xml:space="preserve">BILL TURCKE</t>
  </si>
  <si>
    <t xml:space="preserve">On a stormy election day in Japan, polls suggest Prime Minister Shinzo Abe looks forward to a fresh mandate. https://t.co/56In9mL8dR</t>
  </si>
  <si>
    <t xml:space="preserve">Technology News</t>
  </si>
  <si>
    <t xml:space="preserve">WSJ: On a stormy election day in Japan, polls suggest Prime Minister Shinzo Abe looks forward to a fresh mandate. https://t.co/yRAz7e3sJk</t>
  </si>
  <si>
    <t xml:space="preserve">News Service</t>
  </si>
  <si>
    <t xml:space="preserve">Japan votes for lower house; Abe's party seen headed for win https://t.co/rjSSfSXXhI #NLU</t>
  </si>
  <si>
    <t xml:space="preserve">cryptowatchbot@gmail.com</t>
  </si>
  <si>
    <t xml:space="preserve">♛</t>
  </si>
  <si>
    <t xml:space="preserve">tomoyo☘</t>
  </si>
  <si>
    <t xml:space="preserve">関東</t>
  </si>
  <si>
    <r>
      <rPr>
        <sz val="8"/>
        <rFont val="Noto Sans CJK SC Regular"/>
        <family val="2"/>
      </rPr>
      <t xml:space="preserve">●”国の中に他国の軍隊が駐留せず、国民が汗水たらし稼いだ富を他国にかすめ取られない国” 小沢氏が数十年前から提唱の『普通の国』論支持応援。 ●フォローバックはしてません。わたしがフォローさせていただいた方もお気になさらず●</t>
    </r>
    <r>
      <rPr>
        <sz val="8"/>
        <rFont val="Droid Sans"/>
        <family val="0"/>
        <charset val="1"/>
      </rPr>
      <t xml:space="preserve">icon</t>
    </r>
    <r>
      <rPr>
        <sz val="8"/>
        <rFont val="Noto Sans CJK SC Regular"/>
        <family val="2"/>
      </rPr>
      <t xml:space="preserve">は突然独り静かにそっと逝ってしまったチョコラくん</t>
    </r>
  </si>
  <si>
    <t xml:space="preserve">Spooky LeBoo 👻</t>
  </si>
  <si>
    <t xml:space="preserve">Tucson, AZ</t>
  </si>
  <si>
    <t xml:space="preserve">Currently @CLFSuperPAC, Formerly of @TeamMcCain, @Gov_Martinez, @Raymondcrewsla, and @Infieldstrategy ESTJ</t>
  </si>
  <si>
    <t xml:space="preserve">Kanoa Nelson</t>
  </si>
  <si>
    <t xml:space="preserve">Kaneohe, HI</t>
  </si>
  <si>
    <t xml:space="preserve">The basis of our political system is the right of the people to make &amp; to alter our constitutions of government. George Washington, founding father himself.</t>
  </si>
  <si>
    <t xml:space="preserve">Richard Gee</t>
  </si>
  <si>
    <t xml:space="preserve">Golden, CO</t>
  </si>
  <si>
    <t xml:space="preserve">lawyer, consultant, musician, writer and singer - add any other labels you want...</t>
  </si>
  <si>
    <t xml:space="preserve">BC Preparedness</t>
  </si>
  <si>
    <t xml:space="preserve">West Coast  | North America</t>
  </si>
  <si>
    <t xml:space="preserve">Preparedness🌐#Twitter Community | Currently on Pacific Ocean #Nuclear + Worldwide #Earthquake Swarm Watch</t>
  </si>
  <si>
    <t xml:space="preserve">On a stormy election day in Japan, polls suggest Prime Minister Shinzo Abe looks forward to a fresh mandate. https://t.co/ruTrOB10f5</t>
  </si>
  <si>
    <t xml:space="preserve">Will Dias</t>
  </si>
  <si>
    <t xml:space="preserve">Shinzō Abe calls snap election, running on ticket to repeal Japan’s pacifist status. WW3 gets a step closer.</t>
  </si>
  <si>
    <t xml:space="preserve">Developer of software, taker of photographs, torturer of guitars, erstwhile aerospace engineer, quondam research scientist &amp; ex-licensed newt handler.</t>
  </si>
  <si>
    <t xml:space="preserve">On a stormy election day in Japan, polls suggest Prime Minister Shinzo Abe looks forward to a fresh mandate. https://t.co/IVeSzOiyBy</t>
  </si>
  <si>
    <t xml:space="preserve">Keishamaza Rukikaire</t>
  </si>
  <si>
    <t xml:space="preserve">Kampala/Nicosia</t>
  </si>
  <si>
    <t xml:space="preserve">East African. News junkie. Politics, human rights, life. Opinions are my own. RT ≠ endorsement.</t>
  </si>
  <si>
    <t xml:space="preserve">Africa Updates</t>
  </si>
  <si>
    <t xml:space="preserve">Africa News Africa Business, Africa Tech, Africa Sports &amp; Entertainment</t>
  </si>
  <si>
    <t xml:space="preserve">IamMe♏️</t>
  </si>
  <si>
    <t xml:space="preserve">EARTH</t>
  </si>
  <si>
    <t xml:space="preserve">"The most beautiful thing we can experience is the mysterious. It is the source of all true art and science" Einstein</t>
  </si>
  <si>
    <t xml:space="preserve">Lokesh Katyal💱💹</t>
  </si>
  <si>
    <t xml:space="preserve">“The lack of money is the root of all evil.”</t>
  </si>
  <si>
    <t xml:space="preserve">Retweeted Wall Street Journal (@WSJ): On a stormy election day in Japan, polls suggest Prime Minister Shinzo Abe... https://t.co/BjNA9fWMmB</t>
  </si>
  <si>
    <t xml:space="preserve">Retweeted Wall Street Journal (@WSJ): On a stormy election day in Japan, polls suggest Prime Minister Shinzo Abe... https://t.co/uPWLF6nWiM</t>
  </si>
  <si>
    <t xml:space="preserve">News SummedUp UK</t>
  </si>
  <si>
    <t xml:space="preserve">Shinzo Abe’s ruling coalition expected to win decisively in Japan election https://t.co/MhRZnCOibL</t>
  </si>
  <si>
    <t xml:space="preserve">Get yourself covered by News Summed Up! Email us at aprilinnovationslab@gmail.com</t>
  </si>
  <si>
    <t xml:space="preserve">John Jack James Tres</t>
  </si>
  <si>
    <t xml:space="preserve">The Road Not Taken</t>
  </si>
  <si>
    <t xml:space="preserve">I shall B telling ths w/ a sigh Somewhere ages &amp; ages hence:2 roads diverged in a wood, &amp; I—I took the 1 less traveled by,&amp; that has made all the difference.</t>
  </si>
  <si>
    <t xml:space="preserve">Shikha</t>
  </si>
  <si>
    <t xml:space="preserve">#News Japan Election: Shinzo Abe eyes fresh term as country votes under North Korea threats https://t.co/Tpi10HGV7M… https://t.co/Mrcos4nVtA</t>
  </si>
  <si>
    <t xml:space="preserve">typical #indian girl who became #CA only to do #accounting for #Big4</t>
  </si>
  <si>
    <t xml:space="preserve">Karla Silva</t>
  </si>
  <si>
    <t xml:space="preserve">Santa Monica, CA</t>
  </si>
  <si>
    <t xml:space="preserve">Let them eat cake.</t>
  </si>
  <si>
    <t xml:space="preserve">#Business Info</t>
  </si>
  <si>
    <t xml:space="preserve">WSJ: On a stormy election day in Japan, polls suggest Prime Minister Shinzo Abe looks forward to a fresh mandate. https://t.co/a2tcC6Ixl4</t>
  </si>
  <si>
    <t xml:space="preserve">Up-to-date information from industry experts on #business #SalesTips #SocialSelling #Selling #Tips #SalesManagement #Ecommerce and #Startups</t>
  </si>
  <si>
    <t xml:space="preserve">Audrey Chigome</t>
  </si>
  <si>
    <t xml:space="preserve">Kel Mitchell</t>
  </si>
  <si>
    <t xml:space="preserve">On a stormy election day in Japan, polls suggest Prime Minister Shinzo Abe looks forward to a fresh mandate. https://t.co/XWILACqrNE</t>
  </si>
  <si>
    <t xml:space="preserve">TestInYourHead</t>
  </si>
  <si>
    <t xml:space="preserve">- Who loves Bitcoin? - K-K-Kel loves Bitcoin. - Is it true? Is it TRUUUUE? - MMMHHMMM! I do, I do, I do-oooh!</t>
  </si>
  <si>
    <t xml:space="preserve">Julian Colgan</t>
  </si>
  <si>
    <t xml:space="preserve">Quebec, Canada</t>
  </si>
  <si>
    <t xml:space="preserve">Major in Christian Theology, History, and Philosophy. Ancestors were archbishops of the Catholic Church in Northern Ireland.</t>
  </si>
  <si>
    <t xml:space="preserve">ポメス</t>
  </si>
  <si>
    <r>
      <rPr>
        <sz val="8"/>
        <rFont val="Noto Sans CJK SC Regular"/>
        <family val="2"/>
      </rPr>
      <t xml:space="preserve">縄跳び飛んだり、逆立ちしたり、筋トレしたりするお年頃 </t>
    </r>
    <r>
      <rPr>
        <sz val="8"/>
        <rFont val="Droid Sans"/>
        <family val="0"/>
        <charset val="1"/>
      </rPr>
      <t xml:space="preserve">nana</t>
    </r>
    <r>
      <rPr>
        <sz val="8"/>
        <rFont val="Noto Sans CJK SC Regular"/>
        <family val="2"/>
      </rPr>
      <t xml:space="preserve">リンク👉</t>
    </r>
    <r>
      <rPr>
        <sz val="8"/>
        <rFont val="Droid Sans"/>
        <family val="0"/>
        <charset val="1"/>
      </rPr>
      <t xml:space="preserve">https://t.co/0mg4Pqxjow</t>
    </r>
  </si>
  <si>
    <t xml:space="preserve">Katarina Nikiforova</t>
  </si>
  <si>
    <t xml:space="preserve">Velaris</t>
  </si>
  <si>
    <t xml:space="preserve">History nerd, reader, Voltaire fan, Slytherclaw</t>
  </si>
  <si>
    <t xml:space="preserve">Carl Worker</t>
  </si>
  <si>
    <t xml:space="preserve">Auckland, New Zealand</t>
  </si>
  <si>
    <t xml:space="preserve">Retweets not endorsements</t>
  </si>
  <si>
    <t xml:space="preserve">Nam Nguyen</t>
  </si>
  <si>
    <t xml:space="preserve">What Shinzo Abe’s election win will mean for China-Japan relations https://t.co/1Z9Dwv4dyc</t>
  </si>
  <si>
    <t xml:space="preserve">Saigon</t>
  </si>
  <si>
    <t xml:space="preserve">Ardent fan of Vietnam</t>
  </si>
  <si>
    <t xml:space="preserve">Japan heads to the polls expecting to return Shinzo Abe's with a majority https://t.co/0o0TMLzzsU</t>
  </si>
  <si>
    <t xml:space="preserve">CJ Meese</t>
  </si>
  <si>
    <t xml:space="preserve">Raleigh, NC</t>
  </si>
  <si>
    <t xml:space="preserve">BDA offers investment banking services for its middle market clients - acquisition, sale of company, valuations, capital acquisition &amp; balance sheet recaps</t>
  </si>
  <si>
    <t xml:space="preserve">Telephone Engineer</t>
  </si>
  <si>
    <t xml:space="preserve">Japan heads to the polls expecting to return Shinzo Abe's with a majority https://t.co/572eWGRTc2 Telephone engineers Huddersfield</t>
  </si>
  <si>
    <t xml:space="preserve">Huddersfield, England</t>
  </si>
  <si>
    <t xml:space="preserve">Phone Line &amp; Broadband Repairs Telephone Engineers Huddersfield are independent EX BT qualified telephone and broadband engineer in Huddersfield specialising.</t>
  </si>
  <si>
    <t xml:space="preserve">Quan</t>
  </si>
  <si>
    <t xml:space="preserve">18 Year old Boy, Man United #MUFC (Spirituality) : The ancient Egyptians were NOT on a quest for immortality because they knew they were immortal.</t>
  </si>
  <si>
    <t xml:space="preserve">Japan heads to the polls expecting to return Shinzo Abe's with a majority https://t.co/eIQ6hSZ63j #itvnews #itv #news</t>
  </si>
  <si>
    <t xml:space="preserve">Guardian news</t>
  </si>
  <si>
    <t xml:space="preserve">Shinzo Abe’s ruling coalition expected to win decisively in Japan election https://t.co/9Z3ATB2tN9</t>
  </si>
  <si>
    <t xml:space="preserve">Echobox Social</t>
  </si>
  <si>
    <t xml:space="preserve">The need for independent journalism has never been greater. Become a Guardian supporter: https://t.co/KXycIPGfHd</t>
  </si>
  <si>
    <t xml:space="preserve">Newsbotter</t>
  </si>
  <si>
    <t xml:space="preserve">Shinzo Abe’s ruling coalition expected to win decisively in Japan election https://t.co/OsUGhsRSav</t>
  </si>
  <si>
    <t xml:space="preserve">Curating leading news from around the #world</t>
  </si>
  <si>
    <t xml:space="preserve">John Cayetano</t>
  </si>
  <si>
    <t xml:space="preserve">A typhoon has been drenching parts of Japan 🌼🌏🌍as the country heads to the polls after Prime Minister Shinzo Abe called a snap election</t>
  </si>
  <si>
    <t xml:space="preserve">philippines</t>
  </si>
  <si>
    <r>
      <rPr>
        <sz val="8"/>
        <rFont val="Droid Sans"/>
        <family val="0"/>
        <charset val="1"/>
      </rPr>
      <t xml:space="preserve">Lan</t>
    </r>
    <r>
      <rPr>
        <sz val="8"/>
        <rFont val="Noto Sans CJK SC Regular"/>
        <family val="2"/>
      </rPr>
      <t xml:space="preserve">の風</t>
    </r>
  </si>
  <si>
    <t xml:space="preserve">Hiroshima</t>
  </si>
  <si>
    <r>
      <rPr>
        <sz val="8"/>
        <rFont val="Droid Sans"/>
        <family val="0"/>
        <charset val="1"/>
      </rPr>
      <t xml:space="preserve">#</t>
    </r>
    <r>
      <rPr>
        <sz val="8"/>
        <rFont val="Noto Sans CJK SC Regular"/>
        <family val="2"/>
      </rPr>
      <t xml:space="preserve">肉球新党 </t>
    </r>
    <r>
      <rPr>
        <sz val="8"/>
        <rFont val="Droid Sans"/>
        <family val="0"/>
        <charset val="1"/>
      </rPr>
      <t xml:space="preserve">https://t.co/iTCHI3Rj3g (</t>
    </r>
    <r>
      <rPr>
        <sz val="8"/>
        <rFont val="Noto Sans CJK SC Regular"/>
        <family val="2"/>
      </rPr>
      <t xml:space="preserve">オーガニック コットン ファッション 通販</t>
    </r>
    <r>
      <rPr>
        <sz val="8"/>
        <rFont val="Droid Sans"/>
        <family val="0"/>
        <charset val="1"/>
      </rPr>
      <t xml:space="preserve">Web</t>
    </r>
    <r>
      <rPr>
        <sz val="8"/>
        <rFont val="Noto Sans CJK SC Regular"/>
        <family val="2"/>
      </rPr>
      <t xml:space="preserve">サイト</t>
    </r>
    <r>
      <rPr>
        <sz val="8"/>
        <rFont val="Droid Sans"/>
        <family val="0"/>
        <charset val="1"/>
      </rPr>
      <t xml:space="preserve">) </t>
    </r>
    <r>
      <rPr>
        <sz val="8"/>
        <rFont val="Noto Sans CJK SC Regular"/>
        <family val="2"/>
      </rPr>
      <t xml:space="preserve">地道に動いてこそ、その次があるんだよ</t>
    </r>
  </si>
  <si>
    <t xml:space="preserve">ワン</t>
  </si>
  <si>
    <t xml:space="preserve">RT @guardiannews: Shinzo Abe’s ruling coalition expected to win decisively in Japan election https://t.co/9Z3ATB2tN9</t>
  </si>
  <si>
    <t xml:space="preserve">Ioannis E Kolovos</t>
  </si>
  <si>
    <t xml:space="preserve">Voting is underway in #Japan’s general election and polls indicate PM Shinzo #Abe’s ruling coalition will win https://t.co/BYGkHpAL2K</t>
  </si>
  <si>
    <t xml:space="preserve">Greece</t>
  </si>
  <si>
    <t xml:space="preserve">Researcher &amp; Author. Main areas of interest: Greek &amp; European politics, immigration policy &amp; issues of social cohesion.</t>
  </si>
  <si>
    <t xml:space="preserve">🌹 Rose 🌹</t>
  </si>
  <si>
    <t xml:space="preserve">Question, Learn, Honesty, Self-Reflect, Country before Party, Freedom, Love yourself first; then others, One for All - All for One, Stronger 💪 Together ❣️</t>
  </si>
  <si>
    <t xml:space="preserve">Cedric Otieno</t>
  </si>
  <si>
    <t xml:space="preserve">Humane humanity..</t>
  </si>
  <si>
    <t xml:space="preserve">光兎</t>
  </si>
  <si>
    <t xml:space="preserve">天狗のお山の麓</t>
  </si>
  <si>
    <t xml:space="preserve">Vie</t>
  </si>
  <si>
    <t xml:space="preserve">Dear non-Chinese speaking friends, I speak pretty good English, but I tweet in Chinese more often. Welcome to follow me.</t>
  </si>
  <si>
    <t xml:space="preserve">DogFarley</t>
  </si>
  <si>
    <t xml:space="preserve">Follow a Thought:https://t.co/wr0vRfGFsA</t>
  </si>
  <si>
    <t xml:space="preserve">Jake E. Hamby 🎃📱</t>
  </si>
  <si>
    <t xml:space="preserve">Mobile app developer (ex-Google, ex-MSFT). Expertise: telephony, Android platform, Java/C++/C#. Hobbies: old computers, Linux, *BSD, music, science, sociology.</t>
  </si>
  <si>
    <t xml:space="preserve">News Today</t>
  </si>
  <si>
    <t xml:space="preserve">Japan heads to the polls expecting to return Shinzo Abe https://t.co/womfEIfHGn https://t.co/pGFlvtNRAp</t>
  </si>
  <si>
    <t xml:space="preserve">Follow for breaking news, special reports, RTs</t>
  </si>
  <si>
    <t xml:space="preserve">Yoko</t>
  </si>
  <si>
    <r>
      <rPr>
        <sz val="8"/>
        <rFont val="Noto Sans CJK SC Regular"/>
        <family val="2"/>
      </rPr>
      <t xml:space="preserve">主な興味の対象は海外ドラマ（警察・法廷もの）、ミステリ小説、美術鑑賞。ツイートの大半は気になったニュースの</t>
    </r>
    <r>
      <rPr>
        <sz val="8"/>
        <rFont val="Droid Sans"/>
        <family val="0"/>
        <charset val="1"/>
      </rPr>
      <t xml:space="preserve">RT</t>
    </r>
    <r>
      <rPr>
        <sz val="8"/>
        <rFont val="Noto Sans CJK SC Regular"/>
        <family val="2"/>
      </rPr>
      <t xml:space="preserve">とそのツッコミ。ブクログの連動機能で読了した本もツイートされます。予防的ブロックあり。</t>
    </r>
  </si>
  <si>
    <t xml:space="preserve">差不多先生</t>
  </si>
  <si>
    <t xml:space="preserve">The Twisting Nether</t>
  </si>
  <si>
    <t xml:space="preserve">ｉ ｂｌｅｅｄ ｐｉｘｅｌｓ．</t>
  </si>
  <si>
    <t xml:space="preserve">Cindy Quinn</t>
  </si>
  <si>
    <t xml:space="preserve">P. Pink</t>
  </si>
  <si>
    <t xml:space="preserve">Shinzo Abe’s ruling coalition expected to win decisively in Japan election https://t.co/SjNp9Br3TP</t>
  </si>
  <si>
    <t xml:space="preserve">Clackmannan in Scotland</t>
  </si>
  <si>
    <t xml:space="preserve">submit any ideas for the future. We need new ideas for the future if we are going to have a future + TODAYS LATEST RELEVANT NEWS #IFF</t>
  </si>
  <si>
    <t xml:space="preserve">tokyotyrell</t>
  </si>
  <si>
    <t xml:space="preserve">Qassim, Kingdom of Saudi Arabia</t>
  </si>
  <si>
    <t xml:space="preserve">I see a Black Swan event on the horizon</t>
  </si>
  <si>
    <t xml:space="preserve">Annabella Mota</t>
  </si>
  <si>
    <t xml:space="preserve">México,D.F.</t>
  </si>
  <si>
    <t xml:space="preserve">Se dice que la palabra distingue a las personas de las bestias,pero es la palabra la que revela a veces la bestialidad de algunas personas.</t>
  </si>
  <si>
    <t xml:space="preserve">chorley chicken</t>
  </si>
  <si>
    <t xml:space="preserve">Shinzo Abe’s ruling coalition expected to win decisively in Japan election: https://t.co/iIQ6idaiGW - https://t.co/Ig2dcJ3LsP</t>
  </si>
  <si>
    <t xml:space="preserve">autowordpostpress</t>
  </si>
  <si>
    <t xml:space="preserve">Frank Aquila</t>
  </si>
  <si>
    <t xml:space="preserve">Shinzo Abe’s ruling coalition expected to win decisively in Japan election #Japan #japanelection https://t.co/Xa52tSsusL</t>
  </si>
  <si>
    <t xml:space="preserve">M&amp;A/CorpGov lawyer; Practical Law In The Boardroom columnist. Tweets are purely personal, not for attribution &amp; do not represent endorsement of cited content.</t>
  </si>
  <si>
    <r>
      <rPr>
        <sz val="8"/>
        <rFont val="Droid Sans"/>
        <family val="0"/>
        <charset val="1"/>
      </rPr>
      <t xml:space="preserve">J</t>
    </r>
    <r>
      <rPr>
        <sz val="8"/>
        <rFont val="Noto Sans CJK SC Regular"/>
        <family val="2"/>
      </rPr>
      <t xml:space="preserve">・ワトソン</t>
    </r>
  </si>
  <si>
    <r>
      <rPr>
        <sz val="8"/>
        <rFont val="Droid Sans"/>
        <family val="0"/>
        <charset val="1"/>
      </rPr>
      <t xml:space="preserve">‘Protect Japan!’ Protesters confront leader as North Korea’s World War 3 threats rise #</t>
    </r>
    <r>
      <rPr>
        <sz val="8"/>
        <rFont val="Noto Sans CJK SC Regular"/>
        <family val="2"/>
      </rPr>
      <t xml:space="preserve">北朝鮮 </t>
    </r>
    <r>
      <rPr>
        <sz val="8"/>
        <rFont val="Droid Sans"/>
        <family val="0"/>
        <charset val="1"/>
      </rPr>
      <t xml:space="preserve">#</t>
    </r>
    <r>
      <rPr>
        <sz val="8"/>
        <rFont val="Noto Sans CJK SC Regular"/>
        <family val="2"/>
      </rPr>
      <t xml:space="preserve">トランプ </t>
    </r>
    <r>
      <rPr>
        <sz val="8"/>
        <rFont val="Droid Sans"/>
        <family val="0"/>
        <charset val="1"/>
      </rPr>
      <t xml:space="preserve">https://t.co/GTqVPx4wKV</t>
    </r>
  </si>
  <si>
    <r>
      <rPr>
        <sz val="8"/>
        <rFont val="Noto Sans CJK SC Regular"/>
        <family val="2"/>
      </rPr>
      <t xml:space="preserve">生命科学系元研究者。 </t>
    </r>
    <r>
      <rPr>
        <sz val="8"/>
        <rFont val="Droid Sans"/>
        <family val="0"/>
        <charset val="1"/>
      </rPr>
      <t xml:space="preserve">DNA </t>
    </r>
    <r>
      <rPr>
        <sz val="8"/>
        <rFont val="Noto Sans CJK SC Regular"/>
        <family val="2"/>
      </rPr>
      <t xml:space="preserve">の ジェイムズ・ワトソンにちなみ。あるいは </t>
    </r>
    <r>
      <rPr>
        <sz val="8"/>
        <rFont val="Droid Sans"/>
        <family val="0"/>
        <charset val="1"/>
      </rPr>
      <t xml:space="preserve">Japanese </t>
    </r>
    <r>
      <rPr>
        <sz val="8"/>
        <rFont val="Noto Sans CJK SC Regular"/>
        <family val="2"/>
      </rPr>
      <t xml:space="preserve">ワトソンとも。 人間も動物の一種。戦争はチンパンジーでもやっていること。人間に特有な文化的行動ではなく、生物学的に一般的な現象とみるべき。 つまり、戦争は、</t>
    </r>
    <r>
      <rPr>
        <sz val="8"/>
        <rFont val="Droid Sans"/>
        <family val="0"/>
        <charset val="1"/>
      </rPr>
      <t xml:space="preserve">DNA</t>
    </r>
    <r>
      <rPr>
        <sz val="8"/>
        <rFont val="Noto Sans CJK SC Regular"/>
        <family val="2"/>
      </rPr>
      <t xml:space="preserve">にプログラムされた生物学的な行動様式の一つに過ぎない。</t>
    </r>
  </si>
  <si>
    <t xml:space="preserve">Charlie 🇺🇸</t>
  </si>
  <si>
    <t xml:space="preserve">Japan election: Shinzo Abe's party likely to seize control in lower house https://t.co/cmKmlMEaTg via @FoxNews #MAGA https://t.co/QoIYLgQAij</t>
  </si>
  <si>
    <t xml:space="preserve">South Carolina, USA</t>
  </si>
  <si>
    <t xml:space="preserve">US Marine #Veteran @realDonaldTrump supporter and Father to the best Daughter #deplorable #1A #2A #DrainTheSwamp #MAGA Honored to be followed by @RealJamesWoods</t>
  </si>
  <si>
    <t xml:space="preserve">Fábio</t>
  </si>
  <si>
    <t xml:space="preserve">Japan election: Shinzo Abe's party likely to seize control in lower house https://t.co/Si6hffbNWT https://t.co/Tbu6AOdNX0</t>
  </si>
  <si>
    <t xml:space="preserve">Count Your Age by Friends, Not Years. Count Your Life by Smiles, Not Tears</t>
  </si>
  <si>
    <t xml:space="preserve">Guy Adim</t>
  </si>
  <si>
    <t xml:space="preserve">https://t.co/ybZZbRpaFP Japan election: Shinzo Abe's party likely to seize control in lower…… https://t.co/1YDhCwIWYH</t>
  </si>
  <si>
    <t xml:space="preserve">young at heart, old to the bones</t>
  </si>
  <si>
    <t xml:space="preserve">BOB</t>
  </si>
  <si>
    <t xml:space="preserve">Japan election: Shinzo Abe's party likely to seize control in lower house https://t.co/QNA8BeVgXs https://t.co/sEcQVgkMB3</t>
  </si>
  <si>
    <t xml:space="preserve">Huntington Beach, CA</t>
  </si>
  <si>
    <t xml:space="preserve">🇺🇸World news updated throughout the day. Breaking news as it's happening.</t>
  </si>
  <si>
    <t xml:space="preserve">Chris  🇺🇸  👻🎃</t>
  </si>
  <si>
    <t xml:space="preserve">Japan election: Shinzo Abe's party likely to seize control in lower house https://t.co/qYcxj3S6KY via @foxnews https://t.co/e8Ui6dApPp</t>
  </si>
  <si>
    <t xml:space="preserve">Philadelphia, PA USA</t>
  </si>
  <si>
    <t xml:space="preserve">100% American. 63% Irish Ancestry. Roman Catholic. BS/MS Princeton U. PhD Computer Sci Univ of Penn, Data Scientist. 2A. Pro-Life. Love Dog, cats, &amp; animals.</t>
  </si>
  <si>
    <t xml:space="preserve">kenything</t>
  </si>
  <si>
    <t xml:space="preserve">Shinzo Abe’s ruling coalition expected to win decisively in Japan election https://t.co/7K1zYNqJM4</t>
  </si>
  <si>
    <t xml:space="preserve">Yusra Salim</t>
  </si>
  <si>
    <t xml:space="preserve">#World #FoxNews: "Japan election: Shinzo Abe's party likely to seize control in lower house.” https://t.co/4rIpO6Rxd5</t>
  </si>
  <si>
    <t xml:space="preserve">Oman</t>
  </si>
  <si>
    <t xml:space="preserve">#Adventures 🗺| #FreeSpirit 🦅| Passionate about #Music 🎶 | Fascinated by #clouds ☁️ | "عندما تعجز الكلمات ينطق القلم" 🐦</t>
  </si>
  <si>
    <t xml:space="preserve">Loop News</t>
  </si>
  <si>
    <t xml:space="preserve">(Japan election: Shinzo Abe's party likely to seize control in lower house) #latest #news #followback -… https://t.co/XXz913AtV1</t>
  </si>
  <si>
    <t xml:space="preserve">Loop News Info</t>
  </si>
  <si>
    <t xml:space="preserve">News #Latest #News</t>
  </si>
  <si>
    <t xml:space="preserve">Fox Algeria</t>
  </si>
  <si>
    <t xml:space="preserve">#FoxAlgeria Japan election: Shinzo Abe's party likely to seize control in lower house https://t.co/9DQ5crctAE… https://t.co/vl9iMiDWuk</t>
  </si>
  <si>
    <t xml:space="preserve">Africa</t>
  </si>
  <si>
    <t xml:space="preserve">#FoxAlgeria #FoxAfrica #Fox10news</t>
  </si>
  <si>
    <t xml:space="preserve">Japan election: Shinzo Abe's party likely to seize control in lower house https://t.co/J9mzFaDxno #NewslyTweet</t>
  </si>
  <si>
    <t xml:space="preserve">Why ‘unpopular’ Japanese PM Abe is expected to win Sunday’s polls https://t.co/SPhLkbtwzn</t>
  </si>
  <si>
    <t xml:space="preserve">3novices</t>
  </si>
  <si>
    <t xml:space="preserve">3Novices:Japan election: Shinzo Abe's party likely to seize control in lower house https://t.co/vCdmD3mO5s Voting in a general election st…</t>
  </si>
  <si>
    <t xml:space="preserve">The First Online Media Updater: We try to Share Media I.e Technology, News, Entertainment http://t.co/Hu0HaQt7sS Launcher-Founder Meghashyam,Bharath,Vaishnavi</t>
  </si>
  <si>
    <t xml:space="preserve">Japan election: Shinzo Abe's party likely to seize control in lower house https://t.co/GglmotnjoZ</t>
  </si>
  <si>
    <t xml:space="preserve">Politics4All.com</t>
  </si>
  <si>
    <t xml:space="preserve">Japan election: Shinzo Abe's party likely to seize control in lower house https://t.co/zrzAN9cGGq #politics</t>
  </si>
  <si>
    <t xml:space="preserve">Politics4All HQ</t>
  </si>
  <si>
    <t xml:space="preserve">Your Lifestream on http://t.co/a4pCSlKroI</t>
  </si>
  <si>
    <t xml:space="preserve">Brandnaware</t>
  </si>
  <si>
    <t xml:space="preserve">Japan election: Shinzo Abe's party likely to seize control in lower house https://t.co/LjHiOMC5bB brandnaware https://t.co/ParWM4WEeD</t>
  </si>
  <si>
    <t xml:space="preserve">Corporate branding &amp; communications, Online and offline awareness, Website design, application development, and everyday activity automation. #UpgradeYourWorld</t>
  </si>
  <si>
    <t xml:space="preserve">ReportersLab</t>
  </si>
  <si>
    <t xml:space="preserve">Japan election: Shinzo Abe’s party likely to seize control in lower house https://t.co/zEwChUBY8d https://t.co/E2EBZ7WByc</t>
  </si>
  <si>
    <t xml:space="preserve">Latest News Updates</t>
  </si>
  <si>
    <t xml:space="preserve">One Care Rehab</t>
  </si>
  <si>
    <t xml:space="preserve">Japan election: Shinzo Abe’s party likely to seize control in lower house https://t.co/SwdA67ZVFg https://t.co/lsBe3OeySz</t>
  </si>
  <si>
    <t xml:space="preserve">Tustin, CA</t>
  </si>
  <si>
    <t xml:space="preserve">One Care Rehab provides premium placement services for Drug and Alcohol Detox and Treatment.Our staff will provide an evaluation to get you in the correct detox</t>
  </si>
  <si>
    <t xml:space="preserve">HWDRepublican</t>
  </si>
  <si>
    <t xml:space="preserve">THR: Japan election: Shinzo Abe's party likely to seize control in lower house https://t.co/L9hzxjzUFz (FOX)</t>
  </si>
  <si>
    <t xml:space="preserve">Hollywood, CA USA</t>
  </si>
  <si>
    <t xml:space="preserve">A lone Republican voice cast in the Land of Hollywood™ WRITE•VOTE•RECALL™ #WRITEVOTERECALL</t>
  </si>
  <si>
    <t xml:space="preserve">✡Joyce C. Sant´Ana🕎</t>
  </si>
  <si>
    <t xml:space="preserve">Twitter for BlackBerry</t>
  </si>
  <si>
    <r>
      <rPr>
        <sz val="8"/>
        <rFont val="Droid Sans"/>
        <family val="0"/>
        <charset val="1"/>
      </rPr>
      <t xml:space="preserve">A Great Big (</t>
    </r>
    <r>
      <rPr>
        <sz val="8"/>
        <rFont val="Noto Sans CJK SC Regular"/>
        <family val="2"/>
      </rPr>
      <t xml:space="preserve">ツ</t>
    </r>
    <r>
      <rPr>
        <sz val="8"/>
        <rFont val="Droid Sans"/>
        <family val="0"/>
        <charset val="1"/>
      </rPr>
      <t xml:space="preserve">) Small Town!...</t>
    </r>
  </si>
  <si>
    <r>
      <rPr>
        <sz val="8"/>
        <rFont val="Droid Sans"/>
        <family val="0"/>
        <charset val="1"/>
      </rPr>
      <t xml:space="preserve">🇮🇱 Das Kleine Wunder! (Jeremiah 1:5) Viele liebe grüße ( ͡ʘ ͜ʖ ͡ʘ) aus dem ¯\_(</t>
    </r>
    <r>
      <rPr>
        <sz val="8"/>
        <rFont val="Noto Sans CJK SC Regular"/>
        <family val="2"/>
      </rPr>
      <t xml:space="preserve">ツ</t>
    </r>
    <r>
      <rPr>
        <sz val="8"/>
        <rFont val="Droid Sans"/>
        <family val="0"/>
        <charset val="1"/>
      </rPr>
      <t xml:space="preserve">)_/¯ sonnigen Brasilien!! 🇧🇷</t>
    </r>
  </si>
  <si>
    <t xml:space="preserve">Qatar Update</t>
  </si>
  <si>
    <t xml:space="preserve">Japan election: Shinzo Abe's party likely to seize control in lower house https://t.co/nIYPCYs9u7 #news</t>
  </si>
  <si>
    <t xml:space="preserve">دولة قطر</t>
  </si>
  <si>
    <t xml:space="preserve">Qatar News Update</t>
  </si>
  <si>
    <t xml:space="preserve">Michael Kuehn</t>
  </si>
  <si>
    <t xml:space="preserve">"Japan election: Shinzo Abe's party likely to seize control in lower house" via FOX NEWS https://t.co/PzmqOJGk4I</t>
  </si>
  <si>
    <t xml:space="preserve">USA earth</t>
  </si>
  <si>
    <t xml:space="preserve">keith melanie</t>
  </si>
  <si>
    <t xml:space="preserve">Japan election: Shinzo Abe's party likely to seize control in lower house Voting in a general election started Sun… https://t.co/bQMg0tlCGd</t>
  </si>
  <si>
    <t xml:space="preserve">Calgary, Alberta</t>
  </si>
  <si>
    <t xml:space="preserve">Hi, i am window replacement company owner, want help? connect me here</t>
  </si>
  <si>
    <t xml:space="preserve">DNS Team #timbeta</t>
  </si>
  <si>
    <t xml:space="preserve">"Japan election: Shinzo Abe's party likely to seize control in lower house" via FOX NEWS #timbeta #betaajudabeta #timbetalab</t>
  </si>
  <si>
    <t xml:space="preserve">Bora Betas. #sdv #rt #timbetalab</t>
  </si>
  <si>
    <t xml:space="preserve">Howard Sanjuanita</t>
  </si>
  <si>
    <t xml:space="preserve">Japan election: Shinzo Abe's party likely to seize control in lower house Voting in a general election started Sun… https://t.co/XVKIopr5T7</t>
  </si>
  <si>
    <t xml:space="preserve">Highly practical floor solutions, We offer laminate flooring, floor tiles, vinyl, oak flooring, bamboo flooring needs and more.</t>
  </si>
  <si>
    <t xml:space="preserve">Gray Maranda</t>
  </si>
  <si>
    <t xml:space="preserve">Japan election: Shinzo Abe's party likely to seize control in lower house Voting in a general election started Sun… https://t.co/WjVbpwGKuV</t>
  </si>
  <si>
    <t xml:space="preserve">We are the best Windows and Doors specialist in Ontario, we have a beatiful wide collections and we have the best installers in the town.</t>
  </si>
  <si>
    <t xml:space="preserve">TEMITAYO AKEEM</t>
  </si>
  <si>
    <t xml:space="preserve">Japan election: Shinzo Abe's party likely to seize control in lower house https://t.co/qc2GCQAOgV</t>
  </si>
  <si>
    <t xml:space="preserve">Lagos</t>
  </si>
  <si>
    <t xml:space="preserve">Website &amp; native software developer/designer branding expert, General I.T Consultant Creative, Team Player &amp; Success Oriented. +2348188699274, +2348028151478</t>
  </si>
  <si>
    <t xml:space="preserve">Hughes Sherry</t>
  </si>
  <si>
    <t xml:space="preserve">Japan election: Shinzo Abe's party likely to seize control in lower house Voting in a general election started Sun… https://t.co/KpuPABtJRB</t>
  </si>
  <si>
    <t xml:space="preserve">We do Carpeting in Ontario that provides high quality carpets and high quality work with affordable prices.</t>
  </si>
  <si>
    <t xml:space="preserve">Japan election: Shinzo Abe's party likely to seize control in lower house https://t.co/LjHiOMC5bB brandnaware https://t.co/ApzWVrlea5</t>
  </si>
  <si>
    <t xml:space="preserve">Jeffery robert</t>
  </si>
  <si>
    <t xml:space="preserve">Japan election: Shinzo Abe's party likely to seize control in lower house Voting in a general election started Sun… https://t.co/GbFqgwT8er</t>
  </si>
  <si>
    <t xml:space="preserve">Henderson Wendy</t>
  </si>
  <si>
    <t xml:space="preserve">Japan election: Shinzo Abe's party likely to seize control in lower house Voting in a general election started Sun… https://t.co/opuqPcM5p4</t>
  </si>
  <si>
    <t xml:space="preserve">We are the best provider of Steel Doors of Ontario, our products comes with good quality and very affordable Contact us now!</t>
  </si>
  <si>
    <t xml:space="preserve">#RT</t>
  </si>
  <si>
    <t xml:space="preserve">loopnewsinfo (Japan election: Shinzo Abe's party likely to seize control in lower house) #followback -… https://t.co/vCAjbsgIDp</t>
  </si>
  <si>
    <t xml:space="preserve">Bot in beta mode to #RT everything</t>
  </si>
  <si>
    <t xml:space="preserve">Jamie Scott</t>
  </si>
  <si>
    <t xml:space="preserve">Japan election: Shinzo Abe’s party likely to seize control in lower house https://t.co/ffIlNgkaW0</t>
  </si>
  <si>
    <t xml:space="preserve">Ontario, CA</t>
  </si>
  <si>
    <t xml:space="preserve">My name is Jamie Scott. I own Retro Exterior Doors here in Bradford, Ontario. I am looking to learn and share information with others doing what I do.</t>
  </si>
  <si>
    <t xml:space="preserve">1stHeadlines</t>
  </si>
  <si>
    <t xml:space="preserve">Fox News: Japan election: Shinzo Abe's party likely to seize control in lower house</t>
  </si>
  <si>
    <t xml:space="preserve">Top breaking news headlines from top local, regional, national &amp; international online news sources.</t>
  </si>
  <si>
    <t xml:space="preserve">James Tracy</t>
  </si>
  <si>
    <t xml:space="preserve">Japan election: Shinzo Abe's party likely to seize control in lower house Voting in a general election started Sun… https://t.co/GKTEjztAv9</t>
  </si>
  <si>
    <t xml:space="preserve">We have the best selection of Hardwood Floors in Ontario, all of our floor types are premium hardwood and eco-friendly.</t>
  </si>
  <si>
    <t xml:space="preserve">Kkimoo</t>
  </si>
  <si>
    <t xml:space="preserve">#Japan #Election: #Shinzo Abe's #Party #Likely to #Seize #Control in lower #House https://t.co/wWf6aA5Q5R #Abes</t>
  </si>
  <si>
    <t xml:space="preserve">KkimooKKkimooKKkimooKKkimooK</t>
  </si>
  <si>
    <t xml:space="preserve">National and World News</t>
  </si>
  <si>
    <t xml:space="preserve">know what i mean</t>
  </si>
  <si>
    <t xml:space="preserve">Japan election: Shinzo Abe's party likely to seize control in lower house, if you know what i mean</t>
  </si>
  <si>
    <t xml:space="preserve">i'm a bot and i tweet fox news titles with some insinuation, if you know what i mean</t>
  </si>
  <si>
    <t xml:space="preserve">Japan election: Shinzo Abe's party likely to seize control in lower house https://t.co/GVJFD2K5zC</t>
  </si>
  <si>
    <t xml:space="preserve">BrooksRebecca</t>
  </si>
  <si>
    <t xml:space="preserve">Japan election: Shinzo Abe's party likely to seize control in lower house Voting in a general election started Sun… https://t.co/SESwa7dvSE</t>
  </si>
  <si>
    <t xml:space="preserve">Delta, British Columbia</t>
  </si>
  <si>
    <t xml:space="preserve">We do Hardwood Flooring</t>
  </si>
  <si>
    <t xml:space="preserve">Jasmine catherine</t>
  </si>
  <si>
    <t xml:space="preserve">Japan election: Shinzo Abe's party likely to seize control in lower house Voting in a general election started Sun… https://t.co/q5aBAWVRPg</t>
  </si>
  <si>
    <t xml:space="preserve">Fort Lauderdale, FL</t>
  </si>
  <si>
    <t xml:space="preserve">hello, we do improve homes we do it all home improvement tips, house renovation,kitchen remodel,home renovation,bathroom renovations,home remodeling ideas,home</t>
  </si>
  <si>
    <t xml:space="preserve">Japan election: Shinzo Abe's party likely to seize control in lower house https://t.co/Z6JkGoyWK8</t>
  </si>
  <si>
    <t xml:space="preserve">BryantDiananp</t>
  </si>
  <si>
    <t xml:space="preserve">Japan election: Shinzo Abe's party likely to seize control in lower house Voting in a general election started Sun… https://t.co/2lwhGtgrvh</t>
  </si>
  <si>
    <t xml:space="preserve">Lévis, Québec</t>
  </si>
  <si>
    <t xml:space="preserve">hey i am well finisher of home renovations</t>
  </si>
  <si>
    <t xml:space="preserve">Cindy Barnes</t>
  </si>
  <si>
    <t xml:space="preserve">Japan election: Shinzo Abe's party likely to seize control in lower house Voting in a general election started Sun… https://t.co/A2mrHgngor</t>
  </si>
  <si>
    <t xml:space="preserve">Langley, British Columbia</t>
  </si>
  <si>
    <t xml:space="preserve">We do Windows Replacement</t>
  </si>
  <si>
    <t xml:space="preserve">Jen Betty</t>
  </si>
  <si>
    <t xml:space="preserve">Japan election: Shinzo Abe's party likely to seize control in lower house Voting in a general election started Sun… https://t.co/5x6dx3ct5q</t>
  </si>
  <si>
    <t xml:space="preserve">Hardwood flooring experts in Ontario offers affordable services that comes with quality product.</t>
  </si>
  <si>
    <t xml:space="preserve">Infonya Mas</t>
  </si>
  <si>
    <t xml:space="preserve">Japan election: Shinzo Abe’s party likely to seize control in lower house https://t.co/90CTfq3tpz</t>
  </si>
  <si>
    <t xml:space="preserve">Surabaya</t>
  </si>
  <si>
    <t xml:space="preserve">Segala bentuk informasi yang bermanfaat kami sampaikan untuk mas mas dan mba mba 'e</t>
  </si>
  <si>
    <t xml:space="preserve">Griffin Andrea</t>
  </si>
  <si>
    <t xml:space="preserve">Japan election: Shinzo Abe's party likely to seize control in lower house Voting in a general election started Sun… https://t.co/l7b7aNiu66</t>
  </si>
  <si>
    <t xml:space="preserve">Ontario Windows and Doors professionals for over a decade. We have wide selections that are very affordable and will be installed by the best installers in town</t>
  </si>
  <si>
    <t xml:space="preserve">TS</t>
  </si>
  <si>
    <t xml:space="preserve">Japan election: Shinzo Abe’s party likely to seize control in lower house https://t.co/mSuaurbV0k</t>
  </si>
  <si>
    <t xml:space="preserve">Depok</t>
  </si>
  <si>
    <t xml:space="preserve">Infonya Uda</t>
  </si>
  <si>
    <t xml:space="preserve">Japan election: Shinzo Abe’s party likely to seize control in lower house https://t.co/umfq1f8N0S</t>
  </si>
  <si>
    <t xml:space="preserve">Sumbar</t>
  </si>
  <si>
    <t xml:space="preserve">Informasi Politik, Sosial, Budaya, Hukum, Olahraga, Entertaimen dari berbagai media nasional disajikan oleh uda</t>
  </si>
  <si>
    <t xml:space="preserve">Unity Network</t>
  </si>
  <si>
    <t xml:space="preserve">Japan election: Shinzo Abe’s party likely to seize control in lower house https://t.co/LtWBPXvypu</t>
  </si>
  <si>
    <t xml:space="preserve">Jakarta</t>
  </si>
  <si>
    <t xml:space="preserve">Akun Twitter Unity Network</t>
  </si>
  <si>
    <t xml:space="preserve">Isabella trevino</t>
  </si>
  <si>
    <t xml:space="preserve">Japan election: Shinzo Abe's party likely to seize control in lower house Voting in a general election started Sun… https://t.co/9O55QMcmhq</t>
  </si>
  <si>
    <t xml:space="preserve">We are the best flooring company in Ontario, we are offering very affordale prices of floors installed by the best in town, all our floors have good quality</t>
  </si>
  <si>
    <t xml:space="preserve">AxsomReport.com 🇺🇸</t>
  </si>
  <si>
    <t xml:space="preserve">Japan election: Shinzo Abe's party likely to seize control in lower house https://t.co/93XUykHUyG</t>
  </si>
  <si>
    <t xml:space="preserve">MAGA</t>
  </si>
  <si>
    <t xml:space="preserve">20 year Vet who shares news from the political right. #MAGA #TrumpTrain #USArmy #Veteran https://t.co/fZtf1OzPd6</t>
  </si>
  <si>
    <t xml:space="preserve">WarungOnline Sekseeh</t>
  </si>
  <si>
    <t xml:space="preserve">Japan election: Shinzo Abe’s party likely to seize control in lower house https://t.co/UiffyxmjNq</t>
  </si>
  <si>
    <t xml:space="preserve">DKI Jakarta, Indonesia</t>
  </si>
  <si>
    <t xml:space="preserve">Warung Online menyiapkan segala kebutuhan bro &amp; sis secara online yg bisa dilihat di tokopedia.com/sekseeh atau bukalapak.com/sekseeh</t>
  </si>
  <si>
    <t xml:space="preserve">Online Usahanya</t>
  </si>
  <si>
    <t xml:space="preserve">Japan election: Shinzo Abe’s party likely to seize control in lower house https://t.co/PoIAOyLIe6</t>
  </si>
  <si>
    <t xml:space="preserve">Online Bisnis dan Usahanya</t>
  </si>
  <si>
    <t xml:space="preserve">Japan election: Shinzo Abe's party likely to seize control in lower house https://t.co/x9gsc6qoRK</t>
  </si>
  <si>
    <t xml:space="preserve">Dorothy Glenn</t>
  </si>
  <si>
    <t xml:space="preserve">Japan election: Shinzo Abe's party likely to seize control in lower house Voting in a general election started Sun… https://t.co/z5vLSnNj9r</t>
  </si>
  <si>
    <t xml:space="preserve">Baton Rouge, LA</t>
  </si>
  <si>
    <t xml:space="preserve">We are Experts in orthodontics, We care about your teeth very well.</t>
  </si>
  <si>
    <t xml:space="preserve">USA Update</t>
  </si>
  <si>
    <t xml:space="preserve">Japan election: Shinzo Abe's party likely to seize control in lower house https://t.co/De9yEyomlL #news</t>
  </si>
  <si>
    <t xml:space="preserve">USA's National Online News Update</t>
  </si>
  <si>
    <t xml:space="preserve">Charles Cora</t>
  </si>
  <si>
    <t xml:space="preserve">Japan election: Shinzo Abe's party likely to seize control in lower house Voting in a general election started Sun… https://t.co/yD71YuTE2a</t>
  </si>
  <si>
    <t xml:space="preserve">Japan election: Shinzo Abe’s party likely to seize control in lower house https://t.co/FFN73lcFWJ</t>
  </si>
  <si>
    <t xml:space="preserve">Japan election: Shinzo Abe’s party likely to seize control in lower house https://t.co/vyREn5nlAJ</t>
  </si>
  <si>
    <t xml:space="preserve">🍂🎃🍁Sasha 🇺🇸</t>
  </si>
  <si>
    <t xml:space="preserve">RT @jwaxsom: Japan election: Shinzo Abe's party likely to seize control in lower house https://t.co/93XUykHUyG</t>
  </si>
  <si>
    <t xml:space="preserve">Adorable Deplorable #AmericaFirst MAGA 🇺🇸Knowledge Without Wisdom is Like Water in the Sand #AnimalLover #DemExit🗑️Detest Democrat's</t>
  </si>
  <si>
    <t xml:space="preserve">Powerglobal</t>
  </si>
  <si>
    <t xml:space="preserve">POWERGLOBAL: THE VOICE OF REASON - The Conservative Voice in Global News #MAGA 🇺🇸 #TRUMP #BuildtheWall #LockHerUp 🇬🇧#BREXIT 🇦🇺#Abbott Powerglobal.us</t>
  </si>
  <si>
    <t xml:space="preserve">Kyra Bailey</t>
  </si>
  <si>
    <t xml:space="preserve">Japan election: Shinzo Abe's party likely to seize control in lower house Voting in a general election started Sun… https://t.co/WylJ6H4HGO</t>
  </si>
  <si>
    <t xml:space="preserve">Barrie, Ontario</t>
  </si>
  <si>
    <t xml:space="preserve">We do Hardwood Floors</t>
  </si>
  <si>
    <t xml:space="preserve">Samantha Allman</t>
  </si>
  <si>
    <t xml:space="preserve">Japan election: Shinzo Abe’s party likely to seize control in lower house https://t.co/eFjgg66NR2</t>
  </si>
  <si>
    <t xml:space="preserve">Aurora, Ontario</t>
  </si>
  <si>
    <t xml:space="preserve">My name is Samantha Allman. I own Double Hung Windows here in Aurora, Ontario. I am looking to learn and share information with others doing what I do.</t>
  </si>
  <si>
    <t xml:space="preserve">Japan election: Shinzo Abe’s party likely to seize control in lower house https://t.co/HXOBKhRAK5</t>
  </si>
  <si>
    <t xml:space="preserve">Sahel Diab</t>
  </si>
  <si>
    <t xml:space="preserve">Japan election: Shinzo Abe's party likely to seize control in lower house https://t.co/JAOjQRJQGz #SahelNews</t>
  </si>
  <si>
    <t xml:space="preserve">Amman, Hashemite Kingdom of Jo</t>
  </si>
  <si>
    <t xml:space="preserve">CEO &amp; Founder #SahelNews Conveying &amp; spreading #Awareness on #SocioEconomic #Sports #Politics #Controversial_Issues in #MENA #Globally #SMSummitJO #SMSummitME</t>
  </si>
  <si>
    <t xml:space="preserve">Japan election: Shinzo Abe’s party likely to seize control in lower house https://t.co/Kcq7HeJoeU</t>
  </si>
  <si>
    <t xml:space="preserve">SaleSpree.com</t>
  </si>
  <si>
    <t xml:space="preserve">Japan election: Shinzo Abe's party likely to seize control in lower house https://t.co/CX3gjks8jq</t>
  </si>
  <si>
    <t xml:space="preserve">https://t.co/mLYW8jplny</t>
  </si>
  <si>
    <t xml:space="preserve">Publicity Magazine</t>
  </si>
  <si>
    <t xml:space="preserve">#tcasocial @tcapr Japan election: Shinzo Abe's party likely to seize control in lower house https://t.co/Yih5mg7ZJB</t>
  </si>
  <si>
    <t xml:space="preserve">www.Publicitymag.com</t>
  </si>
  <si>
    <t xml:space="preserve">ItTakesOneVoter</t>
  </si>
  <si>
    <t xml:space="preserve">#VotingDay Shinzo Abe's ruling coalition expected to win decisively in Japan election - The Guardian https://t.co/7IZDQH0VtX</t>
  </si>
  <si>
    <t xml:space="preserve">It Takes One Voter - You Can Make a Difference - Get Involved Today. #Orlando #Standinline</t>
  </si>
  <si>
    <t xml:space="preserve">National Voting Day</t>
  </si>
  <si>
    <t xml:space="preserve">#VotingDay #Holiday Shinzo Abe's ruling coalition expected to win decisively in Japan election - The Guardian https://t.co/sFn7zG4Lm1</t>
  </si>
  <si>
    <t xml:space="preserve">The US needs a National Voting Day as a day to vote as well as celebrate our democracy. Owners of https://t.co/YCuAMbnwdM - Let's Partner with This Domain Name</t>
  </si>
  <si>
    <t xml:space="preserve">JEEPEG</t>
  </si>
  <si>
    <t xml:space="preserve">Japan election: Shinzo Abe's party likely to seize control in lower house https://t.co/cLkkUXKlQd</t>
  </si>
  <si>
    <t xml:space="preserve">INTELLINEWS2</t>
  </si>
  <si>
    <t xml:space="preserve">Paris, FRANCE</t>
  </si>
  <si>
    <t xml:space="preserve">Japan election: Shinzo Abe's party likely to seize control in lower house https://t.co/SMIpKTMgmV #foxnews #fox #news</t>
  </si>
  <si>
    <t xml:space="preserve">OLOWOYEYE OLAITAN</t>
  </si>
  <si>
    <t xml:space="preserve">Japan election: Shinzo Abe's party likely to seize control in lower house https://t.co/UOjxsNnVWP</t>
  </si>
  <si>
    <t xml:space="preserve">World Conservative</t>
  </si>
  <si>
    <t xml:space="preserve">Shinzo Abe's party likely to seize control in Japan's lower house https://t.co/CeZQzu0BiN https://t.co/gSIQXSPMpx</t>
  </si>
  <si>
    <t xml:space="preserve">Victoria, Australia</t>
  </si>
  <si>
    <t xml:space="preserve">#Global #media platform promoting #conservative #politics, values, ideals for better #society. Support @GOP @AuConservatives @Conservatives #auspol #USPolitics</t>
  </si>
  <si>
    <t xml:space="preserve">3NovicesChennai</t>
  </si>
  <si>
    <t xml:space="preserve">#3Novices : Japan snap election: Shinzo Abe eyes fresh mandate amid North Korean threat https://t.co/KlP0FyLSy3 Japan snap election: Abe e…</t>
  </si>
  <si>
    <t xml:space="preserve">Chennai, Tamil Nadu</t>
  </si>
  <si>
    <t xml:space="preserve">The First Online Media Updater Founder Meghashyam, Bharath, Vaishnavi</t>
  </si>
  <si>
    <t xml:space="preserve">Saara Leon</t>
  </si>
  <si>
    <t xml:space="preserve">Japan election: Shinzo Abe’s party likely to seize control in lower house https://t.co/veHP1yAcH5 https://t.co/qyaFvfQvSW</t>
  </si>
  <si>
    <t xml:space="preserve">Japan election: Shinzo Abe's party likely to seize control in lower house https://t.co/TApU8GsGCr</t>
  </si>
  <si>
    <r>
      <rPr>
        <sz val="8"/>
        <rFont val="Droid Sans"/>
        <family val="0"/>
        <charset val="1"/>
      </rPr>
      <t xml:space="preserve">Why ‘unpopular’ PM Abe is slated to win Japan vote https://t.co/RSpBqCf1o1 @FRANCE24</t>
    </r>
    <r>
      <rPr>
        <sz val="8"/>
        <rFont val="Noto Sans CJK SC Regular"/>
        <family val="2"/>
      </rPr>
      <t xml:space="preserve">より</t>
    </r>
  </si>
  <si>
    <t xml:space="preserve">Shinzo Abe's party likely to seize control in Japan's lower house https://t.co/N8RtyzzeOT #breakingnews #news</t>
  </si>
  <si>
    <t xml:space="preserve">TOP VIRAL</t>
  </si>
  <si>
    <t xml:space="preserve">Japan election: Shinzo Abe&amp;#8217;s party likely to seize control in lower househttps://ai-newz.com</t>
  </si>
  <si>
    <t xml:space="preserve">ai-newz.com</t>
  </si>
  <si>
    <t xml:space="preserve">Testosterone Booster</t>
  </si>
  <si>
    <t xml:space="preserve">Japan election: Shinzo Abe&amp;#039;s party likely to seize control in lower house #natural https://t.co/4p8vjd4lhr</t>
  </si>
  <si>
    <t xml:space="preserve">Malaysia</t>
  </si>
  <si>
    <t xml:space="preserve">#Tongkat Ali Root Extract - #Natural #Testosterone #Boosters #MUFC #Trump #Sports #Health #Healthy #Fitness #menshealth #hypogonadism</t>
  </si>
  <si>
    <t xml:space="preserve">What Shinzo Abe’s election win will mean for China-Japan relations https://t.co/2NaGnr6vTb</t>
  </si>
  <si>
    <t xml:space="preserve">dimitry shau</t>
  </si>
  <si>
    <t xml:space="preserve">Japan election: Shinzo Abe’s party likely to seize control in lower house https://t.co/4RIwkUp1cs https://t.co/tN9Vah9nED</t>
  </si>
  <si>
    <t xml:space="preserve">internet</t>
  </si>
  <si>
    <t xml:space="preserve">мужчина в расцвете сил, Христианин, увлечения - мониторинг сми, создание сайтов, интернет, благотворительность.</t>
  </si>
  <si>
    <t xml:space="preserve">biteszHQNews</t>
  </si>
  <si>
    <t xml:space="preserve">Japan election: Shinzo Abe's party likely to seize control in lower house https://t.co/f2yj2Pz6A6</t>
  </si>
  <si>
    <t xml:space="preserve">Sydney, Australia</t>
  </si>
  <si>
    <t xml:space="preserve">The official aggregated world news feed for https://t.co/EFheHEhAWq...maker of fine podcasts. Check us out...#listen #subscribe</t>
  </si>
  <si>
    <t xml:space="preserve">Richard Haberkern</t>
  </si>
  <si>
    <t xml:space="preserve">Japan election: Shinzo Abe’s party likely to seize control in lower house https://t.co/PMj1otn8gM</t>
  </si>
  <si>
    <t xml:space="preserve">We teach you how to be an inventor</t>
  </si>
  <si>
    <t xml:space="preserve">Japan election: Shinzo Abe's party likely to seize control in lower house https://t.co/Acah19svcT #NLU</t>
  </si>
  <si>
    <t xml:space="preserve">News Updated 24 h</t>
  </si>
  <si>
    <t xml:space="preserve">https://t.co/CWyBtzAFek Japan election: Shinzo Abe's party likely to seize control in lower house - Fox News https://t.co/LBhaRTN1Ju</t>
  </si>
  <si>
    <t xml:space="preserve">shopall</t>
  </si>
  <si>
    <t xml:space="preserve">#Japan #Election: #Shinzo Abe's #Party likely to #Seize #Cont... - https://t.co/0KQgxnSJCy - #Abes #News https://t.co/RxwinsCZBS</t>
  </si>
  <si>
    <t xml:space="preserve">press-today</t>
  </si>
  <si>
    <t xml:space="preserve">geanra</t>
  </si>
  <si>
    <t xml:space="preserve">#Japan #Election: #Shinzo Abe's #Party likely to #Seize #Cont... - https://t.co/sA8IhFlqK5 - #Abes #News https://t.co/Qo8euLDn1D</t>
  </si>
  <si>
    <t xml:space="preserve">fer4</t>
  </si>
  <si>
    <t xml:space="preserve">😀</t>
  </si>
  <si>
    <t xml:space="preserve">Survey Sunday</t>
  </si>
  <si>
    <t xml:space="preserve">#News via #FOXNEWS "Japan election: Shinzo Abe's party likely to seize control in lower house"… https://t.co/CWeELzN3t8</t>
  </si>
  <si>
    <t xml:space="preserve">The weekly #SurveySunday is an unscientific measure of the opinions &amp; attitudes of #Miami community leaders, by @LopezGovLaw via email, #Facebook, &amp; #Twitter.</t>
  </si>
  <si>
    <t xml:space="preserve">Geminids</t>
  </si>
  <si>
    <t xml:space="preserve">Why ‘unpopular’ Japanese PM Abe is expected to win Sunday’s polls (from FRANCE 24) https://t.co/L3nFVxvDz3 https://t.co/HXj1GsTNs3</t>
  </si>
  <si>
    <t xml:space="preserve">プロフ画像→あお</t>
  </si>
  <si>
    <r>
      <rPr>
        <sz val="8"/>
        <rFont val="Noto Sans CJK SC Regular"/>
        <family val="2"/>
      </rPr>
      <t xml:space="preserve">放送とツイッターでの発言は</t>
    </r>
    <r>
      <rPr>
        <sz val="8"/>
        <rFont val="Droid Sans"/>
        <family val="0"/>
        <charset val="1"/>
      </rPr>
      <t xml:space="preserve">99%</t>
    </r>
    <r>
      <rPr>
        <sz val="8"/>
        <rFont val="Noto Sans CJK SC Regular"/>
        <family val="2"/>
      </rPr>
      <t xml:space="preserve">冗談、残りの</t>
    </r>
    <r>
      <rPr>
        <sz val="8"/>
        <rFont val="Droid Sans"/>
        <family val="0"/>
        <charset val="1"/>
      </rPr>
      <t xml:space="preserve">1%</t>
    </r>
    <r>
      <rPr>
        <sz val="8"/>
        <rFont val="Noto Sans CJK SC Regular"/>
        <family val="2"/>
      </rPr>
      <t xml:space="preserve">は礼儀。ネタ切れにつき、たまに海外速報をつぶやきます。</t>
    </r>
  </si>
  <si>
    <t xml:space="preserve">VotarEsNuestroDeber</t>
  </si>
  <si>
    <t xml:space="preserve">RT @SurveySunday: #News via #FOXNEWS "Japan election: Shinzo Abe's party likely to seize control in lower house" https://t.co/GvxB7kIrTV ht…</t>
  </si>
  <si>
    <t xml:space="preserve">VotarEsUnDeber</t>
  </si>
  <si>
    <t xml:space="preserve">It is our #Duty to #Vote! A través del #voto, we take control de nuestro #destino. #Vote2017</t>
  </si>
  <si>
    <t xml:space="preserve">Carmen D</t>
  </si>
  <si>
    <t xml:space="preserve">"Japan election: Shinzo Abe's party likely to seize control in lower house" https://t.co/VjQVa1kYc6</t>
  </si>
  <si>
    <t xml:space="preserve">👌👌👌</t>
  </si>
  <si>
    <t xml:space="preserve">Conservatism</t>
  </si>
  <si>
    <t xml:space="preserve">Japan election: Shinzo Abe's party likely to seize control in lower house https://t.co/GAAh0xWTjS https://t.co/btLiUcHnmW</t>
  </si>
  <si>
    <t xml:space="preserve">conservatismrr</t>
  </si>
  <si>
    <t xml:space="preserve">Content curated by top Conservatives on Twitter (#TCOT). (Pic:https://t.co/r0J1PNAZK4</t>
  </si>
  <si>
    <t xml:space="preserve">Madisons CPC</t>
  </si>
  <si>
    <t xml:space="preserve">Japan election: Shinzo Abe's party likely to seize control in lower house https://t.co/KRDKl9rz8E https://t.co/1qnsHoSsJK</t>
  </si>
  <si>
    <t xml:space="preserve">Media/News Company in Wichita Falls, Texas</t>
  </si>
  <si>
    <t xml:space="preserve">NewsStory</t>
  </si>
  <si>
    <t xml:space="preserve">Japan snap election: Shinzo Abe eyes fresh mandate amid North Korean threat https://t.co/Ev7lJhxC1G</t>
  </si>
  <si>
    <t xml:space="preserve">Follow us now to get news from more than 100 news channels.No copyright Direct references to news content. Follow Now. Proudly Made in India.जय हिन्द !! जय भारत</t>
  </si>
  <si>
    <t xml:space="preserve">Survey_Bot</t>
  </si>
  <si>
    <t xml:space="preserve">Stephen Stapczynski</t>
  </si>
  <si>
    <t xml:space="preserve">More than 100 million Japanese voters are poised to give Shinzo Abe a fresh mandate https://t.co/RBpoLr7dqZ via @bpolitics</t>
  </si>
  <si>
    <r>
      <rPr>
        <sz val="8"/>
        <rFont val="Droid Sans"/>
        <family val="0"/>
        <charset val="1"/>
      </rPr>
      <t xml:space="preserve">Tokyo-based Bloomberg @Business reporter covering energy. Power nerd. Eater of </t>
    </r>
    <r>
      <rPr>
        <sz val="8"/>
        <rFont val="Noto Sans CJK SC Regular"/>
        <family val="2"/>
      </rPr>
      <t xml:space="preserve">担々麺</t>
    </r>
    <r>
      <rPr>
        <sz val="8"/>
        <rFont val="Droid Sans"/>
        <family val="0"/>
        <charset val="1"/>
      </rPr>
      <t xml:space="preserve">. Opinions are my own // </t>
    </r>
    <r>
      <rPr>
        <sz val="8"/>
        <rFont val="Noto Sans CJK SC Regular"/>
        <family val="2"/>
      </rPr>
      <t xml:space="preserve">ブルームバーグ通信社東京支局ジャーナリスト</t>
    </r>
  </si>
  <si>
    <t xml:space="preserve">billy fatbowe</t>
  </si>
  <si>
    <t xml:space="preserve">Japan election: Shinzo Abe's party likely to seize control in lower house https://t.co/uxrwISDpkB #FoxNews</t>
  </si>
  <si>
    <t xml:space="preserve">JOHN 14;6...</t>
  </si>
  <si>
    <t xml:space="preserve">Won't be wronged...won't be insulted and won't be laid a hand on... ...John Wayne... 🦅...I Agree...</t>
  </si>
  <si>
    <t xml:space="preserve">Japanese voters head to the polls on Sunday in a general election that is widely expected to hand incumbent leader… https://t.co/EmRG1dCgzq</t>
  </si>
  <si>
    <t xml:space="preserve">DailyPsalms</t>
  </si>
  <si>
    <t xml:space="preserve">PsalmsBot</t>
  </si>
  <si>
    <t xml:space="preserve">#Daily #Psalms and #InspirationalQuotes sponsored by @lopezgovlaw</t>
  </si>
  <si>
    <t xml:space="preserve">NationalSecurity</t>
  </si>
  <si>
    <t xml:space="preserve">#natsec Japan election: Shinzo Abe's party likely to seize control in lower house https://t.co/gXpH79zYGl</t>
  </si>
  <si>
    <t xml:space="preserve">We are tracking national security issues and giving forewarning when possible. We curate the national security channel at https://t.co/6mHZOMMldD</t>
  </si>
  <si>
    <t xml:space="preserve">Standing with Marco</t>
  </si>
  <si>
    <t xml:space="preserve">Marco_Bot</t>
  </si>
  <si>
    <t xml:space="preserve">Miami Gives</t>
  </si>
  <si>
    <t xml:space="preserve">MiamiGives</t>
  </si>
  <si>
    <t xml:space="preserve">Inspiring #Philanthropy in #Miami -- #care | #give | #share | #volunteer --sponsored by Marile &amp; Jorge Luis Lopez, Esq. (@lopezgovlaw).</t>
  </si>
  <si>
    <t xml:space="preserve">Jorge Luis Lopez Esq</t>
  </si>
  <si>
    <t xml:space="preserve">PrometheusII</t>
  </si>
  <si>
    <t xml:space="preserve">Miami, Florida</t>
  </si>
  <si>
    <t xml:space="preserve">Gov't Affairs Attorney | TV &amp; Radio Analyst | Board: @AmericanCancer + @ACSCAN + @SFLRedCross + @BGCMia | Sponsor: @MiamiGives + @SurveySunday + @DailyPsalms365</t>
  </si>
  <si>
    <t xml:space="preserve">Eric Shepherd</t>
  </si>
  <si>
    <t xml:space="preserve">Shinzo Abe gets support from typhoon, polls in Japan election https://t.co/nTwlTfc2sP via @asiatimesonline</t>
  </si>
  <si>
    <t xml:space="preserve">Tampa, FL/Qingdao, China</t>
  </si>
  <si>
    <t xml:space="preserve">Professor of Chinese language, culture and literature-University of South Florida, Author: Eat Shandong, Professional storyteller, US Army veteran, Views my own</t>
  </si>
  <si>
    <t xml:space="preserve">Daily-Sun</t>
  </si>
  <si>
    <t xml:space="preserve">Japan election: Shinzo Abe's party likely to seize control in lower house | https://t.co/990q9EamvZ https://t.co/iMhJNfxXOe</t>
  </si>
  <si>
    <t xml:space="preserve">Dhaka, Bangladesh</t>
  </si>
  <si>
    <t xml:space="preserve">Leading Daily Newspaper in Bangladesh</t>
  </si>
  <si>
    <t xml:space="preserve">"Japan election: Shinzo Abe's party likely to seize control in lower house" via FOX NEWS https://t.co/hjDaSupiM4</t>
  </si>
  <si>
    <t xml:space="preserve">Millions of on Sunday for a snap election likely to hand Prime Minister Shinzo Abe a fresh… https://t.co/37t4QnxfTU @UnitedNewsofUSA</t>
  </si>
  <si>
    <t xml:space="preserve">David Doughty</t>
  </si>
  <si>
    <t xml:space="preserve">RT @FAquila: Shinzo Abe’s ruling coalition expected to win decisively in Japan election #Japan #japanelection https://t.co/Xa52tSsusL</t>
  </si>
  <si>
    <t xml:space="preserve">Bristol</t>
  </si>
  <si>
    <t xml:space="preserve">I work with company directors to help them &amp; their boards to be more effective. Chartered Director, Corporate Governance Expert #CorpGov #TRRiskUK30 #sagetop100</t>
  </si>
  <si>
    <t xml:space="preserve">John</t>
  </si>
  <si>
    <t xml:space="preserve">abc943834fre</t>
  </si>
  <si>
    <t xml:space="preserve">Stay positive :)</t>
  </si>
  <si>
    <t xml:space="preserve">Andy Sharp</t>
  </si>
  <si>
    <t xml:space="preserve">RT @SStapczynski: More than 100 million Japanese voters are poised to give Shinzo Abe a fresh mandate https://t.co/RBpoLr7dqZ via @bpolitics</t>
  </si>
  <si>
    <r>
      <rPr>
        <sz val="8"/>
        <rFont val="Droid Sans"/>
        <family val="0"/>
        <charset val="1"/>
      </rPr>
      <t xml:space="preserve">Political editor for Japan/Koreas at Bloomberg. My views are generally stolen from people smarter than me. asharp5@bloomberg.net </t>
    </r>
    <r>
      <rPr>
        <sz val="8"/>
        <rFont val="Noto Sans CJK SC Regular"/>
        <family val="2"/>
      </rPr>
      <t xml:space="preserve">力愛不二</t>
    </r>
  </si>
  <si>
    <t xml:space="preserve">Cogent Advisory</t>
  </si>
  <si>
    <t xml:space="preserve">Japan snap election: Shinzo Abe eyes fresh mandate amid North Korean threat https://t.co/tj1VlbKSG0</t>
  </si>
  <si>
    <t xml:space="preserve">New Delhi - India</t>
  </si>
  <si>
    <t xml:space="preserve">Ex-Banker, Blogger, Leading A Wealth Management Firm, Columinist Tweets are not endorsement nor recommendations. #CogentAdvisory</t>
  </si>
  <si>
    <t xml:space="preserve">World News</t>
  </si>
  <si>
    <t xml:space="preserve">Japan election: Shinzo Abe's party likely to seize control in lower house https://t.co/BtSkpZtKmy</t>
  </si>
  <si>
    <t xml:space="preserve">Get the latest World News, International news from Africa, Asia-Pacific, Europe, Latin America, the Middle East, South Asia, Canada &amp; United States of America.</t>
  </si>
  <si>
    <t xml:space="preserve">Times of News</t>
  </si>
  <si>
    <t xml:space="preserve">Japan election: Shinzo Abe's party likely to seize control in lower house https://t.co/B8TcnW51NP #breakingnews</t>
  </si>
  <si>
    <t xml:space="preserve">Times of News from USA</t>
  </si>
  <si>
    <t xml:space="preserve">Times of News is a free news website.Follow us and get latest news update from all over world.</t>
  </si>
  <si>
    <t xml:space="preserve">Japan election: Shinzo Abe's party likely to seize control in lower house https://t.co/VsXxKpTtYD #breakingnews</t>
  </si>
  <si>
    <t xml:space="preserve">BsnssNws</t>
  </si>
  <si>
    <t xml:space="preserve">Japan snap election: Shinzo Abe eyes fresh mandate amid North Korean threat [0.03]: https://t.co/GagZCOvLho https://t.co/N0WYV9MmoW</t>
  </si>
  <si>
    <t xml:space="preserve">Daily business in a sentence developed by @Talaikis.</t>
  </si>
  <si>
    <t xml:space="preserve">mrfffffFollow</t>
  </si>
  <si>
    <t xml:space="preserve">Japan election: Shinzo Abe's party likely to seize control in lower house</t>
  </si>
  <si>
    <t xml:space="preserve">#BackFollow</t>
  </si>
  <si>
    <t xml:space="preserve">Japan snap election: Voters to deliver verdict on Shinzo Abe today https://t.co/UuXtyyDLO1</t>
  </si>
  <si>
    <t xml:space="preserve">suzuky</t>
  </si>
  <si>
    <t xml:space="preserve">Shinzo Abe’s ruling coalition expected to win decisively in Japan election https://t.co/6ahS36nzyA</t>
  </si>
  <si>
    <t xml:space="preserve">物書き＆編集者。広くて浅くてミーハーなのが悩みだがたぶんこれは強みでもある、と思おうとしている。国際的な漫談が好き。イギリスかぶれ。ギャラガー兄弟の喋りを翻訳させると「ネ申」と一部で言われているらしい。</t>
  </si>
  <si>
    <t xml:space="preserve">NewsBoss.in</t>
  </si>
  <si>
    <t xml:space="preserve">Japan snap election: Shinzo Abe eyes fresh mandate amid North Korean threat.. https://t.co/VBeQkrvZ79</t>
  </si>
  <si>
    <t xml:space="preserve">News, you can choose!</t>
  </si>
  <si>
    <t xml:space="preserve">Business Standard</t>
  </si>
  <si>
    <t xml:space="preserve">Japan snap election: Shinzo Abe eyes fresh mandate amid North Korean threat https://t.co/SRYPyh6Nih https://t.co/n1PJX0IwNV</t>
  </si>
  <si>
    <t xml:space="preserve">Latest updates #news #LIVE coverage on #economy #companies #markets #politics and #technology from India's leading business daily</t>
  </si>
  <si>
    <t xml:space="preserve">City of PGH</t>
  </si>
  <si>
    <t xml:space="preserve">Japan election: Shinzo Abe's party likely to seize control i.. https://t.co/BQSRNN4OBM</t>
  </si>
  <si>
    <t xml:space="preserve">rsstweeter.com</t>
  </si>
  <si>
    <t xml:space="preserve">Pittsburgh, PA</t>
  </si>
  <si>
    <t xml:space="preserve">Breaking News and Information for the city of Pittsburgh, PA and around the world.</t>
  </si>
  <si>
    <t xml:space="preserve">Via rvp Ravi VS Prasad - RT bsindia "Japan snap election: Shinzo Abe eyes fresh mandate amid North Korean threat … https://t.co/YyhptJoqQK</t>
  </si>
  <si>
    <t xml:space="preserve">ashwani attrish</t>
  </si>
  <si>
    <t xml:space="preserve">RT @bsindia: Japan snap election: Shinzo Abe eyes fresh mandate amid North Korean threat https://t.co/SRYPyh6Nih https://t.co/n1PJX0IwNV</t>
  </si>
  <si>
    <t xml:space="preserve">Universe</t>
  </si>
  <si>
    <t xml:space="preserve">Reflecting Humanism - A Journey of a Journalist Continues...For Fairness Justice Equality!! i See i Inform. Period. Email - twitter@attrish.in - Disclaimers!</t>
  </si>
  <si>
    <t xml:space="preserve">S. Hahn</t>
  </si>
  <si>
    <t xml:space="preserve">Seoul, Korea</t>
  </si>
  <si>
    <t xml:space="preserve">sanjay kumar gupta</t>
  </si>
  <si>
    <t xml:space="preserve">hyderabad</t>
  </si>
  <si>
    <t xml:space="preserve">Yasuhiro Yotsumoto</t>
  </si>
  <si>
    <t xml:space="preserve">Shinzo Abe’s ruling coalition expected to win decisively in Japan election https://t.co/lrf3kYOZba</t>
  </si>
  <si>
    <t xml:space="preserve">Alex Touuuuuceda</t>
  </si>
  <si>
    <t xml:space="preserve">"Japan election: Shinzo Abe's party likely to seize control in lower house" via FOX NEWS https://t.co/2vRJ4C1Osh</t>
  </si>
  <si>
    <t xml:space="preserve">Messico</t>
  </si>
  <si>
    <t xml:space="preserve">Viva i Tacos!</t>
  </si>
  <si>
    <t xml:space="preserve">#ModiMinistry Japan goes to poll in snap election; Prime Minister Shinzo Abe likely to win fresh mandate https://t.co/A4MtgXyACm</t>
  </si>
  <si>
    <t xml:space="preserve">Japan goes to poll in snap election; Prime Minister Shinzo Abe likely to win fresh mandate https://t.co/SILhjnS8TZ #TopNews #India</t>
  </si>
  <si>
    <t xml:space="preserve">SANJEEV VERMA</t>
  </si>
  <si>
    <t xml:space="preserve">Ballia, India</t>
  </si>
  <si>
    <t xml:space="preserve">Dealers. Indian Oil Corporation Ltd.</t>
  </si>
  <si>
    <t xml:space="preserve">APHORISM NEWS</t>
  </si>
  <si>
    <t xml:space="preserve">Shinzo Abe’s ruling coalition expected to win decisively in Japan election https://t.co/AceMqL1vwD</t>
  </si>
  <si>
    <t xml:space="preserve">New York &amp; London</t>
  </si>
  <si>
    <t xml:space="preserve">News &amp; Comment: OUR WORLD IS FULL OF PERSECUTION, LIES, VIOLENCE, ABUSE AND RELIGIOUS EXTREMISM - WE STAND FOR RESPECT, PEACE, DIGNITY &amp; JUSTICE. Please Follow!</t>
  </si>
  <si>
    <t xml:space="preserve">Petrovic Slavica</t>
  </si>
  <si>
    <t xml:space="preserve">RT @rvp: Via rvp Ravi VS Prasad - RT bsindia "Japan snap election: Shinzo Abe eyes fresh mandate amid North Korean threat … https://t.co/Yy…</t>
  </si>
  <si>
    <t xml:space="preserve">Srbija</t>
  </si>
  <si>
    <t xml:space="preserve">O sebi mogu reći da, pišem ono što želim reći. Pisanje je život moj, a mogu da pišem i o životu, tvom, ili o nečem drugom. MY BLOG WHEN GOD SPEAKS</t>
  </si>
  <si>
    <t xml:space="preserve">Taller</t>
  </si>
  <si>
    <t xml:space="preserve">Japan election: Shinzo Abe’s party likely to seize control in lower house https://t.co/ij2he1akdg https://t.co/ktlJpZEDc4</t>
  </si>
  <si>
    <t xml:space="preserve">Thika</t>
  </si>
  <si>
    <t xml:space="preserve">stay updated on whats happening around the globe if you like what I do just click on #FOLLOW and i'll truly appreciate.</t>
  </si>
  <si>
    <t xml:space="preserve">"Seize"??? &gt; Japan election: Shinzo Abe's party likely to seize control in lower house https://t.co/UmxeHacFTR #FoxNews</t>
  </si>
  <si>
    <t xml:space="preserve">Just Jerri</t>
  </si>
  <si>
    <t xml:space="preserve">Japan election: Shinzo Abe's party likely to seize control in lower house https://t.co/0l3S5p1AO9 via the @FoxNews Android app</t>
  </si>
  <si>
    <t xml:space="preserve">Washington State </t>
  </si>
  <si>
    <t xml:space="preserve">I am Suzan👍🏿Love President Trump and Family. Haters will be blocked. RT doesn't mean that I agree.</t>
  </si>
  <si>
    <t xml:space="preserve">#tonnie_taller #Bucks ##OktoberFestBeerHop2017 Japan election: Shinzo Abe’s party likely to seize control in lowe… https://t.co/lyUr07WvnO</t>
  </si>
  <si>
    <t xml:space="preserve">gatherdom.com</t>
  </si>
  <si>
    <t xml:space="preserve">Japan election: Shinzo Abe's party likely to seize control i.. https://t.co/E4oo6x3Jog</t>
  </si>
  <si>
    <t xml:space="preserve">web</t>
  </si>
  <si>
    <t xml:space="preserve">#World News | #Entertainment | #Technology Stay up to date. Follow us.</t>
  </si>
  <si>
    <t xml:space="preserve">Noah</t>
  </si>
  <si>
    <t xml:space="preserve">Sakado-shi, Saitama</t>
  </si>
  <si>
    <t xml:space="preserve">Aspiring intellectual. B.A. #Linguistics and #Spanish @ohiou. JET Program ALT in Sakado, Saitama, Japan. #Vegan #VidyaGæmz #EFC #WeAreThe5thLine</t>
  </si>
  <si>
    <t xml:space="preserve">Lady Patriot</t>
  </si>
  <si>
    <t xml:space="preserve">RT @GeraldineKestn2: Japan election: Shinzo Abe's party likely to seize control in lower house https://t.co/0l3S5p1AO9 via the @FoxNews And…</t>
  </si>
  <si>
    <t xml:space="preserve">#ORPUW #PatriotBrigade #BobcatFamily Pro Israel. Trump Supporter. Proud grandmother who wants the USA she knows and loves for them. No porn, lists or profanity.</t>
  </si>
  <si>
    <t xml:space="preserve">WWE</t>
  </si>
  <si>
    <t xml:space="preserve">"Japan election: Shinzo Abe's party likely to seize control in lower house" via FOX NEWS #CompassionIn5Words #Game…… https://t.co/soVxxTIQZ0</t>
  </si>
  <si>
    <t xml:space="preserve">Welcome to Us for our daily uploads! If you like what you watch, support us by liking or disliking so we know what to upload next!</t>
  </si>
  <si>
    <t xml:space="preserve">EtsyDah</t>
  </si>
  <si>
    <t xml:space="preserve">Sunday's election may clear the way for Shinzo Abe to become Japan’s longest-serving leader https://t.co/INeGBqeUj8 https://t.co/49CvUuGWDR</t>
  </si>
  <si>
    <t xml:space="preserve">Medical Books</t>
  </si>
  <si>
    <t xml:space="preserve">FOX NEWS: Japan election: Shinzo Abe's party likely to seize control in lower house https://t.co/ZWqI1mB8eq</t>
  </si>
  <si>
    <t xml:space="preserve">Haroon Raza</t>
  </si>
  <si>
    <t xml:space="preserve">RT @bpolitics: Sunday's election may clear the way for Shinzo Abe to become Japan’s longest-serving leader https://t.co/INeGBqeUj8 https://…</t>
  </si>
  <si>
    <t xml:space="preserve">Islamic Republic of Pakistan</t>
  </si>
  <si>
    <t xml:space="preserve">#Love isn't Complicated, People Are#</t>
  </si>
  <si>
    <t xml:space="preserve">eigo</t>
  </si>
  <si>
    <r>
      <rPr>
        <sz val="8"/>
        <rFont val="Noto Sans CJK SC Regular"/>
        <family val="2"/>
      </rPr>
      <t xml:space="preserve">（３）</t>
    </r>
    <r>
      <rPr>
        <sz val="8"/>
        <rFont val="Droid Sans"/>
        <family val="0"/>
        <charset val="1"/>
      </rPr>
      <t xml:space="preserve">https://t.co/r6vvTNICHz Shinzo Abe’s ruling coalition will win handily, possibly even retaining its two-thirds majority</t>
    </r>
  </si>
  <si>
    <r>
      <rPr>
        <sz val="8"/>
        <rFont val="Droid Sans"/>
        <family val="0"/>
        <charset val="1"/>
      </rPr>
      <t xml:space="preserve">Tokyo,Setagaya ward </t>
    </r>
    <r>
      <rPr>
        <sz val="8"/>
        <rFont val="Noto Sans CJK SC Regular"/>
        <family val="2"/>
      </rPr>
      <t xml:space="preserve">東京世田谷</t>
    </r>
  </si>
  <si>
    <r>
      <rPr>
        <sz val="8"/>
        <rFont val="Droid Sans"/>
        <family val="0"/>
        <charset val="1"/>
      </rPr>
      <t xml:space="preserve">2017,9/29~My younger brother is staying here again for some reason </t>
    </r>
    <r>
      <rPr>
        <sz val="8"/>
        <rFont val="Noto Sans CJK SC Regular"/>
        <family val="2"/>
      </rPr>
      <t xml:space="preserve">弟が又、滞在中。間違えないで下さい</t>
    </r>
    <r>
      <rPr>
        <sz val="8"/>
        <rFont val="Droid Sans"/>
        <family val="0"/>
        <charset val="1"/>
      </rPr>
      <t xml:space="preserve">https://t.co/ChjBOM4OhM https://t.co/PyzE7MbERc</t>
    </r>
  </si>
  <si>
    <t xml:space="preserve">Japan election: Shinzo Abe's party likely to seize control in lower house https://t.co/AiBC1cvR81 #breakingnews</t>
  </si>
  <si>
    <t xml:space="preserve">Times of News from UK</t>
  </si>
  <si>
    <t xml:space="preserve">Prime Minister Abe poised for landslide victory in Japan's general election https://t.co/TBxFeSpiRZ</t>
  </si>
  <si>
    <t xml:space="preserve">JavaScript Facts</t>
  </si>
  <si>
    <t xml:space="preserve">Japan election: Shinzo Abe's party likely to seize control in lower house https://t.co/c6kAhlupuT #blog https://t.co/UVO1F9kQcK</t>
  </si>
  <si>
    <t xml:space="preserve">world</t>
  </si>
  <si>
    <t xml:space="preserve">JavaScript, HTML5 &amp; CSS3 develiper &amp; trainer. Beat stress, insomnia, anxiety, and others just listening #freemusic here: https://t.co/vFdXwCI32n</t>
  </si>
  <si>
    <t xml:space="preserve">world news</t>
  </si>
  <si>
    <t xml:space="preserve">Japan in snap election as Shinzo Abe tries for new mandate to deal with North Korea https://t.co/5hRg436uXk https://t.co/rKnz0ViFJD</t>
  </si>
  <si>
    <t xml:space="preserve">The most recent and most important political news in the world of America, Europe, Canada, Australia - 2017 World News Network</t>
  </si>
  <si>
    <t xml:space="preserve">https://t.co/EqUUHZFYwi #Pamplona Prime Minister Abe poised for landslide victory in Japan's general election https://t.co/mLeUInYNVs</t>
  </si>
  <si>
    <t xml:space="preserve">3NovicesEurope</t>
  </si>
  <si>
    <t xml:space="preserve">#3Novices : Japan votes in early election as Abe seeks record fourth term https://t.co/84enGy1eG6 Prime Minister Shinzo Abe is seeking a m…</t>
  </si>
  <si>
    <t xml:space="preserve">The First Online Media Updater Founded by Meghashyam, Vaishnavi, Bharath</t>
  </si>
  <si>
    <t xml:space="preserve">Prime Minister Abe poised for landslide victory in Japan's general election https://t.co/sq95Xfn4Ml https://t.co/SQikARSGva</t>
  </si>
  <si>
    <t xml:space="preserve">Neil Johnson</t>
  </si>
  <si>
    <t xml:space="preserve">Shinzo Abe’s ruling coalition expected to win decisively in Japan election https://t.co/JwPgekICHv</t>
  </si>
  <si>
    <t xml:space="preserve">Johannesburg</t>
  </si>
  <si>
    <t xml:space="preserve">Radio oke! Joburg South Africa https://t.co/DJXeE6kF2z Views are my own! I only retweet counter revolutionaries!</t>
  </si>
  <si>
    <t xml:space="preserve">Prime Minister Abe poised for landslide victory in Japan's general election - https://t.co/2SkVc53msa</t>
  </si>
  <si>
    <t xml:space="preserve">Prime Minister Abe poised for landslide victory in Japan's general election https://t.co/TdDt8kfgeq https://t.co/sV06ZsNLpP</t>
  </si>
  <si>
    <t xml:space="preserve">Prime Minister Abe poised for landslide victory in Japan's general election https://t.co/oClYDz8Zg3 #BreakingNews https://t.co/irjWF60KTD</t>
  </si>
  <si>
    <t xml:space="preserve">RT @FRANCE24: Prime Minister Abe poised for landslide victory in Japan's general election https://t.co/TdDt8kfgeq https://t.co/sV06ZsNLpP</t>
  </si>
  <si>
    <t xml:space="preserve">Prime Minister Abe poised for landslide victory in Japan's general election https://t.co/HsNPNpbqaD #BreakingNews https://t.co/Y44cL6VtBT</t>
  </si>
  <si>
    <t xml:space="preserve">Question News</t>
  </si>
  <si>
    <t xml:space="preserve">RT @France24_en: Prime Minister Abe poised for landslide victory in Japan's general election https://t.co/sq95Xfn4Ml https://t.co/SQikARSGva</t>
  </si>
  <si>
    <t xml:space="preserve">QxNews-python</t>
  </si>
  <si>
    <t xml:space="preserve">Interrogare Semper | News bot/humans via retweets | 1 min per retweet</t>
  </si>
  <si>
    <t xml:space="preserve">Thibault Muzergues</t>
  </si>
  <si>
    <t xml:space="preserve">Vienna, Austria</t>
  </si>
  <si>
    <t xml:space="preserve">Europe Program Director for @iriglobal. Frenchman committed 2 Europe &amp; Transatlantic relation. @sciencespo &amp; @LSEnews alumnus. Tweets r my own, RT≠Endorsement</t>
  </si>
  <si>
    <t xml:space="preserve">黒田充＠マイナンバーこのままで良いの？</t>
  </si>
  <si>
    <t xml:space="preserve">大阪</t>
  </si>
  <si>
    <r>
      <rPr>
        <sz val="8"/>
        <rFont val="Noto Sans CJK SC Regular"/>
        <family val="2"/>
      </rPr>
      <t xml:space="preserve">自治体情報政策研究所の代表です。マイナンバー制度は、中止・廃止すべきだと考え、問題点などをツイートしています。と言いつつ他の話題も色々と。 「マイナンバーはこんなに恐い！」（日本機関紙出版センター、</t>
    </r>
    <r>
      <rPr>
        <sz val="8"/>
        <rFont val="Droid Sans"/>
        <family val="0"/>
        <charset val="1"/>
      </rPr>
      <t xml:space="preserve">1400</t>
    </r>
    <r>
      <rPr>
        <sz val="8"/>
        <rFont val="Noto Sans CJK SC Regular"/>
        <family val="2"/>
      </rPr>
      <t xml:space="preserve">円＋税別）を出しましたので、そちらもよろしく。</t>
    </r>
  </si>
  <si>
    <t xml:space="preserve">Prime Minister Abe poised for landslide victory in Japan's general election https://t.co/9DzP1d4A8o https://t.co/WjLqBat0g5</t>
  </si>
  <si>
    <t xml:space="preserve">Asia from France24: Prime Minister Abe poised for landslide victory in Japan's general election https://t.co/H5n4gARNbe</t>
  </si>
  <si>
    <t xml:space="preserve">Prime Minister Abe poised for landslide victory in Japan's general election https://t.co/XgC0hU82HR #France24 #news</t>
  </si>
  <si>
    <t xml:space="preserve">amos</t>
  </si>
  <si>
    <t xml:space="preserve">music art freedom event horizon and beyond</t>
  </si>
  <si>
    <t xml:space="preserve">kekko_3</t>
  </si>
  <si>
    <t xml:space="preserve">南関東</t>
  </si>
  <si>
    <r>
      <rPr>
        <sz val="8"/>
        <rFont val="Noto Sans CJK SC Regular"/>
        <family val="2"/>
      </rPr>
      <t xml:space="preserve">ツイッターの歩み、ダイオウグソクムシのごとし。スローーペースでこっそりつぶやきます。自転車好き♡ </t>
    </r>
    <r>
      <rPr>
        <sz val="8"/>
        <rFont val="Droid Sans"/>
        <family val="0"/>
        <charset val="1"/>
      </rPr>
      <t xml:space="preserve">No Nukes No</t>
    </r>
    <r>
      <rPr>
        <sz val="8"/>
        <rFont val="Noto Sans CJK SC Regular"/>
        <family val="2"/>
      </rPr>
      <t xml:space="preserve">被曝 ☮ </t>
    </r>
    <r>
      <rPr>
        <sz val="8"/>
        <rFont val="Droid Sans"/>
        <family val="0"/>
        <charset val="1"/>
      </rPr>
      <t xml:space="preserve">No GMO #</t>
    </r>
    <r>
      <rPr>
        <sz val="8"/>
        <rFont val="Noto Sans CJK SC Regular"/>
        <family val="2"/>
      </rPr>
      <t xml:space="preserve">肉球新党 </t>
    </r>
    <r>
      <rPr>
        <sz val="8"/>
        <rFont val="Droid Sans"/>
        <family val="0"/>
        <charset val="1"/>
      </rPr>
      <t xml:space="preserve">#</t>
    </r>
    <r>
      <rPr>
        <sz val="8"/>
        <rFont val="Noto Sans CJK SC Regular"/>
        <family val="2"/>
      </rPr>
      <t xml:space="preserve">猫の生活が第一 </t>
    </r>
    <r>
      <rPr>
        <sz val="8"/>
        <rFont val="Droid Sans"/>
        <family val="0"/>
        <charset val="1"/>
      </rPr>
      <t xml:space="preserve">#</t>
    </r>
    <r>
      <rPr>
        <sz val="8"/>
        <rFont val="Noto Sans CJK SC Regular"/>
        <family val="2"/>
      </rPr>
      <t xml:space="preserve">本当は寝ていたい</t>
    </r>
  </si>
  <si>
    <t xml:space="preserve">peter moyo</t>
  </si>
  <si>
    <t xml:space="preserve">JOHANNESBURG, South Africa</t>
  </si>
  <si>
    <t xml:space="preserve">Specialist Investigative Producer, award winning journalist with a CNN MultiChoice Africa Journalist of the year. Executive Producer of The Peter Moyo Report</t>
  </si>
  <si>
    <t xml:space="preserve">Alpha Romeo</t>
  </si>
  <si>
    <t xml:space="preserve">Japan election: Shinzo Abe's party likely to seize control in lower house https://t.co/jvjCagnmnC #FoxNews</t>
  </si>
  <si>
    <t xml:space="preserve">Pennsylvania, USA</t>
  </si>
  <si>
    <t xml:space="preserve">Viet-Nam Veteran/Patriot/Conservative #2A, #MAGA,#NRA,#Christian,#PJNET, #Trump,#supportIsrael,</t>
  </si>
  <si>
    <t xml:space="preserve">田理何</t>
  </si>
  <si>
    <t xml:space="preserve">RT @erictshepherd: Shinzo Abe gets support from typhoon, polls in Japan election https://t.co/nTwlTfc2sP via @asiatimesonline</t>
  </si>
  <si>
    <t xml:space="preserve">West Virginia, USA</t>
  </si>
  <si>
    <t xml:space="preserve">博士，人权至上，生而平等，自由无价。生日是一个象征。</t>
  </si>
  <si>
    <t xml:space="preserve">UN Lewis</t>
  </si>
  <si>
    <t xml:space="preserve">Lover of books, knowledge and good food! RT ≠ Endorsement</t>
  </si>
  <si>
    <t xml:space="preserve">General News</t>
  </si>
  <si>
    <t xml:space="preserve">Japan election: Shinzo Abe's party likely to seize control in lower house #Generalnews https://t.co/Qt17fRwJnf</t>
  </si>
  <si>
    <t xml:space="preserve">ForceTweet</t>
  </si>
  <si>
    <t xml:space="preserve">Find your latest news with just one click. Don't miss out on anything happening in the world .check http://t.co/KxrSaWpuqZ</t>
  </si>
  <si>
    <t xml:space="preserve">Prime Minister Abe poised for landslide victory in Japan's general election https://t.co/cmZ32O7u9e</t>
  </si>
  <si>
    <t xml:space="preserve">Ayn van Bergland</t>
  </si>
  <si>
    <t xml:space="preserve">Japan's Shinzo Abe hoping to win a two-thirds majority, to make constitutional changes, to deal with North Korea https://t.co/DSUXj6MFQz</t>
  </si>
  <si>
    <t xml:space="preserve">Ph.D., IT, American Dream is a natural law, honesty and common sense most important tools</t>
  </si>
  <si>
    <t xml:space="preserve">Prime Minister Abe poised for landslide victory in Japan's general election https://t.co/kLkNpmFoYN</t>
  </si>
  <si>
    <t xml:space="preserve">Prime Minister Abe poised for landslide victory in Japan's general election https://t.co/jp1fBRvp7n</t>
  </si>
  <si>
    <t xml:space="preserve">Prime Minister Abe poised for landslide victory in Japan's general election https://t.co/venWPJis6o</t>
  </si>
  <si>
    <t xml:space="preserve">Caetlan</t>
  </si>
  <si>
    <t xml:space="preserve">Japan election: Shinzo Abe's economy faces huge challenges https://t.co/qKF4izjcBx via @CNNMoney</t>
  </si>
  <si>
    <t xml:space="preserve">Germany</t>
  </si>
  <si>
    <t xml:space="preserve">Sex, Drugs, Rock'n Roll ist nicht so meins. Bin mehr so Cats, Couch'n Chocolate. https://t.co/3ZoYVnPfVc</t>
  </si>
  <si>
    <t xml:space="preserve">Lazar Karapandza</t>
  </si>
  <si>
    <t xml:space="preserve">PoliSci Student @SciencesPo Paris. Exchange @UTAustin. RT ≠ endorsement Mailto: lazar.karapandza@sciencespo.fr</t>
  </si>
  <si>
    <t xml:space="preserve">Here you go then. "Landslide" in the headline, "mandate" in 1st para. Also has "barrelling", "crushing" etc.… https://t.co/N96mIxCdWA</t>
  </si>
  <si>
    <t xml:space="preserve">DracuTarr15t</t>
  </si>
  <si>
    <t xml:space="preserve">Internal Exile</t>
  </si>
  <si>
    <t xml:space="preserve">Author of his own moral narratives in a world beset by anomie.</t>
  </si>
  <si>
    <t xml:space="preserve">Mohamed Mitha</t>
  </si>
  <si>
    <t xml:space="preserve">Prime Minister Abe poised for landslide victory in Japan's general election https://t.co/1xcoRAZcvk via @FRANCE24</t>
  </si>
  <si>
    <t xml:space="preserve">Toshitaka Kage</t>
  </si>
  <si>
    <t xml:space="preserve">iLoveHackinMw3</t>
  </si>
  <si>
    <t xml:space="preserve">Japan election: Shinzo Abe's party likely to seize control in lower house https://t.co/Q75PnwNVfD https://t.co/hntJCttMTN</t>
  </si>
  <si>
    <t xml:space="preserve">@ilovehackinmw3</t>
  </si>
  <si>
    <t xml:space="preserve">#News via #FOXNEWS "Japan election: Shinzo Abe's party likely to seize control in lower house"… https://t.co/Q4cIZfLzTA</t>
  </si>
  <si>
    <t xml:space="preserve">RT @VotarEsUnDeber: #News via #FOXNEWS "Japan election: Shinzo Abe's party likely to seize control in lower house" https://t.co/rtMSaua5Ab…</t>
  </si>
  <si>
    <t xml:space="preserve">Rejoice Magazine</t>
  </si>
  <si>
    <t xml:space="preserve">Japan election: Shinzo Abe's party likely to seize control in lower house https://t.co/C3djfX5FrP https://t.co/KPFHynCQ1u</t>
  </si>
  <si>
    <t xml:space="preserve">Orlando, FL</t>
  </si>
  <si>
    <t xml:space="preserve">Email: editor@rejoicemagazine.net</t>
  </si>
  <si>
    <t xml:space="preserve">LucySullivan888</t>
  </si>
  <si>
    <t xml:space="preserve">RT @AynvanBergland: Japan's Shinzo Abe hoping to win a two-thirds majority, to make constitutional changes, to deal with North Korea https:…</t>
  </si>
  <si>
    <t xml:space="preserve">heaven</t>
  </si>
  <si>
    <t xml:space="preserve">Victory At All Costs! For Without Victory,There Is No Survival!</t>
  </si>
  <si>
    <t xml:space="preserve">RT @jmohanmalik: Abe will strengthen Japan-US links to curb China’s activities in the E&amp;SC Seas &amp;amp; offer an alternative to China’s OBO…https…</t>
  </si>
  <si>
    <t xml:space="preserve">Dawn Phelps</t>
  </si>
  <si>
    <t xml:space="preserve">A typhoon has been drenching parts of Japan as the country heads to the polls after Prime Minister Shinzo Abe calle… https://t.co/UhIyzgav6i</t>
  </si>
  <si>
    <t xml:space="preserve">St. George's Town, Bermuda</t>
  </si>
  <si>
    <t xml:space="preserve">these words mean nothing to me.</t>
  </si>
  <si>
    <t xml:space="preserve">Prime Minister Abe poised for landslide victory in Japan’s general election https://t.co/c5fCvsSCgs https://t.co/QJe8fEPzMf</t>
  </si>
  <si>
    <t xml:space="preserve">timelivenews</t>
  </si>
  <si>
    <t xml:space="preserve">Japan election: Shinzo Abe's party likely to seize control in lower house https://t.co/Ce61FvEPvH</t>
  </si>
  <si>
    <t xml:space="preserve">Everything</t>
  </si>
  <si>
    <t xml:space="preserve">"Japan election: Shinzo Abe's party likely to seize control in lower house" via FOX NEWS https://t.co/udIfmntANe</t>
  </si>
  <si>
    <t xml:space="preserve">Post the latest on what's happening in the world.</t>
  </si>
  <si>
    <t xml:space="preserve">Patricia M Thornton</t>
  </si>
  <si>
    <t xml:space="preserve">What a Shinzo Abe win will mean for #China-#Japan relations: China more of a threat than opportunity https://t.co/ERDnA0cl6s via @SCMP_news</t>
  </si>
  <si>
    <t xml:space="preserve">Oxford, UK</t>
  </si>
  <si>
    <t xml:space="preserve">Associate Professor, Dept. of Poltiics and Intl Relations, @UniofOxford and @MertonCollege. Tweets mostly about #China &amp; #Chinese politics</t>
  </si>
  <si>
    <t xml:space="preserve">tom allison</t>
  </si>
  <si>
    <t xml:space="preserve">Prime Minister Abe poised for landslide victory in Japan's general election https://t.co/yZMB37Mr2T via @FRANCE24</t>
  </si>
  <si>
    <t xml:space="preserve">Denver</t>
  </si>
  <si>
    <t xml:space="preserve">Jonathan Knight</t>
  </si>
  <si>
    <t xml:space="preserve">Prime Minister Abe poised for landslide victory in Japan's general election https://t.co/Qc3GNjzd2x via @FRANCE24</t>
  </si>
  <si>
    <t xml:space="preserve">What Shinzo Abe's election win will mean for China-Japan relations | #China #RTGWorld</t>
  </si>
  <si>
    <t xml:space="preserve">Dale Jones</t>
  </si>
  <si>
    <t xml:space="preserve">I Love Mortal Kombat, Martial Arts, Computers, Languages, Literature, History, Science and Philosophy</t>
  </si>
  <si>
    <t xml:space="preserve">UKVoter</t>
  </si>
  <si>
    <t xml:space="preserve">#Election2015 Shinzo Abe's ruling coalition expected to win decisively in Japan election https://t.co/8WE5da9kIn</t>
  </si>
  <si>
    <t xml:space="preserve">Web activity of the UK 2015 General Election. Just to show them all later how they duped us! Beware! Most Tweets are automatic &amp; not necessarily my own opinion.</t>
  </si>
  <si>
    <t xml:space="preserve">貧血うさぎ</t>
  </si>
  <si>
    <t xml:space="preserve">毛皮の中</t>
  </si>
  <si>
    <t xml:space="preserve">きぶんやの肉食 石鹸突っ込ませてくれる男性はいい男性かもしれない 私用垢から刈り込み入れちゃうよ～ ※この固定はメモ用です</t>
  </si>
  <si>
    <t xml:space="preserve">RT @tallison46: Prime Minister Abe poised for landslide victory in Japan's general election https://t.co/yZMB37Mr2T via @FRANCE24</t>
  </si>
  <si>
    <t xml:space="preserve">FOX NEWS: Japan election: Shinzo Abe's party likely to seize control in lower house https://t.co/SjQ7llPTaq</t>
  </si>
  <si>
    <t xml:space="preserve">Heleny Campoy</t>
  </si>
  <si>
    <t xml:space="preserve">Shinzo Abe’s ruling coalition expected to win decisively in Japan election https://t.co/BEmgtew7ui</t>
  </si>
  <si>
    <t xml:space="preserve">London, United Kingdom</t>
  </si>
  <si>
    <t xml:space="preserve">"What is a rebel? A man who says no." - Albert Camus I'm all about #Books, #Photography, #Travel... Ah! and a Proud Citizen of the Universe!</t>
  </si>
  <si>
    <t xml:space="preserve">Prime Minister Abe poised for landslide victory in Japan's general election: Millions of… https://t.co/YkPvzW9dd4</t>
  </si>
  <si>
    <t xml:space="preserve">Saúl Morales R.</t>
  </si>
  <si>
    <t xml:space="preserve">Shinzo Abe gets support from typhoon, polls in Japan election https://t.co/9k2YzHXpo4 via @asiatimesonline</t>
  </si>
  <si>
    <t xml:space="preserve">Ing.sistemas computacionales, Lic. criminología (victimología) y musico</t>
  </si>
  <si>
    <t xml:space="preserve">newslocker_uknews</t>
  </si>
  <si>
    <t xml:space="preserve">Shinzo Abe’s ruling coalition expected to win decisively in Japan election #UkNews https://t.co/rp0AEaIrm1</t>
  </si>
  <si>
    <t xml:space="preserve">Find your latest news with just one click. Don't miss out on anything happening in the UK .check http://t.co/6LLwWr9N8h</t>
  </si>
  <si>
    <t xml:space="preserve">@AlfredoJalifeR_ saludos master, Shinzo Abe gets support from typhoon, polls in Japan election https://t.co/QY81cMHnQK</t>
  </si>
  <si>
    <t xml:space="preserve">BBCNEWS 2:16am JAPAN SNAP ELECTION '~ ". Abe s LDP expected to emerge as the biggest party '3, JAPAN SNAP ELECTION. Shinzo Abe...</t>
  </si>
  <si>
    <t xml:space="preserve">#News via #FOXNEWS "Japan election: Shinzo Abe's party likely to seize control in lower house"… https://t.co/ZQAZDIgr7U</t>
  </si>
  <si>
    <t xml:space="preserve">RT @StandWithMarco_: #News via #FOXNEWS "Japan election: Shinzo Abe's party likely to seize control in lower house" https://t.co/IBKiFRV4Kz…</t>
  </si>
  <si>
    <t xml:space="preserve">Prometheus I</t>
  </si>
  <si>
    <t xml:space="preserve">Prime Minister Abe poised for landslide victory in Japan's general election - FRANCE 24 https://t.co/9MXq0EiMfh</t>
  </si>
  <si>
    <t xml:space="preserve">Prime Minister Abe poised for landslide victory in Japan's general election - FRANCE 24 https://t.co/s4PRVEDb2B</t>
  </si>
  <si>
    <t xml:space="preserve">モーリー・ロバートソン</t>
  </si>
  <si>
    <t xml:space="preserve">Prime Minister Abe poised to win Japan's general election https://t.co/uEGrF9XdFT @FRANCE24</t>
  </si>
  <si>
    <t xml:space="preserve">東京都</t>
  </si>
  <si>
    <r>
      <rPr>
        <sz val="8"/>
        <rFont val="Noto Sans CJK SC Regular"/>
        <family val="2"/>
      </rPr>
      <t xml:space="preserve">ミュージシャン＋ジャーナリスト。日テレ「スッキリ」に木曜レギュラー出演中。文化放送「「</t>
    </r>
    <r>
      <rPr>
        <sz val="8"/>
        <rFont val="Droid Sans"/>
        <family val="0"/>
        <charset val="1"/>
      </rPr>
      <t xml:space="preserve">THE NEWS MASTERS TOKYO</t>
    </r>
    <r>
      <rPr>
        <sz val="8"/>
        <rFont val="Noto Sans CJK SC Regular"/>
        <family val="2"/>
      </rPr>
      <t xml:space="preserve">」」で火曜レギュラー。富山テレビ「富山いかが</t>
    </r>
    <r>
      <rPr>
        <sz val="8"/>
        <rFont val="Droid Sans"/>
        <family val="0"/>
        <charset val="1"/>
      </rPr>
      <t xml:space="preserve">DESHOW</t>
    </r>
    <r>
      <rPr>
        <sz val="8"/>
        <rFont val="Noto Sans CJK SC Regular"/>
        <family val="2"/>
      </rPr>
      <t xml:space="preserve">」、朝日放送「正義のミカタ」で準レギュラー。</t>
    </r>
    <r>
      <rPr>
        <sz val="8"/>
        <rFont val="Droid Sans"/>
        <family val="0"/>
        <charset val="1"/>
      </rPr>
      <t xml:space="preserve">Block.FM</t>
    </r>
    <r>
      <rPr>
        <sz val="8"/>
        <rFont val="Noto Sans CJK SC Regular"/>
        <family val="2"/>
      </rPr>
      <t xml:space="preserve">で木曜・生放送＞ </t>
    </r>
    <r>
      <rPr>
        <sz val="8"/>
        <rFont val="Droid Sans"/>
        <family val="0"/>
        <charset val="1"/>
      </rPr>
      <t xml:space="preserve">https://t.co/i6iqxFlWeH</t>
    </r>
  </si>
  <si>
    <t xml:space="preserve">Millions of Japanese braved typhoon conditions Sunday for a snap election likely to hand Prime Minister Shinzo Abe… https://t.co/FKrFdV9l0t</t>
  </si>
  <si>
    <t xml:space="preserve">高須克弥</t>
  </si>
  <si>
    <t xml:space="preserve">Shinzo Abe’s ruling coalition expected to win decisively in Japan election https://t.co/otvxSz9eat</t>
  </si>
  <si>
    <t xml:space="preserve">赤岩　治</t>
  </si>
  <si>
    <t xml:space="preserve">RT @gjmorley: Prime Minister Abe poised to win Japan's general election https://t.co/uEGrF9XdFT @FRANCE24</t>
  </si>
  <si>
    <t xml:space="preserve">岡山の山の中</t>
  </si>
  <si>
    <t xml:space="preserve">岡山の山の中で、牛飼いをしています</t>
  </si>
  <si>
    <t xml:space="preserve">rhayakawa</t>
  </si>
  <si>
    <t xml:space="preserve">RT @katsuyatakasu: Shinzo Abe’s ruling coalition expected to win decisively in Japan election https://t.co/otvxSz9eat</t>
  </si>
  <si>
    <t xml:space="preserve">東京、ニュージーランド、太平洋</t>
  </si>
  <si>
    <r>
      <rPr>
        <sz val="8"/>
        <rFont val="Noto Sans CJK SC Regular"/>
        <family val="2"/>
      </rPr>
      <t xml:space="preserve">太平洋の島を知らずに国際政治、経済は語れない！地球の面積３分の一、太平洋を渡り歩いて</t>
    </r>
    <r>
      <rPr>
        <sz val="8"/>
        <rFont val="Droid Sans"/>
        <family val="0"/>
        <charset val="1"/>
      </rPr>
      <t xml:space="preserve">25</t>
    </r>
    <r>
      <rPr>
        <sz val="8"/>
        <rFont val="Noto Sans CJK SC Regular"/>
        <family val="2"/>
      </rPr>
      <t xml:space="preserve">年。ブログを中心に情報発信していますが、時々こちらでつぶやきます。</t>
    </r>
  </si>
  <si>
    <t xml:space="preserve">かりんとう</t>
  </si>
  <si>
    <r>
      <rPr>
        <sz val="8"/>
        <rFont val="Noto Sans CJK SC Regular"/>
        <family val="2"/>
      </rPr>
      <t xml:space="preserve">南の島生まれ九州住み </t>
    </r>
    <r>
      <rPr>
        <sz val="8"/>
        <rFont val="Droid Sans"/>
        <family val="0"/>
        <charset val="1"/>
      </rPr>
      <t xml:space="preserve">Twitter</t>
    </r>
    <r>
      <rPr>
        <sz val="8"/>
        <rFont val="Noto Sans CJK SC Regular"/>
        <family val="2"/>
      </rPr>
      <t xml:space="preserve">の仕組みちょっと分かってないのでボチボチ見てます</t>
    </r>
    <r>
      <rPr>
        <sz val="8"/>
        <rFont val="Droid Sans"/>
        <family val="0"/>
        <charset val="1"/>
      </rPr>
      <t xml:space="preserve">(^^; </t>
    </r>
    <r>
      <rPr>
        <sz val="8"/>
        <rFont val="Noto Sans CJK SC Regular"/>
        <family val="2"/>
      </rPr>
      <t xml:space="preserve">共産党嫌いな保守系リベラル。 国際</t>
    </r>
    <r>
      <rPr>
        <sz val="8"/>
        <rFont val="Droid Sans"/>
        <family val="0"/>
        <charset val="1"/>
      </rPr>
      <t xml:space="preserve">news</t>
    </r>
    <r>
      <rPr>
        <sz val="8"/>
        <rFont val="Noto Sans CJK SC Regular"/>
        <family val="2"/>
      </rPr>
      <t xml:space="preserve">・経済</t>
    </r>
    <r>
      <rPr>
        <sz val="8"/>
        <rFont val="Droid Sans"/>
        <family val="0"/>
        <charset val="1"/>
      </rPr>
      <t xml:space="preserve">news</t>
    </r>
    <r>
      <rPr>
        <sz val="8"/>
        <rFont val="Noto Sans CJK SC Regular"/>
        <family val="2"/>
      </rPr>
      <t xml:space="preserve">に興味あり</t>
    </r>
  </si>
  <si>
    <r>
      <rPr>
        <sz val="8"/>
        <rFont val="Noto Sans CJK SC Regular"/>
        <family val="2"/>
      </rPr>
      <t xml:space="preserve">ぱっぽん魚</t>
    </r>
    <r>
      <rPr>
        <sz val="8"/>
        <rFont val="Droid Sans"/>
        <family val="0"/>
        <charset val="1"/>
      </rPr>
      <t xml:space="preserve">_BMR</t>
    </r>
    <r>
      <rPr>
        <sz val="8"/>
        <rFont val="Noto Sans CJK SC Regular"/>
        <family val="2"/>
      </rPr>
      <t xml:space="preserve">／菊川かをり</t>
    </r>
    <r>
      <rPr>
        <sz val="8"/>
        <rFont val="Droid Sans"/>
        <family val="0"/>
        <charset val="1"/>
      </rPr>
      <t xml:space="preserve">bot</t>
    </r>
    <r>
      <rPr>
        <sz val="8"/>
        <rFont val="Noto Sans CJK SC Regular"/>
        <family val="2"/>
      </rPr>
      <t xml:space="preserve">と生</t>
    </r>
  </si>
  <si>
    <t xml:space="preserve">あなたの視界のすみっこ</t>
  </si>
  <si>
    <r>
      <rPr>
        <sz val="8"/>
        <rFont val="Droid Sans"/>
        <family val="0"/>
        <charset val="1"/>
      </rPr>
      <t xml:space="preserve">pa2ponfish</t>
    </r>
    <r>
      <rPr>
        <sz val="8"/>
        <rFont val="Noto Sans CJK SC Regular"/>
        <family val="2"/>
      </rPr>
      <t xml:space="preserve">の元・規制時用アカ。現在はこちらがメイン。 </t>
    </r>
    <r>
      <rPr>
        <sz val="8"/>
        <rFont val="Droid Sans"/>
        <family val="0"/>
        <charset val="1"/>
      </rPr>
      <t xml:space="preserve">ID</t>
    </r>
    <r>
      <rPr>
        <sz val="8"/>
        <rFont val="Noto Sans CJK SC Regular"/>
        <family val="2"/>
      </rPr>
      <t xml:space="preserve">末尾の</t>
    </r>
    <r>
      <rPr>
        <sz val="8"/>
        <rFont val="Droid Sans"/>
        <family val="0"/>
        <charset val="1"/>
      </rPr>
      <t xml:space="preserve">BMR</t>
    </r>
    <r>
      <rPr>
        <sz val="8"/>
        <rFont val="Noto Sans CJK SC Regular"/>
        <family val="2"/>
      </rPr>
      <t xml:space="preserve">は愛するバービー</t>
    </r>
    <r>
      <rPr>
        <sz val="8"/>
        <rFont val="Droid Sans"/>
        <family val="0"/>
        <charset val="1"/>
      </rPr>
      <t xml:space="preserve">(*´3</t>
    </r>
    <r>
      <rPr>
        <sz val="8"/>
        <rFont val="Noto Sans CJK SC Regular"/>
        <family val="2"/>
      </rPr>
      <t xml:space="preserve">｀</t>
    </r>
    <r>
      <rPr>
        <sz val="8"/>
        <rFont val="Droid Sans"/>
        <family val="0"/>
        <charset val="1"/>
      </rPr>
      <t xml:space="preserve">*)</t>
    </r>
    <r>
      <rPr>
        <sz val="8"/>
        <rFont val="Noto Sans CJK SC Regular"/>
        <family val="2"/>
      </rPr>
      <t xml:space="preserve">の本名『バーバラ・ミリセント・ロバーツ』が由来。ネット保守連合に参加中。日本を愛する一人会派・江戸南</t>
    </r>
    <r>
      <rPr>
        <sz val="8"/>
        <rFont val="Droid Sans"/>
        <family val="0"/>
        <charset val="1"/>
      </rPr>
      <t xml:space="preserve">(</t>
    </r>
    <r>
      <rPr>
        <sz val="8"/>
        <rFont val="Noto Sans CJK SC Regular"/>
        <family val="2"/>
      </rPr>
      <t xml:space="preserve">えどなん</t>
    </r>
    <r>
      <rPr>
        <sz val="8"/>
        <rFont val="Droid Sans"/>
        <family val="0"/>
        <charset val="1"/>
      </rPr>
      <t xml:space="preserve">)</t>
    </r>
    <r>
      <rPr>
        <sz val="8"/>
        <rFont val="Noto Sans CJK SC Regular"/>
        <family val="2"/>
      </rPr>
      <t xml:space="preserve">主宰。代案なき反原発論者は嫌いです。 商業・アフリ目的のフォローはお断り。パチ情報も不用にて候。</t>
    </r>
  </si>
  <si>
    <t xml:space="preserve">ぴよ</t>
  </si>
  <si>
    <t xml:space="preserve">ニュージーランド　オークランド市</t>
  </si>
  <si>
    <r>
      <rPr>
        <sz val="8"/>
        <rFont val="Noto Sans CJK SC Regular"/>
        <family val="2"/>
      </rPr>
      <t xml:space="preserve">ＮＺ在住</t>
    </r>
    <r>
      <rPr>
        <sz val="8"/>
        <rFont val="Droid Sans"/>
        <family val="0"/>
        <charset val="1"/>
      </rPr>
      <t xml:space="preserve">31</t>
    </r>
    <r>
      <rPr>
        <sz val="8"/>
        <rFont val="Noto Sans CJK SC Regular"/>
        <family val="2"/>
      </rPr>
      <t xml:space="preserve">年目。まったりとネット上を徘徊。オタク・腐が時折全開されますがごめんくださいまし。海外生活が長くなるほどに、日本という国の成熟度と洗練度の高さ、その文化の希少さに誇りを感じます。そろそろ平和ボケから目覚めましょう日本人。</t>
    </r>
  </si>
  <si>
    <t xml:space="preserve">MypaceR</t>
  </si>
  <si>
    <t xml:space="preserve">✾本丸✾</t>
  </si>
  <si>
    <r>
      <rPr>
        <sz val="8"/>
        <rFont val="Noto Sans CJK SC Regular"/>
        <family val="2"/>
      </rPr>
      <t xml:space="preserve">横の、田んぼさんです</t>
    </r>
    <r>
      <rPr>
        <sz val="8"/>
        <rFont val="Droid Sans"/>
        <family val="0"/>
        <charset val="1"/>
      </rPr>
      <t xml:space="preserve">( ᐛ👐)</t>
    </r>
    <r>
      <rPr>
        <sz val="8"/>
        <rFont val="Noto Sans CJK SC Regular"/>
        <family val="2"/>
      </rPr>
      <t xml:space="preserve">ﾊﾟｧ 趣味はお絵かき、料理、ドラム、芸術鑑賞 当方、なりたて審神者です。審神者さん同士のフォロー大歓迎。 審神者</t>
    </r>
    <r>
      <rPr>
        <sz val="8"/>
        <rFont val="Droid Sans"/>
        <family val="0"/>
        <charset val="1"/>
      </rPr>
      <t xml:space="preserve">/</t>
    </r>
    <r>
      <rPr>
        <sz val="8"/>
        <rFont val="Noto Sans CJK SC Regular"/>
        <family val="2"/>
      </rPr>
      <t xml:space="preserve">刀剣乱舞</t>
    </r>
    <r>
      <rPr>
        <sz val="8"/>
        <rFont val="Droid Sans"/>
        <family val="0"/>
        <charset val="1"/>
      </rPr>
      <t xml:space="preserve">/</t>
    </r>
    <r>
      <rPr>
        <sz val="8"/>
        <rFont val="Noto Sans CJK SC Regular"/>
        <family val="2"/>
      </rPr>
      <t xml:space="preserve">燭台切光忠</t>
    </r>
    <r>
      <rPr>
        <sz val="8"/>
        <rFont val="Droid Sans"/>
        <family val="0"/>
        <charset val="1"/>
      </rPr>
      <t xml:space="preserve">//</t>
    </r>
    <r>
      <rPr>
        <sz val="8"/>
        <rFont val="Noto Sans CJK SC Regular"/>
        <family val="2"/>
      </rPr>
      <t xml:space="preserve">改憲派</t>
    </r>
    <r>
      <rPr>
        <sz val="8"/>
        <rFont val="Droid Sans"/>
        <family val="0"/>
        <charset val="1"/>
      </rPr>
      <t xml:space="preserve">/</t>
    </r>
    <r>
      <rPr>
        <sz val="8"/>
        <rFont val="Noto Sans CJK SC Regular"/>
        <family val="2"/>
      </rPr>
      <t xml:space="preserve">保守派</t>
    </r>
    <r>
      <rPr>
        <sz val="8"/>
        <rFont val="Droid Sans"/>
        <family val="0"/>
        <charset val="1"/>
      </rPr>
      <t xml:space="preserve">/</t>
    </r>
    <r>
      <rPr>
        <sz val="8"/>
        <rFont val="Noto Sans CJK SC Regular"/>
        <family val="2"/>
      </rPr>
      <t xml:space="preserve">澤野弘之</t>
    </r>
  </si>
  <si>
    <t xml:space="preserve">アラフォー</t>
  </si>
  <si>
    <t xml:space="preserve">富山→石川</t>
  </si>
  <si>
    <r>
      <rPr>
        <sz val="8"/>
        <rFont val="Droid Sans"/>
        <family val="0"/>
        <charset val="1"/>
      </rPr>
      <t xml:space="preserve">#</t>
    </r>
    <r>
      <rPr>
        <sz val="8"/>
        <rFont val="Noto Sans CJK SC Regular"/>
        <family val="2"/>
      </rPr>
      <t xml:space="preserve">スポーツ </t>
    </r>
    <r>
      <rPr>
        <sz val="8"/>
        <rFont val="Droid Sans"/>
        <family val="0"/>
        <charset val="1"/>
      </rPr>
      <t xml:space="preserve">#</t>
    </r>
    <r>
      <rPr>
        <sz val="8"/>
        <rFont val="Noto Sans CJK SC Regular"/>
        <family val="2"/>
      </rPr>
      <t xml:space="preserve">音楽 </t>
    </r>
    <r>
      <rPr>
        <sz val="8"/>
        <rFont val="Droid Sans"/>
        <family val="0"/>
        <charset val="1"/>
      </rPr>
      <t xml:space="preserve">#</t>
    </r>
    <r>
      <rPr>
        <sz val="8"/>
        <rFont val="Noto Sans CJK SC Regular"/>
        <family val="2"/>
      </rPr>
      <t xml:space="preserve">麻雀 </t>
    </r>
    <r>
      <rPr>
        <sz val="8"/>
        <rFont val="Droid Sans"/>
        <family val="0"/>
        <charset val="1"/>
      </rPr>
      <t xml:space="preserve">#</t>
    </r>
    <r>
      <rPr>
        <sz val="8"/>
        <rFont val="Noto Sans CJK SC Regular"/>
        <family val="2"/>
      </rPr>
      <t xml:space="preserve">芸術 </t>
    </r>
    <r>
      <rPr>
        <sz val="8"/>
        <rFont val="Droid Sans"/>
        <family val="0"/>
        <charset val="1"/>
      </rPr>
      <t xml:space="preserve">#IT #</t>
    </r>
    <r>
      <rPr>
        <sz val="8"/>
        <rFont val="Noto Sans CJK SC Regular"/>
        <family val="2"/>
      </rPr>
      <t xml:space="preserve">グルメ </t>
    </r>
    <r>
      <rPr>
        <sz val="8"/>
        <rFont val="Droid Sans"/>
        <family val="0"/>
        <charset val="1"/>
      </rPr>
      <t xml:space="preserve">#</t>
    </r>
    <r>
      <rPr>
        <sz val="8"/>
        <rFont val="Noto Sans CJK SC Regular"/>
        <family val="2"/>
      </rPr>
      <t xml:space="preserve">動物 </t>
    </r>
    <r>
      <rPr>
        <sz val="8"/>
        <rFont val="Droid Sans"/>
        <family val="0"/>
        <charset val="1"/>
      </rPr>
      <t xml:space="preserve">#</t>
    </r>
    <r>
      <rPr>
        <sz val="8"/>
        <rFont val="Noto Sans CJK SC Regular"/>
        <family val="2"/>
      </rPr>
      <t xml:space="preserve">ちょいエロ </t>
    </r>
    <r>
      <rPr>
        <sz val="8"/>
        <rFont val="Droid Sans"/>
        <family val="0"/>
        <charset val="1"/>
      </rPr>
      <t xml:space="preserve">#</t>
    </r>
    <r>
      <rPr>
        <sz val="8"/>
        <rFont val="Noto Sans CJK SC Regular"/>
        <family val="2"/>
      </rPr>
      <t xml:space="preserve">芸能人 </t>
    </r>
    <r>
      <rPr>
        <sz val="8"/>
        <rFont val="Droid Sans"/>
        <family val="0"/>
        <charset val="1"/>
      </rPr>
      <t xml:space="preserve">#</t>
    </r>
    <r>
      <rPr>
        <sz val="8"/>
        <rFont val="Noto Sans CJK SC Regular"/>
        <family val="2"/>
      </rPr>
      <t xml:space="preserve">漫画 </t>
    </r>
    <r>
      <rPr>
        <sz val="8"/>
        <rFont val="Droid Sans"/>
        <family val="0"/>
        <charset val="1"/>
      </rPr>
      <t xml:space="preserve">#</t>
    </r>
    <r>
      <rPr>
        <sz val="8"/>
        <rFont val="Noto Sans CJK SC Regular"/>
        <family val="2"/>
      </rPr>
      <t xml:space="preserve">アニメ </t>
    </r>
    <r>
      <rPr>
        <sz val="8"/>
        <rFont val="Droid Sans"/>
        <family val="0"/>
        <charset val="1"/>
      </rPr>
      <t xml:space="preserve">#</t>
    </r>
    <r>
      <rPr>
        <sz val="8"/>
        <rFont val="Noto Sans CJK SC Regular"/>
        <family val="2"/>
      </rPr>
      <t xml:space="preserve">映画 </t>
    </r>
    <r>
      <rPr>
        <sz val="8"/>
        <rFont val="Droid Sans"/>
        <family val="0"/>
        <charset val="1"/>
      </rPr>
      <t xml:space="preserve">#TV #</t>
    </r>
    <r>
      <rPr>
        <sz val="8"/>
        <rFont val="Noto Sans CJK SC Regular"/>
        <family val="2"/>
      </rPr>
      <t xml:space="preserve">大喜利 </t>
    </r>
    <r>
      <rPr>
        <sz val="8"/>
        <rFont val="Droid Sans"/>
        <family val="0"/>
        <charset val="1"/>
      </rPr>
      <t xml:space="preserve">#</t>
    </r>
    <r>
      <rPr>
        <sz val="8"/>
        <rFont val="Noto Sans CJK SC Regular"/>
        <family val="2"/>
      </rPr>
      <t xml:space="preserve">キャバクラ などが大好きなただの超</t>
    </r>
    <r>
      <rPr>
        <sz val="8"/>
        <rFont val="Droid Sans"/>
        <family val="0"/>
        <charset val="1"/>
      </rPr>
      <t xml:space="preserve">RT</t>
    </r>
    <r>
      <rPr>
        <sz val="8"/>
        <rFont val="Noto Sans CJK SC Regular"/>
        <family val="2"/>
      </rPr>
      <t xml:space="preserve">しまくるオッサンです。趣味のあう方は気軽にフォローして下さい。楽しく絡みましょう。</t>
    </r>
    <r>
      <rPr>
        <sz val="8"/>
        <rFont val="Droid Sans"/>
        <family val="0"/>
        <charset val="1"/>
      </rPr>
      <t xml:space="preserve">#LINE</t>
    </r>
    <r>
      <rPr>
        <sz val="8"/>
        <rFont val="Noto Sans CJK SC Regular"/>
        <family val="2"/>
      </rPr>
      <t xml:space="preserve">交換</t>
    </r>
    <r>
      <rPr>
        <sz val="8"/>
        <rFont val="Droid Sans"/>
        <family val="0"/>
        <charset val="1"/>
      </rPr>
      <t xml:space="preserve">OK </t>
    </r>
    <r>
      <rPr>
        <sz val="8"/>
        <rFont val="Noto Sans CJK SC Regular"/>
        <family val="2"/>
      </rPr>
      <t xml:space="preserve">リプか</t>
    </r>
    <r>
      <rPr>
        <sz val="8"/>
        <rFont val="Droid Sans"/>
        <family val="0"/>
        <charset val="1"/>
      </rPr>
      <t xml:space="preserve">DM </t>
    </r>
    <r>
      <rPr>
        <sz val="8"/>
        <rFont val="Noto Sans CJK SC Regular"/>
        <family val="2"/>
      </rPr>
      <t xml:space="preserve">下さい。宜しく御願い致します🙇</t>
    </r>
  </si>
  <si>
    <t xml:space="preserve">リサ</t>
  </si>
  <si>
    <r>
      <rPr>
        <sz val="8"/>
        <rFont val="Droid Sans"/>
        <family val="0"/>
        <charset val="1"/>
      </rPr>
      <t xml:space="preserve">FGO</t>
    </r>
    <r>
      <rPr>
        <sz val="8"/>
        <rFont val="Noto Sans CJK SC Regular"/>
        <family val="2"/>
      </rPr>
      <t xml:space="preserve">、シャニライ。ディズニー好きチーデードナデジ 可愛いものとおいしいものが好きです。</t>
    </r>
  </si>
  <si>
    <t xml:space="preserve">日出處天子</t>
  </si>
  <si>
    <r>
      <rPr>
        <sz val="8"/>
        <rFont val="Noto Sans CJK SC Regular"/>
        <family val="2"/>
      </rPr>
      <t xml:space="preserve">札幌 </t>
    </r>
    <r>
      <rPr>
        <sz val="8"/>
        <rFont val="Droid Sans"/>
        <family val="0"/>
        <charset val="1"/>
      </rPr>
      <t xml:space="preserve">NIH Washington D.C.</t>
    </r>
  </si>
  <si>
    <t xml:space="preserve">札幌在住勤務医師 日本愛国者です。肉食系男子。</t>
  </si>
  <si>
    <t xml:space="preserve">R-R</t>
  </si>
  <si>
    <t xml:space="preserve">Shinzo Abe’s ruling coalition expected to win decisively in Japan election https://t.co/FFxPjLLLTj</t>
  </si>
  <si>
    <t xml:space="preserve">nowhere</t>
  </si>
  <si>
    <r>
      <rPr>
        <sz val="8"/>
        <rFont val="Noto Sans CJK SC Regular"/>
        <family val="2"/>
      </rPr>
      <t xml:space="preserve">阪神タイガースファン</t>
    </r>
    <r>
      <rPr>
        <sz val="8"/>
        <rFont val="Droid Sans"/>
        <family val="0"/>
        <charset val="1"/>
      </rPr>
      <t xml:space="preserve">, </t>
    </r>
    <r>
      <rPr>
        <sz val="8"/>
        <rFont val="Noto Sans CJK SC Regular"/>
        <family val="2"/>
      </rPr>
      <t xml:space="preserve">森羅万象</t>
    </r>
    <r>
      <rPr>
        <sz val="8"/>
        <rFont val="Droid Sans"/>
        <family val="0"/>
        <charset val="1"/>
      </rPr>
      <t xml:space="preserve">, </t>
    </r>
    <r>
      <rPr>
        <sz val="8"/>
        <rFont val="Noto Sans CJK SC Regular"/>
        <family val="2"/>
      </rPr>
      <t xml:space="preserve">たまに英語でもつぶやいたり、つぶやかなかったりします。</t>
    </r>
  </si>
  <si>
    <t xml:space="preserve">秋子</t>
  </si>
  <si>
    <t xml:space="preserve">よんさん</t>
  </si>
  <si>
    <t xml:space="preserve">推しカプの部屋の観葉植物</t>
  </si>
  <si>
    <r>
      <rPr>
        <sz val="8"/>
        <rFont val="Droid Sans"/>
        <family val="0"/>
        <charset val="1"/>
      </rPr>
      <t xml:space="preserve">20↑ </t>
    </r>
    <r>
      <rPr>
        <sz val="8"/>
        <rFont val="Noto Sans CJK SC Regular"/>
        <family val="2"/>
      </rPr>
      <t xml:space="preserve">雑多 </t>
    </r>
    <r>
      <rPr>
        <sz val="8"/>
        <rFont val="Droid Sans"/>
        <family val="0"/>
        <charset val="1"/>
      </rPr>
      <t xml:space="preserve">RT</t>
    </r>
    <r>
      <rPr>
        <sz val="8"/>
        <rFont val="Noto Sans CJK SC Regular"/>
        <family val="2"/>
      </rPr>
      <t xml:space="preserve">多 フォロブロご自由に バキトニイラスト倉庫は下記リンクから↓</t>
    </r>
  </si>
  <si>
    <t xml:space="preserve">Abdulmajeed Khan</t>
  </si>
  <si>
    <t xml:space="preserve">https://t.co/UIsONe9qCK Japan should adopt the balanced thought, so that to come out from this difficult situation.</t>
  </si>
  <si>
    <t xml:space="preserve">Kashmir India</t>
  </si>
  <si>
    <t xml:space="preserve">I am an advocate of the Jammu &amp; Kashmir High Court at Srinagar.</t>
  </si>
  <si>
    <t xml:space="preserve">ロックあんみつ</t>
  </si>
  <si>
    <t xml:space="preserve">somewhere</t>
  </si>
  <si>
    <t xml:space="preserve">Josie Jackson</t>
  </si>
  <si>
    <t xml:space="preserve">RT @RealMadisonsCPC: Japan election: Shinzo Abe's party likely to seize control in lower house https://t.co/KRDKl9rz8E https://t.co/1qnsHoS…</t>
  </si>
  <si>
    <t xml:space="preserve">The South</t>
  </si>
  <si>
    <t xml:space="preserve">Wholistic Practioner, Patriot, Writer, Shocker... You can love yoga,&amp; the Constitution .#mystealthyfreedom Writer for https://t.co/q024T7jgKx</t>
  </si>
  <si>
    <t xml:space="preserve">さとし</t>
  </si>
  <si>
    <t xml:space="preserve">えりりん</t>
  </si>
  <si>
    <t xml:space="preserve"> </t>
  </si>
  <si>
    <r>
      <rPr>
        <sz val="8"/>
        <rFont val="Noto Sans CJK SC Regular"/>
        <family val="2"/>
      </rPr>
      <t xml:space="preserve">旅行と飛行機と</t>
    </r>
    <r>
      <rPr>
        <sz val="8"/>
        <rFont val="Droid Sans"/>
        <family val="0"/>
        <charset val="1"/>
      </rPr>
      <t xml:space="preserve">2</t>
    </r>
    <r>
      <rPr>
        <sz val="8"/>
        <rFont val="Noto Sans CJK SC Regular"/>
        <family val="2"/>
      </rPr>
      <t xml:space="preserve">ちゃんねるが大好きです。洋書も大好き。あ、それから食べ放題も大好きです！米国で心理学修士号取得して現地で主に</t>
    </r>
    <r>
      <rPr>
        <sz val="8"/>
        <rFont val="Droid Sans"/>
        <family val="0"/>
        <charset val="1"/>
      </rPr>
      <t xml:space="preserve">DV</t>
    </r>
    <r>
      <rPr>
        <sz val="8"/>
        <rFont val="Noto Sans CJK SC Regular"/>
        <family val="2"/>
      </rPr>
      <t xml:space="preserve">被害者と虐待された子供たちへのカウンセラーをしていましたが、今は全然関係ない仕事をしています。父と夫が物理学者なので理系男子原理主義者です。西宮市生まれ</t>
    </r>
    <r>
      <rPr>
        <sz val="8"/>
        <rFont val="Droid Sans"/>
        <family val="0"/>
        <charset val="1"/>
      </rPr>
      <t xml:space="preserve">&amp;</t>
    </r>
    <r>
      <rPr>
        <sz val="8"/>
        <rFont val="Noto Sans CJK SC Regular"/>
        <family val="2"/>
      </rPr>
      <t xml:space="preserve">育ちの生粋の阪急王国育ちです。</t>
    </r>
  </si>
  <si>
    <t xml:space="preserve">@cool-grease</t>
  </si>
  <si>
    <r>
      <rPr>
        <sz val="8"/>
        <rFont val="Noto Sans CJK SC Regular"/>
        <family val="2"/>
      </rPr>
      <t xml:space="preserve">我尬意台灣♪ヽ</t>
    </r>
    <r>
      <rPr>
        <sz val="8"/>
        <rFont val="Droid Sans"/>
        <family val="0"/>
        <charset val="1"/>
      </rPr>
      <t xml:space="preserve">(´▽</t>
    </r>
    <r>
      <rPr>
        <sz val="8"/>
        <rFont val="Noto Sans CJK SC Regular"/>
        <family val="2"/>
      </rPr>
      <t xml:space="preserve">｀</t>
    </r>
    <r>
      <rPr>
        <sz val="8"/>
        <rFont val="Droid Sans"/>
        <family val="0"/>
        <charset val="1"/>
      </rPr>
      <t xml:space="preserve">)/</t>
    </r>
  </si>
  <si>
    <t xml:space="preserve">ニャンです。</t>
  </si>
  <si>
    <t xml:space="preserve">Shinzo Abe’s ruling coalition expected to win decisively in Japan election https://t.co/ZHlPuC18YT</t>
  </si>
  <si>
    <t xml:space="preserve">😄</t>
  </si>
  <si>
    <t xml:space="preserve">とわのまる</t>
  </si>
  <si>
    <r>
      <rPr>
        <sz val="8"/>
        <rFont val="Noto Sans CJK SC Regular"/>
        <family val="2"/>
      </rPr>
      <t xml:space="preserve">無断フォロー・無断</t>
    </r>
    <r>
      <rPr>
        <sz val="8"/>
        <rFont val="Droid Sans"/>
        <family val="0"/>
        <charset val="1"/>
      </rPr>
      <t xml:space="preserve">RT</t>
    </r>
    <r>
      <rPr>
        <sz val="8"/>
        <rFont val="Noto Sans CJK SC Regular"/>
        <family val="2"/>
      </rPr>
      <t xml:space="preserve">にて御免</t>
    </r>
  </si>
  <si>
    <t xml:space="preserve">MMM</t>
  </si>
  <si>
    <r>
      <rPr>
        <sz val="8"/>
        <rFont val="Droid Sans"/>
        <family val="0"/>
        <charset val="1"/>
      </rPr>
      <t xml:space="preserve">Cat lover. Plastic model lover. Former fighter. </t>
    </r>
    <r>
      <rPr>
        <sz val="8"/>
        <rFont val="Noto Sans CJK SC Regular"/>
        <family val="2"/>
      </rPr>
      <t xml:space="preserve">最近すっかり丸いです。</t>
    </r>
  </si>
  <si>
    <t xml:space="preserve">Ava</t>
  </si>
  <si>
    <t xml:space="preserve">threadjkjkljrt</t>
  </si>
  <si>
    <t xml:space="preserve">Bruno  #timbeta</t>
  </si>
  <si>
    <t xml:space="preserve">"Japan election: Shinzo Abe's party likely to seize control in lower house" via FOX NEWS https://t.co/FMjivE4JKh</t>
  </si>
  <si>
    <t xml:space="preserve">マグプル</t>
  </si>
  <si>
    <r>
      <rPr>
        <sz val="8"/>
        <rFont val="Noto Sans CJK SC Regular"/>
        <family val="2"/>
      </rPr>
      <t xml:space="preserve">日本　</t>
    </r>
    <r>
      <rPr>
        <sz val="8"/>
        <rFont val="Droid Sans"/>
        <family val="0"/>
        <charset val="1"/>
      </rPr>
      <t xml:space="preserve">Japan</t>
    </r>
  </si>
  <si>
    <t xml:space="preserve">日本が好きです。八百万の神を祭り、四季折々の美しさが在る日本は素晴らしい。大和心。</t>
  </si>
  <si>
    <t xml:space="preserve">Rowan Van Dijk</t>
  </si>
  <si>
    <t xml:space="preserve">Japan: The Japan Polls: The Heavy rainfall could affect the voter turnout. Millions of Japanese inhabitants vote in… https://t.co/D7bTbzhTR3</t>
  </si>
  <si>
    <t xml:space="preserve">Almere, Nederland</t>
  </si>
  <si>
    <t xml:space="preserve">Follower of PAPA YHWH/YAHU'AH ELOHIM And The MESSIAH YAHUSHUA HA MASSIACH And B'NAI ELOHIM. Shalom Shalom.😊😃😎🙏🏿</t>
  </si>
  <si>
    <t xml:space="preserve">IBTimes UK</t>
  </si>
  <si>
    <t xml:space="preserve">Shinzo Abe's party heading for likely victory as Japan votes in snap election https://t.co/cq69iDOmkS</t>
  </si>
  <si>
    <t xml:space="preserve">International Business Times UK: Keeping your world connected so you know what’s next. Facebook: https://t.co/drCmDDD7gI</t>
  </si>
  <si>
    <t xml:space="preserve">Las Vegas NV Blog</t>
  </si>
  <si>
    <t xml:space="preserve">Japan election: Shinzo Abe's party likely to seize control in lower house https://t.co/SYvOlGR0Yq https://t.co/tq0oRvPYKK</t>
  </si>
  <si>
    <t xml:space="preserve">Las Vegas</t>
  </si>
  <si>
    <t xml:space="preserve">Japan: The Japan Polls: The Heavy rainfall could affect the voter turnout. Millions of Japanese inhabitants vote i… https://t.co/qhZx8ESEdC</t>
  </si>
  <si>
    <t xml:space="preserve">Shinzo Abe Set For Fresh Term As Japan Goes To Polls Amid North Korea Threats https://t.co/T63XRGiYjE</t>
  </si>
  <si>
    <t xml:space="preserve">Japan election: Shinzo Abe's party likely to seize control in lower house https://t.co/sknYOyv9zB</t>
  </si>
  <si>
    <t xml:space="preserve">TOMCATminicooper</t>
  </si>
  <si>
    <r>
      <rPr>
        <sz val="8"/>
        <rFont val="Noto Sans CJK SC Regular"/>
        <family val="2"/>
      </rPr>
      <t xml:space="preserve">鉄オタで車オタで飛行機オタでゲームオタで工場萌えで電線萌えで、たまに水泳の先生やったりピアノの先生だったりするコンビニのおっちゃん。子供二人に奥様一人。 阪急と小田急と東急とロータスと日産と</t>
    </r>
    <r>
      <rPr>
        <sz val="8"/>
        <rFont val="Droid Sans"/>
        <family val="0"/>
        <charset val="1"/>
      </rPr>
      <t xml:space="preserve">F-14TOMCAT</t>
    </r>
    <r>
      <rPr>
        <sz val="8"/>
        <rFont val="Noto Sans CJK SC Regular"/>
        <family val="2"/>
      </rPr>
      <t xml:space="preserve">と翔鶴瑞鶴が大好きです。 駅メモでは</t>
    </r>
    <r>
      <rPr>
        <sz val="8"/>
        <rFont val="Droid Sans"/>
        <family val="0"/>
        <charset val="1"/>
      </rPr>
      <t xml:space="preserve">TOMCAT</t>
    </r>
    <r>
      <rPr>
        <sz val="8"/>
        <rFont val="Noto Sans CJK SC Regular"/>
        <family val="2"/>
      </rPr>
      <t xml:space="preserve">という名前です。見かけたら遠慮なく吹っ飛ばしてください</t>
    </r>
    <r>
      <rPr>
        <sz val="8"/>
        <rFont val="Droid Sans"/>
        <family val="0"/>
        <charset val="1"/>
      </rPr>
      <t xml:space="preserve">(</t>
    </r>
    <r>
      <rPr>
        <sz val="8"/>
        <rFont val="Noto Sans CJK SC Regular"/>
        <family val="2"/>
      </rPr>
      <t xml:space="preserve">笑</t>
    </r>
    <r>
      <rPr>
        <sz val="8"/>
        <rFont val="Droid Sans"/>
        <family val="0"/>
        <charset val="1"/>
      </rPr>
      <t xml:space="preserve">)</t>
    </r>
  </si>
  <si>
    <t xml:space="preserve">OpusFlow</t>
  </si>
  <si>
    <t xml:space="preserve">RT @IBTimesUK: Shinzo Abe's party heading for likely victory as Japan votes in snap election https://t.co/cq69iDOmkS</t>
  </si>
  <si>
    <t xml:space="preserve">We help organisations deliver successful IT Projects by enabling them to work smarter using collaborative approaches. Call us for a free 2 hour consultation</t>
  </si>
  <si>
    <t xml:space="preserve">Chisako</t>
  </si>
  <si>
    <t xml:space="preserve">Music lover, Love from 50's to early 90's music. Addicted to #TheBlacklist #RaymondRedReddington ❤ #JamesSpader ❤</t>
  </si>
  <si>
    <t xml:space="preserve">Cyril Grey</t>
  </si>
  <si>
    <t xml:space="preserve">TwitPane Android</t>
  </si>
  <si>
    <t xml:space="preserve">Every note has its meaning</t>
  </si>
  <si>
    <r>
      <rPr>
        <sz val="8"/>
        <rFont val="Noto Sans CJK SC Regular"/>
        <family val="2"/>
      </rPr>
      <t xml:space="preserve">不良将校＠</t>
    </r>
    <r>
      <rPr>
        <sz val="8"/>
        <rFont val="Droid Sans"/>
        <family val="0"/>
        <charset val="1"/>
      </rPr>
      <t xml:space="preserve">pixiv</t>
    </r>
    <r>
      <rPr>
        <sz val="8"/>
        <rFont val="Noto Sans CJK SC Regular"/>
        <family val="2"/>
      </rPr>
      <t xml:space="preserve">小説執筆中</t>
    </r>
  </si>
  <si>
    <t xml:space="preserve">兵庫 姫路市</t>
  </si>
  <si>
    <r>
      <rPr>
        <sz val="8"/>
        <rFont val="Noto Sans CJK SC Regular"/>
        <family val="2"/>
      </rPr>
      <t xml:space="preserve">無言フォロー大歓迎。ルーデル大佐、ビートルズ、山下達郎、もりしげ先生のファンです。漫画・アニメ表現規制反対。痴漢冤罪</t>
    </r>
    <r>
      <rPr>
        <sz val="8"/>
        <rFont val="Droid Sans"/>
        <family val="0"/>
        <charset val="1"/>
      </rPr>
      <t xml:space="preserve">&amp;</t>
    </r>
    <r>
      <rPr>
        <sz val="8"/>
        <rFont val="Noto Sans CJK SC Regular"/>
        <family val="2"/>
      </rPr>
      <t xml:space="preserve">暴力団撲滅。そして世界平和を！コミケ一般参加者の一人。決戦アリーナ。プロ野球オリックスの松葉貴大投手と女優の栗山千明さんを応援してます！ユーリア・ノーバ</t>
    </r>
    <r>
      <rPr>
        <sz val="8"/>
        <rFont val="Droid Sans"/>
        <family val="0"/>
        <charset val="1"/>
      </rPr>
      <t xml:space="preserve">LOVE</t>
    </r>
    <r>
      <rPr>
        <sz val="8"/>
        <rFont val="Noto Sans CJK SC Regular"/>
        <family val="2"/>
      </rPr>
      <t xml:space="preserve">。</t>
    </r>
    <r>
      <rPr>
        <sz val="8"/>
        <rFont val="Droid Sans"/>
        <family val="0"/>
        <charset val="1"/>
      </rPr>
      <t xml:space="preserve">pixiv</t>
    </r>
    <r>
      <rPr>
        <sz val="8"/>
        <rFont val="Noto Sans CJK SC Regular"/>
        <family val="2"/>
      </rPr>
      <t xml:space="preserve">にてイラスト・小説修行中。</t>
    </r>
  </si>
  <si>
    <t xml:space="preserve">石橋 茂政</t>
  </si>
  <si>
    <t xml:space="preserve">Shinzo Abe’s ruling coalition expected to win decisively in Japan election https://t.co/qF2TRYERcl</t>
  </si>
  <si>
    <t xml:space="preserve"> 地球</t>
  </si>
  <si>
    <r>
      <rPr>
        <sz val="8"/>
        <rFont val="Droid Sans"/>
        <family val="0"/>
        <charset val="1"/>
      </rPr>
      <t xml:space="preserve">HKT48 2</t>
    </r>
    <r>
      <rPr>
        <sz val="8"/>
        <rFont val="Noto Sans CJK SC Regular"/>
        <family val="2"/>
      </rPr>
      <t xml:space="preserve">期推。ゆかちゃん</t>
    </r>
    <r>
      <rPr>
        <sz val="8"/>
        <rFont val="Droid Sans"/>
        <family val="0"/>
        <charset val="1"/>
      </rPr>
      <t xml:space="preserve">No.1</t>
    </r>
  </si>
  <si>
    <t xml:space="preserve">Shinzo Abe's party heading for likely victory as Japan votes in snap election https://t.co/kzSK9Fwkeo</t>
  </si>
  <si>
    <t xml:space="preserve">とまと</t>
  </si>
  <si>
    <r>
      <rPr>
        <sz val="8"/>
        <rFont val="Noto Sans CJK SC Regular"/>
        <family val="2"/>
      </rPr>
      <t xml:space="preserve">シンプルなのがいいね</t>
    </r>
    <r>
      <rPr>
        <sz val="8"/>
        <rFont val="Droid Sans"/>
        <family val="0"/>
        <charset val="1"/>
      </rPr>
      <t xml:space="preserve">(๑˃̵ᴗ˂̵)</t>
    </r>
  </si>
  <si>
    <t xml:space="preserve">Star Traveler</t>
  </si>
  <si>
    <t xml:space="preserve">Japan election: Shinzo Abe's party likely to seize control in lower house https://t.co/TPWCWbmnEf via the @FoxNews Android app</t>
  </si>
  <si>
    <t xml:space="preserve">Deep in Dixie ''' I'm the real deal</t>
  </si>
  <si>
    <t xml:space="preserve">Prudencio Sosa Jr.</t>
  </si>
  <si>
    <t xml:space="preserve">Japan election: Shinzo Abe's party likely to seize control in lower house https://t.co/44SyVFxcoS #FoxNews</t>
  </si>
  <si>
    <t xml:space="preserve">Deerfield Beach Florida</t>
  </si>
  <si>
    <t xml:space="preserve">Retired</t>
  </si>
  <si>
    <t xml:space="preserve">Gaurav Sharma</t>
  </si>
  <si>
    <t xml:space="preserve">Shinzo Abe's party heading for likely victory as #Japan votes in snap election https://t.co/Mg3C4cMz2T #JapanElections</t>
  </si>
  <si>
    <t xml:space="preserve">Biz editor @IBTimesUK, oil market analyst, author of Oilholics Synonymous, @Forbes columnist, intrepid traveller. All crude thoughts my own; RT's ≠ endorsement</t>
  </si>
  <si>
    <t xml:space="preserve">RT @Israelifreedom: Japan election: Shinzo Abe's party likely to seize control in lower house https://t.co/44SyVFxcoS #FoxNews</t>
  </si>
  <si>
    <t xml:space="preserve">SSF.LLC</t>
  </si>
  <si>
    <t xml:space="preserve">兵庫県（南部）</t>
  </si>
  <si>
    <r>
      <rPr>
        <sz val="8"/>
        <rFont val="Noto Sans CJK SC Regular"/>
        <family val="2"/>
      </rPr>
      <t xml:space="preserve">鉄道・</t>
    </r>
    <r>
      <rPr>
        <sz val="8"/>
        <rFont val="Droid Sans"/>
        <family val="0"/>
        <charset val="1"/>
      </rPr>
      <t xml:space="preserve">SUPER GT</t>
    </r>
    <r>
      <rPr>
        <sz val="8"/>
        <rFont val="Noto Sans CJK SC Regular"/>
        <family val="2"/>
      </rPr>
      <t xml:space="preserve">が大好きです。 フォローお願いします。 このユーザー時折激辛</t>
    </r>
    <r>
      <rPr>
        <sz val="8"/>
        <rFont val="Droid Sans"/>
        <family val="0"/>
        <charset val="1"/>
      </rPr>
      <t xml:space="preserve">(</t>
    </r>
    <r>
      <rPr>
        <sz val="8"/>
        <rFont val="Noto Sans CJK SC Regular"/>
        <family val="2"/>
      </rPr>
      <t xml:space="preserve">毒舌</t>
    </r>
    <r>
      <rPr>
        <sz val="8"/>
        <rFont val="Droid Sans"/>
        <family val="0"/>
        <charset val="1"/>
      </rPr>
      <t xml:space="preserve">)</t>
    </r>
    <r>
      <rPr>
        <sz val="8"/>
        <rFont val="Noto Sans CJK SC Regular"/>
        <family val="2"/>
      </rPr>
      <t xml:space="preserve">ペッパーツイート行います。</t>
    </r>
  </si>
  <si>
    <t xml:space="preserve">Afeef Ibn Albra</t>
  </si>
  <si>
    <t xml:space="preserve">Abe dissolved the lower house less than a month ago, forcing the snap election. https://t.co/sYwp7SMvnI https://t.co/ttchgMMaTb</t>
  </si>
  <si>
    <t xml:space="preserve">☆♡ #Great #Minds #think #alone ♡☆</t>
  </si>
  <si>
    <t xml:space="preserve">NewsOnePlace.com</t>
  </si>
  <si>
    <t xml:space="preserve">(International Business Times):#Shinzo #Abe's party heading for likely victory as Japan votes in snap election.. https://t.co/tSxFt5PTXo</t>
  </si>
  <si>
    <t xml:space="preserve">Newsoneplace To Twitter</t>
  </si>
  <si>
    <t xml:space="preserve">http://t.co/TKTMLsjLHz is a news aggregator, it gathers news from different sources around the UK and the world, 24/7 automatically. All news in one place !</t>
  </si>
  <si>
    <t xml:space="preserve">BBCNEWS 3:22am JAPAN SNAP ELECTION. Polls have opened in snap elections JAPAN SNAP ELECTION. Shinzo Abe called for snap election last...</t>
  </si>
  <si>
    <t xml:space="preserve">Mari-Taylor</t>
  </si>
  <si>
    <t xml:space="preserve">Japan </t>
  </si>
  <si>
    <t xml:space="preserve">Sports, Music...Yoshiki, XJapan, Adam Lambert, Classical...Mari &amp; Taylor(named after my beloved kitties, now in Heaven)</t>
  </si>
  <si>
    <t xml:space="preserve">harisnest</t>
  </si>
  <si>
    <t xml:space="preserve">Shinzo Abe’s ruling coalition expected to win decisively in Japan election @NSMlive @venkiteshram https://t.co/nS1d2IG60E</t>
  </si>
  <si>
    <t xml:space="preserve">Political rhythms of planet earth</t>
  </si>
  <si>
    <t xml:space="preserve">Susan Jordan</t>
  </si>
  <si>
    <t xml:space="preserve">Shinzo Abe’s ruling coalition expected to win decisively in Japan election https://t.co/PN9vF7BHsn</t>
  </si>
  <si>
    <t xml:space="preserve">Devizes, England</t>
  </si>
  <si>
    <t xml:space="preserve">Works for the NHS. Geek. Likes history, politics, Palestine, cats, music, TV, films, ballet, wine, photography, computers, science, astronomy, opera and books</t>
  </si>
  <si>
    <t xml:space="preserve">Pavel Кulyuk</t>
  </si>
  <si>
    <t xml:space="preserve">Shinzo Abe’s ruling coalition expected to win decisively in Japan election https://t.co/yAeO4jnir1 https://t.co/QRmUxU2L4I</t>
  </si>
  <si>
    <t xml:space="preserve">If I knew where I am :)</t>
  </si>
  <si>
    <t xml:space="preserve">I'm journalist #NorthKorea, war, #terrorists, scandals, and #Trump. When I get tired, I write about #ReaEstate in a quiet and safe #Switzerland.</t>
  </si>
  <si>
    <t xml:space="preserve">Riyadh Vision</t>
  </si>
  <si>
    <t xml:space="preserve">:: Millions of Japanese braved typhoon conditions Sunday for a snap election likely to hand Prime Minister Shinzo... https://t.co/RK7XwY78Lw</t>
  </si>
  <si>
    <t xml:space="preserve">Saudi Arabia</t>
  </si>
  <si>
    <t xml:space="preserve">http://t.co/AVEhqKK4m1</t>
  </si>
  <si>
    <t xml:space="preserve">:: Millions of Japanese braved typhoon conditions Sunday for a snap election likely to hand Prime Minister Shinzo... https://t.co/FflvSw02cD</t>
  </si>
  <si>
    <t xml:space="preserve">Ronnie Chopra</t>
  </si>
  <si>
    <t xml:space="preserve">Prime Minister Abe poised for landslide victory in Japan's general election https://t.co/Nn5v0QNUUm via @FRANCE24</t>
  </si>
  <si>
    <t xml:space="preserve">Equity and FX analyst interviewed on many global business channels - BBC Business, Bloomberg, CNBC, CNN, Core, SKY and Tip TV over the last 10 years.</t>
  </si>
  <si>
    <t xml:space="preserve">#News via #FOXNEWS "Japan election: Shinzo Abe's party likely to seize control in lower house" |… https://t.co/mnwxesho1F</t>
  </si>
  <si>
    <t xml:space="preserve">RT @lopezgovlaw: #News via #FOXNEWS "Japan election: Shinzo Abe's party likely to seize control in lower house" | https://t.co/dKxRsO01SJ h…</t>
  </si>
  <si>
    <t xml:space="preserve">oxa aoxa</t>
  </si>
  <si>
    <t xml:space="preserve">FOX NEWS: Japan election: Shinzo Abe's party likely to seize control in lower house https://t.co/TRVJOMMt0Z</t>
  </si>
  <si>
    <t xml:space="preserve">Alan Rosario</t>
  </si>
  <si>
    <t xml:space="preserve">Japan election: Shinzo Abe's party likely to seize control in lower house via the @FoxNews App https://t.co/raeQmjWGGb</t>
  </si>
  <si>
    <t xml:space="preserve">Retired Navy Corpsman. Pro Life, Christian, Pro 2nd, Conservative Libertarian. Less Government #MilitaryVetsLivesMatter #PTSDClaims22aDay #BlueLivesMatter #MAGA</t>
  </si>
  <si>
    <t xml:space="preserve">SUGIMURA &amp; Partners</t>
  </si>
  <si>
    <t xml:space="preserve">Prime Minister Abe poised for landslide victory in Japan's general election https://t.co/edpWZbEiAA https://t.co/zfM8BhVO9r</t>
  </si>
  <si>
    <t xml:space="preserve">SUGIMURA is a leading intellectual property law firm in Japan, has earned a reputation for high quality, and is ranked among the top patent and trademark firms.</t>
  </si>
  <si>
    <t xml:space="preserve">Sky News Newsdesk</t>
  </si>
  <si>
    <t xml:space="preserve">Exit polls in Japan's election suggest Prime Minister Shinzo Abe's ruling coalition will win a large parliamentary majority</t>
  </si>
  <si>
    <t xml:space="preserve">The latest breaking news, direct from the Sky News team. Tweet @skynews with any questions or queries.</t>
  </si>
  <si>
    <t xml:space="preserve">ST Foreign Desk</t>
  </si>
  <si>
    <t xml:space="preserve">Exit polls show snap election gambit pays off for Japan PM Shinzo Abe https://t.co/HGPwlrBcea https://t.co/E8MabgOIPK</t>
  </si>
  <si>
    <t xml:space="preserve">The Straits Times Foreign Desk brings you news about the rest of the world. Follow us for live tweeting of major events.</t>
  </si>
  <si>
    <t xml:space="preserve">The Straits Times</t>
  </si>
  <si>
    <t xml:space="preserve">Exit polls show snap election gambit pays off for Japan PM Shinzo Abe https://t.co/TxOtr2XACk https://t.co/H1yAnJdhH1</t>
  </si>
  <si>
    <t xml:space="preserve">Breaking news from the online site of Singapore's most widely read newspaper</t>
  </si>
  <si>
    <t xml:space="preserve">IP Crime Unit</t>
  </si>
  <si>
    <t xml:space="preserve">RT @SkyNewsBreak: Exit polls in Japan's election suggest Prime Minister Shinzo Abe's ruling coalition will win a large parliamentary majori…</t>
  </si>
  <si>
    <t xml:space="preserve">Manchester, UK</t>
  </si>
  <si>
    <t xml:space="preserve">The IP Crime Unit is a division of Intelligence &amp; Investigation Services. We have provided IP protection services for the world’s leading brands since 1990.</t>
  </si>
  <si>
    <t xml:space="preserve">$BNews:Exit polls in Japan's election suggest Prime Minister Shinzo Abe's ruling coalition will win a large parliamentary majority</t>
  </si>
  <si>
    <t xml:space="preserve">Saarah  ali</t>
  </si>
  <si>
    <t xml:space="preserve">Leeds, England</t>
  </si>
  <si>
    <t xml:space="preserve">Mary Robinson</t>
  </si>
  <si>
    <t xml:space="preserve">Manchester</t>
  </si>
  <si>
    <t xml:space="preserve">BREAKING: NHK predicts #ShinzoAbe's LDP will win between 253 and 300 out of 465 seats in #JapanElection… https://t.co/Id3hYQoPH8</t>
  </si>
  <si>
    <t xml:space="preserve">News 24/7</t>
  </si>
  <si>
    <t xml:space="preserve">Breaking News and analysis of the top stories across Australia and the world. Throughout 2017, the very latest national and international news.</t>
  </si>
  <si>
    <t xml:space="preserve">Billy Moore</t>
  </si>
  <si>
    <t xml:space="preserve">democracytodaybrit</t>
  </si>
  <si>
    <t xml:space="preserve">Exit polls in Japan's election suggest Prime Minister Shinzo Abe's ruling coalition will win a large parliamentary… https://t.co/FtVMgKbHHr</t>
  </si>
  <si>
    <t xml:space="preserve">Democracy today Britain: brings you the latest news.... from around Britain_world. 100% free speech #democracytodaybrit @dbcommenter @democracy_tv</t>
  </si>
  <si>
    <t xml:space="preserve">rinka the dog</t>
  </si>
  <si>
    <t xml:space="preserve">Sky News</t>
  </si>
  <si>
    <t xml:space="preserve">Stories direct from the @SkyNews newsroom. Tweet us your queries and questions. For breaking news, follow @SkyNewsBreak.</t>
  </si>
  <si>
    <r>
      <rPr>
        <sz val="8"/>
        <rFont val="Noto Sans CJK SC Regular"/>
        <family val="2"/>
      </rPr>
      <t xml:space="preserve">レックウザ☆ばろん</t>
    </r>
    <r>
      <rPr>
        <sz val="8"/>
        <rFont val="Droid Sans"/>
        <family val="0"/>
        <charset val="1"/>
      </rPr>
      <t xml:space="preserve">Baron</t>
    </r>
  </si>
  <si>
    <t xml:space="preserve">RT @STcom: Exit polls show snap election gambit pays off for Japan PM Shinzo Abe https://t.co/TxOtr2XACk https://t.co/H1yAnJdhH1</t>
  </si>
  <si>
    <r>
      <rPr>
        <sz val="8"/>
        <rFont val="Droid Sans"/>
        <family val="0"/>
        <charset val="1"/>
      </rPr>
      <t xml:space="preserve">@ </t>
    </r>
    <r>
      <rPr>
        <sz val="8"/>
        <rFont val="Noto Sans CJK SC Regular"/>
        <family val="2"/>
      </rPr>
      <t xml:space="preserve">コマップ </t>
    </r>
    <r>
      <rPr>
        <sz val="8"/>
        <rFont val="Droid Sans"/>
        <family val="0"/>
        <charset val="1"/>
      </rPr>
      <t xml:space="preserve">Principal food is a marshmallow. ♡(^-^)V…Peace -Japan- mute recommendation(^.^) </t>
    </r>
    <r>
      <rPr>
        <sz val="8"/>
        <rFont val="Noto Sans CJK SC Regular"/>
        <family val="2"/>
      </rPr>
      <t xml:space="preserve">ミュート推奨</t>
    </r>
    <r>
      <rPr>
        <sz val="8"/>
        <rFont val="Droid Sans"/>
        <family val="0"/>
        <charset val="1"/>
      </rPr>
      <t xml:space="preserve">Facebook isn't open.</t>
    </r>
  </si>
  <si>
    <t xml:space="preserve">Ivy Chowdhury</t>
  </si>
  <si>
    <t xml:space="preserve">Squid Express</t>
  </si>
  <si>
    <t xml:space="preserve">RT @STForeignDesk: BREAKING: NHK predicts #ShinzoAbe's LDP will win between 253 and 300 out of 465 seats in #JapanElection https://t.co/HG…</t>
  </si>
  <si>
    <t xml:space="preserve">Inkopolis</t>
  </si>
  <si>
    <t xml:space="preserve">We aim to be a total logistics solutions provider trusted and preferred by all people, including communities, customers and employees.</t>
  </si>
  <si>
    <t xml:space="preserve">Liam OConnor</t>
  </si>
  <si>
    <t xml:space="preserve">N 55°51' 0'' / W 4°14' 0''</t>
  </si>
  <si>
    <t xml:space="preserve">English Language Teacher. Internationalist. Marxist. Humanist. Brefugee fleeing anti-European xenophobes 🇪🇺</t>
  </si>
  <si>
    <t xml:space="preserve">نشرة القاهرة‎</t>
  </si>
  <si>
    <t xml:space="preserve">30°3'29N, 31°13'44E</t>
  </si>
  <si>
    <t xml:space="preserve">Egypt after the 2011 uprising. With a focus towards human rights, diplomacy, and the development of MENA's creative industries. Regularly updated by @sarahbadr.</t>
  </si>
  <si>
    <t xml:space="preserve">News This Second</t>
  </si>
  <si>
    <t xml:space="preserve">Wherever the story takes us</t>
  </si>
  <si>
    <t xml:space="preserve">The world isn't nine to five and neither are we. We tweet #Breaking news and developing stories.</t>
  </si>
  <si>
    <r>
      <rPr>
        <sz val="8"/>
        <rFont val="Droid Sans"/>
        <family val="0"/>
        <charset val="1"/>
      </rPr>
      <t xml:space="preserve">m_s_non</t>
    </r>
    <r>
      <rPr>
        <sz val="8"/>
        <rFont val="Noto Sans CJK SC Regular"/>
        <family val="2"/>
      </rPr>
      <t xml:space="preserve">（ みその ）</t>
    </r>
  </si>
  <si>
    <t xml:space="preserve">情報収集（ニュース・自然災害など）を目的としています。</t>
  </si>
  <si>
    <r>
      <rPr>
        <sz val="8"/>
        <rFont val="Noto Sans CJK SC Regular"/>
        <family val="2"/>
      </rPr>
      <t xml:space="preserve">마술종이</t>
    </r>
    <r>
      <rPr>
        <sz val="8"/>
        <rFont val="Droid Sans"/>
        <family val="0"/>
        <charset val="1"/>
      </rPr>
      <t xml:space="preserve">@</t>
    </r>
    <r>
      <rPr>
        <sz val="8"/>
        <rFont val="Noto Sans CJK SC Regular"/>
        <family val="2"/>
      </rPr>
      <t xml:space="preserve">新谷良子</t>
    </r>
    <r>
      <rPr>
        <sz val="8"/>
        <rFont val="Droid Sans"/>
        <family val="0"/>
        <charset val="1"/>
      </rPr>
      <t xml:space="preserve">2017</t>
    </r>
    <r>
      <rPr>
        <sz val="8"/>
        <rFont val="Noto Sans CJK SC Regular"/>
        <family val="2"/>
      </rPr>
      <t xml:space="preserve">東京</t>
    </r>
  </si>
  <si>
    <t xml:space="preserve">ㅋㅋ</t>
  </si>
  <si>
    <t xml:space="preserve">Joseph Burite</t>
  </si>
  <si>
    <t xml:space="preserve">Africa Mashariki.</t>
  </si>
  <si>
    <t xml:space="preserve">Widely Published. Founder, Zhenobia Inc. Ogni impedimento e distrutto dal rigore - Da Vinci. josephburite@gmail.com</t>
  </si>
  <si>
    <t xml:space="preserve">UK Center HQ</t>
  </si>
  <si>
    <t xml:space="preserve">Latest #BREAKING News From The #UnitedKingdom And Surrounding Areas</t>
  </si>
  <si>
    <t xml:space="preserve">Jacob Gerard</t>
  </si>
  <si>
    <t xml:space="preserve">Texas, Florida, Georgia</t>
  </si>
  <si>
    <t xml:space="preserve">Proud Texan ⭐️ and American 🇺🇸Raised Right 🐘</t>
  </si>
  <si>
    <t xml:space="preserve">Conor</t>
  </si>
  <si>
    <t xml:space="preserve">Belfast, Ireland</t>
  </si>
  <si>
    <t xml:space="preserve">I'll never be the darling of the so-called "City Fathers" who cluck their tongues, stroke their beards, and ask "What's to be done with this Conor Conneally?”</t>
  </si>
  <si>
    <t xml:space="preserve">Stefan Garcia</t>
  </si>
  <si>
    <t xml:space="preserve">18, UK. Political Enthusiast. British Unionist. Monarchist. Politics &amp; IR student @UniofBath.</t>
  </si>
  <si>
    <t xml:space="preserve">Jori Pahtaharju</t>
  </si>
  <si>
    <t xml:space="preserve">Suomi</t>
  </si>
  <si>
    <t xml:space="preserve">Rakkaus antaa kauneudelle merkityksen. @kymenkenut PJ. @keskusta @keskustanuoret</t>
  </si>
  <si>
    <t xml:space="preserve">RT SkyNewsBreak: Exit polls in Japan's election suggest Prime Minister Shinzo Abe's ruling coalition will win a large parliamentary majority</t>
  </si>
  <si>
    <t xml:space="preserve">(((Freedom4GB🇬🇧)))</t>
  </si>
  <si>
    <t xml:space="preserve">Hertfordshire</t>
  </si>
  <si>
    <t xml:space="preserve">Libertarian, Minarchist, Laissez Faire Capitalist. Anti-Globalist. Passionate Eurosceptic, Individual Liberty. Atheist. Views my own. RT's Not Endorsements. 🐸</t>
  </si>
  <si>
    <t xml:space="preserve">Gabe</t>
  </si>
  <si>
    <t xml:space="preserve">Prime Minister Abe poised for landslide victory in Japan's general election - FRANCE 24 https://t.co/78qAReI3j3 via @FRANCE24</t>
  </si>
  <si>
    <t xml:space="preserve">Whatever...</t>
  </si>
  <si>
    <t xml:space="preserve">News, History, Politics, Sports, Technology, Health from around the world. Anti Islamist, anti regressive left &amp; anti far right. Centrist. No pc bunk.</t>
  </si>
  <si>
    <t xml:space="preserve">Damien McElroy</t>
  </si>
  <si>
    <t xml:space="preserve">London Bureau Chief, The National</t>
  </si>
  <si>
    <t xml:space="preserve">News 972</t>
  </si>
  <si>
    <t xml:space="preserve">Israel</t>
  </si>
  <si>
    <t xml:space="preserve">Freelancer From Israel. Live News From The Middle East Israel , Egypt, Gaza and more...</t>
  </si>
  <si>
    <t xml:space="preserve">Prash</t>
  </si>
  <si>
    <t xml:space="preserve">21 | Path of the Lone Wolf 🐺| Instagram: @PR2SH</t>
  </si>
  <si>
    <t xml:space="preserve">#Polls 4 UK</t>
  </si>
  <si>
    <t xml:space="preserve">SkyNewsBreak: Exit polls in Japan's election suggest Prime Minister Shinzo Abe's ruling coalition will win a large parliamentary majority</t>
  </si>
  <si>
    <t xml:space="preserve">Up-to-date information from experts on #UK🇬🇧 #Polls, #Research, #Analysis and #Data on #Politics, #Political #Social and #Economic affairs</t>
  </si>
  <si>
    <t xml:space="preserve">Sandeep Biswas</t>
  </si>
  <si>
    <t xml:space="preserve">Media Presenter, Photographer</t>
  </si>
  <si>
    <t xml:space="preserve">AnySource</t>
  </si>
  <si>
    <t xml:space="preserve">AnySource is a website giving you news items, long-form feature stories, product reviews and podcasts #news #technology #breakingnews</t>
  </si>
  <si>
    <t xml:space="preserve">Martin Hill</t>
  </si>
  <si>
    <t xml:space="preserve">RT SkyNews "RT SkyNewsBreak: Exit polls in Japan's election suggest Prime Minister Shinzo Abe's ruling coalition will win a large parliamen…</t>
  </si>
  <si>
    <t xml:space="preserve">Isle of Wight</t>
  </si>
  <si>
    <t xml:space="preserve">Entrepreneur, Husband, Father, Dog walker, Traveler. Pond Lover. Fish Breeder..</t>
  </si>
  <si>
    <t xml:space="preserve">Needlehole.com</t>
  </si>
  <si>
    <t xml:space="preserve">Custom Made Indian Pakistani #Fashion #Bridal #Dresses, Designer #Wedding #Outfits, Party wears &amp; Wedding #Jewellery For #Men &amp; #Women | Free Delivery Worldwide</t>
  </si>
  <si>
    <t xml:space="preserve">Burlington Hotel</t>
  </si>
  <si>
    <t xml:space="preserve">RT TenerifeTommy "RT SkyNews "RT SkyNewsBreak: Exit polls in Japan's election suggest Prime Minister Shinzo Abe's ruling coalition will win…</t>
  </si>
  <si>
    <t xml:space="preserve">Sandown, England</t>
  </si>
  <si>
    <t xml:space="preserve">The Burlington Hotel is one of Sandown's most established and reputable hotels.</t>
  </si>
  <si>
    <t xml:space="preserve">giulia raffaelli</t>
  </si>
  <si>
    <t xml:space="preserve">#Japan: exit polls suggest a landslide general #election victory for #ShinzoAbe's coalition https://t.co/rTqQbLauq2 via @Euronews</t>
  </si>
  <si>
    <t xml:space="preserve">Foreign Affairs &amp; NGO reporter</t>
  </si>
  <si>
    <t xml:space="preserve">Nomad soul. Looking for a shelter to rest before resuming the path, or in which suddenly stop. At least for a while… | Views are my own and RT for info</t>
  </si>
  <si>
    <t xml:space="preserve">Aces California</t>
  </si>
  <si>
    <t xml:space="preserve">Bradford, UK</t>
  </si>
  <si>
    <t xml:space="preserve">Seek knowledge, with knowledge comes the ability to respect.</t>
  </si>
  <si>
    <t xml:space="preserve">John Mack 🇬🇧🇺🇸</t>
  </si>
  <si>
    <t xml:space="preserve">“Until they become conscious they will never rebel, and until after they have rebelled they cannot become conscious.” ― George Orwell, 1984</t>
  </si>
  <si>
    <t xml:space="preserve">SKYNEWS reports RT SkyNewsBreak: Exit polls in Japan's election suggest Prime Minister Shinzo Abe's ruling coaliti… https://t.co/oIgLKnsGBq</t>
  </si>
  <si>
    <t xml:space="preserve">Dylan Hayward</t>
  </si>
  <si>
    <t xml:space="preserve">Journalist At @NewsThisSecond https://t.co/Tqkn8UUP1Z</t>
  </si>
  <si>
    <t xml:space="preserve">Kopitiam Bot</t>
  </si>
  <si>
    <t xml:space="preserve">Exit polls show snap election gambit pays off for Japan PM Shinzo Abe https://t.co/cEF8MWKNdv https://t.co/oeJYPsEO3Z</t>
  </si>
  <si>
    <t xml:space="preserve">News · Lifestyle · Tech · Singapore</t>
  </si>
  <si>
    <t xml:space="preserve">Jenni Missye White</t>
  </si>
  <si>
    <t xml:space="preserve">ÜT: 51.4742716,-0.1567015</t>
  </si>
  <si>
    <t xml:space="preserve">International Diva, International travel Queen! Love making new friends! Self obsessed FOODIE, problem solver, always happy ;) amazing inspirationalist!</t>
  </si>
  <si>
    <t xml:space="preserve">Exit polls in Japan's election suggest Prime Minister Shinzo Abe's ruling coalition will win a large parliamentary majority — Sky News New…</t>
  </si>
  <si>
    <t xml:space="preserve">Tom Hatton</t>
  </si>
  <si>
    <t xml:space="preserve">Whiggish Tory | Anglican | Northerner in Lewisham</t>
  </si>
  <si>
    <t xml:space="preserve">マリ好き</t>
  </si>
  <si>
    <r>
      <rPr>
        <sz val="8"/>
        <rFont val="Noto Sans CJK SC Regular"/>
        <family val="2"/>
      </rPr>
      <t xml:space="preserve">酒田</t>
    </r>
    <r>
      <rPr>
        <sz val="8"/>
        <rFont val="Droid Sans"/>
        <family val="0"/>
        <charset val="1"/>
      </rPr>
      <t xml:space="preserve">/</t>
    </r>
    <r>
      <rPr>
        <sz val="8"/>
        <rFont val="Noto Sans CJK SC Regular"/>
        <family val="2"/>
      </rPr>
      <t xml:space="preserve">山形</t>
    </r>
  </si>
  <si>
    <t xml:space="preserve">みるきー、れな、さくらたん、もりぽ、麻里子が好きなんです</t>
  </si>
  <si>
    <t xml:space="preserve">Andrew Spookson</t>
  </si>
  <si>
    <t xml:space="preserve">Winsford, Cheshire, England </t>
  </si>
  <si>
    <t xml:space="preserve">Occasionally holds an unpopular opinion about Anime. Writes for @japancuriosity</t>
  </si>
  <si>
    <t xml:space="preserve">Via @euronews: Japan: exit polls suggest a landslide general election victory for Shinzo Abe's coalition https://t.co/LqrFPS5n0I</t>
  </si>
  <si>
    <t xml:space="preserve">Samuel Cooper</t>
  </si>
  <si>
    <t xml:space="preserve">Chicago &amp; Lake Forest, IL</t>
  </si>
  <si>
    <t xml:space="preserve">🇺🇸44, 6’6”, Married to Abby, Dad to 4.6 kids, CEO @sjcinvestinc, Catholic, Vegan, Author 📚 https://t.co/2BJSL1oFtz &amp; 📚 https://t.co/Oc83Gh55HB</t>
  </si>
  <si>
    <t xml:space="preserve">Om Shanthi</t>
  </si>
  <si>
    <t xml:space="preserve">Shinzo Abe going to win Japan election again? #wow</t>
  </si>
  <si>
    <t xml:space="preserve">INDIA</t>
  </si>
  <si>
    <t xml:space="preserve">Ajith Fan | Likes Pawan &amp; Hrithik | Messi | Economics | Personal views on #AIADMK #BJP</t>
  </si>
  <si>
    <t xml:space="preserve">Japan election: Shinzo Abe&amp;apos;s ruling coalition secures large majority, exit… https://t.co/JI7yvjMkqK https://t.co/KGqOKuLGic</t>
  </si>
  <si>
    <t xml:space="preserve">Japan election exit poll results are in https://t.co/ls9dMP5pC7</t>
  </si>
  <si>
    <t xml:space="preserve">Johan</t>
  </si>
  <si>
    <t xml:space="preserve">Newtownabbey</t>
  </si>
  <si>
    <t xml:space="preserve">ZX81 to PS4 in thirty not so easy years. Strategy games i am yer man</t>
  </si>
  <si>
    <t xml:space="preserve">RT @Independent: Japan election exit poll results are in https://t.co/ls9dMP5pC7</t>
  </si>
  <si>
    <t xml:space="preserve">Japan election exit poll results are in https://t.co/9eg2syHrQY Independent</t>
  </si>
  <si>
    <t xml:space="preserve">Japanese Prime Minister Shinzo Abe swept to a comfortable victory in a snap election Sunday, October 22. https://t.co/twsSYQ1EcW</t>
  </si>
  <si>
    <t xml:space="preserve">Yukari morissie</t>
  </si>
  <si>
    <t xml:space="preserve">earth</t>
  </si>
  <si>
    <r>
      <rPr>
        <sz val="8"/>
        <rFont val="Droid Sans"/>
        <family val="0"/>
        <charset val="1"/>
      </rPr>
      <t xml:space="preserve">based in Japan. #Photographer</t>
    </r>
    <r>
      <rPr>
        <sz val="8"/>
        <rFont val="Noto Sans CJK SC Regular"/>
        <family val="2"/>
      </rPr>
      <t xml:space="preserve">（主に音楽） </t>
    </r>
    <r>
      <rPr>
        <sz val="8"/>
        <rFont val="Droid Sans"/>
        <family val="0"/>
        <charset val="1"/>
      </rPr>
      <t xml:space="preserve">+Artist+VJ and more xxx. making candle art for #FujiRock. love music and travel xxx. cover photo (c)morissie at Shibuya.</t>
    </r>
  </si>
  <si>
    <t xml:space="preserve">THE INDIPENDENT - Japan election: Shinzo Abe's ruling coalition secures large majority, exit polls suggest https://t.co/acryBXRS01 #Pagina…</t>
  </si>
  <si>
    <t xml:space="preserve">matrix</t>
  </si>
  <si>
    <r>
      <rPr>
        <sz val="8"/>
        <rFont val="Droid Sans"/>
        <family val="0"/>
        <charset val="1"/>
      </rPr>
      <t xml:space="preserve">Japan / Japon http://t.co/LpSX0asz ex.editor ∞affection</t>
    </r>
    <r>
      <rPr>
        <sz val="8"/>
        <rFont val="Noto Sans CJK SC Regular"/>
        <family val="2"/>
      </rPr>
      <t xml:space="preserve">：</t>
    </r>
    <r>
      <rPr>
        <sz val="8"/>
        <rFont val="Droid Sans"/>
        <family val="0"/>
        <charset val="1"/>
      </rPr>
      <t xml:space="preserve">cinema art literature travel music ballet architecture design philosophy photograph mythology politics</t>
    </r>
  </si>
  <si>
    <t xml:space="preserve">Dr. Ghazi Ben Ahmed</t>
  </si>
  <si>
    <t xml:space="preserve">Tunisia</t>
  </si>
  <si>
    <t xml:space="preserve">Views expressed are my own. Retweeting does not mean Endorsement</t>
  </si>
  <si>
    <t xml:space="preserve">Blue In Greene</t>
  </si>
  <si>
    <t xml:space="preserve">Greene County, MO </t>
  </si>
  <si>
    <t xml:space="preserve">I think this is where I am supposed to tell you that RTs aren't necessarily endorsements. I am just sharing some of the amazing stuff out in the ether.</t>
  </si>
  <si>
    <t xml:space="preserve">🐸 dead frog</t>
  </si>
  <si>
    <t xml:space="preserve">RT @rapplerdotcom: Japanese Prime Minister Shinzo Abe swept to a comfortable victory in a snap election Sunday, October 22. https://t.co/tw…</t>
  </si>
  <si>
    <t xml:space="preserve">i can see all of pennsylvania</t>
  </si>
  <si>
    <t xml:space="preserve">deleteall</t>
  </si>
  <si>
    <t xml:space="preserve">Siam</t>
  </si>
  <si>
    <t xml:space="preserve">real nonthachai thongmee i'm mini..photographer.i drink coffee.gamer.sleeper.</t>
  </si>
  <si>
    <t xml:space="preserve">peter pobjecky</t>
  </si>
  <si>
    <t xml:space="preserve">Gillingham,UK</t>
  </si>
  <si>
    <t xml:space="preserve">Japan election: Shinzo Abe's ruling coalition secures large majority, exit polls suggest https://t.co/9eMFEmtifv #NewslyTweet</t>
  </si>
  <si>
    <t xml:space="preserve">Japan election: Shinzo Abe&amp;apos;s ruling coalition secures large majority, exit polls… https://t.co/gfkInE2J0E</t>
  </si>
  <si>
    <t xml:space="preserve">Japan election: Shinzo Abe's ruling coalition secures large majority, exit polls suggest https://t.co/PZsNHTjJW4… https://t.co/UwMn9ZtAG7</t>
  </si>
  <si>
    <t xml:space="preserve">Teme🇫🇮</t>
  </si>
  <si>
    <t xml:space="preserve">Finland</t>
  </si>
  <si>
    <t xml:space="preserve">It's hard to tell that the world we live in is either a reality or a dream.</t>
  </si>
  <si>
    <r>
      <rPr>
        <sz val="8"/>
        <rFont val="Noto Sans CJK SC Regular"/>
        <family val="2"/>
      </rPr>
      <t xml:space="preserve">ソラ</t>
    </r>
    <r>
      <rPr>
        <sz val="8"/>
        <rFont val="Droid Sans"/>
        <family val="0"/>
        <charset val="1"/>
      </rPr>
      <t xml:space="preserve">Q</t>
    </r>
  </si>
  <si>
    <r>
      <rPr>
        <sz val="8"/>
        <rFont val="Noto Sans CJK SC Regular"/>
        <family val="2"/>
      </rPr>
      <t xml:space="preserve">フ界 ついったらんど大学 </t>
    </r>
    <r>
      <rPr>
        <sz val="8"/>
        <rFont val="Droid Sans"/>
        <family val="0"/>
        <charset val="1"/>
      </rPr>
      <t xml:space="preserve">de JAPAN</t>
    </r>
  </si>
  <si>
    <r>
      <rPr>
        <sz val="8"/>
        <rFont val="Noto Sans CJK SC Regular"/>
        <family val="2"/>
      </rPr>
      <t xml:space="preserve">ハッコウ族 </t>
    </r>
    <r>
      <rPr>
        <sz val="8"/>
        <rFont val="Droid Sans"/>
        <family val="0"/>
        <charset val="1"/>
      </rPr>
      <t xml:space="preserve">/ </t>
    </r>
    <r>
      <rPr>
        <sz val="8"/>
        <rFont val="Noto Sans CJK SC Regular"/>
        <family val="2"/>
      </rPr>
      <t xml:space="preserve">原則Ⓥ</t>
    </r>
    <r>
      <rPr>
        <sz val="8"/>
        <rFont val="Droid Sans"/>
        <family val="0"/>
        <charset val="1"/>
      </rPr>
      <t xml:space="preserve">eganVegetarian(</t>
    </r>
    <r>
      <rPr>
        <sz val="8"/>
        <rFont val="Noto Sans CJK SC Regular"/>
        <family val="2"/>
      </rPr>
      <t xml:space="preserve">ブレサリ志向</t>
    </r>
    <r>
      <rPr>
        <sz val="8"/>
        <rFont val="Droid Sans"/>
        <family val="0"/>
        <charset val="1"/>
      </rPr>
      <t xml:space="preserve">) / FtX.Q? / </t>
    </r>
    <r>
      <rPr>
        <sz val="8"/>
        <rFont val="Noto Sans CJK SC Regular"/>
        <family val="2"/>
      </rPr>
      <t xml:space="preserve">公式</t>
    </r>
    <r>
      <rPr>
        <sz val="8"/>
        <rFont val="Droid Sans"/>
        <family val="0"/>
        <charset val="1"/>
      </rPr>
      <t xml:space="preserve">RT</t>
    </r>
    <r>
      <rPr>
        <sz val="8"/>
        <rFont val="Noto Sans CJK SC Regular"/>
        <family val="2"/>
      </rPr>
      <t xml:space="preserve">＝</t>
    </r>
    <r>
      <rPr>
        <sz val="8"/>
        <rFont val="Droid Sans"/>
        <family val="0"/>
        <charset val="1"/>
      </rPr>
      <t xml:space="preserve">How do you feel? ❤︎</t>
    </r>
    <r>
      <rPr>
        <sz val="8"/>
        <rFont val="Noto Sans CJK SC Regular"/>
        <family val="2"/>
      </rPr>
      <t xml:space="preserve">＝</t>
    </r>
    <r>
      <rPr>
        <sz val="8"/>
        <rFont val="Droid Sans"/>
        <family val="0"/>
        <charset val="1"/>
      </rPr>
      <t xml:space="preserve">Pending or Fab / </t>
    </r>
    <r>
      <rPr>
        <sz val="8"/>
        <rFont val="Noto Sans CJK SC Regular"/>
        <family val="2"/>
      </rPr>
      <t xml:space="preserve">気まぐれ</t>
    </r>
    <r>
      <rPr>
        <sz val="8"/>
        <rFont val="Droid Sans"/>
        <family val="0"/>
        <charset val="1"/>
      </rPr>
      <t xml:space="preserve">(uncertain) follow &amp; res / Change myself means Change the World.</t>
    </r>
  </si>
  <si>
    <t xml:space="preserve">Lydia Karga</t>
  </si>
  <si>
    <t xml:space="preserve">Θεσσαλονίκη, Ελλάς</t>
  </si>
  <si>
    <t xml:space="preserve">MA Strategic Studies &amp; International Politics/Gender, Peace &amp; Security in Afghanistan/NATO addict Poised</t>
  </si>
  <si>
    <t xml:space="preserve">@nimbosa❄➕🔥 #dApps</t>
  </si>
  <si>
    <t xml:space="preserve">twicca</t>
  </si>
  <si>
    <t xml:space="preserve">Vito Cruz, Manila, Filipinas</t>
  </si>
  <si>
    <t xml:space="preserve">Man of Letters #Kik/Snap:nimbosa #LiveProfile:LP1K5D8N #BBM:74449e20 #Freeman #Liberator #FreeSoftware #OpenContent #CreativeCommons #TrueBible PROUD Filipino</t>
  </si>
  <si>
    <t xml:space="preserve">A.Toumi عبد النّور</t>
  </si>
  <si>
    <t xml:space="preserve">Journalist@www.thearabdailynews.com Anglo-American Press Association of Paris Mbr. Focus: MENA, Migration Protection, Muslim &amp; Arab community</t>
  </si>
  <si>
    <t xml:space="preserve">IBTimes UK Business</t>
  </si>
  <si>
    <t xml:space="preserve">RT @The_Oilholic: Shinzo Abe's party heading for likely victory as #Japan votes in snap election https://t.co/Mg3C4cMz2T #JapanElections</t>
  </si>
  <si>
    <t xml:space="preserve">Latest finance and economy news and analysis from @IBTimesUK, the world's fastest-growing online news publication.</t>
  </si>
  <si>
    <t xml:space="preserve">Kenn Nombre</t>
  </si>
  <si>
    <t xml:space="preserve">Llanfair Pwllgwyngyll gogorich</t>
  </si>
  <si>
    <t xml:space="preserve">Vous pouvez regardez mon profile😁 #SavedbyJesusChrist</t>
  </si>
  <si>
    <t xml:space="preserve">BREAKING: NHK predicts #ShinzoAbe's LDP will win between 253 and 300 out of 465 seats in #JapanElection… https://t.co/eCW67thEma</t>
  </si>
  <si>
    <t xml:space="preserve">debra l. dooley</t>
  </si>
  <si>
    <t xml:space="preserve">Someone who respects, &amp; admires Secretary Clinton for all that she has accomplished. I Stand with Democrats &amp; Independents fighting to save our Democracy.</t>
  </si>
  <si>
    <t xml:space="preserve">Matthews Otalike</t>
  </si>
  <si>
    <t xml:space="preserve">Exit polls show snap election gambit pays off for Japan PM Shinzo Abe https://t.co/P3HSVFXHXp</t>
  </si>
  <si>
    <t xml:space="preserve">Nigeria</t>
  </si>
  <si>
    <t xml:space="preserve">Gary Weatherhead</t>
  </si>
  <si>
    <t xml:space="preserve">@Forbes Shinzo Abe’s ruling coalition expected to win decisively in Japan election: https://t.co/2PBmTbu4I3</t>
  </si>
  <si>
    <t xml:space="preserve">Yorkshire</t>
  </si>
  <si>
    <t xml:space="preserve">Politics/Geopolitics/Law</t>
  </si>
  <si>
    <t xml:space="preserve">Ben Brittain</t>
  </si>
  <si>
    <t xml:space="preserve">West Midlands / London</t>
  </si>
  <si>
    <t xml:space="preserve">|| Work in Public Policy || #MentalHealth Campaigner || #Conservative Party Activist || NonEx Director @GWWM || Postgrad Security and Conflict @iccs_bham</t>
  </si>
  <si>
    <t xml:space="preserve">Martina Galóová</t>
  </si>
  <si>
    <t xml:space="preserve">Praha česká republika </t>
  </si>
  <si>
    <t xml:space="preserve">záleží mi na mem okolí, chci dělat něco co bude vidět a pomůže aspoň jednomu člověku, zvířeti</t>
  </si>
  <si>
    <t xml:space="preserve">Japan election exit poll results are in https://t.co/P75etfLSWo</t>
  </si>
  <si>
    <t xml:space="preserve">Diani Barreto</t>
  </si>
  <si>
    <t xml:space="preserve">Japan election: Shinzo Abe's ruling coalition secures large majority, exit polls suggest https://t.co/FiMPnT5dBg</t>
  </si>
  <si>
    <t xml:space="preserve">Berlin, Germany</t>
  </si>
  <si>
    <t xml:space="preserve">Berlin Bureau @xposefacts | connecting people &amp; dots | Whistleblowers welcome! | #NSAUA tweep | Views mine</t>
  </si>
  <si>
    <t xml:space="preserve">GEORGE NJAGI</t>
  </si>
  <si>
    <t xml:space="preserve">Japan election exit poll results are in https://t.co/pm0ElkaV2o</t>
  </si>
  <si>
    <t xml:space="preserve">KENYA</t>
  </si>
  <si>
    <t xml:space="preserve">Yusuf Unjhawala 🇮🇳</t>
  </si>
  <si>
    <t xml:space="preserve">Indian National Interests. Editor, Indian Defence Forum https://t.co/N5XuuDUyDj Blogs at https://t.co/oHy4YvoFTZ</t>
  </si>
  <si>
    <t xml:space="preserve">Alan Parker</t>
  </si>
  <si>
    <t xml:space="preserve">London is my city. I'm a big fan of video games, big fan of Pokemon, Nintendo, Zelda, Minecraft, Animal Crossing. Very interested in history and current events.</t>
  </si>
  <si>
    <t xml:space="preserve">Japan election: Shinzo Abe's ruling coalition secures large majority, exit polls suggest https://t.co/PKX3ZA7qun #breakingnews #news</t>
  </si>
  <si>
    <t xml:space="preserve">MyAllies News</t>
  </si>
  <si>
    <t xml:space="preserve">Shinzo Abe's ruling coalition won a sweeping victory in Japan's parliamentary election, exit polls say https://t.co/Tr9fGUNwCz</t>
  </si>
  <si>
    <t xml:space="preserve">MyAllies Breaking News</t>
  </si>
  <si>
    <t xml:space="preserve">MyAllies delivers breaking news from across the globe and information on the latest breaking business and financial events. https://t.co/EMO1mExUVH</t>
  </si>
  <si>
    <t xml:space="preserve">Neetu Singh</t>
  </si>
  <si>
    <t xml:space="preserve">जो मेरे धर्म,संस्कृति और सम्मान की रक्षा करे वो है धर्मात्मा~ #गुरू जी श्री #narendramodi जी की मंगल कामना 🙏🙏 No follow back</t>
  </si>
  <si>
    <t xml:space="preserve">Zach Vega (TGP)</t>
  </si>
  <si>
    <t xml:space="preserve">Ann Arbor, MI</t>
  </si>
  <si>
    <t xml:space="preserve">Neoliberal centrist / I follow international politics when I get bored / Bolsonaro 2018 / Trump 2020 / XWZ / 18.10.17</t>
  </si>
  <si>
    <t xml:space="preserve">Shane</t>
  </si>
  <si>
    <t xml:space="preserve">London UK</t>
  </si>
  <si>
    <t xml:space="preserve">Self made millionaire with a quick wit and a penchant for small white lies and #hardtail #mtb</t>
  </si>
  <si>
    <t xml:space="preserve">Jericho Rayel Timbol</t>
  </si>
  <si>
    <t xml:space="preserve">Liverpool, England</t>
  </si>
  <si>
    <t xml:space="preserve">Hirap na hirap na akong mag-aral kahit ginagalingan ko naman. Sasuke Apologist. I love JESUS CHRIST (IG: @jerichorayel)</t>
  </si>
  <si>
    <t xml:space="preserve">Jun@SG</t>
  </si>
  <si>
    <t xml:space="preserve">RT @STcom: BREAKING: NHK predicts #ShinzoAbe's LDP will win between 253 and 300 out of 465 seats in #JapanElection https://t.co/TxOtr2FZdK…</t>
  </si>
  <si>
    <r>
      <rPr>
        <sz val="8"/>
        <rFont val="Noto Sans CJK SC Regular"/>
        <family val="2"/>
      </rPr>
      <t xml:space="preserve">シンガポールに生きる</t>
    </r>
    <r>
      <rPr>
        <sz val="8"/>
        <rFont val="Droid Sans"/>
        <family val="0"/>
        <charset val="1"/>
      </rPr>
      <t xml:space="preserve">24</t>
    </r>
    <r>
      <rPr>
        <sz val="8"/>
        <rFont val="Noto Sans CJK SC Regular"/>
        <family val="2"/>
      </rPr>
      <t xml:space="preserve">歳。日本人</t>
    </r>
  </si>
  <si>
    <t xml:space="preserve">YingRu Wang</t>
  </si>
  <si>
    <t xml:space="preserve">Vincent Naval</t>
  </si>
  <si>
    <t xml:space="preserve">Law Student. DLSU. I like coffee. Instagram: vincenaval https://t.co/2Dd93KJoUn https://t.co/10vryFzNon</t>
  </si>
  <si>
    <t xml:space="preserve">Shinzo Abe's party heading for likely victory as #Japan votes in snap election https://t.co/0ch8z7bPd8</t>
  </si>
  <si>
    <t xml:space="preserve">Sniper</t>
  </si>
  <si>
    <t xml:space="preserve">Omnipresent</t>
  </si>
  <si>
    <t xml:space="preserve">Not an expert. Faujion ka fan. Khud toh nahi hu. :D Otherwise, just time pass on Twitter. Have a beautiful life beyond that.</t>
  </si>
  <si>
    <t xml:space="preserve">r</t>
  </si>
  <si>
    <t xml:space="preserve">MLU</t>
  </si>
  <si>
    <t xml:space="preserve">Ugly | FOOL | Ailurophile lover | Hindi ka niya gusto. Tanga.</t>
  </si>
  <si>
    <t xml:space="preserve">dwnews</t>
  </si>
  <si>
    <t xml:space="preserve">Japan's Shinzo Abe wins resounding election victory https://t.co/F62KGbjm5e https://t.co/vkPBXA4sC6</t>
  </si>
  <si>
    <t xml:space="preserve">Bonn, Germany</t>
  </si>
  <si>
    <t xml:space="preserve">Your go-to account for everything DW. Tweeting our news feed + updates from editors and social media curators. http://t.co/Auk9kHTK3T #Germany</t>
  </si>
  <si>
    <t xml:space="preserve">Vibhor Kedia</t>
  </si>
  <si>
    <t xml:space="preserve">Pune, India</t>
  </si>
  <si>
    <t xml:space="preserve">Political Analyst,Programming Noobie,In awe of Roger Federer's exceptionalism! !And finally India's aspirations!!!</t>
  </si>
  <si>
    <t xml:space="preserve">Frank</t>
  </si>
  <si>
    <t xml:space="preserve">RT @NewsThisSecond: Exit polls in Japan's election suggest Prime Minister Shinzo Abe's ruling coalition will win a large parliamentary majo…</t>
  </si>
  <si>
    <t xml:space="preserve">Melbourne, Australia</t>
  </si>
  <si>
    <t xml:space="preserve">Retail food strategist. Love Burgundy, Beaujolais, Chablis and Piedmont. Politically right of centre and left of right. Believe intolerance begets intolerance.</t>
  </si>
  <si>
    <t xml:space="preserve">Joel Labi</t>
  </si>
  <si>
    <t xml:space="preserve">#Japan Prime Minister Shinzo Abe wins election in landslide. Exit polls have coalition potentially securing ‘super-majority’ #JapanElection</t>
  </si>
  <si>
    <t xml:space="preserve">Anchor/Reporter - Thomson Reuters Media Consultant - Redfield https://t.co/ziJhAZibpQ</t>
  </si>
  <si>
    <t xml:space="preserve">Pierrot Le Fou</t>
  </si>
  <si>
    <t xml:space="preserve">RT @dwnews: Japan's Shinzo Abe wins resounding election victory https://t.co/F62KGbjm5e https://t.co/vkPBXA4sC6</t>
  </si>
  <si>
    <t xml:space="preserve">iWrite. #HeForShe #Feminist for #Equality. Retweets are definite endorsements.</t>
  </si>
  <si>
    <t xml:space="preserve">Cry Partisan</t>
  </si>
  <si>
    <t xml:space="preserve">Dual National US/Brit, Political Commentator &amp; Social Media Specialist. Website is live but not even close to the finished article. DOMAIN PENDING</t>
  </si>
  <si>
    <t xml:space="preserve">Balram</t>
  </si>
  <si>
    <t xml:space="preserve">Patiala</t>
  </si>
  <si>
    <t xml:space="preserve">I AM A HANDICAP BOY.I NEED FROM indian government HELP.!</t>
  </si>
  <si>
    <t xml:space="preserve">Sheron Wilkie</t>
  </si>
  <si>
    <t xml:space="preserve">#snowflake #proEU #stillshepersisted #BrexitSaboteur# tweets &amp; RT's not indication of my support / my opinion etc</t>
  </si>
  <si>
    <t xml:space="preserve">MariaConcetta Mattei</t>
  </si>
  <si>
    <t xml:space="preserve">RT @giu17raffa: #Japan: exit polls suggest a landslide general #election victory for #ShinzoAbe's coalition https://t.co/rTqQbLauq2 via @Eu…</t>
  </si>
  <si>
    <t xml:space="preserve">Giornalista Rai, conduttrice e curatrice del programma di approfondimento settimanale Tg2 Storie, in onda ogni sabato notte.</t>
  </si>
  <si>
    <t xml:space="preserve">rishabh arya</t>
  </si>
  <si>
    <t xml:space="preserve">▷ f i o r e  * .</t>
  </si>
  <si>
    <t xml:space="preserve">Via @euronews: Japan: exit polls suggest a landslide general election victory for Shinzo Abe’s coalition https://t.co/DRgNbAFoqz</t>
  </si>
  <si>
    <t xml:space="preserve">English OK / I want to lend a hand to victims who suffered from earthquake.</t>
  </si>
  <si>
    <r>
      <rPr>
        <sz val="8"/>
        <rFont val="Noto Sans CJK SC Regular"/>
        <family val="2"/>
      </rPr>
      <t xml:space="preserve">災害看護を勉強中の、微積が趣味の理系です。地震恐怖症を治して、被災地に行きたい。国粋主義者お断り。下の記事は私の人生観と死生観を変えたものです。</t>
    </r>
    <r>
      <rPr>
        <sz val="8"/>
        <rFont val="Droid Sans"/>
        <family val="0"/>
        <charset val="1"/>
      </rPr>
      <t xml:space="preserve">Io studio l'italiano perché voglio aiutare l'area disastro.</t>
    </r>
  </si>
  <si>
    <t xml:space="preserve">What Shinzo Abe’s election win will mean for China-Japan relations https://t.co/gHkPqhBZCC</t>
  </si>
  <si>
    <t xml:space="preserve">Silo Bot</t>
  </si>
  <si>
    <t xml:space="preserve">RW: Shinzo Abe's ruling coalition won a sweeping victory in Japan's parliamentary election, exit polls say</t>
  </si>
  <si>
    <t xml:space="preserve">I explore internet echo chambers - do left and right meet online?</t>
  </si>
  <si>
    <t xml:space="preserve">Natsuko Fukuda</t>
  </si>
  <si>
    <t xml:space="preserve">Japanese voters may not love Abe, but they appear to want to stick with what they know' https://t.co/IuTejS7KY5</t>
  </si>
  <si>
    <t xml:space="preserve">near Tokyo</t>
  </si>
  <si>
    <t xml:space="preserve">Three things I would bring: MAP (music, art, philosophy).</t>
  </si>
  <si>
    <t xml:space="preserve">liberale Mitte</t>
  </si>
  <si>
    <t xml:space="preserve">Wäre lieber woanders</t>
  </si>
  <si>
    <t xml:space="preserve">l'appel du vide. Nicht nicht links nicht rechts. Selberdenker abschieben. Refugees welcome - bring your families. //Binary er cis</t>
  </si>
  <si>
    <t xml:space="preserve">Roberto Nochebuena</t>
  </si>
  <si>
    <t xml:space="preserve">Japan PM Abe's ruling bloc on track for big win in election: TV exit polls TOKYO (Reuters) - Japanese Prime Minister Shinzo Abe's ruling...</t>
  </si>
  <si>
    <t xml:space="preserve">Stringifyit</t>
  </si>
  <si>
    <t xml:space="preserve">Working for the Automotive Industry. Fan: 👨‍👩‍👦‍👦,📸, 🎷, ⚽️ , 🎶 ,🍺 ,🏋🏻,y 💻! . I❤️ 🇲🇽 🇩🇪 !</t>
  </si>
  <si>
    <t xml:space="preserve">James Doorley</t>
  </si>
  <si>
    <t xml:space="preserve">Meath/Tipperary</t>
  </si>
  <si>
    <t xml:space="preserve">One of the Doorleys of Uskane. Law/Soc Science grad, National and International Politics, Social Justice Consumer Rights Tipperary hurling fan, bit of gardening</t>
  </si>
  <si>
    <t xml:space="preserve">Japan’s voters poised to give Shinzo Abe fresh mandate. @IsabelRTokyo https://t.co/GtSEb5FfIm https://t.co/W5WFhkaew0</t>
  </si>
  <si>
    <t xml:space="preserve">Chris Barrett</t>
  </si>
  <si>
    <t xml:space="preserve">Leipzig, Germany</t>
  </si>
  <si>
    <t xml:space="preserve">Irish 🇮🇪 emigrant | Galway boy | Historian | Politics lover | Office monkey | Sugar fiend | Serial RTer</t>
  </si>
  <si>
    <t xml:space="preserve">Cliff Topham</t>
  </si>
  <si>
    <t xml:space="preserve">Aviation Exec, 2010 US Citizen, born, bred England. Luv USA &amp; all it stands for. Love my wife, family &amp; pets. Comments with English wit, sometimes. #Trump2016</t>
  </si>
  <si>
    <t xml:space="preserve">藏可</t>
  </si>
  <si>
    <t xml:space="preserve">RT @SCMP_News: What Shinzo Abe’s election win will mean for China-Japan relations https://t.co/gHkPqhBZCC</t>
  </si>
  <si>
    <t xml:space="preserve">走</t>
  </si>
  <si>
    <t xml:space="preserve">Hilton Holloway</t>
  </si>
  <si>
    <t xml:space="preserve">Automotive writer since 1993. Won a few awards. Founder/editor of @5054magazine</t>
  </si>
  <si>
    <t xml:space="preserve">sudarshan🇮🇳 सुदरशन</t>
  </si>
  <si>
    <t xml:space="preserve">Chennai, India</t>
  </si>
  <si>
    <t xml:space="preserve">weatherlover proud Hindu proud indian in a proud hindu nation allergic to commies anti nationals etc</t>
  </si>
  <si>
    <t xml:space="preserve">GothamGal</t>
  </si>
  <si>
    <t xml:space="preserve">Bundle of contradictions.</t>
  </si>
  <si>
    <t xml:space="preserve">tomoryoshka</t>
  </si>
  <si>
    <r>
      <rPr>
        <sz val="8"/>
        <rFont val="Droid Sans"/>
        <family val="0"/>
        <charset val="1"/>
      </rPr>
      <t xml:space="preserve">My life is like a confused closet... </t>
    </r>
    <r>
      <rPr>
        <sz val="8"/>
        <rFont val="Noto Sans CJK SC Regular"/>
        <family val="2"/>
      </rPr>
      <t xml:space="preserve">餃子と日本酒とウオツカ大好物。旅好き。街好き。</t>
    </r>
  </si>
  <si>
    <t xml:space="preserve">Ravi Vaswani</t>
  </si>
  <si>
    <t xml:space="preserve">India-MyNationMyLove</t>
  </si>
  <si>
    <t xml:space="preserve">Chris Simpson</t>
  </si>
  <si>
    <t xml:space="preserve">North East, England</t>
  </si>
  <si>
    <t xml:space="preserve">SAFC Season ticket holder. Sunderland hasta la médula! 🔴⚪🔴⚪ 19</t>
  </si>
  <si>
    <t xml:space="preserve">justin mccurry</t>
  </si>
  <si>
    <t xml:space="preserve">Shinzo Abe secures strong mandate in Japan's general election https://t.co/1EXNaVJI4x</t>
  </si>
  <si>
    <t xml:space="preserve">Japan &amp; Korea correspondent for the Guardian &amp; Observer; the Lancet, France 24 TV. Foreign Press in Japan rep. Wolves &amp; England cricket fan.</t>
  </si>
  <si>
    <t xml:space="preserve">Moto Chagatai 🇵🇭</t>
  </si>
  <si>
    <t xml:space="preserve">Cainta, Rizal, Philippines</t>
  </si>
  <si>
    <r>
      <rPr>
        <sz val="8"/>
        <rFont val="Droid Sans"/>
        <family val="0"/>
        <charset val="1"/>
      </rPr>
      <t xml:space="preserve">🇵🇭/♂/#</t>
    </r>
    <r>
      <rPr>
        <sz val="8"/>
        <rFont val="Noto Sans CJK SC Regular"/>
        <family val="2"/>
      </rPr>
      <t xml:space="preserve">スフィア 箱推し</t>
    </r>
    <r>
      <rPr>
        <sz val="8"/>
        <rFont val="Droid Sans"/>
        <family val="0"/>
        <charset val="1"/>
      </rPr>
      <t xml:space="preserve">/#</t>
    </r>
    <r>
      <rPr>
        <sz val="8"/>
        <rFont val="Noto Sans CJK SC Regular"/>
        <family val="2"/>
      </rPr>
      <t xml:space="preserve">寿美菜子 単推し</t>
    </r>
    <r>
      <rPr>
        <sz val="8"/>
        <rFont val="Droid Sans"/>
        <family val="0"/>
        <charset val="1"/>
      </rPr>
      <t xml:space="preserve">/#l5r/#mtg </t>
    </r>
    <r>
      <rPr>
        <sz val="8"/>
        <rFont val="Noto Sans CJK SC Regular"/>
        <family val="2"/>
      </rPr>
      <t xml:space="preserve">自己紹介</t>
    </r>
    <r>
      <rPr>
        <sz val="8"/>
        <rFont val="Droid Sans"/>
        <family val="0"/>
        <charset val="1"/>
      </rPr>
      <t xml:space="preserve">: https://t.co/COn2RG9ruK</t>
    </r>
  </si>
  <si>
    <t xml:space="preserve">RT @deCespedes: Japan election: Shinzo Abe's ruling coalition secures large majority, exit polls suggest https://t.co/FiMPnT5dBg</t>
  </si>
  <si>
    <t xml:space="preserve">Channel NewsAsia</t>
  </si>
  <si>
    <t xml:space="preserve">#JapanElection: Exit polls show Japanese PM Shinzo Abe's ruling coalition set for a big win in Sunday's elections… https://t.co/ixHQWwzqPx</t>
  </si>
  <si>
    <t xml:space="preserve">The official space of Channel NewsAsia - the source of breaking news from Asia and the world. We want to hear from you. Comments and news tips are welcome.</t>
  </si>
  <si>
    <t xml:space="preserve">bee hive</t>
  </si>
  <si>
    <t xml:space="preserve">london uk</t>
  </si>
  <si>
    <t xml:space="preserve">single older female but not dead yet</t>
  </si>
  <si>
    <t xml:space="preserve">Marinos Kostantinos</t>
  </si>
  <si>
    <t xml:space="preserve">Egaleo,Attiki,Greece</t>
  </si>
  <si>
    <t xml:space="preserve">Trying to be reasonable and ideologist, tweeting about politics and more, devoted to @pao_bc and @fcpao</t>
  </si>
  <si>
    <t xml:space="preserve">Putu Nanda Sathya</t>
  </si>
  <si>
    <t xml:space="preserve">USR Indonesia</t>
  </si>
  <si>
    <r>
      <rPr>
        <sz val="8"/>
        <rFont val="Droid Sans"/>
        <family val="0"/>
        <charset val="1"/>
      </rPr>
      <t xml:space="preserve">Talk About Now and Lusa. Animator + Graphic Designer. Twit pribadi diakhiri dengan tanda titik.</t>
    </r>
    <r>
      <rPr>
        <sz val="8"/>
        <rFont val="Noto Sans CJK SC Regular"/>
        <family val="2"/>
      </rPr>
      <t xml:space="preserve">ㅤ</t>
    </r>
  </si>
  <si>
    <t xml:space="preserve">Shinzo Abe secures strong mandate in Japan's general election https://t.co/EjQU7ekGhO</t>
  </si>
  <si>
    <t xml:space="preserve">Ian Mackinnon Nilo</t>
  </si>
  <si>
    <t xml:space="preserve">RT @guardianworld: Shinzo Abe secures strong mandate in Japan's general election https://t.co/EjQU7ekGhO</t>
  </si>
  <si>
    <t xml:space="preserve">Santiago, Chile</t>
  </si>
  <si>
    <t xml:space="preserve">@icp_uc &amp; @uclspp alumni. Firme junto a la UC. RT ≠ endorsement.</t>
  </si>
  <si>
    <t xml:space="preserve">ota shoko</t>
  </si>
  <si>
    <t xml:space="preserve">No War No Nukes</t>
  </si>
  <si>
    <t xml:space="preserve">Amol Tikam</t>
  </si>
  <si>
    <t xml:space="preserve">Alistair MacFadyen</t>
  </si>
  <si>
    <t xml:space="preserve">South East, England</t>
  </si>
  <si>
    <t xml:space="preserve">Consultant</t>
  </si>
  <si>
    <t xml:space="preserve">Vishal</t>
  </si>
  <si>
    <t xml:space="preserve">Nationalist, Modi BHAKT.</t>
  </si>
  <si>
    <t xml:space="preserve">RT @ChannelNewsAsia: #JapanElection: Exit polls show Japanese PM Shinzo Abe's ruling coalition set for a big win in Sunday's elections http…</t>
  </si>
  <si>
    <t xml:space="preserve">Matt Lake</t>
  </si>
  <si>
    <t xml:space="preserve">Walthamstow &amp; Worcestershire</t>
  </si>
  <si>
    <t xml:space="preserve">Professional School Governor Clerk; long suffering follower of @LFC, @WorcsCCC &amp; Welsh national sporting teams in round &amp; oval ball games</t>
  </si>
  <si>
    <t xml:space="preserve">Arnoldgalagaran</t>
  </si>
  <si>
    <t xml:space="preserve">Makati City, National Capital Region</t>
  </si>
  <si>
    <t xml:space="preserve">The Guardian</t>
  </si>
  <si>
    <t xml:space="preserve">Shinzo Abe secures strong mandate in Japan's general election https://t.co/qQVjoNZCuR</t>
  </si>
  <si>
    <t xml:space="preserve">The need for independent journalism has never been greater. Become a Guardian supporter: https://t.co/EWg9aqA7PQ</t>
  </si>
  <si>
    <t xml:space="preserve">Michael Ashley</t>
  </si>
  <si>
    <t xml:space="preserve">Sunderland,UK</t>
  </si>
  <si>
    <t xml:space="preserve">Kunni GH</t>
  </si>
  <si>
    <t xml:space="preserve">Shinzo Abe secures strong mandate in Japan's general election https://t.co/9pZhtgpk1L guardianvia</t>
  </si>
  <si>
    <t xml:space="preserve">music, art, physical fitness, working out, reading, learning, and eating healthy</t>
  </si>
  <si>
    <t xml:space="preserve">Takahara</t>
  </si>
  <si>
    <t xml:space="preserve">RT @guardian: Shinzo Abe secures strong mandate in Japan's general election https://t.co/qQVjoNZCuR</t>
  </si>
  <si>
    <t xml:space="preserve">Chiba Japan</t>
  </si>
  <si>
    <r>
      <rPr>
        <sz val="8"/>
        <rFont val="Droid Sans"/>
        <family val="0"/>
        <charset val="1"/>
      </rPr>
      <t xml:space="preserve">learnenglish / TOEIC / music &amp; snoozer / TVdrama / book / anime &amp; game / animal crossing </t>
    </r>
    <r>
      <rPr>
        <sz val="8"/>
        <rFont val="Noto Sans CJK SC Regular"/>
        <family val="2"/>
      </rPr>
      <t xml:space="preserve">どうぶつの森 </t>
    </r>
    <r>
      <rPr>
        <sz val="8"/>
        <rFont val="Droid Sans"/>
        <family val="0"/>
        <charset val="1"/>
      </rPr>
      <t xml:space="preserve">/</t>
    </r>
  </si>
  <si>
    <t xml:space="preserve">arif lodhi</t>
  </si>
  <si>
    <t xml:space="preserve">Author 'MONARCHY' several research papers on literature, international sociology, etymology, philology,morphology(Literature) RT are not endorsements</t>
  </si>
  <si>
    <t xml:space="preserve">Japan Shinzo Abe secures strong mandate in general election https://t.co/SBgGyYoPTs</t>
  </si>
  <si>
    <t xml:space="preserve">Jack</t>
  </si>
  <si>
    <t xml:space="preserve">BREAKING NEWS: Exit poll suggests Shinzo #Abe and #LDP will win landslide majority in latest general election in #Japan.</t>
  </si>
  <si>
    <t xml:space="preserve">Committed to a socially Liberal and economically Neoliberal Britannia! Male/16</t>
  </si>
  <si>
    <t xml:space="preserve">Abiola Lumen</t>
  </si>
  <si>
    <t xml:space="preserve">Abuja, Nigeria</t>
  </si>
  <si>
    <t xml:space="preserve">Shinzo Abe secures strong mandate in Japan's general election https://t.co/u8NX0IZjsS</t>
  </si>
  <si>
    <t xml:space="preserve">ImpeachTrumpMarch</t>
  </si>
  <si>
    <t xml:space="preserve">New Orleans</t>
  </si>
  <si>
    <t xml:space="preserve">Keep #democracy safe Saturday November 4 is *global #ImpeachTrumpMarch</t>
  </si>
  <si>
    <t xml:space="preserve">Torsten Gustafsson</t>
  </si>
  <si>
    <t xml:space="preserve">Stockholm, Sverige</t>
  </si>
  <si>
    <t xml:space="preserve">Banker who loves Liverpool FC, BrewDog Equity For Punks, Rolfs Kök, Craftbeer, The Burgundy, Ballast Point, City Hall Stockholm,KOP, Tiger of Sweden, OMXSPI.</t>
  </si>
  <si>
    <t xml:space="preserve">Shinzo Abe secures strong mandate in Japan's general election https://t.co/L3ywGr8Li5</t>
  </si>
  <si>
    <t xml:space="preserve">angie e. vanhorn</t>
  </si>
  <si>
    <t xml:space="preserve">Amateur golfer, loves dogs—st. Francis and billy, loves nature, and very indigenous. Spoken languages English, Chuukese, Japanese and little French.</t>
  </si>
  <si>
    <r>
      <rPr>
        <sz val="8"/>
        <rFont val="Noto Sans CJK SC Regular"/>
        <family val="2"/>
      </rPr>
      <t xml:space="preserve">すばる</t>
    </r>
    <r>
      <rPr>
        <sz val="8"/>
        <rFont val="Droid Sans"/>
        <family val="0"/>
        <charset val="1"/>
      </rPr>
      <t xml:space="preserve">MSJ22</t>
    </r>
  </si>
  <si>
    <t xml:space="preserve">すばる星</t>
  </si>
  <si>
    <r>
      <rPr>
        <sz val="8"/>
        <rFont val="Noto Sans CJK SC Regular"/>
        <family val="2"/>
      </rPr>
      <t xml:space="preserve">音楽 アニメ 好きかな。イジメがだいっきらい。</t>
    </r>
    <r>
      <rPr>
        <sz val="8"/>
        <rFont val="Droid Sans"/>
        <family val="0"/>
        <charset val="1"/>
      </rPr>
      <t xml:space="preserve">(</t>
    </r>
    <r>
      <rPr>
        <sz val="8"/>
        <rFont val="Noto Sans CJK SC Regular"/>
        <family val="2"/>
      </rPr>
      <t xml:space="preserve">オールジャンル</t>
    </r>
    <r>
      <rPr>
        <sz val="8"/>
        <rFont val="Droid Sans"/>
        <family val="0"/>
        <charset val="1"/>
      </rPr>
      <t xml:space="preserve">)</t>
    </r>
  </si>
  <si>
    <t xml:space="preserve">Michelle Mares</t>
  </si>
  <si>
    <t xml:space="preserve">Los Lunas</t>
  </si>
  <si>
    <t xml:space="preserve">うちこが宏 公式アカウント</t>
  </si>
  <si>
    <t xml:space="preserve">東京 小金井市</t>
  </si>
  <si>
    <r>
      <rPr>
        <sz val="8"/>
        <rFont val="Noto Sans CJK SC Regular"/>
        <family val="2"/>
      </rPr>
      <t xml:space="preserve">日本と世界の未来のために何が出来るか。起業して</t>
    </r>
    <r>
      <rPr>
        <sz val="8"/>
        <rFont val="Droid Sans"/>
        <family val="0"/>
        <charset val="1"/>
      </rPr>
      <t xml:space="preserve">17</t>
    </r>
    <r>
      <rPr>
        <sz val="8"/>
        <rFont val="Noto Sans CJK SC Regular"/>
        <family val="2"/>
      </rPr>
      <t xml:space="preserve">年。 趣味：銭湯巡り</t>
    </r>
  </si>
  <si>
    <t xml:space="preserve">CTV News</t>
  </si>
  <si>
    <t xml:space="preserve">Exit polls suggest victory for Shinzo Abe in Japan https://t.co/nnTUl5w2ii</t>
  </si>
  <si>
    <t xml:space="preserve">SocialNewsDesk</t>
  </si>
  <si>
    <t xml:space="preserve">Tweeting breaking news from CTVNews.ca in the CTV National newsroom. RTs do not constitute endorsement of views.</t>
  </si>
  <si>
    <t xml:space="preserve">AFP news agency</t>
  </si>
  <si>
    <t xml:space="preserve">@AFPTokyo #UPDATE PM Shinzo Abe sweeps to big win in Japan snap election: projection https://t.co/FjXTq5buqP #JapanElection</t>
  </si>
  <si>
    <t xml:space="preserve">Top news and features from AFP's reporters around the world. Elsewhere on Twitter: https://t.co/4pIm8k2HLC</t>
  </si>
  <si>
    <t xml:space="preserve">Chipo Dendere, PhD</t>
  </si>
  <si>
    <t xml:space="preserve">I think, write, research on African politics, migration, remittances and voting behavior @linfieldcollege &amp; @georgiastate alumna</t>
  </si>
  <si>
    <t xml:space="preserve">Silver_1234</t>
  </si>
  <si>
    <t xml:space="preserve">RT @AFP: @AFPTokyo #UPDATE PM Shinzo Abe sweeps to big win in Japan snap election: projection https://t.co/FjXTq5buqP #JapanElection</t>
  </si>
  <si>
    <r>
      <rPr>
        <sz val="8"/>
        <rFont val="Droid Sans"/>
        <family val="0"/>
        <charset val="1"/>
      </rPr>
      <t xml:space="preserve">$db #jgb #kabu #boj #fed #oott #kuroda $Vix #wti #isda #rmb #northkorea /G\ $NTDOY $AAPL #REIT #libor #pboc #</t>
    </r>
    <r>
      <rPr>
        <sz val="8"/>
        <rFont val="Noto Sans CJK SC Regular"/>
        <family val="2"/>
      </rPr>
      <t xml:space="preserve">円の支配者 </t>
    </r>
    <r>
      <rPr>
        <sz val="8"/>
        <rFont val="Droid Sans"/>
        <family val="0"/>
        <charset val="1"/>
      </rPr>
      <t xml:space="preserve">#</t>
    </r>
    <r>
      <rPr>
        <sz val="8"/>
        <rFont val="Noto Sans CJK SC Regular"/>
        <family val="2"/>
      </rPr>
      <t xml:space="preserve">鎌倉 </t>
    </r>
    <r>
      <rPr>
        <sz val="8"/>
        <rFont val="Droid Sans"/>
        <family val="0"/>
        <charset val="1"/>
      </rPr>
      <t xml:space="preserve">#flashcrash #สรรเสริญพระบารมี $JNK 🍣 #</t>
    </r>
    <r>
      <rPr>
        <sz val="8"/>
        <rFont val="Noto Sans CJK SC Regular"/>
        <family val="2"/>
      </rPr>
      <t xml:space="preserve">寿司</t>
    </r>
  </si>
  <si>
    <t xml:space="preserve">dradog.</t>
  </si>
  <si>
    <t xml:space="preserve">Thaïlande</t>
  </si>
  <si>
    <r>
      <rPr>
        <sz val="8"/>
        <rFont val="Droid Sans"/>
        <family val="0"/>
        <charset val="1"/>
      </rPr>
      <t xml:space="preserve">calamidade | paz | serenidade 🌊 [</t>
    </r>
    <r>
      <rPr>
        <sz val="8"/>
        <rFont val="Noto Sans CJK SC Regular"/>
        <family val="2"/>
      </rPr>
      <t xml:space="preserve">一國兩制</t>
    </r>
    <r>
      <rPr>
        <sz val="8"/>
        <rFont val="Droid Sans"/>
        <family val="0"/>
        <charset val="1"/>
      </rPr>
      <t xml:space="preserve">]</t>
    </r>
  </si>
  <si>
    <t xml:space="preserve">....and the winner goes: Shinzo Abe secures strong mandate in Japan's general election https://t.co/FeaS2iNYby (the loser is we the people)</t>
  </si>
  <si>
    <t xml:space="preserve">Y_Mukai</t>
  </si>
  <si>
    <t xml:space="preserve">日本 関東地方</t>
  </si>
  <si>
    <r>
      <rPr>
        <sz val="8"/>
        <rFont val="Droid Sans"/>
        <family val="0"/>
        <charset val="1"/>
      </rPr>
      <t xml:space="preserve">Hello!My name is Y_Mukai</t>
    </r>
    <r>
      <rPr>
        <sz val="8"/>
        <rFont val="Noto Sans CJK SC Regular"/>
        <family val="2"/>
      </rPr>
      <t xml:space="preserve">。</t>
    </r>
    <r>
      <rPr>
        <sz val="8"/>
        <rFont val="Droid Sans"/>
        <family val="0"/>
        <charset val="1"/>
      </rPr>
      <t xml:space="preserve">I'm a Japanese</t>
    </r>
    <r>
      <rPr>
        <sz val="8"/>
        <rFont val="Noto Sans CJK SC Regular"/>
        <family val="2"/>
      </rPr>
      <t xml:space="preserve">。</t>
    </r>
    <r>
      <rPr>
        <sz val="8"/>
        <rFont val="Droid Sans"/>
        <family val="0"/>
        <charset val="1"/>
      </rPr>
      <t xml:space="preserve">Welcome to my page♪I want have many friends all of the world.I am sending infomation of Japan on Twitter.</t>
    </r>
  </si>
  <si>
    <t xml:space="preserve">Drew Heffernan</t>
  </si>
  <si>
    <t xml:space="preserve">London </t>
  </si>
  <si>
    <t xml:space="preserve">SEN worker. Lib Dem PPC for Old Bexley and Sidcup. Environment and voting reform campaigner. Interested in Liberalism, Science, Education. FRSA. Views own</t>
  </si>
  <si>
    <t xml:space="preserve">Daniel Lisk</t>
  </si>
  <si>
    <t xml:space="preserve">RT @CTVNews: Exit polls suggest victory for Shinzo Abe in Japan https://t.co/nnTUl5w2ii</t>
  </si>
  <si>
    <t xml:space="preserve">Ontario, Canada</t>
  </si>
  <si>
    <t xml:space="preserve">Born in Wiarton Ontario. Conservative,Hunter and fisherman.Veteran,2 tours in Afghanistan,Bearded,drinks wine and loves kittens</t>
  </si>
  <si>
    <t xml:space="preserve">Shinzo Abe secures strong mandate in Japan's general election https://t.co/xTsS7RzNHk</t>
  </si>
  <si>
    <t xml:space="preserve">Asia-News-De</t>
  </si>
  <si>
    <t xml:space="preserve">The latest news from South-East Asia, with a special focus on Thailand</t>
  </si>
  <si>
    <t xml:space="preserve">Harry Dick</t>
  </si>
  <si>
    <t xml:space="preserve">Derbyshire</t>
  </si>
  <si>
    <t xml:space="preserve">Proud husband, father and cop. Regional Modern Slavery and Human Trafficking Coordinator for East Midlands Region (UK). Eclectic interests. Views my own.</t>
  </si>
  <si>
    <t xml:space="preserve">う つ ん</t>
  </si>
  <si>
    <r>
      <rPr>
        <sz val="8"/>
        <rFont val="Noto Sans CJK SC Regular"/>
        <family val="2"/>
      </rPr>
      <t xml:space="preserve">メーカーのマーケター兼事業企画</t>
    </r>
    <r>
      <rPr>
        <sz val="8"/>
        <rFont val="Droid Sans"/>
        <family val="0"/>
        <charset val="1"/>
      </rPr>
      <t xml:space="preserve">/</t>
    </r>
    <r>
      <rPr>
        <sz val="8"/>
        <rFont val="Noto Sans CJK SC Regular"/>
        <family val="2"/>
      </rPr>
      <t xml:space="preserve">元海外駐在</t>
    </r>
    <r>
      <rPr>
        <sz val="8"/>
        <rFont val="Droid Sans"/>
        <family val="0"/>
        <charset val="1"/>
      </rPr>
      <t xml:space="preserve">/</t>
    </r>
    <r>
      <rPr>
        <sz val="8"/>
        <rFont val="Noto Sans CJK SC Regular"/>
        <family val="2"/>
      </rPr>
      <t xml:space="preserve">英語</t>
    </r>
    <r>
      <rPr>
        <sz val="8"/>
        <rFont val="Droid Sans"/>
        <family val="0"/>
        <charset val="1"/>
      </rPr>
      <t xml:space="preserve">/entrepreneurship/</t>
    </r>
    <r>
      <rPr>
        <sz val="8"/>
        <rFont val="Noto Sans CJK SC Regular"/>
        <family val="2"/>
      </rPr>
      <t xml:space="preserve">ものづくりエンジニア</t>
    </r>
    <r>
      <rPr>
        <sz val="8"/>
        <rFont val="Droid Sans"/>
        <family val="0"/>
        <charset val="1"/>
      </rPr>
      <t xml:space="preserve">/J-indiepop, </t>
    </r>
    <r>
      <rPr>
        <sz val="8"/>
        <rFont val="Noto Sans CJK SC Regular"/>
        <family val="2"/>
      </rPr>
      <t xml:space="preserve">渡辺等</t>
    </r>
    <r>
      <rPr>
        <sz val="8"/>
        <rFont val="Droid Sans"/>
        <family val="0"/>
        <charset val="1"/>
      </rPr>
      <t xml:space="preserve">, </t>
    </r>
    <r>
      <rPr>
        <sz val="8"/>
        <rFont val="Noto Sans CJK SC Regular"/>
        <family val="2"/>
      </rPr>
      <t xml:space="preserve">佐野康夫</t>
    </r>
    <r>
      <rPr>
        <sz val="8"/>
        <rFont val="Droid Sans"/>
        <family val="0"/>
        <charset val="1"/>
      </rPr>
      <t xml:space="preserve">, </t>
    </r>
    <r>
      <rPr>
        <sz val="8"/>
        <rFont val="Noto Sans CJK SC Regular"/>
        <family val="2"/>
      </rPr>
      <t xml:space="preserve">照井順政</t>
    </r>
    <r>
      <rPr>
        <sz val="8"/>
        <rFont val="Droid Sans"/>
        <family val="0"/>
        <charset val="1"/>
      </rPr>
      <t xml:space="preserve">&amp;</t>
    </r>
    <r>
      <rPr>
        <sz val="8"/>
        <rFont val="Noto Sans CJK SC Regular"/>
        <family val="2"/>
      </rPr>
      <t xml:space="preserve">ハイスイノナサ</t>
    </r>
    <r>
      <rPr>
        <sz val="8"/>
        <rFont val="Droid Sans"/>
        <family val="0"/>
        <charset val="1"/>
      </rPr>
      <t xml:space="preserve">&amp;sora tob sakana&amp;siraph/</t>
    </r>
    <r>
      <rPr>
        <sz val="8"/>
        <rFont val="Noto Sans CJK SC Regular"/>
        <family val="2"/>
      </rPr>
      <t xml:space="preserve">写真</t>
    </r>
    <r>
      <rPr>
        <sz val="8"/>
        <rFont val="Droid Sans"/>
        <family val="0"/>
        <charset val="1"/>
      </rPr>
      <t xml:space="preserve">/</t>
    </r>
    <r>
      <rPr>
        <sz val="8"/>
        <rFont val="Noto Sans CJK SC Regular"/>
        <family val="2"/>
      </rPr>
      <t xml:space="preserve">旅</t>
    </r>
    <r>
      <rPr>
        <sz val="8"/>
        <rFont val="Droid Sans"/>
        <family val="0"/>
        <charset val="1"/>
      </rPr>
      <t xml:space="preserve">/</t>
    </r>
    <r>
      <rPr>
        <sz val="8"/>
        <rFont val="Noto Sans CJK SC Regular"/>
        <family val="2"/>
      </rPr>
      <t xml:space="preserve">巨大建造物</t>
    </r>
    <r>
      <rPr>
        <sz val="8"/>
        <rFont val="Droid Sans"/>
        <family val="0"/>
        <charset val="1"/>
      </rPr>
      <t xml:space="preserve">/</t>
    </r>
    <r>
      <rPr>
        <sz val="8"/>
        <rFont val="Noto Sans CJK SC Regular"/>
        <family val="2"/>
      </rPr>
      <t xml:space="preserve">投資</t>
    </r>
    <r>
      <rPr>
        <sz val="8"/>
        <rFont val="Droid Sans"/>
        <family val="0"/>
        <charset val="1"/>
      </rPr>
      <t xml:space="preserve">/</t>
    </r>
    <r>
      <rPr>
        <sz val="8"/>
        <rFont val="Noto Sans CJK SC Regular"/>
        <family val="2"/>
      </rPr>
      <t xml:space="preserve">政治経済時事についてだらだら語るのが好き</t>
    </r>
  </si>
  <si>
    <t xml:space="preserve">Shinzo Abe on track for comfortable victory in Japan's snap election https://t.co/9Yv8HkVbS7</t>
  </si>
  <si>
    <t xml:space="preserve">OnlineClass Lords</t>
  </si>
  <si>
    <t xml:space="preserve">RT guardian "Shinzo Abe secures strong mandate in Japan's general election https://t.co/9x5snkWR2R"</t>
  </si>
  <si>
    <t xml:space="preserve">Massachusetts, USA</t>
  </si>
  <si>
    <t xml:space="preserve">Plan your online learning with Online Class Lords Follow us and never miss a course and score better grades</t>
  </si>
  <si>
    <t xml:space="preserve">บอมจัง</t>
  </si>
  <si>
    <t xml:space="preserve">El Censelio</t>
  </si>
  <si>
    <t xml:space="preserve">Shinzo Abe secures strong mandate in Japan's general election https://t.co/i3VJ0bzG1t</t>
  </si>
  <si>
    <t xml:space="preserve">La Tatitudería®. Sufro de tatitud crónica y bebo té de manzanilla. Frente Revolucionario Internacional Preferimo el Otoño, FRIPO.</t>
  </si>
  <si>
    <t xml:space="preserve">Mr.Trakool Thanomnua</t>
  </si>
  <si>
    <t xml:space="preserve">ชลบุรี, บางกอก</t>
  </si>
  <si>
    <t xml:space="preserve">ชายหนุ่ม .. รับเหมา รับจ้างทั่วราษฎร์อาณาจักร มีความเมาเป็นเพื่อน.. มียุง มีดาว และแสงเดือน.. ขายโคมไฟ หลอดไฟ LED Stanley / Sylvenia / Phililps อื่นๆอีกมากมาย</t>
  </si>
  <si>
    <t xml:space="preserve">ebuu™ #TEAMMZBNIKKI</t>
  </si>
  <si>
    <t xml:space="preserve">Shinzo Abe secures strong mandate in Japan's general election https://t.co/9VB1Ysauvn</t>
  </si>
  <si>
    <t xml:space="preserve">Fenix for Android</t>
  </si>
  <si>
    <t xml:space="preserve">worked my ass off to get a pay day,now I need a spa and a vacay!😉 #MANUNITED ☞ #TEAMFOLLOWBACK https://t.co/24eIiRnk8Z</t>
  </si>
  <si>
    <t xml:space="preserve">ゴンゴン</t>
  </si>
  <si>
    <t xml:space="preserve">Shinzo Abe secures strong mandate in Japan's general election https://t.co/YHdw05vUYS</t>
  </si>
  <si>
    <t xml:space="preserve">鳥類がとても好きです。特に好きなのはセキセイインコ、ボタンインコ、コザクラインコ、シロハラインコ、ズグロシロハラインコです。語学を学ぶのが趣味でいろいろ勉強しています。</t>
  </si>
  <si>
    <t xml:space="preserve">Claire Phipps</t>
  </si>
  <si>
    <t xml:space="preserve">Shinzo Abe secures strong mandate in Japan's general election, exit poll indicates https://t.co/ImfTSfaWSM</t>
  </si>
  <si>
    <t xml:space="preserve">@guardian senior live blogger, covering UK and international breaking news</t>
  </si>
  <si>
    <t xml:space="preserve">Azriel Bermant</t>
  </si>
  <si>
    <t xml:space="preserve">Shinzo Abe secures strong mandate in Japan's general election https://t.co/oPfqWWEOLq</t>
  </si>
  <si>
    <t xml:space="preserve">Author:'Margaret Thatcher and the Middle East' @CambridgeUP; FRHistS; Lecturer @telavivuni; Nuclear proliferation; Missile Defence; #ColdWar Historian</t>
  </si>
  <si>
    <t xml:space="preserve">Jörg</t>
  </si>
  <si>
    <t xml:space="preserve">Shinzo Abe secures strong mandate in Japan's general election https://t.co/dw8y6ojloT</t>
  </si>
  <si>
    <t xml:space="preserve">Essen  - Germany</t>
  </si>
  <si>
    <t xml:space="preserve">Born again christian; disciple of Jesus; and soccer supporter; insurance employee; Info junkie; lover of non-fictional books</t>
  </si>
  <si>
    <t xml:space="preserve">cliche_life</t>
  </si>
  <si>
    <t xml:space="preserve">Shinzo Abe secures strong mandate in Japan's general election https://t.co/er0JPHtZPs</t>
  </si>
  <si>
    <t xml:space="preserve">Cliche</t>
  </si>
  <si>
    <t xml:space="preserve">Robert</t>
  </si>
  <si>
    <t xml:space="preserve">Shinzo Abe secures strong mandate in Japan's general election https://t.co/wMQ7nNz2Vd</t>
  </si>
  <si>
    <t xml:space="preserve">Denmark (UK Expat)</t>
  </si>
  <si>
    <t xml:space="preserve">Travel, culture, networking gives great energy ✈🌍</t>
  </si>
  <si>
    <t xml:space="preserve">ひか</t>
  </si>
  <si>
    <t xml:space="preserve">ブキヨウマッスグ</t>
  </si>
  <si>
    <t xml:space="preserve">Special Agent Mino</t>
  </si>
  <si>
    <t xml:space="preserve">Shinzo Abe secures strong mandate in Japan's general election https://t.co/zaZvBxzIZt</t>
  </si>
  <si>
    <t xml:space="preserve">JAPAN </t>
  </si>
  <si>
    <r>
      <rPr>
        <sz val="8"/>
        <rFont val="Noto Sans CJK SC Regular"/>
        <family val="2"/>
      </rPr>
      <t xml:space="preserve">時が真実を見つける</t>
    </r>
    <r>
      <rPr>
        <sz val="8"/>
        <rFont val="Droid Sans"/>
        <family val="0"/>
        <charset val="1"/>
      </rPr>
      <t xml:space="preserve">! (╭☞•́⍛•̀)╭☞Time to find the truth</t>
    </r>
  </si>
  <si>
    <t xml:space="preserve">Michael J Ting</t>
  </si>
  <si>
    <t xml:space="preserve">Closet author &amp; future Secretary of Foreign Affairs.</t>
  </si>
  <si>
    <t xml:space="preserve">Claudia Guimaraes</t>
  </si>
  <si>
    <t xml:space="preserve">Shinzo Abe secures strong mandate in Japan's general election https://t.co/2lslNtYzqH</t>
  </si>
  <si>
    <t xml:space="preserve">Jornalista do Rio, Brasil. Curiosa sobre o mundo e gauche na vida. Journalist from Rio, Brasil. Curious about the whole world, gauche in life</t>
  </si>
  <si>
    <t xml:space="preserve">Simas Kojelė</t>
  </si>
  <si>
    <t xml:space="preserve">Professional in International Politics focused on Russia's Foreign and Domestic Policy and EU's External Relations. Politics, football, travel. LT/EN/RU.</t>
  </si>
  <si>
    <t xml:space="preserve">Bartomeu</t>
  </si>
  <si>
    <t xml:space="preserve">Montseny Barcelona</t>
  </si>
  <si>
    <t xml:space="preserve">nunca he sido capaz de destruir por que creo en v@s futuro pensar en tod@s no es fácil queda aprender en las esper@nzas de los demás #SocialSensible</t>
  </si>
  <si>
    <t xml:space="preserve">近藤 弘幸</t>
  </si>
  <si>
    <t xml:space="preserve">Shinzo Abe secures strong mandate in Japan's general election https://t.co/iZM24f5BRH</t>
  </si>
  <si>
    <t xml:space="preserve">Echofon</t>
  </si>
  <si>
    <r>
      <rPr>
        <sz val="8"/>
        <rFont val="Noto Sans CJK SC Regular"/>
        <family val="2"/>
      </rPr>
      <t xml:space="preserve">東京都小金井市貫井北町</t>
    </r>
    <r>
      <rPr>
        <sz val="8"/>
        <rFont val="Droid Sans"/>
        <family val="0"/>
        <charset val="1"/>
      </rPr>
      <t xml:space="preserve">4-1-1</t>
    </r>
  </si>
  <si>
    <t xml:space="preserve">シェイクスピア学者のはしくれです。最近は、明治初期のシェイクスピア受容について研究しています。東京学芸大学で表現教育コース（１～３年生）／表現コミュニケーション専攻（４年生）を担当しています。</t>
  </si>
  <si>
    <t xml:space="preserve">Tom Ozi ✌✌✌</t>
  </si>
  <si>
    <t xml:space="preserve">Shinzo Abe secures strong mandate in Japan's general election https://t.co/hEq9EojzYY</t>
  </si>
  <si>
    <t xml:space="preserve">Warsaw/Poland</t>
  </si>
  <si>
    <t xml:space="preserve">Financial Expert.</t>
  </si>
  <si>
    <t xml:space="preserve">Aarón Suárez</t>
  </si>
  <si>
    <t xml:space="preserve">Shinzo Abe secures strong mandate in Japan's general election https://t.co/JUSlURjqeh</t>
  </si>
  <si>
    <t xml:space="preserve">Madrid/ Gran Canaria</t>
  </si>
  <si>
    <t xml:space="preserve">☀️Hijo del Alisio y del Atlántico 📰Periodista y zoon politikon 💼Comunicación y Public Affairs 🍇Wine &amp; food lover 🎨Addicted to art 🏷 Estás son mis opiniones</t>
  </si>
  <si>
    <t xml:space="preserve">Daily Inspiration</t>
  </si>
  <si>
    <t xml:space="preserve">Shinzo Abe secures strong mandate in Japan's general election https://t.co/l3hJJVKHfZ</t>
  </si>
  <si>
    <t xml:space="preserve">LA, CA</t>
  </si>
  <si>
    <t xml:space="preserve">Get the daily inspiration for your spirit everyday!</t>
  </si>
  <si>
    <t xml:space="preserve">Jean Hoey</t>
  </si>
  <si>
    <t xml:space="preserve">Dublin City, Ireland</t>
  </si>
  <si>
    <t xml:space="preserve">Head of Public &amp; Government Affairs @ BT plc in Ireland &amp; Northern Ireland, views are personal, RTs not endorsement.</t>
  </si>
  <si>
    <t xml:space="preserve">Uriel Escobido</t>
  </si>
  <si>
    <t xml:space="preserve">citius, altius, fortius</t>
  </si>
  <si>
    <t xml:space="preserve">Miguel Sarante</t>
  </si>
  <si>
    <t xml:space="preserve">🇩🇴 Dominican Republic</t>
  </si>
  <si>
    <t xml:space="preserve">Uno es lo que hace, No lo que dice que es !!</t>
  </si>
  <si>
    <t xml:space="preserve">East Side Scribe</t>
  </si>
  <si>
    <t xml:space="preserve">East Side of Saint Paul, MN</t>
  </si>
  <si>
    <t xml:space="preserve">Just another guy with a nose for news.</t>
  </si>
  <si>
    <t xml:space="preserve">Jay Crane 🎃👻</t>
  </si>
  <si>
    <t xml:space="preserve">Twitter for Windows Phone</t>
  </si>
  <si>
    <t xml:space="preserve">Sheffield </t>
  </si>
  <si>
    <t xml:space="preserve">Don't hate the player hate the game big rock music fan#Sheffieldrocker🎸 SIA security officer Email jaycrane198394@outlook.com Sheffield SUFC #twitterblades</t>
  </si>
  <si>
    <t xml:space="preserve">Siddharth@PuertoRico</t>
  </si>
  <si>
    <t xml:space="preserve">Shinzo Abe secures strong mandate in Japan's general election well at least its stable ...@RobinBrenizer https://t.co/2XAQX4HdPd</t>
  </si>
  <si>
    <t xml:space="preserve">A poet and a cynic....if you don't like me..Not My problem..and I am #stillwithher and yes @USA has and will always be the greatest of them all ..</t>
  </si>
  <si>
    <t xml:space="preserve">ボヤッキー</t>
  </si>
  <si>
    <t xml:space="preserve">日本 </t>
  </si>
  <si>
    <r>
      <rPr>
        <sz val="8"/>
        <rFont val="Noto Sans CJK SC Regular"/>
        <family val="2"/>
      </rPr>
      <t xml:space="preserve">ボヤッキー ツ</t>
    </r>
    <r>
      <rPr>
        <sz val="8"/>
        <rFont val="Droid Sans"/>
        <family val="0"/>
        <charset val="1"/>
      </rPr>
      <t xml:space="preserve">ninja </t>
    </r>
    <r>
      <rPr>
        <sz val="8"/>
        <rFont val="Noto Sans CJK SC Regular"/>
        <family val="2"/>
      </rPr>
      <t xml:space="preserve">ヨーゼフから此処に至る。</t>
    </r>
  </si>
  <si>
    <t xml:space="preserve">99percentnews</t>
  </si>
  <si>
    <t xml:space="preserve">#ShinzoAbe secures strong mandate in #Japan's general election https://t.co/z3RBHJu8MT https://t.co/ioEXEEW0JI</t>
  </si>
  <si>
    <t xml:space="preserve">Just 99 % News</t>
  </si>
  <si>
    <t xml:space="preserve">AFPTokyo #UPDATE PM Shinzo Abe sweeps to big win in Japan snap election: projection https://t.co/GxxxltILyE #JapanElection</t>
  </si>
  <si>
    <t xml:space="preserve">Y.B. Fishel</t>
  </si>
  <si>
    <t xml:space="preserve">Shinzo Abe secures strong mandate in Japan's general election https://t.co/QQTvr7Lud4</t>
  </si>
  <si>
    <t xml:space="preserve">Jerusalem, Israel</t>
  </si>
  <si>
    <t xml:space="preserve">Former professional news curator and novelist who speaks several languages and is proficient in Halacha.</t>
  </si>
  <si>
    <t xml:space="preserve">AFPTokyo #UPDATE PM Shinzo Abe sweeps to big win in Japan snap election: projection https://t.co/Rsb0WNsJ3h #JapanElection</t>
  </si>
  <si>
    <t xml:space="preserve">Shinzo Abe secures strong mandate in Japan's general election Shinzo Abe secures strong mandate in Japan's (cont) https://t.co/F4TaRyeEOE</t>
  </si>
  <si>
    <t xml:space="preserve">Kristos</t>
  </si>
  <si>
    <t xml:space="preserve">Berlin, Deutschland</t>
  </si>
  <si>
    <t xml:space="preserve">Kristos Thingilouthis #Christ #Netzpolitik #esport #gw2 #Griechenland #Bürgerrechte #piraten Foto: be-him CC NC ND</t>
  </si>
  <si>
    <t xml:space="preserve">extremophile</t>
  </si>
  <si>
    <t xml:space="preserve">PM #ShinzoAbe secures strong mandate in #Japan's general election https://t.co/mTmiJZ4IMr</t>
  </si>
  <si>
    <t xml:space="preserve">Milky Way - Orion Arm</t>
  </si>
  <si>
    <t xml:space="preserve">Admirer of Greenpeace... Concerned abt Geo-political &amp; Environmental crisis... **Links &amp; RT's are not necessarily an endorsements**</t>
  </si>
  <si>
    <t xml:space="preserve">Jay Jay Denis</t>
  </si>
  <si>
    <t xml:space="preserve">Policy Analyst at Monitoring Sustainability of Globalisation (MSN), Consultant with @ASEANMP, Columnist on @themmailonline. RTs not endorsements</t>
  </si>
  <si>
    <t xml:space="preserve">齐才</t>
  </si>
  <si>
    <t xml:space="preserve">What Shinzo Abe’s election win will mean for China-Japan relations https://t.co/nHPAMYcNBU… https://t.co/zLiHT6PfOD</t>
  </si>
  <si>
    <r>
      <rPr>
        <sz val="8"/>
        <rFont val="Droid Sans"/>
        <family val="0"/>
        <charset val="1"/>
      </rPr>
      <t xml:space="preserve">takkie🎞📷</t>
    </r>
    <r>
      <rPr>
        <sz val="8"/>
        <rFont val="Noto Sans CJK SC Regular"/>
        <family val="2"/>
      </rPr>
      <t xml:space="preserve">（冬眠準備💤）</t>
    </r>
  </si>
  <si>
    <t xml:space="preserve">Independent (Fukushima JP)</t>
  </si>
  <si>
    <t xml:space="preserve">Film photographer (Nikon FM/NewFM2, Mamiya NC1000s, Various disposable cameras) / Drummer / I Love Music &amp; Canada (Especially Montreal, Quebec, Toronto, Ottawa)</t>
  </si>
  <si>
    <t xml:space="preserve">takaochikubu</t>
  </si>
  <si>
    <t xml:space="preserve">Shinzo Abe secures strong mandate in Japan's general election https://t.co/OSrqXAOJKg</t>
  </si>
  <si>
    <t xml:space="preserve">Minato-ku, Tokyo</t>
  </si>
  <si>
    <t xml:space="preserve">Providing professional strategic consulting services nationwide. I also teach Economics of Service Economy and Multinational Enterprises at Takushoku Univ.</t>
  </si>
  <si>
    <t xml:space="preserve">Marie W</t>
  </si>
  <si>
    <r>
      <rPr>
        <sz val="8"/>
        <rFont val="Droid Sans"/>
        <family val="0"/>
        <charset val="1"/>
      </rPr>
      <t xml:space="preserve">#Abe securing a super majority. Again. My anger is slowly fading and sadness comes in. #</t>
    </r>
    <r>
      <rPr>
        <sz val="8"/>
        <rFont val="Noto Sans CJK SC Regular"/>
        <family val="2"/>
      </rPr>
      <t xml:space="preserve">選挙 </t>
    </r>
    <r>
      <rPr>
        <sz val="8"/>
        <rFont val="Droid Sans"/>
        <family val="0"/>
        <charset val="1"/>
      </rPr>
      <t xml:space="preserve">#</t>
    </r>
    <r>
      <rPr>
        <sz val="8"/>
        <rFont val="Noto Sans CJK SC Regular"/>
        <family val="2"/>
      </rPr>
      <t xml:space="preserve">安部政権 </t>
    </r>
    <r>
      <rPr>
        <sz val="8"/>
        <rFont val="Droid Sans"/>
        <family val="0"/>
        <charset val="1"/>
      </rPr>
      <t xml:space="preserve">#Japan #elections https://t.co/7A2PibppS0</t>
    </r>
  </si>
  <si>
    <t xml:space="preserve">Anthropology &amp; political science, between Berlin, Paris &amp; Tokyo.</t>
  </si>
  <si>
    <t xml:space="preserve">arvindmahajan</t>
  </si>
  <si>
    <t xml:space="preserve">#ShinzoAbe secures strong mandate in #Japan's general #election @AbeShinzo https://t.co/T6aIrbFC1d</t>
  </si>
  <si>
    <t xml:space="preserve">mumbai</t>
  </si>
  <si>
    <t xml:space="preserve">strategy&amp; innovation,management consultant, independent director, diverse interests,sports &amp; movie buff, trend watcher</t>
  </si>
  <si>
    <t xml:space="preserve">Shinzo Abe secures strong mandate in Japan's general election https://t.co/FiDmtU1z0N</t>
  </si>
  <si>
    <t xml:space="preserve">Social Media News</t>
  </si>
  <si>
    <t xml:space="preserve">Japan's Abe on track for landslide victory - Japanese Prime Minister Shinzo Abe appears on course to win a deci... https://t.co/feLjH7DeHz</t>
  </si>
  <si>
    <t xml:space="preserve">Social Media Hub with over a million followers brings you social media news on a rich and colorful platform powered by the CMS technology #smhub</t>
  </si>
  <si>
    <r>
      <rPr>
        <sz val="8"/>
        <rFont val="Droid Sans"/>
        <family val="0"/>
        <charset val="1"/>
      </rPr>
      <t xml:space="preserve">BMC</t>
    </r>
    <r>
      <rPr>
        <sz val="8"/>
        <rFont val="Noto Sans CJK SC Regular"/>
        <family val="2"/>
      </rPr>
      <t xml:space="preserve">乗り</t>
    </r>
  </si>
  <si>
    <t xml:space="preserve">はんじ＠Ｋ点超え</t>
  </si>
  <si>
    <r>
      <rPr>
        <sz val="8"/>
        <rFont val="Noto Sans CJK SC Regular"/>
        <family val="2"/>
      </rPr>
      <t xml:space="preserve">風来坊</t>
    </r>
    <r>
      <rPr>
        <sz val="8"/>
        <rFont val="Droid Sans"/>
        <family val="0"/>
        <charset val="1"/>
      </rPr>
      <t xml:space="preserve">/Wanderer</t>
    </r>
    <r>
      <rPr>
        <sz val="8"/>
        <rFont val="Noto Sans CJK SC Regular"/>
        <family val="2"/>
      </rPr>
      <t xml:space="preserve">（</t>
    </r>
    <r>
      <rPr>
        <sz val="8"/>
        <rFont val="Droid Sans"/>
        <family val="0"/>
        <charset val="1"/>
      </rPr>
      <t xml:space="preserve">Japanese/English</t>
    </r>
    <r>
      <rPr>
        <sz val="8"/>
        <rFont val="Noto Sans CJK SC Regular"/>
        <family val="2"/>
      </rPr>
      <t xml:space="preserve">）</t>
    </r>
  </si>
  <si>
    <r>
      <rPr>
        <sz val="8"/>
        <rFont val="Noto Sans CJK SC Regular"/>
        <family val="2"/>
      </rPr>
      <t xml:space="preserve">向こう意気なら焼津…じゃねぇ、池袋の半次</t>
    </r>
    <r>
      <rPr>
        <sz val="8"/>
        <rFont val="Droid Sans"/>
        <family val="0"/>
        <charset val="1"/>
      </rPr>
      <t xml:space="preserve">(</t>
    </r>
    <r>
      <rPr>
        <sz val="8"/>
        <rFont val="Noto Sans CJK SC Regular"/>
        <family val="2"/>
      </rPr>
      <t xml:space="preserve">はんじ</t>
    </r>
    <r>
      <rPr>
        <sz val="8"/>
        <rFont val="Droid Sans"/>
        <family val="0"/>
        <charset val="1"/>
      </rPr>
      <t xml:space="preserve">)</t>
    </r>
    <r>
      <rPr>
        <sz val="8"/>
        <rFont val="Noto Sans CJK SC Regular"/>
        <family val="2"/>
      </rPr>
      <t xml:space="preserve">、可愛い娘ちゃんには弱ぇけど。競馬は武兄弟さん贔屓、野球はメリケンの</t>
    </r>
    <r>
      <rPr>
        <sz val="8"/>
        <rFont val="Droid Sans"/>
        <family val="0"/>
        <charset val="1"/>
      </rPr>
      <t xml:space="preserve">NYYankeesFan</t>
    </r>
    <r>
      <rPr>
        <sz val="8"/>
        <rFont val="Noto Sans CJK SC Regular"/>
        <family val="2"/>
      </rPr>
      <t xml:space="preserve">！</t>
    </r>
    <r>
      <rPr>
        <sz val="8"/>
        <rFont val="Droid Sans"/>
        <family val="0"/>
        <charset val="1"/>
      </rPr>
      <t xml:space="preserve">Go GOP&amp;Trump</t>
    </r>
    <r>
      <rPr>
        <sz val="8"/>
        <rFont val="Noto Sans CJK SC Regular"/>
        <family val="2"/>
      </rPr>
      <t xml:space="preserve">！！ てやんでぇ、弱者を苛める奴、心身の障害者を差別する奴、</t>
    </r>
    <r>
      <rPr>
        <sz val="8"/>
        <rFont val="Droid Sans"/>
        <family val="0"/>
        <charset val="1"/>
      </rPr>
      <t xml:space="preserve">AV</t>
    </r>
    <r>
      <rPr>
        <sz val="8"/>
        <rFont val="Noto Sans CJK SC Regular"/>
        <family val="2"/>
      </rPr>
      <t xml:space="preserve">女優さんらを中傷する奴、</t>
    </r>
    <r>
      <rPr>
        <sz val="8"/>
        <rFont val="Droid Sans"/>
        <family val="0"/>
        <charset val="1"/>
      </rPr>
      <t xml:space="preserve">damn</t>
    </r>
    <r>
      <rPr>
        <sz val="8"/>
        <rFont val="Noto Sans CJK SC Regular"/>
        <family val="2"/>
      </rPr>
      <t xml:space="preserve">菅直人蓮舫小池</t>
    </r>
    <r>
      <rPr>
        <sz val="8"/>
        <rFont val="Droid Sans"/>
        <family val="0"/>
        <charset val="1"/>
      </rPr>
      <t xml:space="preserve">crookedHillary</t>
    </r>
    <r>
      <rPr>
        <sz val="8"/>
        <rFont val="Noto Sans CJK SC Regular"/>
        <family val="2"/>
      </rPr>
      <t xml:space="preserve">、赦さねぇ💢</t>
    </r>
  </si>
  <si>
    <t xml:space="preserve">Shinzo Abe secures strong mandate in Japan's general election https://t.co/ZPuMk0EYlr</t>
  </si>
  <si>
    <t xml:space="preserve">AFP: AFPTokyo #UPDATE PM Shinzo Abe sweeps to big win in Japan snap election: projection https://t.co/nH5QEp737U … https://t.co/xqh0uOv4mz</t>
  </si>
  <si>
    <t xml:space="preserve">本城</t>
  </si>
  <si>
    <t xml:space="preserve">Kiyose, Tokyo</t>
  </si>
  <si>
    <t xml:space="preserve">普通の日本人です。</t>
  </si>
  <si>
    <t xml:space="preserve">Shinzo Abe secures strong mandate in Japan’s general election https://t.co/GzE1b2tONB</t>
  </si>
  <si>
    <t xml:space="preserve">woody</t>
  </si>
  <si>
    <t xml:space="preserve">Houston</t>
  </si>
  <si>
    <t xml:space="preserve">Benjamin</t>
  </si>
  <si>
    <t xml:space="preserve">Historian (Late Antiquity/Middle Ages) &amp; a fan of darker sci-fi/fantasy lit (Martin, Abercrombie, Lawrence, Brown, Schwab). German but harmless. #87Prozent</t>
  </si>
  <si>
    <t xml:space="preserve">さんとく</t>
  </si>
  <si>
    <r>
      <rPr>
        <sz val="8"/>
        <rFont val="Droid Sans"/>
        <family val="0"/>
        <charset val="1"/>
      </rPr>
      <t xml:space="preserve">#</t>
    </r>
    <r>
      <rPr>
        <sz val="8"/>
        <rFont val="Noto Sans CJK SC Regular"/>
        <family val="2"/>
      </rPr>
      <t xml:space="preserve">庭園課長</t>
    </r>
  </si>
  <si>
    <t xml:space="preserve">Mujo</t>
  </si>
  <si>
    <t xml:space="preserve">Shinzo Abe secures strong mandate in Japan's general election https://t.co/8LVFWlN0dm</t>
  </si>
  <si>
    <t xml:space="preserve">su çatlağını buldu..</t>
  </si>
  <si>
    <t xml:space="preserve">Shinzo Abe secures strong mandate in #Japan's general election https://t.co/EBpHVXV6SF #shinzoabe #northkorea</t>
  </si>
  <si>
    <t xml:space="preserve">AFP: AFPTokyo #UPDATE PM Shinzo Abe sweeps to big win in Japan snap election: projection https://t.co/tXVjELao2s … https://t.co/2BoflibjNg</t>
  </si>
  <si>
    <t xml:space="preserve">Theresa Fallon</t>
  </si>
  <si>
    <t xml:space="preserve">Japan's general election allowed for voting 2 weeks before actual voting day. Impact of Typhoon Lan likely reduced? https://t.co/8HJb9lWRVM</t>
  </si>
  <si>
    <t xml:space="preserve">Director,Centre for Russia Europe Asia Studies(CREAS)NR Snr Fellow @ChicagoCouncil.Geopol,Energy.Prv Beijing,Moscow,London,Paris,Kyoto @ForeignPolicy 20 2follow</t>
  </si>
  <si>
    <t xml:space="preserve">Shinzo Abe secures strong mandate in Japan's general election https://t.co/ysTjEtyWmQ #breakingnews #news</t>
  </si>
  <si>
    <t xml:space="preserve">Shinzo Abe secures strong mandate in Japan's general election https://t.co/hA4yqs2ahX https://t.co/MRrgNsOb9e</t>
  </si>
  <si>
    <t xml:space="preserve">くぼっち</t>
  </si>
  <si>
    <t xml:space="preserve">一応、地方の公立大学で民法を教えています。</t>
  </si>
  <si>
    <t xml:space="preserve">Amit Paranjape</t>
  </si>
  <si>
    <t xml:space="preserve">Prime Minister Abe poised to win Japan's general election https://t.co/ixzJrs6QT4 via @FRANCE24</t>
  </si>
  <si>
    <t xml:space="preserve">Diverse interests: Software/IT, Healthcare, Emerging Tech, Science, Startups, Economics, Current Affairs, History, Cricket, City of Pune</t>
  </si>
  <si>
    <t xml:space="preserve">サカグチアツシ</t>
  </si>
  <si>
    <t xml:space="preserve">DZ Breaking</t>
  </si>
  <si>
    <t xml:space="preserve">#Japan: PM “#ShinzoAbe” wins a large victory in general election https://t.co/rxgApU1tWH https://t.co/wsaC5iQCJs</t>
  </si>
  <si>
    <t xml:space="preserve">Joan</t>
  </si>
  <si>
    <t xml:space="preserve">Labour activist for over 40 years /socialism not neoliberalism/ JC4PM/ Remain / Humanist/Mancunian at heart - now settled in SW/Man U</t>
  </si>
  <si>
    <t xml:space="preserve">Panus D.</t>
  </si>
  <si>
    <t xml:space="preserve">Nonthaburi,Thailand</t>
  </si>
  <si>
    <t xml:space="preserve">หนักแน่นดั่งขุนเขา บางเบาดุจขนนก</t>
  </si>
  <si>
    <t xml:space="preserve">Nirmal Ghosh</t>
  </si>
  <si>
    <t xml:space="preserve">RT @STForeignDesk: Exit polls show snap election gambit pays off for Japan PM Shinzo Abe https://t.co/HGPwlrBcea https://t.co/E8MabgOIPK</t>
  </si>
  <si>
    <t xml:space="preserve">Straits Times' US Bureau Chief. 23 yrs a Foreign Correspondent. Author, Wildlife Conservationist, Film Maker. Opinions own, not employer's; RTs not endorsements</t>
  </si>
  <si>
    <t xml:space="preserve">Shinzo Abe secures strong mandate in Japan's general election https://t.co/MVivtDrykQ The Guardian World News Japan’s prime minister, Shi…</t>
  </si>
  <si>
    <t xml:space="preserve">Dave Masters</t>
  </si>
  <si>
    <t xml:space="preserve">Shinzo Abe secures strong mandate in Japan's general election https://t.co/ZoViRqG17u https://t.co/6V7iCmvGlb</t>
  </si>
  <si>
    <t xml:space="preserve">Commonwealth of Pennsylvania</t>
  </si>
  <si>
    <t xml:space="preserve">Politics, sports and news. Failure is unimportant. It takes courage to make a fool of yourself. #Uniteblue #MUFC #Yankees #Broncos #liberal #progressive No DM's</t>
  </si>
  <si>
    <r>
      <rPr>
        <sz val="8"/>
        <rFont val="Noto Sans CJK SC Regular"/>
        <family val="2"/>
      </rPr>
      <t xml:space="preserve">岩坂将充 </t>
    </r>
    <r>
      <rPr>
        <sz val="8"/>
        <rFont val="Droid Sans"/>
        <family val="0"/>
        <charset val="1"/>
      </rPr>
      <t xml:space="preserve">M.Iwasaka</t>
    </r>
  </si>
  <si>
    <t xml:space="preserve">Shinzo Abe secures strong mandate in Japan's general election https://t.co/dKtOvJojyU</t>
  </si>
  <si>
    <t xml:space="preserve">京都</t>
  </si>
  <si>
    <t xml:space="preserve">現代トルコ政治研究（民主化・政軍関係・対外政策）、比較政治学、中東イスラーム地域研究。同志社大学高等研究教育機構准教授。 徳島ヴォルティス／フェネルバフチェ／アストン・ヴィラ</t>
  </si>
  <si>
    <t xml:space="preserve">Soraya Scarlett</t>
  </si>
  <si>
    <t xml:space="preserve">Shinzo Abe secures strong mandate in Japan's general election https://t.co/LqvHreDRGz #NRA https://t.co/yQm0YKIGFz</t>
  </si>
  <si>
    <t xml:space="preserve">Estados Unidos</t>
  </si>
  <si>
    <t xml:space="preserve">#PresidentTrump</t>
  </si>
  <si>
    <t xml:space="preserve">Shinzo Abe secures strong mandate in Japan's general election https://t.co/c5s1yFOhIk</t>
  </si>
  <si>
    <t xml:space="preserve">KarloMdz: AFP: AFPTokyo #UPDATE PM Shinzo Abe sweeps to big win in Japan snap election: projection … https://t.co/kCLfzUFxzq</t>
  </si>
  <si>
    <t xml:space="preserve">TOMO ;)</t>
  </si>
  <si>
    <r>
      <rPr>
        <sz val="8"/>
        <rFont val="Droid Sans"/>
        <family val="0"/>
        <charset val="1"/>
      </rPr>
      <t xml:space="preserve">Singapore, </t>
    </r>
    <r>
      <rPr>
        <sz val="8"/>
        <rFont val="Noto Sans CJK SC Regular"/>
        <family val="2"/>
      </rPr>
      <t xml:space="preserve">シンガポール</t>
    </r>
    <r>
      <rPr>
        <sz val="8"/>
        <rFont val="Droid Sans"/>
        <family val="0"/>
        <charset val="1"/>
      </rPr>
      <t xml:space="preserve">, </t>
    </r>
    <r>
      <rPr>
        <sz val="8"/>
        <rFont val="Noto Sans CJK SC Regular"/>
        <family val="2"/>
      </rPr>
      <t xml:space="preserve">新加坡</t>
    </r>
  </si>
  <si>
    <r>
      <rPr>
        <sz val="8"/>
        <rFont val="Droid Sans"/>
        <family val="0"/>
        <charset val="1"/>
      </rPr>
      <t xml:space="preserve">Tweets on &amp; around the Little Red Dot. 🇯🇵 working in 🇸🇬. Been to 27 countries. ♡Nick Carter! 😍 </t>
    </r>
    <r>
      <rPr>
        <sz val="8"/>
        <rFont val="Noto Sans CJK SC Regular"/>
        <family val="2"/>
      </rPr>
      <t xml:space="preserve">シンガポール</t>
    </r>
    <r>
      <rPr>
        <sz val="8"/>
        <rFont val="Droid Sans"/>
        <family val="0"/>
        <charset val="1"/>
      </rPr>
      <t xml:space="preserve">6</t>
    </r>
    <r>
      <rPr>
        <sz val="8"/>
        <rFont val="Noto Sans CJK SC Regular"/>
        <family val="2"/>
      </rPr>
      <t xml:space="preserve">年目金融系。</t>
    </r>
    <r>
      <rPr>
        <sz val="8"/>
        <rFont val="Droid Sans"/>
        <family val="0"/>
        <charset val="1"/>
      </rPr>
      <t xml:space="preserve">27</t>
    </r>
    <r>
      <rPr>
        <sz val="8"/>
        <rFont val="Noto Sans CJK SC Regular"/>
        <family val="2"/>
      </rPr>
      <t xml:space="preserve">ヶ国訪問済の旅好きで、東ア制覇まであと</t>
    </r>
    <r>
      <rPr>
        <sz val="8"/>
        <rFont val="Droid Sans"/>
        <family val="0"/>
        <charset val="1"/>
      </rPr>
      <t xml:space="preserve">1</t>
    </r>
    <r>
      <rPr>
        <sz val="8"/>
        <rFont val="Noto Sans CJK SC Regular"/>
        <family val="2"/>
      </rPr>
      <t xml:space="preserve">ヶ国😳 </t>
    </r>
    <r>
      <rPr>
        <sz val="8"/>
        <rFont val="Droid Sans"/>
        <family val="0"/>
        <charset val="1"/>
      </rPr>
      <t xml:space="preserve">Nice to meet you!</t>
    </r>
  </si>
  <si>
    <t xml:space="preserve">Japan's Abe on track for landslide victory: Japanese Prime Minister Shinzo Abe appears on… https://t.co/N36OGTwXur https://t.co/8rH7D7B8Ab</t>
  </si>
  <si>
    <t xml:space="preserve">Felix Ralph 🌈</t>
  </si>
  <si>
    <t xml:space="preserve">Victoria</t>
  </si>
  <si>
    <t xml:space="preserve">Criminal lawyer, Melbourne. Tweet about criminal law &amp; justice. Tweets don't reflect views of employer. Check out my blog as well.</t>
  </si>
  <si>
    <t xml:space="preserve">Shinzo Abe secures strong mandate in Japan's general election https://t.co/rAyOgKOBea</t>
  </si>
  <si>
    <t xml:space="preserve">Maxi Molina-Gómez</t>
  </si>
  <si>
    <t xml:space="preserve">San Juan, Argentina</t>
  </si>
  <si>
    <t xml:space="preserve">Lector, profesor. Tifosi della Sampdoria. Muchos otros intereses. Reformista.</t>
  </si>
  <si>
    <t xml:space="preserve">Job Manahan</t>
  </si>
  <si>
    <t xml:space="preserve">España</t>
  </si>
  <si>
    <t xml:space="preserve">Moralist, idealist • UST Journalism School • @DapitanPost</t>
  </si>
  <si>
    <t xml:space="preserve">00sebNewz</t>
  </si>
  <si>
    <t xml:space="preserve">sebnews</t>
  </si>
  <si>
    <t xml:space="preserve">guardianworld: Shinzo Abe secures strong mandate in Japan's general election https://t.co/F9SF0ynaDt</t>
  </si>
  <si>
    <t xml:space="preserve">Truthiest</t>
  </si>
  <si>
    <t xml:space="preserve">Forward Ever, Backward Never. ✊🏾✌🏾️💪🏾 #Resist</t>
  </si>
  <si>
    <t xml:space="preserve">biju govind</t>
  </si>
  <si>
    <t xml:space="preserve">Shinzo Abe secures strong mandate in Japan's general election ( Same tsunami going to hit Indian Ocean in 2019) https://t.co/lSjFIquU02</t>
  </si>
  <si>
    <t xml:space="preserve">Kerala, India</t>
  </si>
  <si>
    <t xml:space="preserve">Global Indian ~ Journalist @the_hindu previously Indian Express ~ Tweets on National Security ~ Foreign Policy ~Geopolitics ~Media~ Religion~Views Personal.</t>
  </si>
  <si>
    <t xml:space="preserve">Cleveland Martinov</t>
  </si>
  <si>
    <t xml:space="preserve">"Election Risk Pays Off for Shinzo Abe of Japan as Party Appears to Win Big" by MOTOKO RICH via NYT https://t.co/rDNGPxplrJ</t>
  </si>
  <si>
    <t xml:space="preserve">Oxford</t>
  </si>
  <si>
    <t xml:space="preserve">You know that feeling when you see someone you don't know through a bus window and you think very nice Yes? That's us.</t>
  </si>
  <si>
    <t xml:space="preserve">Werei</t>
  </si>
  <si>
    <t xml:space="preserve">Shinzo Abe secures strong mandate in Japan's general election https://t.co/MvaZ15Kux5</t>
  </si>
  <si>
    <t xml:space="preserve">Republic of Bastok,Vana'diel</t>
  </si>
  <si>
    <t xml:space="preserve">リーネと一緒に英文学を学びたい人生だった</t>
  </si>
  <si>
    <t xml:space="preserve">Kentaro_SUZUKI</t>
  </si>
  <si>
    <t xml:space="preserve">Shinzo Abe secures strong mandate in Japan's general election https://t.co/O74zFzLK11</t>
  </si>
  <si>
    <t xml:space="preserve">Matsudo, Chiba, Japan</t>
  </si>
  <si>
    <t xml:space="preserve">a writer/editor/translator interested in CIVIL CURRENCY</t>
  </si>
  <si>
    <t xml:space="preserve">jrterriers</t>
  </si>
  <si>
    <t xml:space="preserve">Exit polls show snap election gambit pays off for Japan PM Shinzo Abe https://t.co/raXQeS5Wbf https://t.co/znSk1ZmbWB</t>
  </si>
  <si>
    <t xml:space="preserve">Texas</t>
  </si>
  <si>
    <t xml:space="preserve">Israel C (Ben Ahuv)</t>
  </si>
  <si>
    <t xml:space="preserve">Panamá</t>
  </si>
  <si>
    <t xml:space="preserve">Profesional de las Telecomunicaciones por más de 30 años. Aprendiz de Liderazgo. Creo en Dios y le creo a Dios, y espero verle cara a cara. Ben ahuv del Eterno.</t>
  </si>
  <si>
    <t xml:space="preserve">Motoko Rich</t>
  </si>
  <si>
    <t xml:space="preserve">Is CNN's lead jumping the gun on a third term for Shinzo Abe? Party leader election is next year https://t.co/ummwJZIXaI</t>
  </si>
  <si>
    <r>
      <rPr>
        <sz val="8"/>
        <rFont val="Noto Sans CJK SC Regular"/>
        <family val="2"/>
      </rPr>
      <t xml:space="preserve">リッチ 素子 </t>
    </r>
    <r>
      <rPr>
        <sz val="8"/>
        <rFont val="Droid Sans"/>
        <family val="0"/>
        <charset val="1"/>
      </rPr>
      <t xml:space="preserve">NYT Tokyo buro chief covering Japan &amp; Koreas. Mom, wife, book &amp; binge TV fiend. Secure msg @ peerio motokorichnyt https://t.co/gCOMIIWHfs</t>
    </r>
  </si>
  <si>
    <t xml:space="preserve">Pierre Gestede</t>
  </si>
  <si>
    <t xml:space="preserve">FOX NEWS: Japan election: Shinzo Abe's party likely to seize control in lower house https://t.co/yMAfeAuk6O… https://t.co/vPS19OPlEa</t>
  </si>
  <si>
    <t xml:space="preserve">Keigo Imai</t>
  </si>
  <si>
    <t xml:space="preserve">Shinzo Abe secures strong mandate in Japan's general election https://t.co/rB689mwODH</t>
  </si>
  <si>
    <t xml:space="preserve">(Junk ad blocking)</t>
  </si>
  <si>
    <t xml:space="preserve">Software engineer working at a university. Loves Haskell/OCaml and concurrency theory. PhD.</t>
  </si>
  <si>
    <t xml:space="preserve">内臓脂肪マン</t>
  </si>
  <si>
    <t xml:space="preserve">Shinzo Abe secures strong mandate in Japan's general election https://t.co/XVp4aANM2M</t>
  </si>
  <si>
    <t xml:space="preserve">東亜重工本土</t>
  </si>
  <si>
    <t xml:space="preserve">PSN:shell82512,Steam:shell82,Origin:shell825</t>
  </si>
  <si>
    <t xml:space="preserve">Cheryl Tuckett</t>
  </si>
  <si>
    <t xml:space="preserve">Mum to two inspiring kids; enthralled by a book's potential; engaged in sharing ideas; value freedom of choice; encourage acceptance &amp; peace; crazy for colour</t>
  </si>
  <si>
    <t xml:space="preserve">NaturalKitchen</t>
  </si>
  <si>
    <t xml:space="preserve">Environmentalist</t>
  </si>
  <si>
    <t xml:space="preserve">Ryan Lailvaux</t>
  </si>
  <si>
    <t xml:space="preserve">Bristol, England</t>
  </si>
  <si>
    <t xml:space="preserve">Politics. Writer. Civil Rights &amp; Liberties. Gym. Technology. Travel. 🇬🇧🇿🇦. @DallasCowboys &amp; @LUFC.</t>
  </si>
  <si>
    <t xml:space="preserve">なびすけすたいる 改憲誘導＝亡国</t>
  </si>
  <si>
    <r>
      <rPr>
        <sz val="8"/>
        <rFont val="Droid Sans"/>
        <family val="0"/>
        <charset val="1"/>
      </rPr>
      <t xml:space="preserve">#</t>
    </r>
    <r>
      <rPr>
        <sz val="8"/>
        <rFont val="Noto Sans CJK SC Regular"/>
        <family val="2"/>
      </rPr>
      <t xml:space="preserve">外国人参政権反対 </t>
    </r>
    <r>
      <rPr>
        <sz val="8"/>
        <rFont val="Droid Sans"/>
        <family val="0"/>
        <charset val="1"/>
      </rPr>
      <t xml:space="preserve">#</t>
    </r>
    <r>
      <rPr>
        <sz val="8"/>
        <rFont val="Noto Sans CJK SC Regular"/>
        <family val="2"/>
      </rPr>
      <t xml:space="preserve">脱洗脳スペシャル </t>
    </r>
    <r>
      <rPr>
        <sz val="8"/>
        <rFont val="Droid Sans"/>
        <family val="0"/>
        <charset val="1"/>
      </rPr>
      <t xml:space="preserve">#</t>
    </r>
    <r>
      <rPr>
        <sz val="8"/>
        <rFont val="Noto Sans CJK SC Regular"/>
        <family val="2"/>
      </rPr>
      <t xml:space="preserve">与野党グル </t>
    </r>
    <r>
      <rPr>
        <sz val="8"/>
        <rFont val="Droid Sans"/>
        <family val="0"/>
        <charset val="1"/>
      </rPr>
      <t xml:space="preserve">#</t>
    </r>
    <r>
      <rPr>
        <sz val="8"/>
        <rFont val="Noto Sans CJK SC Regular"/>
        <family val="2"/>
      </rPr>
      <t xml:space="preserve">与野党グル移民推進日本解体 </t>
    </r>
    <r>
      <rPr>
        <sz val="8"/>
        <rFont val="Droid Sans"/>
        <family val="0"/>
        <charset val="1"/>
      </rPr>
      <t xml:space="preserve">#</t>
    </r>
    <r>
      <rPr>
        <sz val="8"/>
        <rFont val="Noto Sans CJK SC Regular"/>
        <family val="2"/>
      </rPr>
      <t xml:space="preserve">不正選挙 </t>
    </r>
    <r>
      <rPr>
        <sz val="8"/>
        <rFont val="Droid Sans"/>
        <family val="0"/>
        <charset val="1"/>
      </rPr>
      <t xml:space="preserve">RT</t>
    </r>
    <r>
      <rPr>
        <sz val="8"/>
        <rFont val="Noto Sans CJK SC Regular"/>
        <family val="2"/>
      </rPr>
      <t xml:space="preserve">は多義的。真性保守政党がない。売国党だらけ。日本人は危機感を。</t>
    </r>
  </si>
  <si>
    <t xml:space="preserve">"Abe didn’t so much win it as the opposition just was totally unprepared" https://t.co/WSeKs6jaOZ</t>
  </si>
  <si>
    <t xml:space="preserve">Abe Cements Hold on Power in Japan With Election Win: Japanese Prime Minister Shinzo Abe was on course for a strong… https://t.co/GxzISeGC4y</t>
  </si>
  <si>
    <t xml:space="preserve">Al Jazeera News</t>
  </si>
  <si>
    <t xml:space="preserve">Japan's PM Shinzo Abe poised to win snap election https://t.co/0U0ajoVJMR https://t.co/tW5tnhAarV</t>
  </si>
  <si>
    <t xml:space="preserve">Doha, Qatar</t>
  </si>
  <si>
    <t xml:space="preserve">Breaking news and ongoing coverage from around the world. Follow @AJEnglish for unique perspectives, videos, and more.</t>
  </si>
  <si>
    <t xml:space="preserve">Roxy</t>
  </si>
  <si>
    <t xml:space="preserve">Sydney/TrinityBeach Australia</t>
  </si>
  <si>
    <t xml:space="preserve">Documentary tragic luv science, nature, arts, other cultures/people, places...hates reality tv shows..country girl at heart 🌸 I grew these 🌸</t>
  </si>
  <si>
    <t xml:space="preserve">Japan election: Shinzo Abe projected to win - The Washington Post https://t.co/ruTlWN9uny</t>
  </si>
  <si>
    <t xml:space="preserve">Ethlyn Vogler</t>
  </si>
  <si>
    <t xml:space="preserve">Vintage; lived thru the assassinations, Vietnam, Nixon, Reagan, W, 9/11, Great Recession; profound respect for President Obama &amp; several who served him.</t>
  </si>
  <si>
    <t xml:space="preserve">Kazuhisa Yamamoto</t>
  </si>
  <si>
    <t xml:space="preserve">RT @AJENews: Japan's PM Shinzo Abe poised to win snap election https://t.co/0U0ajoVJMR https://t.co/tW5tnhAarV</t>
  </si>
  <si>
    <t xml:space="preserve">I love the smell of napalm in the morning ( • ̀ω•́ )✧</t>
  </si>
  <si>
    <t xml:space="preserve">Lodi Arya Stark</t>
  </si>
  <si>
    <t xml:space="preserve">Los Banos, Calabarzon</t>
  </si>
  <si>
    <t xml:space="preserve">Bachelor of Science in Forestry | Forest Genetics and Biotechnology Major | UPLB Class of 2016</t>
  </si>
  <si>
    <t xml:space="preserve">mAt global</t>
  </si>
  <si>
    <t xml:space="preserve">Shinzo Abe secures strong mandate in Japan's general election - The Guardian https://t.co/q6CHDbTBRn News CA</t>
  </si>
  <si>
    <t xml:space="preserve">media #mAt #global world #africa #asia #europe #america #australia</t>
  </si>
  <si>
    <t xml:space="preserve">Shinzo Abe secures strong mandate in Japan's general election: https://t.co/YFsItQiVwg</t>
  </si>
  <si>
    <t xml:space="preserve">Freddie Keene</t>
  </si>
  <si>
    <t xml:space="preserve">"Election Risk Pays Off for Shinzo Abe of Japan as Party Appears to Win Big" by MOTOKO RICH via NYT https://t.co/E3nbXyjwdd</t>
  </si>
  <si>
    <t xml:space="preserve">Kill Devil Hills</t>
  </si>
  <si>
    <t xml:space="preserve">Wanna be beach bum by day, bartender &amp; bon vivant by night. Living the life most people envy!</t>
  </si>
  <si>
    <t xml:space="preserve">σ∂єу т. вєη‎נαмιη</t>
  </si>
  <si>
    <t xml:space="preserve">#3tking Shinzo Abe secures strong mandate in #Japan's general election https://t.co/Fqg3JAAkhi #shinzoabe</t>
  </si>
  <si>
    <t xml:space="preserve">Federal Capital Territory, Nig</t>
  </si>
  <si>
    <t xml:space="preserve">A young entrepreneur innovating business ideas,investments plan and lots more and also make d world a better place. Don't forget to check out and #follow.</t>
  </si>
  <si>
    <t xml:space="preserve">linda nyberg</t>
  </si>
  <si>
    <t xml:space="preserve">Passion for news especially current affairs, life science, digital world, and health care issues. Tweets are my own, private.</t>
  </si>
  <si>
    <t xml:space="preserve">JNA</t>
  </si>
  <si>
    <t xml:space="preserve">RT @motokorich: "Abe didn’t so much win it as the opposition just was totally unprepared" https://t.co/WSeKs6jaOZ</t>
  </si>
  <si>
    <t xml:space="preserve">Flushing, Queens, NYC</t>
  </si>
  <si>
    <t xml:space="preserve">PhD Candidate in Visual &amp; Cultural Studies at @UofR producing research, curatorial, &amp; creative projects at the intersection of personal vision &amp; social justice.</t>
  </si>
  <si>
    <t xml:space="preserve">Rich TVX Channel 2™</t>
  </si>
  <si>
    <t xml:space="preserve">"Election Risk Pays Off for Shinzo Abe of Japan as Party Appears to Win Big" by MOTOKO RICH via NYT The New York T… https://t.co/zSwMHzdUxM</t>
  </si>
  <si>
    <t xml:space="preserve">@RichTVXChannel™ #Channel2 Edition #News plus #Style &amp; #Entertainment. #RichTVX</t>
  </si>
  <si>
    <t xml:space="preserve">TVKoolturalDgoHD</t>
  </si>
  <si>
    <t xml:space="preserve">"Election Risk Pays Off for Shinzo Abe of Japan as Party Appears to Win Big" by MOTOKO RICH via NYT https://t.co/WLOU9T2DAg</t>
  </si>
  <si>
    <t xml:space="preserve">México </t>
  </si>
  <si>
    <t xml:space="preserve">¡Una televisión diferente, e independiente; decimos lo que otros callan!</t>
  </si>
  <si>
    <t xml:space="preserve">Rich TVX™ Lebanon</t>
  </si>
  <si>
    <t xml:space="preserve">"Election Risk Pays Off for Shinzo Abe of Japan as Party Appears to Win Big" by MOTOKO RICH via NYT The New York T… https://t.co/NoX9gCQNrS</t>
  </si>
  <si>
    <t xml:space="preserve">@RichTVXChannel™ #Lebanon #Edition #News plus #style &amp; #entertainment. We #gothere.</t>
  </si>
  <si>
    <t xml:space="preserve">Luca Spinelli</t>
  </si>
  <si>
    <t xml:space="preserve">"Election Risk Pays Off for Shinzo Abe of Japan as Party Appears to Win Big" by MOTOKO RICH via #NYT… https://t.co/Bt8cZ7fcRI</t>
  </si>
  <si>
    <t xml:space="preserve">Monza e della Brianza</t>
  </si>
  <si>
    <t xml:space="preserve">NON SEGUO PIÙ #TWITTER. Per qualsiasi necessità: lucaspinelli@lucaspinelli.it o lucolo1012@gmail.com.</t>
  </si>
  <si>
    <t xml:space="preserve">agedchild</t>
  </si>
  <si>
    <t xml:space="preserve">"Election Risk Pays Off for Shinzo Abe of Japan as Party Appears to Win Big" by MOTOKO RICH via NYT https://t.co/KzBFUcm6GN</t>
  </si>
  <si>
    <t xml:space="preserve">look around may be i am there</t>
  </si>
  <si>
    <t xml:space="preserve">see someting..remember littel things..run for everything.. but can do bunch of things...i'm crazy boy</t>
  </si>
  <si>
    <t xml:space="preserve">"Election Risk Pays Off for Shinzo Abe of Japan as Party Appears to Win Big" by MOTOKO RICH via NYT The New York T… https://t.co/JAfO1PEEei</t>
  </si>
  <si>
    <t xml:space="preserve">Harry Jacobs</t>
  </si>
  <si>
    <t xml:space="preserve">"Election Risk Pays Off for Shinzo Abe of Japan as Party Appears to Win Big" by MOTOKO RICH via NYT The New York T… https://t.co/XHuksvlmjk</t>
  </si>
  <si>
    <t xml:space="preserve">New Zealand</t>
  </si>
  <si>
    <t xml:space="preserve">Gareth Lewis</t>
  </si>
  <si>
    <t xml:space="preserve">Shinzo Abe secures strong mandate in Japan's general election https://t.co/ML03AOUOeU</t>
  </si>
  <si>
    <t xml:space="preserve">Looking to do all the good I can, in all the ways I can, for all the people I can, for so long as I can. Liberal &amp; optimist. @popuppainting @LSEEI @libdemexpand</t>
  </si>
  <si>
    <t xml:space="preserve">慈永祐士</t>
  </si>
  <si>
    <t xml:space="preserve">Sri Lanka,  </t>
  </si>
  <si>
    <r>
      <rPr>
        <sz val="8"/>
        <rFont val="Noto Sans CJK SC Regular"/>
        <family val="2"/>
      </rPr>
      <t xml:space="preserve">ホームレスですが、仏教徒です。人生綱渡りです。流れている</t>
    </r>
    <r>
      <rPr>
        <sz val="8"/>
        <rFont val="Droid Sans"/>
        <family val="0"/>
        <charset val="1"/>
      </rPr>
      <t xml:space="preserve">Tweet</t>
    </r>
    <r>
      <rPr>
        <sz val="8"/>
        <rFont val="Noto Sans CJK SC Regular"/>
        <family val="2"/>
      </rPr>
      <t xml:space="preserve">のほとんどは、脳内で発生している電流が見せている妄念です。</t>
    </r>
    <r>
      <rPr>
        <sz val="8"/>
        <rFont val="Droid Sans"/>
        <family val="0"/>
        <charset val="1"/>
      </rPr>
      <t xml:space="preserve">https://t.co/YEGEMYPmCm</t>
    </r>
  </si>
  <si>
    <t xml:space="preserve">Ailbhe B</t>
  </si>
  <si>
    <t xml:space="preserve">Meath, Ireland</t>
  </si>
  <si>
    <t xml:space="preserve">Final Year BESS Student at Trinity College Dublin. Interested in all things political. Occasionally nocturnal. Tea connoisseur.</t>
  </si>
  <si>
    <t xml:space="preserve">Election Risk Pays Off for Shinzo Abe of Japan as Party Appears to Win Big by MOTOKO RICH https://t.co/eGvQ0UmTdQ https://t.co/oWykDz53c0</t>
  </si>
  <si>
    <t xml:space="preserve">ST</t>
  </si>
  <si>
    <t xml:space="preserve">Shinzo Abe secures strong mandate in Japan's general election https://t.co/V9AiiWUUUy</t>
  </si>
  <si>
    <t xml:space="preserve">Brunoy, France</t>
  </si>
  <si>
    <t xml:space="preserve">#IPSA #Segpa4Life FCN @solenemqt @OL</t>
  </si>
  <si>
    <t xml:space="preserve">"Election Risk Pays Off for Shinzo Abe of Japan as Party Appears to Win Big" by MOTOKO RICH via NYT https://t.co/giSVaA6eJf</t>
  </si>
  <si>
    <t xml:space="preserve">RichTVX™Breaking</t>
  </si>
  <si>
    <t xml:space="preserve">"Election Risk Pays Off for Shinzo Abe of Japan as Party Appears to Win Big" by MOTOKO RICH via NYT The New York T… https://t.co/2gyLFT4VBf</t>
  </si>
  <si>
    <t xml:space="preserve">Breaking news alerts and updates from the @RichTVXChannel™ @BreakingEDMNews @TheEDMNetwork1 #RichTVX</t>
  </si>
  <si>
    <t xml:space="preserve">"Election Risk Pays Off for Shinzo Abe of Japan as Party Appears to Win Big" by MOTOKO RICH via NYT https://t.co/Tod64SsYs8</t>
  </si>
  <si>
    <t xml:space="preserve">Tausif Reza</t>
  </si>
  <si>
    <t xml:space="preserve">"Election Risk Pays Off for Shinzo Abe of Japan as Party Appears to Win Big" by MOTOKO RICH via NYT… https://t.co/zbC953xU5V</t>
  </si>
  <si>
    <t xml:space="preserve">Nepal</t>
  </si>
  <si>
    <t xml:space="preserve">Bernardo van Olst</t>
  </si>
  <si>
    <t xml:space="preserve">"Election Risk Pays Off for Shinzo Abe of Japan as Party Appears to Win Big" by MOTOKO RICH via NYT The New York T… https://t.co/9MCVYsuch6</t>
  </si>
  <si>
    <t xml:space="preserve">Balkbrug,  The Netherlands</t>
  </si>
  <si>
    <t xml:space="preserve">1970|Dutch|currently 'Learning myself' @ 'University of Life'|formerly journalist for tv/radio/magazines|formerly pr-officer|Music|Politics|Christian|Cycling|TV</t>
  </si>
  <si>
    <t xml:space="preserve">Mark SEMAKULA™</t>
  </si>
  <si>
    <t xml:space="preserve">0.3137° N, 32.6249° E, Africa</t>
  </si>
  <si>
    <t xml:space="preserve">Catholic | Techie | Movie-buff | Policy&amp;infomation-junky | up-coming Farmer</t>
  </si>
  <si>
    <t xml:space="preserve">Rich TVX™ Balkans</t>
  </si>
  <si>
    <t xml:space="preserve">"Election Risk Pays Off for Shinzo Abe of Japan as Party Appears to Win Big" by MOTOKO RICH via NYT The New York T… https://t.co/e3Qka14xJD</t>
  </si>
  <si>
    <t xml:space="preserve">@RichTVXChannel™ #Balkans #Edition #News plus #style &amp; #entertainment. We #gothere.</t>
  </si>
  <si>
    <t xml:space="preserve">Llewellyn Lamaca</t>
  </si>
  <si>
    <t xml:space="preserve">"Election Risk Pays Off for Shinzo Abe of Japan as Party Appears to Win Big" by MOTOKO RICH via NYT The New York T… https://t.co/NTW0QGGuf1</t>
  </si>
  <si>
    <t xml:space="preserve">Canada</t>
  </si>
  <si>
    <t xml:space="preserve">pas de nouvelles bonne nouvelle</t>
  </si>
  <si>
    <t xml:space="preserve">Rich TVX™ America</t>
  </si>
  <si>
    <t xml:space="preserve">"Election Risk Pays Off for Shinzo Abe of Japan as Party Appears to Win Big" by MOTOKO RICH via NYT The New York T… https://t.co/MUNpGZvR1s</t>
  </si>
  <si>
    <t xml:space="preserve">Eivissa, Spain</t>
  </si>
  <si>
    <t xml:space="preserve">Breaking #America news from @RichTVXChannel™ @RichTVXSports #RichTVX #StayTuned</t>
  </si>
  <si>
    <t xml:space="preserve">Rich TVX™ Live</t>
  </si>
  <si>
    <t xml:space="preserve">"Election Risk Pays Off for Shinzo Abe of Japan as Party Appears to Win Big" by MOTOKO RICH via NYT The New York T… https://t.co/aDGLrxhhVh</t>
  </si>
  <si>
    <t xml:space="preserve">The Official Rich TVX™ #Live Twitter page @RichTVXChannel #RichTVX #StayTuned</t>
  </si>
  <si>
    <t xml:space="preserve">Shinzo Abe's party appears to have won a majority. A victory would allow it to revise Japan’s pacifist Constitution. https://t.co/ovjfixXIad</t>
  </si>
  <si>
    <t xml:space="preserve">Rich TVX Channel 3™</t>
  </si>
  <si>
    <t xml:space="preserve">"Election Risk Pays Off for Shinzo Abe of Japan as Party Appears to Win Big" by MOTOKO RICH via NYT The New York T… https://t.co/3UwD7PysB4</t>
  </si>
  <si>
    <t xml:space="preserve">@RichTVXChannel™ #Channel3 Edition #News plus #Style &amp; #Entertainment. #RichTVX</t>
  </si>
  <si>
    <t xml:space="preserve">Michael Gabrill</t>
  </si>
  <si>
    <t xml:space="preserve">"Election Risk Pays Off for Shinzo Abe of Japan as Party Appears to Win Big" by MOTOKO RICH via NYT… https://t.co/QoVSrp2Ff6</t>
  </si>
  <si>
    <t xml:space="preserve">Kansas, MO</t>
  </si>
  <si>
    <t xml:space="preserve">Michael Gabrill official Twitter account. Follow for grt tweets! http://t.co/NPzZbWD03R http://t.co/kj8DLl3W13 http://t.co/jKz8VSoCoN http://t.co/ObzlscGJHI</t>
  </si>
  <si>
    <t xml:space="preserve">ちぇるしー。</t>
  </si>
  <si>
    <t xml:space="preserve">RT @nytimesworld: Shinzo Abe's party appears to have won a majority. A victory would allow it to revise Japan’s pacifist Constitution. http…</t>
  </si>
  <si>
    <t xml:space="preserve">Biyon Lite</t>
  </si>
  <si>
    <t xml:space="preserve">日本⇔マレーシア</t>
  </si>
  <si>
    <t xml:space="preserve">ごはんください</t>
  </si>
  <si>
    <t xml:space="preserve">Shinzo Abe secures strong mandate in Japan’s general election https://t.co/dGjqBAX20V https://t.co/5vJERUrEkz</t>
  </si>
  <si>
    <t xml:space="preserve">Rob Stevens</t>
  </si>
  <si>
    <t xml:space="preserve">Lecturer in Geography + Planning. Centre Left &amp; Ultra Remainer. Politics; Economics; China. An HJ Chang admirer. A Bristol Rovers fan. All opinions personal.</t>
  </si>
  <si>
    <t xml:space="preserve">Shinzo Abe secures strong mandate in Japan’s general election https://t.co/5zGb7NDZEg https://t.co/4PvPfRkDfH</t>
  </si>
  <si>
    <t xml:space="preserve">Shinzo Abe secures strong mandate in Japan’s general election https://t.co/ojtuYCbtJY https://t.co/sfFWBE7Y3W</t>
  </si>
  <si>
    <t xml:space="preserve">Rich TVX™ Russia</t>
  </si>
  <si>
    <t xml:space="preserve">"Election Risk Pays Off for Shinzo Abe of Japan as Party Appears to Win Big" by MOTOKO RICH via NYT The New York T… https://t.co/FpxrOo4wtW</t>
  </si>
  <si>
    <t xml:space="preserve">@RichTVXChannel™ #Russia #Росси́я, #Edition #News plus #style &amp; #entertainment. We #gothere.</t>
  </si>
  <si>
    <t xml:space="preserve">yaguctak</t>
  </si>
  <si>
    <t xml:space="preserve">かいじゅうたちのいるところ</t>
  </si>
  <si>
    <t xml:space="preserve">都内・近県でフリーの写真屋をやってます。 学校関係・ダンス発表会・屋内スポーツが得意分野です。急な撮影のご依頼でも可能な限りお請けします。 よろしくお願いいたします。</t>
  </si>
  <si>
    <t xml:space="preserve">Ma</t>
  </si>
  <si>
    <t xml:space="preserve">matt</t>
  </si>
  <si>
    <r>
      <rPr>
        <sz val="8"/>
        <rFont val="Droid Sans"/>
        <family val="0"/>
        <charset val="1"/>
      </rPr>
      <t xml:space="preserve">RichTVX™ Japan</t>
    </r>
    <r>
      <rPr>
        <sz val="8"/>
        <rFont val="Noto Sans CJK SC Regular"/>
        <family val="2"/>
      </rPr>
      <t xml:space="preserve">日本</t>
    </r>
  </si>
  <si>
    <t xml:space="preserve">"Election Risk Pays Off for Shinzo Abe of Japan as Party Appears to Win Big" by MOTOKO RICH via NYT The New York T… https://t.co/z8IlLi1kVC</t>
  </si>
  <si>
    <r>
      <rPr>
        <sz val="8"/>
        <rFont val="Droid Sans"/>
        <family val="0"/>
        <charset val="1"/>
      </rPr>
      <t xml:space="preserve">Breaking Japan </t>
    </r>
    <r>
      <rPr>
        <sz val="8"/>
        <rFont val="Noto Sans CJK SC Regular"/>
        <family val="2"/>
      </rPr>
      <t xml:space="preserve">日本 </t>
    </r>
    <r>
      <rPr>
        <sz val="8"/>
        <rFont val="Droid Sans"/>
        <family val="0"/>
        <charset val="1"/>
      </rPr>
      <t xml:space="preserve">news from @RichTVXChannel™ @RichTVXSports #RichTVX #StayTuned</t>
    </r>
  </si>
  <si>
    <t xml:space="preserve">آرتامن / Artamène</t>
  </si>
  <si>
    <t xml:space="preserve"> הֲבֵל הֲבָלִים הַכֹּל הָבֶל</t>
  </si>
  <si>
    <t xml:space="preserve">Spectateur ironique du monde, entre politique, diplomatie &amp; linguistique. Aléthiomètre de l'inutile, tweete à ses heures perdues, en écoutant @fipradio.</t>
  </si>
  <si>
    <t xml:space="preserve">Pranab Prakhar</t>
  </si>
  <si>
    <t xml:space="preserve">RTs &amp; QTs does not mean endorsement.</t>
  </si>
  <si>
    <t xml:space="preserve">ひさこ</t>
  </si>
  <si>
    <r>
      <rPr>
        <sz val="8"/>
        <rFont val="Noto Sans CJK SC Regular"/>
        <family val="2"/>
      </rPr>
      <t xml:space="preserve">ネコと映画が好きな </t>
    </r>
    <r>
      <rPr>
        <sz val="8"/>
        <rFont val="Droid Sans"/>
        <family val="0"/>
        <charset val="1"/>
      </rPr>
      <t xml:space="preserve">#</t>
    </r>
    <r>
      <rPr>
        <sz val="8"/>
        <rFont val="Noto Sans CJK SC Regular"/>
        <family val="2"/>
      </rPr>
      <t xml:space="preserve">肉球新党 党員</t>
    </r>
  </si>
  <si>
    <t xml:space="preserve">Martin Zwart</t>
  </si>
  <si>
    <t xml:space="preserve">"Election Risk Pays Off for Shinzo Abe of Japan as Party Appears to Win Big" by MOTOKO RICH via NYT The New York T… https://t.co/XeRxsHY8UF</t>
  </si>
  <si>
    <t xml:space="preserve">Amsterdam, The Netherlands</t>
  </si>
  <si>
    <t xml:space="preserve">#E-learning: Schoolkids with smartphones ahead of their teachers. #Mobile #Innovation in #MBO #Education #Google #AppMaker https://t.co/zA5F0oSQzE #Guitarist</t>
  </si>
  <si>
    <t xml:space="preserve">腐糞数</t>
  </si>
  <si>
    <t xml:space="preserve">sdkfdkfk</t>
  </si>
  <si>
    <t xml:space="preserve">namidanam</t>
  </si>
  <si>
    <t xml:space="preserve">"Election Risk Pays Off for Shinzo Abe of Japan as Party Appears to Win Big" by MOTOKO RICH via NYT The New York T… https://t.co/gGEuuSVld4</t>
  </si>
  <si>
    <t xml:space="preserve">Heaven</t>
  </si>
  <si>
    <t xml:space="preserve">Jesus follower on a mission to reach People with the God's words. And show the way to God's own Heavenly Kingdom..</t>
  </si>
  <si>
    <t xml:space="preserve">Kyra F Hazelton</t>
  </si>
  <si>
    <t xml:space="preserve">"Election Risk Pays Off for Shinzo Abe of Japan as Party Appears to Win Big" by MOTOKO RICH via NYT… https://t.co/VjnKQ7ZBKx</t>
  </si>
  <si>
    <t xml:space="preserve">Maine</t>
  </si>
  <si>
    <t xml:space="preserve">I make &amp; sell Jewelry and also use internet to make money. I'm also Mother of 2 and Grandmother of 6. All of whom are my Pride &amp; Joy! I am also an Earth Pagan.</t>
  </si>
  <si>
    <t xml:space="preserve">Al Jazeera English</t>
  </si>
  <si>
    <t xml:space="preserve">BREAKING: Japan's Prime Minister Shinzo Abe is on course for a victory in the country's snap general election… https://t.co/HXa5oK1ZMg</t>
  </si>
  <si>
    <t xml:space="preserve">Everyone has a story worth hearing. Follow @AJENews for breaking news.</t>
  </si>
  <si>
    <t xml:space="preserve">Jay</t>
  </si>
  <si>
    <r>
      <rPr>
        <sz val="8"/>
        <rFont val="Droid Sans"/>
        <family val="0"/>
        <charset val="1"/>
      </rPr>
      <t xml:space="preserve">I’m a Japanese businessman who love MLB, Yankees, NPB, Tokyo Giants, Music, Movie, JY, Bodybuilding, Boxing, Pro-Wrestling, MMA, and Family! </t>
    </r>
    <r>
      <rPr>
        <sz val="8"/>
        <rFont val="Noto Sans CJK SC Regular"/>
        <family val="2"/>
      </rPr>
      <t xml:space="preserve">世界を翔けるビジネスマンやっとります笑</t>
    </r>
  </si>
  <si>
    <t xml:space="preserve">Rich TVX™ Africa</t>
  </si>
  <si>
    <t xml:space="preserve">"Election Risk Pays Off for Shinzo Abe of Japan as Party Appears to Win Big" by MOTOKO RICH via NYT The New York T… https://t.co/RPgBpidNf9</t>
  </si>
  <si>
    <t xml:space="preserve">@RichTVXChannel™ #Africa #Edition #News plus #style &amp; #entertainment. We #gothere.</t>
  </si>
  <si>
    <t xml:space="preserve">Suhayla Widaad Toma</t>
  </si>
  <si>
    <t xml:space="preserve">"Election Risk Pays Off for Shinzo Abe of Japan as Party Appears to Win Big" The New York Times https://t.co/bsbIHDQG9b</t>
  </si>
  <si>
    <t xml:space="preserve">Varun Dave</t>
  </si>
  <si>
    <t xml:space="preserve">RT @aparanjape: Prime Minister Abe poised to win Japan's general election https://t.co/ixzJrs6QT4 via @FRANCE24</t>
  </si>
  <si>
    <t xml:space="preserve">Vadodara,India</t>
  </si>
  <si>
    <t xml:space="preserve">|Mindless Retweeter| Interested in meaningful social interactions and living active and fulfilling life...</t>
  </si>
  <si>
    <t xml:space="preserve">Misgivings 🐝💜</t>
  </si>
  <si>
    <t xml:space="preserve">RT @AJEnglish: BREAKING: Japan's Prime Minister Shinzo Abe is on course for a victory in the country's snap general election https://t.co/f…</t>
  </si>
  <si>
    <t xml:space="preserve">Coleridge's Xanadu </t>
  </si>
  <si>
    <t xml:space="preserve">Fuck T**** and fuck everyone who voted for him.</t>
  </si>
  <si>
    <t xml:space="preserve">Rosie Rocket</t>
  </si>
  <si>
    <t xml:space="preserve">Solar wind and geothermal energy is what we need.</t>
  </si>
  <si>
    <t xml:space="preserve">Seçkin Deniz</t>
  </si>
  <si>
    <t xml:space="preserve">Türkiye</t>
  </si>
  <si>
    <t xml:space="preserve">Karanlıksa sonsuz ışıktan bir ark salınır ötelerden, aydınlıksa karanlık...</t>
  </si>
  <si>
    <t xml:space="preserve">penny collenette</t>
  </si>
  <si>
    <t xml:space="preserve">Ottawa/Toronto</t>
  </si>
  <si>
    <t xml:space="preserve">O.Ont., Public Policy Commentator, Vice-Chair, UN Assoc (Cda), Adjunct Law Prof., UOttawa, Fmr. KSG, Harvard, Sr.Dir., PMO, VP, G. Weston Ltd.</t>
  </si>
  <si>
    <t xml:space="preserve">仙台世之介</t>
  </si>
  <si>
    <t xml:space="preserve">仙台</t>
  </si>
  <si>
    <r>
      <rPr>
        <sz val="8"/>
        <rFont val="Noto Sans CJK SC Regular"/>
        <family val="2"/>
      </rPr>
      <t xml:space="preserve">アイドル、北朝鮮、中東、国際政治、いろいろ好き勝手につぶやきます。 ラジオやってます。毎週金曜 </t>
    </r>
    <r>
      <rPr>
        <sz val="8"/>
        <rFont val="Droid Sans"/>
        <family val="0"/>
        <charset val="1"/>
      </rPr>
      <t xml:space="preserve">15:00</t>
    </r>
    <r>
      <rPr>
        <sz val="8"/>
        <rFont val="Noto Sans CJK SC Regular"/>
        <family val="2"/>
      </rPr>
      <t xml:space="preserve">～</t>
    </r>
    <r>
      <rPr>
        <sz val="8"/>
        <rFont val="Droid Sans"/>
        <family val="0"/>
        <charset val="1"/>
      </rPr>
      <t xml:space="preserve">17:00</t>
    </r>
    <r>
      <rPr>
        <sz val="8"/>
        <rFont val="Noto Sans CJK SC Regular"/>
        <family val="2"/>
      </rPr>
      <t xml:space="preserve">＠ラジオ３ サイマルラジオでも聞けます。</t>
    </r>
    <r>
      <rPr>
        <sz val="8"/>
        <rFont val="Droid Sans"/>
        <family val="0"/>
        <charset val="1"/>
      </rPr>
      <t xml:space="preserve">Ustream</t>
    </r>
    <r>
      <rPr>
        <sz val="8"/>
        <rFont val="Noto Sans CJK SC Regular"/>
        <family val="2"/>
      </rPr>
      <t xml:space="preserve">配信もあったりします。 終了後の「反省会」は</t>
    </r>
    <r>
      <rPr>
        <sz val="8"/>
        <rFont val="Droid Sans"/>
        <family val="0"/>
        <charset val="1"/>
      </rPr>
      <t xml:space="preserve">Ust</t>
    </r>
    <r>
      <rPr>
        <sz val="8"/>
        <rFont val="Noto Sans CJK SC Regular"/>
        <family val="2"/>
      </rPr>
      <t xml:space="preserve">のみ。</t>
    </r>
  </si>
  <si>
    <t xml:space="preserve">Beatrice S.</t>
  </si>
  <si>
    <t xml:space="preserve">Paris/Rio de Janeiro</t>
  </si>
  <si>
    <t xml:space="preserve">*Time flies, you can't, they fly too fast.*</t>
  </si>
  <si>
    <t xml:space="preserve">Mohammad Surono</t>
  </si>
  <si>
    <t xml:space="preserve">desa batokan,kecamatan kasiman</t>
  </si>
  <si>
    <t xml:space="preserve">السلام عليكم , ________d84572c3_________ semoga saya orang yang baik. terima kasih, saya telah membagi berita dan mengcopy foto dari anda.</t>
  </si>
  <si>
    <t xml:space="preserve">ジェイク</t>
  </si>
  <si>
    <t xml:space="preserve">Aina 🎃🦇</t>
  </si>
  <si>
    <t xml:space="preserve">ゆきほ</t>
  </si>
  <si>
    <t xml:space="preserve">Ali Gencer .</t>
  </si>
  <si>
    <t xml:space="preserve">Turkey Politics Science &amp; Technology Politics, movies,history,architecture, archeology ....... Sevgiliye verilmis en guzel hediye,Sadakattir!Hz.Ali</t>
  </si>
  <si>
    <t xml:space="preserve">Marc Argentin@100%</t>
  </si>
  <si>
    <t xml:space="preserve">República Argentina, CABA</t>
  </si>
  <si>
    <t xml:space="preserve">C++ Sentido común, razón de ser, no banco la corrupción, deseo JUSTICIA y un FUTURO REAL PARA NUESTROS HIJOS!</t>
  </si>
  <si>
    <t xml:space="preserve">JSH RMB</t>
  </si>
  <si>
    <t xml:space="preserve">"Election Risk Pays Off for Shinzo Abe of Japan as Party Appears to Win Big" by MOTOKO RICH via #NYT The New York … https://t.co/ZEGk98t6QW</t>
  </si>
  <si>
    <t xml:space="preserve">Who Watches the Watchmen?</t>
  </si>
  <si>
    <t xml:space="preserve">Rohit</t>
  </si>
  <si>
    <t xml:space="preserve">CA Aspirant.Proud Hindu.Respect all religions apart from Islam.Trying to be Vegan!</t>
  </si>
  <si>
    <t xml:space="preserve">Char Azmable</t>
  </si>
  <si>
    <t xml:space="preserve">Election Risk Pays Off for Shinzo Abe of Japan as Party Appears to Win Big https://t.co/nCuN4UZOiG</t>
  </si>
  <si>
    <t xml:space="preserve">I am being crazed with baseball and football. Particuraly, Seibu Lions and Cerezo Osaka are my favorite!! Of course, Samurai Blue as well!!</t>
  </si>
  <si>
    <t xml:space="preserve">생소</t>
  </si>
  <si>
    <t xml:space="preserve">South Korea</t>
  </si>
  <si>
    <t xml:space="preserve">당신께 언제나 생소한 사람</t>
  </si>
  <si>
    <t xml:space="preserve">Rhys Taylor</t>
  </si>
  <si>
    <t xml:space="preserve">"Election Risk Pays Off for Shinzo Abe of Japan as Party Appears to Win Big" by MOTOKO RICH via NYT The New York T… https://t.co/OnaaTQKvbC</t>
  </si>
  <si>
    <t xml:space="preserve">california</t>
  </si>
  <si>
    <t xml:space="preserve">ImportantNews</t>
  </si>
  <si>
    <t xml:space="preserve">Election Risk Pays Off for Shinzo Abe of Japan as Party Appears to Win Big https://t.co/7PPFVe9TVe</t>
  </si>
  <si>
    <t xml:space="preserve">Coupon for airbnb:</t>
  </si>
  <si>
    <t xml:space="preserve">justblegit</t>
  </si>
  <si>
    <t xml:space="preserve">Chicago - My kind of town</t>
  </si>
  <si>
    <t xml:space="preserve">What lies behind us and what lies before us are tiny matters compared to what lies within us - Emerson</t>
  </si>
  <si>
    <t xml:space="preserve">Marcelo</t>
  </si>
  <si>
    <t xml:space="preserve">"Election Risk Pays Off for Shinzo Abe of Japan as Party Appears to Win Big" bonkers</t>
  </si>
  <si>
    <t xml:space="preserve">Dallas Mavericks</t>
  </si>
  <si>
    <t xml:space="preserve">Shinzo Abe's party appears to have won a majority. A victory would allow it to revise Japan’s pacifist Constitutio… https://t.co/DmNv7oL4H9</t>
  </si>
  <si>
    <t xml:space="preserve">Noboru Yoshikane</t>
  </si>
  <si>
    <t xml:space="preserve">Election Risk Pays Off for Shinzo Abe of Japan as Party Appears to Win Big via @NYTimes https://t.co/oUHqeOsyRp</t>
  </si>
  <si>
    <t xml:space="preserve">埼玉県</t>
  </si>
  <si>
    <t xml:space="preserve">興味があるもの：猫、列車、筑肥線、バスケットボール、野球、魚釣り、うさぎ、日本史、健康</t>
  </si>
  <si>
    <t xml:space="preserve">Daily News</t>
  </si>
  <si>
    <t xml:space="preserve">"Election Risk Pays Off for Shinzo Abe of Japan as Party Appears to Win Big" by MOTOKO RICH via NYT… https://t.co/AryfkV9UlY</t>
  </si>
  <si>
    <t xml:space="preserve">Budrowb News</t>
  </si>
  <si>
    <t xml:space="preserve">"Election Risk Pays Off for Shinzo Abe of Japan as Party Appears to Win Big" via NYT https://t.co/BJcaYbqlrv</t>
  </si>
  <si>
    <t xml:space="preserve">Chicago, IL
</t>
  </si>
  <si>
    <t xml:space="preserve">News from ABC, BBC, Fox News, CNN, WSJ, NYT, and more.</t>
  </si>
  <si>
    <t xml:space="preserve">ぼり</t>
  </si>
  <si>
    <r>
      <rPr>
        <sz val="8"/>
        <rFont val="Noto Sans CJK SC Regular"/>
        <family val="2"/>
      </rPr>
      <t xml:space="preserve">睡眠の重要性 </t>
    </r>
    <r>
      <rPr>
        <sz val="8"/>
        <rFont val="Droid Sans"/>
        <family val="0"/>
        <charset val="1"/>
      </rPr>
      <t xml:space="preserve">/ </t>
    </r>
    <r>
      <rPr>
        <sz val="8"/>
        <rFont val="Noto Sans CJK SC Regular"/>
        <family val="2"/>
      </rPr>
      <t xml:space="preserve">神奈川県</t>
    </r>
    <r>
      <rPr>
        <sz val="8"/>
        <rFont val="Droid Sans"/>
        <family val="0"/>
        <charset val="1"/>
      </rPr>
      <t xml:space="preserve">(Japan)</t>
    </r>
  </si>
  <si>
    <r>
      <rPr>
        <sz val="8"/>
        <rFont val="Noto Sans CJK SC Regular"/>
        <family val="2"/>
      </rPr>
      <t xml:space="preserve">自称プログラマの素人です。 </t>
    </r>
    <r>
      <rPr>
        <sz val="8"/>
        <rFont val="Droid Sans"/>
        <family val="0"/>
        <charset val="1"/>
      </rPr>
      <t xml:space="preserve">Mastodon: https://t.co/x0oOgU2c2j</t>
    </r>
  </si>
  <si>
    <t xml:space="preserve">武装🌙国難突破🌙月夜™</t>
  </si>
  <si>
    <r>
      <rPr>
        <sz val="8"/>
        <rFont val="Noto Sans CJK SC Regular"/>
        <family val="2"/>
      </rPr>
      <t xml:space="preserve">よく分からない新規フォローお断り❤しっかり考えるのが好き❤バカな発言にはバカと指摘するよ❤ 決め付けと思い込みな無礼者はスルー❤子ども電話相談『チャイルドライン➿</t>
    </r>
    <r>
      <rPr>
        <sz val="8"/>
        <rFont val="Droid Sans"/>
        <family val="0"/>
        <charset val="1"/>
      </rPr>
      <t xml:space="preserve">0120-99-777</t>
    </r>
    <r>
      <rPr>
        <sz val="8"/>
        <rFont val="Noto Sans CJK SC Regular"/>
        <family val="2"/>
      </rPr>
      <t xml:space="preserve">』オススメ➡ </t>
    </r>
    <r>
      <rPr>
        <sz val="8"/>
        <rFont val="Droid Sans"/>
        <family val="0"/>
        <charset val="1"/>
      </rPr>
      <t xml:space="preserve">https://t.co/nr21uo7Q1c https://t.co/bNO81FynDe </t>
    </r>
    <r>
      <rPr>
        <sz val="8"/>
        <rFont val="Noto Sans CJK SC Regular"/>
        <family val="2"/>
      </rPr>
      <t xml:space="preserve">何でもは答えないが</t>
    </r>
    <r>
      <rPr>
        <sz val="8"/>
        <rFont val="Droid Sans"/>
        <family val="0"/>
        <charset val="1"/>
      </rPr>
      <t xml:space="preserve">ask.fm</t>
    </r>
    <r>
      <rPr>
        <sz val="8"/>
        <rFont val="Noto Sans CJK SC Regular"/>
        <family val="2"/>
      </rPr>
      <t xml:space="preserve">開いてみた</t>
    </r>
  </si>
  <si>
    <t xml:space="preserve">babysophiecat🕊🕊🕊</t>
  </si>
  <si>
    <t xml:space="preserve">Modesto, CA</t>
  </si>
  <si>
    <t xml:space="preserve">DJ Baby Mama 2 Ellie Grace 🙏🏼Imma metal dog Imma cat =^_^= Imma bunny Imma scapegoat Imma martyr aiming for Peace Globally &amp; UN Global Goats🐐🐐🐐🕷🕸🌎🌍🌏✨</t>
  </si>
  <si>
    <t xml:space="preserve">"Election Risk Pays Off for Shinzo Abe of Japan as Party Appears to Win Big" by MOTOKO RICH via #NYT The New York … https://t.co/wceNpX83K2</t>
  </si>
  <si>
    <t xml:space="preserve">Api Ashraf</t>
  </si>
  <si>
    <t xml:space="preserve">"Election Risk Pays Off for Shinzo Abe of Japan as Party Appears to Win Big" by MOTOKO RICH via NYT The New York T… https://t.co/ZSoJQSu8kL</t>
  </si>
  <si>
    <t xml:space="preserve">Kotchandpur, Bangladesh</t>
  </si>
  <si>
    <t xml:space="preserve">#APIASHRAF PROGRAM #DEVELOPER, ENGINEER, #ENTERTAINER and A #SOCIAL ORGANIZER.</t>
  </si>
  <si>
    <t xml:space="preserve">Umar Adamu Garba</t>
  </si>
  <si>
    <t xml:space="preserve">Rich TVX™ MENA</t>
  </si>
  <si>
    <t xml:space="preserve">"Election Risk Pays Off for Shinzo Abe of Japan as Party Appears to Win Big" by MOTOKO RICH via NYT The New York T… https://t.co/ETDv8rbWIl</t>
  </si>
  <si>
    <t xml:space="preserve">@RichTVXChannel™ #MENA الشرق الأوسط وشمال أفريقيا #Edition #News plus #style &amp; #entertainment. We #gothere.</t>
  </si>
  <si>
    <t xml:space="preserve">またわ</t>
  </si>
  <si>
    <t xml:space="preserve">RT @masiw_net: Shinzo Abe secures strong mandate in Japan's general election https://t.co/dKtOvJojyU</t>
  </si>
  <si>
    <r>
      <rPr>
        <sz val="8"/>
        <rFont val="Noto Sans CJK SC Regular"/>
        <family val="2"/>
      </rPr>
      <t xml:space="preserve">福井県出身、大学生。マスコミ批判もするが、しょっちゅうテレビ・映画・新聞を見てる</t>
    </r>
    <r>
      <rPr>
        <sz val="8"/>
        <rFont val="Droid Sans"/>
        <family val="0"/>
        <charset val="1"/>
      </rPr>
      <t xml:space="preserve">&amp;</t>
    </r>
    <r>
      <rPr>
        <sz val="8"/>
        <rFont val="Noto Sans CJK SC Regular"/>
        <family val="2"/>
      </rPr>
      <t xml:space="preserve">読んでる。政治思想は保守系でファクト重視。好きな映画はショーシャンクの空に・最近のものだとシン・ゴジラなど。好きな漫画はワンピース・ドリフターズなど。好きなアニメは銀英伝・コードギアスなど。</t>
    </r>
  </si>
  <si>
    <t xml:space="preserve">tulip0123</t>
  </si>
  <si>
    <t xml:space="preserve">func</t>
  </si>
  <si>
    <r>
      <rPr>
        <sz val="8"/>
        <rFont val="Droid Sans"/>
        <family val="0"/>
        <charset val="1"/>
      </rPr>
      <t xml:space="preserve">(ns </t>
    </r>
    <r>
      <rPr>
        <sz val="8"/>
        <rFont val="Noto Sans CJK SC Regular"/>
        <family val="2"/>
      </rPr>
      <t xml:space="preserve">姉</t>
    </r>
    <r>
      <rPr>
        <sz val="8"/>
        <rFont val="Droid Sans"/>
        <family val="0"/>
        <charset val="1"/>
      </rPr>
      <t xml:space="preserve">)</t>
    </r>
  </si>
  <si>
    <r>
      <rPr>
        <sz val="8"/>
        <rFont val="Droid Sans"/>
        <family val="0"/>
        <charset val="1"/>
      </rPr>
      <t xml:space="preserve">type instance Friends </t>
    </r>
    <r>
      <rPr>
        <sz val="8"/>
        <rFont val="Noto Sans CJK SC Regular"/>
        <family val="2"/>
      </rPr>
      <t xml:space="preserve">姉 </t>
    </r>
    <r>
      <rPr>
        <sz val="8"/>
        <rFont val="Droid Sans"/>
        <family val="0"/>
        <charset val="1"/>
      </rPr>
      <t xml:space="preserve">Expr -- </t>
    </r>
    <r>
      <rPr>
        <sz val="8"/>
        <rFont val="Noto Sans CJK SC Regular"/>
        <family val="2"/>
      </rPr>
      <t xml:space="preserve">姉属性な式のフレンズ</t>
    </r>
  </si>
  <si>
    <t xml:space="preserve">Rob#NotMyPresident</t>
  </si>
  <si>
    <t xml:space="preserve">Sneads Ferry, NC</t>
  </si>
  <si>
    <t xml:space="preserve">A big snarky hermit.</t>
  </si>
  <si>
    <t xml:space="preserve">Shinzo Abe secures strong mandate in Japan's general election https://t.co/y7wziUzvLQ</t>
  </si>
  <si>
    <r>
      <rPr>
        <sz val="8"/>
        <rFont val="Noto Sans CJK SC Regular"/>
        <family val="2"/>
      </rPr>
      <t xml:space="preserve">趣味</t>
    </r>
    <r>
      <rPr>
        <sz val="8"/>
        <rFont val="Droid Sans"/>
        <family val="0"/>
        <charset val="1"/>
      </rPr>
      <t xml:space="preserve">(</t>
    </r>
    <r>
      <rPr>
        <sz val="8"/>
        <rFont val="Noto Sans CJK SC Regular"/>
        <family val="2"/>
      </rPr>
      <t xml:space="preserve">野球、将棋</t>
    </r>
    <r>
      <rPr>
        <sz val="8"/>
        <rFont val="Droid Sans"/>
        <family val="0"/>
        <charset val="1"/>
      </rPr>
      <t xml:space="preserve">)</t>
    </r>
    <r>
      <rPr>
        <sz val="8"/>
        <rFont val="Noto Sans CJK SC Regular"/>
        <family val="2"/>
      </rPr>
      <t xml:space="preserve">の情報収集を主たる目的に、海外メディア（ドイツ語、英語）の記事についての覚書としても利用します。 </t>
    </r>
    <r>
      <rPr>
        <sz val="8"/>
        <rFont val="Droid Sans"/>
        <family val="0"/>
        <charset val="1"/>
      </rPr>
      <t xml:space="preserve">/Subject of study</t>
    </r>
    <r>
      <rPr>
        <sz val="8"/>
        <rFont val="Noto Sans CJK SC Regular"/>
        <family val="2"/>
      </rPr>
      <t xml:space="preserve">：</t>
    </r>
    <r>
      <rPr>
        <sz val="8"/>
        <rFont val="Droid Sans"/>
        <family val="0"/>
        <charset val="1"/>
      </rPr>
      <t xml:space="preserve">philosophy of Moral, Ethics</t>
    </r>
  </si>
  <si>
    <t xml:space="preserve">Newshound</t>
  </si>
  <si>
    <t xml:space="preserve">WSJ - Japan's Abe Cements Hold on Power as Exit Polls Project Election Win Japanese Prime Minister Shinzo Abe was... https://t.co/oYO0uN5xYy</t>
  </si>
  <si>
    <t xml:space="preserve">Newshound Bot</t>
  </si>
  <si>
    <t xml:space="preserve">Brooklyn, NY</t>
  </si>
  <si>
    <t xml:space="preserve">Newshound is a breaking news email aggregator and this is its Twitter account.</t>
  </si>
  <si>
    <t xml:space="preserve">小倉雄一</t>
  </si>
  <si>
    <t xml:space="preserve">千葉県 船橋市</t>
  </si>
  <si>
    <r>
      <rPr>
        <sz val="8"/>
        <rFont val="Droid Sans"/>
        <family val="0"/>
        <charset val="1"/>
      </rPr>
      <t xml:space="preserve">Can I take your photo? </t>
    </r>
    <r>
      <rPr>
        <sz val="8"/>
        <rFont val="Noto Sans CJK SC Regular"/>
        <family val="2"/>
      </rPr>
      <t xml:space="preserve">あなたを撮ってもいいですか</t>
    </r>
  </si>
  <si>
    <t xml:space="preserve">Kanjoosmarwadi</t>
  </si>
  <si>
    <t xml:space="preserve">"Election Risk Pays Off for Shinzo Abe of Japan as Party Appears to Win Big" by MOTOKO RICH via NYT The New York T… https://t.co/gK4rpsX9Ks</t>
  </si>
  <si>
    <t xml:space="preserve">Entrepreneur, Foodie , Music lover ....</t>
  </si>
  <si>
    <t xml:space="preserve">Election Risk Pays Off for Shinzo Abe of Japan as Party Appears to Win Big https://t.co/pzxlbZzkkg</t>
  </si>
  <si>
    <t xml:space="preserve">MiggsyMedia</t>
  </si>
  <si>
    <t xml:space="preserve">"Election Risk Pays Off for Shinzo Abe of Japan as Party Appears to Win Big" by MOTOKO RICH via NYT https://t.co/Ncs5Hm24rj</t>
  </si>
  <si>
    <t xml:space="preserve">Join @itsMiggsy90 every Thursday Afternoon on @ArroweSound from 3 - 4pm bring you the New Music Hour Show partnered by C'n'D Events.</t>
  </si>
  <si>
    <t xml:space="preserve">Forex Crunch</t>
  </si>
  <si>
    <t xml:space="preserve">Shinzo Abe secures strong mandate in Japan's general election https://t.co/ecP0JkWtqM</t>
  </si>
  <si>
    <t xml:space="preserve">Barcelona</t>
  </si>
  <si>
    <t xml:space="preserve">All Forex: news, opinions, daily and weekly forex outlooks, technical analysis, tutorials, basics and more. Account managed by founder Yohay Elam.</t>
  </si>
  <si>
    <t xml:space="preserve">Hussain Mukhtar🇮🇳✍</t>
  </si>
  <si>
    <t xml:space="preserve">Practicing Advocate, Bombay. Avid Traveler, Adventure Enthusiast, RT≠ endorsement. Occasional Blogger, Followed by Intellectuals/Politicians/Rebels &amp; Trolls .</t>
  </si>
  <si>
    <t xml:space="preserve">"Election Risk Pays Off for Shinzo Abe of Japan as Party Appears to Win Big" by MOTOKO RICH via NYT… https://t.co/sBd4pdUZAb</t>
  </si>
  <si>
    <t xml:space="preserve">Igor Marinovsky</t>
  </si>
  <si>
    <t xml:space="preserve">"Election Risk Pays Off for Shinzo Abe of Japan as Party Appears to Win Big" by MOTOKO RICH via NYT https://t.co/H4gKDy4MnT</t>
  </si>
  <si>
    <t xml:space="preserve">Poet and prolific thinker</t>
  </si>
  <si>
    <t xml:space="preserve">MelindaLynn</t>
  </si>
  <si>
    <t xml:space="preserve">"Election Risk Pays Off for Shinzo Abe of Japan as Party Appears to Win Big" by MOTOKO RICH via NYT The New York T… https://t.co/Fn0RypVqqx</t>
  </si>
  <si>
    <t xml:space="preserve">I'm a funny woman &amp; all. I'll just say i love social media. I luv watching sports. Im a master driving traffic 2 websites. I was a book keeper. ASANA - Task mgr</t>
  </si>
  <si>
    <t xml:space="preserve">Mike Rod News</t>
  </si>
  <si>
    <t xml:space="preserve">My name is Miguel Rodriguez but I use the name “Mike”.</t>
  </si>
  <si>
    <t xml:space="preserve">lifeasaforeigner</t>
  </si>
  <si>
    <t xml:space="preserve">Amsterdam</t>
  </si>
  <si>
    <t xml:space="preserve">I am a global citizen. That's it!</t>
  </si>
  <si>
    <t xml:space="preserve">Online News</t>
  </si>
  <si>
    <t xml:space="preserve">"Election Risk Pays Off for Shinzo Abe of Japan as Party Appears to Win Big" by MOTOKO RICH via NYT The New York T… https://t.co/HqUHuQd7VP</t>
  </si>
  <si>
    <t xml:space="preserve">Janakpuriya नेपाल</t>
  </si>
  <si>
    <t xml:space="preserve"> वसुधैव कुटुम्बकम् ॥ Janakpur </t>
  </si>
  <si>
    <t xml:space="preserve">#Techie| Equality |Humanity 1st |भेदभाव गर्दिन र भेदभाव सह्दिन्न | RTs#Endorsements| Jack of all trades master of some! #BatmanFan</t>
  </si>
  <si>
    <t xml:space="preserve">Arus barus</t>
  </si>
  <si>
    <t xml:space="preserve">Not much</t>
  </si>
  <si>
    <t xml:space="preserve">"Election Risk Pays Off for Shinzo Abe of Japan as Party Appears to Win Big" by MOTOKO RICH via NYT… https://t.co/FVX1YnsDUe</t>
  </si>
  <si>
    <t xml:space="preserve">Luca Brasi 🇺🇸</t>
  </si>
  <si>
    <t xml:space="preserve">Japan election: Shinzo Abe's party likely to seize control in lower house via the @FoxNews app https://t.co/r9QDtKkJ6x</t>
  </si>
  <si>
    <t xml:space="preserve">Private Investigator, Retired Homicide Detective, Naval Flight Officer, 8th Dan BB in TKD, Collector of Flight Jackets, @NavalAcademy grad, #USNA, UC grad, #NRA</t>
  </si>
  <si>
    <t xml:space="preserve">"Election Risk Pays Off for Shinzo Abe of Japan as Party Appears to Win Big" by MOTOKO RICH via NYT https://t.co/yTATkXdoAV</t>
  </si>
  <si>
    <t xml:space="preserve">reversetees</t>
  </si>
  <si>
    <t xml:space="preserve">"Election Risk Pays Off for Shinzo Abe of Japan as Party Appears to Win Big" by MOTOKO RICH via NYT The New York T… https://t.co/mkPFgUkUqy</t>
  </si>
  <si>
    <t xml:space="preserve">Karawaci, Indonesia</t>
  </si>
  <si>
    <t xml:space="preserve"> +6281290871114 | IG:reverse_tees | bbm:5A228989</t>
  </si>
  <si>
    <t xml:space="preserve">Mona vanderSmitte 🖼</t>
  </si>
  <si>
    <t xml:space="preserve">Twitterbirdwatcher Learning all the time Retweets and links are not (ipso facto) endorsements</t>
  </si>
  <si>
    <t xml:space="preserve">Hon Jacfar Mohamed</t>
  </si>
  <si>
    <t xml:space="preserve">BREAKING: Japan's Prime Minister Shinzo Abe is on course for a victory in the country's snap general election @AlJazeera</t>
  </si>
  <si>
    <t xml:space="preserve">Somalia</t>
  </si>
  <si>
    <t xml:space="preserve">Citizen Journalist Lives Mogadisho With Somali Capital</t>
  </si>
  <si>
    <t xml:space="preserve">אזרי</t>
  </si>
  <si>
    <t xml:space="preserve"> ماليزيا </t>
  </si>
  <si>
    <t xml:space="preserve">Blogger | Chaos in Mirrors poetry | Interest in Turkey Politics | Views are my own | Semoga hati kita sama-sama dirahmati Tuhan. (1936) #GGMU</t>
  </si>
  <si>
    <t xml:space="preserve">USANEE P.</t>
  </si>
  <si>
    <t xml:space="preserve">มีทุกอย่างที่ดีเพราะใคร ฉันจะไม่ลืม #สำนึกในพระมหากรุณาธิคุณอันหาที่สุดมิได้ #ฉันเกิดในรัชกาลที่๙ #รักพระองค์ท่านสุดหัวใจ #ขอเป็นทาสรองพระบาททุกชาตืไป</t>
  </si>
  <si>
    <t xml:space="preserve">Triki</t>
  </si>
  <si>
    <t xml:space="preserve">An aid worker who is an Arsenal &amp; all things football related buff and most importantly, is a Christian.</t>
  </si>
  <si>
    <t xml:space="preserve">Harshita Jaiswal</t>
  </si>
  <si>
    <t xml:space="preserve">Bombay,India</t>
  </si>
  <si>
    <t xml:space="preserve">Japan's PM Shinzo Abe poised to win snap election https://t.co/w8hLPcKk2t https://t.co/O5PdpGPg52</t>
  </si>
  <si>
    <t xml:space="preserve">Christian Koellerer</t>
  </si>
  <si>
    <t xml:space="preserve">Election Risk Pays Off for Shinzo Abe of Japan as Party Appears to Win Big https://t.co/av1H8B2QtK</t>
  </si>
  <si>
    <t xml:space="preserve">Wien, Österreich</t>
  </si>
  <si>
    <t xml:space="preserve">Literatur- &amp; Philosophiewissenschaftler, Skeptiker &amp; Ungläubiger, Kulturpublizist / Hauptberuflich Manager in der Telekombranche.</t>
  </si>
  <si>
    <t xml:space="preserve">G.V.Nair NAMO 🇮🇳🙏</t>
  </si>
  <si>
    <t xml:space="preserve">RT @bijugovind: Shinzo Abe secures strong mandate in Japan's general election ( Same tsunami going to hit Indian Ocean in 2019) https://t.…</t>
  </si>
  <si>
    <t xml:space="preserve">India - My Mathru Bhoomi</t>
  </si>
  <si>
    <t xml:space="preserve">Doing voluntry seva in my Gurus Ashram. NaMo💪👍🙏R.Ts r fun. Hon'rd &amp; blesed 2b followed by PM @narendramodi_PM, Piyush ji @piyushgoyal_Offc, Yogiji @ppagarwal</t>
  </si>
  <si>
    <t xml:space="preserve">sana</t>
  </si>
  <si>
    <t xml:space="preserve">Tokyo, JAPAN</t>
  </si>
  <si>
    <r>
      <rPr>
        <sz val="8"/>
        <rFont val="Noto Sans CJK SC Regular"/>
        <family val="2"/>
      </rPr>
      <t xml:space="preserve">アカウント通りですが、ドラマ萌え企業萌えなのでアニメゲームマンガ声優全く分かりません。常にどこかを旅してたい。ヘッダーはルブアルハリ砂漠（オマーン側）。アイコンは</t>
    </r>
    <r>
      <rPr>
        <sz val="8"/>
        <rFont val="Droid Sans"/>
        <family val="0"/>
        <charset val="1"/>
      </rPr>
      <t xml:space="preserve">2</t>
    </r>
    <r>
      <rPr>
        <sz val="8"/>
        <rFont val="Noto Sans CJK SC Regular"/>
        <family val="2"/>
      </rPr>
      <t xml:space="preserve">代目ジャンハム。キンクマ♀とロボ三姉妹のお世話係。</t>
    </r>
  </si>
  <si>
    <t xml:space="preserve">Moses C Banda Jnr</t>
  </si>
  <si>
    <t xml:space="preserve">Warm Heart Of Africa</t>
  </si>
  <si>
    <t xml:space="preserve">I Believe Work As If Your Life Depends On Him Et Pray As If Everything Depends On God!Ardent Of #EmmanuelTV!I Love Prophet TB Joshua Et His Ministry God-Fearing</t>
  </si>
  <si>
    <t xml:space="preserve">Sam Turpin</t>
  </si>
  <si>
    <t xml:space="preserve">"Election Risk Pays Off for Shinzo Abe of Japan as Party Appears to Win Big" by MOTOKO RICH via NYT The New York T… https://t.co/vSS1nH6HRR</t>
  </si>
  <si>
    <t xml:space="preserve">Indianapolis</t>
  </si>
  <si>
    <t xml:space="preserve">Government and Business Consultant, former six-term member of the Indiana House of Representatives and Chairman of the Ways and Means Committee. #CareerAdvice</t>
  </si>
  <si>
    <t xml:space="preserve">Gemma Marolda</t>
  </si>
  <si>
    <t xml:space="preserve">Madoka</t>
  </si>
  <si>
    <t xml:space="preserve">Shinzo Abe secures strong mandate in Japan's general election https://t.co/rPa14CaSWq</t>
  </si>
  <si>
    <t xml:space="preserve">Tokyo,Japan</t>
  </si>
  <si>
    <r>
      <rPr>
        <sz val="8"/>
        <rFont val="Droid Sans"/>
        <family val="0"/>
        <charset val="1"/>
      </rPr>
      <t xml:space="preserve">Android</t>
    </r>
    <r>
      <rPr>
        <sz val="8"/>
        <rFont val="Noto Sans CJK SC Regular"/>
        <family val="2"/>
      </rPr>
      <t xml:space="preserve">アプリ開発してます。</t>
    </r>
    <r>
      <rPr>
        <sz val="8"/>
        <rFont val="Droid Sans"/>
        <family val="0"/>
        <charset val="1"/>
      </rPr>
      <t xml:space="preserve">Android</t>
    </r>
    <r>
      <rPr>
        <sz val="8"/>
        <rFont val="Noto Sans CJK SC Regular"/>
        <family val="2"/>
      </rPr>
      <t xml:space="preserve">女子部。趣味は油絵、登山、着物、読書、お酒、映画、サイクリング、競馬。英語・スペイン語勉強中。あとサーフィン、ボルダリング始めました。</t>
    </r>
  </si>
  <si>
    <t xml:space="preserve">News Tweet</t>
  </si>
  <si>
    <t xml:space="preserve">"Election Risk Pays Off for Shinzo Abe of Japan as Party Appears to Win Big" by MOTOKO RICH via NYT The New York T… https://t.co/0kzcXFBpM0</t>
  </si>
  <si>
    <r>
      <rPr>
        <sz val="8"/>
        <rFont val="Droid Sans"/>
        <family val="0"/>
        <charset val="1"/>
      </rPr>
      <t xml:space="preserve">HOkano★</t>
    </r>
    <r>
      <rPr>
        <sz val="8"/>
        <rFont val="Noto Sans CJK SC Regular"/>
        <family val="2"/>
      </rPr>
      <t xml:space="preserve">ハル</t>
    </r>
  </si>
  <si>
    <t xml:space="preserve">South Kanto District, Japan</t>
  </si>
  <si>
    <r>
      <rPr>
        <sz val="8"/>
        <rFont val="Noto Sans CJK SC Regular"/>
        <family val="2"/>
      </rPr>
      <t xml:space="preserve">中英書籍制作</t>
    </r>
    <r>
      <rPr>
        <sz val="8"/>
        <rFont val="Droid Sans"/>
        <family val="0"/>
        <charset val="1"/>
      </rPr>
      <t xml:space="preserve">/</t>
    </r>
    <r>
      <rPr>
        <sz val="8"/>
        <rFont val="Noto Sans CJK SC Regular"/>
        <family val="2"/>
      </rPr>
      <t xml:space="preserve">翻訳ｺｰﾃﾞｨﾈｰﾀｰ</t>
    </r>
    <r>
      <rPr>
        <sz val="8"/>
        <rFont val="Droid Sans"/>
        <family val="0"/>
        <charset val="1"/>
      </rPr>
      <t xml:space="preserve">/</t>
    </r>
    <r>
      <rPr>
        <sz val="8"/>
        <rFont val="Noto Sans CJK SC Regular"/>
        <family val="2"/>
      </rPr>
      <t xml:space="preserve">編集ｿﾌﾄ開発</t>
    </r>
    <r>
      <rPr>
        <sz val="8"/>
        <rFont val="Droid Sans"/>
        <family val="0"/>
        <charset val="1"/>
      </rPr>
      <t xml:space="preserve">/</t>
    </r>
    <r>
      <rPr>
        <sz val="8"/>
        <rFont val="Noto Sans CJK SC Regular"/>
        <family val="2"/>
      </rPr>
      <t xml:space="preserve">非ﾍﾃﾛ</t>
    </r>
    <r>
      <rPr>
        <sz val="8"/>
        <rFont val="Droid Sans"/>
        <family val="0"/>
        <charset val="1"/>
      </rPr>
      <t xml:space="preserve">/</t>
    </r>
    <r>
      <rPr>
        <sz val="8"/>
        <rFont val="Noto Sans CJK SC Regular"/>
        <family val="2"/>
      </rPr>
      <t xml:space="preserve">中高年</t>
    </r>
    <r>
      <rPr>
        <sz val="8"/>
        <rFont val="Droid Sans"/>
        <family val="0"/>
        <charset val="1"/>
      </rPr>
      <t xml:space="preserve">/</t>
    </r>
    <r>
      <rPr>
        <sz val="8"/>
        <rFont val="Noto Sans CJK SC Regular"/>
        <family val="2"/>
      </rPr>
      <t xml:space="preserve">ﾋﾟｱﾉ</t>
    </r>
    <r>
      <rPr>
        <sz val="8"/>
        <rFont val="Droid Sans"/>
        <family val="0"/>
        <charset val="1"/>
      </rPr>
      <t xml:space="preserve">/</t>
    </r>
    <r>
      <rPr>
        <sz val="8"/>
        <rFont val="Noto Sans CJK SC Regular"/>
        <family val="2"/>
      </rPr>
      <t xml:space="preserve">ﾗﾝﾆﾝｸﾞ</t>
    </r>
    <r>
      <rPr>
        <sz val="8"/>
        <rFont val="Droid Sans"/>
        <family val="0"/>
        <charset val="1"/>
      </rPr>
      <t xml:space="preserve">/</t>
    </r>
    <r>
      <rPr>
        <sz val="8"/>
        <rFont val="Noto Sans CJK SC Regular"/>
        <family val="2"/>
      </rPr>
      <t xml:space="preserve">ｼﾞﾑ</t>
    </r>
    <r>
      <rPr>
        <sz val="8"/>
        <rFont val="Droid Sans"/>
        <family val="0"/>
        <charset val="1"/>
      </rPr>
      <t xml:space="preserve">/</t>
    </r>
    <r>
      <rPr>
        <sz val="8"/>
        <rFont val="Noto Sans CJK SC Regular"/>
        <family val="2"/>
      </rPr>
      <t xml:space="preserve">ｻｳﾅ</t>
    </r>
    <r>
      <rPr>
        <sz val="8"/>
        <rFont val="Droid Sans"/>
        <family val="0"/>
        <charset val="1"/>
      </rPr>
      <t xml:space="preserve">/</t>
    </r>
    <r>
      <rPr>
        <sz val="8"/>
        <rFont val="Noto Sans CJK SC Regular"/>
        <family val="2"/>
      </rPr>
      <t xml:space="preserve">ﾏﾙﾎﾞﾛ</t>
    </r>
    <r>
      <rPr>
        <sz val="8"/>
        <rFont val="Droid Sans"/>
        <family val="0"/>
        <charset val="1"/>
      </rPr>
      <t xml:space="preserve">/</t>
    </r>
    <r>
      <rPr>
        <sz val="8"/>
        <rFont val="Noto Sans CJK SC Regular"/>
        <family val="2"/>
      </rPr>
      <t xml:space="preserve">歴史</t>
    </r>
    <r>
      <rPr>
        <sz val="8"/>
        <rFont val="Droid Sans"/>
        <family val="0"/>
        <charset val="1"/>
      </rPr>
      <t xml:space="preserve">/</t>
    </r>
    <r>
      <rPr>
        <sz val="8"/>
        <rFont val="Noto Sans CJK SC Regular"/>
        <family val="2"/>
      </rPr>
      <t xml:space="preserve">非西欧</t>
    </r>
    <r>
      <rPr>
        <sz val="8"/>
        <rFont val="Droid Sans"/>
        <family val="0"/>
        <charset val="1"/>
      </rPr>
      <t xml:space="preserve">/</t>
    </r>
    <r>
      <rPr>
        <sz val="8"/>
        <rFont val="Noto Sans CJK SC Regular"/>
        <family val="2"/>
      </rPr>
      <t xml:space="preserve">ﾎﾟｽﾄ構造主義ﾌｪﾐﾆｽﾞﾑ</t>
    </r>
    <r>
      <rPr>
        <sz val="8"/>
        <rFont val="Droid Sans"/>
        <family val="0"/>
        <charset val="1"/>
      </rPr>
      <t xml:space="preserve">/</t>
    </r>
    <r>
      <rPr>
        <sz val="8"/>
        <rFont val="Noto Sans CJK SC Regular"/>
        <family val="2"/>
      </rPr>
      <t xml:space="preserve">国際政治</t>
    </r>
    <r>
      <rPr>
        <sz val="8"/>
        <rFont val="Droid Sans"/>
        <family val="0"/>
        <charset val="1"/>
      </rPr>
      <t xml:space="preserve">/'70</t>
    </r>
    <r>
      <rPr>
        <sz val="8"/>
        <rFont val="Noto Sans CJK SC Regular"/>
        <family val="2"/>
      </rPr>
      <t xml:space="preserve">ﾛｯｸ，</t>
    </r>
    <r>
      <rPr>
        <sz val="8"/>
        <rFont val="Droid Sans"/>
        <family val="0"/>
        <charset val="1"/>
      </rPr>
      <t xml:space="preserve">'80-90</t>
    </r>
    <r>
      <rPr>
        <sz val="8"/>
        <rFont val="Noto Sans CJK SC Regular"/>
        <family val="2"/>
      </rPr>
      <t xml:space="preserve">ﾊﾟﾝｸ･ﾆｭｰｳｪｰﾌﾞ･ｵﾙﾀﾅ</t>
    </r>
    <r>
      <rPr>
        <sz val="8"/>
        <rFont val="Droid Sans"/>
        <family val="0"/>
        <charset val="1"/>
      </rPr>
      <t xml:space="preserve">/</t>
    </r>
    <r>
      <rPr>
        <sz val="8"/>
        <rFont val="Noto Sans CJK SC Regular"/>
        <family val="2"/>
      </rPr>
      <t xml:space="preserve">ﾌﾟﾛｸﾞﾚ成分少々</t>
    </r>
    <r>
      <rPr>
        <sz val="8"/>
        <rFont val="Droid Sans"/>
        <family val="0"/>
        <charset val="1"/>
      </rPr>
      <t xml:space="preserve">/</t>
    </r>
    <r>
      <rPr>
        <sz val="8"/>
        <rFont val="Noto Sans CJK SC Regular"/>
        <family val="2"/>
      </rPr>
      <t xml:space="preserve">ﾌﾟﾙｰｽﾄ，ﾈﾙｳﾞｧﾙ偏愛</t>
    </r>
    <r>
      <rPr>
        <sz val="8"/>
        <rFont val="Droid Sans"/>
        <family val="0"/>
        <charset val="1"/>
      </rPr>
      <t xml:space="preserve">/</t>
    </r>
    <r>
      <rPr>
        <sz val="8"/>
        <rFont val="Noto Sans CJK SC Regular"/>
        <family val="2"/>
      </rPr>
      <t xml:space="preserve">同居ﾊﾟｰﾄﾅｰ有</t>
    </r>
  </si>
  <si>
    <t xml:space="preserve">Laurentiu B .</t>
  </si>
  <si>
    <t xml:space="preserve">Shinzo Abe secures strong mandate in Japan's general election https://t.co/Os0RMuQEKC</t>
  </si>
  <si>
    <t xml:space="preserve">Financial Markets / Indices / FX / CrudeOil 🇪🇺</t>
  </si>
  <si>
    <t xml:space="preserve">Skin&amp;Clans</t>
  </si>
  <si>
    <t xml:space="preserve">"Election Risk Pays Off for Shinzo Abe of Japan as Party Appears to Win Big" by MOTOKO RICH via NYT The New York T… https://t.co/QR6UsiMl1x</t>
  </si>
  <si>
    <t xml:space="preserve">We are creators and curious by nature, we love cool concept and technologies, we work on designs our customers love. We believe in designs can change the world!</t>
  </si>
  <si>
    <t xml:space="preserve">corantin talla</t>
  </si>
  <si>
    <t xml:space="preserve">"Election Risk Pays Off for Shinzo Abe of Japan as Party Appears to Win Big" by MOTOKO RICH via NYT The New York T… https://t.co/u8tfaTCQSO</t>
  </si>
  <si>
    <t xml:space="preserve">PAZ</t>
  </si>
  <si>
    <t xml:space="preserve">"Election Risk Pays Off for Shinzo Abe of Japan as Party Appears to Win Big" by MOTOKO RICH via NYT The New York T… https://t.co/7AjNUO3WCs</t>
  </si>
  <si>
    <t xml:space="preserve">https://t.co/BQu9x52LC6</t>
  </si>
  <si>
    <t xml:space="preserve">Y.A. Yousef</t>
  </si>
  <si>
    <t xml:space="preserve">Election Risk Pays Off for Shinzo Abe of Japan as Party Appears to Win Big https://t.co/9yonBCQ1vo</t>
  </si>
  <si>
    <t xml:space="preserve">Orbitting the sun</t>
  </si>
  <si>
    <t xml:space="preserve">Questioning the world everyday.</t>
  </si>
  <si>
    <t xml:space="preserve">AmiV2</t>
  </si>
  <si>
    <t xml:space="preserve">"Election Risk Pays Off for Shinzo Abe of Japan as Party Appears to Win Big" by MOTOKO RICH via NYT The New York T… https://t.co/GxCnBESmHu</t>
  </si>
  <si>
    <t xml:space="preserve">Space</t>
  </si>
  <si>
    <t xml:space="preserve">Content #WordPress Social #Twitter #LinkedIn [#IoT #UAV #FinTech] 😉👍✍️👄👨‍🔧 https://t.co/LwAbkAC2sy | https://t.co/QXnSnlAIMR | https://t.co/gXK5ExH</t>
  </si>
  <si>
    <t xml:space="preserve">TOKYO (Reuters) - Japanese Prime Minister Shinzo Abe's ruling coalition was on track for a big win in Sunday's ele… https://t.co/LUyZAmgW65</t>
  </si>
  <si>
    <t xml:space="preserve">Choh kai lun</t>
  </si>
  <si>
    <t xml:space="preserve">Realpen pencil</t>
  </si>
  <si>
    <t xml:space="preserve">"Election Risk Pays Off for Shinzo Abe of Japan as Party Appears to Win Big" by MOTOKO RICH via NYT The New York T… https://t.co/AplGCXSWl7</t>
  </si>
  <si>
    <t xml:space="preserve">🔘WORLD'S 1ST GYMNASTIC ARTIST. For Booking,call or WhatsApp +233265078429 🔘IG:@realpenpencil_official</t>
  </si>
  <si>
    <t xml:space="preserve">Arsa Widitiarsa</t>
  </si>
  <si>
    <t xml:space="preserve">"Election Risk Pays Off for Shinzo Abe of Japan as Party Appears to Win Big" by MOTOKO RICH via NYT The New York T… https://t.co/3XVndkso5I</t>
  </si>
  <si>
    <t xml:space="preserve">ÜT: -6.292269,106.811512</t>
  </si>
  <si>
    <t xml:space="preserve">Lecture, Geek, Multimedia and Founder ArsaPrada Photography</t>
  </si>
  <si>
    <t xml:space="preserve">Lawrence H.</t>
  </si>
  <si>
    <t xml:space="preserve">Diplomat. All views are mine.</t>
  </si>
  <si>
    <t xml:space="preserve">Jackson Alexander</t>
  </si>
  <si>
    <t xml:space="preserve">"Election Risk Pays Off for Shinzo Abe of Japan as Party Appears to Win Big" by MOTOKO RICH via NYT The New York T… https://t.co/ra7AYpmy3g</t>
  </si>
  <si>
    <t xml:space="preserve">Seth Simon Owen</t>
  </si>
  <si>
    <t xml:space="preserve">[News] Shinzo Abe secures strong mandate in Japan's general election - The Guardian https://t.co/xWgrA1Uuie</t>
  </si>
  <si>
    <t xml:space="preserve">JC4DSOF.IT</t>
  </si>
  <si>
    <t xml:space="preserve">"Election Risk Pays Off for Shinzo Abe of Japan as Party Appears to Win Big" by MOTOKO RICH via NYT The New York T… https://t.co/lpJIYpMfxj</t>
  </si>
  <si>
    <t xml:space="preserve">dont know where but i know how</t>
  </si>
  <si>
    <t xml:space="preserve">Information is at your own expense... It moves and it cost you.. feel free to steal it back.....</t>
  </si>
  <si>
    <t xml:space="preserve">Ore Runsewe</t>
  </si>
  <si>
    <t xml:space="preserve">Policy analyst. Both happy and sad.</t>
  </si>
  <si>
    <t xml:space="preserve">Aximum Consulting</t>
  </si>
  <si>
    <t xml:space="preserve">"Election Risk Pays Off for Shinzo Abe of Japan as Party Appears to Win Big" by MOTOKO RICH via NYT The New York T… https://t.co/WcKXWvFWCX</t>
  </si>
  <si>
    <t xml:space="preserve">Consultancy focused on Project/Program Management, Business Analysis and Product Management</t>
  </si>
  <si>
    <t xml:space="preserve">Shinzo Abe secures strong mandate in Japan's general election https://t.co/gugkbgKH3l</t>
  </si>
  <si>
    <t xml:space="preserve">Emily Green</t>
  </si>
  <si>
    <t xml:space="preserve">LA transplant to Baltimore</t>
  </si>
  <si>
    <t xml:space="preserve">Environment writer</t>
  </si>
  <si>
    <t xml:space="preserve">Brilliance Deferred</t>
  </si>
  <si>
    <t xml:space="preserve">"Election Risk Pays Off for Shinzo Abe of Japan as Party Appears to Win Big" by MOTOKO RICH via NYT The New York T… https://t.co/6SOvwWFKEg</t>
  </si>
  <si>
    <t xml:space="preserve">Memphis</t>
  </si>
  <si>
    <t xml:space="preserve">He sees the world thru a different prism. It's not even rose colored. He has a wicked and quick sense of humor. He is a hot mess as so anointed by friends. MEM</t>
  </si>
  <si>
    <t xml:space="preserve">Khamis Kagasheki</t>
  </si>
  <si>
    <t xml:space="preserve">Dar es Salaam, UR of Tanzania</t>
  </si>
  <si>
    <t xml:space="preserve">Ex-Minister for Natural Resources/Tourism Tanzania &amp;Former Assistant Director General, WIPO, UN.(Retweet &amp; Like aren't endorsement). Proudly Tanzanian.</t>
  </si>
  <si>
    <t xml:space="preserve">Luke Mansillo</t>
  </si>
  <si>
    <t xml:space="preserve">Shinzo Abe secures strong mandate in Japan's general election #crushingvictory https://t.co/pPComDJJlp</t>
  </si>
  <si>
    <t xml:space="preserve">In the election business: #polsci PhD candidate at @Sydney_Uni, @USSC stuff. My opinions range in quality.</t>
  </si>
  <si>
    <t xml:space="preserve">Maria Elisabete Vice</t>
  </si>
  <si>
    <t xml:space="preserve">Avaré, Brasil</t>
  </si>
  <si>
    <t xml:space="preserve">Ame em primeiro lugar a você mesmo, assim as pessoas vão te amar olhando o seu interior,seu coração!!!</t>
  </si>
  <si>
    <t xml:space="preserve">藤原田鶴子</t>
  </si>
  <si>
    <t xml:space="preserve">Jozef Urbanski</t>
  </si>
  <si>
    <t xml:space="preserve">"Election Risk Pays Off for Shinzo Abe of Japan as Party Appears to Win Big" by MOTOKO RICH via NYT The New York T… https://t.co/csuUJ8Brt8</t>
  </si>
  <si>
    <t xml:space="preserve">Born young.</t>
  </si>
  <si>
    <t xml:space="preserve">CASEY</t>
  </si>
  <si>
    <t xml:space="preserve">"Election Risk Pays Off for Shinzo Abe of Japan as Party Appears to Win Big" by MOTOKO RICH via NYT The New York T… https://t.co/3N94sq83PA</t>
  </si>
  <si>
    <t xml:space="preserve">Manhatten, New York, USA</t>
  </si>
  <si>
    <t xml:space="preserve">FOLLOW AND HIT THE BELL 4RT #casocash #thehottsongwriter #rap #fxtrader fan of #NickiMinaj #money #lyrics #orgys</t>
  </si>
  <si>
    <t xml:space="preserve">Malenka Warner</t>
  </si>
  <si>
    <t xml:space="preserve">"Election Risk Pays Off for Shinzo Abe of Japan as Party Appears to Win Big" by MOTOKO RICH via NYT The New York T… https://t.co/fCoykYhQvg</t>
  </si>
  <si>
    <t xml:space="preserve">Managing Director, Daybook Network</t>
  </si>
  <si>
    <t xml:space="preserve">DZRH NEWS</t>
  </si>
  <si>
    <t xml:space="preserve">Japan's Prime Minister Shinzo Abe is on course for a victory in the country's snap general election | via @AJEnglish</t>
  </si>
  <si>
    <t xml:space="preserve">Manila, Philippines</t>
  </si>
  <si>
    <t xml:space="preserve">The official Twitter account of radio station DZRH, Manila Broadcasting Company, Ang Kaunaunahan sa Pilipinas.</t>
  </si>
  <si>
    <t xml:space="preserve">Janice Jardiolin-Lo</t>
  </si>
  <si>
    <t xml:space="preserve">"Election Risk Pays Off for Shinzo Abe of Japan as Party Appears to Win Big" by MOTOKO RICH via NYT The New York T… https://t.co/p1XfBid5pC</t>
  </si>
  <si>
    <t xml:space="preserve">Makati, Philippines</t>
  </si>
  <si>
    <t xml:space="preserve">I speak fluent gibberish. Instagram/Snapchat: @chocomusette</t>
  </si>
  <si>
    <t xml:space="preserve">Social Media</t>
  </si>
  <si>
    <t xml:space="preserve">Japan's Abe on track for landslide victory - Japanese Prime Minister Shinzo Abe appears on course to win a deci... https://t.co/DYyV9wbFUQ</t>
  </si>
  <si>
    <t xml:space="preserve">Presenting all the latest social media information on a colorful new web platform.</t>
  </si>
  <si>
    <t xml:space="preserve">Al Jazeera Once</t>
  </si>
  <si>
    <t xml:space="preserve">Twitter bot retweeting news stories just once. Full source and other feeds available on GitHub page. Not affiliated with Al Jazeera.</t>
  </si>
  <si>
    <t xml:space="preserve">Paustine0</t>
  </si>
  <si>
    <t xml:space="preserve">"Election Risk Pays Off for Shinzo Abe of Japan as Party Appears to Win Big" by MOTOKO RICH via NYT The New York T… https://t.co/JgUaqSV5t5</t>
  </si>
  <si>
    <t xml:space="preserve">All round entertainment</t>
  </si>
  <si>
    <t xml:space="preserve">Brendan Watts</t>
  </si>
  <si>
    <t xml:space="preserve">"Election Risk Pays Off for Shinzo Abe of Japan as Party Appears to Win Big" by MOTOKO RICH via NYT The New York T… https://t.co/7WPD67oib2</t>
  </si>
  <si>
    <t xml:space="preserve">Derry, Northern Ireland</t>
  </si>
  <si>
    <t xml:space="preserve">Prof. Manuj D Sharma</t>
  </si>
  <si>
    <t xml:space="preserve">"Election Risk Pays Off for Shinzo Abe of Japan as Party Appears to Win Big" by MOTOKO RICH via NYT The New York T… https://t.co/BJRYzvL9cs</t>
  </si>
  <si>
    <t xml:space="preserve">Bharat</t>
  </si>
  <si>
    <t xml:space="preserve">IIT Roorkee 94; Inventor; Math olympiad topper+NTSE scholar; AIR vocalist; Provide value not satisfy ego; deliver great work not glib talks; RT≠Endorsement</t>
  </si>
  <si>
    <t xml:space="preserve">"Election Risk Pays Off for Shinzo Abe of Japan as Party Appears to Win Big" via @nytimes https://t.co/eNWHBCQnqk</t>
  </si>
  <si>
    <t xml:space="preserve">Gary Cattermole</t>
  </si>
  <si>
    <t xml:space="preserve">"Election Risk Pays Off for Shinzo Abe of Japan as Party Appears to Win Big" by MOTOKO RICH via NYT https://t.co/qvq4b276kD #leadership</t>
  </si>
  <si>
    <t xml:space="preserve">Essex</t>
  </si>
  <si>
    <t xml:space="preserve">employee engagement, leadership, internal comms, employee wellbeing, sport, literature, business, news and most importantly...family.</t>
  </si>
  <si>
    <t xml:space="preserve">A Daniels</t>
  </si>
  <si>
    <t xml:space="preserve">Love people. Feminist. Keen interest in politics. Global social justice is possible.Opinions are mine. Retweets are not endorsement.</t>
  </si>
  <si>
    <t xml:space="preserve">Diego Palma</t>
  </si>
  <si>
    <t xml:space="preserve">"Election Risk Pays Off for Shinzo Abe of Japan as Party Appears to Win Big" by MOTOKO RICH via NYT The New York T… https://t.co/Yk7pVb6loM</t>
  </si>
  <si>
    <t xml:space="preserve">Rumo a 1 milhão de tweets! OPA! já passei.... então foda-se...</t>
  </si>
  <si>
    <t xml:space="preserve">Rahul Kapuriya</t>
  </si>
  <si>
    <t xml:space="preserve">"Election Risk Pays Off for Shinzo Abe of Japan as Party Appears to Win Big" by MOTOKO RICH via NYT The New York T… https://t.co/hsbsKSRXIM</t>
  </si>
  <si>
    <t xml:space="preserve">Surat, India</t>
  </si>
  <si>
    <t xml:space="preserve">Front-End Engineer #GoGreen</t>
  </si>
  <si>
    <t xml:space="preserve">Just Press Share</t>
  </si>
  <si>
    <t xml:space="preserve">"Election Risk Pays Off for Shinzo Abe of Japan as Party Appears to Win Big" by MOTOKO RICH via NYT https://t.co/2tEUH4sBRl</t>
  </si>
  <si>
    <t xml:space="preserve">Online</t>
  </si>
  <si>
    <t xml:space="preserve">Only the best sharable content, funniest memes and interesting news.</t>
  </si>
  <si>
    <t xml:space="preserve">Alvin Singh</t>
  </si>
  <si>
    <t xml:space="preserve">"Election Risk Pays Off for Shinzo Abe of Japan as Party Appears to Win Big" by MOTOKO RICH via NYT The New York T… https://t.co/z7gc9k0Sa8</t>
  </si>
  <si>
    <t xml:space="preserve">Digital Nomad. Entrepreneur. Send me a SMS for Evernote certified consultant +1 615.645.3889 #growthhackermarketing #digitalnomad #technology #entrepreneur</t>
  </si>
  <si>
    <t xml:space="preserve">Allison</t>
  </si>
  <si>
    <t xml:space="preserve">Abe Cements Hold on Power in Japan With Election Win - Japanese Prime Minister Shinzo Abe was on course for a s... https://t.co/X3mpoL9T8D</t>
  </si>
  <si>
    <t xml:space="preserve">NYC</t>
  </si>
  <si>
    <t xml:space="preserve">Artist</t>
  </si>
  <si>
    <t xml:space="preserve">Feminist Rage</t>
  </si>
  <si>
    <t xml:space="preserve">"Election Risk Pays Off for Shinzo Abe of Japan as Party Appears to Win Big" by MOTOKO RICH via NYT https://t.co/cko902fbAe</t>
  </si>
  <si>
    <t xml:space="preserve">Feminist. Part of public service is planting trees under whose shade you'll never sit.</t>
  </si>
  <si>
    <t xml:space="preserve">muhammad waseem</t>
  </si>
  <si>
    <t xml:space="preserve">"Election Risk Pays Off for Shinzo Abe of Japan as Party Appears to Win Big" by MOTOKO RICH via NYT The New York T… https://t.co/KMky4TfiPa</t>
  </si>
  <si>
    <t xml:space="preserve">Wish good fortune to every one</t>
  </si>
  <si>
    <t xml:space="preserve">gustavo otto</t>
  </si>
  <si>
    <t xml:space="preserve">"Election Risk Pays Off for Shinzo Abe of Japan as Party Appears to Win Big" by MOTOKO RICH via NYT The New York T… https://t.co/PbvoHz448y</t>
  </si>
  <si>
    <t xml:space="preserve">Rio de Janeiro, Brasil</t>
  </si>
  <si>
    <t xml:space="preserve">a person between here and there, living in a development country. luv to travel and trip out in my free time. i am a magazine addicted.</t>
  </si>
  <si>
    <t xml:space="preserve">Armand Scheiffele</t>
  </si>
  <si>
    <t xml:space="preserve">"Election Risk Pays Off for Shinzo Abe of Japan as Party Appears to Win Big" by MOTOKO RICH via NYT The New York T… https://t.co/KDqypCXwiG</t>
  </si>
  <si>
    <t xml:space="preserve">Married we have four grown children and eight grandchildren.Follower of Lord Jesus .Click Below Free System</t>
  </si>
  <si>
    <t xml:space="preserve">U.S. Flash Feed</t>
  </si>
  <si>
    <t xml:space="preserve">"Election Risk Pays Off for Shinzo Abe of Japan as Party Appears to Win Big" by MOTOKO RICH via NYT The New York T… https://t.co/ZPwLo32Nx5</t>
  </si>
  <si>
    <t xml:space="preserve">USS Top Gun Feed World Wide </t>
  </si>
  <si>
    <t xml:space="preserve">You can find us at https://t.co/1oFPTlCcm5🇺🇸</t>
  </si>
  <si>
    <t xml:space="preserve">tatty2011</t>
  </si>
  <si>
    <t xml:space="preserve">"Election Risk Pays Off for Shinzo Abe of Japan as Party Appears to Win Big" by MOTOKO RICH via NYT The New York T… https://t.co/hOOsGCWRAA</t>
  </si>
  <si>
    <t xml:space="preserve">Kelly Johnson</t>
  </si>
  <si>
    <t xml:space="preserve">"Election Risk Pays Off for Shinzo Abe of Japan as Party Appears to Win Big" by MOTOKO RICH via NYT The New York T… https://t.co/ZH8A5yWnZs</t>
  </si>
  <si>
    <t xml:space="preserve">Proud internet fanatic. Certified alcohol geek. Problem solver. Unapologetic troublemaker.</t>
  </si>
  <si>
    <t xml:space="preserve">Booutique</t>
  </si>
  <si>
    <t xml:space="preserve">"Election Risk Pays Off for Shinzo Abe of Japan as Party Appears to Win Big" by MOTOKO RICH via NYT The New York T… https://t.co/bqd2XvBEH2</t>
  </si>
  <si>
    <t xml:space="preserve">Loyal Follower ♥ Follow Me, I will follow you. ♥ List me, I will list you. ♥ Find great deals in my store. Check it out !!!!</t>
  </si>
  <si>
    <t xml:space="preserve">Young Active Citizen</t>
  </si>
  <si>
    <t xml:space="preserve">"Election Risk Pays Off for Shinzo Abe of Japan as Party Appears to Win Big" by MOTOKO RICH via NYT The New York T… https://t.co/3VfaDmMGMY</t>
  </si>
  <si>
    <t xml:space="preserve">Ditto Cantafio</t>
  </si>
  <si>
    <t xml:space="preserve">"Election Risk Pays Off for Shinzo Abe of Japan as Party Appears to Win Big" by MOTOKO RICH via NYT The New York T… https://t.co/HZsxI3SV9Y</t>
  </si>
  <si>
    <t xml:space="preserve">Calabria, Italy</t>
  </si>
  <si>
    <t xml:space="preserve">Insisto luego existo!®</t>
  </si>
  <si>
    <t xml:space="preserve">千山萬水</t>
  </si>
  <si>
    <r>
      <rPr>
        <sz val="8"/>
        <rFont val="Noto Sans CJK SC Regular"/>
        <family val="2"/>
      </rPr>
      <t xml:space="preserve">金融危機から震災／原発あぼんと大きな出来事が続いた後のｔｗへの人の流れに連られてきました 流消保全読返しのため</t>
    </r>
    <r>
      <rPr>
        <sz val="8"/>
        <rFont val="Droid Sans"/>
        <family val="0"/>
        <charset val="1"/>
      </rPr>
      <t xml:space="preserve">RT</t>
    </r>
    <r>
      <rPr>
        <sz val="8"/>
        <rFont val="Noto Sans CJK SC Regular"/>
        <family val="2"/>
      </rPr>
      <t xml:space="preserve">多数</t>
    </r>
  </si>
  <si>
    <t xml:space="preserve">OLIVER BRIAN™</t>
  </si>
  <si>
    <t xml:space="preserve">Republic of Mauritius</t>
  </si>
  <si>
    <t xml:space="preserve">A son, student, model, poet, lover of music &amp; art, crossword puzzle &amp; news junkie, swimmer &amp; I love coffee. ( I READ BOOKS) I belong to God.</t>
  </si>
  <si>
    <t xml:space="preserve">Nereu Jr</t>
  </si>
  <si>
    <t xml:space="preserve">"Election Risk Pays Off for Shinzo Abe of Japan as Party Appears to Win Big" by MOTOKO RICH via NYT The New York T… https://t.co/Sbm1eXXxUV</t>
  </si>
  <si>
    <t xml:space="preserve">Campina Grande-PB</t>
  </si>
  <si>
    <t xml:space="preserve">Ron Bourne</t>
  </si>
  <si>
    <t xml:space="preserve">"Election Risk Pays Off for Shinzo Abe of Japan as Party Appears to Win Big" by MOTOKO RICH via NYT The New York T… https://t.co/ePSkMCvXlw</t>
  </si>
  <si>
    <t xml:space="preserve">Organisational Development Consultant &amp; an overall dab hand at finding funding for good causes 'South of the River'.</t>
  </si>
  <si>
    <t xml:space="preserve">cbelive</t>
  </si>
  <si>
    <t xml:space="preserve">#cbelive_com click here https://t.co/uDjPaszNtz "Election Risk Pays Off for Shinzo Abe of Japan as Party Appears … https://t.co/BJgqca9yJU</t>
  </si>
  <si>
    <t xml:space="preserve">CBE</t>
  </si>
  <si>
    <t xml:space="preserve">News, Jobs, Technology, Inventions, Movies, Software, Tips &amp; Tricks Its All About Coimbatore</t>
  </si>
  <si>
    <t xml:space="preserve">Geoff Rogers</t>
  </si>
  <si>
    <t xml:space="preserve">"Election Risk Pays Off for Shinzo Abe of Japan as Party Appears to Win Big" by MOTOKO RICH via NYT The New York T… https://t.co/r88IFNyK6h</t>
  </si>
  <si>
    <t xml:space="preserve">Walton-on-Thames</t>
  </si>
  <si>
    <t xml:space="preserve">Local Radio presenter &amp; director, IT/tech expert. Cricket/football fan. British but also proud European. Devoted father &amp; husband. The last two should come 1st</t>
  </si>
  <si>
    <t xml:space="preserve">Mobeen Chughtai</t>
  </si>
  <si>
    <t xml:space="preserve">"Election Risk Pays Off for Shinzo Abe of Japan as Party Appears to Win Big" by MOTOKO RICH via NYT The New York T… https://t.co/q2lSPQuD0c</t>
  </si>
  <si>
    <t xml:space="preserve">Lahore, Pakistan.</t>
  </si>
  <si>
    <t xml:space="preserve">I was a journalist in a society being torn apart by strife, illiteracy and religious extremism; witness to a State crumbling before me. Now, trying to survive.</t>
  </si>
  <si>
    <t xml:space="preserve">Arpit Jain</t>
  </si>
  <si>
    <t xml:space="preserve">"Election Risk Pays Off for Shinzo Abe of Japan as Party Appears to Win Big" by MOTOKO RICH via NYT The New York T… https://t.co/ouYAIfXdyS</t>
  </si>
  <si>
    <t xml:space="preserve">Jaipur, Rajasthan</t>
  </si>
  <si>
    <t xml:space="preserve">BЯΣƬ</t>
  </si>
  <si>
    <t xml:space="preserve">"Election Risk Pays Off for Shinzo Abe of Japan as Party Appears to Win Big" by MOTOKO RICH via NYT The New York T… https://t.co/fT6Nlc5iQ5</t>
  </si>
  <si>
    <t xml:space="preserve">Fact Based World</t>
  </si>
  <si>
    <t xml:space="preserve">#Vet, #Progressive, #Atheist, 🏳️‍🌈. Enjoy politics, 👨🏼‍🔬🔬, 🏋️, 🌯 and 🍪. I'm rude &amp; if you voted for Trump, 🖕🏻! Tweet ≠ Agreement #Resist</t>
  </si>
  <si>
    <t xml:space="preserve">Bin Berlin</t>
  </si>
  <si>
    <t xml:space="preserve">auf den Mauerpark-Baufeldern</t>
  </si>
  <si>
    <t xml:space="preserve">http://t.co/5bRywEPY - WeltAnschauung Initiative Vernetzung Transparenz Umgestaltung:#BOES #BVVMitte война́ ¡OCCUPY MAUERPARK! WERDET @WeltBuergerPark SCHÜTZER!</t>
  </si>
  <si>
    <t xml:space="preserve">Saheed Okerayi</t>
  </si>
  <si>
    <t xml:space="preserve">"Election Risk Pays Off for Shinzo Abe of Japan as Party Appears to Win Big" by MOTOKO RICH via NYT The New York T… https://t.co/xMkPvn2uJA</t>
  </si>
  <si>
    <t xml:space="preserve">Elisabet Guilbrand</t>
  </si>
  <si>
    <t xml:space="preserve">"Election Risk Pays Off for Shinzo Abe of Japan as Party Appears to Win Big" by MOTOKO RICH via NYT The New York T… https://t.co/fSjM5kQsvO</t>
  </si>
  <si>
    <t xml:space="preserve">QA techie by day, social policy geek by night. I love art, nature, and sleep.</t>
  </si>
  <si>
    <t xml:space="preserve">ʚïɞ•ααмιя•ʚïɞ</t>
  </si>
  <si>
    <t xml:space="preserve">"Election Risk Pays Off for Shinzo Abe of Japan as Party Appears to Win Big" by MOTOKO RICH via NYT The New York T… https://t.co/Eb2ZrGBszi</t>
  </si>
  <si>
    <t xml:space="preserve">Mumbai,Maharashtra,INDIA</t>
  </si>
  <si>
    <t xml:space="preserve">I'm the type of person that does things with absolutely no expectations of the favor being returned. However, don't mistake my kindness for weakness</t>
  </si>
  <si>
    <t xml:space="preserve">Joseph Cabbage</t>
  </si>
  <si>
    <t xml:space="preserve">"Election Risk Pays Off for Shinzo Abe of Japan as Party Appears to Win Big" by MOTOKO RICH via NYT The New York T… https://t.co/4DosBlc8yv</t>
  </si>
  <si>
    <t xml:space="preserve">SPOILER: You die at the end.</t>
  </si>
  <si>
    <t xml:space="preserve">Shoukat Dharani</t>
  </si>
  <si>
    <t xml:space="preserve">"Election Risk Pays Off for Shinzo Abe of Japan as Party Appears to Win Big" by MOTOKO RICH via NYT The New York T… https://t.co/cR2pMbFuOU</t>
  </si>
  <si>
    <t xml:space="preserve">College Station, TX</t>
  </si>
  <si>
    <t xml:space="preserve">Live and let Live😀</t>
  </si>
  <si>
    <t xml:space="preserve">Elmer Miron</t>
  </si>
  <si>
    <t xml:space="preserve">Election Risk Pays Off for Shinzo Abe of Japan as Party Appears to Win Big https://t.co/ldHCgKE9jw https://t.co/xmwn7chiji</t>
  </si>
  <si>
    <t xml:space="preserve">Ahuachapan, El Salvador</t>
  </si>
  <si>
    <t xml:space="preserve">Chef Cocinero &amp; Parrillero Pasión por la comida y el buen gusto</t>
  </si>
  <si>
    <t xml:space="preserve">Election Risk Pays Off for Shinzo Abe of Japan as Party Appears to Win Big https://t.co/iu0UNhw93j via @nytimesworld</t>
  </si>
  <si>
    <t xml:space="preserve">Chris Abraham</t>
  </si>
  <si>
    <t xml:space="preserve">"Election Risk Pays Off for Shinzo Abe of Japan as Party Appears to Win Big" by MOTOKO RICH via NYT The New York T… https://t.co/lyUuYEYmih</t>
  </si>
  <si>
    <t xml:space="preserve">Arlington, VA</t>
  </si>
  <si>
    <t xml:space="preserve">Public relations executive with previous lives in politics, literature, photography, programming, technology, marketing, and social media.</t>
  </si>
  <si>
    <t xml:space="preserve">Olowofela Oluwaseun</t>
  </si>
  <si>
    <t xml:space="preserve">"Election Risk Pays Off for Shinzo Abe of Japan as Party Appears to Win Big" by MOTOKO RICH via NYT The New York T… https://t.co/NR23mVFw1C</t>
  </si>
  <si>
    <t xml:space="preserve">Ibadan </t>
  </si>
  <si>
    <t xml:space="preserve">Eduard Amell</t>
  </si>
  <si>
    <t xml:space="preserve">"Election Risk Pays Off for Shinzo Abe of Japan as Party Appears to Win Big" by MOTOKO RICH via NYT The New York T… https://t.co/d3lj5iWhNr</t>
  </si>
  <si>
    <t xml:space="preserve">Sitges</t>
  </si>
  <si>
    <t xml:space="preserve">Assessor Informàtic i analísta de professió i ciclista d'afició. Computer consultant and analyst by profession and hobby cyclist. Instagram: eduard.amell</t>
  </si>
  <si>
    <t xml:space="preserve">PanLex Firm</t>
  </si>
  <si>
    <t xml:space="preserve">"Election Risk Pays Off for Shinzo Abe of Japan as Party Appears to Win Big" by MOTOKO RICH via NYT The New York T… https://t.co/Z7Smyb9WCH</t>
  </si>
  <si>
    <t xml:space="preserve">A Law Firm Inspired by The People. Crecemos con nuestros clientes, para nuestros clientes. #StartUp #Panama #Justice #Attorney #Lawyer</t>
  </si>
  <si>
    <t xml:space="preserve">Alex Jego</t>
  </si>
  <si>
    <t xml:space="preserve">"Election Risk Pays Off for Shinzo Abe of Japan as Party Appears to Win Big" The New York Times … https://t.co/ujyqg5ZoYd</t>
  </si>
  <si>
    <t xml:space="preserve">Tallinn, Estonia</t>
  </si>
  <si>
    <t xml:space="preserve">@BroadenMind @Socialener @Tigerlogy @InfluentialLime</t>
  </si>
  <si>
    <t xml:space="preserve">Malik Taimoor</t>
  </si>
  <si>
    <t xml:space="preserve">"Election Risk Pays Off for Shinzo Abe of Japan as Party Appears to Win Big" by MOTOKO RICH via NYT The New York T… https://t.co/qpzd5niDIl</t>
  </si>
  <si>
    <t xml:space="preserve">Dubai, United Arab Emirates</t>
  </si>
  <si>
    <t xml:space="preserve">EE,Entrepreneur,Freelancer,24Oct♏️,caring©,loving®,follow back™, Kik :maliktaymur ask.fm:maliktaymur instagram: maliktaymur fb: tmr.malik Snapchat: maliktaymur</t>
  </si>
  <si>
    <t xml:space="preserve">narender kumar</t>
  </si>
  <si>
    <t xml:space="preserve">"Election Risk Pays Off for Shinzo Abe of Japan as Party Appears to Win Big" by MOTOKO RICH via NYT The New York T… https://t.co/ZVy6qGIXlG</t>
  </si>
  <si>
    <t xml:space="preserve">Post graduate (Economics)</t>
  </si>
  <si>
    <t xml:space="preserve">CastleStoneMobility</t>
  </si>
  <si>
    <t xml:space="preserve">"Election Risk Pays Off for Shinzo Abe of Japan as Party Appears to Win Big" by MOTOKO RICH via NYT The New York T… https://t.co/xqK6NUIHdr</t>
  </si>
  <si>
    <t xml:space="preserve">Rediscover the confidence that comes with independence.</t>
  </si>
  <si>
    <t xml:space="preserve">Daniel Cornelius</t>
  </si>
  <si>
    <t xml:space="preserve">"Election Risk Pays Off for Shinzo Abe of Japan as Party Appears to Win Big" by MOTOKO RICH via NYT The New York T… https://t.co/S7W8EEDLiC</t>
  </si>
  <si>
    <t xml:space="preserve">Paul McGuire</t>
  </si>
  <si>
    <t xml:space="preserve">"Election Risk Pays Off for Shinzo Abe of Japan as Party Appears to Win Big" by MOTOKO RICH via NYT The New York T… https://t.co/ErUjqj9Xfk</t>
  </si>
  <si>
    <t xml:space="preserve">Ottawa</t>
  </si>
  <si>
    <t xml:space="preserve">Retired elementary school principal. Discovery Education Leadership Council. Interested in social media &amp; the integration of technology into the classroom.🇨🇦</t>
  </si>
  <si>
    <t xml:space="preserve">HASSAN ISMAIL SHEIKH</t>
  </si>
  <si>
    <t xml:space="preserve">Prime Minister Abe poised for landslide victory in Japan's general election https://t.co/02CAECnG8J https://t.co/qA4NVWyGL6</t>
  </si>
  <si>
    <t xml:space="preserve">Dianadeltoro</t>
  </si>
  <si>
    <t xml:space="preserve">"Election Risk Pays Off for Shinzo Abe of Japan as Party Appears to Win Big" by MOTOKO RICH via NYT The New York T… https://t.co/JDUwKdIW0Q</t>
  </si>
  <si>
    <t xml:space="preserve">mexico</t>
  </si>
  <si>
    <t xml:space="preserve">Elizabeth Hammoud</t>
  </si>
  <si>
    <t xml:space="preserve">"Election Risk Pays Off for Shinzo Abe of Japan as Party Appears to Win Big" by MOTOKO RICH via NYT The New York T… https://t.co/tNxNFq2Axv</t>
  </si>
  <si>
    <t xml:space="preserve">Minnesota, USA</t>
  </si>
  <si>
    <t xml:space="preserve">Freespirit, survivor, justiceseeker, polyglot, int'l foodie, Globetrotteress, #theResistance, Ancestry researcher, ehemalige Kölnerin, Münchnerin ✈️🌎</t>
  </si>
  <si>
    <t xml:space="preserve">JasonScottTimm</t>
  </si>
  <si>
    <t xml:space="preserve">"Election Risk Pays Off for Shinzo Abe of Japan as Party Appears to Win Big" by MOTOKO RICH via NYT… https://t.co/DcScndKIzJ</t>
  </si>
  <si>
    <t xml:space="preserve">Bangkok, Thailand</t>
  </si>
  <si>
    <t xml:space="preserve">I'm a realistic optimist. I don't expect it to rain gold without getting a concussion. I'm a true believer in the link between evolution and common sense.</t>
  </si>
  <si>
    <t xml:space="preserve">GeorgeBossman</t>
  </si>
  <si>
    <t xml:space="preserve">"Election Risk Pays Off for Shinzo Abe of Japan as Party Appears to Win Big" by MOTOKO RICH via NYT The New York T… https://t.co/0Y86toL8vN</t>
  </si>
  <si>
    <t xml:space="preserve">New York, NY, United States</t>
  </si>
  <si>
    <t xml:space="preserve">Comedy that's still honest despite with live in a day and age of pandoring and wannabes trying to turn comedy into autotune karot top get a job!</t>
  </si>
  <si>
    <t xml:space="preserve">Sentext Solutions</t>
  </si>
  <si>
    <t xml:space="preserve">"Election Risk Pays Off for Shinzo Abe of Japan as Party Appears to Win Big" by MOTOKO RICH via NYT The New York T… https://t.co/ay3cjpz4oA</t>
  </si>
  <si>
    <t xml:space="preserve">Meridian, MS</t>
  </si>
  <si>
    <t xml:space="preserve">#SentextSolutions provides #textmessage #marketing for any #organization to keep in touch with their #customers - #affordable, #effective &amp; #efficient</t>
  </si>
  <si>
    <t xml:space="preserve">Shizzle!</t>
  </si>
  <si>
    <t xml:space="preserve">"Election Risk Pays Off for Shinzo Abe of Japan as Party Appears to Win Big" by MOTOKO RICH via NYT https://t.co/73FPBBkPuS</t>
  </si>
  <si>
    <t xml:space="preserve">East Africa, Tanzania</t>
  </si>
  <si>
    <t xml:space="preserve">CEO - EM MEDIX ||Medical Health Facilitator 💉💊|| ||Kilwa Masoko - Lindi|| || Erick Shizzle - facebook || Mdogo mdogo 2nafika...!</t>
  </si>
  <si>
    <t xml:space="preserve">"Election Risk Pays Off for Shinzo Abe of Japan as Party Appears to Win Big" by MOTOKO RICH via NYT The New York T… https://t.co/PmkjNoBrAK</t>
  </si>
  <si>
    <t xml:space="preserve">Victor Olawuyi</t>
  </si>
  <si>
    <t xml:space="preserve">"Election Risk Pays Off for Shinzo Abe of Japan as Party Appears to Win Big" by MOTOKO RICH via NYT The New York T… https://t.co/BkdUQLYdKs</t>
  </si>
  <si>
    <t xml:space="preserve">viju</t>
  </si>
  <si>
    <t xml:space="preserve">"Election Risk Pays Off for Shinzo Abe of Japan as Party Appears to Win Big" by MOTOKO RICH via NYT The New York T… https://t.co/AvJdBmmE3v</t>
  </si>
  <si>
    <t xml:space="preserve">Go Getter</t>
  </si>
  <si>
    <t xml:space="preserve">Raphael Stonem™</t>
  </si>
  <si>
    <t xml:space="preserve">"Election Risk Pays Off for Shinzo Abe of Japan as Party Appears to Win Big" by MOTOKO RICH via NYT The New York T… https://t.co/tn1QemeYtd</t>
  </si>
  <si>
    <t xml:space="preserve">Brazil</t>
  </si>
  <si>
    <t xml:space="preserve">Kik: raphaelstonem snap:raphaelstonem</t>
  </si>
  <si>
    <t xml:space="preserve">"Election Risk Pays Off for Shinzo Abe of Japan as Party Appears to Win Big" by MOTOKO RICH via NYT https://t.co/X0jS0XQBoz</t>
  </si>
  <si>
    <t xml:space="preserve">Arvi Jo</t>
  </si>
  <si>
    <t xml:space="preserve">"Election Risk Pays Off for Shinzo Abe of Japan as Party Appears to Win Big" by MOTOKO RICH via NYT The New York T… https://t.co/HZMhfPd0vU</t>
  </si>
  <si>
    <t xml:space="preserve">SINGLE, Computer Engineer, Social Activist, Information Technology, Voice For Farmers &amp; Agriculture, Healthy Food Lover, Music, Blah, Blah, Blah,,,,,,,....….!</t>
  </si>
  <si>
    <t xml:space="preserve">Oh fame</t>
  </si>
  <si>
    <t xml:space="preserve">"Election Risk Pays Off for Shinzo Abe of Japan as Party Appears to Win Big" by MOTOKO RICH via NYT The New York T… https://t.co/Jw8KabA7RL</t>
  </si>
  <si>
    <t xml:space="preserve">The best of Celebrities</t>
  </si>
  <si>
    <t xml:space="preserve">Nicole {Ms McBooty}</t>
  </si>
  <si>
    <t xml:space="preserve">"Election Risk Pays Off for Shinzo Abe of Japan as Party Appears to Win Big" by MOTOKO RICH via NYT The New York T… https://t.co/ODIJLS2Adc</t>
  </si>
  <si>
    <t xml:space="preserve">Colorado</t>
  </si>
  <si>
    <t xml:space="preserve">Fighting zombies by day, cooking meals by night. Free Twitter Feed!</t>
  </si>
  <si>
    <t xml:space="preserve">Animal Channel</t>
  </si>
  <si>
    <t xml:space="preserve">"Election Risk Pays Off for Shinzo Abe of Japan as Party Appears to Win Big" by MOTOKO RICH via NYT The New York T… https://t.co/ocCbqPAlQJ</t>
  </si>
  <si>
    <t xml:space="preserve">Hello dear friends! Glad to see you! With us you will get a charge of cheerfulness and a good mood for the whole day! Yes, and do not forget to SUBSCRIBE!</t>
  </si>
  <si>
    <t xml:space="preserve">Buddis</t>
  </si>
  <si>
    <t xml:space="preserve">"Election Risk Pays Off for Shinzo Abe of Japan as Party Appears to Win Big" by MOTOKO RICH via NYT The New York T… https://t.co/6UUOBJ0CmG</t>
  </si>
  <si>
    <t xml:space="preserve">I Am On The World's Not So Special List</t>
  </si>
  <si>
    <t xml:space="preserve">SENTIL SEBASTIAN</t>
  </si>
  <si>
    <t xml:space="preserve">"Election Risk Pays Off for Shinzo Abe of Japan as Party Appears to Win Big" by MOTOKO RICH via NYT The New York T… https://t.co/q4hFQ2oR2u</t>
  </si>
  <si>
    <t xml:space="preserve">Milky way, Solar System, Earth</t>
  </si>
  <si>
    <t xml:space="preserve">Maurizio Muratore</t>
  </si>
  <si>
    <t xml:space="preserve">"Election Risk Pays Off for Shinzo Abe of Japan as Party Appears to Win Big" via NYT The New York Times https://t.co/a34xhlvQjw</t>
  </si>
  <si>
    <t xml:space="preserve">Faccio un sacco di cose e vedo un sacco di gente. Non raccontarmi di te perché non me ne frega nulla.</t>
  </si>
  <si>
    <t xml:space="preserve">clickhere https://t.co/uDjPaszNtz "Election Risk Pays Off for Shinzo Abe of Japan as Party Appears to Win Big" by… https://t.co/uDjPaszNtz</t>
  </si>
  <si>
    <t xml:space="preserve">Butterfly Sunrider</t>
  </si>
  <si>
    <t xml:space="preserve">"Election Risk Pays Off for Shinzo Abe of Japan as Party Appears to Win Big" by MOTOKO RICH via NYT The New York T… https://t.co/9JD3bofrWw</t>
  </si>
  <si>
    <t xml:space="preserve">San Jose, CA</t>
  </si>
  <si>
    <t xml:space="preserve">Writer. Noona Fangirl. Social Justice Paladin. Cinephile. Gamer Girl. Smark. Cassie. Rock Snob. Student. Socialist. Diva. Do I contradict myself? Very well.</t>
  </si>
  <si>
    <t xml:space="preserve">Attila Bokor</t>
  </si>
  <si>
    <t xml:space="preserve">"Election Risk Pays Off for Shinzo Abe of Japan as Party Appears to Win Big" by MOTOKO RICH via NYT The New York T… https://t.co/rQDyYSUnVX</t>
  </si>
  <si>
    <t xml:space="preserve">Co-Founder of Michigan Film Reel https://t.co/75bf5rrYGH</t>
  </si>
  <si>
    <t xml:space="preserve">Caroline</t>
  </si>
  <si>
    <t xml:space="preserve">Elections, Politics and Government, Constitutions "Election Risk Pays Off for Shinzo Abe of Japan as Party Appears… https://t.co/d31DXVgEmn</t>
  </si>
  <si>
    <t xml:space="preserve">Southampton, England</t>
  </si>
  <si>
    <t xml:space="preserve">Specific interests in #Fitness, #Heath, Current affairs &amp; animals.</t>
  </si>
  <si>
    <t xml:space="preserve">ウニ</t>
  </si>
  <si>
    <r>
      <rPr>
        <sz val="8"/>
        <rFont val="Noto Sans CJK SC Regular"/>
        <family val="2"/>
      </rPr>
      <t xml:space="preserve">実用性が無い</t>
    </r>
    <r>
      <rPr>
        <sz val="8"/>
        <rFont val="Droid Sans"/>
        <family val="0"/>
        <charset val="1"/>
      </rPr>
      <t xml:space="preserve">Web</t>
    </r>
    <r>
      <rPr>
        <sz val="8"/>
        <rFont val="Noto Sans CJK SC Regular"/>
        <family val="2"/>
      </rPr>
      <t xml:space="preserve">アプリばかり作っています</t>
    </r>
    <r>
      <rPr>
        <sz val="8"/>
        <rFont val="Droid Sans"/>
        <family val="0"/>
        <charset val="1"/>
      </rPr>
      <t xml:space="preserve">(</t>
    </r>
    <r>
      <rPr>
        <sz val="8"/>
        <rFont val="Noto Sans CJK SC Regular"/>
        <family val="2"/>
      </rPr>
      <t xml:space="preserve">笑</t>
    </r>
    <r>
      <rPr>
        <sz val="8"/>
        <rFont val="Droid Sans"/>
        <family val="0"/>
        <charset val="1"/>
      </rPr>
      <t xml:space="preserve">)</t>
    </r>
    <r>
      <rPr>
        <sz val="8"/>
        <rFont val="Noto Sans CJK SC Regular"/>
        <family val="2"/>
      </rPr>
      <t xml:space="preserve">。</t>
    </r>
  </si>
  <si>
    <t xml:space="preserve">dewi</t>
  </si>
  <si>
    <t xml:space="preserve">"Election Risk Pays Off for Shinzo Abe of Japan as Party Appears to Win Big" by MOTOKO RICH via NYT The New York T… https://t.co/mXI9cLNeYg</t>
  </si>
  <si>
    <t xml:space="preserve">Douglas</t>
  </si>
  <si>
    <t xml:space="preserve">"Election Risk Pays Off for Shinzo Abe of Japan as Party Appears to Win Big" by MOTOKO RICH via NYT The New York T… https://t.co/jFUS1TtcYL</t>
  </si>
  <si>
    <t xml:space="preserve">Indianapolis, IN</t>
  </si>
  <si>
    <t xml:space="preserve">Last seen @ (39.895980518271, -86.1970347532014) via https://t.co/GrdEtYhs7s</t>
  </si>
  <si>
    <t xml:space="preserve">Terrifying 👻 Coles</t>
  </si>
  <si>
    <t xml:space="preserve">St. John's NL and Toronto ON</t>
  </si>
  <si>
    <t xml:space="preserve">Freelance journo in NL, interested in food, health, news, kids, and cats. RTs are sharing, not endorsement. https://t.co/Q3PCgYcSOh #binders</t>
  </si>
  <si>
    <t xml:space="preserve">PUMA CUATRO</t>
  </si>
  <si>
    <t xml:space="preserve">"Election Risk Pays Off for Shinzo Abe of Japan as Party Appears to Win Big" by MOTOKO RICH via NYT The New York Times …</t>
  </si>
  <si>
    <t xml:space="preserve">Bogota /Madrid Worldwide </t>
  </si>
  <si>
    <t xml:space="preserve">Consulting:, Export, Sales, Management, Leadership, Marketing, SEO , Branding, GIS, Landscape Ecology, Executive Coaching, Communications Agency, Radio, Blogs.</t>
  </si>
  <si>
    <t xml:space="preserve">bill dick</t>
  </si>
  <si>
    <t xml:space="preserve">please remember I might not agree with items I retweet</t>
  </si>
  <si>
    <t xml:space="preserve">Aayushaman</t>
  </si>
  <si>
    <t xml:space="preserve">Patna-Kashi-Mumbai</t>
  </si>
  <si>
    <t xml:space="preserve">Student of English/Politics,Soul in KASHI.... Har Har Mahadev</t>
  </si>
  <si>
    <t xml:space="preserve">Citizen World News</t>
  </si>
  <si>
    <t xml:space="preserve">Japan's PM Shinzo Abe poised to win snap election https://t.co/7RZpAgndHd</t>
  </si>
  <si>
    <t xml:space="preserve">Citizens Around the World Reporting News When it Happens, Where it Happens. No Biased Media.</t>
  </si>
  <si>
    <t xml:space="preserve">Greg Bear</t>
  </si>
  <si>
    <t xml:space="preserve">"Election Risk Pays Off for Shinzo Abe of Japan as Party Appears to Win Big" by MOTOKO RICH via NYT https://t.co/SteoWHsUR7</t>
  </si>
  <si>
    <t xml:space="preserve">Gotta keep up</t>
  </si>
  <si>
    <t xml:space="preserve">Mac Media</t>
  </si>
  <si>
    <t xml:space="preserve">"Election Risk Pays Off for Shinzo Abe of Japan as Party Appears to Win Big" by MOTOKO RICH via NYT The New York T… https://t.co/BkJ56q9dc7</t>
  </si>
  <si>
    <t xml:space="preserve">Airoli, Navi Mumbai</t>
  </si>
  <si>
    <t xml:space="preserve">Mac Media is an content provider company for more than 20 years. Ours products vary from Audio, Video, Images, GIF, Karaoke, Movies, News, and Television Show.</t>
  </si>
  <si>
    <t xml:space="preserve">Cheetah14</t>
  </si>
  <si>
    <t xml:space="preserve">"Election Risk Pays Off for Shinzo Abe of Japan as Party Appears to Win Big" by MOTOKO RICH via NYT The New York T… https://t.co/0Nfo7n9lFn</t>
  </si>
  <si>
    <t xml:space="preserve">Santa Clarita</t>
  </si>
  <si>
    <t xml:space="preserve">📺 audio guy</t>
  </si>
  <si>
    <t xml:space="preserve">João Magalhães Neto</t>
  </si>
  <si>
    <t xml:space="preserve">"Election Risk Pays Off for Shinzo Abe of Japan as Party Appears to Win Big" by MOTOKO RICH via NYT The New York T… https://t.co/TecKPLIGUg</t>
  </si>
  <si>
    <t xml:space="preserve">-15.814095,-47.788211</t>
  </si>
  <si>
    <t xml:space="preserve">Administrador Postal [PUC/RJ], Administrador de Empresas [UPIS/DF], Pós-graduação em Gestão da Qualidade nos Serviços Públicos [UNICAMP/SP]</t>
  </si>
  <si>
    <t xml:space="preserve">Rich TVX™ Asia</t>
  </si>
  <si>
    <t xml:space="preserve">"Election Risk Pays Off for Shinzo Abe of Japan as Party Appears to Win Big" by MOTOKO RICH via NYT The New York T… https://t.co/ERJ7D3myu2</t>
  </si>
  <si>
    <t xml:space="preserve">Breaking #Asia news alerts and updates from the @RichTVXChannel™ #RichTVX</t>
  </si>
  <si>
    <t xml:space="preserve">Arsius</t>
  </si>
  <si>
    <t xml:space="preserve">Puerto Rico</t>
  </si>
  <si>
    <t xml:space="preserve">Arturo Cabezas</t>
  </si>
  <si>
    <t xml:space="preserve">"Election Risk Pays Off for Shinzo Abe of Japan as Party Appears to Win Big" by MOTOKO RICH via NYT The New York T… https://t.co/UpRt553Xpj</t>
  </si>
  <si>
    <t xml:space="preserve">Bienvenido a la cuenta oficial de Arturo Cabezas Fernández en Twitter. Ing. en Telecomunicaciones. Trabaja en Hispano-Europea de Pesaje. Nacido en Valladolid.</t>
  </si>
  <si>
    <t xml:space="preserve">Daisy Norfolk</t>
  </si>
  <si>
    <t xml:space="preserve">Shinzo Abe secures strong mandate in Japan's general election https://t.co/lHlC4Bq8kj</t>
  </si>
  <si>
    <t xml:space="preserve">Norfolk United Kingdom.</t>
  </si>
  <si>
    <t xml:space="preserve">Passionate advocate of Children's Rights. English Teacher. Re-tweets are not necessarily endorsements</t>
  </si>
  <si>
    <t xml:space="preserve">Jonathan Morales</t>
  </si>
  <si>
    <t xml:space="preserve">"Election Risk Pays Off for Shinzo Abe of Japan as Party Appears to Win Big" by MOTOKO RICH via NYT The New York T… https://t.co/yUBoPmxggI</t>
  </si>
  <si>
    <t xml:space="preserve">Ecuador</t>
  </si>
  <si>
    <t xml:space="preserve">Me gusta conocer nuevas cosas!! Y pues yo soy un estudiante de gastronomía, mi gran sueño es ser un maestro chocolatero...</t>
  </si>
  <si>
    <t xml:space="preserve">Margot</t>
  </si>
  <si>
    <t xml:space="preserve">"Election Risk Pays Off for Shinzo Abe of Japan as Party Appears to Win Big" by MOTOKO RICH via NYT The New York T… https://t.co/rRJ0XfSRQF</t>
  </si>
  <si>
    <t xml:space="preserve">East Burwood Melbourne</t>
  </si>
  <si>
    <t xml:space="preserve">Visit Website https://t.co/ogQ0m2Azzm</t>
  </si>
  <si>
    <t xml:space="preserve">Peter C. Frank</t>
  </si>
  <si>
    <t xml:space="preserve">"Election Risk Pays Off for Shinzo Abe of Japan as Party Appears to Win Big" by MOTOKO RICH via NYT The New York T… https://t.co/UGanNAsDR1</t>
  </si>
  <si>
    <t xml:space="preserve">Hartford, CT</t>
  </si>
  <si>
    <t xml:space="preserve">#Awesome #LGBTQ #political #disability #activist #Progressive #GOP #NightOwl #HuffPost #blogger #Hartford #CT #Westchester #NYC #OWS #tech #geek #SocMed #LOVE</t>
  </si>
  <si>
    <t xml:space="preserve">Top Shelf Playbook</t>
  </si>
  <si>
    <t xml:space="preserve">"Election Risk Pays Off for Shinzo Abe of Japan as Party Appears to Win Big" by MOTOKO RICH via NYT The New York T… https://t.co/h3TYsZjsIr</t>
  </si>
  <si>
    <t xml:space="preserve">Toronto, New York</t>
  </si>
  <si>
    <t xml:space="preserve">Create your #playbook and win in #business. Specializing in the art of Human #Optimization | #Innovation | #Ideation | #Strategy</t>
  </si>
  <si>
    <t xml:space="preserve">Papers International</t>
  </si>
  <si>
    <t xml:space="preserve">"Election Risk Pays Off for Shinzo Abe of Japan as Party Appears to Win Big" by MOTOKO RICH via NYT https://t.co/xKy2ztv9nq</t>
  </si>
  <si>
    <t xml:space="preserve">DC Metro Area</t>
  </si>
  <si>
    <t xml:space="preserve">Analysis on all things international</t>
  </si>
  <si>
    <t xml:space="preserve">lo456</t>
  </si>
  <si>
    <t xml:space="preserve">"Election Risk Pays Off for Shinzo Abe of Japan as Party Appears to Win Big" by MOTOKO RICH via NYT https://t.co/4cxJaRogii</t>
  </si>
  <si>
    <t xml:space="preserve">deutschland</t>
  </si>
  <si>
    <t xml:space="preserve">daR1Zz0</t>
  </si>
  <si>
    <t xml:space="preserve">"Election Risk Pays Off for Shinzo Abe of Japan as Party Appears to Win Big" by MOTOKO RICH via NYT… https://t.co/gv2DD70MmI</t>
  </si>
  <si>
    <t xml:space="preserve">Freigeist, Biergenießer, Freizeitnerd, Katzenfreund. Hab ich was vergessen?</t>
  </si>
  <si>
    <t xml:space="preserve">• Reece •</t>
  </si>
  <si>
    <t xml:space="preserve">"Election Risk Pays Off for Shinzo Abe of Japan as Party Appears to Win Big" by MOTOKO RICH via NYT The New York T… https://t.co/pkATYaM5Ml</t>
  </si>
  <si>
    <t xml:space="preserve">Kentucky</t>
  </si>
  <si>
    <t xml:space="preserve">entrepreneur</t>
  </si>
  <si>
    <t xml:space="preserve">Abdinasir Ab</t>
  </si>
  <si>
    <t xml:space="preserve">"Election Risk Pays Off for Shinzo Abe of Japan as Party Appears to Win Big" by MOTOKO RICH via NYT The New York T… https://t.co/je2tSIFmci</t>
  </si>
  <si>
    <t xml:space="preserve">sweden,stockholm</t>
  </si>
  <si>
    <t xml:space="preserve">Waxaan kaa dhigi karaa buug qoraa weyn. video-gaan fiiri.</t>
  </si>
  <si>
    <t xml:space="preserve">Monu</t>
  </si>
  <si>
    <t xml:space="preserve">"Election Risk Pays Off for Shinzo Abe of Japan as Party Appears to Win Big" by MOTOKO RICH via NYT… https://t.co/gRrtssjy4P</t>
  </si>
  <si>
    <t xml:space="preserve">Techie | MBA | Influencer marketing | Financial Advisor | Blogger | Traveller | SportsMan|</t>
  </si>
  <si>
    <t xml:space="preserve">walcy.carroll</t>
  </si>
  <si>
    <t xml:space="preserve">"Election Risk Pays Off for Shinzo Abe of Japan as Party Appears to Win Big" by MOTOKO RICH via NYT The New York T… https://t.co/qVcHHpiKSi</t>
  </si>
  <si>
    <t xml:space="preserve">Virginia Beach, VA</t>
  </si>
  <si>
    <t xml:space="preserve">Veteran, IT Ninja, Apple Fan, - Enjoying life. having fun ;-) ACAS Admin/InfoSec Community</t>
  </si>
  <si>
    <t xml:space="preserve">Kashif Ali</t>
  </si>
  <si>
    <t xml:space="preserve">"Election Risk Pays Off for Shinzo Abe of Japan as Party Appears to Win Big" via NYT The New York Times https://t.co/k2n00pchLu</t>
  </si>
  <si>
    <t xml:space="preserve">Journalist turned software engineer. Avid reader, movie buff. Views are personal RT ≠ endorsement</t>
  </si>
  <si>
    <t xml:space="preserve">Τζέημς Σώντερς</t>
  </si>
  <si>
    <t xml:space="preserve">"Election Risk Pays Off for Shinzo Abe of Japan as Party Appears to Win Big" by MOTOKO RICH via NYT The New York T… https://t.co/nNFyCaM7me</t>
  </si>
  <si>
    <t xml:space="preserve">Athens</t>
  </si>
  <si>
    <t xml:space="preserve">Υπ. Ευρωβουλευτής 2014, Υποψ. Βουλευτής Κορινθίας 2015 Ανεξάρτητοι Έλληνες - Χριστιανοδημοκρατικό κόμμα Greek Politician at Independent Greeks</t>
  </si>
  <si>
    <t xml:space="preserve">C.O.</t>
  </si>
  <si>
    <t xml:space="preserve">"Election Risk Pays Off for Shinzo Abe of Japan as Party Appears to Win Big" by MOTOKO RICH via NYT The New York T… https://t.co/bYnRxaX25i</t>
  </si>
  <si>
    <t xml:space="preserve">My journey is a path of courage, defeat, dreams, grit, success, setback, forward leaps, and love.</t>
  </si>
  <si>
    <t xml:space="preserve">Sheila Bittle</t>
  </si>
  <si>
    <t xml:space="preserve">"Election Risk Pays Off for Shinzo Abe of Japan as Party Appears to Win Big" by MOTOKO RICH via NYT The New York T… https://t.co/GAg3LO1liB</t>
  </si>
  <si>
    <t xml:space="preserve">kanu</t>
  </si>
  <si>
    <t xml:space="preserve">"Election Risk Pays Off for Shinzo Abe of Japan as Party Appears to Win Big" by MOTOKO RICH via NYT https://t.co/B1CY6NJNHx</t>
  </si>
  <si>
    <t xml:space="preserve">東京都町田市</t>
  </si>
  <si>
    <t xml:space="preserve">負けるな、福島。負けるな、東北。負けるな、日本。 今こそすべてを変える勇気を。</t>
  </si>
  <si>
    <t xml:space="preserve">Alan T #BetaQuerLab</t>
  </si>
  <si>
    <t xml:space="preserve">"Election Risk Pays Off for Shinzo Abe of Japan as Party Appears to Win Big" by MOTOKO RICH via NYT https://t.co/QCQBBSTB2i</t>
  </si>
  <si>
    <t xml:space="preserve">Recife, Brasil</t>
  </si>
  <si>
    <t xml:space="preserve">carlita20002000</t>
  </si>
  <si>
    <t xml:space="preserve">"Election Risk Pays Off for Shinzo Abe of Japan as Party Appears to Win Big" by MOTOKO RICH via NYT The New York T… https://t.co/SstplUgmvR</t>
  </si>
  <si>
    <t xml:space="preserve">Eli</t>
  </si>
  <si>
    <t xml:space="preserve">"Election Risk Pays Off for Shinzo Abe of Japan as Party Appears to Win Big" by MOTOKO RICH via NYT The New York T… https://t.co/UEH0ocTKCx</t>
  </si>
  <si>
    <t xml:space="preserve">Random Tweets</t>
  </si>
  <si>
    <t xml:space="preserve">"Election Risk Pays Off for Shinzo Abe of Japan as Party Appears to Win Big" by MOTOKO RICH via NYT The New York T… https://t.co/CSotL0JhgF</t>
  </si>
  <si>
    <t xml:space="preserve">Random News From The Real And Online Worlds With Occasional Music. DMs Open For Suggestions</t>
  </si>
  <si>
    <t xml:space="preserve">Son T.</t>
  </si>
  <si>
    <t xml:space="preserve">Today in the world: "Election Risk Pays Off for Shinzo Abe of Japan as Party Appears to Win Big" by MOTOKO RICH vi… https://t.co/bmPQbAG1z2</t>
  </si>
  <si>
    <t xml:space="preserve">on the interwebs</t>
  </si>
  <si>
    <t xml:space="preserve">Poliglot, optimiste, porteur d'un esprit curieux... je reste fidèle à moi-même.</t>
  </si>
  <si>
    <t xml:space="preserve">Scott Bay</t>
  </si>
  <si>
    <t xml:space="preserve">"Election Risk Pays Off for Shinzo Abe of Japan as Party Appears to Win Big" by MOTOKO RICH via NYT The New York T… https://t.co/O8hUUDkK6D</t>
  </si>
  <si>
    <t xml:space="preserve">Salt Lake City, UT</t>
  </si>
  <si>
    <t xml:space="preserve">Digital Journalist that reports on the latest technology trends; specializing in security, travel, and finance. I also dabble in furniture design and art.</t>
  </si>
  <si>
    <t xml:space="preserve">Abrar Shahriar 🌐</t>
  </si>
  <si>
    <t xml:space="preserve">"Election Risk Pays Off for Shinzo Abe of Japan as Party Appears to Win Big" by MOTOKO RICH via NYT The New York T… https://t.co/UTupiploHA</t>
  </si>
  <si>
    <t xml:space="preserve">Rangpur, dhaka</t>
  </si>
  <si>
    <t xml:space="preserve">We didn’t choose the room or the music. But now that we are here… Let’s dance...!</t>
  </si>
  <si>
    <t xml:space="preserve">Tornado</t>
  </si>
  <si>
    <t xml:space="preserve">"Election Risk Pays Off for Shinzo Abe of Japan as Party Appears to Win Big" by MOTOKO RICH via NYT The New York T… https://t.co/RCwyUG9YOs</t>
  </si>
  <si>
    <t xml:space="preserve">Insane Person, My Twitter Account Reads Like the Best Newspaper in the World https://t.co/THkN5c5B2i</t>
  </si>
  <si>
    <t xml:space="preserve">Atif Akram</t>
  </si>
  <si>
    <t xml:space="preserve">"Election Risk Pays Off for Shinzo Abe of Japan as Party Appears to Win Big" by MOTOKO RICH via NYT The New York T… https://t.co/DdFueIXWYO</t>
  </si>
  <si>
    <t xml:space="preserve">Ricardo Durán</t>
  </si>
  <si>
    <t xml:space="preserve">"Election Risk Pays Off for Shinzo Abe of Japan as Party Appears to Win Big" by MOTOKO RICH via NYT The New York T… https://t.co/tJYJ6f2WxQ</t>
  </si>
  <si>
    <t xml:space="preserve">Táchira, Venezuela</t>
  </si>
  <si>
    <t xml:space="preserve">Periodista Venezolano, 16 años de experiencia en medios, Community Manager, Locutor, ❤Gleidy. ¡Pero no yo, sino la gracia de Dios en mi.!</t>
  </si>
  <si>
    <t xml:space="preserve">anandasubramanian</t>
  </si>
  <si>
    <t xml:space="preserve">"Election Risk Pays Off for Shinzo Abe of Japan as Party Appears to Win Big" by MOTOKO RICH via NYT The New York T… https://t.co/nznP8cpNVF</t>
  </si>
  <si>
    <t xml:space="preserve">Atlanta, GA</t>
  </si>
  <si>
    <t xml:space="preserve">Award winning innovator in banking IT and analytics.</t>
  </si>
  <si>
    <t xml:space="preserve">Tweeting by the pool</t>
  </si>
  <si>
    <t xml:space="preserve">"Election Risk Pays Off for Shinzo Abe of Japan as Party Appears to Win Big" by MOTOKO RICH via NYT The New York T… https://t.co/lupB1NGJPD</t>
  </si>
  <si>
    <t xml:space="preserve">⛱ My swimming pool water is always 25° #Followback, sometimes :-)</t>
  </si>
  <si>
    <t xml:space="preserve">Cohan Law</t>
  </si>
  <si>
    <t xml:space="preserve">"Election Risk Pays Off for Shinzo Abe of Japan as Party Appears to Win Big" by MOTOKO RICH via NYT https://t.co/LHCOtjuHWI</t>
  </si>
  <si>
    <t xml:space="preserve">Civil warrior. Giving a voice to the mute. Fighting for clients.</t>
  </si>
  <si>
    <t xml:space="preserve">Eddie Du</t>
  </si>
  <si>
    <t xml:space="preserve">» What Abe’s election win will mean for China-Japan relations (nothing much probbaly) | South China Morning Post https://t.co/CFitMKuKNn</t>
  </si>
  <si>
    <t xml:space="preserve">Lost In Shanghai</t>
  </si>
  <si>
    <r>
      <rPr>
        <sz val="8"/>
        <rFont val="Droid Sans"/>
        <family val="0"/>
        <charset val="1"/>
      </rPr>
      <t xml:space="preserve">News Junkie; </t>
    </r>
    <r>
      <rPr>
        <sz val="8"/>
        <rFont val="Noto Sans CJK SC Regular"/>
        <family val="2"/>
      </rPr>
      <t xml:space="preserve">地命海心</t>
    </r>
    <r>
      <rPr>
        <sz val="8"/>
        <rFont val="Droid Sans"/>
        <family val="0"/>
        <charset val="1"/>
      </rPr>
      <t xml:space="preserve">; </t>
    </r>
    <r>
      <rPr>
        <sz val="8"/>
        <rFont val="Noto Sans CJK SC Regular"/>
        <family val="2"/>
      </rPr>
      <t xml:space="preserve">理中客</t>
    </r>
    <r>
      <rPr>
        <sz val="8"/>
        <rFont val="Droid Sans"/>
        <family val="0"/>
        <charset val="1"/>
      </rPr>
      <t xml:space="preserve">. China's diplomacy, History, Empires and Peoples, Tech, Gadgets, Social Media.</t>
    </r>
  </si>
  <si>
    <t xml:space="preserve">rhb (fair go)</t>
  </si>
  <si>
    <t xml:space="preserve">Election Risk Pays Off for Shinzo Abe of Japan as Party Appears to Win Big - The New York Times… https://t.co/w53F3TXGpU</t>
  </si>
  <si>
    <t xml:space="preserve">Hi. My name is rhb. I'm a Japanese blogger and I've been studying English for about five years. / http://t.co/PDsMI09wXW</t>
  </si>
  <si>
    <t xml:space="preserve">methauser</t>
  </si>
  <si>
    <t xml:space="preserve">Planet Earth🌏🌍🌎</t>
  </si>
  <si>
    <t xml:space="preserve">Google at your fingertips #Tech+culture, #Data #health...नेपाली.</t>
  </si>
  <si>
    <t xml:space="preserve">richardjagne</t>
  </si>
  <si>
    <t xml:space="preserve">Black Cab driver Green Badge</t>
  </si>
  <si>
    <t xml:space="preserve">Pablo</t>
  </si>
  <si>
    <t xml:space="preserve">"Election Risk Pays Off for Shinzo Abe of Japan as Party Appears to Win Big" by MOTOKO RICH via NYT https://t.co/MOFXARsIEx</t>
  </si>
  <si>
    <t xml:space="preserve">Chile</t>
  </si>
  <si>
    <t xml:space="preserve">Ingeniero. Docente Universitario. #Data #Marketing ® Logic &amp; True Maths' lover∞ Lead Guitar(metal)♪ Magic♠</t>
  </si>
  <si>
    <t xml:space="preserve">MAGNIFYK</t>
  </si>
  <si>
    <t xml:space="preserve">"Election Risk Pays Off for Shinzo Abe of Japan as Party Appears to Win Big" by MOTOKO RICH via NYT The New York T… https://t.co/1A9Po8IS5u</t>
  </si>
  <si>
    <t xml:space="preserve">Paris in france</t>
  </si>
  <si>
    <t xml:space="preserve">Managements -Events -Services-promotions</t>
  </si>
  <si>
    <t xml:space="preserve">24x7 Politics</t>
  </si>
  <si>
    <t xml:space="preserve">"Election Risk Pays Off for Shinzo Abe of Japan as Party Appears to Win Big" by MOTOKO RICH via NYT The New York T… https://t.co/V3ZZTT0rnZ</t>
  </si>
  <si>
    <t xml:space="preserve">Political News &amp; views | Opinion Polls on Politics | Live Coverage | Interviews | Cartoon | Live Press Conferences | Women Empowerment ReTweets nt Endorsements</t>
  </si>
  <si>
    <t xml:space="preserve">Wanderer Journal</t>
  </si>
  <si>
    <t xml:space="preserve">"Election Risk Pays Off for Shinzo Abe of Japan as Party Appears to Win Big" by MOTOKO RICH via NYT The New York T… https://t.co/3A2FQg7cRc</t>
  </si>
  <si>
    <t xml:space="preserve">Giovanni Rocca III</t>
  </si>
  <si>
    <t xml:space="preserve">"Election Risk Pays Off for Shinzo Abe of Japan as Party Appears to Win Big" by MOTOKO RICH via NYT The New York T… https://t.co/ap9iQr2UZj</t>
  </si>
  <si>
    <t xml:space="preserve">Peruano ciudadano italiano - estudiante de Relaciones Internacionales - USIL - Crema y Bianconero - Cinefilo y amante de la Historia</t>
  </si>
  <si>
    <t xml:space="preserve">Suno Ramesh</t>
  </si>
  <si>
    <t xml:space="preserve">"Election Risk Pays Off for Shinzo Abe of Japan as Party Appears to Win Big" by MOTOKO RICH via NYT The New York T… https://t.co/1VjD1mA4h9</t>
  </si>
  <si>
    <t xml:space="preserve">Mostly Clear today!</t>
  </si>
  <si>
    <t xml:space="preserve">David Ansell</t>
  </si>
  <si>
    <t xml:space="preserve">"Election Risk Pays Off for Shinzo Abe of Japan as Party Appears to Win Big" by MOTOKO RICH via NYT The New York T… https://t.co/MOBAjiY8Et</t>
  </si>
  <si>
    <t xml:space="preserve">Las Vegas, NV</t>
  </si>
  <si>
    <t xml:space="preserve">Reading is my only hobby.</t>
  </si>
  <si>
    <t xml:space="preserve">Mitsy Princell</t>
  </si>
  <si>
    <t xml:space="preserve">"Election Risk Pays Off for Shinzo Abe of Japan as Party Appears to Win Big" by MOTOKO RICH via NYT The New York T… https://t.co/KFIkXrkhFe</t>
  </si>
  <si>
    <t xml:space="preserve">Greenville, SC, USA</t>
  </si>
  <si>
    <t xml:space="preserve">TechMashBang</t>
  </si>
  <si>
    <t xml:space="preserve">"Election Risk Pays Off for Shinzo Abe of Japan as Party Appears to Win Big" by MOTOKO RICH via NYT The New York T… https://t.co/by3Y90llqu</t>
  </si>
  <si>
    <t xml:space="preserve">A #twitter based aggregated news feed for all things #technology and #future.. You won't need another #tech feed ever. #technews #news #newsfeed #mashable #ars</t>
  </si>
  <si>
    <t xml:space="preserve">Renier Pérez García</t>
  </si>
  <si>
    <t xml:space="preserve">"Election Risk Pays Off for Shinzo Abe of Japan as Party Appears to Win Big" by MOTOKO RICH via NYT The New York T… https://t.co/MECajylWrb</t>
  </si>
  <si>
    <t xml:space="preserve">Santiago de Chile</t>
  </si>
  <si>
    <t xml:space="preserve">Senior IT Consultant and Software Architect</t>
  </si>
  <si>
    <t xml:space="preserve">Mohit Sharma</t>
  </si>
  <si>
    <t xml:space="preserve">"Election Risk Pays Off for Shinzo Abe of Japan as Party Appears to Win Big" by MOTOKO RICH via NYT The New York T… https://t.co/TXeciL3ahW</t>
  </si>
  <si>
    <t xml:space="preserve">With Rahul Gandhi</t>
  </si>
  <si>
    <t xml:space="preserve">"Election Risk Pays Off for Shinzo Abe of Japan as Party Appears to Win Big" by MOTOKO RICH via NYT The New York T… https://t.co/enRjt6qghG</t>
  </si>
  <si>
    <t xml:space="preserve">#WithRahulGandhi | Social Volunteer | Congress Supporter | IT Architect | Politics | Social Media | Congress Supporter | Rahul Gandhi Fan</t>
  </si>
  <si>
    <t xml:space="preserve">Los Fundadores</t>
  </si>
  <si>
    <t xml:space="preserve">"Election Risk Pays Off for Shinzo Abe of Japan as Party Appears to Win Big" by MOTOKO RICH via NYT The New York T… https://t.co/OimbrfRYpf</t>
  </si>
  <si>
    <t xml:space="preserve">Comalcalco, Tabasco Mexico</t>
  </si>
  <si>
    <t xml:space="preserve">HOSPEDAJE EN ZONA MAYA (zona arqueológica) estancia ecológica los fundadores, reservaciones +52 1 9331525943</t>
  </si>
  <si>
    <t xml:space="preserve">thompsonlauren4</t>
  </si>
  <si>
    <t xml:space="preserve">"Election Risk Pays Off for Shinzo Abe of Japan as Party Appears to Win Big" by MOTOKO RICH via NYT The New York T… https://t.co/nI33vWPUlV</t>
  </si>
  <si>
    <t xml:space="preserve">Southendairporttravel isUK London and surrounding areas based chauffeur company. ,https://t.co/nLpHhXyXu2</t>
  </si>
  <si>
    <t xml:space="preserve">Jerel Eastham</t>
  </si>
  <si>
    <t xml:space="preserve">"Election Risk Pays Off for Shinzo Abe of Japan as Party Appears to Win Big" by MOTOKO RICH via NYT The New York T… https://t.co/rWAUNahcy1</t>
  </si>
  <si>
    <t xml:space="preserve">LarryDavoll</t>
  </si>
  <si>
    <t xml:space="preserve">"Election Risk Pays Off for Shinzo Abe of Japan as Party Appears to Win Big" by MOTOKO RICH via NYT The New York T… https://t.co/yc85RofsEt</t>
  </si>
  <si>
    <t xml:space="preserve">"Election Risk Pays Off for Shinzo Abe of Japan as Party Appears to Win Big" by MOTOKO RICH via NYT The New York T… https://t.co/EzVTlG1yo1</t>
  </si>
  <si>
    <t xml:space="preserve">Herzukka's blog</t>
  </si>
  <si>
    <t xml:space="preserve">"Election Risk Pays Off for Shinzo Abe of Japan as Party Appears to Win Big" by MOTOKO RICH via NYT The New York T… https://t.co/5YlhN4LM2c</t>
  </si>
  <si>
    <t xml:space="preserve">Ugossip</t>
  </si>
  <si>
    <t xml:space="preserve">https://t.co/9QKb1nKcSg"Election Risk Pays Off for Shinzo Abe of Japan as Party Appears to Win Big" via NYT The N… https://t.co/ZhUuP0cQXp</t>
  </si>
  <si>
    <t xml:space="preserve">Global </t>
  </si>
  <si>
    <t xml:space="preserve">THE OFFICIAL TWITTER ACCOUNT OF UGOSSIP. A LEADING MEDIA BRAND IN NIGERIA. WINNER BEST MEDIA PLATFORM 2014 PR® EVENTS® INFORMATION® PUBLICITY® ENTERTAINMENT®</t>
  </si>
  <si>
    <t xml:space="preserve">Tunez9ja Update's</t>
  </si>
  <si>
    <t xml:space="preserve">"Election Risk Pays Off for Shinzo Abe of Japan as Party Appears to Win Big" by MOTOKO RICH via NYT The New York T… https://t.co/YZ9gdaWFa0</t>
  </si>
  <si>
    <t xml:space="preserve">The man your #librarian warned you about. Former audio engineer, now #author, #editor, future #corpse, #promoter, #entertainer</t>
  </si>
  <si>
    <t xml:space="preserve">Eng Moe aub</t>
  </si>
  <si>
    <t xml:space="preserve">"Election Risk Pays Off for Shinzo Abe of Japan as Party Appears to Win Big" by MOTOKO RICH via NYT The New York T… https://t.co/tdRJ1QnlFN</t>
  </si>
  <si>
    <t xml:space="preserve">kundacoffee</t>
  </si>
  <si>
    <t xml:space="preserve">"Election Risk Pays Off for Shinzo Abe of Japan as Party Appears to Win Big" by MOTOKO RICH via NYT The New York T… https://t.co/Gy6XBTYPAE</t>
  </si>
  <si>
    <t xml:space="preserve">Seattle, WA</t>
  </si>
  <si>
    <t xml:space="preserve">Kunda Coffee Yerba Matè Coffee Blend. Add new energy to your morning coffee.</t>
  </si>
  <si>
    <t xml:space="preserve">PostKob</t>
  </si>
  <si>
    <t xml:space="preserve">"Election Risk Pays Off for Shinzo Abe of Japan as Party Appears to Win Big" by MOTOKO RICH via NYT The New York T… https://t.co/7y8LyCkvwz</t>
  </si>
  <si>
    <t xml:space="preserve">Content Marketing Consultant to the world's top experts and startups. Contributor @AutoKob @KobMaxQueen</t>
  </si>
  <si>
    <t xml:space="preserve">Virat Garg</t>
  </si>
  <si>
    <t xml:space="preserve">"Election Risk Pays Off for Shinzo Abe of Japan as Party Appears to Win Big" by MOTOKO RICH via NYT The New York T… https://t.co/NZ9gyv9jRx</t>
  </si>
  <si>
    <t xml:space="preserve">New Delhi </t>
  </si>
  <si>
    <t xml:space="preserve">#Travel #Culture #Society Multimedia Journalist #Observer #Designer of life moments. Enter in my world. #Asia🇮🇳 to #Europe🇫🇷</t>
  </si>
  <si>
    <t xml:space="preserve">Dag Petterson</t>
  </si>
  <si>
    <t xml:space="preserve">#aljazeera Japan's PM Shinzo Abe poised to win snap election https://t.co/w9BpObpbyV #Africa</t>
  </si>
  <si>
    <t xml:space="preserve">UK Luxury</t>
  </si>
  <si>
    <t xml:space="preserve">"Election Risk Pays Off for Shinzo Abe of Japan as Party Appears to Win Big" by MOTOKO RICH via NYT The New York T… https://t.co/xIN4PQfXBB</t>
  </si>
  <si>
    <t xml:space="preserve">UK Central </t>
  </si>
  <si>
    <t xml:space="preserve">The #UK #luxury Twitter handle for https://t.co/KVA47O7Fpa - looking 4 guest bloggers @ contact@getrealluxury.com - #getrealluxury, #London</t>
  </si>
  <si>
    <t xml:space="preserve">Japan's PM Shinzo Abe poised to win snap election https://t.co/cgRO14kxWW</t>
  </si>
  <si>
    <t xml:space="preserve">Jose Lopes</t>
  </si>
  <si>
    <t xml:space="preserve">"Election Risk Pays Off for Shinzo Abe of Japan as Party Appears to Win Big" by MOTOKO RICH via NYT… https://t.co/Jl0PLUjmCT</t>
  </si>
  <si>
    <t xml:space="preserve">praia cape verde</t>
  </si>
  <si>
    <t xml:space="preserve">Joshua Herzog</t>
  </si>
  <si>
    <t xml:space="preserve">"Election Risk Pays Off for Shinzo Abe of Japan as Party Appears to Win Big" by MOTOKO RICH via NYT The New York T… https://t.co/qo23nq5tR9</t>
  </si>
  <si>
    <t xml:space="preserve">The young are of age when they twitter like the old; ...when they have this by heart, they are declared of age. - Max Stirner</t>
  </si>
  <si>
    <t xml:space="preserve">We Just Say It</t>
  </si>
  <si>
    <t xml:space="preserve">"Election Risk Pays Off for Shinzo Abe of Japan as Party Appears to Win Big" by MOTOKO RICH via NYT The New York T… https://t.co/BuUjscFaSl</t>
  </si>
  <si>
    <t xml:space="preserve">The Place Where Smart Folk Congregate. Check out our company Home Page.</t>
  </si>
  <si>
    <t xml:space="preserve">Nordic Diplo</t>
  </si>
  <si>
    <t xml:space="preserve">"Election Risk Pays Off for Shinzo Abe of Japan as Party Appears to Win Big" by MOTOKO RICH via NYT The New York T… https://t.co/cDxhpVK5kC</t>
  </si>
  <si>
    <t xml:space="preserve">Norway</t>
  </si>
  <si>
    <t xml:space="preserve">HDTalk</t>
  </si>
  <si>
    <t xml:space="preserve">#HDTalk "Election Risk Pays Off for Shinzo Abe of Japan as Party Appears to Win Big" by MOTOKO RICH via NYT The Ne… https://t.co/0dfRA4JVDj</t>
  </si>
  <si>
    <t xml:space="preserve">Chico, CA</t>
  </si>
  <si>
    <t xml:space="preserve">🇺🇸Lifestyle Vlogosphere 🇺🇸Business Owner 🇺🇸Podcast Contributor 🇺🇸 Speaker 🇺🇸Commentator 🇺🇸Brought To You By: HDTalk Network</t>
  </si>
  <si>
    <t xml:space="preserve">株式情報市場</t>
  </si>
  <si>
    <t xml:space="preserve">Japan's PM Shinzo Abe poised to win snap election https://t.co/yaaPJeaKZV</t>
  </si>
  <si>
    <r>
      <rPr>
        <sz val="8"/>
        <rFont val="Noto Sans CJK SC Regular"/>
        <family val="2"/>
      </rPr>
      <t xml:space="preserve">投資情報 </t>
    </r>
    <r>
      <rPr>
        <sz val="8"/>
        <rFont val="Droid Sans"/>
        <family val="0"/>
        <charset val="1"/>
      </rPr>
      <t xml:space="preserve">/</t>
    </r>
    <r>
      <rPr>
        <sz val="8"/>
        <rFont val="Noto Sans CJK SC Regular"/>
        <family val="2"/>
      </rPr>
      <t xml:space="preserve">マーケット </t>
    </r>
    <r>
      <rPr>
        <sz val="8"/>
        <rFont val="Droid Sans"/>
        <family val="0"/>
        <charset val="1"/>
      </rPr>
      <t xml:space="preserve">/</t>
    </r>
    <r>
      <rPr>
        <sz val="8"/>
        <rFont val="Noto Sans CJK SC Regular"/>
        <family val="2"/>
      </rPr>
      <t xml:space="preserve">経済 </t>
    </r>
    <r>
      <rPr>
        <sz val="8"/>
        <rFont val="Droid Sans"/>
        <family val="0"/>
        <charset val="1"/>
      </rPr>
      <t xml:space="preserve">/</t>
    </r>
    <r>
      <rPr>
        <sz val="8"/>
        <rFont val="Noto Sans CJK SC Regular"/>
        <family val="2"/>
      </rPr>
      <t xml:space="preserve">ビジネス </t>
    </r>
    <r>
      <rPr>
        <sz val="8"/>
        <rFont val="Droid Sans"/>
        <family val="0"/>
        <charset val="1"/>
      </rPr>
      <t xml:space="preserve">/</t>
    </r>
    <r>
      <rPr>
        <sz val="8"/>
        <rFont val="Noto Sans CJK SC Regular"/>
        <family val="2"/>
      </rPr>
      <t xml:space="preserve">国際 </t>
    </r>
    <r>
      <rPr>
        <sz val="8"/>
        <rFont val="Droid Sans"/>
        <family val="0"/>
        <charset val="1"/>
      </rPr>
      <t xml:space="preserve">/</t>
    </r>
    <r>
      <rPr>
        <sz val="8"/>
        <rFont val="Noto Sans CJK SC Regular"/>
        <family val="2"/>
      </rPr>
      <t xml:space="preserve">ライフ</t>
    </r>
    <r>
      <rPr>
        <sz val="8"/>
        <rFont val="Droid Sans"/>
        <family val="0"/>
        <charset val="1"/>
      </rPr>
      <t xml:space="preserve">/blog⇒https://t.co/OBL232OTlG</t>
    </r>
  </si>
  <si>
    <t xml:space="preserve">Sand Das [sanddas™]</t>
  </si>
  <si>
    <t xml:space="preserve">"Election Risk Pays Off for Shinzo Abe of Japan as Party Appears to Win Big" by MOTOKO RICH via NYT The New York T… https://t.co/FBl59qvoOQ</t>
  </si>
  <si>
    <t xml:space="preserve">Kolkata, India. ☑</t>
  </si>
  <si>
    <t xml:space="preserve">Creative Director, KEVAURA, LLC. CA, USA | #Eco #RealEstateEnthusiast #Photography #ToursAndtravels to #BengalAndSikkim #WebsiteGuy https://t.co/JTKWwESj5w</t>
  </si>
  <si>
    <t xml:space="preserve">Jerry</t>
  </si>
  <si>
    <t xml:space="preserve">"Election Risk Pays Off for Shinzo Abe of Japan as Party Appears to Win Big" by MOTOKO RICH via NYT The New York T… https://t.co/tZXa2CcG5M</t>
  </si>
  <si>
    <t xml:space="preserve">"Election Risk Pays Off for Shinzo Abe of Japan as Party Appears to Win Big" by MOTOKO RICH via NYT The New York T… https://t.co/R2SaTriwh7</t>
  </si>
  <si>
    <t xml:space="preserve">Iuri Pohl #TimBeta</t>
  </si>
  <si>
    <t xml:space="preserve">MK </t>
  </si>
  <si>
    <t xml:space="preserve">Positive Vibrations🌊 Views are my own.</t>
  </si>
  <si>
    <t xml:space="preserve">NewsIn Tweets</t>
  </si>
  <si>
    <t xml:space="preserve">The Guardian: Shinzo Abe secures strong mandate in Japan’s general election https://t.co/a50hF9dfzn… https://t.co/Tn3eUcuCXd</t>
  </si>
  <si>
    <t xml:space="preserve">Tweets From All Your Favourite News Sources. All In One Place</t>
  </si>
  <si>
    <t xml:space="preserve">Scott Ritenbaugh</t>
  </si>
  <si>
    <t xml:space="preserve">"Election Risk Pays Off for Shinzo Abe of Japan as Party Appears to Win Big" by MOTOKO RICH via NYT The New York T… https://t.co/HqULct86yK</t>
  </si>
  <si>
    <t xml:space="preserve">HVAC/Plumbing Designer, Fan of the Pittsburgh Steelers &amp; Penguins, located in Pittsburgh, PA</t>
  </si>
  <si>
    <t xml:space="preserve">parodynews</t>
  </si>
  <si>
    <t xml:space="preserve">Shinzo Abe secures strong mandate in Japan's general election https://t.co/oSDfi3V6Qu</t>
  </si>
  <si>
    <t xml:space="preserve">ATHENS</t>
  </si>
  <si>
    <t xml:space="preserve">Dany Bleed: Broadcaster/ writer / blogger/ satirical beast</t>
  </si>
  <si>
    <t xml:space="preserve">Fractaurean</t>
  </si>
  <si>
    <t xml:space="preserve">The Expanding Universe</t>
  </si>
  <si>
    <t xml:space="preserve">Traveler, seeker of qi, qirider, seeker &amp; protector of the Truth</t>
  </si>
  <si>
    <t xml:space="preserve">Merentia v d Vent</t>
  </si>
  <si>
    <t xml:space="preserve">"Election Risk Pays Off for Shinzo Abe of Japan as Party Appears to Win Big" by MOTOKO RICH via NYT The New York T… https://t.co/3eu6k2IkX7</t>
  </si>
  <si>
    <t xml:space="preserve">Cape Town, South Africa</t>
  </si>
  <si>
    <t xml:space="preserve">Retweets &amp; engagement show me your 💓Tweets are my own 💕 #merentiasadventures 💖 #TBD2017 ❤ national co-ordinator mvdvent@gmail.com I retweet #merentiasworld💞</t>
  </si>
  <si>
    <t xml:space="preserve">Devyn</t>
  </si>
  <si>
    <t xml:space="preserve">"Election Risk Pays Off for Shinzo Abe of Japan as Party Appears to Win Big" by MOTOKO RICH via NYT The New York T… https://t.co/sS6o1DsKHJ</t>
  </si>
  <si>
    <t xml:space="preserve">Palestine Zone</t>
  </si>
  <si>
    <t xml:space="preserve">Japan's PM Shinzo Abe poised to win snap election https://t.co/n3tUGmxwBN</t>
  </si>
  <si>
    <t xml:space="preserve">Palestine News Update</t>
  </si>
  <si>
    <t xml:space="preserve">Marilyn80s</t>
  </si>
  <si>
    <t xml:space="preserve">"Election Risk Pays Off for Shinzo Abe of Japan as Party Appears to Win Big" by MOTOKO RICH via NYT The New York T… https://t.co/JbUaoBZ6pe</t>
  </si>
  <si>
    <t xml:space="preserve">St Paul, MN</t>
  </si>
  <si>
    <t xml:space="preserve">Tweet this. I don't do F4F</t>
  </si>
  <si>
    <t xml:space="preserve">Besigye Bruno</t>
  </si>
  <si>
    <t xml:space="preserve">"Election Risk Pays Off for Shinzo Abe of Japan as Party Appears to Win Big" by MOTOKO RICH via NYT The New York T… https://t.co/9l0sop5thL</t>
  </si>
  <si>
    <t xml:space="preserve">Kampala, Uganda</t>
  </si>
  <si>
    <t xml:space="preserve">"Japan's PM Shinzo Abe poised to win snap election" https://t.co/SwfpO0HDZc #Aljazeera</t>
  </si>
  <si>
    <t xml:space="preserve">Global News Bangkok</t>
  </si>
  <si>
    <t xml:space="preserve">Election Risk Pays Off for #ShinzoAbe of #Japan as Party Appears to Win Big @nytimes https://t.co/RXEPfmyu6K</t>
  </si>
  <si>
    <r>
      <rPr>
        <sz val="8"/>
        <rFont val="Droid Sans"/>
        <family val="0"/>
        <charset val="1"/>
      </rPr>
      <t xml:space="preserve">@GlobalNewsTH ✌ATHEIST☮ ☄NewsGeek☔TechGeek⌨ Motorsport⏱ Music©️✨80's ♋Comedy</t>
    </r>
    <r>
      <rPr>
        <sz val="8"/>
        <rFont val="Noto Sans CJK SC Regular"/>
        <family val="2"/>
      </rPr>
      <t xml:space="preserve">ツ </t>
    </r>
    <r>
      <rPr>
        <sz val="8"/>
        <rFont val="Droid Sans"/>
        <family val="0"/>
        <charset val="1"/>
      </rPr>
      <t xml:space="preserve">Wine♔ ✈Aviation ⛵Travel COOLJAPAN♨⛄⚡Photography⛩ RT ≠ Endorsement ✳</t>
    </r>
  </si>
  <si>
    <t xml:space="preserve">Andrew Ralph</t>
  </si>
  <si>
    <t xml:space="preserve">Ratoath Municipal District </t>
  </si>
  <si>
    <t xml:space="preserve">Irish 🇮🇪 UCD MA in IR student 🎓. Meath Peace Commissioner ⚖️. @DCUAlumni. @CIEEAlumni 🌎. ALL views expressed are MINE ALONE; RT/like does not ≠ endorsement.</t>
  </si>
  <si>
    <t xml:space="preserve">Stop Schild 1%</t>
  </si>
  <si>
    <t xml:space="preserve">fwd: Japan's PM Shinzo Abe poised to win snap election https://t.co/pRZORVZMjy</t>
  </si>
  <si>
    <t xml:space="preserve">World of freedom</t>
  </si>
  <si>
    <t xml:space="preserve">BM-2cUhWS1EutJkd1WkVH752pGb81w5Q7saso</t>
  </si>
  <si>
    <t xml:space="preserve">Japan's PM Shinzo Abe poised to win snap election https://t.co/lFFp4sY89H</t>
  </si>
  <si>
    <t xml:space="preserve">Matt Crowe</t>
  </si>
  <si>
    <t xml:space="preserve">Election Risk Pays Off for Shinzo Abe of Japan as Party Appears to Win Big by MOTOKO RICH https://t.co/R897GP9KqM</t>
  </si>
  <si>
    <t xml:space="preserve">San Fransisco</t>
  </si>
  <si>
    <t xml:space="preserve">Matt Crowe is a passionate foodie, technologist, fisherman, outdoorsman, and word traveler. He has been fortunate enough to be able to travel the world, enjoy</t>
  </si>
  <si>
    <t xml:space="preserve">Gonzalo Fragua</t>
  </si>
  <si>
    <t xml:space="preserve">Shinzo Abe secures strong mandate in Japan's general election https://t.co/rpTK3nyRQw How to do a clever snap election</t>
  </si>
  <si>
    <t xml:space="preserve">España </t>
  </si>
  <si>
    <t xml:space="preserve">Política y economía. Geoestrategia y relaciones internacionales. A veces literatura y cine.</t>
  </si>
  <si>
    <t xml:space="preserve">Paul Sullivan</t>
  </si>
  <si>
    <t xml:space="preserve">Virginia, USA</t>
  </si>
  <si>
    <t xml:space="preserve">Energy and water security/ Middle East and NE Asia expert/ economist/ mentor/ high level adviser/ Prof at NDU. Adj Prof at Georgetown. opinions personal</t>
  </si>
  <si>
    <t xml:space="preserve">Jynx Maze</t>
  </si>
  <si>
    <t xml:space="preserve">Election Risk Pays Off for Shinzo Abe of Japan as Party Appears to Win Big https://t.co/pADceWinbZ</t>
  </si>
  <si>
    <t xml:space="preserve">Long Beach, CA</t>
  </si>
  <si>
    <t xml:space="preserve">Love Is a Life</t>
  </si>
  <si>
    <t xml:space="preserve">Dhiqrullah</t>
  </si>
  <si>
    <t xml:space="preserve">BREAKING: Japan's Prime Minister Shinzo Abe is on course for a victory in the country's snap general election… https://t.co/CAblAUMpav</t>
  </si>
  <si>
    <t xml:space="preserve">A writer, sports analyst, global news updater</t>
  </si>
  <si>
    <t xml:space="preserve">Shinzo Abe secures strong mandate in Japan's general election https://t.co/fhat8ORSUd</t>
  </si>
  <si>
    <t xml:space="preserve">MiroirVd</t>
  </si>
  <si>
    <t xml:space="preserve">#Aljazeera #English Japan's PM Shinzo Abe poised to win snap election https://t.co/XRVot0ZX8p</t>
  </si>
  <si>
    <t xml:space="preserve">Djibouti</t>
  </si>
  <si>
    <t xml:space="preserve">Bot journaliste indépendant numérique,VerredeMiroir le Relai de l'information du Monde est dans vos mains. #Français #Anglais #Arabes. Appartient à @Madharnabil</t>
  </si>
  <si>
    <t xml:space="preserve">Galleryite</t>
  </si>
  <si>
    <t xml:space="preserve">Osaka, Japan</t>
  </si>
  <si>
    <t xml:space="preserve">ManOf🇯🇵 #IJustLoveMusic, #Movies, #Language, #Economics, #Science</t>
  </si>
  <si>
    <t xml:space="preserve">Muntasir Rahat</t>
  </si>
  <si>
    <t xml:space="preserve">Porcelain God</t>
  </si>
  <si>
    <t xml:space="preserve">Japan's PM Shinzo Abe poised to win snap election https://t.co/2cHvHj8Q2e</t>
  </si>
  <si>
    <t xml:space="preserve">Jibril</t>
  </si>
  <si>
    <t xml:space="preserve">RT @globalissuesweb: Japan's PM Shinzo Abe poised to win snap election https://t.co/w8hLPcKk2t https://t.co/O5PdpGPg52</t>
  </si>
  <si>
    <t xml:space="preserve">Scottsdale , Arizona</t>
  </si>
  <si>
    <t xml:space="preserve">Lecturer at the Department of African American and African Studies at the Ohio State University. International Development and practice professional.</t>
  </si>
  <si>
    <t xml:space="preserve">garbs</t>
  </si>
  <si>
    <t xml:space="preserve">JJ Dy Jaime</t>
  </si>
  <si>
    <t xml:space="preserve">The Truth will set you free ...</t>
  </si>
  <si>
    <t xml:space="preserve">SNAFOO</t>
  </si>
  <si>
    <t xml:space="preserve">Japan election: Shinzo Abe's party likely to seize control in lower house via the @FoxNews App https://t.co/g73pJuJ2WQ</t>
  </si>
  <si>
    <t xml:space="preserve"> #3%  #FtheLeft Pro #2A #1A 👌</t>
  </si>
  <si>
    <t xml:space="preserve">SNAFOO (So Not A Fan Of Obamaphiles)Southern MiddleClass White Christian Male Conservative,so I am a bigot, xenophobe, misogynist, sexist, &amp; homophobic Luddite.</t>
  </si>
  <si>
    <t xml:space="preserve">RadioRadio</t>
  </si>
  <si>
    <t xml:space="preserve">"Election Risk Pays Off for Shinzo Abe of Japan as Party Appears to Win Big" by MOTOKO RICH via NYT The New York T… https://t.co/VqSy3gdWt3</t>
  </si>
  <si>
    <t xml:space="preserve">Aguadilla PR</t>
  </si>
  <si>
    <t xml:space="preserve">Eugenio Bertolaccini</t>
  </si>
  <si>
    <t xml:space="preserve">"Election Risk Pays Off for Shinzo Abe of Japan as Party Appears to Win Big" by MOTOKO RICH via NYT The New York T… https://t.co/slEHYhC8CB</t>
  </si>
  <si>
    <t xml:space="preserve">anzio,italy</t>
  </si>
  <si>
    <t xml:space="preserve">@LPastrana : Atardecer en el muelle en Havana, Cuba https://t.co/cqKMb5J0wK (via Twitter https://t.co/wBCMnMpCVo)</t>
  </si>
  <si>
    <t xml:space="preserve">KMBORI💎</t>
  </si>
  <si>
    <t xml:space="preserve">"Election Risk Pays Off for Shinzo Abe of Japan as Party Appears to Win Big" by MOTOKO RICH via NYT The New York T… https://t.co/6ubIavE4Ly</t>
  </si>
  <si>
    <t xml:space="preserve">Miami, Fl</t>
  </si>
  <si>
    <t xml:space="preserve">Let positivity rule your life cut out the negativity. You will see amazing changes in your way of thinking and in your life. I Give so much time to improving me</t>
  </si>
  <si>
    <t xml:space="preserve">Bambi</t>
  </si>
  <si>
    <t xml:space="preserve">おいしいものと睡眠が好きです。</t>
  </si>
  <si>
    <t xml:space="preserve">Election Risk Pays Off for Shinzo Abe of Japan as Party Appears to Win Big https://t.co/TZkLOwJ9Lu</t>
  </si>
  <si>
    <t xml:space="preserve">The All News Radar</t>
  </si>
  <si>
    <t xml:space="preserve">Top: Japan's Abe on track for landslide victory: Japanese Prime Minister Shinzo Abe appears… https://t.co/463khRkK6w</t>
  </si>
  <si>
    <t xml:space="preserve">taytay, philippines</t>
  </si>
  <si>
    <t xml:space="preserve">World News, Business, Technology, and more... FB page - http://t.co/jOkPmYpbDt</t>
  </si>
  <si>
    <t xml:space="preserve">けんじ＠しりゅうさん</t>
  </si>
  <si>
    <t xml:space="preserve">RT @nytimes: Election Risk Pays Off for Shinzo Abe of Japan as Party Appears to Win Big https://t.co/TZkLOwJ9Lu</t>
  </si>
  <si>
    <r>
      <rPr>
        <sz val="8"/>
        <rFont val="Noto Sans CJK SC Regular"/>
        <family val="2"/>
      </rPr>
      <t xml:space="preserve">指導長</t>
    </r>
    <r>
      <rPr>
        <sz val="8"/>
        <rFont val="Droid Sans"/>
        <family val="0"/>
        <charset val="1"/>
      </rPr>
      <t xml:space="preserve">/PA</t>
    </r>
    <r>
      <rPr>
        <sz val="8"/>
        <rFont val="Noto Sans CJK SC Regular"/>
        <family val="2"/>
      </rPr>
      <t xml:space="preserve">長</t>
    </r>
    <r>
      <rPr>
        <sz val="8"/>
        <rFont val="Droid Sans"/>
        <family val="0"/>
        <charset val="1"/>
      </rPr>
      <t xml:space="preserve">/</t>
    </r>
    <r>
      <rPr>
        <sz val="8"/>
        <rFont val="Noto Sans CJK SC Regular"/>
        <family val="2"/>
      </rPr>
      <t xml:space="preserve">編曲・レコーディングもやってたよ</t>
    </r>
  </si>
  <si>
    <r>
      <rPr>
        <sz val="8"/>
        <rFont val="Noto Sans CJK SC Regular"/>
        <family val="2"/>
      </rPr>
      <t xml:space="preserve">アカペラー パートは</t>
    </r>
    <r>
      <rPr>
        <sz val="8"/>
        <rFont val="Droid Sans"/>
        <family val="0"/>
        <charset val="1"/>
      </rPr>
      <t xml:space="preserve">PA </t>
    </r>
    <r>
      <rPr>
        <sz val="8"/>
        <rFont val="Noto Sans CJK SC Regular"/>
        <family val="2"/>
      </rPr>
      <t xml:space="preserve">【ねむたまる教】【</t>
    </r>
    <r>
      <rPr>
        <sz val="8"/>
        <rFont val="Droid Sans"/>
        <family val="0"/>
        <charset val="1"/>
      </rPr>
      <t xml:space="preserve">Ib'Ler</t>
    </r>
    <r>
      <rPr>
        <sz val="8"/>
        <rFont val="Noto Sans CJK SC Regular"/>
        <family val="2"/>
      </rPr>
      <t xml:space="preserve">】【</t>
    </r>
    <r>
      <rPr>
        <sz val="8"/>
        <rFont val="Droid Sans"/>
        <family val="0"/>
        <charset val="1"/>
      </rPr>
      <t xml:space="preserve">*You&amp;Me*</t>
    </r>
    <r>
      <rPr>
        <sz val="8"/>
        <rFont val="Noto Sans CJK SC Regular"/>
        <family val="2"/>
      </rPr>
      <t xml:space="preserve">】 お前も蝋人形にしてやろうかって言ってやろうか</t>
    </r>
  </si>
  <si>
    <t xml:space="preserve">Karen Lotter</t>
  </si>
  <si>
    <t xml:space="preserve">ÜT: -29.838704,31.019276</t>
  </si>
  <si>
    <t xml:space="preserve">#Writer #photographer, workaholic #newsjunkie, aging geek, toyi-toying optimist #diversity #truth 🇿🇦 Made in South Africa</t>
  </si>
  <si>
    <t xml:space="preserve">منتدى  الذهب</t>
  </si>
  <si>
    <t xml:space="preserve">أخر تعليقات وتحديثات أسعار الذهب في الموقع</t>
  </si>
  <si>
    <t xml:space="preserve">Election Risk Pays Off for Shinzo Abe of Japan as Party Appears to Win Big https://t.co/cm2GraoQCL #NewslyTweet</t>
  </si>
  <si>
    <t xml:space="preserve">Ana Dowick✍</t>
  </si>
  <si>
    <t xml:space="preserve">São Paulo, Brasil</t>
  </si>
  <si>
    <t xml:space="preserve">I l❤ve #JoshDallas ❤ I'm @Ana_Dowick I'm 19 years old and I love Arts, Theatre and American culture, I'm crazy for Twitter and Los Angeles™</t>
  </si>
  <si>
    <t xml:space="preserve">T.Nakamachi</t>
  </si>
  <si>
    <t xml:space="preserve">I'm live in Japan. I'm an admirer of Denpagumi.inc, a japanese idol.</t>
  </si>
  <si>
    <t xml:space="preserve">Lion Monkey New York</t>
  </si>
  <si>
    <t xml:space="preserve">Hilltop, USA</t>
  </si>
  <si>
    <t xml:space="preserve">Will C. "It's Golden."</t>
  </si>
  <si>
    <r>
      <rPr>
        <sz val="8"/>
        <rFont val="Noto Sans CJK SC Regular"/>
        <family val="2"/>
      </rPr>
      <t xml:space="preserve">자유</t>
    </r>
    <r>
      <rPr>
        <sz val="8"/>
        <rFont val="Droid Sans"/>
        <family val="0"/>
        <charset val="1"/>
      </rPr>
      <t xml:space="preserve">,,,,,,</t>
    </r>
  </si>
  <si>
    <r>
      <rPr>
        <sz val="8"/>
        <rFont val="Noto Sans CJK SC Regular"/>
        <family val="2"/>
      </rPr>
      <t xml:space="preserve">별볼일없는사람이니</t>
    </r>
    <r>
      <rPr>
        <sz val="8"/>
        <rFont val="Droid Sans"/>
        <family val="0"/>
        <charset val="1"/>
      </rPr>
      <t xml:space="preserve">,</t>
    </r>
    <r>
      <rPr>
        <sz val="8"/>
        <rFont val="Noto Sans CJK SC Regular"/>
        <family val="2"/>
      </rPr>
      <t xml:space="preserve">팔로우하지마셈</t>
    </r>
    <r>
      <rPr>
        <sz val="8"/>
        <rFont val="Droid Sans"/>
        <family val="0"/>
        <charset val="1"/>
      </rPr>
      <t xml:space="preserve">!,</t>
    </r>
    <r>
      <rPr>
        <sz val="8"/>
        <rFont val="Noto Sans CJK SC Regular"/>
        <family val="2"/>
      </rPr>
      <t xml:space="preserve">대가리아픈건질색</t>
    </r>
    <r>
      <rPr>
        <sz val="8"/>
        <rFont val="Droid Sans"/>
        <family val="0"/>
        <charset val="1"/>
      </rPr>
      <t xml:space="preserve">?!</t>
    </r>
    <r>
      <rPr>
        <sz val="8"/>
        <rFont val="Noto Sans CJK SC Regular"/>
        <family val="2"/>
      </rPr>
      <t xml:space="preserve">ㅋㅋ박근혜대통령지지해도</t>
    </r>
    <r>
      <rPr>
        <sz val="8"/>
        <rFont val="Droid Sans"/>
        <family val="0"/>
        <charset val="1"/>
      </rPr>
      <t xml:space="preserve">,!</t>
    </r>
    <r>
      <rPr>
        <sz val="8"/>
        <rFont val="Noto Sans CJK SC Regular"/>
        <family val="2"/>
      </rPr>
      <t xml:space="preserve">정치추종</t>
    </r>
    <r>
      <rPr>
        <sz val="8"/>
        <rFont val="Droid Sans"/>
        <family val="0"/>
        <charset val="1"/>
      </rPr>
      <t xml:space="preserve">.</t>
    </r>
    <r>
      <rPr>
        <sz val="8"/>
        <rFont val="Noto Sans CJK SC Regular"/>
        <family val="2"/>
      </rPr>
      <t xml:space="preserve">정당인</t>
    </r>
    <r>
      <rPr>
        <sz val="8"/>
        <rFont val="Droid Sans"/>
        <family val="0"/>
        <charset val="1"/>
      </rPr>
      <t xml:space="preserve">,</t>
    </r>
    <r>
      <rPr>
        <sz val="8"/>
        <rFont val="Noto Sans CJK SC Regular"/>
        <family val="2"/>
      </rPr>
      <t xml:space="preserve">정치매니아도아님</t>
    </r>
    <r>
      <rPr>
        <sz val="8"/>
        <rFont val="Droid Sans"/>
        <family val="0"/>
        <charset val="1"/>
      </rPr>
      <t xml:space="preserve">!.</t>
    </r>
    <r>
      <rPr>
        <sz val="8"/>
        <rFont val="Noto Sans CJK SC Regular"/>
        <family val="2"/>
      </rPr>
      <t xml:space="preserve">설에오지들마세요</t>
    </r>
    <r>
      <rPr>
        <sz val="8"/>
        <rFont val="Droid Sans"/>
        <family val="0"/>
        <charset val="1"/>
      </rPr>
      <t xml:space="preserve">.</t>
    </r>
    <r>
      <rPr>
        <sz val="8"/>
        <rFont val="Noto Sans CJK SC Regular"/>
        <family val="2"/>
      </rPr>
      <t xml:space="preserve">인구가 너무많아 살기힘들다</t>
    </r>
    <r>
      <rPr>
        <sz val="8"/>
        <rFont val="Droid Sans"/>
        <family val="0"/>
        <charset val="1"/>
      </rPr>
      <t xml:space="preserve">,!</t>
    </r>
    <r>
      <rPr>
        <sz val="8"/>
        <rFont val="Noto Sans CJK SC Regular"/>
        <family val="2"/>
      </rPr>
      <t xml:space="preserve">고향들발전시키길</t>
    </r>
    <r>
      <rPr>
        <sz val="8"/>
        <rFont val="Droid Sans"/>
        <family val="0"/>
        <charset val="1"/>
      </rPr>
      <t xml:space="preserve">.</t>
    </r>
    <r>
      <rPr>
        <sz val="8"/>
        <rFont val="Noto Sans CJK SC Regular"/>
        <family val="2"/>
      </rPr>
      <t xml:space="preserve">인테넷알바노랭빨갱</t>
    </r>
    <r>
      <rPr>
        <sz val="8"/>
        <rFont val="Droid Sans"/>
        <family val="0"/>
        <charset val="1"/>
      </rPr>
      <t xml:space="preserve">.</t>
    </r>
    <r>
      <rPr>
        <sz val="8"/>
        <rFont val="Noto Sans CJK SC Regular"/>
        <family val="2"/>
      </rPr>
      <t xml:space="preserve">조선족개무식종자들</t>
    </r>
    <r>
      <rPr>
        <sz val="8"/>
        <rFont val="Droid Sans"/>
        <family val="0"/>
        <charset val="1"/>
      </rPr>
      <t xml:space="preserve">!</t>
    </r>
    <r>
      <rPr>
        <sz val="8"/>
        <rFont val="Noto Sans CJK SC Regular"/>
        <family val="2"/>
      </rPr>
      <t xml:space="preserve">접근금지</t>
    </r>
  </si>
  <si>
    <t xml:space="preserve">The Avenue</t>
  </si>
  <si>
    <t xml:space="preserve">"Election Risk Pays Off for Shinzo Abe of Japan as Party Appears to Win Big" by MOTOKO RICH via NYT The New York T… https://t.co/mvcThdIFjH</t>
  </si>
  <si>
    <t xml:space="preserve">Submit your music at Theavenuemanagement@gmail.com if you would like to be featured on our online radio station. @_the_Avenue @lordfaded @_mikemontana</t>
  </si>
  <si>
    <t xml:space="preserve">Shinzo Abe secures strong mandate in Japan's general election https://t.co/9saXK4Zc0m</t>
  </si>
  <si>
    <t xml:space="preserve">Krishan Partap Singh</t>
  </si>
  <si>
    <t xml:space="preserve">Lutyens' Delhi</t>
  </si>
  <si>
    <t xml:space="preserve">Krishan Partap Singh, author of the Raisina Series, a trilogy of political novels: Young Turks, Delhi Durbar, The War Ministry. Next up: Nehru--A Novel</t>
  </si>
  <si>
    <t xml:space="preserve">Shinzo Abe secures strong mandate in Japan's general election - The Guardian https://t.co/VuBUe3K6Uf #news</t>
  </si>
  <si>
    <t xml:space="preserve">Dominic Chave-Cox</t>
  </si>
  <si>
    <t xml:space="preserve">RT @GarethLShelton: Shinzo Abe secures strong mandate in Japan's general election https://t.co/ML03AOUOeU</t>
  </si>
  <si>
    <t xml:space="preserve">Beeston, Nottingham</t>
  </si>
  <si>
    <t xml:space="preserve">Queer Devonian now getting lost in the big smoke, former @Backbench_UK Editor, St Andrews graduate and avid consumer of baked produce. DMs open.</t>
  </si>
  <si>
    <t xml:space="preserve">"Election Risk Pays Off for Shinzo Abe of Japan as Party Appears to Win Big https://t.co/9fszLd2xB5"</t>
  </si>
  <si>
    <t xml:space="preserve">Nechama</t>
  </si>
  <si>
    <t xml:space="preserve">"Election Risk Pays Off for Shinzo Abe of Japan as Party Appears to Win Big" by MOTOKO RICH via NYT The New York T… https://t.co/5zV7skLNsn</t>
  </si>
  <si>
    <t xml:space="preserve">A new YouTuber who wants to help you become even more awesome. You'll find helpful lists, real health tips,celebs and hepful excerises and tutorials</t>
  </si>
  <si>
    <t xml:space="preserve">Paris Hatzievagelou</t>
  </si>
  <si>
    <t xml:space="preserve">Election Risk Pays Off for Shinzo Abe of Japan as Party Appears to Win Big https://t.co/v3OAw4cP82</t>
  </si>
  <si>
    <t xml:space="preserve">Athens - Nicosia</t>
  </si>
  <si>
    <t xml:space="preserve">Journalist - Reporter . /. Follow the info</t>
  </si>
  <si>
    <r>
      <rPr>
        <sz val="8"/>
        <rFont val="Noto Sans CJK SC Regular"/>
        <family val="2"/>
      </rPr>
      <t xml:space="preserve">赤まっきー</t>
    </r>
    <r>
      <rPr>
        <sz val="8"/>
        <rFont val="Droid Sans"/>
        <family val="0"/>
        <charset val="1"/>
      </rPr>
      <t xml:space="preserve">@</t>
    </r>
    <r>
      <rPr>
        <sz val="8"/>
        <rFont val="Noto Sans CJK SC Regular"/>
        <family val="2"/>
      </rPr>
      <t xml:space="preserve">鯉党</t>
    </r>
  </si>
  <si>
    <t xml:space="preserve">Sarah</t>
  </si>
  <si>
    <t xml:space="preserve">沖芸→札幌</t>
  </si>
  <si>
    <r>
      <rPr>
        <sz val="8"/>
        <rFont val="Droid Sans"/>
        <family val="0"/>
        <charset val="1"/>
      </rPr>
      <t xml:space="preserve">M1👩‍💻📽 🎨🇩🇪</t>
    </r>
    <r>
      <rPr>
        <sz val="8"/>
        <rFont val="Noto Sans CJK SC Regular"/>
        <family val="2"/>
      </rPr>
      <t xml:space="preserve">行った！</t>
    </r>
    <r>
      <rPr>
        <sz val="8"/>
        <rFont val="Droid Sans"/>
        <family val="0"/>
        <charset val="1"/>
      </rPr>
      <t xml:space="preserve">Biennial /movie/critics/monument/</t>
    </r>
    <r>
      <rPr>
        <sz val="8"/>
        <rFont val="Noto Sans CJK SC Regular"/>
        <family val="2"/>
      </rPr>
      <t xml:space="preserve">美術と映画について考えています。だらしがない作家です。</t>
    </r>
    <r>
      <rPr>
        <sz val="8"/>
        <rFont val="Droid Sans"/>
        <family val="0"/>
        <charset val="1"/>
      </rPr>
      <t xml:space="preserve">@PARTNER_media #</t>
    </r>
    <r>
      <rPr>
        <sz val="8"/>
        <rFont val="Noto Sans CJK SC Regular"/>
        <family val="2"/>
      </rPr>
      <t xml:space="preserve">空間みんなの風景</t>
    </r>
  </si>
  <si>
    <t xml:space="preserve">Eddie Ameh Snr</t>
  </si>
  <si>
    <t xml:space="preserve">Ottawa, Ontario</t>
  </si>
  <si>
    <t xml:space="preserve">International Journalist. Graduate, Carleton University Journalism School.</t>
  </si>
  <si>
    <t xml:space="preserve">RT @guardiannews: Shinzo Abe secures strong mandate in Japan's general election https://t.co/9saXK4Zc0m</t>
  </si>
  <si>
    <t xml:space="preserve">Celph Titled</t>
  </si>
  <si>
    <t xml:space="preserve">My House</t>
  </si>
  <si>
    <t xml:space="preserve">#IamRed #TeamManUtd. #ABUzaria. #Islam #GlobalCitizen.</t>
  </si>
  <si>
    <t xml:space="preserve">Spiro_just</t>
  </si>
  <si>
    <t xml:space="preserve">Nerd,Internet addict,love gadgets and staying up to date with the latest in news, music, technology,science etc.</t>
  </si>
  <si>
    <t xml:space="preserve">#onthelowpod</t>
  </si>
  <si>
    <t xml:space="preserve">Host - @onthelowpod #onthelowpod |GD Ambassador #GoalDiggerPc</t>
  </si>
  <si>
    <t xml:space="preserve">fajrul annas</t>
  </si>
  <si>
    <t xml:space="preserve">Semarang, Jawa Tengah</t>
  </si>
  <si>
    <t xml:space="preserve">Ketua Umum Himpunan Mahasiswa Islam Komisariat Teknik Undip 2017 , Cab. Semarang | akun lama udah ndak bisa di akses lagi | UNDIP - PLN 2015</t>
  </si>
  <si>
    <t xml:space="preserve">二ツ塚清平（元・Ｆ塚の少年）</t>
  </si>
  <si>
    <t xml:space="preserve">清瀬</t>
  </si>
  <si>
    <t xml:space="preserve">科学と地理学と乗り物と読書と旅行と韓国語が大好き。化成品輸送会社に勤務中。</t>
  </si>
  <si>
    <t xml:space="preserve">Naa K Siaw-Marfo</t>
  </si>
  <si>
    <t xml:space="preserve">Accra, Ghana</t>
  </si>
  <si>
    <t xml:space="preserve">Journalist @ Citi 97.3 FM|| Sports Lover|| Barca|| July's Finest😍</t>
  </si>
  <si>
    <t xml:space="preserve">あかいひまわり</t>
  </si>
  <si>
    <t xml:space="preserve">神奈 横浜市</t>
  </si>
  <si>
    <t xml:space="preserve">Ryo</t>
  </si>
  <si>
    <r>
      <rPr>
        <sz val="8"/>
        <rFont val="Droid Sans"/>
        <family val="0"/>
        <charset val="1"/>
      </rPr>
      <t xml:space="preserve">Hi, My name is Ryohei! I'm working as a trade business person after coming back to Japan from Canada last summer! Nice to meet you! </t>
    </r>
    <r>
      <rPr>
        <sz val="8"/>
        <rFont val="Noto Sans CJK SC Regular"/>
        <family val="2"/>
      </rPr>
      <t xml:space="preserve">商社マン</t>
    </r>
    <r>
      <rPr>
        <sz val="8"/>
        <rFont val="Droid Sans"/>
        <family val="0"/>
        <charset val="1"/>
      </rPr>
      <t xml:space="preserve">@</t>
    </r>
    <r>
      <rPr>
        <sz val="8"/>
        <rFont val="Noto Sans CJK SC Regular"/>
        <family val="2"/>
      </rPr>
      <t xml:space="preserve">東京</t>
    </r>
  </si>
  <si>
    <t xml:space="preserve">➖ Vero 🔜🎓➖</t>
  </si>
  <si>
    <t xml:space="preserve">Buenos Aires, Argentina</t>
  </si>
  <si>
    <t xml:space="preserve">Estudio en @ubaderecho/UBA law student, majoring in Int'l Law/#River #Israel #refugees #Cambiemos / עם ישראל חי / Vamos Argentina</t>
  </si>
  <si>
    <t xml:space="preserve">THE NEW YORK TIMES: Election Risk Pays Off for Shinzo Abe of Japan as Party Appears to Win Big https://t.co/L2B38xF8BM</t>
  </si>
  <si>
    <t xml:space="preserve">George Gallagher</t>
  </si>
  <si>
    <t xml:space="preserve">"Election Risk Pays Off for Shinzo Abe of Japan as Party Appears to Win Big" by MOTOKO RICH via NYT The New York T… https://t.co/5Go0xxGBB1</t>
  </si>
  <si>
    <t xml:space="preserve">Election Risk Pays Off for Shinzo Abe of Japan as Party Appears to Win Big https://t.co/hZAMPUInnS nytimes</t>
  </si>
  <si>
    <t xml:space="preserve">Election Risk Pays Off for Shinzo Abe of Japan as Party Appears to Win Big https://t.co/trRHzdmlzR</t>
  </si>
  <si>
    <t xml:space="preserve">Daniel Bruski</t>
  </si>
  <si>
    <t xml:space="preserve">De Pere, WI</t>
  </si>
  <si>
    <t xml:space="preserve">I am a proud American who happens to be gay. I love politics, business and cars. I am a seriously possible candidate for Mayor of De Pere. INFJ.</t>
  </si>
  <si>
    <t xml:space="preserve">Election Risk Pays Off for Shinzo Abe of Japan as Party Appears to Win Big https://t.co/oszjTVoXba</t>
  </si>
  <si>
    <t xml:space="preserve">Jubair hossain</t>
  </si>
  <si>
    <t xml:space="preserve">nytimes : Election Risk Pays Off for Shinzo Abe of Japan as Party Appears to Win Big https://t.co/v8O2AG1Ysf (via…… https://t.co/iXc5eiGp0f</t>
  </si>
  <si>
    <t xml:space="preserve">Mirpur-1, Dhaka-1216</t>
  </si>
  <si>
    <t xml:space="preserve">I'm professional #WordPress Developer | #Designer | #programmer | #coder #softwareEngineer | #keywordplanner | #Facebook | #Linkedin | #digitalMarketer</t>
  </si>
  <si>
    <t xml:space="preserve">tibettruth</t>
  </si>
  <si>
    <t xml:space="preserve">"Election Risk Pays Off for Shinzo Abe of Japan as Party Appears to Win Big" by MOTOKO RICH via NYT The New York T… https://t.co/CuWnR1Ek4V</t>
  </si>
  <si>
    <t xml:space="preserve">global</t>
  </si>
  <si>
    <t xml:space="preserve">Digital Activism For Tibet's Independence</t>
  </si>
  <si>
    <t xml:space="preserve">HelleNico</t>
  </si>
  <si>
    <t xml:space="preserve">"Election Risk Pays Off for Shinzo Abe of Japan as Party Appears to Win Big" by MOTOKO RICH via NYT The New York T… https://t.co/NYsRbTIxL8</t>
  </si>
  <si>
    <t xml:space="preserve">Boston</t>
  </si>
  <si>
    <t xml:space="preserve">I Believe Nothing I Hope for Nothing I Fear Nothing I am Free</t>
  </si>
  <si>
    <t xml:space="preserve">Mark Alexander</t>
  </si>
  <si>
    <t xml:space="preserve">#ShinzoAbe secures strong mandate in #Japan's #generalelection https://t.co/np2MWYnTgC</t>
  </si>
  <si>
    <t xml:space="preserve">Author &amp; Blogger | Committed European | NB: Something tweeted does not mean approval or endorsement. Visit me here https://t.co/C5YHlaLLyM too.</t>
  </si>
  <si>
    <t xml:space="preserve">Game Clash Of Clan</t>
  </si>
  <si>
    <t xml:space="preserve">nytimes : Election Risk Pays Off for Shinzo Abe of Japan as Party Appears to Win Big https://t.co/uO5X3iBF6g (via…… https://t.co/Cz5vXPD9zV</t>
  </si>
  <si>
    <t xml:space="preserve">Bangladesh </t>
  </si>
  <si>
    <t xml:space="preserve">I Am playing clash of clan #clash #of #clan #supercell #coc #clasher #clasherz</t>
  </si>
  <si>
    <t xml:space="preserve">#TheNewYorkTimes 👉 Election Risk Pays Off for Shinzo Abe of Japan as Party Appears to Win Big https://t.co/tUJkibeKmz</t>
  </si>
  <si>
    <t xml:space="preserve">Donovan Russell</t>
  </si>
  <si>
    <t xml:space="preserve">Working hard to follow this compass true north.</t>
  </si>
  <si>
    <t xml:space="preserve">Maria Puerta-Riera</t>
  </si>
  <si>
    <t xml:space="preserve">Political Scientist • Dr. in Social Sciences • Adjunct Professor • Ana G Mendez University • Valencia College • RT ≠ endorsement • SPA/ENG • Venezuela/USA</t>
  </si>
  <si>
    <t xml:space="preserve">Matt</t>
  </si>
  <si>
    <t xml:space="preserve">"Election Risk Pays Off for Shinzo Abe of Japan as Party Appears to Win Big" by MOTOKO RICH via NYT The New York T… https://t.co/lNGmvmbJ0A</t>
  </si>
  <si>
    <t xml:space="preserve">10xBagger,CFA</t>
  </si>
  <si>
    <t xml:space="preserve">Busy buying things I don't need to impress people I don't like</t>
  </si>
  <si>
    <t xml:space="preserve">myPRwire</t>
  </si>
  <si>
    <t xml:space="preserve">#BREAKING #NEWS: Election Risk Pays Off for Shinzo Abe of Japan as Party Appears to Win Big https://t.co/5hW019OEba …</t>
  </si>
  <si>
    <t xml:space="preserve">Bellevue, WA</t>
  </si>
  <si>
    <t xml:space="preserve">We are the leading provider of premium media distribution services with clients over 125 countries.</t>
  </si>
  <si>
    <t xml:space="preserve">"Election Risk Pays Off for Shinzo Abe of Japan as Party Appears to Win Big" by MOTOKO RICH via NYT The New York T… https://t.co/K2D0d1UQml</t>
  </si>
  <si>
    <t xml:space="preserve">Kazu Tsuruda</t>
  </si>
  <si>
    <t xml:space="preserve">大阪府大阪市</t>
  </si>
  <si>
    <r>
      <rPr>
        <sz val="8"/>
        <rFont val="Noto Sans CJK SC Regular"/>
        <family val="2"/>
      </rPr>
      <t xml:space="preserve">猫好きです。ジャズも好き。介護と育児と一票の格差や平和問題に関心あり</t>
    </r>
    <r>
      <rPr>
        <sz val="8"/>
        <rFont val="Droid Sans"/>
        <family val="0"/>
        <charset val="1"/>
      </rPr>
      <t xml:space="preserve">(</t>
    </r>
    <r>
      <rPr>
        <sz val="8"/>
        <rFont val="Noto Sans CJK SC Regular"/>
        <family val="2"/>
      </rPr>
      <t xml:space="preserve">橋下市長は嫌い</t>
    </r>
    <r>
      <rPr>
        <sz val="8"/>
        <rFont val="Droid Sans"/>
        <family val="0"/>
        <charset val="1"/>
      </rPr>
      <t xml:space="preserve">)</t>
    </r>
    <r>
      <rPr>
        <sz val="8"/>
        <rFont val="Noto Sans CJK SC Regular"/>
        <family val="2"/>
      </rPr>
      <t xml:space="preserve">。立命館大学院卒。上方落語も好きで、繁昌亭にちょくちょく行きます。福岡出身。著作『字幕の現実 映画の真実』（金寿堂出版社）。時々、英語と仏語の翻訳や通訳したり。脱原発派。</t>
    </r>
  </si>
  <si>
    <t xml:space="preserve">James</t>
  </si>
  <si>
    <t xml:space="preserve">Curtis</t>
  </si>
  <si>
    <t xml:space="preserve">Election Risk Pays Off for Shinzo Abe of #Japan as Party Appears to Win Big https://t.co/YjUFiogafS Via @NYTimes📌CC #NewYork #NYC #Life</t>
  </si>
  <si>
    <t xml:space="preserve">San Francisco Bay Area, USA</t>
  </si>
  <si>
    <t xml:space="preserve">#InvestmentStrategist Real Estate Sales covering #California #SFBayArea #NapaValley #SonomaValley #SolanoCounty #MarinCounty #USAFVeteran #SantaClaus #FollowMe</t>
  </si>
  <si>
    <t xml:space="preserve">A split opposition puts Shinzo Abe on track to victory in Japan, early projections show https://t.co/MRDoYX7Gvg</t>
  </si>
  <si>
    <t xml:space="preserve">Don</t>
  </si>
  <si>
    <t xml:space="preserve">Election Risk Pays Off for Shinzo Abe of Japan as Party Appears to Win Big https://t.co/0zv6ragXFP</t>
  </si>
  <si>
    <t xml:space="preserve">Victoria BC Canada</t>
  </si>
  <si>
    <t xml:space="preserve">Things that interest me: BMW, Cars, Automobile News, World News, Humor, Jokes, Quotes, Music, YouTube, Advertising, Marketing, Social Media Influence, ViSalus</t>
  </si>
  <si>
    <t xml:space="preserve">E News All</t>
  </si>
  <si>
    <t xml:space="preserve">Election Risk Pays Off for Shinzo Abe of Japan as Party Appears to Win Big https://t.co/pZa4PnvEMe https://t.co/b9qMGXpWKT</t>
  </si>
  <si>
    <t xml:space="preserve">Entertainment news</t>
  </si>
  <si>
    <t xml:space="preserve">Shinzo Abe secures strong mandate in Japan's general election https://t.co/2nDheurF5T</t>
  </si>
  <si>
    <t xml:space="preserve">Japan’s PM Shinzo Abe poised to win snap election https://t.co/u46A0vbVtj</t>
  </si>
  <si>
    <t xml:space="preserve">Election Risk Pays Off for Shinzo Abe of Japan as Party Appears to Win Big https://t.co/ZGFMGnrtp3</t>
  </si>
  <si>
    <t xml:space="preserve">News</t>
  </si>
  <si>
    <t xml:space="preserve">Election Risk Pays Off for Shinzo Abe of Japan as Party Appears to Win Big https://t.co/bJU0HSw4w6 | New York Times</t>
  </si>
  <si>
    <t xml:space="preserve">Sheffield, UK</t>
  </si>
  <si>
    <t xml:space="preserve">News from around the world, sourced by @samradford.</t>
  </si>
  <si>
    <t xml:space="preserve">Japan's PM Shinzo Abe poised to win snap election https://t.co/DCJQE4klk8</t>
  </si>
  <si>
    <t xml:space="preserve">Aleksander Siemaszko</t>
  </si>
  <si>
    <t xml:space="preserve">Brussels, Warsaw and elsewhere</t>
  </si>
  <si>
    <t xml:space="preserve">Musing on energy &amp; security @Europarl_EN| @collegeofeurope grad &amp; part-time international man of mystery |PhD hopeful @SGHWarsaw |Koneser #paskigrozy</t>
  </si>
  <si>
    <t xml:space="preserve">Jens Kobler</t>
  </si>
  <si>
    <t xml:space="preserve">Shinzo Abe’s coalition is projected to win the Japanese election https://t.co/mn7G06eWgd #Japan #ShinzoAbe #JapanElection</t>
  </si>
  <si>
    <t xml:space="preserve">Freelancer @ Europe. Public notes on contemporary findings, events, documents.</t>
  </si>
  <si>
    <t xml:space="preserve">Algérie Informations</t>
  </si>
  <si>
    <t xml:space="preserve">#Algeria Japan's PM Shinzo Abe poised to win snap election https://t.co/rCB2B1X1bT #الجزائر https://t.co/wrCdS0Xy7Q</t>
  </si>
  <si>
    <t xml:space="preserve">San Francisco, CA 514-894-0179</t>
  </si>
  <si>
    <t xml:space="preserve">République Algérienne Démocratique et Populaire. Eclectic news &amp; info for all.</t>
  </si>
  <si>
    <t xml:space="preserve">Steve Knott AM</t>
  </si>
  <si>
    <t xml:space="preserve">Chief Executive of Australian Resources &amp; Energy Group AMMA, husband of Cathy, four kids + avid Cats fan. All tweets shared my own. RTs are not endorsements.</t>
  </si>
  <si>
    <t xml:space="preserve">mshkh</t>
  </si>
  <si>
    <r>
      <rPr>
        <sz val="8"/>
        <rFont val="Noto Sans CJK SC Regular"/>
        <family val="2"/>
      </rPr>
      <t xml:space="preserve">読みやすい</t>
    </r>
    <r>
      <rPr>
        <sz val="8"/>
        <rFont val="Droid Sans"/>
        <family val="0"/>
        <charset val="1"/>
      </rPr>
      <t xml:space="preserve">ID</t>
    </r>
    <r>
      <rPr>
        <sz val="8"/>
        <rFont val="Noto Sans CJK SC Regular"/>
        <family val="2"/>
      </rPr>
      <t xml:space="preserve">にすればよかった</t>
    </r>
  </si>
  <si>
    <t xml:space="preserve">茂木尚美</t>
  </si>
  <si>
    <t xml:space="preserve">RT @nytimesworld: A split opposition puts Shinzo Abe on track to victory in Japan, early projections show https://t.co/MRDoYX7Gvg</t>
  </si>
  <si>
    <t xml:space="preserve">限りなく埼玉に近い東京</t>
  </si>
  <si>
    <r>
      <rPr>
        <sz val="8"/>
        <rFont val="Noto Sans CJK SC Regular"/>
        <family val="2"/>
      </rPr>
      <t xml:space="preserve">演劇制作はおやすみ中。</t>
    </r>
    <r>
      <rPr>
        <sz val="8"/>
        <rFont val="Droid Sans"/>
        <family val="0"/>
        <charset val="1"/>
      </rPr>
      <t xml:space="preserve">Twitter</t>
    </r>
    <r>
      <rPr>
        <sz val="8"/>
        <rFont val="Noto Sans CJK SC Regular"/>
        <family val="2"/>
      </rPr>
      <t xml:space="preserve">は基本妄想の場なので、演劇やら映画やら</t>
    </r>
    <r>
      <rPr>
        <sz val="8"/>
        <rFont val="Droid Sans"/>
        <family val="0"/>
        <charset val="1"/>
      </rPr>
      <t xml:space="preserve">glee</t>
    </r>
    <r>
      <rPr>
        <sz val="8"/>
        <rFont val="Noto Sans CJK SC Regular"/>
        <family val="2"/>
      </rPr>
      <t xml:space="preserve">やら</t>
    </r>
    <r>
      <rPr>
        <sz val="8"/>
        <rFont val="Droid Sans"/>
        <family val="0"/>
        <charset val="1"/>
      </rPr>
      <t xml:space="preserve">The Overtones</t>
    </r>
    <r>
      <rPr>
        <sz val="8"/>
        <rFont val="Noto Sans CJK SC Regular"/>
        <family val="2"/>
      </rPr>
      <t xml:space="preserve">やらマカヴォイやら…時々世相のことやらしかつぶやきません。別アカ作らない主義なんで、多少うざいかもしれませんが…。 渋谷？目黒？辺りの会社にいます。</t>
    </r>
  </si>
  <si>
    <t xml:space="preserve">Fernando MartinezCue</t>
  </si>
  <si>
    <t xml:space="preserve">"Election Risk Pays Off for Shinzo Abe of Japan as Party Appears to Win Big" by MOTOKO RICH via NYT The New York T… https://t.co/BfIGQ058gh</t>
  </si>
  <si>
    <t xml:space="preserve">Cuernavaca, Morelos</t>
  </si>
  <si>
    <t xml:space="preserve">#MorelosNosUne</t>
  </si>
  <si>
    <t xml:space="preserve">Orangina Breton</t>
  </si>
  <si>
    <t xml:space="preserve">Universe, Earth, World, Country, Climate, Natural Disaster, Nature, Music, Art, Martial Art, Song, Aqua, Air, Space, Multi-Dimensions, Culinary, Peace...</t>
  </si>
  <si>
    <t xml:space="preserve">Trader News</t>
  </si>
  <si>
    <t xml:space="preserve">#breakingnews #news Shinzo Abe secures strong mandate in Japan's general election - https://t.co/Tlujux59Rg https://t.co/XCVEcyQJ9m</t>
  </si>
  <si>
    <t xml:space="preserve">Engineer, hotel, restaurant owner. Active in equity markets.. Purpose is to provide high quality news feeds in twitter @marketwatch @cnn @bbc @bloomberg</t>
  </si>
  <si>
    <t xml:space="preserve">aman</t>
  </si>
  <si>
    <t xml:space="preserve">civil engineer great learner &amp; highly optimist</t>
  </si>
  <si>
    <t xml:space="preserve">Newsjs Ethiopia</t>
  </si>
  <si>
    <t xml:space="preserve">Shinzo Abe secures strong mandate in Japan's general election - The Guardian https://t.co/Pn2KJABixu #News https://t.co/vXvkG3QTvp</t>
  </si>
  <si>
    <t xml:space="preserve">Ethiopia</t>
  </si>
  <si>
    <t xml:space="preserve">Ethiopia edition</t>
  </si>
  <si>
    <t xml:space="preserve">خالد الزهراني</t>
  </si>
  <si>
    <t xml:space="preserve">HassanScript9</t>
  </si>
  <si>
    <t xml:space="preserve">Helen Biggs</t>
  </si>
  <si>
    <t xml:space="preserve">HelenBiggs4 app</t>
  </si>
  <si>
    <t xml:space="preserve">Sometimes I've believed as many as six impossible things before breakfast.</t>
  </si>
  <si>
    <t xml:space="preserve">Retweeted Al Jazeera News (@AJENews): Japan's PM Shinzo Abe poised to win snap election https://t.co/dP585XwhLI... https://t.co/T1qHnvSpvY</t>
  </si>
  <si>
    <t xml:space="preserve">benard ongeri openda</t>
  </si>
  <si>
    <t xml:space="preserve">Japan's PM Shinzo Abe poised to win uy election @AJENews https://t.co/Kgu9XbBEI7</t>
  </si>
  <si>
    <t xml:space="preserve">kenya,USA</t>
  </si>
  <si>
    <t xml:space="preserve">Biochemist,in pharmaceutical industry currently,budding entrepreneur with keen interest in R&amp;D.Observes market trends with keen interest to know&amp; predict future</t>
  </si>
  <si>
    <t xml:space="preserve">Lallan Prasad. INC</t>
  </si>
  <si>
    <t xml:space="preserve">RT @RwdRG: "Election Risk Pays Off for Shinzo Abe of Japan as Party Appears to Win Big" by MOTOKO RICH via NYT The New York T… https://t.co…</t>
  </si>
  <si>
    <t xml:space="preserve">Indira Puram, Ghaziabad</t>
  </si>
  <si>
    <t xml:space="preserve">सच्चा काँग्रेसी✋ गाँधीजी, नेहरूजी के विचार पे चलने वाला। दृढ़ निश्चिंय। विचार अपना ,सुझाव अच्छा लगे तो बतायें स्वागत रहेगा।।</t>
  </si>
  <si>
    <t xml:space="preserve">Artan</t>
  </si>
  <si>
    <t xml:space="preserve">夢の国</t>
  </si>
  <si>
    <t xml:space="preserve">それで満足か？進歩のない豚め</t>
  </si>
  <si>
    <r>
      <rPr>
        <sz val="8"/>
        <rFont val="Noto Sans CJK SC Regular"/>
        <family val="2"/>
      </rPr>
      <t xml:space="preserve">ホットな</t>
    </r>
    <r>
      <rPr>
        <sz val="8"/>
        <rFont val="Droid Sans"/>
        <family val="0"/>
        <charset val="1"/>
      </rPr>
      <t xml:space="preserve">Web</t>
    </r>
    <r>
      <rPr>
        <sz val="8"/>
        <rFont val="Noto Sans CJK SC Regular"/>
        <family val="2"/>
      </rPr>
      <t xml:space="preserve">記事</t>
    </r>
  </si>
  <si>
    <t xml:space="preserve">Election Risk Pays Off for Shinzo Abe of Japan as Party Appears to Win Big https://t.co/CgZKf01Z6i</t>
  </si>
  <si>
    <r>
      <rPr>
        <sz val="8"/>
        <rFont val="Droid Sans"/>
        <family val="0"/>
        <charset val="1"/>
      </rPr>
      <t xml:space="preserve">Web</t>
    </r>
    <r>
      <rPr>
        <sz val="8"/>
        <rFont val="Noto Sans CJK SC Regular"/>
        <family val="2"/>
      </rPr>
      <t xml:space="preserve">開発を中心としたホットな記事をつぶやいています。</t>
    </r>
  </si>
  <si>
    <t xml:space="preserve">nytimes: Election Risk Pays Off for Shinzo Abe of Japan as Party Appears to Win Big https://t.co/X0Ju9wdbhI https://t.co/2BoflibjNg</t>
  </si>
  <si>
    <t xml:space="preserve">SagittarioCase</t>
  </si>
  <si>
    <t xml:space="preserve">#news #RT Election Risk Pays Off for Shinzo Abe of Japan as Party Appears to Win Big: Early projections of a victor… https://t.co/sg7caozqTa</t>
  </si>
  <si>
    <t xml:space="preserve">Sagittario case nasce come vetrina nel web, per offrire una vasta gamma di soluzioni alle diverse esigenze di coloro che cercano casa.</t>
  </si>
  <si>
    <t xml:space="preserve">Via @nytimes: Election Risk Pays Off for Shinzo Abe of Japan as Party Appears to Win Big https://t.co/ecYRM5cKeF https://t.co/jSeQDjBdNa</t>
  </si>
  <si>
    <t xml:space="preserve">FC Info Hub</t>
  </si>
  <si>
    <t xml:space="preserve">Election Risk Pays Off for Shinzo Abe of Japan as Party Appears to Win Big https://t.co/Weo4WjT7I0</t>
  </si>
  <si>
    <t xml:space="preserve">Infuriatingly humble pop culture enthusiast. Subtly charming food maven. Music ninja.</t>
  </si>
  <si>
    <t xml:space="preserve">みやしん</t>
  </si>
  <si>
    <t xml:space="preserve">Election Risk Pays Off for Shinzo Abe of Japan as Party Appears to Win Big https://t.co/8eaoiz4X7v</t>
  </si>
  <si>
    <t xml:space="preserve">記事読むの早いみやしき。学内でコスプレして浮いてるみやしき。投資家修行中。</t>
  </si>
  <si>
    <t xml:space="preserve">everywordNYT</t>
  </si>
  <si>
    <t xml:space="preserve">Election Risk Pays for of Japan as Party Appears to Win Big https://t.co/hVUttbgvby</t>
  </si>
  <si>
    <t xml:space="preserve">All the news that fit in @everyword. Tribute bot by @robdubbin.</t>
  </si>
  <si>
    <t xml:space="preserve">ホモさん</t>
  </si>
  <si>
    <t xml:space="preserve">Election Risk Pays Off for Shinzo Abe of Japan as Party Appears to Win Big Early https://t.co/DcCdVqr2Xr</t>
  </si>
  <si>
    <t xml:space="preserve">Ken</t>
  </si>
  <si>
    <t xml:space="preserve">Election Risk Pays Off for Shinzo Abe of Japan as Party Appears to Win Big https://t.co/4pXNtjASGJ</t>
  </si>
  <si>
    <r>
      <rPr>
        <sz val="8"/>
        <rFont val="Noto Sans CJK SC Regular"/>
        <family val="2"/>
      </rPr>
      <t xml:space="preserve">趣味はプログラミングと海外旅行。</t>
    </r>
    <r>
      <rPr>
        <sz val="8"/>
        <rFont val="Droid Sans"/>
        <family val="0"/>
        <charset val="1"/>
      </rPr>
      <t xml:space="preserve">Ruby</t>
    </r>
    <r>
      <rPr>
        <sz val="8"/>
        <rFont val="Noto Sans CJK SC Regular"/>
        <family val="2"/>
      </rPr>
      <t xml:space="preserve">の魅力に取りつかれ日々勉強中。抽象化により煩わしい低レイヤのコーディングを意識せずにやりたいことをすぐに実現できるのは素晴らしい！最近は</t>
    </r>
    <r>
      <rPr>
        <sz val="8"/>
        <rFont val="Droid Sans"/>
        <family val="0"/>
        <charset val="1"/>
      </rPr>
      <t xml:space="preserve">RoR</t>
    </r>
    <r>
      <rPr>
        <sz val="8"/>
        <rFont val="Noto Sans CJK SC Regular"/>
        <family val="2"/>
      </rPr>
      <t xml:space="preserve">にハマってます。 </t>
    </r>
    <r>
      <rPr>
        <sz val="8"/>
        <rFont val="Droid Sans"/>
        <family val="0"/>
        <charset val="1"/>
      </rPr>
      <t xml:space="preserve">Ruby</t>
    </r>
    <r>
      <rPr>
        <sz val="8"/>
        <rFont val="Noto Sans CJK SC Regular"/>
        <family val="2"/>
      </rPr>
      <t xml:space="preserve">＋</t>
    </r>
    <r>
      <rPr>
        <sz val="8"/>
        <rFont val="Droid Sans"/>
        <family val="0"/>
        <charset val="1"/>
      </rPr>
      <t xml:space="preserve">Nokogiri</t>
    </r>
    <r>
      <rPr>
        <sz val="8"/>
        <rFont val="Noto Sans CJK SC Regular"/>
        <family val="2"/>
      </rPr>
      <t xml:space="preserve">で作成した</t>
    </r>
    <r>
      <rPr>
        <sz val="8"/>
        <rFont val="Droid Sans"/>
        <family val="0"/>
        <charset val="1"/>
      </rPr>
      <t xml:space="preserve">Bot</t>
    </r>
    <r>
      <rPr>
        <sz val="8"/>
        <rFont val="Noto Sans CJK SC Regular"/>
        <family val="2"/>
      </rPr>
      <t xml:space="preserve">君が厳選良記事を</t>
    </r>
    <r>
      <rPr>
        <sz val="8"/>
        <rFont val="Droid Sans"/>
        <family val="0"/>
        <charset val="1"/>
      </rPr>
      <t xml:space="preserve">15</t>
    </r>
    <r>
      <rPr>
        <sz val="8"/>
        <rFont val="Noto Sans CJK SC Regular"/>
        <family val="2"/>
      </rPr>
      <t xml:space="preserve">分置きに</t>
    </r>
    <r>
      <rPr>
        <sz val="8"/>
        <rFont val="Droid Sans"/>
        <family val="0"/>
        <charset val="1"/>
      </rPr>
      <t xml:space="preserve">1</t>
    </r>
    <r>
      <rPr>
        <sz val="8"/>
        <rFont val="Noto Sans CJK SC Regular"/>
        <family val="2"/>
      </rPr>
      <t xml:space="preserve">件ずつひたすらツイートしていきます。</t>
    </r>
  </si>
  <si>
    <t xml:space="preserve">Election Risk Pays Off for Shinzo Abe of Japan as Party Appears to Win Big https://t.co/eK1q7PunKX</t>
  </si>
  <si>
    <t xml:space="preserve">Holy Riot</t>
  </si>
  <si>
    <t xml:space="preserve">Japan’s PM Shinzo Abe poised to win snap election https://t.co/mTGok8yLqY – #NEWS https://t.co/moqJrUBtoA</t>
  </si>
  <si>
    <t xml:space="preserve">Aumentare la benzina non vi conviene. Ne ruberemo tanta. La useremo bene</t>
  </si>
  <si>
    <t xml:space="preserve">Japan's Abe on track for landslide victory: Japanese Prime Minister Shinzo Abe appears on… https://t.co/B5wERaBZbY</t>
  </si>
  <si>
    <t xml:space="preserve">楯一平</t>
  </si>
  <si>
    <t xml:space="preserve">Bangla News Tweet</t>
  </si>
  <si>
    <t xml:space="preserve">nytimes: Election Risk Pays Off for Shinzo Abe of Japan as Party Appears to Win Big https://t.co/eX6GIaWDyW https://t.co/7nWA6pkoMu</t>
  </si>
  <si>
    <t xml:space="preserve">Bangladesh</t>
  </si>
  <si>
    <t xml:space="preserve">Bangla Latest News and Breaking News. #Bangladesh #BanglaNews #bdNews #বাংলাদেশ #বাংলানিউজ #খবর #সংবাদ। Click #Follow button to Stay with us.</t>
  </si>
  <si>
    <t xml:space="preserve">AlexTwitterContestsBot</t>
  </si>
  <si>
    <t xml:space="preserve">Career Synchronicity</t>
  </si>
  <si>
    <t xml:space="preserve">Election Risk Pays Off for Shinzo Abe of Japan as Party Appears to Win Big https://t.co/Xv336Vj1KF</t>
  </si>
  <si>
    <t xml:space="preserve">Synchronicity: The product of numerous, seemingly unrelated variables joining to create a common event or remarkable coincidence.</t>
  </si>
  <si>
    <t xml:space="preserve">Just Chill...</t>
  </si>
  <si>
    <t xml:space="preserve">@null Election Risk Pays Off for Shinzo Abe of Japan as Party Appears to Win Big Early https://t.co/v1rIecNQm5</t>
  </si>
  <si>
    <t xml:space="preserve">I'mma just chill, lay low and stay breezy</t>
  </si>
  <si>
    <t xml:space="preserve">Shinzo Abe secures strong mandate in Japan's general election https://t.co/ewwfuS70Qe</t>
  </si>
  <si>
    <t xml:space="preserve">χχχ 💀</t>
  </si>
  <si>
    <t xml:space="preserve">InTheMess</t>
  </si>
  <si>
    <t xml:space="preserve">intersectional feminist of the crenshaw + butler schools | iconoclast of kyriarchy | gay; they/themself | democrat BlackLivesMatter•TransLivesMatter</t>
  </si>
  <si>
    <t xml:space="preserve">Phil Johnson</t>
  </si>
  <si>
    <t xml:space="preserve">UK, USA, Europe , Worldwide </t>
  </si>
  <si>
    <t xml:space="preserve">Worldwide Business Intelligence, Research and Social Media Promotion all Business spheres 30 years https://t.co/Q18bJwrEj2</t>
  </si>
  <si>
    <t xml:space="preserve">The most basic question is not what is best, but who shall decide what is best. - Thomas Sowell</t>
  </si>
  <si>
    <t xml:space="preserve">Susan Goffe</t>
  </si>
  <si>
    <t xml:space="preserve">resisting the call to silence/taking the next right step...teacher at heart, human rights defender, can't help but read RT ≠ endorsement</t>
  </si>
  <si>
    <t xml:space="preserve">Hot Chick News Tweet</t>
  </si>
  <si>
    <t xml:space="preserve">Election Risk Pays Off for Shinzo Abe of Japan as Party Appears to Win Big (NY Times) https://t.co/CecPh41KY6</t>
  </si>
  <si>
    <t xml:space="preserve">I tweet the news for you.</t>
  </si>
  <si>
    <t xml:space="preserve">Rae Benson</t>
  </si>
  <si>
    <t xml:space="preserve">Election Risk Pays Off for Shinzo Abe of Japan as Party Appears to Win Big https://t.co/qMru3fXy33</t>
  </si>
  <si>
    <t xml:space="preserve">Las Vegas, Nevada</t>
  </si>
  <si>
    <t xml:space="preserve">Just a girl who likes to make you happy by doing funky stuff</t>
  </si>
  <si>
    <t xml:space="preserve">Seifamou</t>
  </si>
  <si>
    <t xml:space="preserve">"Election Risk Pays Off for Shinzo Abe of Japan as Party Appears to Win Big" by MOTOKO RICH via NYT The New York T… https://t.co/BiaMQkcVVn</t>
  </si>
  <si>
    <t xml:space="preserve">R&amp;D engineer @Sungard Tunisia</t>
  </si>
  <si>
    <t xml:space="preserve">BCB Digital Campus</t>
  </si>
  <si>
    <t xml:space="preserve">Election Risk Pays Off for Shinzo Abe of Japan as Party Appears to Win Big https://t.co/lKnRE4Te51</t>
  </si>
  <si>
    <t xml:space="preserve">Bismuth(feat.George)</t>
  </si>
  <si>
    <t xml:space="preserve">Matsuyama⇔Miyazaki JAPAN</t>
  </si>
  <si>
    <r>
      <rPr>
        <sz val="8"/>
        <rFont val="Droid Sans"/>
        <family val="0"/>
        <charset val="1"/>
      </rPr>
      <t xml:space="preserve">Twitter</t>
    </r>
    <r>
      <rPr>
        <sz val="8"/>
        <rFont val="Noto Sans CJK SC Regular"/>
        <family val="2"/>
      </rPr>
      <t xml:space="preserve">上での返答は基本的に致しかねます。 フォローご自由にどうぞ。</t>
    </r>
  </si>
  <si>
    <t xml:space="preserve">Election Risk Pays Off for Shinzo Abe of Japan as Party Appears to Win Big https://t.co/F6Ti7zYHnz #breakingnews #news</t>
  </si>
  <si>
    <t xml:space="preserve">Feedex</t>
  </si>
  <si>
    <t xml:space="preserve">Election Risk Pays Off for Shinzo Abe of Japan as Party Appears to Win Big https://t.co/JW6P6onrwj via nytimes</t>
  </si>
  <si>
    <t xml:space="preserve">Follow to get newsfeed from the most popular channels. @nytimes @cnn and others</t>
  </si>
  <si>
    <t xml:space="preserve">Grassland Designs</t>
  </si>
  <si>
    <t xml:space="preserve">FAKE NEWS! 👉 👉 https://t.co/H2lT8o9Zvv … via redbubble #fakenews Election Risk Pays Off for Shinzo Abe of Japan a… https://t.co/o1OmQwbiRJ</t>
  </si>
  <si>
    <t xml:space="preserve">Professional, Creative Resume Templates by Grassland Designs</t>
  </si>
  <si>
    <t xml:space="preserve">Election Risk Pays Off for Shinzo Abe of Japan as Party Appears to Win Big https://t.co/Py2Uza0QVO</t>
  </si>
  <si>
    <t xml:space="preserve">Ck Gangwani</t>
  </si>
  <si>
    <t xml:space="preserve">Like beautiful nature palace people enjoy all gifts of God.</t>
  </si>
  <si>
    <t xml:space="preserve">Newstica</t>
  </si>
  <si>
    <t xml:space="preserve">Election Risk Pays Off for Shinzo Abe of Japan as Party Appears to Win Big https://t.co/wk60PbneqM #news #newstica</t>
  </si>
  <si>
    <t xml:space="preserve">The New Source For The Latest News</t>
  </si>
  <si>
    <t xml:space="preserve">Shinzo Abe on track for comfortable victory in Japan's snap election https://t.co/sYRKjbH5le #breakingnews https://t.co/exi3nOfHF3</t>
  </si>
  <si>
    <t xml:space="preserve">Times of News from France</t>
  </si>
  <si>
    <t xml:space="preserve">MakiKurita🌰</t>
  </si>
  <si>
    <t xml:space="preserve">Kobe, Hyogo, JAPAN</t>
  </si>
  <si>
    <r>
      <rPr>
        <sz val="8"/>
        <rFont val="Noto Sans CJK SC Regular"/>
        <family val="2"/>
      </rPr>
      <t xml:space="preserve">神戸周辺で社会学をやってますが「社会学的」な事はあまり呟きません。が、社会学の教科書を出版しました </t>
    </r>
    <r>
      <rPr>
        <sz val="8"/>
        <rFont val="Droid Sans"/>
        <family val="0"/>
        <charset val="1"/>
      </rPr>
      <t xml:space="preserve">https://t.co/G0FP0sRgSQ </t>
    </r>
    <r>
      <rPr>
        <sz val="8"/>
        <rFont val="Noto Sans CJK SC Regular"/>
        <family val="2"/>
      </rPr>
      <t xml:space="preserve">。非公開リスト利用中（あなたの</t>
    </r>
    <r>
      <rPr>
        <sz val="8"/>
        <rFont val="Droid Sans"/>
        <family val="0"/>
        <charset val="1"/>
      </rPr>
      <t xml:space="preserve">TW</t>
    </r>
    <r>
      <rPr>
        <sz val="8"/>
        <rFont val="Noto Sans CJK SC Regular"/>
        <family val="2"/>
      </rPr>
      <t xml:space="preserve">も読んでる？）</t>
    </r>
    <r>
      <rPr>
        <sz val="8"/>
        <rFont val="Droid Sans"/>
        <family val="0"/>
        <charset val="1"/>
      </rPr>
      <t xml:space="preserve">TW</t>
    </r>
    <r>
      <rPr>
        <sz val="8"/>
        <rFont val="Noto Sans CJK SC Regular"/>
        <family val="2"/>
      </rPr>
      <t xml:space="preserve">は所属機関を代表するものではありません。希少姓？否ちゃんと書いてね。</t>
    </r>
  </si>
  <si>
    <r>
      <rPr>
        <sz val="8"/>
        <rFont val="Droid Sans"/>
        <family val="0"/>
        <charset val="1"/>
      </rPr>
      <t xml:space="preserve">यानिक Yannick </t>
    </r>
    <r>
      <rPr>
        <sz val="8"/>
        <rFont val="Noto Sans CJK SC Regular"/>
        <family val="2"/>
      </rPr>
      <t xml:space="preserve">雅尼克</t>
    </r>
  </si>
  <si>
    <t xml:space="preserve">RT @Edourdoo: » What Abe’s election win will mean for China-Japan relations (nothing much probbaly) | South China Morning Post https://t.co…</t>
  </si>
  <si>
    <t xml:space="preserve">Geneva, Switzerland</t>
  </si>
  <si>
    <r>
      <rPr>
        <sz val="8"/>
        <rFont val="Droid Sans"/>
        <family val="0"/>
        <charset val="1"/>
      </rPr>
      <t xml:space="preserve">I am an alumnus of the Graduate Institute of International and Development Studies, Geneva </t>
    </r>
    <r>
      <rPr>
        <sz val="8"/>
        <rFont val="Noto Sans CJK SC Regular"/>
        <family val="2"/>
      </rPr>
      <t xml:space="preserve">北京语言大学的学生</t>
    </r>
  </si>
  <si>
    <t xml:space="preserve">nytimesworld: A split opposition puts Shinzo Abe on track to victory in Japan, early projections show https://t.co/wplTcQbGHv #arrobin</t>
  </si>
  <si>
    <t xml:space="preserve">Japan's Abe on track for landslide victory, exit polls show: Japanese Prime Minister Shinzo… https://t.co/ozfZtDlL4O</t>
  </si>
  <si>
    <t xml:space="preserve">ManishSinghVerma</t>
  </si>
  <si>
    <t xml:space="preserve">MalaysiaUpdates</t>
  </si>
  <si>
    <t xml:space="preserve">Japan's PM Shinzo Abe poised to win snap election | News - https://t.co/cyUibqx0EU PM Shinzo Abe poised to win snap election | News</t>
  </si>
  <si>
    <t xml:space="preserve">Petaling Jaya, Selangor</t>
  </si>
  <si>
    <t xml:space="preserve">Murli</t>
  </si>
  <si>
    <t xml:space="preserve">Kerala,India</t>
  </si>
  <si>
    <t xml:space="preserve">😊</t>
  </si>
  <si>
    <t xml:space="preserve">青木 孝文</t>
  </si>
  <si>
    <r>
      <rPr>
        <sz val="8"/>
        <rFont val="Noto Sans CJK SC Regular"/>
        <family val="2"/>
      </rPr>
      <t xml:space="preserve">茨城↔東京 </t>
    </r>
    <r>
      <rPr>
        <sz val="8"/>
        <rFont val="Droid Sans"/>
        <family val="0"/>
        <charset val="1"/>
      </rPr>
      <t xml:space="preserve">JPN</t>
    </r>
  </si>
  <si>
    <r>
      <rPr>
        <sz val="8"/>
        <rFont val="Droid Sans"/>
        <family val="0"/>
        <charset val="1"/>
      </rPr>
      <t xml:space="preserve">Chuo univ│</t>
    </r>
    <r>
      <rPr>
        <sz val="8"/>
        <rFont val="Noto Sans CJK SC Regular"/>
        <family val="2"/>
      </rPr>
      <t xml:space="preserve">社会の諸問題に対して簡単に答えを決めず、考え抜き、行動し、ちょっとずつ強くなりたい│主食は社会問題☮️多様性🌈皇尊彌榮🇯🇵│趣味は旅・読書・写真</t>
    </r>
  </si>
  <si>
    <t xml:space="preserve">Renae Lucas-Hall 📖</t>
  </si>
  <si>
    <t xml:space="preserve">♥ஜ۩ஜ♥</t>
  </si>
  <si>
    <r>
      <rPr>
        <sz val="8"/>
        <rFont val="Droid Sans"/>
        <family val="0"/>
        <charset val="1"/>
      </rPr>
      <t xml:space="preserve">Writer of Japan-related fiction &amp; non-fiction ✿ Bestselling author of Tokyo Hearts &amp; Tokyo Tales ✿ </t>
    </r>
    <r>
      <rPr>
        <sz val="8"/>
        <rFont val="Noto Sans CJK SC Regular"/>
        <family val="2"/>
      </rPr>
      <t xml:space="preserve">はじめまして</t>
    </r>
    <r>
      <rPr>
        <sz val="8"/>
        <rFont val="Droid Sans"/>
        <family val="0"/>
        <charset val="1"/>
      </rPr>
      <t xml:space="preserve">! </t>
    </r>
    <r>
      <rPr>
        <sz val="8"/>
        <rFont val="Noto Sans CJK SC Regular"/>
        <family val="2"/>
      </rPr>
      <t xml:space="preserve">レネィと申します ✿ 小説家 ✿ 作家</t>
    </r>
    <r>
      <rPr>
        <sz val="8"/>
        <rFont val="Droid Sans"/>
        <family val="0"/>
        <charset val="1"/>
      </rPr>
      <t xml:space="preserve">https://t.co/087YJNBksQ</t>
    </r>
  </si>
  <si>
    <t xml:space="preserve">Japan’s PM Shinzo Abe poised to win snap election | News https://t.co/S2Eb65QuXc</t>
  </si>
  <si>
    <t xml:space="preserve">Election Risk Pays Off for Shinzo Abe of Japan as Party Appears to Win Big https://t.co/8sawsm3Q0h https://t.co/wXULK3EPFT</t>
  </si>
  <si>
    <t xml:space="preserve">I have it, all about news of the moment with a fresh scent , follow me and you will have a lot of information in minutes</t>
  </si>
  <si>
    <t xml:space="preserve">Japan's PM Shinzo Abe poised to win snap election https://t.co/hKr0l7GP8c #AJ</t>
  </si>
  <si>
    <t xml:space="preserve">XX RRLL</t>
  </si>
  <si>
    <t xml:space="preserve">Scientist, birder, aspiring horse whisperer. Mostly retweets, because I lean toward long form.</t>
  </si>
  <si>
    <t xml:space="preserve">A split opposition puts Shinzo Abe on track to victory in Japan, early projections show https://t.co/pDqRQty7xk</t>
  </si>
  <si>
    <t xml:space="preserve">Nishad Hasan</t>
  </si>
  <si>
    <t xml:space="preserve">Japan election: Shinzo Abe's party likely to seize control in lower house https://t.co/0HIqJWOw9q #USANews</t>
  </si>
  <si>
    <t xml:space="preserve">Las Vegas, NM</t>
  </si>
  <si>
    <t xml:space="preserve">Live this life with full of joy. Let's Party!</t>
  </si>
  <si>
    <t xml:space="preserve">Shekhar Gunjal</t>
  </si>
  <si>
    <t xml:space="preserve">Rahul Roushan for PM</t>
  </si>
  <si>
    <t xml:space="preserve">Center-Right, Apatheist, BJP, NaMo, Bhakt, 96K, Son of a Farmer</t>
  </si>
  <si>
    <t xml:space="preserve">Luisa Florez Medical</t>
  </si>
  <si>
    <t xml:space="preserve">Latest news update from Luisa Florez. Election Risk Pays Off for Shinzo Abe of Japan as Party Appears to Win Big https://t.co/pWdQt8Nhqu</t>
  </si>
  <si>
    <t xml:space="preserve">Lubbock, Texas</t>
  </si>
  <si>
    <t xml:space="preserve">Luisa Florez is a medical examiner with 5 years of experience in the industry. http://t.co/Qm8OSqIjDB</t>
  </si>
  <si>
    <t xml:space="preserve">Amin Nabil</t>
  </si>
  <si>
    <t xml:space="preserve">Shah Alam, Malaysia</t>
  </si>
  <si>
    <t xml:space="preserve">Muslim | Truth seeker | 20</t>
  </si>
  <si>
    <t xml:space="preserve">Rosemarie McAffee</t>
  </si>
  <si>
    <t xml:space="preserve">Election Risk Pays Off for Shinzo Abe of Japan as Party Appears to Win Big: Early… https://t.co/WifUcJkHmW</t>
  </si>
  <si>
    <t xml:space="preserve">Carlo Musa 🇪🇺</t>
  </si>
  <si>
    <t xml:space="preserve">Genova, Italy</t>
  </si>
  <si>
    <t xml:space="preserve">Europeo, Laureato in Scienze Internazionali e Diplomatiche e in Relazioni Internazionali. Segretario PD Levanto.</t>
  </si>
  <si>
    <t xml:space="preserve">Election Risk Pays Off for Shinzo Abe of Japan as Party Appears to Win Big https://t.co/WXOOXjt3NT</t>
  </si>
  <si>
    <t xml:space="preserve">Shinzo Abe secures strong mandate in Japan's general election https://t.co/Ol3ElELLNo #guardian</t>
  </si>
  <si>
    <t xml:space="preserve">dogslovesushi</t>
  </si>
  <si>
    <t xml:space="preserve">iPhone: 49.267075,-123.120934</t>
  </si>
  <si>
    <t xml:space="preserve">Dogs. 🐘 . Travel influencer &amp; photographer https://t.co/HcduCt3u4t and https://t.co/i8CYa8b503</t>
  </si>
  <si>
    <t xml:space="preserve">joão carlos</t>
  </si>
  <si>
    <t xml:space="preserve">#Japan’s prime minister, #ShinzoAbe, has secured a strong mandate for his hardline against North Korea and room to… https://t.co/fDurVb7VeK</t>
  </si>
  <si>
    <t xml:space="preserve">Aude, Le Sud !</t>
  </si>
  <si>
    <t xml:space="preserve">Einformativo</t>
  </si>
  <si>
    <t xml:space="preserve">Election Risk Pays Off for Shinzo Abe of Japan as Party Appears to Win Big https://t.co/QCzRYVe5jP https://t.co/vhZSJbMFlw</t>
  </si>
  <si>
    <t xml:space="preserve">América Latina y el mundo</t>
  </si>
  <si>
    <t xml:space="preserve">Esto es Equilibrio Informativo: La verdad desde todos los ángulos...</t>
  </si>
  <si>
    <t xml:space="preserve">Palash K Adhikary</t>
  </si>
  <si>
    <t xml:space="preserve">AMBITIOUS,Nationalist,Student of Diplomacy/International Relations,Current Affairs,Sports Enthusiast,Hindu.RT/QT not Endorsement. Single,Searching For TRUE LOVE</t>
  </si>
  <si>
    <t xml:space="preserve">Neithan Score</t>
  </si>
  <si>
    <t xml:space="preserve">Election Risk Pays Off for Shinzo Abe of Japan as Party Appears to Win Big https://t.co/sTLTbHWO2W</t>
  </si>
  <si>
    <t xml:space="preserve">Dallas, Houstn. Great Jones St</t>
  </si>
  <si>
    <t xml:space="preserve">Introvert. Researcher. Unapologetic pop culture expert</t>
  </si>
  <si>
    <t xml:space="preserve">Víctor de la Serna</t>
  </si>
  <si>
    <t xml:space="preserve">El Mundo, Madrid.</t>
  </si>
  <si>
    <t xml:space="preserve">Wine, writing and hoops. De Madrid al viñedo. Journalism is a tolerable addiction. Una vez fuimos campeones del mundo.</t>
  </si>
  <si>
    <t xml:space="preserve">Election Risk Pays Off for Shinzo Abe of Japan as Party Appears to Win Big https://t.co/VLF5IeAEvo</t>
  </si>
  <si>
    <t xml:space="preserve">Election Risk Pays Off for Shinzo Abe of Japan as Party Appears to Win Big https://t.co/rFo75Ek2qs</t>
  </si>
  <si>
    <t xml:space="preserve">Election Risk Pays Off for Shinzo Abe of Japan as Party Appears to Win Big https://t.co/Xkx41zeYMv #Newyorktimes #nytimes #news</t>
  </si>
  <si>
    <t xml:space="preserve">happyfication</t>
  </si>
  <si>
    <t xml:space="preserve">Election Risk Pays Off for Shinzo Abe of Japan as Party Appears to Win Big https://t.co/cGWxfLfW3I https://t.co/CFbWIjZgnh</t>
  </si>
  <si>
    <t xml:space="preserve">Precognitive Content</t>
  </si>
  <si>
    <t xml:space="preserve">Snackable content that makes you happy!</t>
  </si>
  <si>
    <t xml:space="preserve">SLThompson</t>
  </si>
  <si>
    <t xml:space="preserve">Maryland, USA</t>
  </si>
  <si>
    <t xml:space="preserve">Interior designer, cat lover, dog lover, book lover, flower lover, homebody, positive thinker (mostly...)</t>
  </si>
  <si>
    <t xml:space="preserve">RamirBalquin(Sydney)</t>
  </si>
  <si>
    <t xml:space="preserve">NSW Australia</t>
  </si>
  <si>
    <t xml:space="preserve">Life is all about selecting choices and being responsible for those choices.</t>
  </si>
  <si>
    <t xml:space="preserve">Claudette Melanson</t>
  </si>
  <si>
    <t xml:space="preserve">Kitchener, Ontario</t>
  </si>
  <si>
    <t xml:space="preserve">Amazon Bestselling, Award-Winning #Fantasy #Mystery #Author RT-er ❤️Rollercoasters &amp; Paranormal 💀Coffeeholic☕️ BunMom 🐇Otaku Ketoeater ❤️ #Books #reader ♋️</t>
  </si>
  <si>
    <t xml:space="preserve">Joe Scanlon</t>
  </si>
  <si>
    <t xml:space="preserve">Victoria, MInnesota</t>
  </si>
  <si>
    <t xml:space="preserve">I am a programmer in Print Net T. I Love big words and getting healthy! Originally from Philadelphia PA now living in Victoria MN</t>
  </si>
  <si>
    <t xml:space="preserve">Ishvinder Singh</t>
  </si>
  <si>
    <t xml:space="preserve">Bangsar, Kuala Lumpur</t>
  </si>
  <si>
    <t xml:space="preserve">From god we came and to him shall we return.</t>
  </si>
  <si>
    <t xml:space="preserve">Wat Tyler</t>
  </si>
  <si>
    <t xml:space="preserve">Japan's PM Shinzo Abe poised to win snap election https://t.co/A5q2rEh64d https://t.co/wtzs6lWiS1</t>
  </si>
  <si>
    <t xml:space="preserve">Midlands, England</t>
  </si>
  <si>
    <t xml:space="preserve">Disillusioned with British Politics and the acquiescent ineffective news media.</t>
  </si>
  <si>
    <t xml:space="preserve">Guekiniyalé Eddie</t>
  </si>
  <si>
    <t xml:space="preserve">Nada</t>
  </si>
  <si>
    <t xml:space="preserve">nytimes: Election Risk Pays Off for Shinzo Abe of Japan as Party Appears to Win Big https://t.co/B7ZTwRUfMY https://t.co/52aN9vV2Ld</t>
  </si>
  <si>
    <t xml:space="preserve">Jason Chiam</t>
  </si>
  <si>
    <t xml:space="preserve">Election Risk Pays Off for Shinzo Abe of Japan as Party Appears to Win Big via @NYTimes https://t.co/YnVx7MG89E</t>
  </si>
  <si>
    <t xml:space="preserve">Liverpool Fan</t>
  </si>
  <si>
    <t xml:space="preserve">Bryan Hum</t>
  </si>
  <si>
    <t xml:space="preserve">25 | Lawyer | Associate, Retirement &amp; Compensation Policy, The ERISA Industry Committee</t>
  </si>
  <si>
    <t xml:space="preserve">くそめがね</t>
  </si>
  <si>
    <t xml:space="preserve">Election Risk Pays Off for Shinzo Abe of Japan as Party Appears to Win Big via @NYTimes https://t.co/HHAw7XjZl9</t>
  </si>
  <si>
    <r>
      <rPr>
        <sz val="8"/>
        <rFont val="Droid Sans"/>
        <family val="0"/>
        <charset val="1"/>
      </rPr>
      <t xml:space="preserve">6</t>
    </r>
    <r>
      <rPr>
        <sz val="8"/>
        <rFont val="Noto Sans CJK SC Regular"/>
        <family val="2"/>
      </rPr>
      <t xml:space="preserve">階</t>
    </r>
  </si>
  <si>
    <t xml:space="preserve">フランスの人改め、レンヌの人です。</t>
  </si>
  <si>
    <t xml:space="preserve">Nana Yaw Addae</t>
  </si>
  <si>
    <t xml:space="preserve">Maxima-Ghana</t>
  </si>
  <si>
    <t xml:space="preserve">God's son Living life to the fullest #Sc:yhawarddae Instagram.:officialyhawarddae BLiSs🔥🔥</t>
  </si>
  <si>
    <t xml:space="preserve">Ashish Chauhan BSE</t>
  </si>
  <si>
    <t xml:space="preserve">Mumbai, Maharashtra</t>
  </si>
  <si>
    <t xml:space="preserve">CEO BSE (Bombay Stock Exchange,India) Retweet is not an endorsement. Views are personal</t>
  </si>
  <si>
    <t xml:space="preserve">veracruz</t>
  </si>
  <si>
    <t xml:space="preserve">Saezuri</t>
  </si>
  <si>
    <t xml:space="preserve">Diseñador</t>
  </si>
  <si>
    <t xml:space="preserve">kuwana</t>
  </si>
  <si>
    <t xml:space="preserve">Social Media Giants</t>
  </si>
  <si>
    <t xml:space="preserve">Japan's Abe on track for landslide victory - Japanese Prime Minister Shinzo Abe appears on course to win a deci... https://t.co/jDFg1CsXvt</t>
  </si>
  <si>
    <t xml:space="preserve">Social Media Hub brings you the giants of social media content on a rich and colorful environment on our new web platform powered by CMS technology #SMHub</t>
  </si>
  <si>
    <t xml:space="preserve">Fredi Skwar</t>
  </si>
  <si>
    <t xml:space="preserve">NYT: Election Risk Pays Off for Shinzo Abe of Japan as Party Appears to Win Big https://t.co/GPljDf8s9e</t>
  </si>
  <si>
    <t xml:space="preserve">Hamburg, Germany</t>
  </si>
  <si>
    <t xml:space="preserve">living in #Hamburg +++ #lawyer #entrepreneur #jogger #lostinmusic #lostintheweb #passingthrough</t>
  </si>
  <si>
    <t xml:space="preserve">RT: @nytimesworld :A split opposition puts Shinzo Abe on track to victory in Japan, early projections show https://t.co/YmuAgCJjEu</t>
  </si>
  <si>
    <t xml:space="preserve">RT: @nytimes :Election Risk Pays Off for Shinzo Abe of Japan as Party Appears to Win Big https://t.co/KnfrN3hD5z</t>
  </si>
  <si>
    <t xml:space="preserve">usbs-usa</t>
  </si>
  <si>
    <t xml:space="preserve">Not affiliated with any Agency - Corporate Entity or Organization, enjoy! Lets explore this aspect of our world together</t>
  </si>
  <si>
    <t xml:space="preserve">Dr Shady (SOLO UNO)</t>
  </si>
  <si>
    <t xml:space="preserve">Election Risk Pays Off for Shinzo Abe of Japan as Party Appears to Win Big https://t.co/0isxivqBEJ</t>
  </si>
  <si>
    <t xml:space="preserve">shoubra, egypt</t>
  </si>
  <si>
    <t xml:space="preserve">Life's hard. It's even harder when you're stupid</t>
  </si>
  <si>
    <t xml:space="preserve">RT: nytimesworld :A split opposition puts Shinzo Abe on track to victory in Japan, early projections show https://t.co/MDFQ1qzfY8</t>
  </si>
  <si>
    <t xml:space="preserve">RT: nytimes :Election Risk Pays Off for Shinzo Abe of Japan as Party Appears to Win Big https://t.co/TsjBHWrJNz</t>
  </si>
  <si>
    <t xml:space="preserve">Akhil Deo</t>
  </si>
  <si>
    <t xml:space="preserve">Research Assistant at @orfonline. Interested in urban governance, sustainable development, future technologies, culture studies and foreign policy.</t>
  </si>
  <si>
    <t xml:space="preserve">Haiti News Network</t>
  </si>
  <si>
    <t xml:space="preserve">Japan's Abe on track for landslide victory, exit polls show - Japanese Prime Minister Shinzo Abe appears on cou... https://t.co/RspvEBjFFA</t>
  </si>
  <si>
    <t xml:space="preserve">509 4079 8965. - 1 617 365 2929</t>
  </si>
  <si>
    <t xml:space="preserve">HaitiNewsNet- Real Time NEWS &amp; EVENTS. HAITI &amp; the world 24/7. FACEBOOK : Haiti News Network GROUP, Haiti News Network PAGE. HaitiNews@Yahoo.com</t>
  </si>
  <si>
    <t xml:space="preserve">Carlos Lee</t>
  </si>
  <si>
    <t xml:space="preserve">Japan's Abe Set to Cement Power With Strong Election Win - Japanese Prime Minister Shinzo Abe was on course for... https://t.co/OGmUYcKrPM</t>
  </si>
  <si>
    <t xml:space="preserve">Southeast Asia News</t>
  </si>
  <si>
    <t xml:space="preserve">Super-majority' win for Japan PM Shinzo Abe: Exit polls - October 22, 2017 7:07 PM TOKYO - Japan has voted for... https://t.co/SCVegTR12G</t>
  </si>
  <si>
    <t xml:space="preserve">Southeast Asia News from Burma, Thailand, Laos, Cambodia, Malaysia, Vietnam, Indonesia, Brunei, Philippines &amp; beyond curated by @browngoesaround #AsianStudies</t>
  </si>
  <si>
    <t xml:space="preserve">Yuki</t>
  </si>
  <si>
    <t xml:space="preserve">Kanagawa, Japan</t>
  </si>
  <si>
    <r>
      <rPr>
        <sz val="8"/>
        <rFont val="Noto Sans CJK SC Regular"/>
        <family val="2"/>
      </rPr>
      <t xml:space="preserve">スパムよけに鍵をかけてます。（時々開けます）</t>
    </r>
    <r>
      <rPr>
        <sz val="8"/>
        <rFont val="Droid Sans"/>
        <family val="0"/>
        <charset val="1"/>
      </rPr>
      <t xml:space="preserve">TV</t>
    </r>
    <r>
      <rPr>
        <sz val="8"/>
        <rFont val="Noto Sans CJK SC Regular"/>
        <family val="2"/>
      </rPr>
      <t xml:space="preserve">関係実況多。ツイート内容により、フォローをお断り（拒否またはブロック）することがあります。 ファボは主に「後で読む」付箋です。</t>
    </r>
    <r>
      <rPr>
        <sz val="8"/>
        <rFont val="Droid Sans"/>
        <family val="0"/>
        <charset val="1"/>
      </rPr>
      <t xml:space="preserve">Native Japanese, learning languages, TV/Movie/Play; 2nd account myk29_fl</t>
    </r>
  </si>
  <si>
    <t xml:space="preserve">Multiplier</t>
  </si>
  <si>
    <t xml:space="preserve">Dar es Salaam, Tanzania</t>
  </si>
  <si>
    <t xml:space="preserve">cinamon</t>
  </si>
  <si>
    <t xml:space="preserve">いろいろな場所でコーヒーやサンドウィッチを食べ歩きします。大自然の中を歩くのが趣味です。</t>
  </si>
  <si>
    <t xml:space="preserve">Go Chiba</t>
  </si>
  <si>
    <t xml:space="preserve">Election Risk Pays Off for Shinzo Abe of Japan as Party Appears to Win Big via @NYTimes https://t.co/jxFkVADdwx</t>
  </si>
  <si>
    <t xml:space="preserve">Interesting Cloud/Virtulization/IoT/Distributed System/sdn/container tech/oss...Everything feel so good :) (my tweet is my own...)</t>
  </si>
  <si>
    <t xml:space="preserve">RT: nytimesworld :A split opposition puts Shinzo Abe on track to victory in Japan, early projections show https://t.co/vbwMtmIWdj</t>
  </si>
  <si>
    <t xml:space="preserve">保田和彦</t>
  </si>
  <si>
    <t xml:space="preserve">Japan election: Shinzo Abe projected to win - The Washington Post https://t.co/1H3ItVSeV0</t>
  </si>
  <si>
    <t xml:space="preserve">Bitly</t>
  </si>
  <si>
    <t xml:space="preserve">Surrey, United Kingdom</t>
  </si>
  <si>
    <r>
      <rPr>
        <sz val="8"/>
        <rFont val="Noto Sans CJK SC Regular"/>
        <family val="2"/>
      </rPr>
      <t xml:space="preserve">ピアノの練習一生懸命やっている </t>
    </r>
    <r>
      <rPr>
        <sz val="8"/>
        <rFont val="Droid Sans"/>
        <family val="0"/>
        <charset val="1"/>
      </rPr>
      <t xml:space="preserve">(</t>
    </r>
    <r>
      <rPr>
        <sz val="8"/>
        <rFont val="Noto Sans CJK SC Regular"/>
        <family val="2"/>
      </rPr>
      <t xml:space="preserve">つもり</t>
    </r>
    <r>
      <rPr>
        <sz val="8"/>
        <rFont val="Droid Sans"/>
        <family val="0"/>
        <charset val="1"/>
      </rPr>
      <t xml:space="preserve">) </t>
    </r>
    <r>
      <rPr>
        <sz val="8"/>
        <rFont val="Noto Sans CJK SC Regular"/>
        <family val="2"/>
      </rPr>
      <t xml:space="preserve">なんだけど、一向に上手くならない。なのでピアノうまい人のコンサート聴きに行きます。ついでにオケとかオペラも。嫌いな人</t>
    </r>
    <r>
      <rPr>
        <sz val="8"/>
        <rFont val="Droid Sans"/>
        <family val="0"/>
        <charset val="1"/>
      </rPr>
      <t xml:space="preserve">: </t>
    </r>
    <r>
      <rPr>
        <sz val="8"/>
        <rFont val="Noto Sans CJK SC Regular"/>
        <family val="2"/>
      </rPr>
      <t xml:space="preserve">外国人排斥論者、似非知識人、二言目にはビジネスモデルと言い出す輩、上場マーケット</t>
    </r>
    <r>
      <rPr>
        <sz val="8"/>
        <rFont val="Droid Sans"/>
        <family val="0"/>
        <charset val="1"/>
      </rPr>
      <t xml:space="preserve">(</t>
    </r>
    <r>
      <rPr>
        <sz val="8"/>
        <rFont val="Noto Sans CJK SC Regular"/>
        <family val="2"/>
      </rPr>
      <t xml:space="preserve">株、債券、デリバティブ</t>
    </r>
    <r>
      <rPr>
        <sz val="8"/>
        <rFont val="Droid Sans"/>
        <family val="0"/>
        <charset val="1"/>
      </rPr>
      <t xml:space="preserve">)</t>
    </r>
    <r>
      <rPr>
        <sz val="8"/>
        <rFont val="Noto Sans CJK SC Regular"/>
        <family val="2"/>
      </rPr>
      <t xml:space="preserve">で一儲けしようとしている人。</t>
    </r>
  </si>
  <si>
    <t xml:space="preserve">RT: nytimes :Election Risk Pays Off for Shinzo Abe of Japan as Party Appears to Win Big https://t.co/NF1fbou6Ip</t>
  </si>
  <si>
    <t xml:space="preserve">BBCNEWS 5:15am JAPAN SNAP ELECTION. Exit polls put Shinzo Abe on course for big win</t>
  </si>
  <si>
    <t xml:space="preserve">RT biblewords3: Election Risk Pays Off for Shinzo Abe of Japan as Party Appears to Win Big https://t.co/Jjcv4qwT2s</t>
  </si>
  <si>
    <t xml:space="preserve">ITC Markets</t>
  </si>
  <si>
    <t xml:space="preserve">Election Risk Pays Off for Shinzo Abe of Japan as Party Appears to Win Big https://t.co/Dqjl00R8Dz</t>
  </si>
  <si>
    <t xml:space="preserve">London, New York</t>
  </si>
  <si>
    <t xml:space="preserve">Institutional level financial market information for Fixed Income, STIRs, FX, Indices</t>
  </si>
  <si>
    <t xml:space="preserve">Emily</t>
  </si>
  <si>
    <t xml:space="preserve">いたるところに。</t>
  </si>
  <si>
    <r>
      <rPr>
        <sz val="8"/>
        <rFont val="Droid Sans"/>
        <family val="0"/>
        <charset val="1"/>
      </rPr>
      <t xml:space="preserve">2014</t>
    </r>
    <r>
      <rPr>
        <sz val="8"/>
        <rFont val="Noto Sans CJK SC Regular"/>
        <family val="2"/>
      </rPr>
      <t xml:space="preserve">年から、のんびりしてます。来年</t>
    </r>
    <r>
      <rPr>
        <sz val="8"/>
        <rFont val="Droid Sans"/>
        <family val="0"/>
        <charset val="1"/>
      </rPr>
      <t xml:space="preserve">(2018)</t>
    </r>
    <r>
      <rPr>
        <sz val="8"/>
        <rFont val="Noto Sans CJK SC Regular"/>
        <family val="2"/>
      </rPr>
      <t xml:space="preserve">はイタリアで！ どこかでいつか</t>
    </r>
    <r>
      <rPr>
        <sz val="8"/>
        <rFont val="Droid Sans"/>
        <family val="0"/>
        <charset val="1"/>
      </rPr>
      <t xml:space="preserve">4A&amp;4F</t>
    </r>
  </si>
  <si>
    <t xml:space="preserve">TOKYO (Reuters) - Japanese Prime Minister Shinzo Abe's ruling coalition was on track for a big win in Sunday's… https://t.co/RadADrOohk #FB</t>
  </si>
  <si>
    <t xml:space="preserve">Singapore News</t>
  </si>
  <si>
    <t xml:space="preserve">We consolidate and broadcast Singapore news for you. Get updated of happening in Singapore while twittering. @SGWeFollowBack</t>
  </si>
  <si>
    <t xml:space="preserve">#HealthCareForAll</t>
  </si>
  <si>
    <t xml:space="preserve">Healthy America</t>
  </si>
  <si>
    <t xml:space="preserve">Everyone should unite behind #HealthCareForAll🙂 @GreenPartyUs</t>
  </si>
  <si>
    <t xml:space="preserve">George Goufas</t>
  </si>
  <si>
    <t xml:space="preserve">Athens - GR</t>
  </si>
  <si>
    <t xml:space="preserve">THE NEW YORK TIMES - Election Risk Pays Off for Shinzo Abe of Japan as Party Appears to Win Big https://t.co/guzv5bGxHh #PaginaNuova #Press</t>
  </si>
  <si>
    <t xml:space="preserve">Jun</t>
  </si>
  <si>
    <r>
      <rPr>
        <sz val="8"/>
        <rFont val="Droid Sans"/>
        <family val="0"/>
        <charset val="1"/>
      </rPr>
      <t xml:space="preserve">Prime Minister Abe poised to win Japan's general election https://t.co/ybQCkaF2aS @FRANCE24</t>
    </r>
    <r>
      <rPr>
        <sz val="8"/>
        <rFont val="Noto Sans CJK SC Regular"/>
        <family val="2"/>
      </rPr>
      <t xml:space="preserve">より</t>
    </r>
  </si>
  <si>
    <t xml:space="preserve">Lyon</t>
  </si>
  <si>
    <r>
      <rPr>
        <sz val="8"/>
        <rFont val="Droid Sans"/>
        <family val="0"/>
        <charset val="1"/>
      </rPr>
      <t xml:space="preserve">Université Catholique de Lyon </t>
    </r>
    <r>
      <rPr>
        <sz val="8"/>
        <rFont val="Noto Sans CJK SC Regular"/>
        <family val="2"/>
      </rPr>
      <t xml:space="preserve">と 立命館の国際関係 ヨーロッパの人口</t>
    </r>
    <r>
      <rPr>
        <sz val="8"/>
        <rFont val="Droid Sans"/>
        <family val="0"/>
        <charset val="1"/>
      </rPr>
      <t xml:space="preserve">20</t>
    </r>
    <r>
      <rPr>
        <sz val="8"/>
        <rFont val="Noto Sans CJK SC Regular"/>
        <family val="2"/>
      </rPr>
      <t xml:space="preserve">万人以下の街ばっか行ってる。</t>
    </r>
  </si>
  <si>
    <t xml:space="preserve">geckomagazinews</t>
  </si>
  <si>
    <t xml:space="preserve">Shinzo Abe secures strong mandate in Japan's general election https://t.co/N4i1A3ScuY https://t.co/W10hanX5Pc</t>
  </si>
  <si>
    <t xml:space="preserve">JesusMoisesCaseres</t>
  </si>
  <si>
    <t xml:space="preserve">Election Risk Pays Off for Shinzo Abe of Japan as Party Appears to Win Big https://t.co/RDkyq98qjr https://t.co/cQlxGllml9</t>
  </si>
  <si>
    <t xml:space="preserve">Tennis Pro NorthRiver YC, Assistant Coach at Jacksonville State University Militante De Venezuela Digna. Capitan Equipo Venezuela Copa Davis Junior , ITF Coach.</t>
  </si>
  <si>
    <t xml:space="preserve">Shinzo Abe secures strong mandate in Japan's general election https://t.co/dbnJJrjdOp</t>
  </si>
  <si>
    <t xml:space="preserve">ashraf ahmed</t>
  </si>
  <si>
    <t xml:space="preserve">nytimes : Election Risk Pays Off for Shinzo Abe of Japan as Party Appears to Win Big https://t.co/R2NwETbHBT (via…… https://t.co/JXJgxzTKTO</t>
  </si>
  <si>
    <t xml:space="preserve">HI THIS IS ASHRAF</t>
  </si>
  <si>
    <t xml:space="preserve">Palestine Facts</t>
  </si>
  <si>
    <t xml:space="preserve">Facts about Palestine. #FreePalestine #HumanRights #Palestine</t>
  </si>
  <si>
    <t xml:space="preserve">NewsUpdate24 🌍</t>
  </si>
  <si>
    <t xml:space="preserve">Japan's PM Shinzo Abe poised to win snap election: https://t.co/W5ZleGM9XW - Al Jazeera English #Latest</t>
  </si>
  <si>
    <t xml:space="preserve">We give you news from international press. Warning: Ongoing News Are Developing And Information May Change When The Situation Calm Down!</t>
  </si>
  <si>
    <t xml:space="preserve">Japan's PM Shinzo Abe poised to win snap election https://t.co/fmZGq5TJuv #breakingnews #news</t>
  </si>
  <si>
    <t xml:space="preserve">namgay wangmo</t>
  </si>
  <si>
    <t xml:space="preserve">bhutan</t>
  </si>
  <si>
    <t xml:space="preserve">A Single independent women, a lawyer by profession works at Royal Bhutan Helicopter Services Limited, lives at Paro.</t>
  </si>
  <si>
    <t xml:space="preserve">BBCNEWS 5:16am HOUSING CRISIS LABOUR ON BREXIT JAPAN SNAP ELECTION ' 7. Exit polls put Shinzo Abe on course for big win 'O'”</t>
  </si>
  <si>
    <t xml:space="preserve">MarketingNetCo</t>
  </si>
  <si>
    <t xml:space="preserve">Election Risk Pays Off for Shinzo Abe of Japan as Party Appears to Win Big https://t.co/NYZVWJw2hg #SocialMedia https://t.co/cLNmd9bz2E</t>
  </si>
  <si>
    <t xml:space="preserve">Our platform has #MarketingInsight and #InfluencerNetwork creation while optimising #DigitalAdvertising #Marketing campaigns. Chat to @NarcisRadoi for info</t>
  </si>
  <si>
    <t xml:space="preserve">Election Risk Pays Off for Shinzo Abe of Japan as Party Appears to Win Big https://t.co/VJsaaboSWl</t>
  </si>
  <si>
    <t xml:space="preserve">Mr. K Whestrivy</t>
  </si>
  <si>
    <t xml:space="preserve">Nashville, TN</t>
  </si>
  <si>
    <t xml:space="preserve">Barely There Satire™ true stories about fake news. Combat wounded, service disabled veteran. I work on gadgets and gizmos.</t>
  </si>
  <si>
    <t xml:space="preserve">omar</t>
  </si>
  <si>
    <t xml:space="preserve">Election Risk Pays Off for Shinzo Abe of Japan as Party Appears to Win Big https://t.co/4IOpJNKmWc https://t.co/QFxhu44UHY</t>
  </si>
  <si>
    <t xml:space="preserve">Illinois, USA</t>
  </si>
  <si>
    <t xml:space="preserve">"El periodismo jamás debe ser un circo, ni un tribunal para juzgar;debe ayudar al hombre en su eterno combate por una vida más digna y menos injusta".</t>
  </si>
  <si>
    <t xml:space="preserve">Japan's PM Shinzo Abe poised to win snap election https://t.co/mdYQ9wrK1g #Worldnews #News https://t.co/SoiXpTZqr3</t>
  </si>
  <si>
    <t xml:space="preserve">李天宇</t>
  </si>
  <si>
    <t xml:space="preserve">Delaware, USA</t>
  </si>
  <si>
    <t xml:space="preserve">电影</t>
  </si>
  <si>
    <t xml:space="preserve">App Master</t>
  </si>
  <si>
    <t xml:space="preserve">Japan PM Shinzo Abe’s ruling bloc on track for big win in election: TV exit polls https://t.co/8tksHfXJz8 https://t.co/Ujto4FqbqX</t>
  </si>
  <si>
    <t xml:space="preserve">Indira Gunness</t>
  </si>
  <si>
    <t xml:space="preserve">Trinidad and Tobago </t>
  </si>
  <si>
    <t xml:space="preserve">Japan's PM Shinzo Abe poised to win snap election https://t.co/CAjMtYWiYy</t>
  </si>
  <si>
    <t xml:space="preserve">Election Risk Pays Off for Shinzo Abe of Japan as Party Appears to Win Big https://t.co/CSqSnnBJCg</t>
  </si>
  <si>
    <t xml:space="preserve">RT: nytimesworld :A split opposition puts Shinzo Abe on track to victory in Japan, early projections show https://t.co/ep43flHNZY</t>
  </si>
  <si>
    <t xml:space="preserve">RT: nytimes :Election Risk Pays Off for Shinzo Abe of Japan as Party Appears to Win Big https://t.co/dytDIe933S</t>
  </si>
  <si>
    <t xml:space="preserve">Terlintas..</t>
  </si>
  <si>
    <t xml:space="preserve">Durian Sebatang, Perak</t>
  </si>
  <si>
    <t xml:space="preserve">Don't walk behind me; I may not lead. Don't walk in front of me; I may not follow. Just walk beside me and be my friend. Obladi...oblada ..Life goes on...</t>
  </si>
  <si>
    <t xml:space="preserve">priyambudi</t>
  </si>
  <si>
    <t xml:space="preserve">RT @GuardianAus: Shinzo Abe secures strong mandate in Japan's general election https://t.co/c5s1yFOhIk</t>
  </si>
  <si>
    <t xml:space="preserve">tukang njatil ning ngadelaidediningratan tukang nyicip makanan di pasar tradisional tukang ngamati hubungan australia dan asia</t>
  </si>
  <si>
    <t xml:space="preserve">FF Network</t>
  </si>
  <si>
    <t xml:space="preserve">Election Risk Pays Off for Shinzo Abe of Japan as Party Appears to Win Big https://t.co/KJuFMryPLX</t>
  </si>
  <si>
    <t xml:space="preserve">FunInMia</t>
  </si>
  <si>
    <t xml:space="preserve">Miami Beach, Florida</t>
  </si>
  <si>
    <t xml:space="preserve">Mo James Apted</t>
  </si>
  <si>
    <t xml:space="preserve">Madagascar - Thailand</t>
  </si>
  <si>
    <t xml:space="preserve">Rashid Castle-Ali</t>
  </si>
  <si>
    <t xml:space="preserve">GA</t>
  </si>
  <si>
    <t xml:space="preserve">Sold out to Jesus, Enthusiast, Political, Concerned Citizen.</t>
  </si>
  <si>
    <t xml:space="preserve">OFS Studio Inc</t>
  </si>
  <si>
    <t xml:space="preserve">Election Risk Pays Off for Shinzo Abe of Japan as Party Appears to Win Big https://t.co/lW7HvjRfWM</t>
  </si>
  <si>
    <t xml:space="preserve">PL Info Hub</t>
  </si>
  <si>
    <t xml:space="preserve">Election Risk Pays Off for Shinzo Abe of Japan as Party Appears to Win Big https://t.co/yuHibywEBN</t>
  </si>
  <si>
    <t xml:space="preserve">Lifelong alcohol guru. Hardcore pop culture trailblazer. Extreme beer nerd.</t>
  </si>
  <si>
    <t xml:space="preserve">Ortonville Info Net</t>
  </si>
  <si>
    <t xml:space="preserve">Election Risk Pays Off for Shinzo Abe of Japan as Party Appears to Win Big https://t.co/vfbNQ5wtzd</t>
  </si>
  <si>
    <t xml:space="preserve">Passionate twitter trailblazer. Amateur organizer. Total beer junkie. Hipster-friendly web lover. Wannabe introvert.</t>
  </si>
  <si>
    <t xml:space="preserve">CSS Info</t>
  </si>
  <si>
    <t xml:space="preserve">Election Risk Pays Off for Shinzo Abe of Japan as Party Appears to Win Big https://t.co/r1BFJRgigE</t>
  </si>
  <si>
    <t xml:space="preserve">us</t>
  </si>
  <si>
    <t xml:space="preserve">Devoted communicator. Music scholar. Tv enthusiast. Total zombie nerd. Subtly charming alcohol aficionado. Analyst. Professional pop culture buff.</t>
  </si>
  <si>
    <t xml:space="preserve">VO Fab Adult Hub</t>
  </si>
  <si>
    <t xml:space="preserve">Election Risk Pays Off for Shinzo Abe of Japan as Party Appears to Win Big https://t.co/o12F34tQJP</t>
  </si>
  <si>
    <t xml:space="preserve">Certified entrepreneur. Tv fanatic. Friendly organizer. Passionate music specialist. Coffee fan.</t>
  </si>
  <si>
    <t xml:space="preserve">New York Vibes</t>
  </si>
  <si>
    <t xml:space="preserve">Election Risk Pays Off for Shinzo Abe of Japan as Party Appears to Win Big https://t.co/TmkVTqg4oJ https://t.co/zutvYbMNQS</t>
  </si>
  <si>
    <t xml:space="preserve">Election Risk Pays Off for Shinzo Abe of Japan as Party Appears to Win Big https://t.co/g25NipZKIW</t>
  </si>
  <si>
    <t xml:space="preserve">J &amp; H Media</t>
  </si>
  <si>
    <t xml:space="preserve">Election Risk Pays Off for Shinzo Abe of Japan as Party Appears to Win Big https://t.co/09OoilgXma</t>
  </si>
  <si>
    <t xml:space="preserve">Akita4two</t>
  </si>
  <si>
    <r>
      <rPr>
        <sz val="8"/>
        <rFont val="Droid Sans"/>
        <family val="0"/>
        <charset val="1"/>
      </rPr>
      <t xml:space="preserve">🐰young</t>
    </r>
    <r>
      <rPr>
        <sz val="8"/>
        <rFont val="Noto Sans CJK SC Regular"/>
        <family val="2"/>
      </rPr>
      <t xml:space="preserve">ㅡ</t>
    </r>
    <r>
      <rPr>
        <sz val="8"/>
        <rFont val="Droid Sans"/>
        <family val="0"/>
        <charset val="1"/>
      </rPr>
      <t xml:space="preserve">peace[blue]</t>
    </r>
  </si>
  <si>
    <r>
      <rPr>
        <sz val="8"/>
        <rFont val="Noto Sans CJK SC Regular"/>
        <family val="2"/>
      </rPr>
      <t xml:space="preserve">지구별★</t>
    </r>
    <r>
      <rPr>
        <sz val="8"/>
        <rFont val="Droid Sans"/>
        <family val="0"/>
        <charset val="1"/>
      </rPr>
      <t xml:space="preserve">~</t>
    </r>
    <r>
      <rPr>
        <sz val="8"/>
        <rFont val="Noto Sans CJK SC Regular"/>
        <family val="2"/>
      </rPr>
      <t xml:space="preserve">안드로메다에서 왔쪄</t>
    </r>
  </si>
  <si>
    <r>
      <rPr>
        <sz val="8"/>
        <rFont val="Droid Sans"/>
        <family val="0"/>
        <charset val="1"/>
      </rPr>
      <t xml:space="preserve">@miyoung0425★Alice in Wonderland★☆</t>
    </r>
    <r>
      <rPr>
        <sz val="8"/>
        <rFont val="Noto Sans CJK SC Regular"/>
        <family val="2"/>
      </rPr>
      <t xml:space="preserve">무지 몽매한 국민들만 모르는 북한 </t>
    </r>
    <r>
      <rPr>
        <sz val="8"/>
        <rFont val="Droid Sans"/>
        <family val="0"/>
        <charset val="1"/>
      </rPr>
      <t xml:space="preserve">1</t>
    </r>
    <r>
      <rPr>
        <sz val="8"/>
        <rFont val="Noto Sans CJK SC Regular"/>
        <family val="2"/>
      </rPr>
      <t xml:space="preserve">급 비밀☆ </t>
    </r>
    <r>
      <rPr>
        <sz val="8"/>
        <rFont val="Droid Sans"/>
        <family val="0"/>
        <charset val="1"/>
      </rPr>
      <t xml:space="preserve">[</t>
    </r>
    <r>
      <rPr>
        <sz val="8"/>
        <rFont val="Noto Sans CJK SC Regular"/>
        <family val="2"/>
      </rPr>
      <t xml:space="preserve">북한 석유매장량 </t>
    </r>
    <r>
      <rPr>
        <sz val="8"/>
        <rFont val="Droid Sans"/>
        <family val="0"/>
        <charset val="1"/>
      </rPr>
      <t xml:space="preserve">1470</t>
    </r>
    <r>
      <rPr>
        <sz val="8"/>
        <rFont val="Noto Sans CJK SC Regular"/>
        <family val="2"/>
      </rPr>
      <t xml:space="preserve">억 배럴</t>
    </r>
    <r>
      <rPr>
        <sz val="8"/>
        <rFont val="Droid Sans"/>
        <family val="0"/>
        <charset val="1"/>
      </rPr>
      <t xml:space="preserve">... </t>
    </r>
    <r>
      <rPr>
        <sz val="8"/>
        <rFont val="Noto Sans CJK SC Regular"/>
        <family val="2"/>
      </rPr>
      <t xml:space="preserve">세계</t>
    </r>
    <r>
      <rPr>
        <sz val="8"/>
        <rFont val="Droid Sans"/>
        <family val="0"/>
        <charset val="1"/>
      </rPr>
      <t xml:space="preserve">3</t>
    </r>
    <r>
      <rPr>
        <sz val="8"/>
        <rFont val="Noto Sans CJK SC Regular"/>
        <family val="2"/>
      </rPr>
      <t xml:space="preserve">위</t>
    </r>
    <r>
      <rPr>
        <sz val="8"/>
        <rFont val="Droid Sans"/>
        <family val="0"/>
        <charset val="1"/>
      </rPr>
      <t xml:space="preserve">] </t>
    </r>
    <r>
      <rPr>
        <sz val="8"/>
        <rFont val="Noto Sans CJK SC Regular"/>
        <family val="2"/>
      </rPr>
      <t xml:space="preserve">유대자본도 못들어감 원화로 </t>
    </r>
    <r>
      <rPr>
        <sz val="8"/>
        <rFont val="Droid Sans"/>
        <family val="0"/>
        <charset val="1"/>
      </rPr>
      <t xml:space="preserve">1</t>
    </r>
    <r>
      <rPr>
        <sz val="8"/>
        <rFont val="Noto Sans CJK SC Regular"/>
        <family val="2"/>
      </rPr>
      <t xml:space="preserve">경 </t>
    </r>
    <r>
      <rPr>
        <sz val="8"/>
        <rFont val="Droid Sans"/>
        <family val="0"/>
        <charset val="1"/>
      </rPr>
      <t xml:space="preserve">5000</t>
    </r>
    <r>
      <rPr>
        <sz val="8"/>
        <rFont val="Noto Sans CJK SC Regular"/>
        <family val="2"/>
      </rPr>
      <t xml:space="preserve">조</t>
    </r>
    <r>
      <rPr>
        <sz val="8"/>
        <rFont val="Droid Sans"/>
        <family val="0"/>
        <charset val="1"/>
      </rPr>
      <t xml:space="preserve">~!</t>
    </r>
    <r>
      <rPr>
        <sz val="8"/>
        <rFont val="Noto Sans CJK SC Regular"/>
        <family val="2"/>
      </rPr>
      <t xml:space="preserve">미국도 비밀로 쉬쉬 </t>
    </r>
    <r>
      <rPr>
        <sz val="8"/>
        <rFont val="Droid Sans"/>
        <family val="0"/>
        <charset val="1"/>
      </rPr>
      <t xml:space="preserve">NORTH KOREA secret`s oil deposits</t>
    </r>
  </si>
  <si>
    <t xml:space="preserve">sasquatch godzilla</t>
  </si>
  <si>
    <t xml:space="preserve">a well from which i come out to shame mankind</t>
  </si>
  <si>
    <t xml:space="preserve">writes things. i'll probably talk about tv and music a lot. this account is very unprofessional.</t>
  </si>
  <si>
    <t xml:space="preserve">one human race</t>
  </si>
  <si>
    <t xml:space="preserve">・・・あまり相互フォローしない厭世家な空想家。「いいね」＝書庫。リツイートばかりしてないで、世界🌏🌎🌍も眺めるか・・・</t>
  </si>
  <si>
    <t xml:space="preserve">Baqpack</t>
  </si>
  <si>
    <t xml:space="preserve">React to this #news (Japan's PM Shinzo Abe poised to win snap election) @... https://t.co/2XfTF434Yv</t>
  </si>
  <si>
    <t xml:space="preserve">Carry News Further | Baqpack is a new place to carry news further. Discuss current local and international news stories and tell us your own daily news.</t>
  </si>
  <si>
    <t xml:space="preserve">Carey Myrick</t>
  </si>
  <si>
    <t xml:space="preserve">Election Risk Pays Off for Shinzo Abe of Japan as Party Appears to Win Big https://t.co/bFff0iFDg4 https://t.co/JhvXgBSQzI</t>
  </si>
  <si>
    <t xml:space="preserve">Ogdensburg,WI,US</t>
  </si>
  <si>
    <t xml:space="preserve">#Bosnian☾★ | #Squaddd I like to listen to ofwgkta that shit makes me want to fuck shit up. #FreeEarl #WolfGang ┌∩┐(◣_◢)┌∩┐#ΤΦ$Δ #KSno #Swerve</t>
  </si>
  <si>
    <t xml:space="preserve">#Nytimes #News Election Risk Pays Off for Shinzo Abe of Japan as Party Appears to Win Big https://t.co/VFvIqrQpyD</t>
  </si>
  <si>
    <t xml:space="preserve">MelaDurand</t>
  </si>
  <si>
    <t xml:space="preserve">Election Risk Pays Off for Shinzo Abe of Japan as Party Appears to Win Big https://t.co/umHI6Ek3hT</t>
  </si>
  <si>
    <t xml:space="preserve">Keep your eyes on the stars, and your feet on the ground.</t>
  </si>
  <si>
    <t xml:space="preserve">Knox Info Inc</t>
  </si>
  <si>
    <t xml:space="preserve">Election Risk Pays Off for Shinzo Abe of Japan as Party Appears to Win Big https://t.co/t1WOJkAZ0Q</t>
  </si>
  <si>
    <t xml:space="preserve">Creator. Subtly charming student. Lifelong analyst. Hipster-friendly zombieaholic. Infuriatingly humble explorer. Web evangelist.</t>
  </si>
  <si>
    <t xml:space="preserve">AJA Online Media</t>
  </si>
  <si>
    <t xml:space="preserve">Election Risk Pays Off for Shinzo Abe of Japan as Party Appears to Win Big https://t.co/oTFUBniRDY</t>
  </si>
  <si>
    <t xml:space="preserve">Parish House Inc</t>
  </si>
  <si>
    <t xml:space="preserve">Election Risk Pays Off for Shinzo Abe of Japan as Party Appears to Win Big https://t.co/xf2ZfdGNG3</t>
  </si>
  <si>
    <t xml:space="preserve">Incurable thinker. General coffee buff. Reader. Award-winning music fanatic. Social media geek.</t>
  </si>
  <si>
    <t xml:space="preserve">Hartford Finance Inc</t>
  </si>
  <si>
    <t xml:space="preserve">Election Risk Pays Off for Shinzo Abe of Japan as Party Appears to Win Big https://t.co/ulgcVHdUI6</t>
  </si>
  <si>
    <t xml:space="preserve">Health is the greatest gift, contentment the greatest wealth, faithfulness the best relationship.</t>
  </si>
  <si>
    <t xml:space="preserve">RT: nytimesworld :A split opposition puts Shinzo Abe on track to victory in Japan, early projections show https://t.co/rxQD3Zka1a</t>
  </si>
  <si>
    <t xml:space="preserve">RT: nytimes :Election Risk Pays Off for Shinzo Abe of Japan as Party Appears to Win Big https://t.co/poHYCnMhJb</t>
  </si>
  <si>
    <t xml:space="preserve">Eagle Crest Mktg</t>
  </si>
  <si>
    <t xml:space="preserve">Election Risk Pays Off for Shinzo Abe of Japan as Party Appears to Win Big https://t.co/iUtYmFhKLh</t>
  </si>
  <si>
    <t xml:space="preserve">Bay Street Corridor, Toronto</t>
  </si>
  <si>
    <t xml:space="preserve">Travel lover. Social media junkie. Wannabe beer maven. Alcohol aficionado. Amateur pop culture geek.</t>
  </si>
  <si>
    <t xml:space="preserve">Mohammad Keshtkar</t>
  </si>
  <si>
    <t xml:space="preserve">Election Risk Pays Off for Shinzo Abe of Japan as Party Appears to Win Big https://t.co/r4eBZgEjJF</t>
  </si>
  <si>
    <t xml:space="preserve">https://t.co/dYkrPnSMxE https://t.co/LD9JaPddEL</t>
  </si>
  <si>
    <t xml:space="preserve">X Web Marketing</t>
  </si>
  <si>
    <t xml:space="preserve">Election Risk Pays Off for Shinzo Abe of Japan as Party Appears to Win Big https://t.co/RK1Po6tt2z</t>
  </si>
  <si>
    <t xml:space="preserve">GP Info Network</t>
  </si>
  <si>
    <t xml:space="preserve">Election Risk Pays Off for Shinzo Abe of Japan as Party Appears to Win Big https://t.co/lNe7wFVIBm</t>
  </si>
  <si>
    <t xml:space="preserve">Food lover. Internet scholar. Entrepreneur. Creator. Falls down a lot.</t>
  </si>
  <si>
    <t xml:space="preserve">C Burke Law Inc</t>
  </si>
  <si>
    <t xml:space="preserve">Election Risk Pays Off for Shinzo Abe of Japan as Party Appears to Win Big https://t.co/8DWDMWrUgd</t>
  </si>
  <si>
    <t xml:space="preserve">Problem solver. Bacon expert. Hipster-friendly writer. Alcohol ninja. Typical social media nerd. Reader. Evil student. Thinker.</t>
  </si>
  <si>
    <t xml:space="preserve">PSCI Media Inc</t>
  </si>
  <si>
    <t xml:space="preserve">Election Risk Pays Off for Shinzo Abe of Japan as Party Appears to Win Big https://t.co/O4ifa1eMIO</t>
  </si>
  <si>
    <t xml:space="preserve">Wannabe problem solver. Creator. Foodaholic. Professional twitter scholar. Freelance social media practitioner.</t>
  </si>
  <si>
    <t xml:space="preserve">LaVar’s Lost Son</t>
  </si>
  <si>
    <t xml:space="preserve">Toms River, NJ</t>
  </si>
  <si>
    <t xml:space="preserve">I was born hungry</t>
  </si>
  <si>
    <t xml:space="preserve">Soft Mobility Inc</t>
  </si>
  <si>
    <t xml:space="preserve">Election Risk Pays Off for Shinzo Abe of Japan as Party Appears to Win Big https://t.co/b8ZB1BeGcM</t>
  </si>
  <si>
    <t xml:space="preserve">jojo</t>
  </si>
  <si>
    <t xml:space="preserve">Shinzo Abe secures strong mandate in Japan's general election https://t.co/ThCMncPas9</t>
  </si>
  <si>
    <t xml:space="preserve">etudiante en science po, fan de hockey et du football</t>
  </si>
  <si>
    <t xml:space="preserve">Ely Gold's Minerals</t>
  </si>
  <si>
    <t xml:space="preserve">Election Risk Pays Off for Shinzo Abe of Japan as Party Appears to Win Big https://t.co/ER3fmRKrwN</t>
  </si>
  <si>
    <t xml:space="preserve">Friendly student. Zombie buff. Pop culture fanatic. Infuriatingly humble web guru.</t>
  </si>
  <si>
    <t xml:space="preserve">DSB General Info</t>
  </si>
  <si>
    <t xml:space="preserve">Election Risk Pays Off for Shinzo Abe of Japan as Party Appears to Win Big https://t.co/Ys1BtjqTzV</t>
  </si>
  <si>
    <t xml:space="preserve">Hardcore alcohol fan. Zombie expert. Thinker. Tv advocate. Twitter fanatic.</t>
  </si>
  <si>
    <t xml:space="preserve">Walker Clark LLC</t>
  </si>
  <si>
    <t xml:space="preserve">Election Risk Pays Off for Shinzo Abe of Japan as Party Appears to Win Big https://t.co/UpkzwwVZQW</t>
  </si>
  <si>
    <t xml:space="preserve">wherever our clients need us</t>
  </si>
  <si>
    <t xml:space="preserve">Business Advisors and Counselors to the Legal Profession</t>
  </si>
  <si>
    <t xml:space="preserve">WuKai</t>
  </si>
  <si>
    <t xml:space="preserve">Arizona</t>
  </si>
  <si>
    <t xml:space="preserve">News articles and tweeting at famous people.</t>
  </si>
  <si>
    <t xml:space="preserve">Ephraim Golgher</t>
  </si>
  <si>
    <t xml:space="preserve">RMH Media</t>
  </si>
  <si>
    <t xml:space="preserve">Election Risk Pays Off for Shinzo Abe of Japan as Party Appears to Win Big https://t.co/H2gWwHcDDw</t>
  </si>
  <si>
    <t xml:space="preserve">Wannabe social media ninja. Alcohol evangelist. Evil communicator. Lifelong internet advocate.</t>
  </si>
  <si>
    <t xml:space="preserve">Alexa_94</t>
  </si>
  <si>
    <t xml:space="preserve">Election Risk Pays Off for Shinzo Abe of Japan as Party Appears to Win Big https://t.co/mCXYEid0it https://t.co/tTnf3XgDTB</t>
  </si>
  <si>
    <t xml:space="preserve">Writer, Content Creator, eLearner, Net neutrality, Contributor @TheNextWeb @Huffpost and @@VPNBest</t>
  </si>
  <si>
    <t xml:space="preserve">SYL Info Hub</t>
  </si>
  <si>
    <t xml:space="preserve">Election Risk Pays Off for Shinzo Abe of Japan as Party Appears to Win Big https://t.co/QVaCQuOQfn</t>
  </si>
  <si>
    <t xml:space="preserve">Job Search</t>
  </si>
  <si>
    <t xml:space="preserve">Japan's Abe on track for landslide victory, exit polls show: Japanese Prime Minister Shinzo Abe appears on course…… https://t.co/754THSwiYR</t>
  </si>
  <si>
    <t xml:space="preserve">✨ New jobs Daily. ✨ Be First to Apply for the very latest Jobs. Tweeting Jobs from ★ http://t.co/KeWnGY6GRj ★ the #1 Most searched Job Site. #job #Jobs #hiring</t>
  </si>
  <si>
    <t xml:space="preserve">The Box Borough</t>
  </si>
  <si>
    <t xml:space="preserve">Election Risk Pays Off for Shinzo Abe of Japan as Party Appears to Win Big https://t.co/bkvI9gE4mw</t>
  </si>
  <si>
    <t xml:space="preserve">Proud music junkie. Total social media trailblazer. Internet expert. Certified zombie fanatic. Web practitioner.</t>
  </si>
  <si>
    <t xml:space="preserve">Japan's PM Shinzo Abe poised to win snap election https://t.co/y8EtJgNnnA</t>
  </si>
  <si>
    <t xml:space="preserve">RB Info Network</t>
  </si>
  <si>
    <t xml:space="preserve">Election Risk Pays Off for Shinzo Abe of Japan as Party Appears to Win Big https://t.co/gWruPfdFl0</t>
  </si>
  <si>
    <t xml:space="preserve">Writer. Amateur travel fanatic. Introvert. Lifelong social media aficionado. Future teen idol. Bacon specialist.</t>
  </si>
  <si>
    <t xml:space="preserve">BK Info Inc</t>
  </si>
  <si>
    <t xml:space="preserve">Election Risk Pays Off for Shinzo Abe of Japan as Party Appears to Win Big https://t.co/TJb28qHN8I</t>
  </si>
  <si>
    <t xml:space="preserve">Nigeria Info Org</t>
  </si>
  <si>
    <t xml:space="preserve">Election Risk Pays Off for Shinzo Abe of Japan as Party Appears to Win Big https://t.co/TdWD7FF0M9</t>
  </si>
  <si>
    <t xml:space="preserve">Extreme zombie advocate. Future teen idol. Web fanatic. Evil explorer. Bacon aficionado.</t>
  </si>
  <si>
    <t xml:space="preserve">Ultrascan HUMINT</t>
  </si>
  <si>
    <t xml:space="preserve">Japan's PM Shinzo Abe poised to win snap election: A resounding majority could pave the way… https://t.co/3BSsdJAW3w #terrorism #security</t>
  </si>
  <si>
    <t xml:space="preserve">Liaison Reliable Primary #HUMINT Sources - Money Laundering - Organized Crime and the Nexus Terrorism - #security #terrorism</t>
  </si>
  <si>
    <t xml:space="preserve">BFK Homes Inc</t>
  </si>
  <si>
    <t xml:space="preserve">Election Risk Pays Off for Shinzo Abe of Japan as Party Appears to Win Big https://t.co/aebCoG7fgR</t>
  </si>
  <si>
    <t xml:space="preserve">Lifelong gamer. Introvert. Organizer. Proud social media buff. Troublemaker. Writer.</t>
  </si>
  <si>
    <t xml:space="preserve">Japan's PM Shinzo Abe poised to win snap election: A resounding majority could pave the way for the Japanese leader… https://t.co/PEC1xSoFBC</t>
  </si>
  <si>
    <t xml:space="preserve">WR Partners Media</t>
  </si>
  <si>
    <t xml:space="preserve">Election Risk Pays Off for Shinzo Abe of Japan as Party Appears to Win Big https://t.co/sy48RnwHwM</t>
  </si>
  <si>
    <t xml:space="preserve">Shinzo Abe secures strong mandate in #Japan's general election: The Japanese prime minister’s hard line on North… https://t.co/IPqJiBzwSw</t>
  </si>
  <si>
    <t xml:space="preserve">PP Home Info Hub</t>
  </si>
  <si>
    <t xml:space="preserve">Election Risk Pays Off for Shinzo Abe of Japan as Party Appears to Win Big https://t.co/peQ9SRlDYP</t>
  </si>
  <si>
    <t xml:space="preserve">Creator. Social media lover. Coffee fanatic. Gamer. Internet scholar. Bacon evangelist. Hardcore travel nerd.</t>
  </si>
  <si>
    <t xml:space="preserve">B.Sethia</t>
  </si>
  <si>
    <t xml:space="preserve">Shinzo Abe secures strong mandate in Japan's general election https://t.co/HMWtgOJKNM</t>
  </si>
  <si>
    <t xml:space="preserve">Nation First RT not endorsement Follow Back</t>
  </si>
  <si>
    <t xml:space="preserve">Cheryl Batchelor</t>
  </si>
  <si>
    <t xml:space="preserve">Election Risk Pays Off for Shinzo Abe of Japan as Party Appears to Win Big via @NYTimes https://t.co/BlVQcnlFUd</t>
  </si>
  <si>
    <t xml:space="preserve">Passionate about democracy, the USA in all of her strength through diversity, our Const. &amp; the power of education &amp; opportunity to move lives forward</t>
  </si>
  <si>
    <t xml:space="preserve">newsbits</t>
  </si>
  <si>
    <t xml:space="preserve">New post (Election Risk Pays Off for Shinzo Abe of Japan as Party Appears to Win Big) has been published on Ne ... - https://t.co/qMQ6uAHmIJ</t>
  </si>
  <si>
    <t xml:space="preserve">News Bits</t>
  </si>
  <si>
    <t xml:space="preserve">Election Risk Pays Off for Shinzo Abe of #Japan as Party Appears to Win Big https://t.co/LZE5xRv0jo #WorldNews https://t.co/vapOMNwTpQ</t>
  </si>
  <si>
    <t xml:space="preserve">Pedro Silla</t>
  </si>
  <si>
    <t xml:space="preserve">Election Risk Pays Off for Shinzo Abe of Japan as Party Appears to Win Big https://t.co/SLxJEHqGPA https://t.co/YNK9qUM9WB</t>
  </si>
  <si>
    <t xml:space="preserve">ATRT Lucky Club</t>
  </si>
  <si>
    <t xml:space="preserve">Election Risk Pays Off for Shinzo Abe of Japan as Party Appears to Win Big https://t.co/lhIKhzIFQh</t>
  </si>
  <si>
    <t xml:space="preserve">MH Info Center</t>
  </si>
  <si>
    <t xml:space="preserve">Election Risk Pays Off for Shinzo Abe of Japan as Party Appears to Win Big https://t.co/TxcCq8ukoy</t>
  </si>
  <si>
    <t xml:space="preserve">Proud zombie lover. Hardcore food practitioner. Typical internet guru. Certified coffee advocate.</t>
  </si>
  <si>
    <t xml:space="preserve">Paw Park Sanford</t>
  </si>
  <si>
    <t xml:space="preserve">Election Risk Pays Off for Shinzo Abe of Japan as Party Appears to Win Big https://t.co/a5RpFM3Z73</t>
  </si>
  <si>
    <t xml:space="preserve">Elsa M Adunt Ent</t>
  </si>
  <si>
    <t xml:space="preserve">Election Risk Pays Off for Shinzo Abe of Japan as Party Appears to Win Big https://t.co/yVeJpuPD8O</t>
  </si>
  <si>
    <t xml:space="preserve">Troublemaker. Alcohol buff. Internet aficionado. Incurable analyst. Avid beeraholic. Thinker. Proud creator. Tv lover.</t>
  </si>
  <si>
    <t xml:space="preserve">はぐれハイラックス</t>
  </si>
  <si>
    <r>
      <rPr>
        <sz val="8"/>
        <rFont val="Noto Sans CJK SC Regular"/>
        <family val="2"/>
      </rPr>
      <t xml:space="preserve">ニュースザップを初期から全回視聴中／</t>
    </r>
    <r>
      <rPr>
        <sz val="8"/>
        <rFont val="Droid Sans"/>
        <family val="0"/>
        <charset val="1"/>
      </rPr>
      <t xml:space="preserve">BBC World News, CNNj</t>
    </r>
    <r>
      <rPr>
        <sz val="8"/>
        <rFont val="Noto Sans CJK SC Regular"/>
        <family val="2"/>
      </rPr>
      <t xml:space="preserve">の視聴者／</t>
    </r>
    <r>
      <rPr>
        <sz val="8"/>
        <rFont val="Droid Sans"/>
        <family val="0"/>
        <charset val="1"/>
      </rPr>
      <t xml:space="preserve">BBC Radio</t>
    </r>
    <r>
      <rPr>
        <sz val="8"/>
        <rFont val="Noto Sans CJK SC Regular"/>
        <family val="2"/>
      </rPr>
      <t xml:space="preserve">・</t>
    </r>
    <r>
      <rPr>
        <sz val="8"/>
        <rFont val="Droid Sans"/>
        <family val="0"/>
        <charset val="1"/>
      </rPr>
      <t xml:space="preserve">Podcast</t>
    </r>
    <r>
      <rPr>
        <sz val="8"/>
        <rFont val="Noto Sans CJK SC Regular"/>
        <family val="2"/>
      </rPr>
      <t xml:space="preserve">のリスナー／色々な英字雑誌･新聞の読者／リストを活用</t>
    </r>
  </si>
  <si>
    <t xml:space="preserve">RT Anon_Eu "Japan's PM Shinzo Abe poised to win snap election https://t.co/YwoYxoFiFf #Worldnews #News https://t.co/U5EEGRwKEY"</t>
  </si>
  <si>
    <t xml:space="preserve">RT Anon_Eu "Election Risk Pays Off for Shinzo Abe of #Japan as Party Appears to Win Big https://t.co/y3OPWYXemg #… https://t.co/bbUVX1hfZV"</t>
  </si>
  <si>
    <t xml:space="preserve">Pine Island Info Inc</t>
  </si>
  <si>
    <t xml:space="preserve">Election Risk Pays Off for Shinzo Abe of Japan as Party Appears to Win Big https://t.co/m6cmW7xnxe</t>
  </si>
  <si>
    <t xml:space="preserve">Certified creator. Internet expert. Travel lover. Troublemaker. Thinker. Social media fanatic.</t>
  </si>
  <si>
    <t xml:space="preserve">Shannon Upwall</t>
  </si>
  <si>
    <t xml:space="preserve">Election Risk Pays Off for Shinzo Abe of Japan as Party Appears to Win Big https://t.co/v33T5NYwe8 https://t.co/XHgH3va2Tb</t>
  </si>
  <si>
    <t xml:space="preserve">Hartford,CT,US</t>
  </si>
  <si>
    <t xml:space="preserve">Think like a person of action. Act like a person of thought. wish to be in France !!! dreaming ^</t>
  </si>
  <si>
    <t xml:space="preserve">Christian Schwarz</t>
  </si>
  <si>
    <t xml:space="preserve">Buenos Aires</t>
  </si>
  <si>
    <t xml:space="preserve">Argentino (1968- ), tilcareño (1969- )Profesor universitario (1993- ), vinculado a los medios (1994- ), surfer de la web (1995- ), blogger (2002- ).</t>
  </si>
  <si>
    <t xml:space="preserve">X Hibe Tech Inc</t>
  </si>
  <si>
    <t xml:space="preserve">Election Risk Pays Off for Shinzo Abe of Japan as Party Appears to Win Big https://t.co/S7mlgAe6jJ</t>
  </si>
  <si>
    <t xml:space="preserve">Lifelong beer advocate. Entrepreneur. Amateur explorer. Extreme coffee fan. Analyst. Professional twitter geek. Passionate music specialist. Creator.</t>
  </si>
  <si>
    <t xml:space="preserve">Nash Info Network</t>
  </si>
  <si>
    <t xml:space="preserve">Election Risk Pays Off for Shinzo Abe of Japan as Party Appears to Win Big https://t.co/A1b48ZUmvg</t>
  </si>
  <si>
    <t xml:space="preserve">Infuriatingly humble organizer. Certified student. General thinker. Evil bacon scholar.</t>
  </si>
  <si>
    <t xml:space="preserve">Browns Mill Gambling</t>
  </si>
  <si>
    <t xml:space="preserve">Election Risk Pays Off for Shinzo Abe of Japan as Party Appears to Win Big https://t.co/46c8bTNl6G</t>
  </si>
  <si>
    <t xml:space="preserve">SCT News Network</t>
  </si>
  <si>
    <t xml:space="preserve">Election Risk Pays Off for Shinzo Abe of Japan as Party Appears to Win Big https://t.co/EHMLahR4Em</t>
  </si>
  <si>
    <t xml:space="preserve">Frederick Frazier</t>
  </si>
  <si>
    <t xml:space="preserve">actor/writer/TimeLord/Boston Celtics/Arsenal FC/Real Oviedo CF/House Stark/LA Wolves FC</t>
  </si>
  <si>
    <t xml:space="preserve">Mary Rack</t>
  </si>
  <si>
    <t xml:space="preserve">Northville, Michigan</t>
  </si>
  <si>
    <t xml:space="preserve">IT enthusiast, love nature, space, the arts, history, travel, volunteering and real current events (not hype)</t>
  </si>
  <si>
    <t xml:space="preserve">Zicutake USA Comment</t>
  </si>
  <si>
    <t xml:space="preserve">[https://t.co/N9JIaTQpu4] Japan's PM Shinzo Abe poised to win snap election https://t.co/OB13k6peP6</t>
  </si>
  <si>
    <t xml:space="preserve">All right reserved. | zicutake@live.com</t>
  </si>
  <si>
    <t xml:space="preserve">• NYT: Election Risk Pays Off for Shinzo Abe of Japan as Party Appears to Win Big: Early… https://t.co/T8A5ttZrrk</t>
  </si>
  <si>
    <t xml:space="preserve">GoGeckomagazinew</t>
  </si>
  <si>
    <t xml:space="preserve">Shinzo Abe secures strong mandate in Japan's general election https://t.co/dnK5cTifds https://t.co/V3psJigcjF</t>
  </si>
  <si>
    <t xml:space="preserve">Steward Magazine</t>
  </si>
  <si>
    <t xml:space="preserve">Election Risk Pays Off for Shinzo Abe of Japan as Party Appears to Win Big https://t.co/lzNDzWE5AY</t>
  </si>
  <si>
    <t xml:space="preserve">passion. style. new guard.</t>
  </si>
  <si>
    <t xml:space="preserve">◦ NYT: Election Risk Pays Off for Shinzo Abe of Japan as Party Appears to Win Big https://t.co/LKnwukIe5s #japan</t>
  </si>
  <si>
    <t xml:space="preserve">Ekanem Etim-Offiong</t>
  </si>
  <si>
    <t xml:space="preserve">Gaurav Singh 🇮🇳</t>
  </si>
  <si>
    <t xml:space="preserve">Election Risk Pays Off for Shinzo Abe of Japan as Party Appears to Win Big https://t.co/N3w0a4wDEO https://t.co/zjx7bivWZG</t>
  </si>
  <si>
    <t xml:space="preserve">American News</t>
  </si>
  <si>
    <t xml:space="preserve">Shinzo Abe secures strong mandate in Japan's general election https://t.co/3TjgP0S3Na #TeamTrump https://t.co/AGSLolcvH7</t>
  </si>
  <si>
    <t xml:space="preserve">American NEWS</t>
  </si>
  <si>
    <t xml:space="preserve">Jim Carr</t>
  </si>
  <si>
    <t xml:space="preserve">Election Risk Pays Off for Shinzo Abe of Japan as Party Appears to Win Big https://t.co/BYnmyuZbU9 #nyt https://t.co/nDNOS2PniX</t>
  </si>
  <si>
    <t xml:space="preserve">SVP, Chief Digital Officer, Sr. Digital Strategist</t>
  </si>
  <si>
    <t xml:space="preserve">GL Courier</t>
  </si>
  <si>
    <t xml:space="preserve">Election Risk Pays Off for Shinzo Abe of Japan as Party Appears to Win Big https://t.co/cUN31E4eIg</t>
  </si>
  <si>
    <t xml:space="preserve">Music advocate. Friend of animals everywhere. Alcohol scholar. Zombie fan.</t>
  </si>
  <si>
    <t xml:space="preserve">GRN SEO Inc</t>
  </si>
  <si>
    <t xml:space="preserve">Election Risk Pays Off for Shinzo Abe of Japan as Party Appears to Win Big https://t.co/MQ7mAlU9Ve</t>
  </si>
  <si>
    <t xml:space="preserve">Hardcore beer fan. General bacon aficionado. Web evangelist. Lifelong music maven.</t>
  </si>
  <si>
    <t xml:space="preserve">Potter's Info Guild</t>
  </si>
  <si>
    <t xml:space="preserve">Election Risk Pays Off for Shinzo Abe of Japan as Party Appears to Win Big https://t.co/yG94N4ol8u</t>
  </si>
  <si>
    <t xml:space="preserve">What we think, we become.</t>
  </si>
  <si>
    <t xml:space="preserve">Emico.</t>
  </si>
  <si>
    <t xml:space="preserve">tokyo/Japan</t>
  </si>
  <si>
    <t xml:space="preserve">I am hair&amp;make-up artist and handicraft creater. I like travel,cooking,photograph. I can kimono styling maybe. I will do it open mind future thinking.</t>
  </si>
  <si>
    <t xml:space="preserve">CCW News Inc</t>
  </si>
  <si>
    <t xml:space="preserve">Election Risk Pays Off for Shinzo Abe of Japan as Party Appears to Win Big https://t.co/PvIOkbe8r1</t>
  </si>
  <si>
    <t xml:space="preserve">efrain lopez</t>
  </si>
  <si>
    <t xml:space="preserve">el salvador</t>
  </si>
  <si>
    <t xml:space="preserve">dicen que ser loco , nadie se fija en ti pero si tienes dinero no caven para saber de ti jaja , tu futuro es ahora,</t>
  </si>
  <si>
    <t xml:space="preserve">pufnotch</t>
  </si>
  <si>
    <t xml:space="preserve">JPN / The economy on Sunday too. / CANON "EOS M" / BRIDGESTONE "CYLVA FR16"</t>
  </si>
  <si>
    <t xml:space="preserve">Barack Obama</t>
  </si>
  <si>
    <t xml:space="preserve">Japan's PM Shinzo Abe poised to win snap election</t>
  </si>
  <si>
    <t xml:space="preserve">That means that all the people should be able to have their say in one way another in everything that affects their lives. whyAmerica, International, #Obama</t>
  </si>
  <si>
    <t xml:space="preserve">Election Risk Pays Off for Shinzo Abe of Japan as Party Appears to Win Big https://t.co/95wN8Am654</t>
  </si>
  <si>
    <t xml:space="preserve">McGinty Law Services</t>
  </si>
  <si>
    <t xml:space="preserve">Election Risk Pays Off for Shinzo Abe of Japan as Party Appears to Win Big https://t.co/D7tDEmpsVP</t>
  </si>
  <si>
    <t xml:space="preserve">Passionate problem solver. Social media aficionado. Food trailblazer. Twitter fan. Pop culture geek. Hipster-friendly alcohol enthusiast.</t>
  </si>
  <si>
    <t xml:space="preserve">LM Better Homes</t>
  </si>
  <si>
    <t xml:space="preserve">Election Risk Pays Off for Shinzo Abe of Japan as Party Appears to Win Big https://t.co/zbt1QVlSwj</t>
  </si>
  <si>
    <t xml:space="preserve">inkatha</t>
  </si>
  <si>
    <t xml:space="preserve">Zeppelin</t>
  </si>
  <si>
    <t xml:space="preserve">Milano, Lombardia</t>
  </si>
  <si>
    <t xml:space="preserve">Una rivista di politica internazionale. #droppingideas</t>
  </si>
  <si>
    <t xml:space="preserve">ST Media Inc</t>
  </si>
  <si>
    <t xml:space="preserve">Election Risk Pays Off for Shinzo Abe of Japan as Party Appears to Win Big https://t.co/7LMn1DRl2z</t>
  </si>
  <si>
    <t xml:space="preserve">Election Risk Pays Off for Shinzo Abe of Japan as Party Appears to Win Big https://t.co/QEbYB8N2rb</t>
  </si>
  <si>
    <t xml:space="preserve">Indrajit DAs</t>
  </si>
  <si>
    <t xml:space="preserve">The New York Times: Election Risk Pays Off for Shinzo Abe of Japan as Party Appears to Win Big https://t.co/WLHbP3UcqP</t>
  </si>
  <si>
    <t xml:space="preserve">Chandannagar, Hooghly</t>
  </si>
  <si>
    <t xml:space="preserve">hii</t>
  </si>
  <si>
    <t xml:space="preserve">NGB Community</t>
  </si>
  <si>
    <t xml:space="preserve">Election Risk Pays Off for Shinzo Abe of Japan as Party Appears to Win Big https://t.co/L4enTzSLyI</t>
  </si>
  <si>
    <t xml:space="preserve">ERS Health Inc</t>
  </si>
  <si>
    <t xml:space="preserve">Election Risk Pays Off for Shinzo Abe of Japan as Party Appears to Win Big https://t.co/6XOYJQG1Gy</t>
  </si>
  <si>
    <t xml:space="preserve">Konstantina Beleli</t>
  </si>
  <si>
    <t xml:space="preserve">communication consultant-journalist</t>
  </si>
  <si>
    <t xml:space="preserve">Shinzo Abe secures strong mandate in Japan's general election https://t.co/AoAHpc8Zdv</t>
  </si>
  <si>
    <t xml:space="preserve">NYT</t>
  </si>
  <si>
    <t xml:space="preserve">Election Risk Pays Off for Shinzo Abe of Japan as Party Appears to Win Big. https://t.co/sYMumeK9lO</t>
  </si>
  <si>
    <t xml:space="preserve">radio3.io</t>
  </si>
  <si>
    <t xml:space="preserve">Stories published by the NY Times via RSS. This flow is maintained by a server app written by @davewiner and has been running since 2007.</t>
  </si>
  <si>
    <t xml:space="preserve">Sun Nation/World</t>
  </si>
  <si>
    <t xml:space="preserve">Exit polls show win for Japanese PM Abe's ruling coalition https://t.co/19nOLthuqS https://t.co/elRRIhvNRA</t>
  </si>
  <si>
    <t xml:space="preserve">Baltimore, Md.</t>
  </si>
  <si>
    <t xml:space="preserve">Nation/world news from @BaltimoreSun, @BaltSunVisuals &amp; @Tronc staff. Reach us at newstips@baltimoresun.com or https://t.co/NrQDTYBkcn.</t>
  </si>
  <si>
    <t xml:space="preserve">赤い鎧</t>
  </si>
  <si>
    <t xml:space="preserve">JPN</t>
  </si>
  <si>
    <r>
      <rPr>
        <sz val="8"/>
        <rFont val="Noto Sans CJK SC Regular"/>
        <family val="2"/>
      </rPr>
      <t xml:space="preserve">惜しいサラリーマン 水どう、大泉洋と</t>
    </r>
    <r>
      <rPr>
        <sz val="8"/>
        <rFont val="Droid Sans"/>
        <family val="0"/>
        <charset val="1"/>
      </rPr>
      <t xml:space="preserve">Matthew David McConaughey</t>
    </r>
    <r>
      <rPr>
        <sz val="8"/>
        <rFont val="Noto Sans CJK SC Regular"/>
        <family val="2"/>
      </rPr>
      <t xml:space="preserve">、</t>
    </r>
    <r>
      <rPr>
        <sz val="8"/>
        <rFont val="Droid Sans"/>
        <family val="0"/>
        <charset val="1"/>
      </rPr>
      <t xml:space="preserve">teraminato</t>
    </r>
    <r>
      <rPr>
        <sz val="8"/>
        <rFont val="Noto Sans CJK SC Regular"/>
        <family val="2"/>
      </rPr>
      <t xml:space="preserve">さん贔屓</t>
    </r>
  </si>
  <si>
    <t xml:space="preserve">Nonstop news</t>
  </si>
  <si>
    <t xml:space="preserve">https://t.co/lCMrAiouMG Election Risk Pays Off for Shinzo Abe of Japan as Party Appears to Win Big… https://t.co/HYLqTNAZ8u</t>
  </si>
  <si>
    <t xml:space="preserve">Deals, Jobs, World News Aggregator.</t>
  </si>
  <si>
    <t xml:space="preserve">Omar Porro</t>
  </si>
  <si>
    <t xml:space="preserve">Journalist @GiornaleDiMonza | Author, editor and columnist of Eu &amp; international affairs @RivistaZeppelin | Political analyst ©</t>
  </si>
  <si>
    <t xml:space="preserve">👁(((MOSSAD)))👁</t>
  </si>
  <si>
    <t xml:space="preserve">Election Risk Pays Off for Shinzo Abe of Japan as Party Appears to Win Big - The New York Times https://t.co/GQ0l1HBFhN</t>
  </si>
  <si>
    <t xml:space="preserve">DIXIE</t>
  </si>
  <si>
    <t xml:space="preserve">CHRISTIAN ✝️TARHEEL👣PATRIOT🦅#MAGA-IN GOD WE TRUST ✝️ CONSTITUTION-BILL OF RIGHTS 🇺🇸 CHRISTIAN LIVES MATTER-2A-MOLON^LABE-THINBLUELINE-AMERICA 1ST-🗽🇺🇸🇮🇱</t>
  </si>
  <si>
    <t xml:space="preserve">ČAJKA</t>
  </si>
  <si>
    <r>
      <rPr>
        <sz val="8"/>
        <rFont val="Noto Sans CJK SC Regular"/>
        <family val="2"/>
      </rPr>
      <t xml:space="preserve">北沢とかドーナツとかそういうの。</t>
    </r>
    <r>
      <rPr>
        <sz val="8"/>
        <rFont val="Droid Sans"/>
        <family val="0"/>
        <charset val="1"/>
      </rPr>
      <t xml:space="preserve">as you were </t>
    </r>
    <r>
      <rPr>
        <sz val="8"/>
        <rFont val="Noto Sans CJK SC Regular"/>
        <family val="2"/>
      </rPr>
      <t xml:space="preserve">チャイカ。</t>
    </r>
    <r>
      <rPr>
        <sz val="8"/>
        <rFont val="Droid Sans"/>
        <family val="0"/>
        <charset val="1"/>
      </rPr>
      <t xml:space="preserve">(</t>
    </r>
    <r>
      <rPr>
        <sz val="8"/>
        <rFont val="Noto Sans CJK SC Regular"/>
        <family val="2"/>
      </rPr>
      <t xml:space="preserve">ととめす</t>
    </r>
    <r>
      <rPr>
        <sz val="8"/>
        <rFont val="Droid Sans"/>
        <family val="0"/>
        <charset val="1"/>
      </rPr>
      <t xml:space="preserve">)</t>
    </r>
  </si>
  <si>
    <t xml:space="preserve">Emma Jackson</t>
  </si>
  <si>
    <t xml:space="preserve">Japan election: Shinzo Abe's party likely to seize control in lower house https://t.co/9moSdLnYC5</t>
  </si>
  <si>
    <t xml:space="preserve">Author, freelancer, teacher. #Winnipeg born and raised! This is where I post things to make you smile, and also things that relate to your everyday life ♥</t>
  </si>
  <si>
    <t xml:space="preserve">Terence Choong</t>
  </si>
  <si>
    <t xml:space="preserve">CONGRATULATIONS Japan Prime Minister Shinzo Abe on winning the election Shinzo Abe has secured a strong mandate... https://t.co/503CNUHtpp</t>
  </si>
  <si>
    <t xml:space="preserve">Pengerusi JPP zon 4 Sepang</t>
  </si>
  <si>
    <t xml:space="preserve">dusuncekahvesi.org</t>
  </si>
  <si>
    <t xml:space="preserve">Düşünce ve İnsan-Sosyal Bilimler http://t.co/CW6QZ5WCJ6 Humanities and Social Sciences http://t.co/VyS3ZiU8Mc</t>
  </si>
  <si>
    <t xml:space="preserve">Tetsuya Kato</t>
  </si>
  <si>
    <t xml:space="preserve">Seto, Aichi</t>
  </si>
  <si>
    <r>
      <rPr>
        <sz val="8"/>
        <rFont val="Noto Sans CJK SC Regular"/>
        <family val="2"/>
      </rPr>
      <t xml:space="preserve">自らの小さな頭で考えたこと、感じたことなどをつぶやいています。 </t>
    </r>
    <r>
      <rPr>
        <sz val="8"/>
        <rFont val="Droid Sans"/>
        <family val="0"/>
        <charset val="1"/>
      </rPr>
      <t xml:space="preserve">1982</t>
    </r>
    <r>
      <rPr>
        <sz val="8"/>
        <rFont val="Noto Sans CJK SC Regular"/>
        <family val="2"/>
      </rPr>
      <t xml:space="preserve">年生まれ 射手座のＯ型 好きな人物：白洲次郎、杉原千畝 好きな言葉：</t>
    </r>
    <r>
      <rPr>
        <sz val="8"/>
        <rFont val="Droid Sans"/>
        <family val="0"/>
        <charset val="1"/>
      </rPr>
      <t xml:space="preserve">Principle</t>
    </r>
    <r>
      <rPr>
        <sz val="8"/>
        <rFont val="Noto Sans CJK SC Regular"/>
        <family val="2"/>
      </rPr>
      <t xml:space="preserve">、</t>
    </r>
    <r>
      <rPr>
        <sz val="8"/>
        <rFont val="Droid Sans"/>
        <family val="0"/>
        <charset val="1"/>
      </rPr>
      <t xml:space="preserve">Clementia</t>
    </r>
    <r>
      <rPr>
        <sz val="8"/>
        <rFont val="Noto Sans CJK SC Regular"/>
        <family val="2"/>
      </rPr>
      <t xml:space="preserve">（ラテン語：寛容）</t>
    </r>
  </si>
  <si>
    <t xml:space="preserve">michaelcollins</t>
  </si>
  <si>
    <t xml:space="preserve">Shinzo Abe secures strong mandate in Japan's general election https://t.co/Aq1HLuIxjW</t>
  </si>
  <si>
    <t xml:space="preserve">Disclaimer: Views expressed are personal. RTs do not equal endorsement.</t>
  </si>
  <si>
    <t xml:space="preserve">Alberto Allen</t>
  </si>
  <si>
    <t xml:space="preserve">#Japan #election, Shinzo Abe emerges stronger with win. https://t.co/F78lO1bufy</t>
  </si>
  <si>
    <t xml:space="preserve">WORLD, SPORTS, NEWS... AND INFORMATIONS Thx you follow me I youtube alberto costa allen</t>
  </si>
  <si>
    <t xml:space="preserve">James Minter</t>
  </si>
  <si>
    <t xml:space="preserve">Cheltenham &amp; St Chinian France</t>
  </si>
  <si>
    <t xml:space="preserve">An author helping parents turn a child's negative behaviour into positive outcome. #Free ebook https://t.co/gD5JdjH6Iz #SCBWI #ASMSG #Values</t>
  </si>
  <si>
    <r>
      <rPr>
        <sz val="8"/>
        <rFont val="Noto Sans CJK SC Regular"/>
        <family val="2"/>
      </rPr>
      <t xml:space="preserve">米山明日香 </t>
    </r>
    <r>
      <rPr>
        <sz val="8"/>
        <rFont val="Droid Sans"/>
        <family val="0"/>
        <charset val="1"/>
      </rPr>
      <t xml:space="preserve">Asuka Yoneyama</t>
    </r>
  </si>
  <si>
    <r>
      <rPr>
        <sz val="8"/>
        <rFont val="Noto Sans CJK SC Regular"/>
        <family val="2"/>
      </rPr>
      <t xml:space="preserve">日本 </t>
    </r>
    <r>
      <rPr>
        <sz val="8"/>
        <rFont val="Droid Sans"/>
        <family val="0"/>
        <charset val="1"/>
      </rPr>
      <t xml:space="preserve">Japan</t>
    </r>
  </si>
  <si>
    <r>
      <rPr>
        <sz val="8"/>
        <rFont val="Noto Sans CJK SC Regular"/>
        <family val="2"/>
      </rPr>
      <t xml:space="preserve">青山学院大学社会情報学部</t>
    </r>
    <r>
      <rPr>
        <sz val="8"/>
        <rFont val="Droid Sans"/>
        <family val="0"/>
        <charset val="1"/>
      </rPr>
      <t xml:space="preserve">/</t>
    </r>
    <r>
      <rPr>
        <sz val="8"/>
        <rFont val="Noto Sans CJK SC Regular"/>
        <family val="2"/>
      </rPr>
      <t xml:space="preserve">准教授</t>
    </r>
    <r>
      <rPr>
        <sz val="8"/>
        <rFont val="Droid Sans"/>
        <family val="0"/>
        <charset val="1"/>
      </rPr>
      <t xml:space="preserve">/</t>
    </r>
    <r>
      <rPr>
        <sz val="8"/>
        <rFont val="Noto Sans CJK SC Regular"/>
        <family val="2"/>
      </rPr>
      <t xml:space="preserve">英語音声学</t>
    </r>
    <r>
      <rPr>
        <sz val="8"/>
        <rFont val="Droid Sans"/>
        <family val="0"/>
        <charset val="1"/>
      </rPr>
      <t xml:space="preserve">/</t>
    </r>
    <r>
      <rPr>
        <sz val="8"/>
        <rFont val="Noto Sans CJK SC Regular"/>
        <family val="2"/>
      </rPr>
      <t xml:space="preserve">スピーチ</t>
    </r>
    <r>
      <rPr>
        <sz val="8"/>
        <rFont val="Droid Sans"/>
        <family val="0"/>
        <charset val="1"/>
      </rPr>
      <t xml:space="preserve">/</t>
    </r>
    <r>
      <rPr>
        <sz val="8"/>
        <rFont val="Noto Sans CJK SC Regular"/>
        <family val="2"/>
      </rPr>
      <t xml:space="preserve">時事英語</t>
    </r>
    <r>
      <rPr>
        <sz val="8"/>
        <rFont val="Droid Sans"/>
        <family val="0"/>
        <charset val="1"/>
      </rPr>
      <t xml:space="preserve">/</t>
    </r>
    <r>
      <rPr>
        <sz val="8"/>
        <rFont val="Noto Sans CJK SC Regular"/>
        <family val="2"/>
      </rPr>
      <t xml:space="preserve">大統領演説</t>
    </r>
    <r>
      <rPr>
        <sz val="8"/>
        <rFont val="Droid Sans"/>
        <family val="0"/>
        <charset val="1"/>
      </rPr>
      <t xml:space="preserve">/Associate Professor/Aoyama Gakuin University/Phonetics/Speech/PhD</t>
    </r>
  </si>
  <si>
    <t xml:space="preserve">The Times Times</t>
  </si>
  <si>
    <t xml:space="preserve">Election Risk Pays Off for #ShinzoAbe of #Japan as Party Appears to Win Big #PrimeMinister https://t.co/V2AO2Lp4Kz https://t.co/hAzXr6zUMW</t>
  </si>
  <si>
    <t xml:space="preserve">Lead Stories Feed Publisher</t>
  </si>
  <si>
    <t xml:space="preserve">Emerging news from newspapers with 'Times' in their names from around the globe.</t>
  </si>
  <si>
    <r>
      <rPr>
        <sz val="8"/>
        <rFont val="Droid Sans"/>
        <family val="0"/>
        <charset val="1"/>
      </rPr>
      <t xml:space="preserve">anonymous</t>
    </r>
    <r>
      <rPr>
        <sz val="8"/>
        <rFont val="Noto Sans CJK SC Regular"/>
        <family val="2"/>
      </rPr>
      <t xml:space="preserve">日本代表（自称）</t>
    </r>
  </si>
  <si>
    <r>
      <rPr>
        <sz val="8"/>
        <rFont val="Droid Sans"/>
        <family val="0"/>
        <charset val="1"/>
      </rPr>
      <t xml:space="preserve">We are anonymous. We are region. We do not forgive. We do not forget. Expect us. </t>
    </r>
    <r>
      <rPr>
        <sz val="8"/>
        <rFont val="Noto Sans CJK SC Regular"/>
        <family val="2"/>
      </rPr>
      <t xml:space="preserve">私達は匿名の軍団。私達は許さず、忘れはしない。待っているがいい。</t>
    </r>
  </si>
  <si>
    <t xml:space="preserve">Election Risk Pays Off for Shinzo Abe of Japan as Party Appears to Win Big https://t.co/jsAPjZoRpa</t>
  </si>
  <si>
    <t xml:space="preserve">Naren Ramakrishna</t>
  </si>
  <si>
    <t xml:space="preserve">Kuala Lumpur, Malaysia</t>
  </si>
  <si>
    <t xml:space="preserve">Malaysian, Indian and everything in between. Energy industry professional. Very Right of Centre</t>
  </si>
  <si>
    <t xml:space="preserve">Manuco</t>
  </si>
  <si>
    <t xml:space="preserve">Election Risk Pays Off for Shinzo Abe of Japan as Party Appears to Win Big https://t.co/Xk71HLmO3B</t>
  </si>
  <si>
    <t xml:space="preserve">Pensando donde ir</t>
  </si>
  <si>
    <t xml:space="preserve">Banner design. Advisor to foreigners on Outdoor advertising. Carteles asesoramos a extranjeros</t>
  </si>
  <si>
    <t xml:space="preserve">Edson Kura</t>
  </si>
  <si>
    <t xml:space="preserve">Engenheiro Nuclear, Carioca por opção e Flamengo por convicção</t>
  </si>
  <si>
    <t xml:space="preserve">Augusto Amato</t>
  </si>
  <si>
    <t xml:space="preserve">Shinzo Abe secures strong mandate in Japan's general election https://t.co/P332x6HlUq</t>
  </si>
  <si>
    <t xml:space="preserve">Rome</t>
  </si>
  <si>
    <t xml:space="preserve">Doctor Anaesthetist immersed in Pharmacology. Sport, Travel, Arts my passions. Interested in Politics</t>
  </si>
  <si>
    <t xml:space="preserve">Andy Laub</t>
  </si>
  <si>
    <t xml:space="preserve">Japan election: Shinzo Abe projected to win - The Washington Post https://t.co/jV46WVXSWu</t>
  </si>
  <si>
    <t xml:space="preserve">Liberal Internationalist, North Korea watcher, anti-Trump @YPFPNY, @NYCGA, all tweets are my own.</t>
  </si>
  <si>
    <t xml:space="preserve">Chicago oGoing</t>
  </si>
  <si>
    <t xml:space="preserve">Exit polls show win for Japanese PM Abe's ruling coalition - Chicago Tribune https://t.co/cPm5l87GiS Go Local… https://t.co/wrhGiX8gF2</t>
  </si>
  <si>
    <t xml:space="preserve">Chicago, IL, USA</t>
  </si>
  <si>
    <t xml:space="preserve">What's going on Chicago? Share your story on America's leading local business network. Go here: https://t.co/cFarN5LoVP #smallbiz #SEO #marketing</t>
  </si>
  <si>
    <t xml:space="preserve">Polls have closed in Japan's snap election and Prime Minister Shinzo Abe appears poised to win a third term.…… https://t.co/c2U0Pkccor</t>
  </si>
  <si>
    <t xml:space="preserve">Candy B. Sexy1</t>
  </si>
  <si>
    <t xml:space="preserve">Candy Land, WI</t>
  </si>
  <si>
    <t xml:space="preserve">I Luv my Sports &amp; most genres of Music. Moreover, I luv a good laugh.Tryn 2 b a better Queen than I was yesterday. Mantra: Nothing changes, if nothing changes.</t>
  </si>
  <si>
    <t xml:space="preserve">Japan PM Shinzo Abe’s ruling bloc on track for big win in election: TV exit polls.. https://t.co/3jrdj4oJ56</t>
  </si>
  <si>
    <t xml:space="preserve">David D. Griffin</t>
  </si>
  <si>
    <t xml:space="preserve">RT @magnifyk: "Election Risk Pays Off for Shinzo Abe of Japan as Party Appears to Win Big" by MOTOKO RICH via NYT The New York T… https://t…</t>
  </si>
  <si>
    <t xml:space="preserve">(((Eagle eye)))</t>
  </si>
  <si>
    <t xml:space="preserve">Election Risk Pays Off for Shinzo Abe of Japan as Party Appears 2Win with Big Big two-thirds majority seats in the Lower house:NHK Exit Poll</t>
  </si>
  <si>
    <t xml:space="preserve">Always on move..</t>
  </si>
  <si>
    <t xml:space="preserve">A Patriot by heart &amp; an Investigator by profession. Want to see the world free of Illiteracy, Hunger &amp; Pain before I die. Bhagwat Gita is my true inspiration!🇮🇳</t>
  </si>
  <si>
    <t xml:space="preserve">News SummedUp USA</t>
  </si>
  <si>
    <t xml:space="preserve">Election Risk Pays Off for Shinzo Abe of Japan as Party Appears to Win Big https://t.co/vQ7flcKufm</t>
  </si>
  <si>
    <t xml:space="preserve">Japan’s PM Shinzo Abe poised to win snap election https://t.co/LI5rPTduCw https://t.co/gkuFHyRia6</t>
  </si>
  <si>
    <t xml:space="preserve">IKEDATAKUYA127</t>
  </si>
  <si>
    <t xml:space="preserve">Ezekiel 25:17</t>
  </si>
  <si>
    <r>
      <rPr>
        <sz val="8"/>
        <rFont val="Droid Sans"/>
        <family val="0"/>
        <charset val="1"/>
      </rPr>
      <t xml:space="preserve">How's going? Things I like are architects, art, book, coffee, craft beer, culture, English, idol, Japan, laundry, México, movie, trip, USA etc.</t>
    </r>
    <r>
      <rPr>
        <sz val="8"/>
        <rFont val="Noto Sans CJK SC Regular"/>
        <family val="2"/>
      </rPr>
      <t xml:space="preserve">アメリカ人よりの純日本人 </t>
    </r>
    <r>
      <rPr>
        <sz val="8"/>
        <rFont val="Droid Sans"/>
        <family val="0"/>
        <charset val="1"/>
      </rPr>
      <t xml:space="preserve">:)</t>
    </r>
  </si>
  <si>
    <t xml:space="preserve">Gabriell Pellegrini</t>
  </si>
  <si>
    <t xml:space="preserve">Tokyo and Nagoya, Japan</t>
  </si>
  <si>
    <t xml:space="preserve">international news, politics, economy, environment, animals, travel, road bike, rugby, fashion, food and wine. Retweet is not my endorsement.</t>
  </si>
  <si>
    <t xml:space="preserve">Signify</t>
  </si>
  <si>
    <t xml:space="preserve">Initiating a race to the top. Data science consultancy intent on connecting positive campaign messaging to real issues and conversation.</t>
  </si>
  <si>
    <t xml:space="preserve">impetus_yamada</t>
  </si>
  <si>
    <t xml:space="preserve">債権回収、不動産関連を経て現在は介護分野の仕事に関わるロスジェネ世代。</t>
  </si>
  <si>
    <t xml:space="preserve">JAKL</t>
  </si>
  <si>
    <t xml:space="preserve">HJMP</t>
  </si>
  <si>
    <t xml:space="preserve">Election Risk Pays Off for Shinzo Abe of Japan as Party Appears to Win Big https://t.co/VGAgaL9kkn</t>
  </si>
  <si>
    <t xml:space="preserve">Fehreen96</t>
  </si>
  <si>
    <t xml:space="preserve">Shinzo Abe's party on road to victory in Japan's elections, early projections show https://t.co/nHIhqYsI6Y</t>
  </si>
  <si>
    <t xml:space="preserve">RT: @nytimesworld :Shinzo Abe's party on road to victory in Japan's elections, early projections show https://t.co/gT0YqdJX1m</t>
  </si>
  <si>
    <t xml:space="preserve">Pong.Ma</t>
  </si>
  <si>
    <t xml:space="preserve">Lampang, Thailand</t>
  </si>
  <si>
    <t xml:space="preserve">- ควรมิควรแล้วแต่จะโปรด - || - In Remembrance of His Majesty The Late King - ||</t>
  </si>
  <si>
    <t xml:space="preserve">COTONAM</t>
  </si>
  <si>
    <t xml:space="preserve">I study English.</t>
  </si>
  <si>
    <t xml:space="preserve">DennisEcon101Jones</t>
  </si>
  <si>
    <t xml:space="preserve">Kingston, Jamaica</t>
  </si>
  <si>
    <t xml:space="preserve">THINKER; ex-IMF ECONOMIST, ex-FOREX trader, blogger/vlogger, columnist, golfer, stay-home parent, orchid grower, gardener, football coach &amp; referee, QPR fan</t>
  </si>
  <si>
    <t xml:space="preserve">Marcus Foo</t>
  </si>
  <si>
    <t xml:space="preserve">RT @nytimesworld: Shinzo Abe's party on road to victory in Japan's elections, early projections show https://t.co/nHIhqYsI6Y</t>
  </si>
  <si>
    <t xml:space="preserve">Perth, Western Australia</t>
  </si>
  <si>
    <t xml:space="preserve">Young Conservative Monarchist from Australia, Proud #OneNation, President Trump, FN, NZFirst &amp; #Brexit supporter. Love Opera, Kingdom Hearts &amp; Animals.</t>
  </si>
  <si>
    <r>
      <rPr>
        <sz val="8"/>
        <rFont val="Droid Sans"/>
        <family val="0"/>
        <charset val="1"/>
      </rPr>
      <t xml:space="preserve">Hadesuwu </t>
    </r>
    <r>
      <rPr>
        <sz val="8"/>
        <rFont val="Noto Sans CJK SC Regular"/>
        <family val="2"/>
      </rPr>
      <t xml:space="preserve">人</t>
    </r>
    <r>
      <rPr>
        <sz val="8"/>
        <rFont val="Droid Sans"/>
        <family val="0"/>
        <charset val="1"/>
      </rPr>
      <t xml:space="preserve">( •̀ω•́)</t>
    </r>
    <r>
      <rPr>
        <sz val="8"/>
        <rFont val="Noto Sans CJK SC Regular"/>
        <family val="2"/>
      </rPr>
      <t xml:space="preserve">人</t>
    </r>
  </si>
  <si>
    <t xml:space="preserve">Tiānxià</t>
  </si>
  <si>
    <r>
      <rPr>
        <sz val="8"/>
        <rFont val="Droid Sans"/>
        <family val="0"/>
        <charset val="1"/>
      </rPr>
      <t xml:space="preserve">I'm on a journey to save the world! Let's make it showy. </t>
    </r>
    <r>
      <rPr>
        <sz val="8"/>
        <rFont val="Noto Sans CJK SC Regular"/>
        <family val="2"/>
      </rPr>
      <t xml:space="preserve">我輩は</t>
    </r>
    <r>
      <rPr>
        <sz val="8"/>
        <rFont val="Droid Sans"/>
        <family val="0"/>
        <charset val="1"/>
      </rPr>
      <t xml:space="preserve">@Sarusaruwu</t>
    </r>
    <r>
      <rPr>
        <sz val="8"/>
        <rFont val="Noto Sans CJK SC Regular"/>
        <family val="2"/>
      </rPr>
      <t xml:space="preserve">を心殺した。</t>
    </r>
  </si>
  <si>
    <t xml:space="preserve">Really Great Things</t>
  </si>
  <si>
    <t xml:space="preserve">Election Risk Pays Off for Shinzo Abe of Japan as Party Appears to Win Big https://t.co/43KTqwBvsz</t>
  </si>
  <si>
    <t xml:space="preserve">Some Really Great Things. #news #facts #greatthings somereallygreatthings@gmail.com</t>
  </si>
  <si>
    <t xml:space="preserve">Happening Bham</t>
  </si>
  <si>
    <t xml:space="preserve">Election Risk Pays Off for Shinzo Abe of Japan as Party Appears to Win Big https://t.co/5MgkLuR7l7</t>
  </si>
  <si>
    <t xml:space="preserve">Birmingham, Alabama</t>
  </si>
  <si>
    <t xml:space="preserve">Your Information resource for Birmingham, AL (news, events, deals, &amp; more) Download our FREE App (What's Happening Birmingham) on iPhone, iPad &amp; Android!</t>
  </si>
  <si>
    <t xml:space="preserve">lourdes</t>
  </si>
  <si>
    <t xml:space="preserve">Japan's Abe on track for landslide victory - Japanese Prime Minister Shinzo Abe appears on course to win a deci... https://t.co/QFDcc39tZ2</t>
  </si>
  <si>
    <t xml:space="preserve">bobo</t>
  </si>
  <si>
    <t xml:space="preserve">RETWEETERS</t>
  </si>
  <si>
    <t xml:space="preserve">BrownsNTS</t>
  </si>
  <si>
    <t xml:space="preserve">Headlines Election Risk Pays Off for Shinzo Abe of Japan as Party Appears to Win Big https://t.co/K0JmMc4vFf</t>
  </si>
  <si>
    <t xml:space="preserve">Election Risk Pays Off for Shinzo Abe of Japan as Party Appears to Win Big https://t.co/XxDmzEqNzm</t>
  </si>
  <si>
    <t xml:space="preserve">Election Risk Pays Off for Shinzo Abe of Japan as Party Appears to Win Big https://t.co/LqUidhw4eQ</t>
  </si>
  <si>
    <t xml:space="preserve">Japan's Abe on track for landslide victory - Japanese Prime Minister Shinzo Abe appears on course to win a deci... https://t.co/1D08SsDupI</t>
  </si>
  <si>
    <t xml:space="preserve">💫SαLeeh♂💫</t>
  </si>
  <si>
    <t xml:space="preserve">Adamawa, Nigeria</t>
  </si>
  <si>
    <t xml:space="preserve">⚽Official Twitter ⚽Account Of ⚽SαLeeh Muhαmmed SαLeeh Damare⚽ https://t.co/T1LL6fxURF ⚽ https://t.co/NkJYFB8MC4 ⚽ Team @Barcelona</t>
  </si>
  <si>
    <t xml:space="preserve">TODAY'S TURKEY 🇹🇷</t>
  </si>
  <si>
    <t xml:space="preserve">#July15 #July15th #RealNews hate #FakeNews Press Freedom, Free Speech, Human Rights, Equality, Democracy, Education, Turkey, Turkish &amp; FUN</t>
  </si>
  <si>
    <t xml:space="preserve">maruko54</t>
  </si>
  <si>
    <t xml:space="preserve">Election Risk Pays Off for Shinzo Abe of Japan as Party Appears to Win Big https://t.co/ZAPQnQ5YJJ</t>
  </si>
  <si>
    <t xml:space="preserve">An ordinary housewife.</t>
  </si>
  <si>
    <t xml:space="preserve">nytimesworld: Shinzo Abe's party on road to victory in Japan's elections, early projections show https://t.co/nz25S3ibm3 #arrobin</t>
  </si>
  <si>
    <t xml:space="preserve">Kimesh Chudasma</t>
  </si>
  <si>
    <t xml:space="preserve">love traveling. meeting with new people. making new friends. watching movies . music . sports . games work and enjoy life</t>
  </si>
  <si>
    <t xml:space="preserve">Watchlatestnews</t>
  </si>
  <si>
    <t xml:space="preserve">Japan PM Shinzo Abe Looking Like Big Election Winner https://t.co/zae6cCDyIZ https://t.co/L16AIba3Aw</t>
  </si>
  <si>
    <t xml:space="preserve">Watchnews</t>
  </si>
  <si>
    <t xml:space="preserve">Karthik Srinivasan</t>
  </si>
  <si>
    <t xml:space="preserve">Chennai</t>
  </si>
  <si>
    <t xml:space="preserve">India First.Gita.Ganga.Gandhi.Vivekananda.Ramana.Hinduism.Advaita.Shankara.Chandrasekara Saraswathi !</t>
  </si>
  <si>
    <r>
      <rPr>
        <sz val="8"/>
        <rFont val="Noto Sans CJK SC Regular"/>
        <family val="2"/>
      </rPr>
      <t xml:space="preserve">박현♡</t>
    </r>
    <r>
      <rPr>
        <sz val="8"/>
        <rFont val="Droid Sans"/>
        <family val="0"/>
        <charset val="1"/>
      </rPr>
      <t xml:space="preserve">เตงุนน่ารักจุง</t>
    </r>
  </si>
  <si>
    <t xml:space="preserve">Bd43_04_11 CU99 ฬ58</t>
  </si>
  <si>
    <r>
      <rPr>
        <sz val="8"/>
        <rFont val="Droid Sans"/>
        <family val="0"/>
        <charset val="1"/>
      </rPr>
      <t xml:space="preserve">| #Exo #ChanBaek🐶 กบฎ #HunBaek😈 #SUHO🐰 #SEHUN🐥 #OT9 | #TVXQ #5 </t>
    </r>
    <r>
      <rPr>
        <sz val="8"/>
        <rFont val="Noto Sans CJK SC Regular"/>
        <family val="2"/>
      </rPr>
      <t xml:space="preserve">ㅣ </t>
    </r>
    <r>
      <rPr>
        <sz val="8"/>
        <rFont val="Droid Sans"/>
        <family val="0"/>
        <charset val="1"/>
      </rPr>
      <t xml:space="preserve">#BlackPink #ROSÉ🌹 | #NCT #Yuta🍣 #Taeyong🐺 | 💕 @weareoneEXO 💕🚫interArmy🚫</t>
    </r>
  </si>
  <si>
    <t xml:space="preserve">Election Risk Pays Off for Shinzo Abe of Japan as Party Appears to Win Big https://t.co/aOX1OTJWxP</t>
  </si>
  <si>
    <t xml:space="preserve"># NIGGA PLS #BMT</t>
  </si>
  <si>
    <t xml:space="preserve"># asia #21 #stay cool</t>
  </si>
  <si>
    <t xml:space="preserve">serving the nation, book out on fri and book in on sun's every wk #army life 🙁 # till dec 9. Will tweet occasionally when I have the time as I am in camp.</t>
  </si>
  <si>
    <t xml:space="preserve">The News</t>
  </si>
  <si>
    <t xml:space="preserve">Japan's PM Shinzo Abe poised to win snap election https://t.co/bAJrskTHSP https://t.co/hefVKvqzr6</t>
  </si>
  <si>
    <t xml:space="preserve">Breaking news alerts and updates around the Globe exploring from Continent to Continent, Country to country</t>
  </si>
  <si>
    <t xml:space="preserve">John Antos</t>
  </si>
  <si>
    <t xml:space="preserve">Shinzo Abe secures strong mandate in Japan's general election https://t.co/bTveckF0dT #Japan #economics</t>
  </si>
  <si>
    <t xml:space="preserve">New York City / Singapore </t>
  </si>
  <si>
    <t xml:space="preserve">Asia Pacific strategy &amp; marketing head @adp. #futureofwork, #hcm, #innovation, #strategy, #creativity make a better world. Views are my own, not my employer's.</t>
  </si>
  <si>
    <t xml:space="preserve">incipit</t>
  </si>
  <si>
    <t xml:space="preserve">"Election Risk Pays Off for Shinzo Abe of Japan as Party Appears to Win Big" by MOTOKO RICH via NYT The New York T… https://t.co/TWxTSPL3DR</t>
  </si>
  <si>
    <t xml:space="preserve">Playing for supremicy</t>
  </si>
  <si>
    <t xml:space="preserve">RT @sethia_b: Shinzo Abe secures strong mandate in Japan's general election https://t.co/HMWtgOJKNM</t>
  </si>
  <si>
    <t xml:space="preserve">The Informer</t>
  </si>
  <si>
    <t xml:space="preserve">Election Risk Pays Off for Shinzo Abe of Japan as Party Appears to Win Big https://t.co/HJVk2FRGCT https://t.co/Hh9Z2PumLT</t>
  </si>
  <si>
    <t xml:space="preserve">The lnformer</t>
  </si>
  <si>
    <t xml:space="preserve">#Breaking #news, #currentaffairs, #Analysis. We are working for you to be informed</t>
  </si>
  <si>
    <t xml:space="preserve">mofmof_words</t>
  </si>
  <si>
    <r>
      <rPr>
        <sz val="8"/>
        <rFont val="Noto Sans CJK SC Regular"/>
        <family val="2"/>
      </rPr>
      <t xml:space="preserve">北関東をうろつく本と美術が好きな忍者。</t>
    </r>
    <r>
      <rPr>
        <sz val="8"/>
        <rFont val="Droid Sans"/>
        <family val="0"/>
        <charset val="1"/>
      </rPr>
      <t xml:space="preserve">2017</t>
    </r>
    <r>
      <rPr>
        <sz val="8"/>
        <rFont val="Noto Sans CJK SC Regular"/>
        <family val="2"/>
      </rPr>
      <t xml:space="preserve">年の目標は、集中すること、そして考えを言葉にして伝えること。</t>
    </r>
  </si>
  <si>
    <t xml:space="preserve">Alexandra</t>
  </si>
  <si>
    <t xml:space="preserve">The issue at stake in #Japan. Shinzo Abe's party appears to have won a majority. https://t.co/aCzOgElqNq</t>
  </si>
  <si>
    <t xml:space="preserve">Bruxelles, Belgique</t>
  </si>
  <si>
    <t xml:space="preserve">Addicted to politics and international relations, globetrotter, both dreamer and doer in international development. Young professional based in Brussels</t>
  </si>
  <si>
    <t xml:space="preserve">PMLN (USA)</t>
  </si>
  <si>
    <t xml:space="preserve">Election Risk Pays Off for Shinzo Abe of Japan as Party Appears to Win Big https://t.co/cna6gvKrWM</t>
  </si>
  <si>
    <t xml:space="preserve">Secretary Information PML(N) USA</t>
  </si>
  <si>
    <t xml:space="preserve">Khuram Waqas</t>
  </si>
  <si>
    <t xml:space="preserve">I am nothing in this world and I have my own world. I am ordinary in extraordinary way &amp; everything I have is the blessings of GOD upon me.</t>
  </si>
  <si>
    <t xml:space="preserve">aw90aw</t>
  </si>
  <si>
    <t xml:space="preserve">HPadale</t>
  </si>
  <si>
    <t xml:space="preserve">Maharashtra, India</t>
  </si>
  <si>
    <t xml:space="preserve">Nobuhiro Hakojima</t>
  </si>
  <si>
    <t xml:space="preserve">Always Look on the Bright Side of Life.</t>
  </si>
  <si>
    <t xml:space="preserve">Tobi</t>
  </si>
  <si>
    <t xml:space="preserve">Cool, Calm and Collected..that's me. #Engineer #ManchesterUnited #Islam IG - tobibus2000</t>
  </si>
  <si>
    <t xml:space="preserve">Rob Beard</t>
  </si>
  <si>
    <t xml:space="preserve">Keeping friends and the curious updated on my comings and goings. Restarting a career as a Realtor. Maybe getting a little political. Retweet =/= endorsement.</t>
  </si>
  <si>
    <t xml:space="preserve">Ishu yaduvandu</t>
  </si>
  <si>
    <t xml:space="preserve"> 🌍</t>
  </si>
  <si>
    <t xml:space="preserve">Interested in international affairs</t>
  </si>
  <si>
    <t xml:space="preserve">CAPEurope</t>
  </si>
  <si>
    <t xml:space="preserve">Election Risk Pays Off for #ShinzoAbe of #Japan as Party Appears to Win Big https://t.co/xUOhtDbuPZ</t>
  </si>
  <si>
    <t xml:space="preserve">Centre d'Analyse de la Politique Etrangère (CAPE)- think tank for promotion of the EU as a leading force in international events https://t.co/XrKxVpg5AT</t>
  </si>
  <si>
    <t xml:space="preserve">Chris Wolf</t>
  </si>
  <si>
    <t xml:space="preserve">Japan election: Shinzo Abe's party likely to seize control in lower house https://t.co/2h3yx4HBZO via the @FoxNews Android app</t>
  </si>
  <si>
    <t xml:space="preserve">🇺🇸🇺🇸 Vet: Psycho-Socialists (Bernie Supporters) not welcomed. America stands ready to take back our country!#MAGA #FakeNewsIndustrialComplex</t>
  </si>
  <si>
    <t xml:space="preserve">serge eric</t>
  </si>
  <si>
    <t xml:space="preserve">New-York</t>
  </si>
  <si>
    <t xml:space="preserve">Investment consultant | serial entrepreneur career shifter Innovation·digital·startup·economy·news junkie · enjoyer of life | Wine lover | NY-Berlin</t>
  </si>
  <si>
    <t xml:space="preserve">Silvia Velazquez</t>
  </si>
  <si>
    <t xml:space="preserve">Mexico, DF</t>
  </si>
  <si>
    <t xml:space="preserve">Buscando Syndicat et sexualité, Unions and sexuality, Sindicalismo y sexualidad. Movimientos estudiantiles. CGH. Studiantil movement</t>
  </si>
  <si>
    <t xml:space="preserve">Samantha</t>
  </si>
  <si>
    <t xml:space="preserve">Huntington Beach, Ca</t>
  </si>
  <si>
    <t xml:space="preserve">Slimane Tirera</t>
  </si>
  <si>
    <t xml:space="preserve">Le Monde Chico</t>
  </si>
  <si>
    <t xml:space="preserve">DG @Radio_NewVO | #ComPol #Europe #Politics #HipHop #Logement #Urbanisme #Journalisme #Fraternité #Afrique #Japon #Epinay | @JeunesseEnMouv | @somouv</t>
  </si>
  <si>
    <t xml:space="preserve">PolticsNewz: Election Risk Pays Off for Shinzo Abe of Japan as Party Appears to Win Big https://t.co/fpgx06UXxz</t>
  </si>
  <si>
    <t xml:space="preserve">lettuce</t>
  </si>
  <si>
    <t xml:space="preserve">囲いのある町</t>
  </si>
  <si>
    <t xml:space="preserve">Epic of Gilgamesh (standerd Babylonian). Bibliophile. Learning; English, German, maths &amp; computer science.</t>
  </si>
  <si>
    <t xml:space="preserve">Pauline</t>
  </si>
  <si>
    <t xml:space="preserve">Election Risk Pays Off for Shinzo Abe of Japan as Party Appears to Win Big https://t.co/cCWL9B28V1</t>
  </si>
  <si>
    <t xml:space="preserve">New York, USA&amp;London,England </t>
  </si>
  <si>
    <t xml:space="preserve">Mother, Nurse, Activist, Catholic, Democrat, Really🇺🇸,Bernie Sanders' https://t.co/DB6UmXuHRP &amp; Women's March https://t.co/FBPKwURHjG. DNC,ACLU, UNCF &amp; CCD Member.</t>
  </si>
  <si>
    <t xml:space="preserve">newsvideos</t>
  </si>
  <si>
    <t xml:space="preserve">Japan PM Shinzo Abe Looking Like Big Election Winner https://t.co/EdLGvWCdS8 https://t.co/Z3PGI98AlC</t>
  </si>
  <si>
    <t xml:space="preserve">news_vids_com</t>
  </si>
  <si>
    <t xml:space="preserve">Shinzo Abe secures strong mandate in Japan's general election https://t.co/oYedspnmFz</t>
  </si>
  <si>
    <t xml:space="preserve">Mark Cicero</t>
  </si>
  <si>
    <t xml:space="preserve">Japan's PM Shinzo Abe poised to win snap election https://t.co/OM5GNSJZYk #Occupy #OWS #occupywallstreet #OccupyHQ #OccupyInfo #OWSinfo #R…</t>
  </si>
  <si>
    <t xml:space="preserve">#Truth #Freedom #Infowars #Propaganda #Revolution #Occupy #1984 #PKD #Shaman http://t.co/S3xj8l7zWd</t>
  </si>
  <si>
    <t xml:space="preserve">https://t.co/lCMrAiouMG Japan's Abe on track for landslide victory: Japanese Prime Minister Shinzo… https://t.co/FBJTXhifXg</t>
  </si>
  <si>
    <t xml:space="preserve">Japan's PM Shinzo Abe poised to win snap election https://t.co/OM5GNSJZYk #Occupy #OWS #occupywallstreet... https://t.co/blVafJwn98</t>
  </si>
  <si>
    <t xml:space="preserve">#AJ-ENG: Japan's PM Shinzo Abe poised to win snap election: A resounding majority could… https://t.co/rnMQasuBLt</t>
  </si>
  <si>
    <t xml:space="preserve">WorldWideWeb</t>
  </si>
  <si>
    <t xml:space="preserve">This Newsagregator is still under Deveolpment - more Infos visit our blog!</t>
  </si>
  <si>
    <t xml:space="preserve">SAVE THE EARTH</t>
  </si>
  <si>
    <t xml:space="preserve">Japan's PM Shinzo Abe poised to win snap election: A resounding majority could pave… https://t.co/9dkiLe1aHm #news</t>
  </si>
  <si>
    <t xml:space="preserve">This tweets are collected from Ecology Activism sites. The time for saving the planet is NOW. Re-Tweet, name us, recommend us, help spreading the word.</t>
  </si>
  <si>
    <t xml:space="preserve">Rhojo-Joe</t>
  </si>
  <si>
    <t xml:space="preserve">Uganda</t>
  </si>
  <si>
    <t xml:space="preserve">Thank God 4 who I am</t>
  </si>
  <si>
    <t xml:space="preserve">Baba Bakhabar</t>
  </si>
  <si>
    <t xml:space="preserve">Shinzo Abe sweeps to a comfortable victory in Japan snap election – World https://t.co/ZfqSAgxcoA https://t.co/oDKUs1WiHg</t>
  </si>
  <si>
    <t xml:space="preserve">A proud member of #PTIFamily. Struggling for a better Pakistan for my future generation.</t>
  </si>
  <si>
    <t xml:space="preserve">Tajamulfayaz</t>
  </si>
  <si>
    <t xml:space="preserve">Kashmir(io),India. </t>
  </si>
  <si>
    <t xml:space="preserve">you will not achieve #success until you will not fight for it. #KASHMIR. #BSC. #Student. 🌹MUSLiM. #single .#support truth.💖👍✌</t>
  </si>
  <si>
    <t xml:space="preserve">Subah Pakistan</t>
  </si>
  <si>
    <t xml:space="preserve">Shinzo Abe sweeps to a comfortable victory in Japan snap election – World https://t.co/hWafvEJ13M https://t.co/kvmtISET9F</t>
  </si>
  <si>
    <t xml:space="preserve">https://t.co/8iPDIh6dNJ would update you with the latest news. Verified and the selected ones.</t>
  </si>
  <si>
    <t xml:space="preserve">Clayton Swisher</t>
  </si>
  <si>
    <t xml:space="preserve">Investigative reporter and author. Tweets are mine alone &amp; RT ≠ endorsement.</t>
  </si>
  <si>
    <t xml:space="preserve">romerotrino23</t>
  </si>
  <si>
    <t xml:space="preserve">Election Risk Pays Off for Shinzo Abe of Japan as Party Appears to Win Big https://t.co/jKN9Za4sgu https://t.co/DprxyyiTx0</t>
  </si>
  <si>
    <t xml:space="preserve">Graphic Design</t>
  </si>
  <si>
    <t xml:space="preserve">海の向こうはいかに。</t>
  </si>
  <si>
    <t xml:space="preserve">Election Risk Pays Off for Shinzo Abe of Japan as Party Appears to Win Big https://t.co/pTyIKLNXsL https://t.co/x7r23eYFTG</t>
  </si>
  <si>
    <t xml:space="preserve">北半球</t>
  </si>
  <si>
    <r>
      <rPr>
        <sz val="8"/>
        <rFont val="Noto Sans CJK SC Regular"/>
        <family val="2"/>
      </rPr>
      <t xml:space="preserve">主に海外中心のニュースを。ほぼ</t>
    </r>
    <r>
      <rPr>
        <sz val="8"/>
        <rFont val="Droid Sans"/>
        <family val="0"/>
        <charset val="1"/>
      </rPr>
      <t xml:space="preserve">bot</t>
    </r>
    <r>
      <rPr>
        <sz val="8"/>
        <rFont val="Noto Sans CJK SC Regular"/>
        <family val="2"/>
      </rPr>
      <t xml:space="preserve">化。</t>
    </r>
  </si>
  <si>
    <t xml:space="preserve">pablo hescobar</t>
  </si>
  <si>
    <t xml:space="preserve">Election Risk Pays Off for Shinzo Abe of Japan as Party Appears to Win Big https://t.co/7SYGAtprzd https://t.co/lDkJXkFgFr</t>
  </si>
  <si>
    <t xml:space="preserve">albertomarti548</t>
  </si>
  <si>
    <t xml:space="preserve">Election Risk Pays Off for Shinzo Abe of Japan as Party Appears to Win Big https://t.co/b4RqVBSXPT https://t.co/DNgoAMGr1d</t>
  </si>
  <si>
    <t xml:space="preserve">Andrea Wood</t>
  </si>
  <si>
    <t xml:space="preserve">Andrew Harrison</t>
  </si>
  <si>
    <t xml:space="preserve">Miserable | Shinzo Abe secures strong mandate in Japan's general election https://t.co/u2DY4P2lpe</t>
  </si>
  <si>
    <t xml:space="preserve">Hamamatsu, Japan</t>
  </si>
  <si>
    <t xml:space="preserve">Englishman in Japan. Proud to be from #Margate</t>
  </si>
  <si>
    <t xml:space="preserve">Urban Wronski</t>
  </si>
  <si>
    <t xml:space="preserve">Shinzo Abe secures strong mandate in Japan's general election. US war vs N Korea BS would have helped. https://t.co/f5WbWqSJte</t>
  </si>
  <si>
    <t xml:space="preserve">http://urbanwronski.com</t>
  </si>
  <si>
    <t xml:space="preserve">Freelance writer for Tasmanian Times, IA The AIMN and The Guardian as David Tyler. Passionate about justice, freedom, equality, climate change and chooks.</t>
  </si>
  <si>
    <t xml:space="preserve">John Peters</t>
  </si>
  <si>
    <t xml:space="preserve">RT @andyhamamatsu: Miserable | Shinzo Abe secures strong mandate in Japan's general election https://t.co/u2DY4P2lpe</t>
  </si>
  <si>
    <t xml:space="preserve">Swansea</t>
  </si>
  <si>
    <t xml:space="preserve">Alone, ill w ME (not CFS) Unbeliever (political &amp; relig) Severe Dunning-Kruger Like: get better, breed, Wales rugby, #c4news, porridge. https://t.co/iwDlRTbqFh</t>
  </si>
  <si>
    <t xml:space="preserve">https://t.co/rgBzd99fSf Japan's PM Shinzo Abe poised to win snap election… https://t.co/Dlixd5HnNS</t>
  </si>
  <si>
    <t xml:space="preserve">Jan Martin</t>
  </si>
  <si>
    <t xml:space="preserve">I am From London sadly not born , I believe in God the Father, Jesus the Son, the Holy Scriptures , the truth , WikiLeaks and like to read, travel, and music</t>
  </si>
  <si>
    <t xml:space="preserve">TheMeanBlog.Com</t>
  </si>
  <si>
    <t xml:space="preserve">Shinzo Abe sweeps to a comfortable victory in Japan snap election – World https://t.co/ooNrpHFxgN https://t.co/EN13s9F4wR</t>
  </si>
  <si>
    <t xml:space="preserve">TheMeanBlog provides Latest, Breaking News Updates from Pakistan &amp; all over the world about Business, Life Style, Opinion, Sports and Entertainment.</t>
  </si>
  <si>
    <t xml:space="preserve">Jedibeeftrix</t>
  </si>
  <si>
    <t xml:space="preserve">Shinzo Abe secures strong mandate in Japan's general election https://t.co/MusudVpWrt</t>
  </si>
  <si>
    <t xml:space="preserve">Prognosticator on matters military, technological, and political.</t>
  </si>
  <si>
    <t xml:space="preserve">まーじなる</t>
  </si>
  <si>
    <t xml:space="preserve">RT @Subah_Pakistan: Shinzo Abe sweeps to a comfortable victory in Japan snap election – World https://t.co/hWafvEJ13M https://t.co/kvmtISET…</t>
  </si>
  <si>
    <t xml:space="preserve">まーじなる。 “和を以て貴しと為す”、遠い昔聖徳太子が定めたこの掟が日本の究極、至極の理想であり、根本原理だと思っている。 和のこころからのつぶやきを吐きます。</t>
  </si>
  <si>
    <t xml:space="preserve">LadyEleanorA</t>
  </si>
  <si>
    <t xml:space="preserve">RT @WorldNewsGPS: Polls have closed in Japan's snap election and Prime Minister Shinzo Abe appears poised to win a third term.… https://t.c…</t>
  </si>
  <si>
    <t xml:space="preserve">U.K., Norway, France</t>
  </si>
  <si>
    <t xml:space="preserve">World Citizen/Blogger/ActiveTweeter/Speaks/Writes 4 Languages/Empathic/Influential/Creative/Lived in Africa/France/USA - #FF Me #LinkedIn #Instagram #Pinterest</t>
  </si>
  <si>
    <t xml:space="preserve">RT @YasuhiroYotsum2: ....and the winner goes: Shinzo Abe secures strong mandate in Japan's general election https://t.co/FeaS2iNYby (the lo…</t>
  </si>
  <si>
    <t xml:space="preserve">labirinto</t>
  </si>
  <si>
    <t xml:space="preserve">Shinzo Abe secures strong mandate in Japan's general election https://t.co/NgkdrY0DDm</t>
  </si>
  <si>
    <t xml:space="preserve">Lisboa</t>
  </si>
  <si>
    <t xml:space="preserve">You'll excuse me, gentlemen. Your business is politics, mine is running a saloon.</t>
  </si>
  <si>
    <t xml:space="preserve">Shinzo Abe secures strong mandate in Japan's general election https://t.co/MusudVpWrt #fpda soon to be the six powers?</t>
  </si>
  <si>
    <t xml:space="preserve">Cooking Newz</t>
  </si>
  <si>
    <t xml:space="preserve">Shinzo Abe's ruling coalition won a sweeping victory in Japan's parliamentary election, exit?… https://t.co/fd25VLtM0F</t>
  </si>
  <si>
    <t xml:space="preserve">DestroyTwitter</t>
  </si>
  <si>
    <t xml:space="preserve">The best #recipes and all the #cooking news in real time on our account. Don't forget to #follow us!</t>
  </si>
  <si>
    <t xml:space="preserve">Shinzo Abe sweeps to a comfortable victory in Japan snap election https://t.co/o0IGOf5TUQ</t>
  </si>
  <si>
    <t xml:space="preserve">Election Risk Pays Off for Shinzo Abe of Japan as Party Appears to Win Big https://t.co/60PqkXbkoE</t>
  </si>
  <si>
    <t xml:space="preserve">Speak Truth to Power</t>
  </si>
  <si>
    <t xml:space="preserve">Japan's PM Shinzo Abe poised to win snap election https://t.co/acjOmS9Vl3 https://t.co/iuUoVod6W7</t>
  </si>
  <si>
    <t xml:space="preserve">Speak Truth to Power. #EndPoverty #EndApartheid #EndOccupation #FreePalestine #EndGazaSiege</t>
  </si>
  <si>
    <t xml:space="preserve">Japan PM Abe's ruling bloc on track for big election win - TOKYO: Japanese Prime Minister Shinzo Abe's ruling c... https://t.co/4x6XCqckJ3</t>
  </si>
  <si>
    <t xml:space="preserve">#AJ-ENG: Japan's PM Shinzo Abe poised to win snap election: A resounding majority could… https://t.co/UcHQPMmcHz</t>
  </si>
  <si>
    <t xml:space="preserve">World Wide Web</t>
  </si>
  <si>
    <t xml:space="preserve">We Tweet @TheBrkNews From World Wide. #Business #Entertainment #Sports #Politics #Live #Videos #Headlines #News !</t>
  </si>
  <si>
    <t xml:space="preserve">Fabrizio Coticchia</t>
  </si>
  <si>
    <t xml:space="preserve">Assistant Professor of Political Science. University of Genoa. International Relations &amp; Security Studies (and...Fiorentina)</t>
  </si>
  <si>
    <t xml:space="preserve">dawnLeaks</t>
  </si>
  <si>
    <t xml:space="preserve">Shinzo Abe sweeps to a comfortable victory in Japan snap election https://t.co/1yUWCu4eyb</t>
  </si>
  <si>
    <t xml:space="preserve">eTurboNews (eTN)</t>
  </si>
  <si>
    <t xml:space="preserve">Japan’s PM Shinzo Abe poised to win snap election https://t.co/8xUmtmQNWO</t>
  </si>
  <si>
    <t xml:space="preserve">global in 226 countries</t>
  </si>
  <si>
    <t xml:space="preserve">Global Travel and Tourism news and updates, trends. Global voice for travelers and tourism professionals. (https://t.co/YZkoxM9xIx)</t>
  </si>
  <si>
    <t xml:space="preserve">Election Risk Pays Off for Shinzo Abe of Japan as Party Appears to Win Big https://t.co/CKjuPjrRFt</t>
  </si>
  <si>
    <t xml:space="preserve">Ketan Patel, CFA</t>
  </si>
  <si>
    <t xml:space="preserve">Shinzo Abe secures strong mandate in Japan's general election https://t.co/o0MXXWXza0</t>
  </si>
  <si>
    <t xml:space="preserve">Fund Manager at EdenTree Investment Management - award winning Responsible Investment Manager. All views expressed are my own.</t>
  </si>
  <si>
    <t xml:space="preserve">Japan: exit polls suggest a landslide general election victory for Shinzo Abe's coalition… https://t.co/pW5J5I4icz</t>
  </si>
  <si>
    <t xml:space="preserve">Nadia Day</t>
  </si>
  <si>
    <t xml:space="preserve">England UK</t>
  </si>
  <si>
    <t xml:space="preserve">Mother, healer, writer, photographer, seeker of truth, married to @jonathanday10 CPO, ex Household Cavalry, K.T., healer &amp; medium. A voice for the voiceless.</t>
  </si>
  <si>
    <t xml:space="preserve">Kazimoto Baraka</t>
  </si>
  <si>
    <t xml:space="preserve">Proudly Tanzanian</t>
  </si>
  <si>
    <t xml:space="preserve">Bridges to Italy</t>
  </si>
  <si>
    <t xml:space="preserve">Founder, mentor, #Startup investor @ProductHunt Ambassador Love tech, crowdfunding, environment, Italy 🇮🇹, LA🇺🇸</t>
  </si>
  <si>
    <t xml:space="preserve">Rei</t>
  </si>
  <si>
    <t xml:space="preserve">RT @kazyasuda2: Japan election: Shinzo Abe projected to win - The Washington Post https://t.co/1H3ItVSeV0</t>
  </si>
  <si>
    <r>
      <rPr>
        <sz val="8"/>
        <rFont val="Noto Sans CJK SC Regular"/>
        <family val="2"/>
      </rPr>
      <t xml:space="preserve">オペラが好きで時々劇場に足を運びます｡ドミンゴ</t>
    </r>
    <r>
      <rPr>
        <sz val="8"/>
        <rFont val="Droid Sans"/>
        <family val="0"/>
        <charset val="1"/>
      </rPr>
      <t xml:space="preserve">,</t>
    </r>
    <r>
      <rPr>
        <sz val="8"/>
        <rFont val="Noto Sans CJK SC Regular"/>
        <family val="2"/>
      </rPr>
      <t xml:space="preserve">カレ－ラス</t>
    </r>
    <r>
      <rPr>
        <sz val="8"/>
        <rFont val="Droid Sans"/>
        <family val="0"/>
        <charset val="1"/>
      </rPr>
      <t xml:space="preserve">,</t>
    </r>
    <r>
      <rPr>
        <sz val="8"/>
        <rFont val="Noto Sans CJK SC Regular"/>
        <family val="2"/>
      </rPr>
      <t xml:space="preserve">クーラ</t>
    </r>
    <r>
      <rPr>
        <sz val="8"/>
        <rFont val="Droid Sans"/>
        <family val="0"/>
        <charset val="1"/>
      </rPr>
      <t xml:space="preserve">etc.</t>
    </r>
    <r>
      <rPr>
        <sz val="8"/>
        <rFont val="Noto Sans CJK SC Regular"/>
        <family val="2"/>
      </rPr>
      <t xml:space="preserve">そして最近はカウフマン</t>
    </r>
    <r>
      <rPr>
        <sz val="8"/>
        <rFont val="Droid Sans"/>
        <family val="0"/>
        <charset val="1"/>
      </rPr>
      <t xml:space="preserve">,</t>
    </r>
    <r>
      <rPr>
        <sz val="8"/>
        <rFont val="Noto Sans CJK SC Regular"/>
        <family val="2"/>
      </rPr>
      <t xml:space="preserve">フォークト</t>
    </r>
    <r>
      <rPr>
        <sz val="8"/>
        <rFont val="Droid Sans"/>
        <family val="0"/>
        <charset val="1"/>
      </rPr>
      <t xml:space="preserve">,</t>
    </r>
    <r>
      <rPr>
        <sz val="8"/>
        <rFont val="Noto Sans CJK SC Regular"/>
        <family val="2"/>
      </rPr>
      <t xml:space="preserve">シャーガーに魅了されています｡古楽初心者🔰 </t>
    </r>
    <r>
      <rPr>
        <sz val="8"/>
        <rFont val="Droid Sans"/>
        <family val="0"/>
        <charset val="1"/>
      </rPr>
      <t xml:space="preserve">Tokyo,JAPAN</t>
    </r>
  </si>
  <si>
    <t xml:space="preserve">Shinzo Abe secures strong mandate in Japan's general election: The Japanese prime minister… https://t.co/mwZ9zQZXqK</t>
  </si>
  <si>
    <t xml:space="preserve">PedroConrado Richter</t>
  </si>
  <si>
    <t xml:space="preserve">Shinzo Abe secures strong mandate in Japan's general election (via @NewsfusionApps #World #News) https://t.co/YaHiH8yje0</t>
  </si>
  <si>
    <t xml:space="preserve">World News - Breaking Internatio</t>
  </si>
  <si>
    <t xml:space="preserve">BRASIL, Rio Grande do Sul</t>
  </si>
  <si>
    <t xml:space="preserve">Advogado, Brasileiro, com cidadania Austriaca, origem da familia, meu pai nasceu em Linz/Austria</t>
  </si>
  <si>
    <t xml:space="preserve">PolticsNewz: Exit polls show win for Japanese PM Abe's ruling coalition https://t.co/IiwMoWqmyF</t>
  </si>
  <si>
    <t xml:space="preserve">Abby Saunders</t>
  </si>
  <si>
    <t xml:space="preserve">Election Risk Pays Off for Shinzo Abe of #Japan as Party Appears to Win Big https://t.co/zuUyG7EJxv</t>
  </si>
  <si>
    <t xml:space="preserve">A random sarcastic girl, Studying politics and energy | Unusual Traveler | full time separatist in a complicated relationship! Roaming in the Europe and Asia</t>
  </si>
  <si>
    <t xml:space="preserve">Mark Wayne</t>
  </si>
  <si>
    <t xml:space="preserve">Aim to be the Orwell of the twitter generation. Love truth justice human rights democracy. Dislike hypocrisy ignorance prejudice bigotry racism. #MUFC</t>
  </si>
  <si>
    <t xml:space="preserve">鬼耶高のユカリンゴ</t>
  </si>
  <si>
    <t xml:space="preserve">沼</t>
  </si>
  <si>
    <r>
      <rPr>
        <sz val="8"/>
        <rFont val="Noto Sans CJK SC Regular"/>
        <family val="2"/>
      </rPr>
      <t xml:space="preserve">成人済み</t>
    </r>
    <r>
      <rPr>
        <sz val="8"/>
        <rFont val="Droid Sans"/>
        <family val="0"/>
        <charset val="1"/>
      </rPr>
      <t xml:space="preserve">BL</t>
    </r>
    <r>
      <rPr>
        <sz val="8"/>
        <rFont val="Noto Sans CJK SC Regular"/>
        <family val="2"/>
      </rPr>
      <t xml:space="preserve">愛好家。女子文化ウォッチャー。日常の些事と萌えを中心に呟きます。フォロー、リムはご自由に。</t>
    </r>
  </si>
  <si>
    <t xml:space="preserve">olga brekfast</t>
  </si>
  <si>
    <t xml:space="preserve">Election Risk Pays Off for Shinzo Abe of Japan as Party Appears to Win Big https://t.co/P6DjakjCOS https://t.co/1vJB5nM1sm</t>
  </si>
  <si>
    <t xml:space="preserve">Asia News</t>
  </si>
  <si>
    <t xml:space="preserve">Shinzo Abe secures strong mandate in Japan's general election #AsiaNews https://t.co/dkDxLiEM5a</t>
  </si>
  <si>
    <t xml:space="preserve">Find your latest Asia News news with just one click. Don't miss out on anything happening!</t>
  </si>
  <si>
    <t xml:space="preserve">OMNI POP MAG</t>
  </si>
  <si>
    <t xml:space="preserve">Election Risk Pays Off for Shinzo Abe of Japan as Party Appears to Win Big https://t.co/B4yJvcshRg #Omnipop #Omnipopmag</t>
  </si>
  <si>
    <t xml:space="preserve">OmniPoP MAg your Daily News and Top Style Blog Source. Visit The Link Below To See How You Can Make Money Online Today and See Our Exclusive Offers! #OMNIPOP!!!</t>
  </si>
  <si>
    <t xml:space="preserve">🔟⭐Jesus</t>
  </si>
  <si>
    <t xml:space="preserve">Net result is I eventually make the breaking point and get what I want: An end to my pacifism https://t.co/UkHPaqoDVz</t>
  </si>
  <si>
    <t xml:space="preserve">War Mode: [ON] OFF</t>
  </si>
  <si>
    <t xml:space="preserve">It's all about the ART! Ask Sun Tsu.</t>
  </si>
  <si>
    <t xml:space="preserve">The State Of Network</t>
  </si>
  <si>
    <t xml:space="preserve">Via @NYTimes Election Risk Pays Off for Shinzo Abe of #Japan as Party Appears to Win Big https://t.co/bTBGiqWtZ4</t>
  </si>
  <si>
    <t xml:space="preserve">WWW</t>
  </si>
  <si>
    <t xml:space="preserve">The most important news trends report of #Venezuela and Latin America 24 hours, in all social networks. En Español: @ElEstadoDeLaRed</t>
  </si>
  <si>
    <t xml:space="preserve">JPnews in English</t>
  </si>
  <si>
    <t xml:space="preserve">Shinzo Abe secures strong mandate in Japan's general election - The Guardian https://t.co/8n5hLZTLsA https://t.co/nV4gqz8E6J</t>
  </si>
  <si>
    <t xml:space="preserve">日本のことを紹介している英語ニュースボットです。英語学習に最適だと思います。</t>
  </si>
  <si>
    <t xml:space="preserve">CJ</t>
  </si>
  <si>
    <t xml:space="preserve">Continuing the conversation.</t>
  </si>
  <si>
    <t xml:space="preserve">Election Risk Pays Off for Shinzo Abe of Japan as Party Appears to Win Big https://t.co/1RhcDtG3U9 https://t.co/0qmms9K8in</t>
  </si>
  <si>
    <t xml:space="preserve">RightRelevanceTweetApp</t>
  </si>
  <si>
    <t xml:space="preserve">Content curated by top Tokyo influencers. (Pic:https://t.co/225A2L4ISB)</t>
  </si>
  <si>
    <t xml:space="preserve">Shinzo Abe sweeps to a comfortable victory in Japan snap election https://t.co/647cn2KSfd</t>
  </si>
  <si>
    <t xml:space="preserve">EurACC.eu</t>
  </si>
  <si>
    <t xml:space="preserve">Shinzo Abe secures strong mandate in Japan's general election https://t.co/jQApjrjeSG</t>
  </si>
  <si>
    <t xml:space="preserve">European Anti-Corruption Ctr</t>
  </si>
  <si>
    <t xml:space="preserve">European Anti-Corruption Centre™: Global, original published data + translations re corruption, fraud, bribery etc: re firms &amp; individuals in Europe + worldwide</t>
  </si>
  <si>
    <t xml:space="preserve">Brian C Jones</t>
  </si>
  <si>
    <t xml:space="preserve">Shinzo Abe secures strong mandate in Japan's general election' https://t.co/4ZemUJ1v5w</t>
  </si>
  <si>
    <t xml:space="preserve">Dundee, Scotland</t>
  </si>
  <si>
    <t xml:space="preserve">Lecturer in Law at @dundeeuni. Interested in comparative public law, constitutional theory, socio-legal studies, civil disobedience, and law and technology.</t>
  </si>
  <si>
    <t xml:space="preserve">Mary Ferrer</t>
  </si>
  <si>
    <t xml:space="preserve">Election Risk Pays Off for Shinzo Abe of Japan as Party Appears to Win Big https://t.co/Ks95n58tE6 #blog https://t.co/ssWUyl1TdF</t>
  </si>
  <si>
    <t xml:space="preserve">#Psychologist, #HumanResources. Watch this scientific based video how to make your wife or girlfriend faithful &amp; loyal now: https://t.co/iMgcu6YZpR</t>
  </si>
  <si>
    <t xml:space="preserve">LuisCampos_Monaco</t>
  </si>
  <si>
    <t xml:space="preserve">Abe sweeps to resounding victory in Japan vote Japanese Prime Minister Shinzo Abe swept to a resounding victory in a snap election Sunday, …</t>
  </si>
  <si>
    <t xml:space="preserve">Monaco</t>
  </si>
  <si>
    <t xml:space="preserve">Shinzo Abe’s party forecast to win big in Japan’s snap election https://t.co/pWPNAIb8kY</t>
  </si>
  <si>
    <t xml:space="preserve">Shinzo Abe secures strong mandate in Japan's general election https://t.co/bb1ipwHt19</t>
  </si>
  <si>
    <t xml:space="preserve">Exit polls show win for Japanese PM Abe's ruling coalition https://t.co/9NSjcndDpU</t>
  </si>
  <si>
    <t xml:space="preserve">pushne</t>
  </si>
  <si>
    <t xml:space="preserve">upasthiti (Retweets are not endorsement)</t>
  </si>
  <si>
    <r>
      <rPr>
        <sz val="8"/>
        <rFont val="Droid Sans"/>
        <family val="0"/>
        <charset val="1"/>
      </rPr>
      <t xml:space="preserve">Mikaeru Pochi_</t>
    </r>
    <r>
      <rPr>
        <sz val="8"/>
        <rFont val="Noto Sans CJK SC Regular"/>
        <family val="2"/>
      </rPr>
      <t xml:space="preserve">脱原発に一票</t>
    </r>
  </si>
  <si>
    <t xml:space="preserve">RT @fiore_eterno: Via @euronews: Japan: exit polls suggest a landslide general election victory for Shinzo Abe’s coalition https://t.co/DRg…</t>
  </si>
  <si>
    <t xml:space="preserve">the open source side</t>
  </si>
  <si>
    <t xml:space="preserve">My dog (avatar) is collecting some record about strategy of the world &amp;Japanese modern history. "λ=(∵`{Gratitude to A.I. translation.</t>
  </si>
  <si>
    <t xml:space="preserve">Shinzo Abe secures strong mandate in Japan's general election https://t.co/xKi84hBGtT</t>
  </si>
  <si>
    <t xml:space="preserve">Japan's PM Shinzo Abe poised to win snap election https://t.co/Feppf03zZW https://t.co/8rH7D7B8Ab</t>
  </si>
  <si>
    <t xml:space="preserve">Bailey-Lee MSYP</t>
  </si>
  <si>
    <t xml:space="preserve">Cowdenbeath, Scotland</t>
  </si>
  <si>
    <t xml:space="preserve">MSYP for Cowdenbeath Constituency / External Affairs / Email: Bailey-Lee.Robb.MSYP@sypmail.org.uk / NSPCC &amp; YoYP2018 Ambassador</t>
  </si>
  <si>
    <t xml:space="preserve">BarbieB</t>
  </si>
  <si>
    <t xml:space="preserve">RT @WorldNews7777: Japan's PM Shinzo Abe poised to win snap election https://t.co/y8EtJgNnnA</t>
  </si>
  <si>
    <t xml:space="preserve">Fort Myers, FL</t>
  </si>
  <si>
    <t xml:space="preserve">Boston/Cape Cod/New England/ girl now enjoying the tropical life in Florida. Sunshine &amp; Balmy Breezes &amp; . . . No Snow! :) Both parents were WWII Navy Veterans.</t>
  </si>
  <si>
    <t xml:space="preserve">I'm IBM</t>
  </si>
  <si>
    <t xml:space="preserve">A resounding majority could pave the way for the Japanese leader to revise the country's… https://t.co/lGXUGbI3Lh</t>
  </si>
  <si>
    <t xml:space="preserve">☀love my family ♥I discus ideas ,Paradise to my right and Hell to my left ☺</t>
  </si>
  <si>
    <t xml:space="preserve">Sarah Du</t>
  </si>
  <si>
    <t xml:space="preserve">A tiny, insignificant, ignorant bit of carbon in a universe that hurtles ever forward. Also a wisdom seeker, lover of stories, and Corgi enthusiast.</t>
  </si>
  <si>
    <t xml:space="preserve">Japan's PM Shinzo Abe poised to win snap election - https://t.co/XO6IGHhsuZ</t>
  </si>
  <si>
    <t xml:space="preserve">Heath Haussamen</t>
  </si>
  <si>
    <t xml:space="preserve">ÜT: 36.768894,-108.197988</t>
  </si>
  <si>
    <t xml:space="preserve">Editor and publisher of http://t.co/qLxaRa59Cw. I include people's voices in my reporting. If you tweet to me, remember that you could be quoted.</t>
  </si>
  <si>
    <t xml:space="preserve">wirya dwi winata</t>
  </si>
  <si>
    <t xml:space="preserve">Election Risk Pays Off for Shinzo Abe of Japan as Party Appears to Win Big https://t.co/XOgbNtyLNG https://t.co/UhWHu29jRO</t>
  </si>
  <si>
    <t xml:space="preserve">Sidenreng Rappang, Sulawesi Selatan</t>
  </si>
  <si>
    <t xml:space="preserve">Rezpector Indonesia</t>
  </si>
  <si>
    <t xml:space="preserve">حنيف</t>
  </si>
  <si>
    <t xml:space="preserve">Japan's PM Shinzo Abe poised to win snap election https://t.co/M2pyVxxM1C https://t.co/J3bK6JZ74l</t>
  </si>
  <si>
    <t xml:space="preserve">Lebanon</t>
  </si>
  <si>
    <t xml:space="preserve">3 words, Love, Peace, Respect. The 3 words that make good world, the 3 words of life and any the words of humanity.</t>
  </si>
  <si>
    <t xml:space="preserve">Arabic Editor</t>
  </si>
  <si>
    <t xml:space="preserve">Japan's PM Shinzo Abe poised to win snap election https://t.co/4VvTUi5jlQ</t>
  </si>
  <si>
    <t xml:space="preserve">KINGintheNORTH ♐️</t>
  </si>
  <si>
    <t xml:space="preserve">Election Risk Pays Off for Shinzo Abe of Japan as Party Appears to Win Big https://t.co/ajwpJQi6ce https://t.co/WbrnU2Yuqm</t>
  </si>
  <si>
    <t xml:space="preserve">proud to be Turk #ϜϓſϞ / patriot / ATATÜRK / vatansever / deist / seculist / çevreci / #disturbed #godsmack</t>
  </si>
  <si>
    <t xml:space="preserve">Steve Aufderheide</t>
  </si>
  <si>
    <t xml:space="preserve">RT @wolfster308: Japan election: Shinzo Abe's party likely to seize control in lower house https://t.co/2h3yx4HBZO via the @FoxNews Android…</t>
  </si>
  <si>
    <t xml:space="preserve">Georgia, USA</t>
  </si>
  <si>
    <t xml:space="preserve">Strong Conservative &amp; Trump Supporter. God Bless our Troops. Government for the people. Gun owner. Secure our nation, bring American jobs back a priority! #MAGA</t>
  </si>
  <si>
    <t xml:space="preserve">Dr Asif Shahid</t>
  </si>
  <si>
    <t xml:space="preserve">Shinzo Abe sweeps to a comfortable victory in Japan snap election https://t.co/jbn0pF4nF1</t>
  </si>
  <si>
    <t xml:space="preserve">Lahore Pakistan</t>
  </si>
  <si>
    <t xml:space="preserve">Journalist, Writer, Blogger, working with 92 news HD as Content Head. worked with other media groups in last 20 years.</t>
  </si>
  <si>
    <t xml:space="preserve">Shinzo Abe sweeps to a comfortable victory in Japan snap election https://t.co/jbn0pF4nF1 Abe's conservative coalition was on track to wi…</t>
  </si>
  <si>
    <t xml:space="preserve">Shinzo Abe sweeps to a comfortable victory in Japan snap election October 22, 2017 at 05:57PM https://t.co/zePV6PUIb8</t>
  </si>
  <si>
    <t xml:space="preserve">Shinzo Abe sweeps to a comfortable victory in Japan snap election https://t.co/U2wWtvHc2X</t>
  </si>
  <si>
    <t xml:space="preserve">Shinzo Abe sweeps to a comfortable victory in Japan snap election https://t.co/jbn0pF4nF1 Abe's conservative... https://t.co/8GtWdGG3eS</t>
  </si>
  <si>
    <t xml:space="preserve">Shinzo Abe sweeps to a comfortable victory in Japan snap election https://t.co/jbn0pF4nF1 https://t.co/VTI5nqmmUD</t>
  </si>
  <si>
    <t xml:space="preserve">#ShinzoAbe sweeps to a comfortable victory in #Japan snap election https://t.co/HYmIkdrZVn</t>
  </si>
  <si>
    <t xml:space="preserve">Bolivarianismo Vzla</t>
  </si>
  <si>
    <t xml:space="preserve">Facebook: Unión Nacional del Bolivarianismo de Venezuela siglo 21 /Correo: unbv21@gmail.com / instagram: unbv21 /Pin: 5C0DE85C / Canal YouTube: UNBV TV</t>
  </si>
  <si>
    <t xml:space="preserve">Election Risk Pays Off for Shinzo Abe of Japan as Party Appears to Win Big https://t.co/I1MmVmzny3</t>
  </si>
  <si>
    <t xml:space="preserve">Election Risk Pays Off for Shinzo Abe of Japan as Party Appears to Win Big https://t.co/leAQglfR2h https://t.co/1ZS6xJjuwM</t>
  </si>
  <si>
    <t xml:space="preserve">seydou kiaga</t>
  </si>
  <si>
    <t xml:space="preserve">David Rader</t>
  </si>
  <si>
    <t xml:space="preserve">Frederick, Maryland</t>
  </si>
  <si>
    <t xml:space="preserve">U.S. Government Contracting Officer (Defense Department) lived in Germany &amp; Italy for 18 years working for DOD in Europe. Proud US Navy Veteran served on JFK.</t>
  </si>
  <si>
    <t xml:space="preserve">Election Risk Pays Off for Shinzo Abe of Japan as Party Appears to Win Big https://t.co/qsuvo9zZFi https://t.co/bX19lZ5Fic</t>
  </si>
  <si>
    <t xml:space="preserve">Mintaro Oba</t>
  </si>
  <si>
    <t xml:space="preserve">Former @StateDept diplomat specializing in Korea/North Korea, now @WestWingWriters</t>
  </si>
  <si>
    <t xml:space="preserve">Alphonso Mayfield</t>
  </si>
  <si>
    <t xml:space="preserve">Election Risk Pays Off for Shinzo Abe of Japan as Party Appears to Win Big via @NYTimes https://t.co/hmEfzKcBzu</t>
  </si>
  <si>
    <t xml:space="preserve">All over the state of Florida</t>
  </si>
  <si>
    <t xml:space="preserve">#theresistance #blacklivesmatter I follow back</t>
  </si>
  <si>
    <t xml:space="preserve">Election Risk Pays Off for Shinzo Abe of Japan as Party Appears to Win Big https://t.co/IdR10j2WSp</t>
  </si>
  <si>
    <t xml:space="preserve">Election Risk Pays Off for Shinzo Abe of Japan as Party Appears to Win Big https://t.co/Y6iRjmU89Y</t>
  </si>
  <si>
    <t xml:space="preserve">Bloomberg Media Dist</t>
  </si>
  <si>
    <t xml:space="preserve">The Week Ahead: Japan’s Prime Minister Shinzo Abe At The LDP Headquarters as Election Results are Announced &amp; More:… https://t.co/tLLfu7QrDq</t>
  </si>
  <si>
    <t xml:space="preserve">The world's leading content provider of business and finance news, photos, videos, and data to 1,600+ media outlets in 130+ countries.</t>
  </si>
  <si>
    <t xml:space="preserve">Election Risk Pays Off for Shinzo Abe of Japan as Party Appears to Win Big https://t.co/u2jXZa6FKV</t>
  </si>
  <si>
    <t xml:space="preserve">Jacob Remes</t>
  </si>
  <si>
    <t xml:space="preserve">Forgot to include the link. https://t.co/lZ0jTf817c</t>
  </si>
  <si>
    <t xml:space="preserve">New Haven and New York</t>
  </si>
  <si>
    <t xml:space="preserve">Labor, working-class, migration, and disaster historian of the US and Canada. Author of DISASTER CITIZENSHIP, professor at NYU-Gallatin.</t>
  </si>
  <si>
    <t xml:space="preserve">Abe sweeps to resounding victory in Japan vote - Japanese Prime Minister Shinzo Abe swept to a resounding victo... https://t.co/0jo79iIJM8</t>
  </si>
  <si>
    <t xml:space="preserve">Japan's PM Shinzo Abe poised to win snap election https://t.co/nyaxVGevf4</t>
  </si>
  <si>
    <t xml:space="preserve">Neeraj Kulshrestha</t>
  </si>
  <si>
    <t xml:space="preserve">Views are strictly personal. RTs not to be treated as endorsments</t>
  </si>
  <si>
    <t xml:space="preserve">Exit polls show win for Japanese PM Abe's ruling coalition https://t.co/gYUScOVFTV https://t.co/M7OqAa7F95</t>
  </si>
  <si>
    <t xml:space="preserve">Proud Madheshi</t>
  </si>
  <si>
    <t xml:space="preserve">Election Risk Pays Off for Shinzo Abe of Japan as Party Appears to Win Big https://t.co/RzT5x3LYOY https://t.co/oKPnacHGGZ</t>
  </si>
  <si>
    <t xml:space="preserve">kathmandu</t>
  </si>
  <si>
    <t xml:space="preserve">fan of Great Poet Bidhyapati !!!</t>
  </si>
  <si>
    <t xml:space="preserve">NYTimes: Election Risk Pays Off for Shinzo Abe of Japan as Party Appears to Win Big https://t.co/bbQTr4Jb6q</t>
  </si>
  <si>
    <t xml:space="preserve">Jose Carlos Mattos</t>
  </si>
  <si>
    <t xml:space="preserve">Top story: Shinzo Abe secures strong mandate in Japan's general election | Worl… https://t.co/MY13UMd2bl, see more https://t.co/CEkilfxqgg</t>
  </si>
  <si>
    <t xml:space="preserve">En plein vol...</t>
  </si>
  <si>
    <t xml:space="preserve">I twit in EngFrePortSpanish on #international &amp; #economic relations, also about #Brazil, #Chile. All opinions I express are my own. A RT is not an endorsement.</t>
  </si>
  <si>
    <t xml:space="preserve">Isaac Stone Fish</t>
  </si>
  <si>
    <t xml:space="preserve">Exit polls show PM Abe likely winning his snap election https://t.co/uhLJYFrCzP</t>
  </si>
  <si>
    <t xml:space="preserve">East Village, NYC </t>
  </si>
  <si>
    <t xml:space="preserve">Journalist. Senior fellow, Asia Society, on sabbatical from Foreign Policy Magazine. Former Newsweek Correspondent in Beijing.</t>
  </si>
  <si>
    <t xml:space="preserve">Woke up to Japan election news. Good for Shinzo Abe to continue at a time when Japan is picking up so much slack for U.S. in Asia.</t>
  </si>
  <si>
    <t xml:space="preserve">Top Stories</t>
  </si>
  <si>
    <t xml:space="preserve">Japan's PM Shinzo Abe poised to win snap election https://t.co/fQHMuE4s6U</t>
  </si>
  <si>
    <t xml:space="preserve">South-East Asia</t>
  </si>
  <si>
    <t xml:space="preserve">Providing Top Stories from South-East Asia and World</t>
  </si>
  <si>
    <t xml:space="preserve">PolticsNewz: Election Risk Pays Off for Shinzo Abe of Japan as Party Appears to Win Big https://t.co/fpgx06UXxz https://t.co/shKDDFDSer</t>
  </si>
  <si>
    <t xml:space="preserve">@kayodebukola</t>
  </si>
  <si>
    <t xml:space="preserve">Japan's PM Shinzo Abe poised to win snap election https://t.co/VB6rGlrgds</t>
  </si>
  <si>
    <t xml:space="preserve">News served hot.</t>
  </si>
  <si>
    <t xml:space="preserve">Japan's PM Shinzo Abe poised to win snap election https://t.co/em0w4ztVi6</t>
  </si>
  <si>
    <t xml:space="preserve">matthewtimms</t>
  </si>
  <si>
    <t xml:space="preserve">Japan's PM Shinzo Abe poised to win snap election @AJENews https://t.co/u20fFA6aeY</t>
  </si>
  <si>
    <t xml:space="preserve">UK&amp;Irish archipelago, Earth.</t>
  </si>
  <si>
    <t xml:space="preserve">NEWS HERE... UNDERSTANDING and TOLERANCE.(a music coach at PFF specializing in Jazz,&amp; a carer) training 2 b a househusband 4 my https://t.co/a14gVbmjNc citizen.</t>
  </si>
  <si>
    <t xml:space="preserve">Shinzo Abe sweeps to a comfortable victory in Japan snap election https://t.co/YYNsnDjCQp</t>
  </si>
  <si>
    <t xml:space="preserve">James M. Hatch</t>
  </si>
  <si>
    <t xml:space="preserve">Shinzo Abe secures strong mandate in Japan's general election |The Guardian-time to look for a new job? https://t.co/UAzLlGYhpz</t>
  </si>
  <si>
    <t xml:space="preserve">Machida-shi, Tokyo</t>
  </si>
  <si>
    <t xml:space="preserve">Completing #EdD #Bourdieu #Foucault Rediscovering #karate #budo Supporting #Drogs #Zelvia Aiming to complete first #marathon in 2017 #catholiceducation</t>
  </si>
  <si>
    <t xml:space="preserve">Hiroko Tabuchi</t>
  </si>
  <si>
    <t xml:space="preserve">Climate and environment reporter @NYTimes. Kobe native, Brooklyn transplant. LSE grad, Pulitzer, etc. Whistleblower? Ping me on Peerio: tabuchi</t>
  </si>
  <si>
    <t xml:space="preserve">Agnostic Hindu</t>
  </si>
  <si>
    <t xml:space="preserve">RT @cbinewton: Election Risk Pays Off for Shinzo Abe of Japan as Party Appears 2Win with Big Big two-thirds majority seats in the Lower hou…</t>
  </si>
  <si>
    <t xml:space="preserve">Dallas Tx</t>
  </si>
  <si>
    <t xml:space="preserve">a cultural Hindu proud of our moral, scientific &amp; aesthetic contribution to the world and have enough sense to condemn our inherit racism and misogyny</t>
  </si>
  <si>
    <t xml:space="preserve">Kyle Harrietha</t>
  </si>
  <si>
    <t xml:space="preserve">Ottawa, Ontario, Canada</t>
  </si>
  <si>
    <t xml:space="preserve">Father to an amazing daughter. Liberal. Director of Parliamentary Affairs to Canada’s Minister of Environment and Climate Change. *Tweets are personal views.</t>
  </si>
  <si>
    <r>
      <rPr>
        <sz val="8"/>
        <rFont val="Noto Sans CJK SC Regular"/>
        <family val="2"/>
      </rPr>
      <t xml:space="preserve">なおき </t>
    </r>
    <r>
      <rPr>
        <sz val="8"/>
        <rFont val="Droid Sans"/>
        <family val="0"/>
        <charset val="1"/>
      </rPr>
      <t xml:space="preserve">Naoki</t>
    </r>
  </si>
  <si>
    <t xml:space="preserve">Tokyo suburb #JPN</t>
  </si>
  <si>
    <r>
      <rPr>
        <sz val="8"/>
        <rFont val="Noto Sans CJK SC Regular"/>
        <family val="2"/>
      </rPr>
      <t xml:space="preserve">古いうた・宗教音楽に挑戦してきたテノール→挫折→病気療養→再起を図り中。外国語</t>
    </r>
    <r>
      <rPr>
        <sz val="8"/>
        <rFont val="Droid Sans"/>
        <family val="0"/>
        <charset val="1"/>
      </rPr>
      <t xml:space="preserve">RT</t>
    </r>
    <r>
      <rPr>
        <sz val="8"/>
        <rFont val="Noto Sans CJK SC Regular"/>
        <family val="2"/>
      </rPr>
      <t xml:space="preserve">多注意。</t>
    </r>
    <r>
      <rPr>
        <sz val="8"/>
        <rFont val="Droid Sans"/>
        <family val="0"/>
        <charset val="1"/>
      </rPr>
      <t xml:space="preserve">Early music Tenor singer. Musicology, Fine Art, Christian culture, Medieval MSS, European History. Love UK.</t>
    </r>
  </si>
  <si>
    <t xml:space="preserve">Ola Wong</t>
  </si>
  <si>
    <t xml:space="preserve">What Shinzo Abe’s win will mean for China-Japan relations https://t.co/OOf5XCvmDt via @SCMP_news</t>
  </si>
  <si>
    <t xml:space="preserve">Stockholm</t>
  </si>
  <si>
    <t xml:space="preserve">Journalist, Writer, China analyst, Public Speaker #pekingsyndromet</t>
  </si>
  <si>
    <t xml:space="preserve">Mohan Guruswamy</t>
  </si>
  <si>
    <t xml:space="preserve">ABE WINS BIG. ENOUGH TO AMEND THE CONSTITUTION? https://t.co/YJa0WYPDMi</t>
  </si>
  <si>
    <t xml:space="preserve">What Shinzo Abe’s win will mean for China-Japan relations https://t.co/OOf5XCMXv1 via @SCMP_news</t>
  </si>
  <si>
    <t xml:space="preserve">Ramananad Swamiji@gm</t>
  </si>
  <si>
    <t xml:space="preserve">The Guardian: Shinzo Abe secures strong mandate in Japan's general election. https://t.co/uZEomI5G3c</t>
  </si>
  <si>
    <t xml:space="preserve">The Guardian: Shinzo Abe secures strong mandate in Japan's general election. https://t.co/nzPGe6GfUG</t>
  </si>
  <si>
    <t xml:space="preserve">fuzzyguest</t>
  </si>
  <si>
    <t xml:space="preserve">Roux</t>
  </si>
  <si>
    <t xml:space="preserve">St Tropez</t>
  </si>
  <si>
    <t xml:space="preserve">I’m the passion and the magic in the air. Lucid Dreamer.</t>
  </si>
  <si>
    <t xml:space="preserve">Eʏᴇ ᴏɴ Pᴀᴋɪsᴛᴀɴ</t>
  </si>
  <si>
    <t xml:space="preserve">#Dawn Shinzo Abe sweeps to a comfortable victory in Japan snap election https://t.co/QbCU3jxZlP #Pakistan</t>
  </si>
  <si>
    <t xml:space="preserve">Brussels</t>
  </si>
  <si>
    <t xml:space="preserve">News Channel on Pakistan Human Rights Researcher RT's and links are not endorsements Views are my own</t>
  </si>
  <si>
    <t xml:space="preserve">Election Risk Pays Off for Shinzo Abe of Japan as Party Appears to Win Big: Early… https://t.co/FDXz4zUvkx #news</t>
  </si>
  <si>
    <t xml:space="preserve">Kleyton Cooper</t>
  </si>
  <si>
    <t xml:space="preserve">RT @PolticsNewz: Election Risk Pays Off for Shinzo Abe of Japan as Party Appears to Win Big https://t.co/leAQglfR2h https://t.co/1ZS6xJjuwM</t>
  </si>
  <si>
    <t xml:space="preserve">Cleveland, OH</t>
  </si>
  <si>
    <t xml:space="preserve">Politically-left satire! Mech Eng. Int'l Oil Exploration. Ind Design &amp; Mfr. Foreign Service. Bread baker. Auto/sail boat racer. @lorax58 &amp; cats! #TheResistance</t>
  </si>
  <si>
    <t xml:space="preserve">♠DanArewA</t>
  </si>
  <si>
    <t xml:space="preserve">Japan's PM Shinzo Abe poised to win snap election: A resounding majority could pave the way… https://t.co/mWtXM8JgX6</t>
  </si>
  <si>
    <t xml:space="preserve">Kaduna</t>
  </si>
  <si>
    <t xml:space="preserve">Is this the part where everyone writes all sort of bullshit?? Nah Thanks...</t>
  </si>
  <si>
    <t xml:space="preserve">Suhail Manzoor</t>
  </si>
  <si>
    <t xml:space="preserve">Edinburgh &amp; Kochi</t>
  </si>
  <si>
    <t xml:space="preserve">A cultural refugee in Edinburgh who is still trying to search and sort his way through life. Retweets are often endorsement but sometimes not.</t>
  </si>
  <si>
    <t xml:space="preserve">あかんたれ蔵</t>
  </si>
  <si>
    <r>
      <rPr>
        <sz val="8"/>
        <rFont val="Droid Sans"/>
        <family val="0"/>
        <charset val="1"/>
      </rPr>
      <t xml:space="preserve">(^_^;)</t>
    </r>
    <r>
      <rPr>
        <sz val="8"/>
        <rFont val="Noto Sans CJK SC Regular"/>
        <family val="2"/>
      </rPr>
      <t xml:space="preserve">。</t>
    </r>
    <r>
      <rPr>
        <sz val="8"/>
        <rFont val="Droid Sans"/>
        <family val="0"/>
        <charset val="1"/>
      </rPr>
      <t xml:space="preserve">Election Risk Pays Off for Shinzo Abe of Japan as Party Appears to Win Big https://t.co/nlVxUlikiy</t>
    </r>
  </si>
  <si>
    <t xml:space="preserve">jigtwi</t>
  </si>
  <si>
    <r>
      <rPr>
        <sz val="8"/>
        <rFont val="Noto Sans CJK SC Regular"/>
        <family val="2"/>
      </rPr>
      <t xml:space="preserve">中学受験を中心に、受験指導しています。算数・数学・理科・社会が担当科目です</t>
    </r>
    <r>
      <rPr>
        <sz val="8"/>
        <rFont val="Droid Sans"/>
        <family val="0"/>
        <charset val="1"/>
      </rPr>
      <t xml:space="preserve">(</t>
    </r>
    <r>
      <rPr>
        <sz val="8"/>
        <rFont val="Noto Sans CJK SC Regular"/>
        <family val="2"/>
      </rPr>
      <t xml:space="preserve">何でも屋ですな、おまけに英語も少々</t>
    </r>
    <r>
      <rPr>
        <sz val="8"/>
        <rFont val="Droid Sans"/>
        <family val="0"/>
        <charset val="1"/>
      </rPr>
      <t xml:space="preserve">)</t>
    </r>
    <r>
      <rPr>
        <sz val="8"/>
        <rFont val="Noto Sans CJK SC Regular"/>
        <family val="2"/>
      </rPr>
      <t xml:space="preserve">。天文・気象・地図・鉄道・教育などが興味の中心、永遠の気象予報志でもあります。今のところ、ＲＴばかりでほとんどつぶやいていません</t>
    </r>
    <r>
      <rPr>
        <sz val="8"/>
        <rFont val="Droid Sans"/>
        <family val="0"/>
        <charset val="1"/>
      </rPr>
      <t xml:space="preserve">(^_^;)</t>
    </r>
    <r>
      <rPr>
        <sz val="8"/>
        <rFont val="Noto Sans CJK SC Regular"/>
        <family val="2"/>
      </rPr>
      <t xml:space="preserve">。</t>
    </r>
  </si>
  <si>
    <t xml:space="preserve">Deepak sharma</t>
  </si>
  <si>
    <t xml:space="preserve">Election Risk Pays Off for Shinzo Abe of Japan as Party Appears to Win Big https://t.co/j4urMlFkKv https://t.co/5t5nGti4Nq</t>
  </si>
  <si>
    <t xml:space="preserve">Parag bhandari</t>
  </si>
  <si>
    <t xml:space="preserve">Bijapur, Karnataka</t>
  </si>
  <si>
    <t xml:space="preserve">Politics. Elections.</t>
  </si>
  <si>
    <t xml:space="preserve">ecitygistofficial</t>
  </si>
  <si>
    <t xml:space="preserve">https://t.co/lS5LjQ15YF just posted #ecityfungist: Election Risk Pays Off for Shinzo Abe of Japan as Party Appea… https://t.co/HIlaYJfTx5</t>
  </si>
  <si>
    <t xml:space="preserve">lagos</t>
  </si>
  <si>
    <t xml:space="preserve">gist story news and more</t>
  </si>
  <si>
    <r>
      <rPr>
        <sz val="8"/>
        <rFont val="Noto Sans CJK SC Regular"/>
        <family val="2"/>
      </rPr>
      <t xml:space="preserve">三村　純</t>
    </r>
    <r>
      <rPr>
        <sz val="8"/>
        <rFont val="Droid Sans"/>
        <family val="0"/>
        <charset val="1"/>
      </rPr>
      <t xml:space="preserve">/MIMURA JUN</t>
    </r>
  </si>
  <si>
    <r>
      <rPr>
        <sz val="8"/>
        <rFont val="Droid Sans"/>
        <family val="0"/>
        <charset val="1"/>
      </rPr>
      <t xml:space="preserve">An editor at a Japanese publishing company. Mainly Nonfiction</t>
    </r>
    <r>
      <rPr>
        <sz val="8"/>
        <rFont val="Noto Sans CJK SC Regular"/>
        <family val="2"/>
      </rPr>
      <t xml:space="preserve">。担当作『レッド・プラトーン </t>
    </r>
    <r>
      <rPr>
        <sz val="8"/>
        <rFont val="Droid Sans"/>
        <family val="0"/>
        <charset val="1"/>
      </rPr>
      <t xml:space="preserve">14</t>
    </r>
    <r>
      <rPr>
        <sz val="8"/>
        <rFont val="Noto Sans CJK SC Regular"/>
        <family val="2"/>
      </rPr>
      <t xml:space="preserve">時間の死闘』『海の地政学』『セガ </t>
    </r>
    <r>
      <rPr>
        <sz val="8"/>
        <rFont val="Droid Sans"/>
        <family val="0"/>
        <charset val="1"/>
      </rPr>
      <t xml:space="preserve">vs. </t>
    </r>
    <r>
      <rPr>
        <sz val="8"/>
        <rFont val="Noto Sans CJK SC Regular"/>
        <family val="2"/>
      </rPr>
      <t xml:space="preserve">任天堂』『日本</t>
    </r>
    <r>
      <rPr>
        <sz val="8"/>
        <rFont val="Droid Sans"/>
        <family val="0"/>
        <charset val="1"/>
      </rPr>
      <t xml:space="preserve">-</t>
    </r>
    <r>
      <rPr>
        <sz val="8"/>
        <rFont val="Noto Sans CJK SC Regular"/>
        <family val="2"/>
      </rPr>
      <t xml:space="preserve">喪失と再起の物語』『あなたの人生の意味』『格差と再分配』『黒い迷宮』など。発言は個人の見解です。</t>
    </r>
  </si>
  <si>
    <t xml:space="preserve">Brittany J Blackwell</t>
  </si>
  <si>
    <t xml:space="preserve">Top story: Shinzo Abe secures strong mandate in Japan's general election | Worl… https://t.co/3dcIjkr0T2, see more https://t.co/8aw3C3KwqY</t>
  </si>
  <si>
    <t xml:space="preserve">Northern Saskatchewan</t>
  </si>
  <si>
    <t xml:space="preserve">I'm a freelance journalist/photographer for print/online publications, and an activist for Palestine. An avid animal lover &amp; rescuer, I'm owned by 5 dogs !</t>
  </si>
  <si>
    <t xml:space="preserve">Kethily  Santos</t>
  </si>
  <si>
    <t xml:space="preserve">paolo ignazio marong</t>
  </si>
  <si>
    <t xml:space="preserve">Vittoria certa A resounding majority could pave the way for the Japanese leader to revise the country's p… https://t.co/HDkAIgIx2O</t>
  </si>
  <si>
    <t xml:space="preserve">libero professionista,analista sereno navigatore nel mondo che cambia per cercare rotte nuove ed insolite Degusta il tempo Sa di non sapere co-founder @tobe_srl</t>
  </si>
  <si>
    <t xml:space="preserve">NoDownPaymentCarIns</t>
  </si>
  <si>
    <t xml:space="preserve">Top story: Japan election: Shinzo Abe's economy faces huge challenges - Oct. 20… https://t.co/EihgpN1n7I, see more https://t.co/QbzNzjzaut</t>
  </si>
  <si>
    <t xml:space="preserve">Getting a car insurance quote from https://t.co/gia0ZYB12c takes only a few minutes. Cheap car insurance quotes mean you get the right price.</t>
  </si>
  <si>
    <t xml:space="preserve">Phil W.</t>
  </si>
  <si>
    <t xml:space="preserve">Élève @ENA_fr, public policy, FR civil service, alumnus @sciencespo — aware of climate change, panda maniac — compte personnel • n'engage que moi • RT/♡ ≠ moi</t>
  </si>
  <si>
    <t xml:space="preserve">フィリピン人出稼ぎ</t>
  </si>
  <si>
    <t xml:space="preserve">Tanjong Rhu, Singapore</t>
  </si>
  <si>
    <t xml:space="preserve">Jean Louis Legalery</t>
  </si>
  <si>
    <t xml:space="preserve">Shinzo Abe secures strong mandate in Japan's general election https://t.co/Yu0O50y3sf</t>
  </si>
  <si>
    <t xml:space="preserve">Agrégé et docteur en anglais retraité, passionné par le football...autrefois. Abonné @mediapart, membre de la rédaction de DIACRITIK.</t>
  </si>
  <si>
    <t xml:space="preserve">sohail siddiqui</t>
  </si>
  <si>
    <t xml:space="preserve">Shinzo Abe sweeps to a comfortable victory in Japan snap election</t>
  </si>
  <si>
    <t xml:space="preserve">GREATER NOIDA , SECTOR PI</t>
  </si>
  <si>
    <t xml:space="preserve">Founder President Indian Resistance Party : Chief Editor,CEO, http://t.co/wT3PctYc8p</t>
  </si>
  <si>
    <t xml:space="preserve">Allan Dwyer</t>
  </si>
  <si>
    <t xml:space="preserve">Tokyo | Calgary | Tilting Hr</t>
  </si>
  <si>
    <t xml:space="preserve">#MRU finance prof, #CFA | 🇯🇵 2017-18 visiting prof Soka U, Tokyo | Research: Debt, crises, financialization, mercantile history &amp; ethnicity. ☘️ I like #poetry</t>
  </si>
  <si>
    <t xml:space="preserve">Zeeshan Shah</t>
  </si>
  <si>
    <t xml:space="preserve">Works at FINRA; Observer of Pak/US politics with 9 years of working in both political systems. Interests in Intl Affairs/Financial Markets/Türkiye. Orioles fan</t>
  </si>
  <si>
    <t xml:space="preserve">BBCNEWS 6:12am JAPAN SNAP ELECTION. Exit polls put Shinzo Abe on couvse for big win JAPAN SNAP ELECTION. 1OO million people eligible...</t>
  </si>
  <si>
    <t xml:space="preserve">More/Less Preferred</t>
  </si>
  <si>
    <t xml:space="preserve">Oak Park, IL</t>
  </si>
  <si>
    <t xml:space="preserve">I want to move anywhere but here.</t>
  </si>
  <si>
    <t xml:space="preserve">Paul</t>
  </si>
  <si>
    <t xml:space="preserve">RT @notiven: RT: @nytimes :Election Risk Pays Off for Shinzo Abe of Japan as Party Appears to Win Big https://t.co/KnfrN3hD5z</t>
  </si>
  <si>
    <t xml:space="preserve">pythontestingForAmazon</t>
  </si>
  <si>
    <t xml:space="preserve">Android. Raspberry Pi. Technology. Loving the Twitters</t>
  </si>
  <si>
    <t xml:space="preserve">BBCNEWS 6:13am JAPAN SNAP ELECTION. Exit polls put Shinzo Abe on couvse for big win JAPAN SNAP ELECTION. A low voter turnout expected...</t>
  </si>
  <si>
    <t xml:space="preserve">#Election Risk Pays Off for Shinzo Abe of Japan as Party Appears to Win Big https://t.co/C5SPQ5HjjR</t>
  </si>
  <si>
    <t xml:space="preserve">FictioNews.com</t>
  </si>
  <si>
    <t xml:space="preserve">#BreakingNews The top news stories from around the world designed for quick easy reading and fast page loading with limited ads and NO POPUPS EVER!</t>
  </si>
  <si>
    <t xml:space="preserve">https://t.co/EqUUHZFYwi #Pamplona Landslide election victory projected for Japan's Shinzo Abe https://t.co/3aAgcJo5oi</t>
  </si>
  <si>
    <t xml:space="preserve">West Virginia Topics</t>
  </si>
  <si>
    <t xml:space="preserve">@wochit Japan PM Shinzo Abe Looking Like Big Election Winner https://t.co/u50DFblsyJ</t>
  </si>
  <si>
    <t xml:space="preserve">Morgantown, WV</t>
  </si>
  <si>
    <t xml:space="preserve">dubvNOW started as a weekly handout sheet on #WVU campus in 2011 - 5,000 copies a week. Now... we post links to articles &amp; videos. connect to team@dubvLIVE.com</t>
  </si>
  <si>
    <t xml:space="preserve">Election Risk Pays Off for Shinzo Abe of Japan as Party Appears to Win Big https://t.co/Cm9JCpJUMV</t>
  </si>
  <si>
    <t xml:space="preserve">Coach Trent</t>
  </si>
  <si>
    <t xml:space="preserve">Japan's Abe poised for landslide victory - Polls have closed in Japan's snap election and Prime Minister Shinzo... https://t.co/2GrNOYNAox</t>
  </si>
  <si>
    <t xml:space="preserve">It's Time To Ball Ya'll' Miami TV Host Jason Jackson's Swagg Rag. Sales from Swagg Rag go to Jax Fam Foundation buy at https://t.co/v0bl6DvdQ6</t>
  </si>
  <si>
    <t xml:space="preserve">BBCNEWS 6:14am JAPAN SNAP ELECTION. A low voter turnout expected at the polls JAPAN SNAP ELECTION = 7 m. Shinzo Abe called for snap...</t>
  </si>
  <si>
    <r>
      <rPr>
        <sz val="8"/>
        <rFont val="Noto Sans CJK SC Regular"/>
        <family val="2"/>
      </rPr>
      <t xml:space="preserve">ユンカース</t>
    </r>
    <r>
      <rPr>
        <sz val="8"/>
        <rFont val="Droid Sans"/>
        <family val="0"/>
        <charset val="1"/>
      </rPr>
      <t xml:space="preserve">(East)</t>
    </r>
  </si>
  <si>
    <r>
      <rPr>
        <sz val="8"/>
        <rFont val="Noto Sans CJK SC Regular"/>
        <family val="2"/>
      </rPr>
      <t xml:space="preserve">東京</t>
    </r>
    <r>
      <rPr>
        <sz val="8"/>
        <rFont val="Droid Sans"/>
        <family val="0"/>
        <charset val="1"/>
      </rPr>
      <t xml:space="preserve">18</t>
    </r>
    <r>
      <rPr>
        <sz val="8"/>
        <rFont val="Noto Sans CJK SC Regular"/>
        <family val="2"/>
      </rPr>
      <t xml:space="preserve">区</t>
    </r>
  </si>
  <si>
    <r>
      <rPr>
        <sz val="8"/>
        <rFont val="Noto Sans CJK SC Regular"/>
        <family val="2"/>
      </rPr>
      <t xml:space="preserve">カジュアル社畜／ヒゲ歴</t>
    </r>
    <r>
      <rPr>
        <sz val="8"/>
        <rFont val="Droid Sans"/>
        <family val="0"/>
        <charset val="1"/>
      </rPr>
      <t xml:space="preserve">16</t>
    </r>
    <r>
      <rPr>
        <sz val="8"/>
        <rFont val="Noto Sans CJK SC Regular"/>
        <family val="2"/>
      </rPr>
      <t xml:space="preserve">年目／</t>
    </r>
    <r>
      <rPr>
        <sz val="8"/>
        <rFont val="Droid Sans"/>
        <family val="0"/>
        <charset val="1"/>
      </rPr>
      <t xml:space="preserve">O☆BAKA(Ba.)</t>
    </r>
    <r>
      <rPr>
        <sz val="8"/>
        <rFont val="Noto Sans CJK SC Regular"/>
        <family val="2"/>
      </rPr>
      <t xml:space="preserve">、</t>
    </r>
    <r>
      <rPr>
        <sz val="8"/>
        <rFont val="Droid Sans"/>
        <family val="0"/>
        <charset val="1"/>
      </rPr>
      <t xml:space="preserve">OSS47(Per.)</t>
    </r>
    <r>
      <rPr>
        <sz val="8"/>
        <rFont val="Noto Sans CJK SC Regular"/>
        <family val="2"/>
      </rPr>
      <t xml:space="preserve">、他／</t>
    </r>
    <r>
      <rPr>
        <sz val="8"/>
        <rFont val="Droid Sans"/>
        <family val="0"/>
        <charset val="1"/>
      </rPr>
      <t xml:space="preserve">milktub</t>
    </r>
    <r>
      <rPr>
        <sz val="8"/>
        <rFont val="Noto Sans CJK SC Regular"/>
        <family val="2"/>
      </rPr>
      <t xml:space="preserve">、</t>
    </r>
    <r>
      <rPr>
        <sz val="8"/>
        <rFont val="Droid Sans"/>
        <family val="0"/>
        <charset val="1"/>
      </rPr>
      <t xml:space="preserve">AiRI</t>
    </r>
    <r>
      <rPr>
        <sz val="8"/>
        <rFont val="Noto Sans CJK SC Regular"/>
        <family val="2"/>
      </rPr>
      <t xml:space="preserve">、</t>
    </r>
    <r>
      <rPr>
        <sz val="8"/>
        <rFont val="Droid Sans"/>
        <family val="0"/>
        <charset val="1"/>
      </rPr>
      <t xml:space="preserve">30% LESS FAT</t>
    </r>
    <r>
      <rPr>
        <sz val="8"/>
        <rFont val="Noto Sans CJK SC Regular"/>
        <family val="2"/>
      </rPr>
      <t xml:space="preserve">、</t>
    </r>
    <r>
      <rPr>
        <sz val="8"/>
        <rFont val="Droid Sans"/>
        <family val="0"/>
        <charset val="1"/>
      </rPr>
      <t xml:space="preserve">TMNetwork</t>
    </r>
    <r>
      <rPr>
        <sz val="8"/>
        <rFont val="Noto Sans CJK SC Regular"/>
        <family val="2"/>
      </rPr>
      <t xml:space="preserve">、</t>
    </r>
    <r>
      <rPr>
        <sz val="8"/>
        <rFont val="Droid Sans"/>
        <family val="0"/>
        <charset val="1"/>
      </rPr>
      <t xml:space="preserve">I've</t>
    </r>
    <r>
      <rPr>
        <sz val="8"/>
        <rFont val="Noto Sans CJK SC Regular"/>
        <family val="2"/>
      </rPr>
      <t xml:space="preserve">／</t>
    </r>
    <r>
      <rPr>
        <sz val="8"/>
        <rFont val="Droid Sans"/>
        <family val="0"/>
        <charset val="1"/>
      </rPr>
      <t xml:space="preserve">DJ Shimamura</t>
    </r>
    <r>
      <rPr>
        <sz val="8"/>
        <rFont val="Noto Sans CJK SC Regular"/>
        <family val="2"/>
      </rPr>
      <t xml:space="preserve">、</t>
    </r>
    <r>
      <rPr>
        <sz val="8"/>
        <rFont val="Droid Sans"/>
        <family val="0"/>
        <charset val="1"/>
      </rPr>
      <t xml:space="preserve">Fish&amp;Chips</t>
    </r>
    <r>
      <rPr>
        <sz val="8"/>
        <rFont val="Noto Sans CJK SC Regular"/>
        <family val="2"/>
      </rPr>
      <t xml:space="preserve">／</t>
    </r>
    <r>
      <rPr>
        <sz val="8"/>
        <rFont val="Droid Sans"/>
        <family val="0"/>
        <charset val="1"/>
      </rPr>
      <t xml:space="preserve">OVERDRIVE</t>
    </r>
    <r>
      <rPr>
        <sz val="8"/>
        <rFont val="Noto Sans CJK SC Regular"/>
        <family val="2"/>
      </rPr>
      <t xml:space="preserve">、</t>
    </r>
    <r>
      <rPr>
        <sz val="8"/>
        <rFont val="Droid Sans"/>
        <family val="0"/>
        <charset val="1"/>
      </rPr>
      <t xml:space="preserve">STUDIO696</t>
    </r>
    <r>
      <rPr>
        <sz val="8"/>
        <rFont val="Noto Sans CJK SC Regular"/>
        <family val="2"/>
      </rPr>
      <t xml:space="preserve">／オバコレ、オバホラ、デザフェス、リアニ／そらまるの右頬のホクロ</t>
    </r>
  </si>
  <si>
    <t xml:space="preserve">Election Risk Pays Off for Shinzo Abe of #Japan as Party Appears to Win Big https://t.co/NK6NqiKHWn Via @NYTimes</t>
  </si>
  <si>
    <t xml:space="preserve">Abe sweeps to resounding victory in Japan vote - Japanese Prime Minister Shinzo Abe swept to a resounding victo... https://t.co/vcvVC6eBBK</t>
  </si>
  <si>
    <t xml:space="preserve">Brody Salazar</t>
  </si>
  <si>
    <t xml:space="preserve">Just a nerdy and fun-loving guy. News editor and reporter for @TheBreezePaper</t>
  </si>
  <si>
    <t xml:space="preserve">Japan's PM Shinzo Abe poised to win snap election | Abe remains on track to become Japan's ... | https://t.co/eGg9BBilbR</t>
  </si>
  <si>
    <t xml:space="preserve">Rushdy Nizar</t>
  </si>
  <si>
    <t xml:space="preserve">Sri Lanka</t>
  </si>
  <si>
    <t xml:space="preserve">Writes @EurasiaReview @ColomboTelegraph on SA &amp; ME|@ABC Network @Hirunews|Digital Head @UTVnews| Regards not always endorsement</t>
  </si>
  <si>
    <t xml:space="preserve">Eva Prats</t>
  </si>
  <si>
    <t xml:space="preserve">Shinzo Abe's party on road to victory in Japan's elections, early projections show https://t.co/CmSOl6uLZW</t>
  </si>
  <si>
    <t xml:space="preserve">ES Valencia</t>
  </si>
  <si>
    <t xml:space="preserve">Cosas que importan, o no. Noticias, música, pensamientos, obviedades y pareceres... https://t.co/KXWNdGQuQG</t>
  </si>
  <si>
    <t xml:space="preserve">Stewart71</t>
  </si>
  <si>
    <t xml:space="preserve">Japan election: Shinzo Abe&amp;apos;s ruling coalition secures large majority, exit polls suggest , more details : https://t.co/J1Nf4zvCH8</t>
  </si>
  <si>
    <t xml:space="preserve">Glory to God for His Abounding Grace, Loving kindness and Tender Mercies. Praise be to You Lord Jesus always and Forever, AMEN 🤗</t>
  </si>
  <si>
    <r>
      <rPr>
        <sz val="8"/>
        <rFont val="Droid Sans"/>
        <family val="0"/>
        <charset val="1"/>
      </rPr>
      <t xml:space="preserve">Shikinami / </t>
    </r>
    <r>
      <rPr>
        <sz val="8"/>
        <rFont val="Noto Sans CJK SC Regular"/>
        <family val="2"/>
      </rPr>
      <t xml:space="preserve">式波</t>
    </r>
  </si>
  <si>
    <t xml:space="preserve">Graduate student based in Tokyo. Japanese Pop Culture enthusiast. Occasional RTs on China, Japan and Korea. I stand for Human Rights. RTs ≠ endorsements</t>
  </si>
  <si>
    <t xml:space="preserve">O.tanya</t>
  </si>
  <si>
    <t xml:space="preserve">always talks about football, and other topics if i feel like...</t>
  </si>
  <si>
    <t xml:space="preserve">wirenews</t>
  </si>
  <si>
    <t xml:space="preserve">FOX NEWS: Japan election: Shinzo Abe's party likely to seize control in lower house https://t.co/GoQw2yfIEx</t>
  </si>
  <si>
    <t xml:space="preserve">Marco Giannetti</t>
  </si>
  <si>
    <t xml:space="preserve">vado oltre superando le ideologie.</t>
  </si>
  <si>
    <t xml:space="preserve">Seema Sirohi</t>
  </si>
  <si>
    <t xml:space="preserve">RT @mohanguruswamy: ABE WINS BIG. ENOUGH TO AMEND THE CONSTITUTION? https://t.co/YJa0WYPDMi</t>
  </si>
  <si>
    <t xml:space="preserve">Washington DC</t>
  </si>
  <si>
    <t xml:space="preserve">Columnist for Gateway House and The Economic Times, long-time watcher of India-US relations, former foreign editor of Outlook, failed rocker and aspiring yogi.</t>
  </si>
  <si>
    <t xml:space="preserve">https://t.co/lCMrAiouMG Polls have closed in Japan's snap election and Prime Minister Shinzo Abe… https://t.co/6YlHhjRm75</t>
  </si>
  <si>
    <t xml:space="preserve">Boston News</t>
  </si>
  <si>
    <t xml:space="preserve">RT @sohafari: Shinzo Abe sweeps to a comfortable victory in Japan snap election</t>
  </si>
  <si>
    <t xml:space="preserve">bostonlocalnews001</t>
  </si>
  <si>
    <t xml:space="preserve">an academic research project from @umiacs aiming to detect Boston news.</t>
  </si>
  <si>
    <r>
      <rPr>
        <sz val="8"/>
        <rFont val="Noto Sans CJK SC Regular"/>
        <family val="2"/>
      </rPr>
      <t xml:space="preserve">휘이 </t>
    </r>
    <r>
      <rPr>
        <sz val="8"/>
        <rFont val="Droid Sans"/>
        <family val="0"/>
        <charset val="1"/>
      </rPr>
      <t xml:space="preserve">:)</t>
    </r>
  </si>
  <si>
    <t xml:space="preserve">Down Under</t>
  </si>
  <si>
    <t xml:space="preserve">Do I really need a bio? My tweets obviously show you what the person I am. :D</t>
  </si>
  <si>
    <t xml:space="preserve">Coba from T</t>
  </si>
  <si>
    <t xml:space="preserve">毎日の御飯と音楽、いくら繰り返しても飽きがこなくてもっともっと美味しいものをと思ってしまうもの、そんな日々がいつまでも続きますようと思いながら綴るのが日課でしょうか。良い明日の為に．．．</t>
  </si>
  <si>
    <t xml:space="preserve">Made Arya Nengga U</t>
  </si>
  <si>
    <t xml:space="preserve">Sumida-ku, Tokyo</t>
  </si>
  <si>
    <t xml:space="preserve">Why so serious?</t>
  </si>
  <si>
    <t xml:space="preserve">Quad</t>
  </si>
  <si>
    <t xml:space="preserve">Top story: Shinzo Abe secures strong mandate in Japan's general election | Worl… https://t.co/tiXMP2Y815, see more https://t.co/FvYNnJknym</t>
  </si>
  <si>
    <t xml:space="preserve">Yotsuya, Shinjuku Ward, Tokyo</t>
  </si>
  <si>
    <t xml:space="preserve">Art, cinema, music, literature, philosophy, cats, etc... Tokyoite father of two daughters. No DM please.</t>
  </si>
  <si>
    <t xml:space="preserve">Asis Timermans</t>
  </si>
  <si>
    <t xml:space="preserve">RT @pratseva: Shinzo Abe's party on road to victory in Japan's elections, early projections show https://t.co/CmSOl6uLZW</t>
  </si>
  <si>
    <t xml:space="preserve">Autor de ¿PODEMOS? análisis político e histórico. https://t.co/cr343oUzmR</t>
  </si>
  <si>
    <t xml:space="preserve">T_Prattz</t>
  </si>
  <si>
    <t xml:space="preserve">Half man, half tea, half Charizard</t>
  </si>
  <si>
    <t xml:space="preserve">Yogarajah Sgy</t>
  </si>
  <si>
    <t xml:space="preserve">RT @betheredothat: Shinzo Abe’s coalition is projected to win the Japanese election https://t.co/mn7G06eWgd #Japan #ShinzoAbe #JapanElection</t>
  </si>
  <si>
    <t xml:space="preserve">digshopping</t>
  </si>
  <si>
    <t xml:space="preserve">Election Risk Pays Off for Shinzo Abe of Japan as Party Appears to Win Big https://t.co/mtkO3A8OO2</t>
  </si>
  <si>
    <t xml:space="preserve">Shinzo Abe secures strong mandate in Japan's general election https://t.co/KzL93Crljs</t>
  </si>
  <si>
    <t xml:space="preserve">The Union-Tribune</t>
  </si>
  <si>
    <t xml:space="preserve">Exit polls show win for Japanese PM Abe's ruling coalition https://t.co/F0VQfQDVwQ https://t.co/LcA9JAA0hn</t>
  </si>
  <si>
    <t xml:space="preserve">trueAnthem</t>
  </si>
  <si>
    <t xml:space="preserve">The San Diego Union-Tribune, the region's leading news source since 1868. Follow our journalists, too: https://t.co/bahQMYf2zJ</t>
  </si>
  <si>
    <t xml:space="preserve">Landslide election victory projected for Japan's Shinzo Abe Abe could win enough seats to reform Japan's pacifist constitution.</t>
  </si>
  <si>
    <t xml:space="preserve">Ashq Azad</t>
  </si>
  <si>
    <t xml:space="preserve">Election Risk Pays Off for Shinzo Abe of Japan as Party Appears to Win Big https://t.co/qDT7880Pqr</t>
  </si>
  <si>
    <t xml:space="preserve">Srinagar, Jammu Kashmir</t>
  </si>
  <si>
    <t xml:space="preserve">I am a fake account</t>
  </si>
  <si>
    <t xml:space="preserve">RT @markalexander_1: #ShinzoAbe secures strong mandate in #Japan's #generalelection https://t.co/np2MWYnTgC</t>
  </si>
  <si>
    <t xml:space="preserve">JAPAN ELECTION 2017: Governing LDP-Komeito coalition under PM Shinzo ABE retains its majority in the House of Representatives of Japan.</t>
  </si>
  <si>
    <t xml:space="preserve">NewSparkTamil</t>
  </si>
  <si>
    <t xml:space="preserve">#ShinzoAbe Set for a Hat-trick #Win in #Japan: #ExitPolls #Asia #Election #PrimeMinister https://t.co/WSEkXtFt5G https://t.co/BGP9FL8n8h</t>
  </si>
  <si>
    <t xml:space="preserve">New Spark in Media</t>
  </si>
  <si>
    <t xml:space="preserve">worldwide RSS</t>
  </si>
  <si>
    <t xml:space="preserve">Election Risk Pays Off for Shinzo Abe of Japan as Party Appears to Win Big https://t.co/UrUBxqQdJd https://t.co/b9NXxG5G70</t>
  </si>
  <si>
    <t xml:space="preserve">Prakash Gopal</t>
  </si>
  <si>
    <t xml:space="preserve">Research Fellow, National Maritime Foundation</t>
  </si>
  <si>
    <t xml:space="preserve">RT @GlobalNewsBKK: Election Risk Pays Off for #ShinzoAbe of #Japan as Party Appears to Win Big @nytimes https://t.co/RXEPfmyu6K</t>
  </si>
  <si>
    <t xml:space="preserve">KANNIKA   SRIJAN</t>
  </si>
  <si>
    <t xml:space="preserve">Luca Fernádez Mont.</t>
  </si>
  <si>
    <t xml:space="preserve">Shinzo Abe secures strong mandate in Japan's general election. Pacifist Constitution can change. https://t.co/rEJfWqiuLt</t>
  </si>
  <si>
    <t xml:space="preserve">República Oriental del Uruguay</t>
  </si>
  <si>
    <t xml:space="preserve">Uruguayo. Christian. Beautiful game lover. Estadio Luis Franzini 1998. Student RRII Fder. UDELAR. Democracy &amp; Freedom defender. 🇺🇾🇦🇷🇮🇹🇺🇸🇫🇷🇯🇵</t>
  </si>
  <si>
    <t xml:space="preserve">El Cajon News</t>
  </si>
  <si>
    <t xml:space="preserve">Exit polls show win for Japanese PM Abe's ruling coalition https://t.co/8zsVdMTFf0</t>
  </si>
  <si>
    <t xml:space="preserve">El Cajon, CA</t>
  </si>
  <si>
    <t xml:space="preserve">The latest news and events from El Cajon.</t>
  </si>
  <si>
    <t xml:space="preserve">Breaking News Alert</t>
  </si>
  <si>
    <t xml:space="preserve">Japan's PM Shinzo Abe poised to win snap election https://t.co/h61lYwL6NM</t>
  </si>
  <si>
    <t xml:space="preserve">Joy Bouquet</t>
  </si>
  <si>
    <t xml:space="preserve">Election Risk Pays Off for Shinzo Abe of Japan as Party Appears to Win Big https://t.co/vpdzoKMyju</t>
  </si>
  <si>
    <t xml:space="preserve">We care of your Health. Like and follow us on Facebook, Instagram, Pinterest and Google+</t>
  </si>
  <si>
    <t xml:space="preserve">Boris Toucas</t>
  </si>
  <si>
    <t xml:space="preserve">#Japan: Shinzo Abe wins early election amid tensions with #NorthKorea &amp; calls to revise Constitution on self-defense https://t.co/R0UfF3x7oh</t>
  </si>
  <si>
    <t xml:space="preserve">Visiting fellow at @CSIS, detached diplomat. Twitt'ish tweets about nuclear deterrence, BMD, #Northkorea, Russia or else. Views my own. RT not endorsement.</t>
  </si>
  <si>
    <t xml:space="preserve">RT @usyername: RT: nytimes :Election Risk Pays Off for Shinzo Abe of Japan as Party Appears to Win Big https://t.co/TsjBHWrJNz</t>
  </si>
  <si>
    <t xml:space="preserve">RT @DrAsifShahid: #ShinzoAbe sweeps to a comfortable victory in #Japan snap election https://t.co/HYmIkdrZVn</t>
  </si>
  <si>
    <t xml:space="preserve">Retweeted Dr Asif Shahid (@DrAsifShahid): #ShinzoAbe sweeps to a comfortable victory in #Japan snap election... https://t.co/ZpA8m1H70a</t>
  </si>
  <si>
    <t xml:space="preserve">RT @DrAsifShahid: #Japan 's PM #ShinzoAbe poised to win snap election #japanelection https://t.co/K13HKMg53i</t>
  </si>
  <si>
    <t xml:space="preserve">Retweeted Dr Asif Shahid (@DrAsifShahid): #Japan 's PM #ShinzoAbe poised to win snap election #japanelection... https://t.co/VFenr7KA8I</t>
  </si>
  <si>
    <t xml:space="preserve">ShinzoNaziAbe secures strong mandate in Japan's general election https://t.co/HGmHSWoaRJ</t>
  </si>
  <si>
    <t xml:space="preserve">Andrew L. Stewart</t>
  </si>
  <si>
    <t xml:space="preserve">Election Risk Pays Off for Shinzo Abe of Japan as Party Appears to Win Big https://t.co/t68LogBnpF</t>
  </si>
  <si>
    <t xml:space="preserve">Worcester, MA</t>
  </si>
  <si>
    <t xml:space="preserve">Assistant Professor of Social Psychology @ClarkUniversity</t>
  </si>
  <si>
    <t xml:space="preserve">Me retweet hot news</t>
  </si>
  <si>
    <t xml:space="preserve">hot.news.retweeter.k</t>
  </si>
  <si>
    <t xml:space="preserve">San Mateo, CA</t>
  </si>
  <si>
    <t xml:space="preserve">Follow big publisher and selectively retweet hot news tweets</t>
  </si>
  <si>
    <t xml:space="preserve">たもん０８</t>
  </si>
  <si>
    <t xml:space="preserve">立憲民主党支持者です。</t>
  </si>
  <si>
    <t xml:space="preserve">Sachin Patil</t>
  </si>
  <si>
    <t xml:space="preserve">Sangli</t>
  </si>
  <si>
    <t xml:space="preserve">I'm a Textile Engg. I work in my family run business. I'm a staunch supporter of free market economy.</t>
  </si>
  <si>
    <t xml:space="preserve">Ingenium Advisors</t>
  </si>
  <si>
    <t xml:space="preserve">#Congrats PM #Abe . Will he commit to structural change and interest rate increases in #Japan ? #finance #capital https://t.co/7GVT8dEY30</t>
  </si>
  <si>
    <t xml:space="preserve">Malaysia's Financial Macro-Economics Advisory Email: ingeniumadvisors@yahoo.com</t>
  </si>
  <si>
    <t xml:space="preserve">NIPPON TV NEWS 24</t>
  </si>
  <si>
    <t xml:space="preserve">Exit polls for Japan's 48th Lower House election show Prime Minister Shinzo Abe's Liberal Democratic Party poised... https://t.co/oCJ8m77c1m</t>
  </si>
  <si>
    <t xml:space="preserve">NTV News24 is the news service of Nippon Television, Japan's top private broadcast network. This page presents a selection of today's leading stories in English</t>
  </si>
  <si>
    <t xml:space="preserve">Ida Herd</t>
  </si>
  <si>
    <t xml:space="preserve">ottawa Canada </t>
  </si>
  <si>
    <t xml:space="preserve">Political zealot No lists please &amp; thanks</t>
  </si>
  <si>
    <t xml:space="preserve">Japanese PM Abe appears headed to impressive election win https://t.co/JYw9ATByUI #NLU</t>
  </si>
  <si>
    <t xml:space="preserve">Adel Koutet</t>
  </si>
  <si>
    <t xml:space="preserve">Japan's PM Shinzo Abe poised to win snap election #Marocconnected https://t.co/h82a4Kduhh</t>
  </si>
  <si>
    <t xml:space="preserve">Rotterdam</t>
  </si>
  <si>
    <t xml:space="preserve">Welkom bij Maroc Connected. De plek om je vrienden te vinden, nieuwe contacten op te doen en op de hoogte te blijven van wat er speelt</t>
  </si>
  <si>
    <t xml:space="preserve">Abe sweeps to resounding victory in Japan vote: Japanese Prime Minister Shinzo Abe swept to… https://t.co/jLcn67s7wO</t>
  </si>
  <si>
    <t xml:space="preserve">Pakistan Talk Shows</t>
  </si>
  <si>
    <t xml:space="preserve">Splintered opposition 'Sink' Japan Japanese Prime Minister Shinzo Abe swept to a comfortable victory in a snap... https://t.co/U7kk3Q1Y9X</t>
  </si>
  <si>
    <t xml:space="preserve">Leeds</t>
  </si>
  <si>
    <t xml:space="preserve">S on ICE</t>
  </si>
  <si>
    <t xml:space="preserve">Shinzo Abe secures strong mandate in Japan's general election https://t.co/6bKEengDoo</t>
  </si>
  <si>
    <r>
      <rPr>
        <sz val="8"/>
        <rFont val="Noto Sans CJK SC Regular"/>
        <family val="2"/>
      </rPr>
      <t xml:space="preserve">都内在住の男性。日本酒、クラフトビール、料理、</t>
    </r>
    <r>
      <rPr>
        <sz val="8"/>
        <rFont val="Droid Sans"/>
        <family val="0"/>
        <charset val="1"/>
      </rPr>
      <t xml:space="preserve">Indie Rock</t>
    </r>
    <r>
      <rPr>
        <sz val="8"/>
        <rFont val="Noto Sans CJK SC Regular"/>
        <family val="2"/>
      </rPr>
      <t xml:space="preserve">、</t>
    </r>
    <r>
      <rPr>
        <sz val="8"/>
        <rFont val="Droid Sans"/>
        <family val="0"/>
        <charset val="1"/>
      </rPr>
      <t xml:space="preserve">Musical</t>
    </r>
    <r>
      <rPr>
        <sz val="8"/>
        <rFont val="Noto Sans CJK SC Regular"/>
        <family val="2"/>
      </rPr>
      <t xml:space="preserve">、印象派、仏像、現代美術、スキー、植物、ミステリー、オカルト、漫画、社会学、福祉など。元</t>
    </r>
    <r>
      <rPr>
        <sz val="8"/>
        <rFont val="Droid Sans"/>
        <family val="0"/>
        <charset val="1"/>
      </rPr>
      <t xml:space="preserve">AnxAn</t>
    </r>
    <r>
      <rPr>
        <sz val="8"/>
        <rFont val="Noto Sans CJK SC Regular"/>
        <family val="2"/>
      </rPr>
      <t xml:space="preserve">プレーヤー。サガシリーズ好き。健康的な食に興味。</t>
    </r>
    <r>
      <rPr>
        <sz val="8"/>
        <rFont val="Droid Sans"/>
        <family val="0"/>
        <charset val="1"/>
      </rPr>
      <t xml:space="preserve">2</t>
    </r>
    <r>
      <rPr>
        <sz val="8"/>
        <rFont val="Noto Sans CJK SC Regular"/>
        <family val="2"/>
      </rPr>
      <t xml:space="preserve">時間サスペンスは必ず録画。スナック好き。よろしくどうぞ</t>
    </r>
    <r>
      <rPr>
        <sz val="8"/>
        <rFont val="Droid Sans"/>
        <family val="0"/>
        <charset val="1"/>
      </rPr>
      <t xml:space="preserve">(</t>
    </r>
    <r>
      <rPr>
        <sz val="8"/>
        <rFont val="Noto Sans CJK SC Regular"/>
        <family val="2"/>
      </rPr>
      <t xml:space="preserve">・∀・</t>
    </r>
    <r>
      <rPr>
        <sz val="8"/>
        <rFont val="Droid Sans"/>
        <family val="0"/>
        <charset val="1"/>
      </rPr>
      <t xml:space="preserve">)</t>
    </r>
  </si>
  <si>
    <t xml:space="preserve">Khan Ulugbek</t>
  </si>
  <si>
    <t xml:space="preserve">Bishkek</t>
  </si>
  <si>
    <t xml:space="preserve">Где можно найти ещё: http://t.co/hBf2t6GvmD http://t.co/tLjWYMYTY8…</t>
  </si>
  <si>
    <t xml:space="preserve">Bello El-Rufai</t>
  </si>
  <si>
    <t xml:space="preserve">RT @BloombergTV: More than 100 million Japanese voters are poised to give Shinzo Abe a fresh mandate https://t.co/TIEmAriqVP https://t.co/7…</t>
  </si>
  <si>
    <t xml:space="preserve">Veritas — Primus Inter Pares — LFC</t>
  </si>
  <si>
    <t xml:space="preserve">ukworldnews</t>
  </si>
  <si>
    <t xml:space="preserve">Japan election: Shinzo Abe&amp;amp;apos;s ruling coalition secures large majority, exit #WorldNews https://t.co/2tDLuwlFDr</t>
  </si>
  <si>
    <t xml:space="preserve">Find your latest World News news with just one click. Don't miss out on anything happening!</t>
  </si>
  <si>
    <t xml:space="preserve">paranunca</t>
  </si>
  <si>
    <t xml:space="preserve">Eileen Pettit</t>
  </si>
  <si>
    <t xml:space="preserve">Robert Carpenter</t>
  </si>
  <si>
    <t xml:space="preserve">G Saitis</t>
  </si>
  <si>
    <t xml:space="preserve">Japan election 2017: PM Shinzo Abe sweeps to resounding victory in vote - The Financial Express https://t.co/YGE3K1kAoV</t>
  </si>
  <si>
    <t xml:space="preserve">Alexandra Mulder</t>
  </si>
  <si>
    <t xml:space="preserve">Masters student | Public servant | Law &amp; Criminology grad | Dutch-Australian | Bibliophile &amp; WSW hooligan | Views are my own.</t>
  </si>
  <si>
    <t xml:space="preserve">The Daily Beast</t>
  </si>
  <si>
    <t xml:space="preserve">Shinzo Abe wins overwhelming mandate in Japan’s snap election https://t.co/PCSphu3H46</t>
  </si>
  <si>
    <t xml:space="preserve">Scoops, Scandals and Secret Worlds</t>
  </si>
  <si>
    <t xml:space="preserve">Carol Ngoh</t>
  </si>
  <si>
    <t xml:space="preserve">RT @thedailybeast: Shinzo Abe wins overwhelming mandate in Japan’s snap election https://t.co/PCSphu3H46</t>
  </si>
  <si>
    <t xml:space="preserve">Briegalia</t>
  </si>
  <si>
    <t xml:space="preserve">Election Risk Pays Off for Shinzo Abe of Japan as Party Appears to Win Big https://t.co/fYrKts2xlx https://t.co/TpbE5LPgQu</t>
  </si>
  <si>
    <t xml:space="preserve">writer, singer, dreamer, maker, that is me babies</t>
  </si>
  <si>
    <t xml:space="preserve">rosti rastelli</t>
  </si>
  <si>
    <t xml:space="preserve">Shinzo Abe secures strong mandate in Japan's general election https://t.co/ElheiP7OyS</t>
  </si>
  <si>
    <t xml:space="preserve">Deep Bro</t>
  </si>
  <si>
    <t xml:space="preserve">Down and to the right</t>
  </si>
  <si>
    <t xml:space="preserve">Wildin out bro story of my life for real☯️ RATED PG-25</t>
  </si>
  <si>
    <t xml:space="preserve">Jerry Barrett</t>
  </si>
  <si>
    <t xml:space="preserve">Austin, Kathmandu, Bangkok</t>
  </si>
  <si>
    <t xml:space="preserve">Filmmaker, editor, traveler, bad hombre. (https://t.co/ik4A0DNu9q)</t>
  </si>
  <si>
    <t xml:space="preserve">Election Risk Pays Off for Shinzo Abe of Japan as Party Appears to Win Big: Early… https://t.co/1DKpKhK7Os</t>
  </si>
  <si>
    <t xml:space="preserve">PolticsNewz: Japanese PM Abe appears headed to impressive election win https://t.co/qDLzDyNX57</t>
  </si>
  <si>
    <t xml:space="preserve">alopopo</t>
  </si>
  <si>
    <t xml:space="preserve">#Dawn Shinzo Abe sweeps to a comfortable victory in Japan snap election https://t.co/59XvHRgGjn #Pakistan</t>
  </si>
  <si>
    <t xml:space="preserve">Jackson Cox</t>
  </si>
  <si>
    <t xml:space="preserve">Election Risk Pays Off for Shinzo Abe of Japan as Party Appears to Win Big via @NYTimes https://t.co/QRXVNAAvz0</t>
  </si>
  <si>
    <t xml:space="preserve">Global connector, problem solver, and bourbon slinger.</t>
  </si>
  <si>
    <t xml:space="preserve">Betty Spence</t>
  </si>
  <si>
    <t xml:space="preserve">Just a liberal grandmother who views with disdain injustice of any sort !! Spiritual seeker, lover of books and all animals...Fun with my grandkids ❤️</t>
  </si>
  <si>
    <t xml:space="preserve">News JS Namibia</t>
  </si>
  <si>
    <t xml:space="preserve">Shinzo Abe secures strong mandate in Japan's general election - The Guardian https://t.co/x0SNpDPhsK #News https://t.co/sTc5iEyVQj</t>
  </si>
  <si>
    <t xml:space="preserve">Namibia</t>
  </si>
  <si>
    <t xml:space="preserve">Namibia edition</t>
  </si>
  <si>
    <t xml:space="preserve">"Japan's PM nazi Shinzo Abe poised to win snap election | Japan News | Al Jazeera" ( https://t.co/RalRK1y5vy )</t>
  </si>
  <si>
    <t xml:space="preserve">YUKA🗻🇯🇵</t>
  </si>
  <si>
    <t xml:space="preserve">👏👍👏 Election Risk Pays Off for Shinzo Abe of Japan as Party Appears to Win Big via @NYTimes https://t.co/ERWYj1bo4c</t>
  </si>
  <si>
    <t xml:space="preserve">Japan / Shizuoka city</t>
  </si>
  <si>
    <r>
      <rPr>
        <sz val="8"/>
        <rFont val="Droid Sans"/>
        <family val="0"/>
        <charset val="1"/>
      </rPr>
      <t xml:space="preserve">⚠️block default icon account ✏️Traveler / Periscoper...#yukadventure ✈️🎥 studying English &amp; Cantonese</t>
    </r>
    <r>
      <rPr>
        <sz val="8"/>
        <rFont val="Noto Sans CJK SC Regular"/>
        <family val="2"/>
      </rPr>
      <t xml:space="preserve">廣東話☝️✨ </t>
    </r>
    <r>
      <rPr>
        <sz val="8"/>
        <rFont val="Droid Sans"/>
        <family val="0"/>
        <charset val="1"/>
      </rPr>
      <t xml:space="preserve">LOVE▶️wine▶️art▶️aquarium▶️travel▶️ #peteburns ♥️</t>
    </r>
  </si>
  <si>
    <t xml:space="preserve">Dan Moshenberg</t>
  </si>
  <si>
    <t xml:space="preserve">#Japan's PM Shinzo Abe poised to win snap election @AJENews https://t.co/RmbDciphnq</t>
  </si>
  <si>
    <t xml:space="preserve">DC/Cape Town</t>
  </si>
  <si>
    <t xml:space="preserve">Women In and Beyond the Global, WIBG, is an open access feminist forum which focuses on women in and beyond the global household, global prison, global city.</t>
  </si>
  <si>
    <t xml:space="preserve">Shinzo Abe sweeps to resounding victory in Japan election https://t.co/22ACmahM2U</t>
  </si>
  <si>
    <t xml:space="preserve">cjzeledon</t>
  </si>
  <si>
    <t xml:space="preserve">santa clarita.ca</t>
  </si>
  <si>
    <t xml:space="preserve">Vesa Takkala</t>
  </si>
  <si>
    <t xml:space="preserve">There is so much beauty, I could almost cry.</t>
  </si>
  <si>
    <t xml:space="preserve">Shinzo Abe sweeps to resounding victory in Japan election https://t.co/Q7AQByZR5K</t>
  </si>
  <si>
    <t xml:space="preserve">Shinzo Abe’s coalition is projected to win the Japanese election https://t.co/1chUfktCc5 #Japan</t>
  </si>
  <si>
    <t xml:space="preserve">Shinzo Abe secures strong mandate in Japan's general election https://t.co/hGZsQLTUMr</t>
  </si>
  <si>
    <t xml:space="preserve">World: Polls have closed in Japan's snap election and Prime Minister Shinzo Abe appears… https://t.co/ZfrQXjptNS</t>
  </si>
  <si>
    <t xml:space="preserve">swarn saurabh</t>
  </si>
  <si>
    <t xml:space="preserve">Japan election: Shinzo Abe's economy faces huge challenges https://t.co/OhTaL2RL1D via @CNNMoney</t>
  </si>
  <si>
    <t xml:space="preserve">Kenji Shiraishi</t>
  </si>
  <si>
    <r>
      <rPr>
        <sz val="8"/>
        <rFont val="Droid Sans"/>
        <family val="0"/>
        <charset val="1"/>
      </rPr>
      <t xml:space="preserve">Researcher at RAEL &amp; Ph.D Student at UC Berkeley. </t>
    </r>
    <r>
      <rPr>
        <sz val="8"/>
        <rFont val="Noto Sans CJK SC Regular"/>
        <family val="2"/>
      </rPr>
      <t xml:space="preserve">データと定量分析を活用した、効果的なエネルギー・環境政策のあり方を研究しています。政策立案の技法</t>
    </r>
    <r>
      <rPr>
        <sz val="8"/>
        <rFont val="Droid Sans"/>
        <family val="0"/>
        <charset val="1"/>
      </rPr>
      <t xml:space="preserve">(</t>
    </r>
    <r>
      <rPr>
        <sz val="8"/>
        <rFont val="Noto Sans CJK SC Regular"/>
        <family val="2"/>
      </rPr>
      <t xml:space="preserve">東洋経済</t>
    </r>
    <r>
      <rPr>
        <sz val="8"/>
        <rFont val="Droid Sans"/>
        <family val="0"/>
        <charset val="1"/>
      </rPr>
      <t xml:space="preserve">) https://t.co/5Uv4e8roPR</t>
    </r>
  </si>
  <si>
    <r>
      <rPr>
        <sz val="8"/>
        <rFont val="Droid Sans"/>
        <family val="0"/>
        <charset val="1"/>
      </rPr>
      <t xml:space="preserve">Ram@</t>
    </r>
    <r>
      <rPr>
        <sz val="8"/>
        <rFont val="Noto Sans CJK SC Regular"/>
        <family val="2"/>
      </rPr>
      <t xml:space="preserve">文学</t>
    </r>
  </si>
  <si>
    <t xml:space="preserve">アメリカ</t>
  </si>
  <si>
    <t xml:space="preserve">真面目系で経済を回せ！📖🌼 新規事業計画中</t>
  </si>
  <si>
    <t xml:space="preserve">Shinzo Abe sweeps to resounding victory in Japan election https://t.co/wwhWiwLIyn</t>
  </si>
  <si>
    <t xml:space="preserve">Ahmad Alharami</t>
  </si>
  <si>
    <t xml:space="preserve">الدوحة, دولة قطر</t>
  </si>
  <si>
    <t xml:space="preserve">Election Risk Pays Off for Shinzo Abe of Japan as Party... - https://t.co/m3Lvz7472C -</t>
  </si>
  <si>
    <t xml:space="preserve">Shinzo Abe sweeps to resounding victory in Japan election https://t.co/52PGSrX3l5</t>
  </si>
  <si>
    <r>
      <rPr>
        <sz val="8"/>
        <rFont val="Noto Sans CJK SC Regular"/>
        <family val="2"/>
      </rPr>
      <t xml:space="preserve">追湾及</t>
    </r>
    <r>
      <rPr>
        <sz val="8"/>
        <rFont val="Droid Sans"/>
        <family val="0"/>
        <charset val="1"/>
      </rPr>
      <t xml:space="preserve">(ouwan)/Gaitoh</t>
    </r>
  </si>
  <si>
    <t xml:space="preserve">さっき　と　もうすぐ　のあいだ</t>
  </si>
  <si>
    <r>
      <rPr>
        <sz val="8"/>
        <rFont val="Noto Sans CJK SC Regular"/>
        <family val="2"/>
      </rPr>
      <t xml:space="preserve">追湾及 </t>
    </r>
    <r>
      <rPr>
        <sz val="8"/>
        <rFont val="Droid Sans"/>
        <family val="0"/>
        <charset val="1"/>
      </rPr>
      <t xml:space="preserve">/oyobu owan /kue ohwan/</t>
    </r>
    <r>
      <rPr>
        <sz val="8"/>
        <rFont val="Noto Sans CJK SC Regular"/>
        <family val="2"/>
      </rPr>
      <t xml:space="preserve">外套</t>
    </r>
    <r>
      <rPr>
        <sz val="8"/>
        <rFont val="Droid Sans"/>
        <family val="0"/>
        <charset val="1"/>
      </rPr>
      <t xml:space="preserve">(https://t.co/EftHMZmbBF) </t>
    </r>
    <r>
      <rPr>
        <sz val="8"/>
        <rFont val="Noto Sans CJK SC Regular"/>
        <family val="2"/>
      </rPr>
      <t xml:space="preserve">記号です。ブログ『動植物苑』</t>
    </r>
    <r>
      <rPr>
        <sz val="8"/>
        <rFont val="Droid Sans"/>
        <family val="0"/>
        <charset val="1"/>
      </rPr>
      <t xml:space="preserve">https://t.co/IoHko4k0DR</t>
    </r>
  </si>
  <si>
    <t xml:space="preserve">Election Risk Pays Off for Shinzo Abe of Japan as Party Appears to Win Big https://t.co/903Q1ePqMs</t>
  </si>
  <si>
    <t xml:space="preserve">不動点コンビネータ</t>
  </si>
  <si>
    <t xml:space="preserve">Pythonia</t>
  </si>
  <si>
    <r>
      <rPr>
        <sz val="8"/>
        <rFont val="Noto Sans CJK SC Regular"/>
        <family val="2"/>
      </rPr>
      <t xml:space="preserve">自分のことをプログラマだと思い込んでいる一般人ゲームオタク。持ってるゲーム </t>
    </r>
    <r>
      <rPr>
        <sz val="8"/>
        <rFont val="Droid Sans"/>
        <family val="0"/>
        <charset val="1"/>
      </rPr>
      <t xml:space="preserve">https://t.co/qlFeoNO9xs Lua</t>
    </r>
    <r>
      <rPr>
        <sz val="8"/>
        <rFont val="Noto Sans CJK SC Regular"/>
        <family val="2"/>
      </rPr>
      <t xml:space="preserve">教徒過激派。うんこみたいなブログやってます </t>
    </r>
    <r>
      <rPr>
        <sz val="8"/>
        <rFont val="Droid Sans"/>
        <family val="0"/>
        <charset val="1"/>
      </rPr>
      <t xml:space="preserve">https://t.co/IJ0HMoY30T </t>
    </r>
    <r>
      <rPr>
        <sz val="8"/>
        <rFont val="Noto Sans CJK SC Regular"/>
        <family val="2"/>
      </rPr>
      <t xml:space="preserve">ツールとかゲームを公開してます。</t>
    </r>
  </si>
  <si>
    <t xml:space="preserve">Arjun</t>
  </si>
  <si>
    <t xml:space="preserve">RT @livemint: Shinzo Abe sweeps to resounding victory in Japan election https://t.co/wwhWiwLIyn</t>
  </si>
  <si>
    <t xml:space="preserve">Policy Lawyer. Sometimes, avoid looking at my likes and retweets. Trying very hard to survive the new banter era at Arsenal.</t>
  </si>
  <si>
    <t xml:space="preserve">Pres Candidate Linda</t>
  </si>
  <si>
    <t xml:space="preserve">Currently taking a sentimental journey all the way to the presidency in 2020</t>
  </si>
  <si>
    <t xml:space="preserve">Shinzo Abe sweeps to resounding victory in Japan election</t>
  </si>
  <si>
    <t xml:space="preserve">XaniaNews</t>
  </si>
  <si>
    <t xml:space="preserve">Japan election: Shinzo Abe's party likely to seize control in lower house - https://t.co/QeT8nu2S03 https://t.co/yMneLe1UL9</t>
  </si>
  <si>
    <t xml:space="preserve">Xanianews</t>
  </si>
  <si>
    <t xml:space="preserve">The latest international news , featuring top stories from around the world and breaking news from trusted sources. #XaniaNews</t>
  </si>
  <si>
    <t xml:space="preserve">Rohit Sharma</t>
  </si>
  <si>
    <t xml:space="preserve">Kishor Barua</t>
  </si>
  <si>
    <t xml:space="preserve">#CommunicationsProfessional #Foodie #MovieBuff #MUFC</t>
  </si>
  <si>
    <t xml:space="preserve">Tom Read</t>
  </si>
  <si>
    <t xml:space="preserve">Shinzo Abe sweeps to resounding victory in Japan election https://t.co/fOrI9M3wVc https://t.co/4e4aYQzOXL</t>
  </si>
  <si>
    <t xml:space="preserve">FOX News LonWHO</t>
  </si>
  <si>
    <t xml:space="preserve">US ally, Shinzo Abe of Japan, poised to win election. His stance on the N. Korea nuclear threat will ensure we can keep peace #LonWHO2017.</t>
  </si>
  <si>
    <t xml:space="preserve">Twitter Profile for Chuck Hammerschmidt of Fox News at the Simulation #LONWHO2017 conference. America 1st🇺🇸. Always Fair and Balanced. “We Report, You Decide".</t>
  </si>
  <si>
    <t xml:space="preserve">Luciano Stefanelli</t>
  </si>
  <si>
    <t xml:space="preserve">SI WATCH: Shinzo Abe secures strong mandate in Japan's general election https://t.co/jeqswN6kuN</t>
  </si>
  <si>
    <t xml:space="preserve">SI GROUP - GLOBAL COMMODITY TRADING</t>
  </si>
  <si>
    <t xml:space="preserve">Tinegre Willemsen</t>
  </si>
  <si>
    <t xml:space="preserve">Japanese Prime Minister Shinzo Abe's coalition wins supermajority https://t.co/umPynzNG97 via @upi</t>
  </si>
  <si>
    <t xml:space="preserve">Amsterdam, Nederland</t>
  </si>
  <si>
    <t xml:space="preserve">Journaliste/ International Relations Expert</t>
  </si>
  <si>
    <t xml:space="preserve">Ajay Kumar</t>
  </si>
  <si>
    <t xml:space="preserve">Bihar,India</t>
  </si>
  <si>
    <t xml:space="preserve">shreela</t>
  </si>
  <si>
    <t xml:space="preserve">“ A bit of fragrance always clings to the hand that gives roses “...</t>
  </si>
  <si>
    <t xml:space="preserve">Hindu Renaissance</t>
  </si>
  <si>
    <t xml:space="preserve">Shinzo Abe secures strong mandate in Japan's general election https://t.co/Vujy3tEWEW</t>
  </si>
  <si>
    <t xml:space="preserve">Proud Indian. Proud Hindu.</t>
  </si>
  <si>
    <t xml:space="preserve">EQWAL</t>
  </si>
  <si>
    <t xml:space="preserve">RT does not always mean we agree with or promote, rather that we are interested and believe others may be</t>
  </si>
  <si>
    <t xml:space="preserve">Japan: exit polls suggest a landslide general election victory for Shinzo Abe's coalition https://t.co/6MqKGJh8aZ #NLU</t>
  </si>
  <si>
    <t xml:space="preserve">❄SnowflakeLibtard</t>
  </si>
  <si>
    <t xml:space="preserve">Lewisport Ky </t>
  </si>
  <si>
    <t xml:space="preserve">in the good ole days I joined Twitter to tweet support for my #BBN Now I live to rid us of the evil know as trump! #TheResistance #Hippie✌️LIBTARD &amp; activist</t>
  </si>
  <si>
    <t xml:space="preserve">pala hanmi reddy</t>
  </si>
  <si>
    <t xml:space="preserve">Hyderabad, Telangana</t>
  </si>
  <si>
    <t xml:space="preserve">News is my passion. Research is my forte. Favourite quote:My vocation is my vacation. https://t.co/MYLdPkHHZV. Information devotee. Also running @the29thstate</t>
  </si>
  <si>
    <t xml:space="preserve">Sexy MAMA</t>
  </si>
  <si>
    <t xml:space="preserve">Election Risk Pays Off for Shinzo Abe of Japan as Party Appears to Win Big https://t.co/ZwQl1qQQ6O By MOTOKO RIC… https://t.co/gevsAZtMMf</t>
  </si>
  <si>
    <t xml:space="preserve">Ghana</t>
  </si>
  <si>
    <t xml:space="preserve">Am so fun to be with, just check me out, follow me you will see the real me....cheers</t>
  </si>
  <si>
    <t xml:space="preserve">Neymarridwan</t>
  </si>
  <si>
    <t xml:space="preserve">Oyo, Nigeria</t>
  </si>
  <si>
    <t xml:space="preserve">#politicalScientist</t>
  </si>
  <si>
    <t xml:space="preserve">RT @ChuckHammerFNC: US ally, Shinzo Abe of Japan, poised to win election. His stance on the N. Korea nuclear threat will ensure we can keep…</t>
  </si>
  <si>
    <t xml:space="preserve">Chintan</t>
  </si>
  <si>
    <t xml:space="preserve">Corporate Communications Professional, working@Covestro, Tweets personal, RTs not endorsements</t>
  </si>
  <si>
    <t xml:space="preserve">Transparent MA</t>
  </si>
  <si>
    <t xml:space="preserve">Japan's PM Shinzo Abe poised to win snap election https://t.co/SJoQM0NrOT</t>
  </si>
  <si>
    <t xml:space="preserve">Next Bus stop </t>
  </si>
  <si>
    <t xml:space="preserve">Quantity Surveyor, Blogger, Farceur &amp; A dream chaser</t>
  </si>
  <si>
    <t xml:space="preserve">Shinzo Abe sweeps to resounding victory in Japan election https://t.co/yLPkzKZrBp</t>
  </si>
  <si>
    <t xml:space="preserve">Japan PM Shinzo Abe’s ruling bloc on track for big win in election: TV exit polls https://t.co/2OYGtfC3LL</t>
  </si>
  <si>
    <t xml:space="preserve">San Diego Now</t>
  </si>
  <si>
    <t xml:space="preserve">Exit polls show win for Japanese PM Abe's ruling coalition https://t.co/ZX0kNpOc5i</t>
  </si>
  <si>
    <t xml:space="preserve">Breaking news and weather updates from San Diego.</t>
  </si>
  <si>
    <t xml:space="preserve">#ModiMinistry Shinzo Abe wins overwhelming mandate in Japan election: Victory likely to harden stance on North Kor… https://t.co/ZEfhAFPNqF</t>
  </si>
  <si>
    <t xml:space="preserve">Rohit Lal</t>
  </si>
  <si>
    <t xml:space="preserve">Shinzo Abe secures strong mandate in Japan's general election https://t.co/8cjwPa592Y</t>
  </si>
  <si>
    <t xml:space="preserve">Geopolitics, Foreign Policy, Diplomacy, India, Pakistan, South Asia, History</t>
  </si>
  <si>
    <t xml:space="preserve">Via rvp Ravi VS Prasad - RT livemint "Shinzo Abe sweeps to resounding victory in Japan election https://t.co/SXLFLBAzjl"</t>
  </si>
  <si>
    <t xml:space="preserve">Moertopo</t>
  </si>
  <si>
    <t xml:space="preserve">Shinzo Abe sweeps to resounding victory in Japan election https://t.co/sNvuhvNEwI</t>
  </si>
  <si>
    <t xml:space="preserve">Japanese PM Abe appears headed to impressive election win https://t.co/qLXEALONHT</t>
  </si>
  <si>
    <t xml:space="preserve">Mtaalamu</t>
  </si>
  <si>
    <t xml:space="preserve"> Japan</t>
  </si>
  <si>
    <t xml:space="preserve">Micropreneur, Infopreneur and a full time e-lancer.</t>
  </si>
  <si>
    <t xml:space="preserve">RT @Anon_Eu: Election Risk Pays Off for Shinzo Abe of #Japan as Party Appears to Win Big https://t.co/LZE5xRv0jo #WorldNews https://t.co/va…</t>
  </si>
  <si>
    <t xml:space="preserve">hamaramagnews</t>
  </si>
  <si>
    <t xml:space="preserve">News all over the world, Business news, sports and many more For Paid Advertising call 03478544873 / 03360111999</t>
  </si>
  <si>
    <t xml:space="preserve">João Silva Rebelo</t>
  </si>
  <si>
    <t xml:space="preserve">Lisboa / Lisbon</t>
  </si>
  <si>
    <t xml:space="preserve">Advogado Estagiário, Mestrando em Direito das Empresas (Direito do Trabalho) ISCTE-IUL, Xbox Ambassador.</t>
  </si>
  <si>
    <t xml:space="preserve">Pushpendra Verma🇮🇳</t>
  </si>
  <si>
    <t xml:space="preserve">Bengaluru, India</t>
  </si>
  <si>
    <t xml:space="preserve">Profession:Computer Scientist, Hobby-खुली आँखों से ख्वाब देखना, Inspiration-अरविन्द केजरीवाल, Romance-प्यार उसे करो जो तुमसे प्यार करे, नाकि जिससे तुम प्यार करो</t>
  </si>
  <si>
    <t xml:space="preserve">P Mahapatra</t>
  </si>
  <si>
    <t xml:space="preserve">Pune,Bhubaneswar </t>
  </si>
  <si>
    <t xml:space="preserve">Hindu. Indian. Odia.</t>
  </si>
  <si>
    <t xml:space="preserve">🎃🎃 A⃣J⃣👻👻</t>
  </si>
  <si>
    <t xml:space="preserve">PRΣHΣΔLTH. #intj #4w5</t>
  </si>
  <si>
    <t xml:space="preserve">nytimesworld: RT motokorich: "Abe didn’t so much win it as the opposition just was totally unprepared" https://t.co/GabWlAH4Iz #arrobin</t>
  </si>
  <si>
    <t xml:space="preserve">amartya</t>
  </si>
  <si>
    <t xml:space="preserve">Israel News Links</t>
  </si>
  <si>
    <t xml:space="preserve">Strong General Election Win Projected for Japan’s Prime Minister Shinzo Abe https://t.co/GBlWRsqsgO via @Algemeiner https://t.co/lNa3rpsXQK</t>
  </si>
  <si>
    <t xml:space="preserve">Christian, lover of Israel, patriotic American, nature lover in awe of God's handiwork.</t>
  </si>
  <si>
    <t xml:space="preserve">Cosmopolitan</t>
  </si>
  <si>
    <t xml:space="preserve">Skopje, Makedonija</t>
  </si>
  <si>
    <t xml:space="preserve">gragjanska ideologija, astronomija, nauka pred se', kafepienje</t>
  </si>
  <si>
    <t xml:space="preserve">Jeremy Song</t>
  </si>
  <si>
    <t xml:space="preserve">Election Risk Pays Off for Shinzo Abe of Japan as Party Appears to Win Big - https://t.co/xT9VZKVdo0</t>
  </si>
  <si>
    <r>
      <rPr>
        <sz val="8"/>
        <rFont val="Droid Sans"/>
        <family val="0"/>
        <charset val="1"/>
      </rPr>
      <t xml:space="preserve">SmartNews | </t>
    </r>
    <r>
      <rPr>
        <sz val="8"/>
        <rFont val="Noto Sans CJK SC Regular"/>
        <family val="2"/>
      </rPr>
      <t xml:space="preserve">スマートニュース</t>
    </r>
  </si>
  <si>
    <t xml:space="preserve">San Francisco, singapore</t>
  </si>
  <si>
    <t xml:space="preserve">Je vous souhaite bonne chance. 🍀 tomorrow will be better ~~~</t>
  </si>
  <si>
    <t xml:space="preserve">ぽぴぃ</t>
  </si>
  <si>
    <t xml:space="preserve">RT @iVoteForBest: #ModiMinistry Shinzo Abe wins overwhelming mandate in Japan election: Victory likely to harden stance on North Kor… https…</t>
  </si>
  <si>
    <t xml:space="preserve">みなさん、こんにちは。 適当にリツイートしてください〜。誤字多めなんでスルーしてね😅</t>
  </si>
  <si>
    <t xml:space="preserve">NYC Informer</t>
  </si>
  <si>
    <t xml:space="preserve">Election Risk Pays Off for Shinzo Abe of Japan as Party Appears to Win Big https://t.co/145HSnH9dD https://t.co/1MCsYHAY88</t>
  </si>
  <si>
    <t xml:space="preserve">Local New York City News and USA updates from A - Z, that's what you get from us.</t>
  </si>
  <si>
    <t xml:space="preserve">Patricia Farrell</t>
  </si>
  <si>
    <t xml:space="preserve">Dr. Farrell is a licensed psychologist, stress expert, author, photographer, interested in film, Python coding, writing, and health: http://t.co/VT8mvcAvRz</t>
  </si>
  <si>
    <t xml:space="preserve">Japan election exit polls point to thumping victory for PM Shinzo Abe's coalition https://t.co/YanIcoc0wP</t>
  </si>
  <si>
    <t xml:space="preserve">Sureen Systems</t>
  </si>
  <si>
    <t xml:space="preserve">Japanese PM on track for landslide win - Japanese Prime Minister Shinzo Abe appears on course to win a decisive... https://t.co/aOJZ9EBlxA</t>
  </si>
  <si>
    <t xml:space="preserve">#wifi #computer #technology #solutions</t>
  </si>
  <si>
    <t xml:space="preserve">Adam Walsh</t>
  </si>
  <si>
    <t xml:space="preserve">Journalist with @CBCNL. On loan to NHK in Tokyo. 2015 @AsiaPacificFdn media fellow. The f btw is for Francis. adam.walsh@cbc.ca</t>
  </si>
  <si>
    <t xml:space="preserve">B T</t>
  </si>
  <si>
    <t xml:space="preserve">Big's News: Japanese PM on track for landslide win - Japanese Prime Minister Shinzo Abe appears on course to wi... https://t.co/QCQcAl0YQ8</t>
  </si>
  <si>
    <t xml:space="preserve">I am a Poker Player by day, a Porn Producer By Night. And A Sports &amp; Political Junkie.</t>
  </si>
  <si>
    <t xml:space="preserve">Fangirl</t>
  </si>
  <si>
    <t xml:space="preserve">WE ARE OUR CHOICES</t>
  </si>
  <si>
    <t xml:space="preserve">bogmate</t>
  </si>
  <si>
    <t xml:space="preserve">Abe on Course for Resounding Victory in Japan Exit polls following Japan's general election suggest the Prime Minister, Shinzo Abe, has won…</t>
  </si>
  <si>
    <t xml:space="preserve">Abe to push reform of Japan's pacifist constitution after ruling bloc election win TOKYO (Reuters) - Japanese Prime Minister Shinzo Abe'...</t>
  </si>
  <si>
    <t xml:space="preserve">Mahadev</t>
  </si>
  <si>
    <t xml:space="preserve">Japan PM Shinzo Abe's ruling bloc on track for big win in election: TV exit polls https://t.co/cV7aMpj2fl</t>
  </si>
  <si>
    <t xml:space="preserve">We are promoting Universal peace &amp; love, world is one family;everything is creation of God.Bigot religions &amp; philosophy promote slavery,violence and hate.</t>
  </si>
  <si>
    <t xml:space="preserve">Amit Jha</t>
  </si>
  <si>
    <t xml:space="preserve">New Delhi | India</t>
  </si>
  <si>
    <t xml:space="preserve">Proud Indian, Hindu,Passionate about: Organic farming, Shooting Sports, bringing social change...</t>
  </si>
  <si>
    <t xml:space="preserve">Hung-Ya Lien</t>
  </si>
  <si>
    <t xml:space="preserve">Shinzo Abe secures strong mandate in Japan's general election https://t.co/yUsCtguPDs</t>
  </si>
  <si>
    <t xml:space="preserve">Taiwan</t>
  </si>
  <si>
    <t xml:space="preserve">Optimistic socially and pessimistic personally.</t>
  </si>
  <si>
    <t xml:space="preserve">SalinaJ</t>
  </si>
  <si>
    <t xml:space="preserve">Paul Marr</t>
  </si>
  <si>
    <t xml:space="preserve">A Pale Blue Dot</t>
  </si>
  <si>
    <t xml:space="preserve">Agnostic Liberal, Science and Tech enthusiast, news junkie, proud geek, PC Gamer and overenthusiastic Retweeter! Generally optimistic. Dreams of being a writer.</t>
  </si>
  <si>
    <t xml:space="preserve">TOKYO (Reuters) - Japanese Prime Minister Shinzo Abe's ruling bloc was headed for a big win in Sunday's election,... https://t.co/Z0REsmLfPX</t>
  </si>
  <si>
    <t xml:space="preserve">Japan election exit polls point to thumping victory for PM Shinzo Abe's coalition https://t.co/UdK9bGuxwu</t>
  </si>
  <si>
    <t xml:space="preserve">SANJAI</t>
  </si>
  <si>
    <t xml:space="preserve">UP</t>
  </si>
  <si>
    <t xml:space="preserve">love #Mufflerman for his honesty and integrity, fight for Swaraj....RTs are not endorsement...</t>
  </si>
  <si>
    <t xml:space="preserve">Aashish Chandorkar</t>
  </si>
  <si>
    <t xml:space="preserve">Election Risk Pays Off for Shinzo Abe of Japan as Party Appears to Win Big - https://t.co/f3sBaYVRC2</t>
  </si>
  <si>
    <t xml:space="preserve">Bollywood, Business, Economics, Finance, Indore, Politics, Public Policy, Pune, Sports, Technology. Views personal.</t>
  </si>
  <si>
    <t xml:space="preserve">Mira Kamdar</t>
  </si>
  <si>
    <t xml:space="preserve">Pantin</t>
  </si>
  <si>
    <t xml:space="preserve">Author, Editorial Writer The New York Times, Aspiring Jazz Violinist Auteure, Editorialiste, Violoniste Jazz / Swing</t>
  </si>
  <si>
    <t xml:space="preserve">#ShinzoAbe wins overwhelming mandate in #Japan election: Victory to harden #Tokyo's stance on #NorthKorea https://t.co/LwoYi85zAe</t>
  </si>
  <si>
    <t xml:space="preserve">ヤマモト</t>
  </si>
  <si>
    <t xml:space="preserve">Abe is pushing North Korea to war and Japan citizen can't stop it... What can I do... Japan's general election https://t.co/DV4rIUUIHw</t>
  </si>
  <si>
    <t xml:space="preserve">ICYMI: https://t.co/ybZZbRpaFP Japan election: Shinzo Abe's party likely to seize control… https://t.co/kKNaH8gZpf… https://t.co/0lNcCaKpto</t>
  </si>
  <si>
    <t xml:space="preserve">⁂ paki ⁂</t>
  </si>
  <si>
    <t xml:space="preserve">RT @firstpost: #ShinzoAbe wins overwhelming mandate in #Japan election: Victory to harden #Tokyo's stance on #NorthKorea https://t.co/LwoYi…</t>
  </si>
  <si>
    <t xml:space="preserve">ツイタマ</t>
  </si>
  <si>
    <t xml:space="preserve">千葉（ピーナツ王国）</t>
  </si>
  <si>
    <r>
      <rPr>
        <sz val="8"/>
        <rFont val="Noto Sans CJK SC Regular"/>
        <family val="2"/>
      </rPr>
      <t xml:space="preserve">音楽・ネットラジオ</t>
    </r>
    <r>
      <rPr>
        <sz val="8"/>
        <rFont val="Droid Sans"/>
        <family val="0"/>
        <charset val="1"/>
      </rPr>
      <t xml:space="preserve">(Rock/Blues/smoothJazz/Jazz/Lounge/R&amp;B/bossa nova)</t>
    </r>
    <r>
      <rPr>
        <sz val="8"/>
        <rFont val="Noto Sans CJK SC Regular"/>
        <family val="2"/>
      </rPr>
      <t xml:space="preserve">、観葉植物、動物好き。</t>
    </r>
    <r>
      <rPr>
        <sz val="8"/>
        <rFont val="Droid Sans"/>
        <family val="0"/>
        <charset val="1"/>
      </rPr>
      <t xml:space="preserve">BTTF</t>
    </r>
    <r>
      <rPr>
        <sz val="8"/>
        <rFont val="Noto Sans CJK SC Regular"/>
        <family val="2"/>
      </rPr>
      <t xml:space="preserve">。バイク。</t>
    </r>
  </si>
  <si>
    <t xml:space="preserve">amit alphy</t>
  </si>
  <si>
    <t xml:space="preserve">much needed... Shinzo Abe sweeps to resounding victory in Japan election https://t.co/kPOFGlowgO</t>
  </si>
  <si>
    <t xml:space="preserve">Muscat, Oman</t>
  </si>
  <si>
    <t xml:space="preserve">Japanese PM Abe appears headed to impressive election win https://t.co/cDgIdTyh16</t>
  </si>
  <si>
    <t xml:space="preserve">James E. Morton Jr.</t>
  </si>
  <si>
    <t xml:space="preserve">Central, SC</t>
  </si>
  <si>
    <t xml:space="preserve">New York, NY | Central, SC | Photographer, writer, comedian, traveler | @JamesMortonCo | The James Morton Company, LLC</t>
  </si>
  <si>
    <t xml:space="preserve">Mr. Anderson</t>
  </si>
  <si>
    <t xml:space="preserve">WHERE KNOWLEDGE IS UNBOUNDED </t>
  </si>
  <si>
    <t xml:space="preserve">Libertarian.I support Fiscal/economic conservativism,Tax cut,Growth push,National security. Fan of Pork,chicken peri peri,Gym,Study,Scotch &amp; computer Games.</t>
  </si>
  <si>
    <t xml:space="preserve">Election Risk Pays Off for Shinzo Abe of Japan as Party Appears to Win Big https://t.co/kWrF1ko2pQ</t>
  </si>
  <si>
    <t xml:space="preserve">Japan exit polls show Shinzo Abe winning general election https://t.co/ybX1VUq5h9</t>
  </si>
  <si>
    <t xml:space="preserve">VICKY</t>
  </si>
  <si>
    <t xml:space="preserve">Japan election: Shinzo Abe's party likely to seize control in lower house https://t.co/5czpw1GiUh #FoxNews #ShinzoAbe #JapanElection</t>
  </si>
  <si>
    <t xml:space="preserve">Steel City, Jamshedpur, India.</t>
  </si>
  <si>
    <t xml:space="preserve">INDIAN, TAUREAN, Unemployed, Life-long Learner. My life is the first half of Spider Man movie.... "REVENGE IS THE PUREST EMOTION"</t>
  </si>
  <si>
    <t xml:space="preserve">Shinzo Abe wins overwhelming mandate in Japan election: Victory likely to harden stance on North Korea’s nuclear threat …</t>
  </si>
  <si>
    <t xml:space="preserve">euronews</t>
  </si>
  <si>
    <t xml:space="preserve">Japan: exit polls suggest a landslide general election victory for Shinzo Abe's coalition https://t.co/WFVvFXqDkX https://t.co/7YUWP1WWNQ</t>
  </si>
  <si>
    <t xml:space="preserve">Most watched news channel in Europe. We tweet in 12 languages. Choose yours: https://t.co/DYM9KkhB0s You can DM us to contact the newsroom</t>
  </si>
  <si>
    <t xml:space="preserve">RT @euronews: Japan: exit polls suggest a landslide general election victory for Shinzo Abe's coalition https://t.co/WFVvFXqDkX https://t.c…</t>
  </si>
  <si>
    <t xml:space="preserve">Helene Keller-Lind</t>
  </si>
  <si>
    <t xml:space="preserve">Core of things in civilized way. No answer 2 rude comments. RT =/ endorsement. NO lists. USA: https://t.co/dsD20TbxJD</t>
  </si>
  <si>
    <t xml:space="preserve">Vikram Singh</t>
  </si>
  <si>
    <t xml:space="preserve">new delhi</t>
  </si>
  <si>
    <t xml:space="preserve">nidhhi</t>
  </si>
  <si>
    <t xml:space="preserve">Motivational speaker,Writer,Facilitator,Teacher,Nationalist.</t>
  </si>
  <si>
    <t xml:space="preserve">Armand Dupont</t>
  </si>
  <si>
    <t xml:space="preserve">Shinzo Abe secures strong mandate in Japan's general election https://t.co/wUtq1iDkJ1</t>
  </si>
  <si>
    <t xml:space="preserve">Montréal, Québec</t>
  </si>
  <si>
    <t xml:space="preserve">🇫🇷🇪🇺🇨🇦#LaRépubliqueEnMarche Étudiant FR à Montréal ! #circo9207 #ExtCirco01 en-marche.fr 🇪🇺🇫🇷🇨🇦 - Marcheur du 6/04/16 - No to Trump #TheResistance</t>
  </si>
  <si>
    <t xml:space="preserve">monde est l'hypocris</t>
  </si>
  <si>
    <t xml:space="preserve">Marketing consultant : Scientific Marketing with mix of innovation &amp; entrpreneurship loves history Adventure &amp; forests.</t>
  </si>
  <si>
    <t xml:space="preserve">⚡✍Neer Joy✍⚡</t>
  </si>
  <si>
    <t xml:space="preserve">NationFirst🇮🇳. Respect all religionFaith.I m With all leaders;who do politics of NationDev.not4self orParty.PM is Inspiration 😊 #RDay2016MIBWinner #RT#Like🤘</t>
  </si>
  <si>
    <t xml:space="preserve">Defor UFO</t>
  </si>
  <si>
    <t xml:space="preserve">QWERTusYoS</t>
  </si>
  <si>
    <t xml:space="preserve">Ку.:!?♥\8-))),3,1415926535 89793..Ы..There is another opinion.</t>
  </si>
  <si>
    <t xml:space="preserve">ヤマトタケル</t>
  </si>
  <si>
    <t xml:space="preserve">母国日本を守りたい。嘘や捏造は許せない！ 宮城県出身。</t>
  </si>
  <si>
    <t xml:space="preserve">Vijayabaskar K S</t>
  </si>
  <si>
    <t xml:space="preserve">A Vagabond in the journey called life. News junkie . RTs are not necessarily endorsements. Views are totally personal.</t>
  </si>
  <si>
    <t xml:space="preserve">Bernie Twomey</t>
  </si>
  <si>
    <t xml:space="preserve">Shinzo Abe secures strong mandate in Japan's general election https://t.co/NlPhbkZyGK</t>
  </si>
  <si>
    <t xml:space="preserve">Ireland</t>
  </si>
  <si>
    <t xml:space="preserve">Let's try and be nice to each other. It costs nothing.🙂 Retweets not necessarily endorsement.</t>
  </si>
  <si>
    <t xml:space="preserve">Radhika✦Apostate</t>
  </si>
  <si>
    <t xml:space="preserve">Self confessed Arnab fan. Hope @republic hires me 😆</t>
  </si>
  <si>
    <t xml:space="preserve">れうしあ</t>
  </si>
  <si>
    <t xml:space="preserve">Japan's PM Shinzo Abe poised to win snap election @AJEnglish https://t.co/SXgsg9icM6</t>
  </si>
  <si>
    <t xml:space="preserve">多摩丘陵</t>
  </si>
  <si>
    <t xml:space="preserve">食べて飲んで旅してる</t>
  </si>
  <si>
    <t xml:space="preserve">Yannis Koutsomitis</t>
  </si>
  <si>
    <t xml:space="preserve">Shinzo Abe's LDP &amp; allies close to super majority in #Japan elections; eyes on constitutional reform… https://t.co/ZrXQpk9vUL</t>
  </si>
  <si>
    <t xml:space="preserve">Athens · Berlin · Brussels</t>
  </si>
  <si>
    <t xml:space="preserve">World politics &amp; Economy. Progressivist. European affairs analyst. Cosmopolitan elite.</t>
  </si>
  <si>
    <t xml:space="preserve">saty+esh</t>
  </si>
  <si>
    <t xml:space="preserve">3Novices Japan</t>
  </si>
  <si>
    <t xml:space="preserve">#3Novices : Abe's ruling bloc on track for big win: exit polls https://t.co/I8aGC63OT9 Japanese Prime Minister Shinzo Abe's ruling bloc wa…</t>
  </si>
  <si>
    <t xml:space="preserve">Tokyo , Japan</t>
  </si>
  <si>
    <t xml:space="preserve">@i__Global</t>
  </si>
  <si>
    <t xml:space="preserve">RT euronews "Japan: exit polls suggest a landslide general election victory for Shinzo Abe's coalition … https://t.co/koLgXb9vto"</t>
  </si>
  <si>
    <t xml:space="preserve">JaelCorbin</t>
  </si>
  <si>
    <t xml:space="preserve">Election Risk Pays Off for Shinzo Abe of Japan as Party Appears to Win Big https://t.co/MiE0NvoChW https://t.co/rRndBFmstc</t>
  </si>
  <si>
    <t xml:space="preserve">Base, treble, and more than a handful of each. Firecracker, wise-ass, earth-shaker.</t>
  </si>
  <si>
    <t xml:space="preserve">Luke</t>
  </si>
  <si>
    <t xml:space="preserve">Election Risk Pays Off for Shinzo Abe of Japan as Party Appears to Win Big https://t.co/leqiKxiDmk</t>
  </si>
  <si>
    <t xml:space="preserve">Carrive, N.Ire.</t>
  </si>
  <si>
    <t xml:space="preserve">Sukhoi</t>
  </si>
  <si>
    <t xml:space="preserve">Joseph Thomas</t>
  </si>
  <si>
    <t xml:space="preserve">Student Pursuing BBA (Travel and Tourism) Travel 😎</t>
  </si>
  <si>
    <t xml:space="preserve">RANJAN K M</t>
  </si>
  <si>
    <t xml:space="preserve">RTs are not endorsement.</t>
  </si>
  <si>
    <t xml:space="preserve">Shinzo Abe secures strong mandate in Japan's general election https://t.co/et2uV2Z2TA https://t.co/lEtIDjsfu3</t>
  </si>
  <si>
    <t xml:space="preserve">neanderthal yabuki</t>
  </si>
  <si>
    <t xml:space="preserve">“Election Risk Pays Off for Shinzo Abe of Japan as Party Appears to Win Big - The New York Times” https://t.co/nbAIwo54JO</t>
  </si>
  <si>
    <t xml:space="preserve">すべてが「その他」であるような宇宙</t>
  </si>
  <si>
    <t xml:space="preserve">nothing but a punk.</t>
  </si>
  <si>
    <t xml:space="preserve">dr neeraj kumar</t>
  </si>
  <si>
    <t xml:space="preserve">RT @c_aashish: Election Risk Pays Off for Shinzo Abe of Japan as Party Appears to Win Big - https://t.co/f3sBaYVRC2</t>
  </si>
  <si>
    <t xml:space="preserve">patna bihar india</t>
  </si>
  <si>
    <t xml:space="preserve">vakradant chikitsak!!! correct me,if i'm right!!!???</t>
  </si>
  <si>
    <t xml:space="preserve">BBCNEWS 7:08am JAPAN SNAP ELECTION. Exit polls put Shinzo Abe on course for big win JAPAN SNAP ELECTION. 1OO million people eligible...</t>
  </si>
  <si>
    <t xml:space="preserve">Rohit Dhakras</t>
  </si>
  <si>
    <t xml:space="preserve">TOKYO (Reuters) - Japanese Prime Minister Shinzo Abe's ruling bloc was headed for a big win in Sunday's election, … https://t.co/t3wRDvboUU</t>
  </si>
  <si>
    <t xml:space="preserve">すとくら（アイコンはヘンリー８世）</t>
  </si>
  <si>
    <t xml:space="preserve">RT @YanniKouts: Shinzo Abe's LDP &amp; allies close to super majority in #Japan elections; eyes on constitutional reform https://t.co/hwCHEjavc…</t>
  </si>
  <si>
    <r>
      <rPr>
        <sz val="8"/>
        <rFont val="Noto Sans CJK SC Regular"/>
        <family val="2"/>
      </rPr>
      <t xml:space="preserve">趣味はミステリ、映画、</t>
    </r>
    <r>
      <rPr>
        <sz val="8"/>
        <rFont val="Droid Sans"/>
        <family val="0"/>
        <charset val="1"/>
      </rPr>
      <t xml:space="preserve">TRPG</t>
    </r>
    <r>
      <rPr>
        <sz val="8"/>
        <rFont val="Noto Sans CJK SC Regular"/>
        <family val="2"/>
      </rPr>
      <t xml:space="preserve">。一児の父です。最近の読書履歴→「告解」「涙香迷宮」「魔法の国が消えていく」「たんぽぽ娘」「燃える男」「暗殺者グレイマン」「万物理論」「敵手」「悲しみのイレーヌ」「彼女のいない飛行機」「第六ポンプ」「夏の沈黙」「ミステリー・アリーナ」「ゲルマニア」旧垢→ </t>
    </r>
    <r>
      <rPr>
        <sz val="8"/>
        <rFont val="Droid Sans"/>
        <family val="0"/>
        <charset val="1"/>
      </rPr>
      <t xml:space="preserve">@storm_sakura</t>
    </r>
  </si>
  <si>
    <t xml:space="preserve">BBCNEWS 7:09am JAPAN SNAP ELECTION. Shinzo Abe called for snap election last month JAPAN SNAP ELECTION. A low voter tumout expected...</t>
  </si>
  <si>
    <t xml:space="preserve">kenta_a</t>
  </si>
  <si>
    <t xml:space="preserve">流山おおたかの森</t>
  </si>
  <si>
    <t xml:space="preserve">※全ての発言は、犬好き代表としての意見です。</t>
  </si>
  <si>
    <t xml:space="preserve">Google Times</t>
  </si>
  <si>
    <t xml:space="preserve">Election Risk Pays Off for Shinzo Abe of Japan as Party Appears to Win Big https://t.co/vKFoJn2ttE https://t.co/wd7BcJHoPd</t>
  </si>
  <si>
    <t xml:space="preserve">Official Google World (INSIDE WORLD IN HAND)</t>
  </si>
  <si>
    <t xml:space="preserve">Artur Lozano-Méndez</t>
  </si>
  <si>
    <t xml:space="preserve">PhD in Intercultural Studies (East Asia specialization). Lecturer at Universitat Autònoma de Barcelona. Interests: cultural studies and Japanese society.</t>
  </si>
  <si>
    <t xml:space="preserve">Consumption tax cuts</t>
  </si>
  <si>
    <t xml:space="preserve">Shinzo Abe secures strong mandate in Japan's general election https://t.co/rGDAdlM4Mb</t>
  </si>
  <si>
    <r>
      <rPr>
        <sz val="8"/>
        <rFont val="Droid Sans"/>
        <family val="0"/>
        <charset val="1"/>
      </rPr>
      <t xml:space="preserve">Entertainment from Japan or Europe.</t>
    </r>
    <r>
      <rPr>
        <sz val="8"/>
        <rFont val="Noto Sans CJK SC Regular"/>
        <family val="2"/>
      </rPr>
      <t xml:space="preserve">市民と共闘するのが社民党と立憲民主党。減税、護憲、脱原発より党利党略を優先する「こんな人たち」と共闘するのが日本共産党。日本型社会主義の政治国際部のアカウントです。政治、国際、社会ネタが中心です。</t>
    </r>
  </si>
  <si>
    <t xml:space="preserve">sangeeta singh</t>
  </si>
  <si>
    <t xml:space="preserve">Coffee addict. Nation First. Fan of #NarendraModi</t>
  </si>
  <si>
    <r>
      <rPr>
        <sz val="8"/>
        <rFont val="Noto Sans CJK SC Regular"/>
        <family val="2"/>
      </rPr>
      <t xml:space="preserve">弐丈</t>
    </r>
    <r>
      <rPr>
        <sz val="8"/>
        <rFont val="Droid Sans"/>
        <family val="0"/>
        <charset val="1"/>
      </rPr>
      <t xml:space="preserve">Njcyclops</t>
    </r>
  </si>
  <si>
    <r>
      <rPr>
        <sz val="8"/>
        <rFont val="Noto Sans CJK SC Regular"/>
        <family val="2"/>
      </rPr>
      <t xml:space="preserve">内閣官房国民保護ポータルサイト ← ミサイルとゲリラ対策で「武力攻撃やテロなどから身を守るために」の</t>
    </r>
    <r>
      <rPr>
        <sz val="8"/>
        <rFont val="Droid Sans"/>
        <family val="0"/>
        <charset val="1"/>
      </rPr>
      <t xml:space="preserve">PDF</t>
    </r>
    <r>
      <rPr>
        <sz val="8"/>
        <rFont val="Noto Sans CJK SC Regular"/>
        <family val="2"/>
      </rPr>
      <t xml:space="preserve">は、印刷して紙の形で保管しています。</t>
    </r>
    <r>
      <rPr>
        <sz val="8"/>
        <rFont val="Droid Sans"/>
        <family val="0"/>
        <charset val="1"/>
      </rPr>
      <t xml:space="preserve">https://t.co/ibsT0SVp58</t>
    </r>
  </si>
  <si>
    <t xml:space="preserve">BBCNEWS 7:10am JAPAN SNAP ELECTION. 1,18O candidates contest 465 seats in lower house JAPAN SNAP ELECTION. Shinzo Abe called for snap...</t>
  </si>
  <si>
    <t xml:space="preserve">Noori</t>
  </si>
  <si>
    <t xml:space="preserve">MBA, Ex-Muslim🇮🇳 Follower of APJ Kalam, @narendramodi @TarekFatah @Imamofpeace @mjakbar @ShahnawazBJP @RubikaLiyaquat @nheptulla @OfficeofPoonamM @shaziailmi</t>
  </si>
  <si>
    <t xml:space="preserve">BenCasey1</t>
  </si>
  <si>
    <t xml:space="preserve">I can't change the direction of the wind, but I can adjust my sails to always reach my destination- Jimmy Dean</t>
  </si>
  <si>
    <t xml:space="preserve">johnny tak</t>
  </si>
  <si>
    <t xml:space="preserve">Royal Commonwealth Society</t>
  </si>
  <si>
    <t xml:space="preserve">Raamadhoothan</t>
  </si>
  <si>
    <t xml:space="preserve">Kumbakonam, Tamil Nadu</t>
  </si>
  <si>
    <t xml:space="preserve">Devout Srivaishnavite Brahmin (V) - Chartered Accountant - PadmanAabhaDaasan- India is Bharath-only for Hindus!</t>
  </si>
  <si>
    <t xml:space="preserve">Presya Ramadhan</t>
  </si>
  <si>
    <t xml:space="preserve">22th | International Relation | bercita-cita menjadi seperti Pak Jokowi. E-mail: presyaramadhan@gmail.com</t>
  </si>
  <si>
    <t xml:space="preserve">R papa</t>
  </si>
  <si>
    <r>
      <rPr>
        <sz val="8"/>
        <rFont val="Noto Sans CJK SC Regular"/>
        <family val="2"/>
      </rPr>
      <t xml:space="preserve">日出所のぱらいそ</t>
    </r>
    <r>
      <rPr>
        <sz val="8"/>
        <rFont val="Droid Sans"/>
        <family val="0"/>
        <charset val="1"/>
      </rPr>
      <t xml:space="preserve">(</t>
    </r>
    <r>
      <rPr>
        <sz val="8"/>
        <rFont val="Noto Sans CJK SC Regular"/>
        <family val="2"/>
      </rPr>
      <t xml:space="preserve">帝都下、第</t>
    </r>
    <r>
      <rPr>
        <sz val="8"/>
        <rFont val="Droid Sans"/>
        <family val="0"/>
        <charset val="1"/>
      </rPr>
      <t xml:space="preserve">2</t>
    </r>
    <r>
      <rPr>
        <sz val="8"/>
        <rFont val="Noto Sans CJK SC Regular"/>
        <family val="2"/>
      </rPr>
      <t xml:space="preserve">東京市</t>
    </r>
    <r>
      <rPr>
        <sz val="8"/>
        <rFont val="Droid Sans"/>
        <family val="0"/>
        <charset val="1"/>
      </rPr>
      <t xml:space="preserve">) </t>
    </r>
  </si>
  <si>
    <r>
      <rPr>
        <sz val="8"/>
        <rFont val="Noto Sans CJK SC Regular"/>
        <family val="2"/>
      </rPr>
      <t xml:space="preserve">冬と梅雨は苦手なんでし！一期一会を大切に</t>
    </r>
    <r>
      <rPr>
        <sz val="8"/>
        <rFont val="Droid Sans"/>
        <family val="0"/>
        <charset val="1"/>
      </rPr>
      <t xml:space="preserve">1Å</t>
    </r>
    <r>
      <rPr>
        <sz val="8"/>
        <rFont val="Noto Sans CJK SC Regular"/>
        <family val="2"/>
      </rPr>
      <t xml:space="preserve">前に進みたぁい。 『我此の瞬間に死すとも悔いなし』 「知識は力なり」</t>
    </r>
    <r>
      <rPr>
        <sz val="8"/>
        <rFont val="Droid Sans"/>
        <family val="0"/>
        <charset val="1"/>
      </rPr>
      <t xml:space="preserve">scientia potentia est knowledge is power. </t>
    </r>
    <r>
      <rPr>
        <sz val="8"/>
        <rFont val="Noto Sans CJK SC Regular"/>
        <family val="2"/>
      </rPr>
      <t xml:space="preserve">『真実は勝つ』</t>
    </r>
    <r>
      <rPr>
        <sz val="8"/>
        <rFont val="Droid Sans"/>
        <family val="0"/>
        <charset val="1"/>
      </rPr>
      <t xml:space="preserve">Veritas Vinci </t>
    </r>
    <r>
      <rPr>
        <sz val="8"/>
        <rFont val="Noto Sans CJK SC Regular"/>
        <family val="2"/>
      </rPr>
      <t xml:space="preserve">それが難しくとも…。 </t>
    </r>
    <r>
      <rPr>
        <sz val="8"/>
        <rFont val="Droid Sans"/>
        <family val="0"/>
        <charset val="1"/>
      </rPr>
      <t xml:space="preserve">*</t>
    </r>
    <r>
      <rPr>
        <sz val="8"/>
        <rFont val="Noto Sans CJK SC Regular"/>
        <family val="2"/>
      </rPr>
      <t xml:space="preserve">お読みいただきありがとうございました。</t>
    </r>
    <r>
      <rPr>
        <sz val="8"/>
        <rFont val="Droid Sans"/>
        <family val="0"/>
        <charset val="1"/>
      </rPr>
      <t xml:space="preserve">Polepole ☺</t>
    </r>
  </si>
  <si>
    <t xml:space="preserve">Shinzo Abe secures strong mandate in Japan's general election #UkNews https://t.co/KidpgWq63v</t>
  </si>
  <si>
    <t xml:space="preserve">@$|-|W@|\|I🇮🇳💝</t>
  </si>
  <si>
    <t xml:space="preserve">ॐ नमो भगवते वासुदेवाय B.E(CIVIL) DELHI UNIVERSITY #MODI supporter #PROUDINDIAN #PROUDHINDU देश भक्ति खून में है</t>
  </si>
  <si>
    <t xml:space="preserve">Election Risk Pays Off for Shinzo Abe of Japan as Party Appears to Win Big https://t.co/eYB4R4vCfF</t>
  </si>
  <si>
    <t xml:space="preserve">Bikash Kumar</t>
  </si>
  <si>
    <t xml:space="preserve">Kolkata/Bhubaneswar</t>
  </si>
  <si>
    <t xml:space="preserve">Admire @narendramodi .Die hard fan of Armed Forces. Dreamer,Thinker,Sports Junkie, Political Analyst &amp; Nationalist. Vande Mataram. RT# Endorsement.</t>
  </si>
  <si>
    <t xml:space="preserve">Pablo Daniel</t>
  </si>
  <si>
    <t xml:space="preserve">Mar del Plata</t>
  </si>
  <si>
    <t xml:space="preserve">Entonces el cafe...</t>
  </si>
  <si>
    <t xml:space="preserve">Jeimi Peña</t>
  </si>
  <si>
    <t xml:space="preserve">Bogotá, D.C., Colombia</t>
  </si>
  <si>
    <t xml:space="preserve">Shinzo Abe’s ruling coalition expected to win decisively in Japan election - https://t.co/eVlmn6nkYE</t>
  </si>
  <si>
    <t xml:space="preserve">Abhishek Anand</t>
  </si>
  <si>
    <t xml:space="preserve">Vassilis Avramidis</t>
  </si>
  <si>
    <t xml:space="preserve">38.005638,23.769005</t>
  </si>
  <si>
    <t xml:space="preserve">Black and White</t>
  </si>
  <si>
    <t xml:space="preserve">Shinzo Abe sweeps to resounding victory in Japan election - Shinzo Abe’s conservative coalition was on track to... https://t.co/rZ4bDuCtAl</t>
  </si>
  <si>
    <t xml:space="preserve">Just about anything! There is no start line or finish line! Spell out Everything in Black 'n White!</t>
  </si>
  <si>
    <t xml:space="preserve">Step Up Japanese</t>
  </si>
  <si>
    <t xml:space="preserve">Exit polls: Shinzo Abe secures strong mandate in Japan's general election https://t.co/NpLyjZkeki</t>
  </si>
  <si>
    <t xml:space="preserve">Brighton, England</t>
  </si>
  <si>
    <r>
      <rPr>
        <sz val="8"/>
        <rFont val="Droid Sans"/>
        <family val="0"/>
        <charset val="1"/>
      </rPr>
      <t xml:space="preserve">I'm Fran, #Brighton-based Japanese teacher</t>
    </r>
    <r>
      <rPr>
        <sz val="8"/>
        <rFont val="Noto Sans CJK SC Regular"/>
        <family val="2"/>
      </rPr>
      <t xml:space="preserve">・</t>
    </r>
    <r>
      <rPr>
        <sz val="8"/>
        <rFont val="Droid Sans"/>
        <family val="0"/>
        <charset val="1"/>
      </rPr>
      <t xml:space="preserve">Sharing the beauty &amp; brilliance of Japanese</t>
    </r>
    <r>
      <rPr>
        <sz val="8"/>
        <rFont val="Noto Sans CJK SC Regular"/>
        <family val="2"/>
      </rPr>
      <t xml:space="preserve">・</t>
    </r>
    <r>
      <rPr>
        <sz val="8"/>
        <rFont val="Droid Sans"/>
        <family val="0"/>
        <charset val="1"/>
      </rPr>
      <t xml:space="preserve">Tweet me your JP questions🇯🇵</t>
    </r>
    <r>
      <rPr>
        <sz val="8"/>
        <rFont val="Noto Sans CJK SC Regular"/>
        <family val="2"/>
      </rPr>
      <t xml:space="preserve">・もちろん日本語で</t>
    </r>
    <r>
      <rPr>
        <sz val="8"/>
        <rFont val="Droid Sans"/>
        <family val="0"/>
        <charset val="1"/>
      </rPr>
      <t xml:space="preserve">OK!</t>
    </r>
    <r>
      <rPr>
        <sz val="8"/>
        <rFont val="Noto Sans CJK SC Regular"/>
        <family val="2"/>
      </rPr>
      <t xml:space="preserve">・</t>
    </r>
    <r>
      <rPr>
        <sz val="8"/>
        <rFont val="Droid Sans"/>
        <family val="0"/>
        <charset val="1"/>
      </rPr>
      <t xml:space="preserve">blog → https://t.co/0v3oFPLhpc</t>
    </r>
  </si>
  <si>
    <t xml:space="preserve">FakeNewsMatters</t>
  </si>
  <si>
    <t xml:space="preserve">Shinzo Abe Keeps Winning - When Shinzo Abe, the prime minister of Japan, called a lower house snap election in ... https://t.co/rnBiaveV70</t>
  </si>
  <si>
    <t xml:space="preserve">OFFICIAL-#News, &amp; More News from all over! #FakeNewsMatters FB: https://t.co/eu14ZP55nU #MAGA #FNM #Russia didnt #hack #election! LOOK: https://t.co/IMllxkXFgn</t>
  </si>
  <si>
    <t xml:space="preserve">Shinzo Abe sweeps to resounding victory in Japan election - Shinzo Abe’s conservative coalition was on track to... https://t.co/A449JZ7Jpt</t>
  </si>
  <si>
    <t xml:space="preserve">Mary Ann Barbero</t>
  </si>
  <si>
    <t xml:space="preserve">Election Risk Pays Off for Shinzo Abe of Japan as Party Appears to Win Big https://t.co/bLlJsgtq8G</t>
  </si>
  <si>
    <t xml:space="preserve">New Jersey, USA</t>
  </si>
  <si>
    <t xml:space="preserve">Wife, Mother, Grandmother, Catholic. Commercial Real Estate., Independent. DJT is an embarrassment. How did he happen?</t>
  </si>
  <si>
    <t xml:space="preserve">Dr.Himanshu Parmar</t>
  </si>
  <si>
    <t xml:space="preserve">NotMyPresident</t>
  </si>
  <si>
    <t xml:space="preserve">RT @marieann66: Election Risk Pays Off for Shinzo Abe of Japan as Party Appears to Win Big https://t.co/bLlJsgtq8G</t>
  </si>
  <si>
    <t xml:space="preserve">LIBERAL, BLACK RETIRED FEMALE I WILL BLOCK ALL RWNJS &amp; ALL CRZY PPL ABSOLUTELY NO TRUMP SUPPORTERS. UNITEBLUE NOT MY PRESIDENT</t>
  </si>
  <si>
    <t xml:space="preserve">Shy Bratton⚓️</t>
  </si>
  <si>
    <t xml:space="preserve">RT @bigtime1957: Big's News: Japanese PM on track for landslide win - Japanese Prime Minister Shinzo Abe appears on course to wi... https:/…</t>
  </si>
  <si>
    <t xml:space="preserve">Dirtyy South</t>
  </si>
  <si>
    <t xml:space="preserve">Rip to the people who made me who i am today, grandma and grandpa jack ❤️</t>
  </si>
  <si>
    <t xml:space="preserve">atique mohammed</t>
  </si>
  <si>
    <t xml:space="preserve">hyderabad </t>
  </si>
  <si>
    <t xml:space="preserve">nothing</t>
  </si>
  <si>
    <t xml:space="preserve">#UKBiz 🇬🇧</t>
  </si>
  <si>
    <t xml:space="preserve">Japan election exit polls point to thumping victory for PM Shinzo Abe’s coalition https://t.co/7XWCjuwbNs #UK #UKBiz</t>
  </si>
  <si>
    <t xml:space="preserve">UK Business</t>
  </si>
  <si>
    <t xml:space="preserve">Supporting all #UK Business : Use the hastag #UKbiz to join our Virtual #Business Community 🇬🇧</t>
  </si>
  <si>
    <t xml:space="preserve">Pankaj Mittal</t>
  </si>
  <si>
    <t xml:space="preserve">Avid follower - World economy, Financial Markets, Hindi movies, Sports. Retweets are NOT endorsements.</t>
  </si>
  <si>
    <t xml:space="preserve">cyber_ securities</t>
  </si>
  <si>
    <t xml:space="preserve">Shinzo Abe secures strong mandate in Japan's general election @Rightside_News https://t.co/JXGmR0FC6K</t>
  </si>
  <si>
    <t xml:space="preserve">The world</t>
  </si>
  <si>
    <t xml:space="preserve">brotherhebrew</t>
  </si>
  <si>
    <t xml:space="preserve">DC Metro</t>
  </si>
  <si>
    <t xml:space="preserve">keeping truth alive</t>
  </si>
  <si>
    <t xml:space="preserve">Waki</t>
  </si>
  <si>
    <t xml:space="preserve">Japan/Switzerland</t>
  </si>
  <si>
    <r>
      <rPr>
        <sz val="8"/>
        <rFont val="Droid Sans"/>
        <family val="0"/>
        <charset val="1"/>
      </rPr>
      <t xml:space="preserve">MA in Ecological Economics &amp; Public Policy. Working on cooperatives and SSEEs. 2017</t>
    </r>
    <r>
      <rPr>
        <sz val="8"/>
        <rFont val="Noto Sans CJK SC Regular"/>
        <family val="2"/>
      </rPr>
      <t xml:space="preserve">年</t>
    </r>
    <r>
      <rPr>
        <sz val="8"/>
        <rFont val="Droid Sans"/>
        <family val="0"/>
        <charset val="1"/>
      </rPr>
      <t xml:space="preserve">4</t>
    </r>
    <r>
      <rPr>
        <sz val="8"/>
        <rFont val="Noto Sans CJK SC Regular"/>
        <family val="2"/>
      </rPr>
      <t xml:space="preserve">月にジュネーブに転勤しました。和氣致祥🐥🌲</t>
    </r>
  </si>
  <si>
    <t xml:space="preserve">Geethaputhra</t>
  </si>
  <si>
    <t xml:space="preserve">Cochin, India</t>
  </si>
  <si>
    <t xml:space="preserve">आ नो भद्राः क्रतवो यन्तु विश्वतः</t>
  </si>
  <si>
    <t xml:space="preserve">BlenheimChalcotNews</t>
  </si>
  <si>
    <t xml:space="preserve">Shinzo Abe just got one step closer to realizing his mandate for Japan. Here’s what it looks like https://t.co/tgVic2hc96</t>
  </si>
  <si>
    <t xml:space="preserve">Guadalupe Peña</t>
  </si>
  <si>
    <r>
      <rPr>
        <sz val="8"/>
        <rFont val="Droid Sans"/>
        <family val="0"/>
        <charset val="1"/>
      </rPr>
      <t xml:space="preserve">Profesora de la FCPyS de la UNAM, Profesora de Universidad La Salle. Lawyer / Rechtsanwältin/ </t>
    </r>
    <r>
      <rPr>
        <sz val="8"/>
        <rFont val="Noto Sans CJK SC Regular"/>
        <family val="2"/>
      </rPr>
      <t xml:space="preserve">擅长国际贸易</t>
    </r>
    <r>
      <rPr>
        <sz val="8"/>
        <rFont val="Droid Sans"/>
        <family val="0"/>
        <charset val="1"/>
      </rPr>
      <t xml:space="preserve">México</t>
    </r>
  </si>
  <si>
    <t xml:space="preserve">kshincho</t>
  </si>
  <si>
    <t xml:space="preserve">Japan's PM Shinzo Abe poised to win snap election @AJENews https://t.co/Koh6xwDgyR</t>
  </si>
  <si>
    <t xml:space="preserve">公認会計士 税理士</t>
  </si>
  <si>
    <t xml:space="preserve">raja1260</t>
  </si>
  <si>
    <t xml:space="preserve">Gurugram</t>
  </si>
  <si>
    <t xml:space="preserve">Want India to be Vishwaguru again. Ready to do my share. Supporting RSS, Modiji and a proud Hindu. Interested in traveling, history and nationalist to core🙏</t>
  </si>
  <si>
    <t xml:space="preserve">Jeremy Blomstedt</t>
  </si>
  <si>
    <t xml:space="preserve">Lincoln, NE</t>
  </si>
  <si>
    <t xml:space="preserve">Wrighter. Amateur chef. Occasional provocateur.</t>
  </si>
  <si>
    <t xml:space="preserve">रचित तिवारी</t>
  </si>
  <si>
    <t xml:space="preserve">Mumbai is just over the creek!</t>
  </si>
  <si>
    <t xml:space="preserve">Opinions on everything. Cricket lover. Aspiring travel writer. Researcher. Curious. Cynical</t>
  </si>
  <si>
    <t xml:space="preserve">Monica Cates</t>
  </si>
  <si>
    <t xml:space="preserve">Election Risk Pays Off for Shinzo Abe of Japan as Party Appears to Win Big via @NYTimes https://t.co/5SuBTfvtzt</t>
  </si>
  <si>
    <t xml:space="preserve">NO DIRECT MESSAGES, I WILL NOT RESPOND</t>
  </si>
  <si>
    <t xml:space="preserve">Shinzo Abe just got one step closer to realizing his mandate for Japan. Here’s what it looks like https://t.co/orAvddn3zD</t>
  </si>
  <si>
    <t xml:space="preserve">Boris PADONOU</t>
  </si>
  <si>
    <t xml:space="preserve">#africa #tech Japanese prime minister Shinzo Abe has taken another stride toward realizing his vision for Japan. … https://t.co/RbyIvbTEjS</t>
  </si>
  <si>
    <t xml:space="preserve">Cotonou, BENIN</t>
  </si>
  <si>
    <t xml:space="preserve">COO de l'accélérateur de Startups KhulaTech, siège Bénin. Élu dans la liste Forbes de moins 30 ans Coach en leadership</t>
  </si>
  <si>
    <t xml:space="preserve">Election Risk Pays Off for Shinzo Abe of Japan as Party Appears to Win Big https://t.co/yyEoVx814f</t>
  </si>
  <si>
    <t xml:space="preserve">Quartz</t>
  </si>
  <si>
    <t xml:space="preserve">Shinzo Abe just got one step closer to realizing his mandate for Japan. Here’s what it looks like https://t.co/MRVPVQwSue</t>
  </si>
  <si>
    <t xml:space="preserve">The World</t>
  </si>
  <si>
    <t xml:space="preserve">Quartz is a new kind of global business news outlet. Sign up for the Quartz Daily Brief: http://t.co/3cm80H1KMS</t>
  </si>
  <si>
    <t xml:space="preserve">Japan exit polls show Shinzo Abe winning general election https://t.co/nHq1Fv9ozN</t>
  </si>
  <si>
    <t xml:space="preserve">robotNews</t>
  </si>
  <si>
    <t xml:space="preserve">Shinzo Abe secures strong mandate in Japan's general election | World news. #realnews #livenews #breakingnews #lat… https://t.co/GKz0EpivGw</t>
  </si>
  <si>
    <t xml:space="preserve">The latest global headlines from only the most credible sources.</t>
  </si>
  <si>
    <t xml:space="preserve">Shinzo Abe secures strong mandate in Japan's general election https://t.co/6T2Hn5oDzO</t>
  </si>
  <si>
    <t xml:space="preserve">Japan election exit polls point to thumping victory for PM Shinzo Abe’s coalition https://t.co/dL2FGoFaTa #UK #UKBiz — #UKBiz 🇬🇧 (ukbizz)…</t>
  </si>
  <si>
    <t xml:space="preserve">अहन्या</t>
  </si>
  <si>
    <t xml:space="preserve">Mukteshwar, India</t>
  </si>
  <si>
    <t xml:space="preserve">Hindutwa means seeing God in every particle of Mother Earth and respecting each form of life.</t>
  </si>
  <si>
    <t xml:space="preserve">Tere</t>
  </si>
  <si>
    <t xml:space="preserve">(International Business Times):#Japan election exit polls point to thumping victory for #PM Shinzo Abe's.. https://t.co/6ouxvQ9fv3</t>
  </si>
  <si>
    <t xml:space="preserve">#News #Story #Article https://t.co/aZD46G1g6W #Shinzo Abe just got one step closer to realizing his mandate for Japan. Here’s what it look…</t>
  </si>
  <si>
    <t xml:space="preserve">A #Nerd | A #Geek | A #Dork #ComplianceSpecialist @SageAsia</t>
  </si>
  <si>
    <t xml:space="preserve">Cliff Lee Taylor</t>
  </si>
  <si>
    <t xml:space="preserve">Shinzo Abe secures strong mandate in Japan's general election https://t.co/G2ohqmQdbb</t>
  </si>
  <si>
    <t xml:space="preserve">Host MTV-Europe in London/ BBC Radio / Emmy Nominated UK Comedy Spitting Image / The Camelot</t>
  </si>
  <si>
    <t xml:space="preserve">Weird Identification</t>
  </si>
  <si>
    <t xml:space="preserve">In the dark</t>
  </si>
  <si>
    <t xml:space="preserve">Confession for exist. Diehard Minnesota sports supporting. RT ≒ 'On This Day'</t>
  </si>
  <si>
    <t xml:space="preserve">Shinzo Abe just got one step closer to realizing his mandate for Japan. Here’s what it looks like https://t.co/W9TgCLpQhm</t>
  </si>
  <si>
    <t xml:space="preserve">Shinzo Abe is headed for an election win in Japan, but many challenges still loom https://t.co/7QaGcvvTGe https://t.co/cpzuwUGWMr</t>
  </si>
  <si>
    <t xml:space="preserve">Shinzo Abe is headed for an election win in Japan, but many challenges still loom https://t.co/cyHOegqgyF https://t.co/boKBwIn7iP</t>
  </si>
  <si>
    <t xml:space="preserve">Shinzo Abe is headed for an election win in Japan, but many challenges still loom https://t.co/KvXkyuuDjB https://t.co/yM4TDr9U6p</t>
  </si>
  <si>
    <t xml:space="preserve">Shinzo Abe is headed for an election win in Japan, but many challenges still loom https://t.co/gILxWG0ggg https://t.co/P05l67GqqA</t>
  </si>
  <si>
    <t xml:space="preserve">business: Shinzo Abe is headed for an election win in Japan, but many challenges still loom … https://t.co/DwaWl19IEX</t>
  </si>
  <si>
    <t xml:space="preserve">kris🍁</t>
  </si>
  <si>
    <t xml:space="preserve">RT @business: Shinzo Abe is headed for an election win in Japan, but many challenges still loom https://t.co/7QaGcvvTGe https://t.co/cpzuwU…</t>
  </si>
  <si>
    <t xml:space="preserve">Toronto Canada,Tirana Albania</t>
  </si>
  <si>
    <t xml:space="preserve">There is nothing new under the sun. Economics=Dogmatic Religion. Freedom is a choice, so is slavery. Staunchly pro-USA. Canadian, Albanian. Orthodox Christian.</t>
  </si>
  <si>
    <t xml:space="preserve">🚶🏻Curtis S. Chin</t>
  </si>
  <si>
    <t xml:space="preserve">An interesting few days in Asia as Xi Jinping &amp; now Shinzo Abe emerge stronger. Here’s what it looks like in Japan. https://t.co/vX6xjYYvt3</t>
  </si>
  <si>
    <t xml:space="preserve">Tweets on #Asia &amp; USA  </t>
  </si>
  <si>
    <t xml:space="preserve">Former US Ambassador~Board/Biz Executive~Milken Fellow~Commentator &amp; Warrior against the #littleBRIC: bureaucracy~regulation~interventionism~corruption.</t>
  </si>
  <si>
    <t xml:space="preserve">Himiko</t>
  </si>
  <si>
    <t xml:space="preserve">Shinzo Abe is headed for an election win in Japan, but many challenges still loom https://t.co/JNhrMfJtXx https://t.co/yUX90rizZa</t>
  </si>
  <si>
    <t xml:space="preserve">Sarah Ager</t>
  </si>
  <si>
    <t xml:space="preserve">Shinzo Abe secures strong mandate in Japan's general election https://t.co/HQvcHj9unJ</t>
  </si>
  <si>
    <t xml:space="preserve">Bologna, Italy / UK</t>
  </si>
  <si>
    <t xml:space="preserve">English Teacher, British Immigrant in Italy, Interfaith, Anglo-Muslim Hybrid, Curator @InterfaithRam, Liberal leaning. I'll just pop the kettle on...</t>
  </si>
  <si>
    <t xml:space="preserve">Abhishek kumar</t>
  </si>
  <si>
    <t xml:space="preserve">Engineer,Technology enthusiast</t>
  </si>
  <si>
    <t xml:space="preserve">Nilesh Bhamare</t>
  </si>
  <si>
    <t xml:space="preserve">Malegaon </t>
  </si>
  <si>
    <t xml:space="preserve">nafi hanif</t>
  </si>
  <si>
    <t xml:space="preserve">RT @BloombergAsia: Shinzo Abe is headed for an election win in Japan, but many challenges still loom https://t.co/gILxWG0ggg https://t.co/P…</t>
  </si>
  <si>
    <t xml:space="preserve">Diana Lane</t>
  </si>
  <si>
    <t xml:space="preserve">HR professional,handbell director and singer. Owned by Sophie and Esther, two fabulous feline bosses.</t>
  </si>
  <si>
    <t xml:space="preserve">Shinzo Abe is headed for an election win in Japan, but many challenges still loom https://t.co/0rcG3EXvDM https://t.co/QaUC8ZfuNI</t>
  </si>
  <si>
    <t xml:space="preserve">Bobby Ghosh</t>
  </si>
  <si>
    <t xml:space="preserve">RT @qz: Shinzo Abe just got one step closer to realizing his mandate for Japan. Here’s what it looks like https://t.co/MRVPVQwSue</t>
  </si>
  <si>
    <t xml:space="preserve">Editor-in-Chief, @httweets. Ex- @Time, @qz, @CNN. Food, football &amp; foreign affairs... not necessarily in that order. 🇺🇸</t>
  </si>
  <si>
    <t xml:space="preserve">The Old Currency</t>
  </si>
  <si>
    <t xml:space="preserve">RT @bpolitics: Shinzo Abe is headed for an election win in Japan, but many challenges still loom https://t.co/KvXkyuuDjB https://t.co/yM4TD…</t>
  </si>
  <si>
    <t xml:space="preserve">Research firm, providing opinion and insight on the stock market through buy/sell ratings.</t>
  </si>
  <si>
    <t xml:space="preserve">Derek Williams</t>
  </si>
  <si>
    <t xml:space="preserve">Shinzo Abe secures strong mandate in Japan's general election https://t.co/76j3mkNbuE</t>
  </si>
  <si>
    <t xml:space="preserve">Bangkok</t>
  </si>
  <si>
    <t xml:space="preserve">resident of S.E. Asia since 1971. Total Mac-head. Also curator of @asiaworksTV</t>
  </si>
  <si>
    <t xml:space="preserve">#BloombergTV ❧ Shinzo Abe is headed for an election win in Japan, but many challenges still loom … https://t.co/sSBAj7wQ8D</t>
  </si>
  <si>
    <t xml:space="preserve">Shinzo Abe is headed for an election win in Japan, but many challenges still loom https://t.co/MhV5Aw0T0d https://t.co/yRHKTGYmiD</t>
  </si>
  <si>
    <t xml:space="preserve">Ｕ</t>
  </si>
  <si>
    <t xml:space="preserve">まぼろしのばらのまちにて</t>
  </si>
  <si>
    <t xml:space="preserve">JCharlesThomas</t>
  </si>
  <si>
    <t xml:space="preserve">Election Risk Pays Off for Shinzo Abe of Japan as Party Appears to Win Big - The New York Times https://t.co/1LW4U7GfCh</t>
  </si>
  <si>
    <t xml:space="preserve">Solana Beach, CA</t>
  </si>
  <si>
    <t xml:space="preserve">author, researcher, speaker, consultant, inventor; HCI, AI, UX, creativity</t>
  </si>
  <si>
    <t xml:space="preserve">ゆうあい</t>
  </si>
  <si>
    <t xml:space="preserve">Election Risk Pays Off for Shinzo Abe of Japan as Party Appears to Win Big https://t.co/VfroIqrD0g</t>
  </si>
  <si>
    <t xml:space="preserve">「若さ」という身体の価値が自分から失くなった時に、それでもなお異性に好かれるような魅力を持ち合わせていたい。身軽に。</t>
  </si>
  <si>
    <t xml:space="preserve">ponpocopon007</t>
  </si>
  <si>
    <t xml:space="preserve">Election Risk Pays Off for Shinzo Abe of Japan as Party Appears to Win Big https://t.co/p0mV9w04si</t>
  </si>
  <si>
    <t xml:space="preserve">気になったことをテキト～につぶやいてます（暇なとき）。デジタル／アニメ／音楽／映画／スポーツが好きです。よろしくです。</t>
  </si>
  <si>
    <t xml:space="preserve">Shinzo Abe is headed for an election win in Japan, but many challenges still loom https://t.co/YSfZk8QhFA https://t.co/kzWUl55iiH</t>
  </si>
  <si>
    <t xml:space="preserve">I'm Wakandan</t>
  </si>
  <si>
    <t xml:space="preserve">#A2 | #DetroitDuLacErie</t>
  </si>
  <si>
    <r>
      <rPr>
        <sz val="8"/>
        <rFont val="Droid Sans"/>
        <family val="0"/>
        <charset val="1"/>
      </rPr>
      <t xml:space="preserve">🇹🇿🇯🇲🇨🇺| #BlackLivesAbsolutelyMatter | #NoMuslimBan | #IntersectionalOrBust | #WaterIsLife | ❤️by @rmmminaya via @RutgersU &amp; @UMich </t>
    </r>
    <r>
      <rPr>
        <sz val="8"/>
        <rFont val="Noto Sans CJK SC Regular"/>
        <family val="2"/>
      </rPr>
      <t xml:space="preserve">〽️ </t>
    </r>
    <r>
      <rPr>
        <sz val="8"/>
        <rFont val="Droid Sans"/>
        <family val="0"/>
        <charset val="1"/>
      </rPr>
      <t xml:space="preserve">Alumna | #JerseyGirl</t>
    </r>
  </si>
  <si>
    <t xml:space="preserve">RT BloombergTV "Shinzo Abe is headed for an election win in Japan, but many challenges still loom … https://t.co/l1Z6v7d45b"</t>
  </si>
  <si>
    <t xml:space="preserve">Takapyonuoʎdɐʞɐʇ</t>
  </si>
  <si>
    <t xml:space="preserve">Election Risk Pays Off for Shinzo Abe of Japan as Party Appears to Win Big: Early projections of a victory on… https://t.co/RSGS2uA0C2</t>
  </si>
  <si>
    <r>
      <rPr>
        <sz val="8"/>
        <rFont val="Droid Sans"/>
        <family val="0"/>
        <charset val="1"/>
      </rPr>
      <t xml:space="preserve">Various news flows. </t>
    </r>
    <r>
      <rPr>
        <sz val="8"/>
        <rFont val="Noto Sans CJK SC Regular"/>
        <family val="2"/>
      </rPr>
      <t xml:space="preserve">各种新闻流动 다양한 뉴스가 흘러 나옵니다 </t>
    </r>
    <r>
      <rPr>
        <sz val="8"/>
        <rFont val="Droid Sans"/>
        <family val="0"/>
        <charset val="1"/>
      </rPr>
      <t xml:space="preserve">विभिन्न समाचार प्रवाह Varios flujos de noticias Различные потоки новостей تدفقات الانباء متنوع</t>
    </r>
  </si>
  <si>
    <t xml:space="preserve">NEWSROOM</t>
  </si>
  <si>
    <t xml:space="preserve">#ForeignAffairs #ForeignPolicy #politics #MediaNews #Breaking .#info, #media #MediaNews ,#Sport, ONLY #RT but aren't endorsemen't.</t>
  </si>
  <si>
    <t xml:space="preserve">business: Shinzo Abe is headed for an election win in Japan, but many challenges still loom … https://t.co/ZZApzUrGLt</t>
  </si>
  <si>
    <t xml:space="preserve">RT business "Shinzo Abe is headed for an election win in Japan, but many challenges still loom … https://t.co/7Gj3BqFFz4"</t>
  </si>
  <si>
    <t xml:space="preserve">Iry Lady Andrea</t>
  </si>
  <si>
    <t xml:space="preserve">Election Risk Pays Off for Shinzo Abe of Japan as Party Appears to Win Big - The New York Times https://t.co/jRBYCXoeyp</t>
  </si>
  <si>
    <t xml:space="preserve">#TheResistance NYC yellow cabs FEAR me!☺️ (road warrior) Love: Ed. esp. psych, classical pianist. BOOKS! Luv- Ocean, Classrooms, Libraries, Horseback, islands!</t>
  </si>
  <si>
    <t xml:space="preserve">Ian St-Onge</t>
  </si>
  <si>
    <t xml:space="preserve">Montréal, Québec, Canada</t>
  </si>
  <si>
    <t xml:space="preserve">Sports, politique et actualité</t>
  </si>
  <si>
    <t xml:space="preserve">Ravanan</t>
  </si>
  <si>
    <t xml:space="preserve">Technophile, I run.</t>
  </si>
  <si>
    <t xml:space="preserve">TOKYO (Reuters) - Japanese Prime Minister Shinzo Abe's ruling bloc was headed for a big win in Sunday's… https://t.co/qu2Bwx0atu #FB</t>
  </si>
  <si>
    <t xml:space="preserve">RT BloombergTV "Shinzo Abe is headed for an election win in Japan, but many challenges still loom … https://t.co/45Qx7AB5Ps"</t>
  </si>
  <si>
    <t xml:space="preserve">jaimeotero_: Shinzo Abe is headed for an election win in Japan, but many challenges still loom https://t.co/AjSHSFFCeA …</t>
  </si>
  <si>
    <t xml:space="preserve">naresh</t>
  </si>
  <si>
    <t xml:space="preserve">Shalu Dhyani</t>
  </si>
  <si>
    <t xml:space="preserve">Daydreamer, Foodie, Bookworm, Cinephile</t>
  </si>
  <si>
    <t xml:space="preserve">Shinzo Abe is headed for an election win in Japan, but many challenges still loom https://t.co/KbyhXxvN03 https://t.co/aV0cN0eXsZ #BSAFun…</t>
  </si>
  <si>
    <t xml:space="preserve">business: Shinzo Abe is headed for an election win in Japan, but many challenges still loom … https://t.co/dpQyFazsPD</t>
  </si>
  <si>
    <t xml:space="preserve">vivi gc</t>
  </si>
  <si>
    <t xml:space="preserve">RT @BloombergTV: Shinzo Abe is headed for an election win in Japan, but many challenges still loom https://t.co/cyHOegqgyF https://t.co/boK…</t>
  </si>
  <si>
    <t xml:space="preserve">Periodista de Economia. Peruvian book freak y feminista. Y por supuesto, 100%crema ¡YDaleU!</t>
  </si>
  <si>
    <t xml:space="preserve">QUARTZ: Shinzo Abe just got one step closer to realizing his mandate for Japan. Here’s what it looks like https://t.co/PVeTnwDyZY</t>
  </si>
  <si>
    <t xml:space="preserve">RT TopFiveTraders "RT BloombergTV "Shinzo Abe is headed for an election win in Japan, but many challenges stil… https://t.co/wuK9bbEsQ3""</t>
  </si>
  <si>
    <t xml:space="preserve">BigMoneyTraders</t>
  </si>
  <si>
    <t xml:space="preserve">RT qz "Shinzo Abe just got one step closer to realizing his mandate for Japan. Here’s what it looks like https://t.co/eyI2Sxsxxm"</t>
  </si>
  <si>
    <t xml:space="preserve">Money Land</t>
  </si>
  <si>
    <t xml:space="preserve">Follow the Big MoneyTraders on the #NYSE and #NASDAQ @ https://t.co/9afsmtGXQU - join today ! https://t.co/WOym8AwsTd</t>
  </si>
  <si>
    <t xml:space="preserve">Earle Kimel</t>
  </si>
  <si>
    <t xml:space="preserve">Election Risk Pays Off for Shinzo Abe of Japan as Party Appears to Win Big via @NYTimes https://t.co/pvdNjGi1h3</t>
  </si>
  <si>
    <t xml:space="preserve">Sarasota, FL</t>
  </si>
  <si>
    <t xml:space="preserve">Man about Venice, North Port and South County at Herald-Tribune Media Group, occasional photographer, early-adopter Parrothead.</t>
  </si>
  <si>
    <t xml:space="preserve">RT TFTCS "RT BloombergTV "Shinzo Abe is headed for an election win in Japan, but many challenges still loom … https://t.co/wuK9bbEsQ3""</t>
  </si>
  <si>
    <t xml:space="preserve">Alexandru Sebastian</t>
  </si>
  <si>
    <t xml:space="preserve">Torino, Piemonte</t>
  </si>
  <si>
    <t xml:space="preserve">MORE: Here's how Japan PM Shinzo Abe responded to his projected election victory https://t.co/Re6RX8nNXF https://t.co/5jGFrYK3ka</t>
  </si>
  <si>
    <t xml:space="preserve">Dr. David E. McClean</t>
  </si>
  <si>
    <t xml:space="preserve">Election Risk Pays Off for Shinzo Abe of Japan as Party Appears to Win Big https://t.co/HaCKgjvxxd</t>
  </si>
  <si>
    <t xml:space="preserve">Business consultant; University Trustee; Lecturer in Philosophy &amp; World Religions; Author, Wall Street, Reforming the Unreformable &amp; other works.</t>
  </si>
  <si>
    <t xml:space="preserve">Sum_1</t>
  </si>
  <si>
    <t xml:space="preserve">RT @IBTimesUK: Japan election exit polls point to thumping victory for PM Shinzo Abe's coalition https://t.co/YanIcoc0wP</t>
  </si>
  <si>
    <t xml:space="preserve">Southern, USA</t>
  </si>
  <si>
    <t xml:space="preserve">Student Pilot- Love all things related to numbers, good books, avionics &amp; history.</t>
  </si>
  <si>
    <t xml:space="preserve">Sweeney Todd</t>
  </si>
  <si>
    <t xml:space="preserve">walking the green mile..</t>
  </si>
  <si>
    <t xml:space="preserve">desi_gypsy</t>
  </si>
  <si>
    <t xml:space="preserve">RT @business: MORE: Here's how Japan PM Shinzo Abe responded to his projected election victory https://t.co/Re6RX8nNXF https://t.co/5jGFrYK…</t>
  </si>
  <si>
    <t xml:space="preserve">Everywhere At Once </t>
  </si>
  <si>
    <t xml:space="preserve">Brief gypsy-halt on Planet Earth 💜love pantheism, pluralism, free spirits 💔hate perverts and fanatics 🚫RTs ≠ Endorsement</t>
  </si>
  <si>
    <t xml:space="preserve">Tom Nora</t>
  </si>
  <si>
    <t xml:space="preserve">California // Florida</t>
  </si>
  <si>
    <t xml:space="preserve">Author of HACKING THE CORE | #Java #AI #MachLrn #Photography #CraftBeer #HackingTheCore</t>
  </si>
  <si>
    <t xml:space="preserve">citizen d.</t>
  </si>
  <si>
    <t xml:space="preserve">strategist, non-partisan, the #whistleblower #60тэрбум, the eyewitness #90min #40min, private twitter acc: @dorjzodov, facebook page: @citizendorjzodov</t>
  </si>
  <si>
    <t xml:space="preserve">Election Risk Pays Off for Shinzo Abe of Japan as Party Appears to Win Big https://t.co/ISShVAHZcV</t>
  </si>
  <si>
    <t xml:space="preserve">business: MORE: Here's how Japan PM Shinzo Abe responded to his projected election victory … https://t.co/sR0kGdtdTv</t>
  </si>
  <si>
    <t xml:space="preserve">Wula T&amp;S SAS</t>
  </si>
  <si>
    <t xml:space="preserve">Colombia</t>
  </si>
  <si>
    <t xml:space="preserve">Wula Trade and Services SAS</t>
  </si>
  <si>
    <t xml:space="preserve">MORE: Here's how Japan PM Shinzo Abe responded to his projected election victory https://t.co/TYLJyHEDQT https://t.co/6NoABBswjC</t>
  </si>
  <si>
    <t xml:space="preserve">Hillary K Bainny</t>
  </si>
  <si>
    <t xml:space="preserve">Debater | LFC Diehard | Debate trainer | Debate Adjudicator | Realist</t>
  </si>
  <si>
    <t xml:space="preserve">鳴浪聖瀬</t>
  </si>
  <si>
    <t xml:space="preserve">倉庫</t>
  </si>
  <si>
    <t xml:space="preserve">Gregory Danner</t>
  </si>
  <si>
    <t xml:space="preserve">Engineer by trade. Advocate for social justice, cultural diversity, gender equality, critical thinking, and interfaith dialog. I search for truth.</t>
  </si>
  <si>
    <t xml:space="preserve">Rajesh Rajgor</t>
  </si>
  <si>
    <t xml:space="preserve">My mission: be so busy loving my life that I have no time for hate, regret, worrying, fret, or fear. Profession, IT Customer Delivery Manager.</t>
  </si>
  <si>
    <t xml:space="preserve">Dee</t>
  </si>
  <si>
    <t xml:space="preserve">republican taxpayer</t>
  </si>
  <si>
    <t xml:space="preserve">چیف جسٹس مستانہ</t>
  </si>
  <si>
    <t xml:space="preserve">چیف جسٹس کا پرائیویٹ چیمبر.</t>
  </si>
  <si>
    <t xml:space="preserve">‏جسٹس بھرا ہے میرے انگ انگ میں. جو مجھکو چھوئے گا نااہل ہوجائے گا. صادق امین بائی برتھ. ٹیکس میں دینا نئیں. نظریہ ضرورت کا دلدار تے بوٹاں دی خدمت واسطے ہردم تیا</t>
  </si>
  <si>
    <t xml:space="preserve">Shinzo Abe secures strong mandate in Japan's general election | World news via /r/worldnews https://t.co/RVjcHxUtgP</t>
  </si>
  <si>
    <t xml:space="preserve">真面目（ちょい良）</t>
  </si>
  <si>
    <r>
      <rPr>
        <sz val="8"/>
        <rFont val="Droid Sans"/>
        <family val="0"/>
        <charset val="1"/>
      </rPr>
      <t xml:space="preserve">IT </t>
    </r>
    <r>
      <rPr>
        <sz val="8"/>
        <rFont val="Noto Sans CJK SC Regular"/>
        <family val="2"/>
      </rPr>
      <t xml:space="preserve">スタートアップ 営業本部長。趣味は鞄集めとアトラスのゲームとカメラです。</t>
    </r>
  </si>
  <si>
    <t xml:space="preserve">Serafí Pitarra</t>
  </si>
  <si>
    <t xml:space="preserve">Stoicism</t>
  </si>
  <si>
    <t xml:space="preserve">CRO</t>
  </si>
  <si>
    <t xml:space="preserve">IT Auditor|Risk Analyst|🇳🇬|</t>
  </si>
  <si>
    <t xml:space="preserve">Censored News UK🇬🇧</t>
  </si>
  <si>
    <t xml:space="preserve">Japan to turn up heat against North Korea as Abe gains new mandate with election win https://t.co/jMpf6I6vT4 https://t.co/eZxZJ4fUpV</t>
  </si>
  <si>
    <t xml:space="preserve">Hidden &amp; Censored by Twitter 4 Sharing the truth. Blocked in Search results. Help Us Grow by sharing. Combat Censorship. Conservative News they don't want U 2 C</t>
  </si>
  <si>
    <t xml:space="preserve">eurownews</t>
  </si>
  <si>
    <t xml:space="preserve">Japan to turn up heat against North Korea as Abe gains new mandate with election win https://t.co/PJSAtRQAhq https://t.co/h9Rcn7aT7Y</t>
  </si>
  <si>
    <t xml:space="preserve">Le grand zapping</t>
  </si>
  <si>
    <t xml:space="preserve">MORE: Here's how Japan PM Shinzo Abe responded to his projected election victory https://t.co/Jz4dTomUiZ https://t.co/dNHmISSFzU</t>
  </si>
  <si>
    <t xml:space="preserve">Madhusudan</t>
  </si>
  <si>
    <t xml:space="preserve">Facade designer</t>
  </si>
  <si>
    <t xml:space="preserve">business: MORE: Here's how Japan PM Shinzo Abe responded to his projected election victory https://t.co/dfKECvFAPt https://t.co/1hcMqdYw2t</t>
  </si>
  <si>
    <t xml:space="preserve">AmarAd</t>
  </si>
  <si>
    <t xml:space="preserve">@OTMongolia</t>
  </si>
  <si>
    <t xml:space="preserve">business: MORE: Here's how Japan PM Shinzo Abe responded to his projected election victory https://t.co/lSPYYbItKx https://t.co/8fL7rpXgFO</t>
  </si>
  <si>
    <t xml:space="preserve">Pam</t>
  </si>
  <si>
    <t xml:space="preserve">Election Risk Pays Off for Shinzo Abe of Japan as Party Appears to Win Big https://t.co/NOKfgcqc0p</t>
  </si>
  <si>
    <t xml:space="preserve">ProgressForward; SocialConscience; BrothersKeeper;FinanceTrust ManagementBackground-Equality JOIN ME in Civil Discourse of Human RightsIssues-RT=Noteworthy</t>
  </si>
  <si>
    <t xml:space="preserve">Darren J. McDermott</t>
  </si>
  <si>
    <t xml:space="preserve">Higher Education | Policy | Strategy | Partnerships #Internationalisation #Innovation #Impact in #HigherEducation between #EU #ASEAN #APAC @ESSEC_AP 🇮🇪🇪🇺🇸🇬</t>
  </si>
  <si>
    <t xml:space="preserve">Judyth Mermelstein</t>
  </si>
  <si>
    <t xml:space="preserve">Verdun, QC, Canada</t>
  </si>
  <si>
    <t xml:space="preserve">freelance writer, editor, translator (francais-anglais) and semi-geek; omnivorous reader and news junkie lectrice omnivore bilingue</t>
  </si>
  <si>
    <t xml:space="preserve">MPGJ</t>
  </si>
  <si>
    <t xml:space="preserve">a voluntary slave</t>
  </si>
  <si>
    <t xml:space="preserve">Carlos Rebolledo</t>
  </si>
  <si>
    <t xml:space="preserve">Providencia, Chile</t>
  </si>
  <si>
    <t xml:space="preserve">👍🏼la política,👎🏼algunos políticos. De Quillota, Creativo, me aburro rápido, empático y picao. carcel pa corruptos d toda índole. Seguidor n1 @CaroPizarroT</t>
  </si>
  <si>
    <t xml:space="preserve">Ankit Sharma</t>
  </si>
  <si>
    <t xml:space="preserve">delhi</t>
  </si>
  <si>
    <t xml:space="preserve">just a regular guy who loves life.</t>
  </si>
  <si>
    <t xml:space="preserve">sugarvilleguitars</t>
  </si>
  <si>
    <t xml:space="preserve">Guitarist,Composer, Mets fan . Guitar is like a bicycle to me.</t>
  </si>
  <si>
    <t xml:space="preserve">MORE: Here's how Japan PM Shinzo Abe responded to his projected election victory https://t.co/JephRNbuot https://t.co/S6IbDdI45E</t>
  </si>
  <si>
    <t xml:space="preserve">AbbTakk</t>
  </si>
  <si>
    <t xml:space="preserve">Shinzo Abe Secures Victory in Japan Snap Election https://t.co/k9ySnIJQbD https://t.co/2B96gyq427</t>
  </si>
  <si>
    <t xml:space="preserve">Karachi, Pakistan</t>
  </si>
  <si>
    <t xml:space="preserve">Official Twitter Account of Abb Takk News</t>
  </si>
  <si>
    <t xml:space="preserve">MORE: Here's how Japan PM Shinzo Abe responded to his projected election victory https://t.co/2dFMBXOZDf https://t.co/Ky3HkvV6Hx</t>
  </si>
  <si>
    <t xml:space="preserve">James Archibald</t>
  </si>
  <si>
    <t xml:space="preserve">Investor, Trader &amp; Traveler, Often Running, Always Learning</t>
  </si>
  <si>
    <t xml:space="preserve">Nathan Worthington</t>
  </si>
  <si>
    <t xml:space="preserve">Election Risk Pays Off for Shinzo Abe of Japan as Party Appears to Win Big - The New York Times https://t.co/lBIcJ36d9U</t>
  </si>
  <si>
    <t xml:space="preserve">Oklahoma</t>
  </si>
  <si>
    <t xml:space="preserve">“The term is over: the holidays have begun. The dream is ended: this is the morning.” - C.S. Lewis, The Last Battle</t>
  </si>
  <si>
    <t xml:space="preserve">Sheena Ricarte</t>
  </si>
  <si>
    <t xml:space="preserve">Aesthetic | Millennial | Beyond Reproach</t>
  </si>
  <si>
    <t xml:space="preserve">International Financial Economics &amp; Corporate Finance (Banking &amp; Capital Markets) Aficionado &amp; Cognoscente | Investor | Diplomat by Training | @F1 Devotee |</t>
  </si>
  <si>
    <t xml:space="preserve">nigerianbulletin.com</t>
  </si>
  <si>
    <t xml:space="preserve">Nigerian Bulletin is a growing community writing, curating and sharing news relevant to Nigerians in all aspects of life [ Retweets are not Endorsements ]</t>
  </si>
  <si>
    <t xml:space="preserve">ken</t>
  </si>
  <si>
    <r>
      <rPr>
        <sz val="8"/>
        <rFont val="Noto Sans CJK SC Regular"/>
        <family val="2"/>
      </rPr>
      <t xml:space="preserve">いつも「ワクワク」して「自由」で「無償の愛」が満ちた世界へ ！ </t>
    </r>
    <r>
      <rPr>
        <sz val="8"/>
        <rFont val="Droid Sans"/>
        <family val="0"/>
        <charset val="1"/>
      </rPr>
      <t xml:space="preserve">It is exciting and makes the world without restriction</t>
    </r>
    <r>
      <rPr>
        <sz val="8"/>
        <rFont val="Noto Sans CJK SC Regular"/>
        <family val="2"/>
      </rPr>
      <t xml:space="preserve">！</t>
    </r>
  </si>
  <si>
    <t xml:space="preserve">Luis Cuapio</t>
  </si>
  <si>
    <t xml:space="preserve">San Mateo Atenco, México</t>
  </si>
  <si>
    <t xml:space="preserve">BUD RANTE</t>
  </si>
  <si>
    <t xml:space="preserve">Anahiem. Ca</t>
  </si>
  <si>
    <t xml:space="preserve">TECHNICAL TRADING GURU 2014 Sharing my BLESSINGS for those who BELIEVE. Psalm 23:4 DDRANTE your GUARDIAN ANGEL in Wallstreet</t>
  </si>
  <si>
    <t xml:space="preserve">La Paz BCS Mexico</t>
  </si>
  <si>
    <t xml:space="preserve">Shinzo Abe just got one step closer to realizing his mandate for Japan. Here’s what it looks like… https://t.co/ZieFfyFLYZ</t>
  </si>
  <si>
    <t xml:space="preserve">La Paz, BCS, Mexico</t>
  </si>
  <si>
    <t xml:space="preserve">La Paz the City on the Bay - Bahia de La Paz #BCS Baja California Sur #Mexico #unbiased #independent #LaPaz #BajaSur eZine est. 2005 @ #BCS #Peninsula</t>
  </si>
  <si>
    <t xml:space="preserve">Julie Hiatt Steele</t>
  </si>
  <si>
    <t xml:space="preserve">Election Risk Pays Off for Shinzo Abe of Japan as Party Appears to Win Big via @NYTimes https://t.co/TpGfcXBQsb</t>
  </si>
  <si>
    <t xml:space="preserve">Group hug! Dry tears, circle around most vulnerable &amp; mobilize for 2018. Bring back our party. Volunteer, run for office, rebuild ground up!</t>
  </si>
  <si>
    <t xml:space="preserve">Shinzo Abe Secures Victory in Japan Snap Election https://t.co/HKCUvmS1bu https://t.co/dlSwgZBmNd</t>
  </si>
  <si>
    <t xml:space="preserve">Socail Media Mobile News Alerts Apna Mobile Ka Msg Main Likhan - Follow AbbTakTv Or Send Karan 40404 Par Or Rahan Har Khabar Sey Ba'Khabar https://t.co/420Q4Vfaae</t>
  </si>
  <si>
    <t xml:space="preserve">LibertyForAll</t>
  </si>
  <si>
    <t xml:space="preserve">Mpika, Zambia </t>
  </si>
  <si>
    <t xml:space="preserve">Libertarian mwenyaj187@gmail.com</t>
  </si>
  <si>
    <t xml:space="preserve">Michael Raymond Fox</t>
  </si>
  <si>
    <t xml:space="preserve">Actor #DDOArtistsAgency</t>
  </si>
  <si>
    <t xml:space="preserve">松竹梅</t>
  </si>
  <si>
    <t xml:space="preserve">Cheers!_Tokyo/Japan</t>
  </si>
  <si>
    <t xml:space="preserve">東京 千代田区</t>
  </si>
  <si>
    <r>
      <rPr>
        <sz val="8"/>
        <rFont val="Noto Sans CJK SC Regular"/>
        <family val="2"/>
      </rPr>
      <t xml:space="preserve">外資系</t>
    </r>
    <r>
      <rPr>
        <sz val="8"/>
        <rFont val="Droid Sans"/>
        <family val="0"/>
        <charset val="1"/>
      </rPr>
      <t xml:space="preserve">CEO &amp; </t>
    </r>
    <r>
      <rPr>
        <sz val="8"/>
        <rFont val="Noto Sans CJK SC Regular"/>
        <family val="2"/>
      </rPr>
      <t xml:space="preserve">零細企業</t>
    </r>
    <r>
      <rPr>
        <sz val="8"/>
        <rFont val="Droid Sans"/>
        <family val="0"/>
        <charset val="1"/>
      </rPr>
      <t xml:space="preserve">Founder. </t>
    </r>
    <r>
      <rPr>
        <sz val="8"/>
        <rFont val="Noto Sans CJK SC Regular"/>
        <family val="2"/>
      </rPr>
      <t xml:space="preserve">日本と日本の伝統文化が大好き、東京が大好き。💓♥️❤️ 「</t>
    </r>
    <r>
      <rPr>
        <sz val="8"/>
        <rFont val="Droid Sans"/>
        <family val="0"/>
        <charset val="1"/>
      </rPr>
      <t xml:space="preserve">Conservative</t>
    </r>
    <r>
      <rPr>
        <sz val="8"/>
        <rFont val="Noto Sans CJK SC Regular"/>
        <family val="2"/>
      </rPr>
      <t xml:space="preserve">」を自負していたが昨今やや「</t>
    </r>
    <r>
      <rPr>
        <sz val="8"/>
        <rFont val="Droid Sans"/>
        <family val="0"/>
        <charset val="1"/>
      </rPr>
      <t xml:space="preserve">Nationalist</t>
    </r>
    <r>
      <rPr>
        <sz val="8"/>
        <rFont val="Noto Sans CJK SC Regular"/>
        <family val="2"/>
      </rPr>
      <t xml:space="preserve">」傾向、「美しい日本」を実現する改憲賛成派。</t>
    </r>
  </si>
  <si>
    <t xml:space="preserve">Don Luis Espinal</t>
  </si>
  <si>
    <t xml:space="preserve">Weston, FL</t>
  </si>
  <si>
    <t xml:space="preserve">Father, husband, Computer Scientist, guns &amp; books fan, tinkerer, aspiring polymath (or deportable lawn crew as per astray Trumpanzees) - https://t.co/5QjodmDb7S</t>
  </si>
  <si>
    <t xml:space="preserve">Yakov Koltovskoy</t>
  </si>
  <si>
    <t xml:space="preserve">Israel.Ashdod</t>
  </si>
  <si>
    <t xml:space="preserve">05.03.1959</t>
  </si>
  <si>
    <t xml:space="preserve">Joe Blessett</t>
  </si>
  <si>
    <t xml:space="preserve">Alpha Male | Recording Artist | RadioXND | 23nGo Radio | Voting Grammy Member I walk alone to cash my check. https://t.co/85oG1wDSjX https://t.co/DZcrM5MPXl</t>
  </si>
  <si>
    <t xml:space="preserve">jon13</t>
  </si>
  <si>
    <t xml:space="preserve">wealth is not what u have but what u give. 4 to give 1st only to borrow to have would b stupid</t>
  </si>
  <si>
    <t xml:space="preserve">0ccasion2B</t>
  </si>
  <si>
    <t xml:space="preserve">Strong General Election Win Projected for Japan’s Prime Minister Shinzo Abe https://t.co/hHFHRVqPCl</t>
  </si>
  <si>
    <t xml:space="preserve">Alternative News and Information Aggregation and Sharing. #AlternativeNews</t>
  </si>
  <si>
    <t xml:space="preserve">道</t>
  </si>
  <si>
    <t xml:space="preserve">皇</t>
  </si>
  <si>
    <r>
      <rPr>
        <sz val="8"/>
        <rFont val="Noto Sans CJK SC Regular"/>
        <family val="2"/>
      </rPr>
      <t xml:space="preserve">初動</t>
    </r>
    <r>
      <rPr>
        <sz val="8"/>
        <rFont val="Droid Sans"/>
        <family val="0"/>
        <charset val="1"/>
      </rPr>
      <t xml:space="preserve">P✨</t>
    </r>
    <r>
      <rPr>
        <sz val="8"/>
        <rFont val="Noto Sans CJK SC Regular"/>
        <family val="2"/>
      </rPr>
      <t xml:space="preserve">ワインとチーズを仕込んでる🍷🧀。欅坂</t>
    </r>
    <r>
      <rPr>
        <sz val="8"/>
        <rFont val="Droid Sans"/>
        <family val="0"/>
        <charset val="1"/>
      </rPr>
      <t xml:space="preserve">. </t>
    </r>
  </si>
  <si>
    <t xml:space="preserve">Roberto Samayoa</t>
  </si>
  <si>
    <t xml:space="preserve">Washington, D.C.</t>
  </si>
  <si>
    <t xml:space="preserve">Mestizo Washingtonian who pronounces all the R's in library and February only to observe you analyze my elocution. This account belongs to two Yorkies and me.</t>
  </si>
  <si>
    <t xml:space="preserve">海老原いすみ</t>
  </si>
  <si>
    <t xml:space="preserve">Shinzo Abe secures strong mandate in Japan's general election https://t.co/cMTKRKbV0l</t>
  </si>
  <si>
    <r>
      <rPr>
        <sz val="8"/>
        <rFont val="Droid Sans"/>
        <family val="0"/>
        <charset val="1"/>
      </rPr>
      <t xml:space="preserve">JAPAN</t>
    </r>
    <r>
      <rPr>
        <sz val="8"/>
        <rFont val="Noto Sans CJK SC Regular"/>
        <family val="2"/>
      </rPr>
      <t xml:space="preserve">：原子力緊急事態宣言発令中</t>
    </r>
  </si>
  <si>
    <r>
      <rPr>
        <sz val="8"/>
        <rFont val="Noto Sans CJK SC Regular"/>
        <family val="2"/>
      </rPr>
      <t xml:space="preserve">左利き</t>
    </r>
    <r>
      <rPr>
        <sz val="8"/>
        <rFont val="Droid Sans"/>
        <family val="0"/>
        <charset val="1"/>
      </rPr>
      <t xml:space="preserve">/</t>
    </r>
    <r>
      <rPr>
        <sz val="8"/>
        <rFont val="Noto Sans CJK SC Regular"/>
        <family val="2"/>
      </rPr>
      <t xml:space="preserve">はてなブロガー</t>
    </r>
    <r>
      <rPr>
        <sz val="8"/>
        <rFont val="Droid Sans"/>
        <family val="0"/>
        <charset val="1"/>
      </rPr>
      <t xml:space="preserve">/</t>
    </r>
    <r>
      <rPr>
        <sz val="8"/>
        <rFont val="Noto Sans CJK SC Regular"/>
        <family val="2"/>
      </rPr>
      <t xml:space="preserve">メモ魔</t>
    </r>
    <r>
      <rPr>
        <sz val="8"/>
        <rFont val="Droid Sans"/>
        <family val="0"/>
        <charset val="1"/>
      </rPr>
      <t xml:space="preserve">/</t>
    </r>
    <r>
      <rPr>
        <sz val="8"/>
        <rFont val="Noto Sans CJK SC Regular"/>
        <family val="2"/>
      </rPr>
      <t xml:space="preserve">ラジオ中毒</t>
    </r>
    <r>
      <rPr>
        <sz val="8"/>
        <rFont val="Droid Sans"/>
        <family val="0"/>
        <charset val="1"/>
      </rPr>
      <t xml:space="preserve">/</t>
    </r>
    <r>
      <rPr>
        <sz val="8"/>
        <rFont val="Noto Sans CJK SC Regular"/>
        <family val="2"/>
      </rPr>
      <t xml:space="preserve">読書</t>
    </r>
    <r>
      <rPr>
        <sz val="8"/>
        <rFont val="Droid Sans"/>
        <family val="0"/>
        <charset val="1"/>
      </rPr>
      <t xml:space="preserve">/10</t>
    </r>
    <r>
      <rPr>
        <sz val="8"/>
        <rFont val="Noto Sans CJK SC Regular"/>
        <family val="2"/>
      </rPr>
      <t xml:space="preserve">月のプロフ画は実るほど頭が茂って美味しいなでお届けします</t>
    </r>
    <r>
      <rPr>
        <sz val="8"/>
        <rFont val="Droid Sans"/>
        <family val="0"/>
        <charset val="1"/>
      </rPr>
      <t xml:space="preserve">/ </t>
    </r>
    <r>
      <rPr>
        <sz val="8"/>
        <rFont val="Noto Sans CJK SC Regular"/>
        <family val="2"/>
      </rPr>
      <t xml:space="preserve">創作物</t>
    </r>
    <r>
      <rPr>
        <sz val="8"/>
        <rFont val="Droid Sans"/>
        <family val="0"/>
        <charset val="1"/>
      </rPr>
      <t xml:space="preserve">&amp;</t>
    </r>
    <r>
      <rPr>
        <sz val="8"/>
        <rFont val="Noto Sans CJK SC Regular"/>
        <family val="2"/>
      </rPr>
      <t xml:space="preserve">会見ログ→</t>
    </r>
    <r>
      <rPr>
        <sz val="8"/>
        <rFont val="Droid Sans"/>
        <family val="0"/>
        <charset val="1"/>
      </rPr>
      <t xml:space="preserve">https://t.co/bTd4RnjnWo</t>
    </r>
  </si>
  <si>
    <t xml:space="preserve">MORE: Here's how Japan PM Shinzo Abe responded to his projected election victory https://t.co/1okV3YWeoE https://t.co/FuCCaoyjFa</t>
  </si>
  <si>
    <t xml:space="preserve">RT @bpolitics: MORE: Here's how Japan PM Shinzo Abe responded to his projected election victory https://t.co/1okV3YWeoE https://t.co/FuCCao…</t>
  </si>
  <si>
    <t xml:space="preserve">Justice4All</t>
  </si>
  <si>
    <t xml:space="preserve">Every where and no where</t>
  </si>
  <si>
    <t xml:space="preserve">Women's Rights/Equality/Security #STOPMisogyny #Repeal Romeo/Juliet Law, NO CONSENT Under 16 PERIOD, #LGBTQ #DenounceChurchHypocrisy #VOTE4WOMEN #ProChoice</t>
  </si>
  <si>
    <t xml:space="preserve">Biz Dailies</t>
  </si>
  <si>
    <t xml:space="preserve">Japan election 2017: PM Shinzo Abe’s ruling bloc on track for big win, say exit polls https://t.co/ANlqM1mKm3 https://t.co/ieXHzu3JSf</t>
  </si>
  <si>
    <t xml:space="preserve">Top-notch business and financial news tracker. Read smarter and faster, stay ahead of the pack.</t>
  </si>
  <si>
    <t xml:space="preserve">カタクリコ</t>
  </si>
  <si>
    <t xml:space="preserve">Shinzo Abe secures strong mandate in Japan's general election https://t.co/Im8KAGGzo0</t>
  </si>
  <si>
    <t xml:space="preserve">川崎市</t>
  </si>
  <si>
    <r>
      <rPr>
        <sz val="8"/>
        <rFont val="Noto Sans CJK SC Regular"/>
        <family val="2"/>
      </rPr>
      <t xml:space="preserve">雑誌と</t>
    </r>
    <r>
      <rPr>
        <sz val="8"/>
        <rFont val="Droid Sans"/>
        <family val="0"/>
        <charset val="1"/>
      </rPr>
      <t xml:space="preserve">TV</t>
    </r>
    <r>
      <rPr>
        <sz val="8"/>
        <rFont val="Noto Sans CJK SC Regular"/>
        <family val="2"/>
      </rPr>
      <t xml:space="preserve">、ライターと翻訳者とディレクター、英語と日本語の間を縫うように、ほっそいほっそい仕事をしています。</t>
    </r>
  </si>
  <si>
    <t xml:space="preserve">Shinzo Abe's 3rd act: Stability for investors, and a salve for Japan's scandal-battered companies https://t.co/8x7IyhOMkK</t>
  </si>
  <si>
    <t xml:space="preserve">Binary Options, information, tips and resources for novice and expert traders #binaryoptions #stocks #FX #commodities http://t.co/ucEO7NHnMZ</t>
  </si>
  <si>
    <t xml:space="preserve">Social Media Tools</t>
  </si>
  <si>
    <t xml:space="preserve">Shinzo Abe just got one step closer to realizing his mandate for Japan. Here’s what it looks like https://t.co/bemvqGISV6</t>
  </si>
  <si>
    <t xml:space="preserve">Tweets from the best social media experts worldwide curated by Maggie</t>
  </si>
  <si>
    <t xml:space="preserve">とある阪大卒業生</t>
  </si>
  <si>
    <t xml:space="preserve">視点を高く持つ。能力より感性。人間万事塞翁が馬。</t>
  </si>
  <si>
    <t xml:space="preserve">Francis</t>
  </si>
  <si>
    <t xml:space="preserve">RVA</t>
  </si>
  <si>
    <t xml:space="preserve">Yasu</t>
  </si>
  <si>
    <t xml:space="preserve">Shinzo Abe secures strong mandate in Japan's general election https://t.co/p4BnpTvVeC</t>
  </si>
  <si>
    <t xml:space="preserve">YOKOHAMA  KANAGAWA  JAPAN</t>
  </si>
  <si>
    <t xml:space="preserve">J Scarffe</t>
  </si>
  <si>
    <t xml:space="preserve">Election Risk Pays Off for Shinzo Abe of Japan as Party Appears to Win Big - The New York Times https://t.co/CdVi2lKH7T</t>
  </si>
  <si>
    <t xml:space="preserve">Daniel Béland</t>
  </si>
  <si>
    <t xml:space="preserve">Election Risk Pays Off for Shinzo Abe of Japan as Party Appears to Win Big https://t.co/qLE5KJ2Gj6</t>
  </si>
  <si>
    <t xml:space="preserve">Saskatoon, SK, Canada</t>
  </si>
  <si>
    <t xml:space="preserve">Canada Research Chair in Public Policy, Johnson-Shoyama Graduate School of Public Policy; fiscal and social policy; institutional analysis; role of ideas</t>
  </si>
  <si>
    <t xml:space="preserve">☭ Left Juan 🏳☭</t>
  </si>
  <si>
    <t xml:space="preserve">RT @danielbeland: Election Risk Pays Off for Shinzo Abe of Japan as Party Appears to Win Big https://t.co/qLE5KJ2Gj6</t>
  </si>
  <si>
    <t xml:space="preserve">Luggage Point/Crude Berth</t>
  </si>
  <si>
    <t xml:space="preserve">Bad art.Abject.Visceral. Stinky. Maltheist. Maltheism. Dystheism. Apatheism. Misotheism. Misotheist. Apatheist. Dystheist.</t>
  </si>
  <si>
    <t xml:space="preserve">Dell Brown</t>
  </si>
  <si>
    <t xml:space="preserve">Election Risk Pays Off for Shinzo Abe of Japan as Party Appears to Win Big https://t.co/4OKQsMWS19</t>
  </si>
  <si>
    <t xml:space="preserve">MD, USA</t>
  </si>
  <si>
    <t xml:space="preserve">MORE: Here's how Japan PM Shinzo Abe responded to his projected election victory https://t.co/Kb8xVYsH23 https://t.co/CnjbYX2JaV</t>
  </si>
  <si>
    <t xml:space="preserve">RT @SMToolsGo: Shinzo Abe just got one step closer to realizing his mandate for Japan. Here’s what it looks like https://t.co/bemvqGISV6</t>
  </si>
  <si>
    <t xml:space="preserve">Santiago Pittamiglio</t>
  </si>
  <si>
    <t xml:space="preserve">Punta del Este, Uruguay</t>
  </si>
  <si>
    <t xml:space="preserve">Mi Humor Fuera de Serie.</t>
  </si>
  <si>
    <t xml:space="preserve">Junichi  Shimizu</t>
  </si>
  <si>
    <r>
      <rPr>
        <sz val="8"/>
        <rFont val="Droid Sans"/>
        <family val="0"/>
        <charset val="1"/>
      </rPr>
      <t xml:space="preserve">Soy japonés. Me gusta mucho España.</t>
    </r>
    <r>
      <rPr>
        <sz val="8"/>
        <rFont val="Noto Sans CJK SC Regular"/>
        <family val="2"/>
      </rPr>
      <t xml:space="preserve">（</t>
    </r>
    <r>
      <rPr>
        <sz val="8"/>
        <rFont val="Droid Sans"/>
        <family val="0"/>
        <charset val="1"/>
      </rPr>
      <t xml:space="preserve">En particular, “La Liga”y“ Música clásica”</t>
    </r>
    <r>
      <rPr>
        <sz val="8"/>
        <rFont val="Noto Sans CJK SC Regular"/>
        <family val="2"/>
      </rPr>
      <t xml:space="preserve">）／ </t>
    </r>
    <r>
      <rPr>
        <sz val="8"/>
        <rFont val="Droid Sans"/>
        <family val="0"/>
        <charset val="1"/>
      </rPr>
      <t xml:space="preserve">I love nature. </t>
    </r>
    <r>
      <rPr>
        <sz val="8"/>
        <rFont val="Noto Sans CJK SC Regular"/>
        <family val="2"/>
      </rPr>
      <t xml:space="preserve">／ </t>
    </r>
    <r>
      <rPr>
        <sz val="8"/>
        <rFont val="Droid Sans"/>
        <family val="0"/>
        <charset val="1"/>
      </rPr>
      <t xml:space="preserve">I'm terribly concerned about right-wing radicalism in Japan.</t>
    </r>
  </si>
  <si>
    <t xml:space="preserve">What Shinzo Abe’s election win will mean for China-Japan relations | This Week In Asia | South China Morning Post https://t.co/9N2YX0Q8ET</t>
  </si>
  <si>
    <t xml:space="preserve">Shinzo Abe secures strong mandate in Japan's general election | World news https://t.co/QkyoDLtTMv https://t.co/a41a1Jjk7g</t>
  </si>
  <si>
    <t xml:space="preserve">Election Risk Pays Off for Shinzo Abe of Japan as Party Appears to Win Big https://t.co/B85cg9Kr3j https://t.co/g7Cxe8QHxz</t>
  </si>
  <si>
    <t xml:space="preserve">nick poulos</t>
  </si>
  <si>
    <t xml:space="preserve">Election Risk Pays Off for Shinzo Abe of Japan as Party Appears to Win Big via @NYTimes https://t.co/HS8xN9h1Ed</t>
  </si>
  <si>
    <t xml:space="preserve">milwaukee, wi</t>
  </si>
  <si>
    <t xml:space="preserve">#Strategist, #systemsThinker #Mediator #Facilitator. #Heideggerian #sustainability. #Waldorf.#LanguageCreatesWorld. Opinions My own. #ResistOligarchFascists</t>
  </si>
  <si>
    <t xml:space="preserve">jaimeotero_: MORE: Here's how Japan PM Shinzo Abe responded to his projected election victory https://t.co/b6fb0ZiMxy …</t>
  </si>
  <si>
    <t xml:space="preserve">Sam Stiver</t>
  </si>
  <si>
    <t xml:space="preserve">@metmuseum coordinator and aspiring polyglot. Links here cover global affairs, economics, and culture. Focus on 🇺🇸🇨🇳</t>
  </si>
  <si>
    <t xml:space="preserve">Japan Election 2017. Win Big https://t.co/gDzOWHHRFl</t>
  </si>
  <si>
    <t xml:space="preserve">Simon Derrick</t>
  </si>
  <si>
    <t xml:space="preserve">Shinzo Abe wins big victory in Japan’s election via @FT https://t.co/fhQzJDUTb0</t>
  </si>
  <si>
    <t xml:space="preserve">Simon Derrick, Chief Currency Strategist for BNY Mellon</t>
  </si>
  <si>
    <t xml:space="preserve">P Ü N</t>
  </si>
  <si>
    <t xml:space="preserve">Pathumthani, Thailand</t>
  </si>
  <si>
    <r>
      <rPr>
        <sz val="8"/>
        <rFont val="Droid Sans"/>
        <family val="0"/>
        <charset val="1"/>
      </rPr>
      <t xml:space="preserve">1991. Johnny's fanboy. ❤️Japanese Pop Culture .Addicted in ✈️🚇🚘🚉. Movie Lover. Blu-ray Collector. #CFC. </t>
    </r>
    <r>
      <rPr>
        <sz val="8"/>
        <rFont val="Noto Sans CJK SC Regular"/>
        <family val="2"/>
      </rPr>
      <t xml:space="preserve">タイ人</t>
    </r>
    <r>
      <rPr>
        <sz val="8"/>
        <rFont val="Droid Sans"/>
        <family val="0"/>
        <charset val="1"/>
      </rPr>
      <t xml:space="preserve">. Speak 🇬🇧🇹🇭 /Learning 🇯🇵. #Punnana</t>
    </r>
  </si>
  <si>
    <t xml:space="preserve">Rose Stabler</t>
  </si>
  <si>
    <t xml:space="preserve">Palm Beach County Florida</t>
  </si>
  <si>
    <t xml:space="preserve">Retired broadcaster, Miss Alabama USA, West Point cadet BS MBA, Widow of Ken Stabler NFL QB, polo photographer</t>
  </si>
  <si>
    <t xml:space="preserve">smita prasad</t>
  </si>
  <si>
    <t xml:space="preserve">Gurgaon </t>
  </si>
  <si>
    <t xml:space="preserve">Data Scientist/wannabe environmentalist/avid reader "It is our choices that show what we truly are , far more than our abilities"-Albus Dumbledore</t>
  </si>
  <si>
    <t xml:space="preserve">ohdaira4300</t>
  </si>
  <si>
    <t xml:space="preserve">政治ニュース中心。</t>
  </si>
  <si>
    <t xml:space="preserve">City A.M.</t>
  </si>
  <si>
    <t xml:space="preserve">Japan's Prime Minister Shinzo Abe projected strong victory in election https://t.co/EHUickdmUd https://t.co/QzlJsMuPoO</t>
  </si>
  <si>
    <t xml:space="preserve">Business with personality. For all distribution queries, see @CityAMDist. For work experience, see https://t.co/dXh18fB8fe</t>
  </si>
  <si>
    <t xml:space="preserve">Matthew Stinson</t>
  </si>
  <si>
    <t xml:space="preserve">Tianjin / Tampa Bay</t>
  </si>
  <si>
    <t xml:space="preserve">American abroad in Tianjin, China. Educator. Photographer. Writer. Seen in @SupChinaNews, @NRO, @LaddersHQ. Formerly in Forbes China Tracker, Agenda Beijing.</t>
  </si>
  <si>
    <t xml:space="preserve">BreakingNewsPakistan</t>
  </si>
  <si>
    <t xml:space="preserve">Shinzo Abe Secures Victory in Japan Snap Election - https://t.co/31f3Yruev2 #Pakistan https://t.co/rIVEnyEtHZ</t>
  </si>
  <si>
    <t xml:space="preserve">BreakingNewsPak</t>
  </si>
  <si>
    <t xml:space="preserve">Breaking News Pakistan is an online news agency that delivers every news about and from Pakistan as it happens.</t>
  </si>
  <si>
    <t xml:space="preserve">quequeque</t>
  </si>
  <si>
    <r>
      <rPr>
        <sz val="8"/>
        <rFont val="Noto Sans CJK SC Regular"/>
        <family val="2"/>
      </rPr>
      <t xml:space="preserve">ベタでも </t>
    </r>
    <r>
      <rPr>
        <sz val="8"/>
        <rFont val="Droid Sans"/>
        <family val="0"/>
        <charset val="1"/>
      </rPr>
      <t xml:space="preserve">Liberté, Égalité, Fraternité, Paix, </t>
    </r>
    <r>
      <rPr>
        <sz val="8"/>
        <rFont val="Noto Sans CJK SC Regular"/>
        <family val="2"/>
      </rPr>
      <t xml:space="preserve">自由平和のない世界は闇 </t>
    </r>
    <r>
      <rPr>
        <sz val="8"/>
        <rFont val="Droid Sans"/>
        <family val="0"/>
        <charset val="1"/>
      </rPr>
      <t xml:space="preserve">Musiclover #</t>
    </r>
    <r>
      <rPr>
        <sz val="8"/>
        <rFont val="Noto Sans CJK SC Regular"/>
        <family val="2"/>
      </rPr>
      <t xml:space="preserve">立憲主義 </t>
    </r>
    <r>
      <rPr>
        <sz val="8"/>
        <rFont val="Droid Sans"/>
        <family val="0"/>
        <charset val="1"/>
      </rPr>
      <t xml:space="preserve">#</t>
    </r>
    <r>
      <rPr>
        <sz val="8"/>
        <rFont val="Noto Sans CJK SC Regular"/>
        <family val="2"/>
      </rPr>
      <t xml:space="preserve">反秘密保護法 </t>
    </r>
    <r>
      <rPr>
        <sz val="8"/>
        <rFont val="Droid Sans"/>
        <family val="0"/>
        <charset val="1"/>
      </rPr>
      <t xml:space="preserve">#</t>
    </r>
    <r>
      <rPr>
        <sz val="8"/>
        <rFont val="Noto Sans CJK SC Regular"/>
        <family val="2"/>
      </rPr>
      <t xml:space="preserve">反戦争関連法案 </t>
    </r>
    <r>
      <rPr>
        <sz val="8"/>
        <rFont val="Droid Sans"/>
        <family val="0"/>
        <charset val="1"/>
      </rPr>
      <t xml:space="preserve">#StopTPP #NoNukes #NoWar #</t>
    </r>
    <r>
      <rPr>
        <sz val="8"/>
        <rFont val="Noto Sans CJK SC Regular"/>
        <family val="2"/>
      </rPr>
      <t xml:space="preserve">人権 </t>
    </r>
    <r>
      <rPr>
        <sz val="8"/>
        <rFont val="Droid Sans"/>
        <family val="0"/>
        <charset val="1"/>
      </rPr>
      <t xml:space="preserve">#</t>
    </r>
    <r>
      <rPr>
        <sz val="8"/>
        <rFont val="Noto Sans CJK SC Regular"/>
        <family val="2"/>
      </rPr>
      <t xml:space="preserve">日米地位協定改正 </t>
    </r>
    <r>
      <rPr>
        <sz val="8"/>
        <rFont val="Droid Sans"/>
        <family val="0"/>
        <charset val="1"/>
      </rPr>
      <t xml:space="preserve">#</t>
    </r>
    <r>
      <rPr>
        <sz val="8"/>
        <rFont val="Noto Sans CJK SC Regular"/>
        <family val="2"/>
      </rPr>
      <t xml:space="preserve">肉球新党ガンバレ </t>
    </r>
    <r>
      <rPr>
        <sz val="8"/>
        <rFont val="Droid Sans"/>
        <family val="0"/>
        <charset val="1"/>
      </rPr>
      <t xml:space="preserve">#</t>
    </r>
    <r>
      <rPr>
        <sz val="8"/>
        <rFont val="Noto Sans CJK SC Regular"/>
        <family val="2"/>
      </rPr>
      <t xml:space="preserve">さよなら安倍政権 </t>
    </r>
    <r>
      <rPr>
        <sz val="8"/>
        <rFont val="Droid Sans"/>
        <family val="0"/>
        <charset val="1"/>
      </rPr>
      <t xml:space="preserve">#</t>
    </r>
    <r>
      <rPr>
        <sz val="8"/>
        <rFont val="Noto Sans CJK SC Regular"/>
        <family val="2"/>
      </rPr>
      <t xml:space="preserve">共謀罪廃案 </t>
    </r>
    <r>
      <rPr>
        <sz val="8"/>
        <rFont val="Droid Sans"/>
        <family val="0"/>
        <charset val="1"/>
      </rPr>
      <t xml:space="preserve">#</t>
    </r>
    <r>
      <rPr>
        <sz val="8"/>
        <rFont val="Noto Sans CJK SC Regular"/>
        <family val="2"/>
      </rPr>
      <t xml:space="preserve">野党共闘</t>
    </r>
  </si>
  <si>
    <t xml:space="preserve">Michael Hinsley</t>
  </si>
  <si>
    <t xml:space="preserve">Election Risk Pays Off for Shinzo Abe of Japan as Party Appears to Win Big - The New York Times https://t.co/OUcgPgDWli</t>
  </si>
  <si>
    <t xml:space="preserve">Tucson,Az,USA.</t>
  </si>
  <si>
    <t xml:space="preserve">ubiquitous, omniverous, schrödingers' cat, eek!</t>
  </si>
  <si>
    <t xml:space="preserve">Japan's PM Shinzo Abe poised to win snap election - https://t.co/hHDYi6S9ZQ</t>
  </si>
  <si>
    <t xml:space="preserve">RT @BloombergAsia: MORE: Here's how Japan PM Shinzo Abe responded to his projected election victory https://t.co/JephRNbuot https://t.co/S6…</t>
  </si>
  <si>
    <t xml:space="preserve">アーコタン</t>
  </si>
  <si>
    <r>
      <rPr>
        <sz val="8"/>
        <rFont val="Noto Sans CJK SC Regular"/>
        <family val="2"/>
      </rPr>
      <t xml:space="preserve">日本が日本でありますように</t>
    </r>
    <r>
      <rPr>
        <sz val="8"/>
        <rFont val="Droid Sans"/>
        <family val="0"/>
        <charset val="1"/>
      </rPr>
      <t xml:space="preserve">(*</t>
    </r>
    <r>
      <rPr>
        <sz val="8"/>
        <rFont val="Noto Sans CJK SC Regular"/>
        <family val="2"/>
      </rPr>
      <t xml:space="preserve">･</t>
    </r>
    <r>
      <rPr>
        <sz val="8"/>
        <rFont val="Droid Sans"/>
        <family val="0"/>
        <charset val="1"/>
      </rPr>
      <t xml:space="preserve">ω</t>
    </r>
    <r>
      <rPr>
        <sz val="8"/>
        <rFont val="Noto Sans CJK SC Regular"/>
        <family val="2"/>
      </rPr>
      <t xml:space="preserve">･</t>
    </r>
    <r>
      <rPr>
        <sz val="8"/>
        <rFont val="Droid Sans"/>
        <family val="0"/>
        <charset val="1"/>
      </rPr>
      <t xml:space="preserve">)</t>
    </r>
    <r>
      <rPr>
        <sz val="8"/>
        <rFont val="Noto Sans CJK SC Regular"/>
        <family val="2"/>
      </rPr>
      <t xml:space="preserve">ﾉ</t>
    </r>
  </si>
  <si>
    <t xml:space="preserve">RT @CityAM: Japan's Prime Minister Shinzo Abe projected strong victory in election https://t.co/EHUickdmUd https://t.co/QzlJsMuPoO</t>
  </si>
  <si>
    <t xml:space="preserve">Shinzo Abe, the "comeback kid" of Japanese politics https://t.co/QV44lST020 https://t.co/Cy7PXb9BsS</t>
  </si>
  <si>
    <r>
      <rPr>
        <sz val="8"/>
        <rFont val="Droid Sans"/>
        <family val="0"/>
        <charset val="1"/>
      </rPr>
      <t xml:space="preserve">NAR</t>
    </r>
    <r>
      <rPr>
        <sz val="8"/>
        <rFont val="Noto Sans CJK SC Regular"/>
        <family val="2"/>
      </rPr>
      <t xml:space="preserve">自動投稿用</t>
    </r>
  </si>
  <si>
    <t xml:space="preserve">噴照骨胡</t>
  </si>
  <si>
    <r>
      <rPr>
        <sz val="8"/>
        <rFont val="Droid Sans"/>
        <family val="0"/>
        <charset val="1"/>
      </rPr>
      <t xml:space="preserve">#SouthKorea formed an alliance with the aggressor #China, and has sprinkled the many dirty lies about #Japan all over the world. #LiarCCP. </t>
    </r>
    <r>
      <rPr>
        <sz val="8"/>
        <rFont val="Noto Sans CJK SC Regular"/>
        <family val="2"/>
      </rPr>
      <t xml:space="preserve">『いいね』より『リツイート』よろピコ。</t>
    </r>
  </si>
  <si>
    <t xml:space="preserve">JASO News</t>
  </si>
  <si>
    <t xml:space="preserve">Shinzo Abe secures strong mandate in Japan's general election https://t.co/ZRWe87wgGX</t>
  </si>
  <si>
    <t xml:space="preserve">Portland, OR</t>
  </si>
  <si>
    <t xml:space="preserve">Supporting business and developing community to strengthen the US-Japan relationship in Oregon and southwest Washington.</t>
  </si>
  <si>
    <t xml:space="preserve">Dwij</t>
  </si>
  <si>
    <t xml:space="preserve">RT @NAR: Shinzo Abe, the "comeback kid" of Japanese politics https://t.co/QV44lST020 https://t.co/Cy7PXb9BsS</t>
  </si>
  <si>
    <t xml:space="preserve">MUMBAI</t>
  </si>
  <si>
    <t xml:space="preserve">Nationalist!! Indian First! RTs not endorsements self declared Modi fan!</t>
  </si>
  <si>
    <r>
      <rPr>
        <sz val="8"/>
        <rFont val="Droid Sans"/>
        <family val="0"/>
        <charset val="1"/>
      </rPr>
      <t xml:space="preserve">Takaoki Onishi/</t>
    </r>
    <r>
      <rPr>
        <sz val="8"/>
        <rFont val="Noto Sans CJK SC Regular"/>
        <family val="2"/>
      </rPr>
      <t xml:space="preserve">大西 宇宙</t>
    </r>
  </si>
  <si>
    <t xml:space="preserve">Election Risk Pays Off for Shinzo Abe of Japan as Party Appears to Win Big https://t.co/hw1lFyabrI</t>
  </si>
  <si>
    <t xml:space="preserve">Chicago, New York, Tokyo</t>
  </si>
  <si>
    <r>
      <rPr>
        <sz val="8"/>
        <rFont val="Noto Sans CJK SC Regular"/>
        <family val="2"/>
      </rPr>
      <t xml:space="preserve">オペラ歌手やってます。</t>
    </r>
    <r>
      <rPr>
        <sz val="8"/>
        <rFont val="Droid Sans"/>
        <family val="0"/>
        <charset val="1"/>
      </rPr>
      <t xml:space="preserve">4</t>
    </r>
    <r>
      <rPr>
        <sz val="8"/>
        <rFont val="Noto Sans CJK SC Regular"/>
        <family val="2"/>
      </rPr>
      <t xml:space="preserve">月よりジャパン・アーツ所属になりました。 </t>
    </r>
    <r>
      <rPr>
        <sz val="8"/>
        <rFont val="Droid Sans"/>
        <family val="0"/>
        <charset val="1"/>
      </rPr>
      <t xml:space="preserve">https://t.co/Darn1O01kS </t>
    </r>
    <r>
      <rPr>
        <sz val="8"/>
        <rFont val="Noto Sans CJK SC Regular"/>
        <family val="2"/>
      </rPr>
      <t xml:space="preserve">ジュリアード音楽院大学院修了、</t>
    </r>
    <r>
      <rPr>
        <sz val="8"/>
        <rFont val="Droid Sans"/>
        <family val="0"/>
        <charset val="1"/>
      </rPr>
      <t xml:space="preserve">2015</t>
    </r>
    <r>
      <rPr>
        <sz val="8"/>
        <rFont val="Noto Sans CJK SC Regular"/>
        <family val="2"/>
      </rPr>
      <t xml:space="preserve">年カーネギーの大ホールでデビュー、現在シカゴ・リリック・オペラ歌劇場にてキャストとカヴァーを担う。</t>
    </r>
  </si>
  <si>
    <t xml:space="preserve">밍여사</t>
  </si>
  <si>
    <r>
      <rPr>
        <sz val="8"/>
        <rFont val="Noto Sans CJK SC Regular"/>
        <family val="2"/>
      </rPr>
      <t xml:space="preserve">내 마음 한 가운데</t>
    </r>
    <r>
      <rPr>
        <sz val="8"/>
        <rFont val="Droid Sans"/>
        <family val="0"/>
        <charset val="1"/>
      </rPr>
      <t xml:space="preserve">.</t>
    </r>
  </si>
  <si>
    <r>
      <rPr>
        <sz val="8"/>
        <rFont val="Noto Sans CJK SC Regular"/>
        <family val="2"/>
      </rPr>
      <t xml:space="preserve">백해는 아니지만 무익한 트윗만 날림</t>
    </r>
    <r>
      <rPr>
        <sz val="8"/>
        <rFont val="Droid Sans"/>
        <family val="0"/>
        <charset val="1"/>
      </rPr>
      <t xml:space="preserve">. </t>
    </r>
    <r>
      <rPr>
        <sz val="8"/>
        <rFont val="Noto Sans CJK SC Regular"/>
        <family val="2"/>
      </rPr>
      <t xml:space="preserve">맞팔 잘 안함</t>
    </r>
    <r>
      <rPr>
        <sz val="8"/>
        <rFont val="Droid Sans"/>
        <family val="0"/>
        <charset val="1"/>
      </rPr>
      <t xml:space="preserve">.</t>
    </r>
  </si>
  <si>
    <t xml:space="preserve">Truly Scrampciou</t>
  </si>
  <si>
    <t xml:space="preserve">It's never too late to get started!</t>
  </si>
  <si>
    <t xml:space="preserve">joshiybach</t>
  </si>
  <si>
    <r>
      <rPr>
        <sz val="8"/>
        <rFont val="Droid Sans"/>
        <family val="0"/>
        <charset val="1"/>
      </rPr>
      <t xml:space="preserve">Kawasaki City Kawasaki Ward</t>
    </r>
    <r>
      <rPr>
        <sz val="8"/>
        <rFont val="Noto Sans CJK SC Regular"/>
        <family val="2"/>
      </rPr>
      <t xml:space="preserve">　</t>
    </r>
    <r>
      <rPr>
        <sz val="8"/>
        <rFont val="Droid Sans"/>
        <family val="0"/>
        <charset val="1"/>
      </rPr>
      <t xml:space="preserve">JP</t>
    </r>
  </si>
  <si>
    <t xml:space="preserve">I have to, whether i can or not.</t>
  </si>
  <si>
    <t xml:space="preserve">FRANCOIS CLEMENCEAU</t>
  </si>
  <si>
    <t xml:space="preserve">Redchef étranger @leJDD, éditorialiste international sur @europe1, défense, diplomatie, ex-correspondant Washington &amp; Jérusalem. Mon Blog Trump Power sur Jdd.fr</t>
  </si>
  <si>
    <t xml:space="preserve">Stop Brexit Madness</t>
  </si>
  <si>
    <t xml:space="preserve">Election Risk Pays Off for Shinzo Abe of Japan as Party Appears to Win Big https://t.co/D5DtmoZ5m9</t>
  </si>
  <si>
    <t xml:space="preserve">Cheshire</t>
  </si>
  <si>
    <t xml:space="preserve">The insanity of #Brexit will destroy our economy which will take years if not decades to recover. #BrexitMadness</t>
  </si>
  <si>
    <t xml:space="preserve">和歌子さん</t>
  </si>
  <si>
    <t xml:space="preserve">親日国と友好を！皇室は日本の誇り。自衛隊は日本国民の宝。防衛力増強、自衛隊を日本軍に。『日本の国体護持と日本人の安寧の為にしっかり動く政治家』支持。個人的政治理念では是々非々だが現在は日本のこころと自民党支持。外交が大事な近年、現状では安倍政権しかない。内政は支持しない。自分の目耳と頭で判断している。幻想は捨てるべき時</t>
  </si>
  <si>
    <t xml:space="preserve">Christian eBuddy</t>
  </si>
  <si>
    <t xml:space="preserve">Shinzo Abe wins big victory in Japan’s election https://t.co/RYy9CzPXZe</t>
  </si>
  <si>
    <t xml:space="preserve">Christian eBuddy Blog</t>
  </si>
  <si>
    <t xml:space="preserve">Blog of http://t.co/TcU7yy2XT7, webchat with MSN, YAHOO, AIM, GTALK, FACEBOOK, MYSPACE</t>
  </si>
  <si>
    <t xml:space="preserve">Weather Mizumoto</t>
  </si>
  <si>
    <t xml:space="preserve">Kumamoto, Kyushu, Japan</t>
  </si>
  <si>
    <r>
      <rPr>
        <sz val="8"/>
        <rFont val="Droid Sans"/>
        <family val="0"/>
        <charset val="1"/>
      </rPr>
      <t xml:space="preserve">wx enthusiast/forecaster. short-long term forecast. love snow, space, photo, radio, market, foods, coffee, cats. </t>
    </r>
    <r>
      <rPr>
        <sz val="8"/>
        <rFont val="Noto Sans CJK SC Regular"/>
        <family val="2"/>
      </rPr>
      <t xml:space="preserve">プラモデル</t>
    </r>
    <r>
      <rPr>
        <sz val="8"/>
        <rFont val="Droid Sans"/>
        <family val="0"/>
        <charset val="1"/>
      </rPr>
      <t xml:space="preserve">. </t>
    </r>
    <r>
      <rPr>
        <sz val="8"/>
        <rFont val="Noto Sans CJK SC Regular"/>
        <family val="2"/>
      </rPr>
      <t xml:space="preserve">気象予報士</t>
    </r>
  </si>
  <si>
    <t xml:space="preserve">CIMAGES</t>
  </si>
  <si>
    <t xml:space="preserve">City island, New York City</t>
  </si>
  <si>
    <t xml:space="preserve">Multilingual Media Maestro: AP, News 12, Telemundo, Univision, VOA, NBC, IMAGINUS. S0T0 Box 147 NY10464 https://t.co/1ETJn5e54F https://t.co/1pGRYoLkJD</t>
  </si>
  <si>
    <t xml:space="preserve">Gaurav Sippy</t>
  </si>
  <si>
    <t xml:space="preserve">HK-ZH</t>
  </si>
  <si>
    <t xml:space="preserve">Energy Finance #OOTT-er 🛢</t>
  </si>
  <si>
    <t xml:space="preserve">The Hindu</t>
  </si>
  <si>
    <t xml:space="preserve">Japanese Prime Minister #ShinzoAbe swept to a resounding victory in a snap election on Sunday. https://t.co/L6S5snA8t2</t>
  </si>
  <si>
    <t xml:space="preserve">News feeds from India's National Newspaper</t>
  </si>
  <si>
    <t xml:space="preserve">Morris</t>
  </si>
  <si>
    <r>
      <rPr>
        <sz val="8"/>
        <rFont val="Droid Sans"/>
        <family val="0"/>
        <charset val="1"/>
      </rPr>
      <t xml:space="preserve">Twitter</t>
    </r>
    <r>
      <rPr>
        <sz val="8"/>
        <rFont val="Noto Sans CJK SC Regular"/>
        <family val="2"/>
      </rPr>
      <t xml:space="preserve">初心者です🔰勉強になるものや流れて行ってほしくないものをリツイート、いいねさせて頂いております。</t>
    </r>
  </si>
  <si>
    <t xml:space="preserve">Shinzo Abe wins big victory in Japan’s election - Prime minister set to push for revision of Japan’s constituti... https://t.co/btUkv0ZNvI</t>
  </si>
  <si>
    <t xml:space="preserve">Shinzo Abe wins big victory in Japan’s election - Prime minister set to push for revision of Japan’s constituti... https://t.co/BGSksIVjXs</t>
  </si>
  <si>
    <t xml:space="preserve">Shinzo Abe wins big victory in Japan’s election https://t.co/ZRqTzrGK39 via @FT Congratulations Shinzo Abe</t>
  </si>
  <si>
    <t xml:space="preserve">Janis Simmons</t>
  </si>
  <si>
    <t xml:space="preserve">Pissed off senior citizen ready to rumble.</t>
  </si>
  <si>
    <t xml:space="preserve">UPDATE: #ShinzoAbe was asked if he will seek a third term as LDP's party chief. His reply? https://t.co/HGPwlrBcea https://t.co/gYwlEmaRHP</t>
  </si>
  <si>
    <t xml:space="preserve">Lauren Skipp</t>
  </si>
  <si>
    <t xml:space="preserve">Election Risk Pays Off for Shinzo Abe of Japan as Party Appears to Win Big - The New York Times https://t.co/sHGHtgjVKL</t>
  </si>
  <si>
    <t xml:space="preserve">I love to listen to good music &amp; hang w/ good peeps. This page is a mix of crazy gossip &amp; real news. Kick back &amp; you will have a great time. Followback❤️</t>
  </si>
  <si>
    <t xml:space="preserve">Amit A Teli</t>
  </si>
  <si>
    <t xml:space="preserve">"Japanese Prime Minister #ShinzoAbe swept to a resounding victory in a snap election on Sunday. https://t.co/govzme9yej" www.couponsgod…</t>
  </si>
  <si>
    <t xml:space="preserve">Bengaluru, Karnataka, India</t>
  </si>
  <si>
    <t xml:space="preserve">#Entrepreneur, 29 Years Old, Promotes https://t.co/QGM3OZ0iCS &amp; https://t.co/ZuoW8UTnMK #Digital #SEO #Marketing. Loves #SriKrishna, Unmarried</t>
  </si>
  <si>
    <r>
      <rPr>
        <sz val="8"/>
        <rFont val="Droid Sans"/>
        <family val="0"/>
        <charset val="1"/>
      </rPr>
      <t xml:space="preserve">Sentence</t>
    </r>
    <r>
      <rPr>
        <sz val="8"/>
        <rFont val="Noto Sans CJK SC Regular"/>
        <family val="2"/>
      </rPr>
      <t xml:space="preserve">＿ </t>
    </r>
    <r>
      <rPr>
        <sz val="8"/>
        <rFont val="Droid Sans"/>
        <family val="0"/>
        <charset val="1"/>
      </rPr>
      <t xml:space="preserve">of Mercury</t>
    </r>
  </si>
  <si>
    <t xml:space="preserve">Shinzo Abe secures strong mandate in Japan's general election https://t.co/sZGTQkwU5z</t>
  </si>
  <si>
    <t xml:space="preserve">奈良県奈良市</t>
  </si>
  <si>
    <r>
      <rPr>
        <sz val="8"/>
        <rFont val="Droid Sans"/>
        <family val="0"/>
        <charset val="1"/>
      </rPr>
      <t xml:space="preserve">Read/A few music/drama/movie/ Japanese/ Twitter</t>
    </r>
    <r>
      <rPr>
        <sz val="8"/>
        <rFont val="Noto Sans CJK SC Regular"/>
        <family val="2"/>
      </rPr>
      <t xml:space="preserve">を通して微かな言葉から人の心を潤わせるサプリ的な発信を目指す</t>
    </r>
    <r>
      <rPr>
        <sz val="8"/>
        <rFont val="Droid Sans"/>
        <family val="0"/>
        <charset val="1"/>
      </rPr>
      <t xml:space="preserve">/ </t>
    </r>
    <r>
      <rPr>
        <sz val="8"/>
        <rFont val="Noto Sans CJK SC Regular"/>
        <family val="2"/>
      </rPr>
      <t xml:space="preserve">情報過多な飽和状態の日本を言葉の力で多幸感を味わえる国に</t>
    </r>
    <r>
      <rPr>
        <sz val="8"/>
        <rFont val="Droid Sans"/>
        <family val="0"/>
        <charset val="1"/>
      </rPr>
      <t xml:space="preserve">/ Philosophy/ World wide news/ Feminine abilities Man</t>
    </r>
  </si>
  <si>
    <t xml:space="preserve">विक्रम शंकर द्विवेदी</t>
  </si>
  <si>
    <t xml:space="preserve">‘Protect Japan!’ Protesters confront leader as North Korea’s World War 3 threats rise https://t.co/8KUziuyGT9</t>
  </si>
  <si>
    <t xml:space="preserve">ÜT: 28.5362,77.301636</t>
  </si>
  <si>
    <r>
      <rPr>
        <sz val="8"/>
        <rFont val="Noto Sans CJK SC Regular"/>
        <family val="2"/>
      </rPr>
      <t xml:space="preserve">卐卐卐卐卐卐卐卐卐卐卐卐卐卐卐卐卐卐 </t>
    </r>
    <r>
      <rPr>
        <sz val="8"/>
        <rFont val="Droid Sans"/>
        <family val="0"/>
        <charset val="1"/>
      </rPr>
      <t xml:space="preserve">Not A Politician, A Proud Brahmin. </t>
    </r>
    <r>
      <rPr>
        <sz val="8"/>
        <rFont val="Noto Sans CJK SC Regular"/>
        <family val="2"/>
      </rPr>
      <t xml:space="preserve">卐卐卐卐卐卐卐卐卐卐卐卐卐卐卐卐卐卐</t>
    </r>
  </si>
  <si>
    <t xml:space="preserve">zg.</t>
  </si>
  <si>
    <t xml:space="preserve">RT @isaacstonefish: Exit polls show PM Abe likely winning his snap election https://t.co/uhLJYFrCzP</t>
  </si>
  <si>
    <t xml:space="preserve">Shinzo Abe just got one step closer to realizing his mandate for Japan. Here’s what it looks like https://t.co/fy46wn87U7</t>
  </si>
  <si>
    <t xml:space="preserve">Gryphios</t>
  </si>
  <si>
    <t xml:space="preserve">NoNoiseOnlyAlpha</t>
  </si>
  <si>
    <t xml:space="preserve">Reconciling ambiguity in views</t>
  </si>
  <si>
    <t xml:space="preserve">Solomon Hiroyuki</t>
  </si>
  <si>
    <t xml:space="preserve">RT @STForeignDesk: UPDATE: #ShinzoAbe was asked if he will seek a third term as LDP's party chief. His reply? https://t.co/HGPwlrBcea https…</t>
  </si>
  <si>
    <t xml:space="preserve">高木弘之 宇宙国王補。 ソロモン皇帝の生まれ代わりです。 この宇宙は第００００００番宇宙です。 宇宙の改革が進行中。 犯罪宇宙物質連合のモリアーティ犯罪連合の掃討作戦が進行中！ この第００００００番宇宙にソロモン弘之宇宙国王本星を建設予定。</t>
  </si>
  <si>
    <t xml:space="preserve">Domingo Trassens</t>
  </si>
  <si>
    <t xml:space="preserve">After a very unstable political period, Shinzo Abe found the way to rule Japan during all his term. Now: Continue! https://t.co/b5FXL971ej</t>
  </si>
  <si>
    <t xml:space="preserve">Rethinking the World with You</t>
  </si>
  <si>
    <t xml:space="preserve">Analyst, writer, journalist, educator, former university IT professor</t>
  </si>
  <si>
    <t xml:space="preserve">RT @the_hindu: Japanese Prime Minister #ShinzoAbe swept to a resounding victory in a snap election on Sunday. https://t.co/L6S5snA8t2</t>
  </si>
  <si>
    <t xml:space="preserve">ProKabaddi #LePanga</t>
  </si>
  <si>
    <t xml:space="preserve">Haryana | New Delhi | India</t>
  </si>
  <si>
    <t xml:space="preserve">Graduate | Critic | Poet | Writer | Reader | Sportsman | Inventive | Logical | Trustworthy | Curious | Green | Sociable | Friendly | Original |</t>
  </si>
  <si>
    <t xml:space="preserve">Shinzo Abe just got one step closer to realizing his mandate for Japan. Here’s what it… https://t.co/tZNTP0MN6u</t>
  </si>
  <si>
    <t xml:space="preserve">Future 2 Believe In</t>
  </si>
  <si>
    <t xml:space="preserve">Election Risk Pays Off for Shinzo Abe of Japan as Party Appears to Win Big - The New York Times https://t.co/RcqPMDhXIb</t>
  </si>
  <si>
    <t xml:space="preserve">Hope for the World peace, stop wild life crime, freedom, equality, politics and economics. #EnvironmentalJustice</t>
  </si>
  <si>
    <t xml:space="preserve">David Young</t>
  </si>
  <si>
    <t xml:space="preserve">Top story: Shinzo Abe secures strong mandate in Japan's general election | Worl… https://t.co/FUkLgxRekb, see more https://t.co/dogdDMCHVV</t>
  </si>
  <si>
    <t xml:space="preserve">Policy researcher on trade issues, China and cross-Strait affairs in Taiwan</t>
  </si>
  <si>
    <t xml:space="preserve">Chandra bhu</t>
  </si>
  <si>
    <t xml:space="preserve">Sharing info about India, people, Hinduism, trade, food security, technology, environment, resources, and social change. Int. business journalist/editor.</t>
  </si>
  <si>
    <t xml:space="preserve">RealTurkey</t>
  </si>
  <si>
    <t xml:space="preserve">RT @MyFreedomNews: Japan to turn up heat against North Korea as Abe gains new mandate with election win https://t.co/jMpf6I6vT4 https://t.c…</t>
  </si>
  <si>
    <t xml:space="preserve">Climate Change is the New Religion of the Dispossessed. I own a Tree Farm what are you doing for the environment? If you don't own land you can't conserve.</t>
  </si>
  <si>
    <t xml:space="preserve">शिiv mishra@</t>
  </si>
  <si>
    <t xml:space="preserve">Mayur Gupta</t>
  </si>
  <si>
    <t xml:space="preserve">Japanese Prime Minister #ShinzoAbe swept to a resounding victory in a snap election on Sunday. https://t.co/CRRxm9IpXx</t>
  </si>
  <si>
    <t xml:space="preserve">Find more about a man who led his party to another big win - its 5th straight victory in Japan's elections. https://t.co/21vFbMTzBc</t>
  </si>
  <si>
    <t xml:space="preserve">JJ Sinyard</t>
  </si>
  <si>
    <t xml:space="preserve">RT @NAR: Find more about a man who led his party to another big win - its 5th straight victory in Japan's elections. https://t.co/21vFbMTz…</t>
  </si>
  <si>
    <t xml:space="preserve">Taphan Hin, Thailand</t>
  </si>
  <si>
    <t xml:space="preserve">Writer * Farmer * Misanthrope</t>
  </si>
  <si>
    <t xml:space="preserve">Priti Patel</t>
  </si>
  <si>
    <t xml:space="preserve">RT @qz: Shinzo Abe just got one step closer to realizing his mandate for Japan. Here’s what it looks like https://t.co/fy46wn87U7</t>
  </si>
  <si>
    <t xml:space="preserve">Watchn big Texas sky in Dallas</t>
  </si>
  <si>
    <t xml:space="preserve">Proud American | Curious soul | Thoreau. Bball-travel-singing-news-weather junkie. Life is family faith love laughter. My purpose is service. President @ourseva</t>
  </si>
  <si>
    <t xml:space="preserve">JASON CHEN</t>
  </si>
  <si>
    <t xml:space="preserve">Economy</t>
  </si>
  <si>
    <t xml:space="preserve">Shinzo Abe wins big victory in Japan’s election #Economy https://t.co/SGPiiB04bI</t>
  </si>
  <si>
    <t xml:space="preserve">Find your latest Economy news with just one click. Don_x0092_t miss out on anything happening in your profession!</t>
  </si>
  <si>
    <t xml:space="preserve">まるまる。</t>
  </si>
  <si>
    <t xml:space="preserve">地味に物書く下請け屋 色々な方々のお話やお考えを読ませて頂いております、情報は力だと思っております、様々な見識勉強になりますありがとうございます。</t>
  </si>
  <si>
    <t xml:space="preserve">Trinidad 2015</t>
  </si>
  <si>
    <t xml:space="preserve">Trinidad and Tobago</t>
  </si>
  <si>
    <t xml:space="preserve">TGBTG</t>
  </si>
  <si>
    <t xml:space="preserve">Mitsuru Obe</t>
  </si>
  <si>
    <t xml:space="preserve">Shinzo Abe, the "comeback kid" of Japanese politics https://t.co/IbZYZHAksQ PM recovers from summer popularity plun… https://t.co/BGuHyTz7r1</t>
  </si>
  <si>
    <t xml:space="preserve">Journalist, former WSJ</t>
  </si>
  <si>
    <t xml:space="preserve">Suraj</t>
  </si>
  <si>
    <t xml:space="preserve">Want to become spiritual | Agnostic | Footy ⚽</t>
  </si>
  <si>
    <t xml:space="preserve">Gloria Law</t>
  </si>
  <si>
    <t xml:space="preserve">I Filipino sworn an oath #TRUTH vs My employer Personnel #hr #Bullies #racist @CambridgePolice 2015 Superior Court TRASH my #Discrimination case, unjust #mapoli</t>
  </si>
  <si>
    <t xml:space="preserve">Mark Olson</t>
  </si>
  <si>
    <t xml:space="preserve">RT @MintaroOba: Woke up to Japan election news. Good for Shinzo Abe to continue at a time when Japan is picking up so much slack for U.S.…</t>
  </si>
  <si>
    <r>
      <rPr>
        <sz val="8"/>
        <rFont val="Droid Sans"/>
        <family val="0"/>
        <charset val="1"/>
      </rPr>
      <t xml:space="preserve">Tweet on US Foreign and Defense Policy | Asia | Energy. </t>
    </r>
    <r>
      <rPr>
        <sz val="8"/>
        <rFont val="Noto Sans CJK SC Regular"/>
        <family val="2"/>
      </rPr>
      <t xml:space="preserve">될지어다</t>
    </r>
    <r>
      <rPr>
        <sz val="8"/>
        <rFont val="Droid Sans"/>
        <family val="0"/>
        <charset val="1"/>
      </rPr>
      <t xml:space="preserve">. </t>
    </r>
    <r>
      <rPr>
        <sz val="8"/>
        <rFont val="Noto Sans CJK SC Regular"/>
        <family val="2"/>
      </rPr>
      <t xml:space="preserve">믿습니다 </t>
    </r>
    <r>
      <rPr>
        <sz val="8"/>
        <rFont val="Droid Sans"/>
        <family val="0"/>
        <charset val="1"/>
      </rPr>
      <t xml:space="preserve">- </t>
    </r>
    <r>
      <rPr>
        <sz val="8"/>
        <rFont val="Noto Sans CJK SC Regular"/>
        <family val="2"/>
      </rPr>
      <t xml:space="preserve">ㅋ</t>
    </r>
    <r>
      <rPr>
        <sz val="8"/>
        <rFont val="Droid Sans"/>
        <family val="0"/>
        <charset val="1"/>
      </rPr>
      <t xml:space="preserve">. All views my own. rt ≠ endorsement.</t>
    </r>
  </si>
  <si>
    <t xml:space="preserve">Latticework Wlth Mng</t>
  </si>
  <si>
    <t xml:space="preserve">Shinzo Abe wins big victory in Japan’s election https://t.co/TMjX9AGP0E via @FT: #Japan #Abe #ShinzoAbe</t>
  </si>
  <si>
    <t xml:space="preserve">Milwaukee, WI USA</t>
  </si>
  <si>
    <t xml:space="preserve">Investment consulting firm partnering with financial planners, #CFPs and independent #RIAs. Challenging the status quo in the industry. #latticeworkwealth</t>
  </si>
  <si>
    <t xml:space="preserve">Rimi thakur</t>
  </si>
  <si>
    <t xml:space="preserve">I dont compare myself with others....because i know ,i am the best in my own way. .....</t>
  </si>
  <si>
    <t xml:space="preserve">Karan Awtani</t>
  </si>
  <si>
    <t xml:space="preserve">Not Right Wing - Just Plain Damn Always RIGHT! Sometimes Dubai...not enough Hong Kong/London/Tokyo. Usual caveats apply.</t>
  </si>
  <si>
    <t xml:space="preserve">Lyndia Edwards</t>
  </si>
  <si>
    <t xml:space="preserve">Seetharama Kotari</t>
  </si>
  <si>
    <t xml:space="preserve">Baindur</t>
  </si>
  <si>
    <t xml:space="preserve">Supriya Sehgal</t>
  </si>
  <si>
    <t xml:space="preserve">Everybody is evolving, so am I. Pro common sense, charm and whatever is right. Stubbornly honest about my opinions. I RT more because many people express better</t>
  </si>
  <si>
    <t xml:space="preserve">Leen Boer</t>
  </si>
  <si>
    <t xml:space="preserve">Shinzo Abe secures strong mandate in #Japan's general election https://t.co/HFpHJ8DRU1</t>
  </si>
  <si>
    <t xml:space="preserve">Foreign Affairs, Development, Poverty, Inequality, Migration ~ RT ≠ endorsement</t>
  </si>
  <si>
    <t xml:space="preserve">Damodar Hegde</t>
  </si>
  <si>
    <t xml:space="preserve">प्रभादेवी, मुंबई</t>
  </si>
  <si>
    <t xml:space="preserve">Retired CEO of MNC subsidiary.Actively follows Socio-econonmic,Political &amp; Corp.developments.Admirer of Sri Narendra Modi &amp; keenly follows his actions&amp;programs.</t>
  </si>
  <si>
    <t xml:space="preserve">#News #Story #Article https://t.co/GuupyHXJPy #Shinzo Abe just moved closer to becoming Japan’s longest-serving leader</t>
  </si>
  <si>
    <t xml:space="preserve">Raabh Singh</t>
  </si>
  <si>
    <t xml:space="preserve">Buffering </t>
  </si>
  <si>
    <t xml:space="preserve">Constitution of India; Supreme Court of India, Rishi Order, Galaxy, Tantra, Kursi, Ankh🔥🔥</t>
  </si>
  <si>
    <t xml:space="preserve">Election Risk Pays Off for Shinzo Abe of Japan as Party Appears to Win Big https://t.co/uEW2frjY1P</t>
  </si>
  <si>
    <t xml:space="preserve">Latest Pakistan News</t>
  </si>
  <si>
    <t xml:space="preserve">Shinzo Abe sweeps to a comfortable victory in Japan snap election https://t.co/JOWLEpuHQ3</t>
  </si>
  <si>
    <t xml:space="preserve">Karachi</t>
  </si>
  <si>
    <t xml:space="preserve">Real Updater of Pakistan's Breaking News. Mobile: http://t.co/6EUfVQVc1V</t>
  </si>
  <si>
    <t xml:space="preserve">陀美</t>
  </si>
  <si>
    <t xml:space="preserve">Pongsak H</t>
  </si>
  <si>
    <t xml:space="preserve">RT @CurtisSChin: An interesting few days in Asia as Xi Jinping &amp; now Shinzo Abe emerge stronger. Here’s what it looks like in Japan. https:…</t>
  </si>
  <si>
    <t xml:space="preserve">Author of "Economic Transformation and Business Opportunities in Asia" book published by NY Palgrave</t>
  </si>
  <si>
    <t xml:space="preserve">QUARTZ: Shinzo Abe just got one step closer to realizing his mandate for Japan. Here’s what it looks like https://t.co/JMDDOSouFF</t>
  </si>
  <si>
    <t xml:space="preserve">krishnan</t>
  </si>
  <si>
    <t xml:space="preserve">NAMO fan.Interested in cricket,movies.</t>
  </si>
  <si>
    <t xml:space="preserve">Shinzo Abe just moved closer to becoming Japan’s longest-serving leader https://t.co/K8EM3Pl6IK</t>
  </si>
  <si>
    <t xml:space="preserve">Rajeev Chandrasekhar</t>
  </si>
  <si>
    <t xml:space="preserve">Bengaluru, Karnataka</t>
  </si>
  <si>
    <t xml:space="preserve">Chip Designr,Cellular pioneer,Investor,Member of Parliament(NDA),Aviator VT-JRC.Our soldiers n Vets, #Bengaluru, #Kerala, #Digital n #TransformIndia &amp; @ncpoc_in</t>
  </si>
  <si>
    <t xml:space="preserve">New story on Quartz: https://t.co/3AR3o0sajb</t>
  </si>
  <si>
    <t xml:space="preserve">Shinzo Abe just moved closer to becoming Japan’s longest-serving leader https://t.co/jJSSSJREHQ</t>
  </si>
  <si>
    <t xml:space="preserve">Azadeh</t>
  </si>
  <si>
    <t xml:space="preserve">Part of the Universe</t>
  </si>
  <si>
    <t xml:space="preserve">Muslim Iranian &amp; Married to An American Who Converted to Islam</t>
  </si>
  <si>
    <t xml:space="preserve">Here's the latest @qz story about Trump: https://t.co/QSfat6Odov</t>
  </si>
  <si>
    <t xml:space="preserve">#africa #tech This story will update. Japanese prime minister Shinzo Abe’s party look set to win parliamentary e… https://t.co/Y6cJqDzUM3</t>
  </si>
  <si>
    <t xml:space="preserve">RT qz "Shinzo Abe just got one step closer to realizing his mandate for Japan. Here’s what it looks like https://t.co/2xpR4mcIZi"</t>
  </si>
  <si>
    <t xml:space="preserve">Shalini Brajesh</t>
  </si>
  <si>
    <t xml:space="preserve">Dee Pee</t>
  </si>
  <si>
    <t xml:space="preserve">Optimistic Indian.RT's are not Endorsements.</t>
  </si>
  <si>
    <t xml:space="preserve">satish chandra kumar</t>
  </si>
  <si>
    <t xml:space="preserve">Sunny Gavaskar fan RTs not endorsements</t>
  </si>
  <si>
    <t xml:space="preserve">FX Hedge</t>
  </si>
  <si>
    <t xml:space="preserve">FX, Futures, Options</t>
  </si>
  <si>
    <t xml:space="preserve">pinyot</t>
  </si>
  <si>
    <t xml:space="preserve">KCH SWK MAS</t>
  </si>
  <si>
    <t xml:space="preserve">culturededrepeprepepstedebedeb</t>
  </si>
  <si>
    <t xml:space="preserve">Indulge Me</t>
  </si>
  <si>
    <t xml:space="preserve">. </t>
  </si>
  <si>
    <t xml:space="preserve">For: equality, freedom, peace, privacy, respect, truth. Against: arrogance, greed, hypocrisy, ignorance, intolerance, lies, violence - including self-harm, war.</t>
  </si>
  <si>
    <t xml:space="preserve">मॉं तुझे प्रणाम</t>
  </si>
  <si>
    <t xml:space="preserve">Shinzo Abe secures strong mandate in Japan's general election https://t.co/q2zfJIJt0O</t>
  </si>
  <si>
    <t xml:space="preserve">भारत मॉं के ऑंचल मे</t>
  </si>
  <si>
    <t xml:space="preserve">गीता सार ट्वीट करते रहो RT और followers मिलते रहैंगे !देश के लिये जीना और देश के लिये ही मरना !Rts are not endorsement !</t>
  </si>
  <si>
    <t xml:space="preserve">Venkatesh Madhavarao</t>
  </si>
  <si>
    <t xml:space="preserve">Abe is a man of drive and determination, despite being born into Japan's political royalty https://t.co/IbZYZHAksQ https://t.co/zMGK5TAV2W</t>
  </si>
  <si>
    <t xml:space="preserve">SUPER HERO ROCKSTARS</t>
  </si>
  <si>
    <t xml:space="preserve">America still has its hero’s</t>
  </si>
  <si>
    <t xml:space="preserve">Tsukuyo</t>
  </si>
  <si>
    <t xml:space="preserve">#Election Risk Pays Off for Shinzo Abe of #Japan as Party Appears to Win Big https://t.co/FqUkjtJai5</t>
  </si>
  <si>
    <t xml:space="preserve">East Coast USA</t>
  </si>
  <si>
    <t xml:space="preserve">I grew up in Canada, India, US, and Japan. My very wish is that the world would be filled with love and harmony.</t>
  </si>
  <si>
    <t xml:space="preserve">Micheal Swartz</t>
  </si>
  <si>
    <t xml:space="preserve">Polls have closed in Japan's snap election and Prime Minister Shinzo Abe appears poised to win a third term.…… https://t.co/goHI87WEt2</t>
  </si>
  <si>
    <t xml:space="preserve">Mesa, Arizona</t>
  </si>
  <si>
    <t xml:space="preserve">twitter is my diary, fuck you</t>
  </si>
  <si>
    <t xml:space="preserve">yuji yosumi</t>
  </si>
  <si>
    <t xml:space="preserve">hong kong</t>
  </si>
  <si>
    <t xml:space="preserve">Japanese businessman based in Hong Kong for Asian market from 1998</t>
  </si>
  <si>
    <t xml:space="preserve">Shinzo Abe just moved closer to becoming Japan’s longest-serving leader https://t.co/z0GRlvZNHo</t>
  </si>
  <si>
    <t xml:space="preserve">Shinzo Abe wins big victory in Japan’s election - Prime minister set to push for revision of Japan’s constituti... https://t.co/yymwJqNUYy</t>
  </si>
  <si>
    <t xml:space="preserve">Randhir Kumar</t>
  </si>
  <si>
    <t xml:space="preserve">Angela Korras</t>
  </si>
  <si>
    <t xml:space="preserve">Top story: Peter Beaumont Shinzo Abe secures strong mandate in Japan's general … https://t.co/y0694o81R7, see more https://t.co/ggQ1fshFLY</t>
  </si>
  <si>
    <t xml:space="preserve"> Australia</t>
  </si>
  <si>
    <t xml:space="preserve">Freedom for all not just the few, Terrorism worldwide, Geopolitics. Graphic Content.</t>
  </si>
  <si>
    <t xml:space="preserve">Mr Kolak</t>
  </si>
  <si>
    <t xml:space="preserve">The Guardian: Shinzo Abe secures strong mandate in Japan's general election https://t.co/e6XlAlC7hh</t>
  </si>
  <si>
    <t xml:space="preserve">Not conservative. Not liberal. Just a decent mainstream American. #Resistance #TheResistance If you protect tweets, allow me to follow back or I will block.</t>
  </si>
  <si>
    <t xml:space="preserve">Shinzo Abe sweeps to resounding victory in Japan election https://t.co/CAj3n1FJCj</t>
  </si>
  <si>
    <t xml:space="preserve">ninna721</t>
  </si>
  <si>
    <t xml:space="preserve">Always been a Democrat, never knew I was so liberal til I joined Twitter. I take retweeting very seriously</t>
  </si>
  <si>
    <t xml:space="preserve">Arunabh</t>
  </si>
  <si>
    <t xml:space="preserve">Patrick Coppock</t>
  </si>
  <si>
    <t xml:space="preserve">Election Risk Pays Off for Shinzo Abe of Japan as Party Appears to Win Big https://t.co/DKojH5AcJp</t>
  </si>
  <si>
    <t xml:space="preserve">Bologna, Italy</t>
  </si>
  <si>
    <t xml:space="preserve">Tenured researcher @ https://t.co/4xc9jUhU9e in theory and philosophy of languages w/ focus on ludic and social media - co-founder of https://t.co/bOwXi4XEm9</t>
  </si>
  <si>
    <t xml:space="preserve">RT @mit_obe: Abe is a man of drive and determination, despite being born into Japan's political royalty https://t.co/IbZYZHAksQ https://t.c…</t>
  </si>
  <si>
    <t xml:space="preserve">OPensador89</t>
  </si>
  <si>
    <t xml:space="preserve">Tangamandápio</t>
  </si>
  <si>
    <t xml:space="preserve">Reflexões sobre o mundo que nos cerca.</t>
  </si>
  <si>
    <t xml:space="preserve">Mohammad Mañźòóŕ</t>
  </si>
  <si>
    <t xml:space="preserve">Srinagar</t>
  </si>
  <si>
    <t xml:space="preserve">Always Optimistic 😎❤ Engineer by profession.. Retweets does not reflect endorsment.</t>
  </si>
  <si>
    <t xml:space="preserve">David Shelton</t>
  </si>
  <si>
    <t xml:space="preserve">London &amp; Wales/Mün /Natal Brasil </t>
  </si>
  <si>
    <t xml:space="preserve">Consultora do Imagems politica Electiones Brasileiro&amp; GB Freelance Press contributor / Transport &amp; Marketing Consultant. Anti Corruption campaigner mondial</t>
  </si>
  <si>
    <t xml:space="preserve">Ken Kirk (DocReefer)</t>
  </si>
  <si>
    <t xml:space="preserve">Here's the latest @qz story about Trump: https://t.co/2rhoGED9aG</t>
  </si>
  <si>
    <t xml:space="preserve">www.facebook.com/doctorreefer/</t>
  </si>
  <si>
    <t xml:space="preserve">Epileptic Med-Pot/Enviro/Law Activist, Alternative Musician, ABMarijuanaParty Leader, AV Tech, ESL Tutor, Jah minister, ex rock promoter. From Edmonton Canada</t>
  </si>
  <si>
    <t xml:space="preserve">Shilpi Pathak</t>
  </si>
  <si>
    <t xml:space="preserve">Storyteller || Analytics Specialist || Ex-Mckinsey || Views personal || Terror-mongers, Abusers will be blocked || Love laughing n making ppl smile😊😀</t>
  </si>
  <si>
    <t xml:space="preserve">Here's the latest qz story about Trump: https://t.co/2rhoGED9aG</t>
  </si>
  <si>
    <t xml:space="preserve">Shinzo Abe's party is on the road to a major victory in Japan's elections, early projections show https://t.co/Risa5hshi2</t>
  </si>
  <si>
    <t xml:space="preserve">flavia micilotta</t>
  </si>
  <si>
    <t xml:space="preserve">Executive Director Eurosif, passionate about #sustainability, #ESG, #SRI, #CSR. Determined to help sustainable finance prevail!</t>
  </si>
  <si>
    <t xml:space="preserve">Gennaro Sangiuliano</t>
  </si>
  <si>
    <t xml:space="preserve">RT @nytimesworld: Shinzo Abe's party is on the road to a major victory in Japan's elections, early projections show https://t.co/Risa5hshi2</t>
  </si>
  <si>
    <t xml:space="preserve">Roma</t>
  </si>
  <si>
    <t xml:space="preserve">Scrittore e giornalista dissidente. Vice direttore Tg1, laurea Giurisprudenza, PhD in diritto economia. Qui solo opinioni personali. RT non è endorsement</t>
  </si>
  <si>
    <t xml:space="preserve">FinanceJobBusiness</t>
  </si>
  <si>
    <t xml:space="preserve">Election Risk Pays Off for Shinzo Abe of Japan as Party Appears to Win Big https://t.co/7Z2IIbIh7k</t>
  </si>
  <si>
    <t xml:space="preserve">Sudhir Kumar</t>
  </si>
  <si>
    <t xml:space="preserve">Electrical Engineer (Retd) Ex Advisor (Technical) N.D.M.C, New Delhi</t>
  </si>
  <si>
    <t xml:space="preserve">Geopolitics</t>
  </si>
  <si>
    <t xml:space="preserve">São Paulo, Aleppo</t>
  </si>
  <si>
    <t xml:space="preserve">Geopolitics, independant researcher, specializes in Middle East politics . My tweets are just my personal opinion.</t>
  </si>
  <si>
    <t xml:space="preserve">Roger</t>
  </si>
  <si>
    <t xml:space="preserve">Shinzo Abe secures strong mandate in Japan's general election https://t.co/ZuarQA5JL4</t>
  </si>
  <si>
    <t xml:space="preserve">Acemoglu</t>
  </si>
  <si>
    <t xml:space="preserve">Economista per la UPF | Davant la indigència, evidència. #EvidenceBasedPolicy | Dreta gastronòmica | #OpenBorders | Treballant a @Cat_Lliures | #Acemogluisme |</t>
  </si>
  <si>
    <t xml:space="preserve">Vincent Ricouleau Gr</t>
  </si>
  <si>
    <t xml:space="preserve">Shinzo Abe secures strong mandate in Japan's general election https://t.co/u1pyEc3CeS</t>
  </si>
  <si>
    <t xml:space="preserve">Legal clinic in Vietnam -</t>
  </si>
  <si>
    <t xml:space="preserve">Professor of international law - Professor of medical law - Vietnam and Laos -</t>
  </si>
  <si>
    <t xml:space="preserve">TOKYO: Japanese Prime Minister Shinzo Abe swept to a comfortable victory in a snap election Sunday, handing him a... https://t.co/RhLrbbdTK5</t>
  </si>
  <si>
    <t xml:space="preserve">Sunshine🌞</t>
  </si>
  <si>
    <t xml:space="preserve">Worldwide🌎</t>
  </si>
  <si>
    <t xml:space="preserve">Son, Brother, Student. I hate terrorism. And my tweet is against terrorists or terrorism. I don't care nothing. Even my enemy.😊</t>
  </si>
  <si>
    <t xml:space="preserve">団地おばさん</t>
  </si>
  <si>
    <t xml:space="preserve">団地に住んでいます。</t>
  </si>
  <si>
    <t xml:space="preserve">Japanese liked how Prime Minister Shinzo Abe ruled the country in his first term. Now, they said:Continue! https://t.co/ugbtEF0nz8 via @WSJ</t>
  </si>
  <si>
    <t xml:space="preserve">Mark Collins</t>
  </si>
  <si>
    <t xml:space="preserve">#ShinzoAbe secures strong mandate in #Japan's general election-#NorthKorea #JSDF https://t.co/l4mFPRt9qE</t>
  </si>
  <si>
    <t xml:space="preserve">Ret'd Canadian public servant with life-long interest in military history, defence &amp; international affairs-served in ExtAff, SolGen &amp; Cdn Coast Guard</t>
  </si>
  <si>
    <t xml:space="preserve">nytimesworld: Shinzo Abe's party is on the road to a major victory in Japan's elections, early projections show https://t.co/3NvKC6m0bZ #a…</t>
  </si>
  <si>
    <r>
      <rPr>
        <sz val="8"/>
        <rFont val="Noto Sans CJK SC Regular"/>
        <family val="2"/>
      </rPr>
      <t xml:space="preserve">ぺィジ </t>
    </r>
    <r>
      <rPr>
        <sz val="8"/>
        <rFont val="Droid Sans"/>
        <family val="0"/>
        <charset val="1"/>
      </rPr>
      <t xml:space="preserve">Paige~♥</t>
    </r>
  </si>
  <si>
    <t xml:space="preserve">RT @stepupjapanese: Exit polls: Shinzo Abe secures strong mandate in Japan's general election https://t.co/NpLyjZkeki</t>
  </si>
  <si>
    <t xml:space="preserve">Alienland</t>
  </si>
  <si>
    <r>
      <rPr>
        <sz val="8"/>
        <rFont val="Noto Sans CJK SC Regular"/>
        <family val="2"/>
      </rPr>
      <t xml:space="preserve">💜九組 • 💚</t>
    </r>
    <r>
      <rPr>
        <sz val="8"/>
        <rFont val="Droid Sans"/>
        <family val="0"/>
        <charset val="1"/>
      </rPr>
      <t xml:space="preserve">TripleS • 1/19♑♒ • MY-sian ➡ SG • you got to live on the edge • </t>
    </r>
    <r>
      <rPr>
        <sz val="8"/>
        <rFont val="Noto Sans CJK SC Regular"/>
        <family val="2"/>
      </rPr>
      <t xml:space="preserve">ただ絵を描くのは好き！ • 日本語を勉強しています、よろしくお願いします</t>
    </r>
    <r>
      <rPr>
        <sz val="8"/>
        <rFont val="Droid Sans"/>
        <family val="0"/>
        <charset val="1"/>
      </rPr>
      <t xml:space="preserve">~ • </t>
    </r>
    <r>
      <rPr>
        <sz val="8"/>
        <rFont val="Noto Sans CJK SC Regular"/>
        <family val="2"/>
      </rPr>
      <t xml:space="preserve">次は </t>
    </r>
    <r>
      <rPr>
        <sz val="8"/>
        <rFont val="Droid Sans"/>
        <family val="0"/>
        <charset val="1"/>
      </rPr>
      <t xml:space="preserve">24~25/10 </t>
    </r>
    <r>
      <rPr>
        <sz val="8"/>
        <rFont val="Noto Sans CJK SC Regular"/>
        <family val="2"/>
      </rPr>
      <t xml:space="preserve">ー 福岡</t>
    </r>
    <r>
      <rPr>
        <sz val="8"/>
        <rFont val="Droid Sans"/>
        <family val="0"/>
        <charset val="1"/>
      </rPr>
      <t xml:space="preserve">FC</t>
    </r>
    <r>
      <rPr>
        <sz val="8"/>
        <rFont val="Noto Sans CJK SC Regular"/>
        <family val="2"/>
      </rPr>
      <t xml:space="preserve">旅行、</t>
    </r>
    <r>
      <rPr>
        <sz val="8"/>
        <rFont val="Droid Sans"/>
        <family val="0"/>
        <charset val="1"/>
      </rPr>
      <t xml:space="preserve">19/1 &amp; 21/1 </t>
    </r>
    <r>
      <rPr>
        <sz val="8"/>
        <rFont val="Noto Sans CJK SC Regular"/>
        <family val="2"/>
      </rPr>
      <t xml:space="preserve">ー</t>
    </r>
    <r>
      <rPr>
        <sz val="8"/>
        <rFont val="Droid Sans"/>
        <family val="0"/>
        <charset val="1"/>
      </rPr>
      <t xml:space="preserve">13/13</t>
    </r>
    <r>
      <rPr>
        <sz val="8"/>
        <rFont val="Noto Sans CJK SC Regular"/>
        <family val="2"/>
      </rPr>
      <t xml:space="preserve">ツアー</t>
    </r>
  </si>
  <si>
    <t xml:space="preserve">Shinzo Abe, the "comeback kid" of Japanese politics https://t.co/3AZPtMQ9kV</t>
  </si>
  <si>
    <t xml:space="preserve">Piriyathep K</t>
  </si>
  <si>
    <t xml:space="preserve">There is no joy equal to that of being able to work for all humanity and doing what you're doing well - R.B.Fuller</t>
  </si>
  <si>
    <t xml:space="preserve">Shinzo Abe's party is on the road to a major victory in Japan's elections, early projections show https://t.co/FBZEz0Ha8O</t>
  </si>
  <si>
    <t xml:space="preserve">Mercedes</t>
  </si>
  <si>
    <t xml:space="preserve">Japan's PM Shinzo Abe poised to win snap election https://t.co/4cUhmmyXkl https://t.co/H0Ba8DzdQu</t>
  </si>
  <si>
    <t xml:space="preserve">Arts &amp; Culture Science Soccer Technology &amp; Science TV Shows Entertainment Movies #ManchesterUnited #Barcelona</t>
  </si>
  <si>
    <t xml:space="preserve">AllCoder</t>
  </si>
  <si>
    <t xml:space="preserve">#news : Election Risk Pays Off for Shinzo Abe of Japan as Party Appears to Win Big https://t.co/klYPR2OQ7P https://t.co/xGhqLRtq4B</t>
  </si>
  <si>
    <t xml:space="preserve">Amir Fareed Rahim</t>
  </si>
  <si>
    <t xml:space="preserve">ÜT: 48.2009,16.352497</t>
  </si>
  <si>
    <t xml:space="preserve">History-traditionalist, economic realist, post-modernist. Dark Blue. Public Affairs and Political Risk Consultant.</t>
  </si>
  <si>
    <t xml:space="preserve">sunil patel...</t>
  </si>
  <si>
    <t xml:space="preserve">चेन्नई, भारत</t>
  </si>
  <si>
    <t xml:space="preserve">A SalesMan, hindu Nationalist, most sickulars won't like me. RSS. Keen follower of Politics and current affairs, Proud BHAKT</t>
  </si>
  <si>
    <t xml:space="preserve">Gary</t>
  </si>
  <si>
    <t xml:space="preserve">all up in your mind</t>
  </si>
  <si>
    <t xml:space="preserve">Tracking down an apparent brain disease, spreading like wildfire, causing people to act and speak without civility, truth or intelligence. They be Monsters.</t>
  </si>
  <si>
    <t xml:space="preserve">Shinzo Abe secures strong mandate in Japan's general election | World news https://t.co/T9T2liMbZO https://t.co/iUsnp7LmiD</t>
  </si>
  <si>
    <t xml:space="preserve">Sunaina Asthana</t>
  </si>
  <si>
    <t xml:space="preserve">Chaos n discipline must walk together, neither should win or lose!</t>
  </si>
  <si>
    <t xml:space="preserve">Arun Kumar</t>
  </si>
  <si>
    <t xml:space="preserve">Patna</t>
  </si>
  <si>
    <t xml:space="preserve">Senior Assistant Editor, Hindustan Times, Patna. Earlier Bureau Chief. Journalist, writer. Views expressed are personal. Retweets not endorsement.</t>
  </si>
  <si>
    <t xml:space="preserve">Mayday Willington</t>
  </si>
  <si>
    <t xml:space="preserve">Hawaii nei</t>
  </si>
  <si>
    <t xml:space="preserve">ketulkumar</t>
  </si>
  <si>
    <t xml:space="preserve">Japanese Prime Minister #ShinzoAbe swept to a resounding victory in a snap election on Sunday. https://t.co/mDkjv35yk7</t>
  </si>
  <si>
    <t xml:space="preserve">Working in Govt Sector</t>
  </si>
  <si>
    <t xml:space="preserve">Arvind Agarwal</t>
  </si>
  <si>
    <t xml:space="preserve">Kolkata/Kishanganj</t>
  </si>
  <si>
    <t xml:space="preserve">Correspondent, Dainik Bhaskar</t>
  </si>
  <si>
    <t xml:space="preserve">Updated: Shinzo Abe secures strong mandate in Japan's general election https://t.co/1EXNaVJI4x</t>
  </si>
  <si>
    <t xml:space="preserve">Vijay Krishna</t>
  </si>
  <si>
    <t xml:space="preserve">Journalist at large, exploring the world of communications!!</t>
  </si>
  <si>
    <t xml:space="preserve">Japan exit polls show Shinzo Abe winning general election https://t.co/RqkRxMyFJU via @asiatimesonline</t>
  </si>
  <si>
    <t xml:space="preserve">INTOLERANT ADITYA</t>
  </si>
  <si>
    <t xml:space="preserve">NEW DELHI</t>
  </si>
  <si>
    <t xml:space="preserve">STAUNCH RSS AND MODI SUPPORTER. RETWEETS ARE ENDORSEMENTS. ASPIRING CA. COMPLETED MASTERS</t>
  </si>
  <si>
    <t xml:space="preserve">☮Venkataseshan🇮🇳</t>
  </si>
  <si>
    <t xml:space="preserve">Kongu Nadu, India</t>
  </si>
  <si>
    <t xml:space="preserve">INDIAN_தமிழன் TECHIE-HRM💻 MOVIE _GEEK🎞 TREE HUGGER🌲 ILLUMINAUGHTY😂 I HUNT WITCHES🔮VAMPIRES 👹ZOMBIES💀WEREWOLVES🐺... AND SOMETIMES TROLLS👺</t>
  </si>
  <si>
    <t xml:space="preserve">RT @Ketul1Indian: Japanese Prime Minister #ShinzoAbe swept to a resounding victory in a snap election on Sunday. https://t.co/mDkjv35yk7</t>
  </si>
  <si>
    <t xml:space="preserve">Akira Yanai</t>
  </si>
  <si>
    <r>
      <rPr>
        <sz val="8"/>
        <rFont val="Droid Sans"/>
        <family val="0"/>
        <charset val="1"/>
      </rPr>
      <t xml:space="preserve">Japan(@sugitayukie</t>
    </r>
    <r>
      <rPr>
        <sz val="8"/>
        <rFont val="Noto Sans CJK SC Regular"/>
        <family val="2"/>
      </rPr>
      <t xml:space="preserve">を忘れない</t>
    </r>
    <r>
      <rPr>
        <sz val="8"/>
        <rFont val="Droid Sans"/>
        <family val="0"/>
        <charset val="1"/>
      </rPr>
      <t xml:space="preserve">)</t>
    </r>
  </si>
  <si>
    <r>
      <rPr>
        <sz val="8"/>
        <rFont val="Droid Sans"/>
        <family val="0"/>
        <charset val="1"/>
      </rPr>
      <t xml:space="preserve">Nothing's gonna change my world. </t>
    </r>
    <r>
      <rPr>
        <sz val="8"/>
        <rFont val="Noto Sans CJK SC Regular"/>
        <family val="2"/>
      </rPr>
      <t xml:space="preserve">｢空腹であれ バカであれ｣がモットー。夢想家で平和主義者。</t>
    </r>
    <r>
      <rPr>
        <sz val="8"/>
        <rFont val="Droid Sans"/>
        <family val="0"/>
        <charset val="1"/>
      </rPr>
      <t xml:space="preserve">#2</t>
    </r>
    <r>
      <rPr>
        <sz val="8"/>
        <rFont val="Noto Sans CJK SC Regular"/>
        <family val="2"/>
      </rPr>
      <t xml:space="preserve">ちゃんねるが嫌いだ。適当に</t>
    </r>
    <r>
      <rPr>
        <sz val="8"/>
        <rFont val="Droid Sans"/>
        <family val="0"/>
        <charset val="1"/>
      </rPr>
      <t xml:space="preserve">!?</t>
    </r>
    <r>
      <rPr>
        <sz val="8"/>
        <rFont val="Noto Sans CJK SC Regular"/>
        <family val="2"/>
      </rPr>
      <t xml:space="preserve">投稿します</t>
    </r>
    <r>
      <rPr>
        <sz val="8"/>
        <rFont val="Droid Sans"/>
        <family val="0"/>
        <charset val="1"/>
      </rPr>
      <t xml:space="preserve">(^_^)</t>
    </r>
  </si>
  <si>
    <t xml:space="preserve">Sachchi Baat</t>
  </si>
  <si>
    <t xml:space="preserve">Shinzo Abe secures strong mandate in Japan's general election https://t.co/8LHYfCwpIs A boost for BJP?</t>
  </si>
  <si>
    <t xml:space="preserve">Alexander Avella III</t>
  </si>
  <si>
    <t xml:space="preserve">Shinzo Abe secures strong mandate in Japan's general election https://t.co/5BUTu2mUBy</t>
  </si>
  <si>
    <t xml:space="preserve">Juliet Nakato</t>
  </si>
  <si>
    <t xml:space="preserve">Citizen of the World</t>
  </si>
  <si>
    <t xml:space="preserve">Chuck Dalldorf</t>
  </si>
  <si>
    <t xml:space="preserve">Communication consultant, university lecturer &amp; love Scotland. Friday Harbor WA resident, US Coast Guard Auxiliary. Kayaker, Brooklyn native, USAF veteran.</t>
  </si>
  <si>
    <t xml:space="preserve">XPeaceful</t>
  </si>
  <si>
    <t xml:space="preserve">Shinzo Abe wins big victory in Japan’s election - Prime minister set to push for revision of Japan’s constituti... https://t.co/k27wQqx7bQ</t>
  </si>
  <si>
    <t xml:space="preserve">Shinzo Abe wins big victory in Japan’s election - Prime minister set to push for revision of Japan’s constituti... https://t.co/x5darICyNp</t>
  </si>
  <si>
    <t xml:space="preserve">Elexonic</t>
  </si>
  <si>
    <t xml:space="preserve">#news Election Risk Pays Off for Shinzo Abe of Japan as Party Appears to Win Big https://t.co/rlGTDGi7Or</t>
  </si>
  <si>
    <t xml:space="preserve">» © 2017 https://t.co/KsfcRTgjWA » |Creative Thinking | Breaking News | Android Apps | Marketing | Business | Technology | Science | T-shirts | Books | #news 🇪🇺</t>
  </si>
  <si>
    <t xml:space="preserve">RT: @nytimesworld :Shinzo Abe's party is on the road to a major victory in Japan's elections, early projections show https://t.co/2LrTLDYEy1</t>
  </si>
  <si>
    <t xml:space="preserve">Sagar Satpute</t>
  </si>
  <si>
    <t xml:space="preserve">🇮🇳 Indian, Dreamer but not impractical, sloath beer on weekends, child, naive, nomad, lover, software engineer, foodie &amp; human (the last I checked).</t>
  </si>
  <si>
    <t xml:space="preserve">nEu</t>
  </si>
  <si>
    <t xml:space="preserve">Hiç bir korkuya benzemez halkını satanın korkusu</t>
  </si>
  <si>
    <t xml:space="preserve">Devendra Singh Patel</t>
  </si>
  <si>
    <t xml:space="preserve">RT: nytimesworld :Shinzo Abe's party is on the road to a major victory in Japan's elections, early projections show https://t.co/bekbnunZ42</t>
  </si>
  <si>
    <t xml:space="preserve">Sugo Takayuki</t>
  </si>
  <si>
    <t xml:space="preserve">The public figure who loves his country and is closely following the events in the world. I love to travel and adventure. Join us https://t.co/96pEN86b2g</t>
  </si>
  <si>
    <t xml:space="preserve">Daily Express</t>
  </si>
  <si>
    <t xml:space="preserve">Japan to turn up heat against North Korea as Abe gains new mandate with election win https://t.co/HArNzo74m1 https://t.co/rvfzChE7Wu</t>
  </si>
  <si>
    <t xml:space="preserve">http://t.co/xNo7rgb8JJ - Home of the Daily and Sunday Express</t>
  </si>
  <si>
    <t xml:space="preserve">hayatama</t>
  </si>
  <si>
    <t xml:space="preserve">Election Risk Pays Off for Shinzo Abe of Japan as Party Appears to Win Big https://t.co/GXRYm1LJti</t>
  </si>
  <si>
    <t xml:space="preserve">usually in Osaka, JAPAN</t>
  </si>
  <si>
    <r>
      <rPr>
        <sz val="8"/>
        <rFont val="Droid Sans"/>
        <family val="0"/>
        <charset val="1"/>
      </rPr>
      <t xml:space="preserve">A newbie interpreter. Never dare call myself a conference interpreter. Retweeting news from BBC and CNN in int'l affairs, science and others.</t>
    </r>
    <r>
      <rPr>
        <sz val="8"/>
        <rFont val="Noto Sans CJK SC Regular"/>
        <family val="2"/>
      </rPr>
      <t xml:space="preserve">翻訳希望記事があれば教えて下さい</t>
    </r>
  </si>
  <si>
    <t xml:space="preserve">With diminishing hopes of breakthrough with Russia, Abe turning to constitutional revision as his political legacy… https://t.co/xwptz8jOAw</t>
  </si>
  <si>
    <t xml:space="preserve">ＳｃｉＴｅｃｈ</t>
  </si>
  <si>
    <t xml:space="preserve">東京都 あきる野市</t>
  </si>
  <si>
    <t xml:space="preserve">RT @Daily_Express: Japan to turn up heat against North Korea as Abe gains new mandate with election win https://t.co/HArNzo74m1 https://t.c…</t>
  </si>
  <si>
    <t xml:space="preserve">Imperio Populi</t>
  </si>
  <si>
    <t xml:space="preserve">The United States of America</t>
  </si>
  <si>
    <t xml:space="preserve">You have enemies?Good.That means you've stood up for something,sometime in your life. Winston Churchill. Utopia only exist on Twitter. Me</t>
  </si>
  <si>
    <t xml:space="preserve">George Kurian 🌎</t>
  </si>
  <si>
    <t xml:space="preserve">Waheguru Ji Ka Khalsa, Waheguru Ji Ki Fateh 'Jo bole so nihaal'. 'sat sri akal'. #TweetsArePersonal #RetweetsNotEndorsements</t>
  </si>
  <si>
    <t xml:space="preserve">Roger Älmeberg</t>
  </si>
  <si>
    <t xml:space="preserve">Shinzo Abe gains victory in Japan's general election https://t.co/z7XyRNB5wa</t>
  </si>
  <si>
    <t xml:space="preserve">Writer and consultant. Former journalist and manager at newspapers, magazines, radio and television.</t>
  </si>
  <si>
    <t xml:space="preserve">satyendra</t>
  </si>
  <si>
    <t xml:space="preserve">a learner ...... and an optimist</t>
  </si>
  <si>
    <t xml:space="preserve">Mediatic World</t>
  </si>
  <si>
    <t xml:space="preserve">Shinzo Abe just got one step closer to realizing his mandate for Japan. Here’s what it looks like https://t.co/gwLI4Ufoge</t>
  </si>
  <si>
    <t xml:space="preserve">MediaticWorldB</t>
  </si>
  <si>
    <t xml:space="preserve">Innovations dans le monde des #medias, #startup et nouvelles technologies.</t>
  </si>
  <si>
    <t xml:space="preserve">Mario Gabelli</t>
  </si>
  <si>
    <t xml:space="preserve">Shinzo Abe wins big victory in Japan’s election via @FT https://t.co/4VuhgOolMY</t>
  </si>
  <si>
    <t xml:space="preserve">Rye, New York/ Worldwide</t>
  </si>
  <si>
    <t xml:space="preserve">Official Mario Gabelli Twitter Page: Research-driven, value investing since 1977 --- Graham &amp; Dodd + Buffett = Gabelli</t>
  </si>
  <si>
    <t xml:space="preserve">PINTOO</t>
  </si>
  <si>
    <t xml:space="preserve">Indian, Hindu for Truth &amp; Justice.RT stands for attention.</t>
  </si>
  <si>
    <t xml:space="preserve">Carsten Hess</t>
  </si>
  <si>
    <t xml:space="preserve">European, Lawyer, Interest Representative in to Asia-Pac and EEMEA. Tweets are personal opinions expressed!</t>
  </si>
  <si>
    <t xml:space="preserve">エリーザ</t>
  </si>
  <si>
    <t xml:space="preserve">@kenshimiz Shinzo Abe wins big victory in Japan's election! It was bound to happen, yes Ken :)</t>
  </si>
  <si>
    <t xml:space="preserve">Poland</t>
  </si>
  <si>
    <r>
      <rPr>
        <sz val="8"/>
        <rFont val="Noto Sans CJK SC Regular"/>
        <family val="2"/>
      </rPr>
      <t xml:space="preserve">ようこそ いらっしゃい マダムローザの夢の娼館に ここはすべてが許される さぁ何がお望み？ </t>
    </r>
    <r>
      <rPr>
        <sz val="8"/>
        <rFont val="Droid Sans"/>
        <family val="0"/>
        <charset val="1"/>
      </rPr>
      <t xml:space="preserve">manga♥ anime♥ visual kei♥ j-rock♥ Culture of Japan - history, people, traditions ♥</t>
    </r>
  </si>
  <si>
    <t xml:space="preserve">WhatAWonderfulWorld</t>
  </si>
  <si>
    <t xml:space="preserve">Anarchist. Peace-lover but not pacifist. Phd in consumption of media, atheist, anti-imperialist.</t>
  </si>
  <si>
    <t xml:space="preserve">chander prakash</t>
  </si>
  <si>
    <t xml:space="preserve">Civil Aviation</t>
  </si>
  <si>
    <t xml:space="preserve">Marco Amodio</t>
  </si>
  <si>
    <t xml:space="preserve">Napoli</t>
  </si>
  <si>
    <t xml:space="preserve">Partenopeo II-VIII // digital projects.</t>
  </si>
  <si>
    <t xml:space="preserve">GeRonimo ji-Jaga</t>
  </si>
  <si>
    <t xml:space="preserve">Election Risk Pays Off for Shinzo Abe of Japan as Party Appears to Win Big - The New York Times https://t.co/OzUmVcQN7G</t>
  </si>
  <si>
    <t xml:space="preserve">The Universe</t>
  </si>
  <si>
    <t xml:space="preserve">Father, Grown ass Man, Down by law.</t>
  </si>
  <si>
    <t xml:space="preserve">Newshawk</t>
  </si>
  <si>
    <t xml:space="preserve">"Japanese Prime Minister Shinzo Abe and his ruling coalition are on course for a landslide win in Sunday's... https://t.co/6KI8QW2DGW</t>
  </si>
  <si>
    <t xml:space="preserve">Newshawk is a premier news blog for foreign affairs, politics, and the economy.</t>
  </si>
  <si>
    <t xml:space="preserve">Art Vandelay</t>
  </si>
  <si>
    <t xml:space="preserve">RT @MarioGabelli: Shinzo Abe wins big victory in Japan’s election via @FT https://t.co/4VuhgOolMY</t>
  </si>
  <si>
    <t xml:space="preserve">This is a PERSONAL ACCOUNT. Nothing you see here may be attributable to whatever it is I may do, wherever it is I may do it. 🇺🇸 Not investment advice!</t>
  </si>
  <si>
    <t xml:space="preserve">U need a Lawderation</t>
  </si>
  <si>
    <t xml:space="preserve">Lawderation App</t>
  </si>
  <si>
    <t xml:space="preserve">Philadelphia</t>
  </si>
  <si>
    <t xml:space="preserve">@EnLawded #statistics : #twomillions of #pictures #views on #flickr! #awesome.</t>
  </si>
  <si>
    <t xml:space="preserve">Shibley Telhami</t>
  </si>
  <si>
    <t xml:space="preserve">Results mean Abe could move swiftly to change the Constitution to make explicit the legality of Japan’s military' https://t.co/QLnkKm4BHg</t>
  </si>
  <si>
    <t xml:space="preserve">Professor, University of Maryland; Director, UMD Critical Issues Poll; NR Senior Fellow, Brookings Institution. Views are my Own. RT≠Endorsement</t>
  </si>
  <si>
    <t xml:space="preserve">Methone</t>
  </si>
  <si>
    <t xml:space="preserve">Here's the latest @qz story about Trump: https://t.co/qkctsatd0d</t>
  </si>
  <si>
    <t xml:space="preserve">Germany, Augsburg</t>
  </si>
  <si>
    <t xml:space="preserve">at the moment: virtualization and automation is my life VCP3; VCP4; VCP5; VCP410-DT; VCP510-DT; MCITP Virtualization</t>
  </si>
  <si>
    <t xml:space="preserve">Massimo Guerrera</t>
  </si>
  <si>
    <t xml:space="preserve">...around the world...</t>
  </si>
  <si>
    <t xml:space="preserve">Chris Burk</t>
  </si>
  <si>
    <t xml:space="preserve">TX → BJ → DC &amp; VA</t>
  </si>
  <si>
    <t xml:space="preserve">Climate &amp; energy policy. Science. Debate. Asia-Pacific politics. Favorite color: APEC Blue. Views all my own. Activity ≠ endorsement.</t>
  </si>
  <si>
    <t xml:space="preserve">JBracha-Rutkowska</t>
  </si>
  <si>
    <t xml:space="preserve">Shinzo Abe gains big victory in #Japan election https://t.co/nKvZThF7lw via @FT</t>
  </si>
  <si>
    <t xml:space="preserve">Warszawa / Kielce / Poland </t>
  </si>
  <si>
    <t xml:space="preserve">Energy/ Nuclear/ Geopolitics/ Public Relations/ Social Media/ Books/ Football/ Polish Politics</t>
  </si>
  <si>
    <t xml:space="preserve">INFO CELL</t>
  </si>
  <si>
    <t xml:space="preserve">Shinzo Abe secures strong mandate in Japan's general election https://t.co/bxBoA5NT8k</t>
  </si>
  <si>
    <t xml:space="preserve">Daily news about everyday life. Branding and Enriching Lives. The World 20 minutes into the future.</t>
  </si>
  <si>
    <t xml:space="preserve">XiXi Davey</t>
  </si>
  <si>
    <t xml:space="preserve">warning!somegraphicphotosnews </t>
  </si>
  <si>
    <t xml:space="preserve">News,Animals,dogs;PRO-Israel;anti-terror; science,environ,sociology,etc.Reposts DON'T always endorse.Not a business,not extremist, fan of IRONY,open minded.1212</t>
  </si>
  <si>
    <t xml:space="preserve">Maralyn Burstein</t>
  </si>
  <si>
    <t xml:space="preserve">Manhattan,New York</t>
  </si>
  <si>
    <t xml:space="preserve">An analyst who uses her expertise in four different astrologies-many traditional to describe large trends, character delineation and the future.</t>
  </si>
  <si>
    <t xml:space="preserve">mojewhi</t>
  </si>
  <si>
    <t xml:space="preserve">Shinzo Abe secures strong mandate in Japan's general election https://t.co/FAlRDskuS9</t>
  </si>
  <si>
    <t xml:space="preserve">South Australia, Australia</t>
  </si>
  <si>
    <t xml:space="preserve">Committed to equity and social justice principles; human rights. #KidsOut. #BringThemHere #Justice4Refugees</t>
  </si>
  <si>
    <t xml:space="preserve">ZeliaLH 🇮🇳🇯🇵</t>
  </si>
  <si>
    <t xml:space="preserve">#ShinzoAbe secures strong mandate in #Japan's general election !!!https://t.co/TkN4BYVmnA</t>
  </si>
  <si>
    <t xml:space="preserve">Retired UN official. Mumbai NRI now living in Japan. Mentally fully liberal and international.</t>
  </si>
  <si>
    <t xml:space="preserve">Jan Sutherland-Wells</t>
  </si>
  <si>
    <t xml:space="preserve">Election Risk Pays Off for Shinzo Abe of Japan as Party Appears to Win Big - The New York Times https://t.co/XsDWu3Ic2k</t>
  </si>
  <si>
    <t xml:space="preserve">Slidell, LA</t>
  </si>
  <si>
    <t xml:space="preserve">#resistanceActivist #cutBullshite Graphic Designer-Photographer</t>
  </si>
  <si>
    <t xml:space="preserve">ILoveJapan81</t>
  </si>
  <si>
    <t xml:space="preserve">RT @ZeliaLH: #ShinzoAbe secures strong mandate in #Japan's general election !!!https://t.co/TkN4BYVmnA</t>
  </si>
  <si>
    <t xml:space="preserve">Trying an experiment</t>
  </si>
  <si>
    <t xml:space="preserve">Cherry Coffee Lounge</t>
  </si>
  <si>
    <t xml:space="preserve">Election Risk Pays Off for Shinzo Abe of Japan as Party Appears to Win Big via @NYTimes https://t.co/jx7IWEeucD</t>
  </si>
  <si>
    <t xml:space="preserve">Berlin</t>
  </si>
  <si>
    <t xml:space="preserve">Cafe und Lounge mit netter Atmosphäre. Café lounge in a nice atmosphere. Coffee, teas and organic dishes. Berlin, München, London. PS: + Golden Retriever Carlos</t>
  </si>
  <si>
    <t xml:space="preserve">Abhishek</t>
  </si>
  <si>
    <t xml:space="preserve">#Abe didn’t so much win it as the opposition just was totally unprepared" https://t.co/0YCvQYeuVD</t>
  </si>
  <si>
    <t xml:space="preserve">U.A.E</t>
  </si>
  <si>
    <t xml:space="preserve">All tweets related to MBA, STARTUPS, INVESTMENT, TECH &amp; POLITICS!</t>
  </si>
  <si>
    <t xml:space="preserve">Alfons López Tena</t>
  </si>
  <si>
    <t xml:space="preserve">Shinzo Abe secures strong mandate in Japan's general election, in course to win 2/3 supermajority in the lower house https://t.co/xSlhVPGHXR</t>
  </si>
  <si>
    <t xml:space="preserve">Catalonia</t>
  </si>
  <si>
    <t xml:space="preserve">Jurist. Spanish Judiciary Council's &amp; Catalan Parliament's former member. Writes in @businessinsider—@InPRA—@ctxt_es—@myfairobserver—@Jerusalem_Post—@htTweets.</t>
  </si>
  <si>
    <t xml:space="preserve">Shahidul Haque</t>
  </si>
  <si>
    <t xml:space="preserve">Japan's PM Shinzo Abe poised to win snap election @AJENews https://t.co/foE21WjFJo</t>
  </si>
  <si>
    <t xml:space="preserve">Former Ambassador to Libya. Retd Major General, former Defence Attache to Myanmar. Served in UN Operations. Following or RTing does not constitute endorsement.</t>
  </si>
  <si>
    <t xml:space="preserve">Phil Davis</t>
  </si>
  <si>
    <t xml:space="preserve">RT @Methone: Here's the latest @qz story about Trump: https://t.co/qkctsatd0d</t>
  </si>
  <si>
    <t xml:space="preserve">You have to kiss a lot of frogs to find a prince. I don't mind.</t>
  </si>
  <si>
    <t xml:space="preserve">Japan's Shinzo Abe wins resounding election victory https://t.co/qInxR8lwWZ https://t.co/utjsLx25hK</t>
  </si>
  <si>
    <t xml:space="preserve">E25mmanuel</t>
  </si>
  <si>
    <t xml:space="preserve">Election Risk Pays Off for Shinzo Abe of Japan as Party Appears to Win Big https://t.co/afo0s7MQ7a https://t.co/d1AGo78lzD</t>
  </si>
  <si>
    <t xml:space="preserve">Naeem Warind</t>
  </si>
  <si>
    <t xml:space="preserve">RT @alfonslopeztena: Shinzo Abe secures strong mandate in Japan's general election, in course to win 2/3 supermajority in the lower house h…</t>
  </si>
  <si>
    <t xml:space="preserve">Karachi, Pakistan.</t>
  </si>
  <si>
    <t xml:space="preserve">Importer and deals in general items. Main focus on edible oils. Former Chairman Pakistan Chemicals &amp; Dyes Merchants Association.</t>
  </si>
  <si>
    <t xml:space="preserve">Sagar Rawlyani</t>
  </si>
  <si>
    <t xml:space="preserve">Planet Earth</t>
  </si>
  <si>
    <t xml:space="preserve">interests: astronomy, geography, economy, global affairs, vexillology.I'm a global citizen, Social Democrat &amp; Secular Humanist.RTs may or may not be endorsment.</t>
  </si>
  <si>
    <t xml:space="preserve">Kunda Hobson</t>
  </si>
  <si>
    <t xml:space="preserve">Mother,Educator,Chef &amp; CCTer 05</t>
  </si>
  <si>
    <t xml:space="preserve">david bieber</t>
  </si>
  <si>
    <t xml:space="preserve">aberdeen sd</t>
  </si>
  <si>
    <t xml:space="preserve">i am curently on a mission taking pictures of world events, with my wifes permssion of course.</t>
  </si>
  <si>
    <t xml:space="preserve">Andrew Coventry</t>
  </si>
  <si>
    <t xml:space="preserve">Penicuik, Scotland</t>
  </si>
  <si>
    <t xml:space="preserve">Mad Hearts fan Careers Advisor helping people achieve their potential Trade Unionist. Yes Activist Increasingly anti-SNP. Retweets not necessarily endorsements.</t>
  </si>
  <si>
    <t xml:space="preserve">Japan's Prime Minister to win third term, exit polls show - Japanese Prime Minister Shinzo Abe appears on cours... https://t.co/gThyKPs4fQ</t>
  </si>
  <si>
    <t xml:space="preserve">Diarmuid Scully</t>
  </si>
  <si>
    <t xml:space="preserve">Limerick</t>
  </si>
  <si>
    <t xml:space="preserve">Phd Teaching Fellow in Politics &amp; Public Administration University of Limerick</t>
  </si>
  <si>
    <t xml:space="preserve">RT @dwnews: Japan's Shinzo Abe wins resounding election victory https://t.co/qInxR8lwWZ https://t.co/utjsLx25hK</t>
  </si>
  <si>
    <t xml:space="preserve">Magali Rodriguez R</t>
  </si>
  <si>
    <t xml:space="preserve">Election Risk Pays Off for Shinzo Abe of Japan as Party Appears to Win Big - The New York Times https://t.co/kSHdxdiszV</t>
  </si>
  <si>
    <t xml:space="preserve">Lets Be Equals</t>
  </si>
  <si>
    <t xml:space="preserve">Election Risk Pays Off for Shinzo Abe of Japan as Party Appears to Win Big https://t.co/ZqiraWcAj0 https://t.co/nBW5q87sUF</t>
  </si>
  <si>
    <t xml:space="preserve">No one Is better than anyone else; we are born equal.</t>
  </si>
  <si>
    <t xml:space="preserve">Pranav Raghu</t>
  </si>
  <si>
    <t xml:space="preserve">Bengaluru</t>
  </si>
  <si>
    <t xml:space="preserve">17. Liberal. Nehruvian. Indian. COYG.</t>
  </si>
  <si>
    <t xml:space="preserve">S K</t>
  </si>
  <si>
    <t xml:space="preserve">In a world our minds created</t>
  </si>
  <si>
    <t xml:space="preserve">politics, news, foreign policy, sports. editor @tennisatlantic @lastwordonsports, activist, consultant and populist progressive with axl rose esque ranting.</t>
  </si>
  <si>
    <t xml:space="preserve">Shinzo Abe sweeps to resounding victory in Japan election.. https://t.co/GVmyNpJE15</t>
  </si>
  <si>
    <t xml:space="preserve">Pavana Puthige</t>
  </si>
  <si>
    <t xml:space="preserve">Ordinary woman, interested in few things, doing nothing.</t>
  </si>
  <si>
    <t xml:space="preserve">carsinogenic</t>
  </si>
  <si>
    <t xml:space="preserve">cars are WMDs too many on this planet 4 far 2 long</t>
  </si>
  <si>
    <t xml:space="preserve">TrabajarenEuropa</t>
  </si>
  <si>
    <t xml:space="preserve">París, Francia</t>
  </si>
  <si>
    <t xml:space="preserve">Trabajar en Europa Twitter account. News about economy and spanish-european labor market.</t>
  </si>
  <si>
    <t xml:space="preserve">Christl</t>
  </si>
  <si>
    <t xml:space="preserve">Milwaukee, Wi</t>
  </si>
  <si>
    <t xml:space="preserve">Wife, Mother of 2 upstanding men, Retired RN, Parish Nurse, Immigrant, Interested in justice issues, art, music, environment, and gardening. Curious</t>
  </si>
  <si>
    <t xml:space="preserve">paoloi marongiu</t>
  </si>
  <si>
    <t xml:space="preserve">gruppo di amici si viaggia insieme in libertà e rispetto nel tempo condiviso. il senso della bellezza ci fa più felici ogni opinione ben accetta</t>
  </si>
  <si>
    <t xml:space="preserve">Jeff Sonstein</t>
  </si>
  <si>
    <t xml:space="preserve">~ 43.128677,-77.614074</t>
  </si>
  <si>
    <t xml:space="preserve">former prof @ RIT, mobile tech &amp; VR pioneer, long-time full-stack coder. my personal account.</t>
  </si>
  <si>
    <t xml:space="preserve">菜種のきもち♡</t>
  </si>
  <si>
    <t xml:space="preserve">山梨県北杜市</t>
  </si>
  <si>
    <r>
      <rPr>
        <sz val="8"/>
        <rFont val="Noto Sans CJK SC Regular"/>
        <family val="2"/>
      </rPr>
      <t xml:space="preserve">環境活動＠八ヶ岳南麓。畑は狭いが世界は広い。自然に学び自然に生きる🍀平和・健康・食・医療に関心 ✨東京大田区出身</t>
    </r>
    <r>
      <rPr>
        <sz val="8"/>
        <rFont val="Droid Sans"/>
        <family val="0"/>
        <charset val="1"/>
      </rPr>
      <t xml:space="preserve">~</t>
    </r>
    <r>
      <rPr>
        <sz val="8"/>
        <rFont val="Noto Sans CJK SC Regular"/>
        <family val="2"/>
      </rPr>
      <t xml:space="preserve">中央区にも居住 </t>
    </r>
    <r>
      <rPr>
        <sz val="8"/>
        <rFont val="Droid Sans"/>
        <family val="0"/>
        <charset val="1"/>
      </rPr>
      <t xml:space="preserve">naturalist, environmentalist, pacifist, agri-life, anti-nuclear. THINK GLOBALLY, ACT LOCALLY🌐</t>
    </r>
  </si>
  <si>
    <t xml:space="preserve">obregon raquel noemi</t>
  </si>
  <si>
    <t xml:space="preserve">La Plata, Argentina</t>
  </si>
  <si>
    <t xml:space="preserve">Austria</t>
  </si>
  <si>
    <t xml:space="preserve">Parental leave @home | CRM &amp; BI #Salesforce #SAP | Boxing &amp; Judo bush leaguer | Rescue diver &amp; Lifeguard | Coca-Cola light &amp; Almdudler</t>
  </si>
  <si>
    <t xml:space="preserve">MAIN &amp; WALL™</t>
  </si>
  <si>
    <t xml:space="preserve">Election Risk Pays Off for Shinzo Abe of Japan as Party Appears to Win Big - The New York Times https://t.co/CERH17CvGP</t>
  </si>
  <si>
    <t xml:space="preserve">StreetTweets from MAIN &amp; WALL™ | MAIN St / WALL St / Pennsylvania Ave | Finance &amp; Society ~ Capitalism 4.1* | MFiM... Modular-Finance~in~Motion...™</t>
  </si>
  <si>
    <t xml:space="preserve">Satoshi Saeki</t>
  </si>
  <si>
    <t xml:space="preserve">関東地方</t>
  </si>
  <si>
    <r>
      <rPr>
        <sz val="8"/>
        <rFont val="Noto Sans CJK SC Regular"/>
        <family val="2"/>
      </rPr>
      <t xml:space="preserve">完全にぶっちゃけています。ぼやきです。はい。誤解しないように。趣味はアニメ鑑賞時々カラオケたまに劇場版映画鑑賞。２００２年以降のものは大体チェックしてます。アニメライフもといソニーライフ満喫中。デレステ・ドリスピ・ポケモン</t>
    </r>
    <r>
      <rPr>
        <sz val="8"/>
        <rFont val="Droid Sans"/>
        <family val="0"/>
        <charset val="1"/>
      </rPr>
      <t xml:space="preserve">GO</t>
    </r>
    <r>
      <rPr>
        <sz val="8"/>
        <rFont val="Noto Sans CJK SC Regular"/>
        <family val="2"/>
      </rPr>
      <t xml:space="preserve">継続プレイ中。</t>
    </r>
    <r>
      <rPr>
        <sz val="8"/>
        <rFont val="Droid Sans"/>
        <family val="0"/>
        <charset val="1"/>
      </rPr>
      <t xml:space="preserve">ipadmini3</t>
    </r>
    <r>
      <rPr>
        <sz val="8"/>
        <rFont val="Noto Sans CJK SC Regular"/>
        <family val="2"/>
      </rPr>
      <t xml:space="preserve">・</t>
    </r>
    <r>
      <rPr>
        <sz val="8"/>
        <rFont val="Droid Sans"/>
        <family val="0"/>
        <charset val="1"/>
      </rPr>
      <t xml:space="preserve">iphone6s</t>
    </r>
    <r>
      <rPr>
        <sz val="8"/>
        <rFont val="Noto Sans CJK SC Regular"/>
        <family val="2"/>
      </rPr>
      <t xml:space="preserve">増設。不定期</t>
    </r>
    <r>
      <rPr>
        <sz val="8"/>
        <rFont val="Droid Sans"/>
        <family val="0"/>
        <charset val="1"/>
      </rPr>
      <t xml:space="preserve">#List</t>
    </r>
    <r>
      <rPr>
        <sz val="8"/>
        <rFont val="Noto Sans CJK SC Regular"/>
        <family val="2"/>
      </rPr>
      <t xml:space="preserve">更新</t>
    </r>
  </si>
  <si>
    <t xml:space="preserve">CJNyssen</t>
  </si>
  <si>
    <t xml:space="preserve">Shinzo Abe secures strong mandate in Japan's general election #AbeIsAFascist https://t.co/AM1JAh6m9M</t>
  </si>
  <si>
    <t xml:space="preserve">MLIS - Information professional, interested in networking w/ info professionals involved in info fluency, reference, archives &amp; museums</t>
  </si>
  <si>
    <t xml:space="preserve">Sarva Srinivasa Rao</t>
  </si>
  <si>
    <t xml:space="preserve">猫組長</t>
  </si>
  <si>
    <r>
      <rPr>
        <sz val="8"/>
        <rFont val="Noto Sans CJK SC Regular"/>
        <family val="2"/>
      </rPr>
      <t xml:space="preserve">『猫組長と西原理恵子の「ネコノミクス宣言」』週刊 </t>
    </r>
    <r>
      <rPr>
        <sz val="8"/>
        <rFont val="Droid Sans"/>
        <family val="0"/>
        <charset val="1"/>
      </rPr>
      <t xml:space="preserve">SPA! </t>
    </r>
    <r>
      <rPr>
        <sz val="8"/>
        <rFont val="Noto Sans CJK SC Regular"/>
        <family val="2"/>
      </rPr>
      <t xml:space="preserve">にて連載中 </t>
    </r>
    <r>
      <rPr>
        <sz val="8"/>
        <rFont val="Droid Sans"/>
        <family val="0"/>
        <charset val="1"/>
      </rPr>
      <t xml:space="preserve">//</t>
    </r>
    <r>
      <rPr>
        <sz val="8"/>
        <rFont val="Noto Sans CJK SC Regular"/>
        <family val="2"/>
      </rPr>
      <t xml:space="preserve">『山口組分裂と国際金融』</t>
    </r>
    <r>
      <rPr>
        <sz val="8"/>
        <rFont val="Droid Sans"/>
        <family val="0"/>
        <charset val="1"/>
      </rPr>
      <t xml:space="preserve">https://t.co/9qk1eihRgV</t>
    </r>
    <r>
      <rPr>
        <sz val="8"/>
        <rFont val="Noto Sans CJK SC Regular"/>
        <family val="2"/>
      </rPr>
      <t xml:space="preserve">徳間書店『惡問のすゝめ』</t>
    </r>
    <r>
      <rPr>
        <sz val="8"/>
        <rFont val="Droid Sans"/>
        <family val="0"/>
        <charset val="1"/>
      </rPr>
      <t xml:space="preserve">https://t.co/R65t2NrtFc </t>
    </r>
    <r>
      <rPr>
        <sz val="8"/>
        <rFont val="Noto Sans CJK SC Regular"/>
        <family val="2"/>
      </rPr>
      <t xml:space="preserve">徳間書店 </t>
    </r>
    <r>
      <rPr>
        <sz val="8"/>
        <rFont val="Droid Sans"/>
        <family val="0"/>
        <charset val="1"/>
      </rPr>
      <t xml:space="preserve">//</t>
    </r>
    <r>
      <rPr>
        <sz val="8"/>
        <rFont val="Noto Sans CJK SC Regular"/>
        <family val="2"/>
      </rPr>
      <t xml:space="preserve">猫組代紋は井筒啓之さん</t>
    </r>
    <r>
      <rPr>
        <sz val="8"/>
        <rFont val="Droid Sans"/>
        <family val="0"/>
        <charset val="1"/>
      </rPr>
      <t xml:space="preserve">@izu2 </t>
    </r>
    <r>
      <rPr>
        <sz val="8"/>
        <rFont val="Noto Sans CJK SC Regular"/>
        <family val="2"/>
      </rPr>
      <t xml:space="preserve">の作品です</t>
    </r>
    <r>
      <rPr>
        <sz val="8"/>
        <rFont val="Droid Sans"/>
        <family val="0"/>
        <charset val="1"/>
      </rPr>
      <t xml:space="preserve">//</t>
    </r>
    <r>
      <rPr>
        <sz val="8"/>
        <rFont val="Noto Sans CJK SC Regular"/>
        <family val="2"/>
      </rPr>
      <t xml:space="preserve">猫の会代表</t>
    </r>
  </si>
  <si>
    <t xml:space="preserve">Smiling ரெட்டை வால்!</t>
  </si>
  <si>
    <t xml:space="preserve">Smile &amp; make others smile | RT is no endorsement | Loves ரெட்டை வால் ரெங்குடு, Bharathi, Ram, Krishna, Sai | வாக்கினிலே யினிமை வேண்டும் | நினைவு நல்லது வேண்டும்</t>
  </si>
  <si>
    <t xml:space="preserve">RT @FGB358: Japan Election 2017. Win Big https://t.co/gDzOWHHRFl</t>
  </si>
  <si>
    <t xml:space="preserve">B l i t z k r i e g</t>
  </si>
  <si>
    <t xml:space="preserve">Flamingo for Android</t>
  </si>
  <si>
    <t xml:space="preserve">กรุงเทพมหานคร, ประเทศไทย</t>
  </si>
  <si>
    <t xml:space="preserve">- Military Intelligence Division - Royal Thai Army - Country Director for Japan N.Korea &amp; S.Korea - World War II Lover</t>
  </si>
  <si>
    <t xml:space="preserve">Kyle Matthews</t>
  </si>
  <si>
    <t xml:space="preserve">Montreal, Canada</t>
  </si>
  <si>
    <t xml:space="preserve">Executive Director @MIGSINSTITUTE @CONCORDIA Member of @diplomacy_lab + @bmwfoundation responsible leaders network</t>
  </si>
  <si>
    <t xml:space="preserve">TurboStocks</t>
  </si>
  <si>
    <t xml:space="preserve">Here's the latest @qz story about Trump: https://t.co/Ausf88SJqD</t>
  </si>
  <si>
    <t xml:space="preserve">Before you buy anything on this Twitter link consult a financial advisor. Tweets are for entertainment purposes only.</t>
  </si>
  <si>
    <t xml:space="preserve">ツェラ高原に行こう</t>
  </si>
  <si>
    <r>
      <rPr>
        <sz val="8"/>
        <rFont val="Noto Sans CJK SC Regular"/>
        <family val="2"/>
      </rPr>
      <t xml:space="preserve">いつも、有難うございます。 三重県民の引きこもり主婦です。知恵も技も恥もありませんが、なんとか家族に引っ張られて、毎日あるいて行きたいです。 よろしくお願いします。原発は今すぐ無くなっても良いと思います。女性天皇賛成。女系天皇大反対‼︎ </t>
    </r>
    <r>
      <rPr>
        <sz val="8"/>
        <rFont val="Droid Sans"/>
        <family val="0"/>
        <charset val="1"/>
      </rPr>
      <t xml:space="preserve">m(</t>
    </r>
    <r>
      <rPr>
        <sz val="8"/>
        <rFont val="Noto Sans CJK SC Regular"/>
        <family val="2"/>
      </rPr>
      <t xml:space="preserve">＿ ＿</t>
    </r>
    <r>
      <rPr>
        <sz val="8"/>
        <rFont val="Droid Sans"/>
        <family val="0"/>
        <charset val="1"/>
      </rPr>
      <t xml:space="preserve">)m</t>
    </r>
  </si>
  <si>
    <t xml:space="preserve">cake</t>
  </si>
  <si>
    <t xml:space="preserve">Matthew P Nicholls</t>
  </si>
  <si>
    <t xml:space="preserve">Shinzo Abe secures strong mandate in Japan's general election https://t.co/Yd5ogmj5z7</t>
  </si>
  <si>
    <t xml:space="preserve">Gwynneville,N.S.W.,Australia</t>
  </si>
  <si>
    <t xml:space="preserve">Surfer/Scientist</t>
  </si>
  <si>
    <r>
      <rPr>
        <sz val="8"/>
        <rFont val="Noto Sans CJK SC Regular"/>
        <family val="2"/>
      </rPr>
      <t xml:space="preserve">しょうへい</t>
    </r>
    <r>
      <rPr>
        <sz val="8"/>
        <rFont val="Droid Sans"/>
        <family val="0"/>
        <charset val="1"/>
      </rPr>
      <t xml:space="preserve">/Shohei</t>
    </r>
  </si>
  <si>
    <t xml:space="preserve">みやこじま近海</t>
  </si>
  <si>
    <r>
      <rPr>
        <sz val="8"/>
        <rFont val="Noto Sans CJK SC Regular"/>
        <family val="2"/>
      </rPr>
      <t xml:space="preserve">高校生 </t>
    </r>
    <r>
      <rPr>
        <sz val="8"/>
        <rFont val="Droid Sans"/>
        <family val="0"/>
        <charset val="1"/>
      </rPr>
      <t xml:space="preserve">drummer </t>
    </r>
    <r>
      <rPr>
        <sz val="8"/>
        <rFont val="Noto Sans CJK SC Regular"/>
        <family val="2"/>
      </rPr>
      <t xml:space="preserve">時々</t>
    </r>
    <r>
      <rPr>
        <sz val="8"/>
        <rFont val="Droid Sans"/>
        <family val="0"/>
        <charset val="1"/>
      </rPr>
      <t xml:space="preserve">percussion</t>
    </r>
    <r>
      <rPr>
        <sz val="8"/>
        <rFont val="Noto Sans CJK SC Regular"/>
        <family val="2"/>
      </rPr>
      <t xml:space="preserve">したり 国英社が命 カレーライスが好き。パルムも好き。寺尾聰大好き。パルムおじさん。飛行機も好き。</t>
    </r>
  </si>
  <si>
    <t xml:space="preserve">_Sturmkrahe_</t>
  </si>
  <si>
    <t xml:space="preserve">The Sea of Stories</t>
  </si>
  <si>
    <t xml:space="preserve">Allways in the moon, sometimes in the hell. #Booklover #Critter #Is it Thursday yet? 📚 ☕️</t>
  </si>
  <si>
    <t xml:space="preserve">tacota</t>
  </si>
  <si>
    <t xml:space="preserve">車、モータースポーツ、猫、メタル、ギターなどが好きです。</t>
  </si>
  <si>
    <t xml:space="preserve">Matthew Nicholls</t>
  </si>
  <si>
    <t xml:space="preserve">Shinzo Abe secures strong mandate in Japan's general election https://t.co/1BmSBLtnhj</t>
  </si>
  <si>
    <t xml:space="preserve">Gwynneville,N.S.E.,Australia</t>
  </si>
  <si>
    <t xml:space="preserve">noriko</t>
  </si>
  <si>
    <t xml:space="preserve">大切なものを守りたい🌸</t>
  </si>
  <si>
    <t xml:space="preserve">迷走</t>
  </si>
  <si>
    <t xml:space="preserve">ついっぷる　</t>
  </si>
  <si>
    <t xml:space="preserve">東京の多摩地区某所</t>
  </si>
  <si>
    <t xml:space="preserve">少し変化球なツイート致しますが、常識論の範囲ではお答えいたしますが、それ以外の方はお相手致しません。ご了承ください。</t>
  </si>
  <si>
    <t xml:space="preserve">goaadit</t>
  </si>
  <si>
    <t xml:space="preserve">DEJIMA</t>
  </si>
  <si>
    <t xml:space="preserve">日本  湘南</t>
  </si>
  <si>
    <t xml:space="preserve">湘南住んでます。 変な奴多くて困ってます。 世界がどうなろうと日本🇯🇵の子供には真実を伝えていきましょう。🐶🐶🐶🐶🐶🐶🐶🐶🐶🐶🐶🐶🐶</t>
  </si>
  <si>
    <t xml:space="preserve">Shinzo Abe secures strong mandate in Japan's general election #AbeIsAFascist. https://t.co/AM1JAh6m9M</t>
  </si>
  <si>
    <t xml:space="preserve">nitin k.r</t>
  </si>
  <si>
    <r>
      <rPr>
        <sz val="8"/>
        <rFont val="Noto Sans CJK SC Regular"/>
        <family val="2"/>
      </rPr>
      <t xml:space="preserve">キンクマ</t>
    </r>
    <r>
      <rPr>
        <sz val="8"/>
        <rFont val="Droid Sans"/>
        <family val="0"/>
        <charset val="1"/>
      </rPr>
      <t xml:space="preserve">2</t>
    </r>
    <r>
      <rPr>
        <sz val="8"/>
        <rFont val="Noto Sans CJK SC Regular"/>
        <family val="2"/>
      </rPr>
      <t xml:space="preserve">号♀</t>
    </r>
  </si>
  <si>
    <t xml:space="preserve">JAPAN🎌</t>
  </si>
  <si>
    <t xml:space="preserve">Shubham Yadurawa</t>
  </si>
  <si>
    <t xml:space="preserve">Lucknow</t>
  </si>
  <si>
    <t xml:space="preserve">(Monolingual)Believe in social equality, certain respect, freedom of speech, civil rights. interested in word politic.</t>
  </si>
  <si>
    <t xml:space="preserve">masiro</t>
  </si>
  <si>
    <t xml:space="preserve">三代目元保護犬と元ママ野良猫との生活</t>
  </si>
  <si>
    <t xml:space="preserve">Al Jazeera Videos</t>
  </si>
  <si>
    <t xml:space="preserve">Japan's PM Shinzo Abe poised to win snap election: https://t.co/uKKJmiGjte via @YouTube</t>
  </si>
  <si>
    <t xml:space="preserve">The latest videos from our Youtube channel. For news, features and unique perspectives: @AJEnglish. Breaking news and ongoing coverage: @AJENews</t>
  </si>
  <si>
    <t xml:space="preserve">WORLD TREND™</t>
  </si>
  <si>
    <t xml:space="preserve">Election Risk Pays Off for Shinzo Abe of Japan as Party Appears to Win Big https://t.co/Mr5UYtdRE7</t>
  </si>
  <si>
    <t xml:space="preserve">MOST VIEWED IN #WORLD / TOP #TREND</t>
  </si>
  <si>
    <t xml:space="preserve">いそじん</t>
  </si>
  <si>
    <t xml:space="preserve">思うこといろいろ。</t>
  </si>
  <si>
    <t xml:space="preserve">Japan's PM Shinzo Abe poised to win snap election - https://t.co/gpRDdU8PWE #XaniaTube</t>
  </si>
  <si>
    <t xml:space="preserve">前田慶次</t>
  </si>
  <si>
    <r>
      <rPr>
        <sz val="8"/>
        <rFont val="Noto Sans CJK SC Regular"/>
        <family val="2"/>
      </rPr>
      <t xml:space="preserve">食べ物のアカです</t>
    </r>
    <r>
      <rPr>
        <sz val="8"/>
        <rFont val="Droid Sans"/>
        <family val="0"/>
        <charset val="1"/>
      </rPr>
      <t xml:space="preserve">(ФωФ)</t>
    </r>
  </si>
  <si>
    <t xml:space="preserve">ブルーハワイ炊き込みごはん</t>
  </si>
  <si>
    <r>
      <rPr>
        <sz val="8"/>
        <rFont val="Noto Sans CJK SC Regular"/>
        <family val="2"/>
      </rPr>
      <t xml:space="preserve">極右の国粋主義者です＞＜ 共産主義の存在そのものを認めません＞＜ </t>
    </r>
    <r>
      <rPr>
        <sz val="8"/>
        <rFont val="Droid Sans"/>
        <family val="0"/>
        <charset val="1"/>
      </rPr>
      <t xml:space="preserve">TV</t>
    </r>
    <r>
      <rPr>
        <sz val="8"/>
        <rFont val="Noto Sans CJK SC Regular"/>
        <family val="2"/>
      </rPr>
      <t xml:space="preserve">・芸能界・ソーシャルゲームには完全に興味がありません＞＜</t>
    </r>
  </si>
  <si>
    <t xml:space="preserve">Rajumani</t>
  </si>
  <si>
    <t xml:space="preserve">Engineer and a business man</t>
  </si>
  <si>
    <t xml:space="preserve">たろう</t>
  </si>
  <si>
    <t xml:space="preserve">日本国茨城県つくば市</t>
  </si>
  <si>
    <t xml:space="preserve">アニメと猫好きと鉄道好きの保守です。安部首相支持、憲法改正賛成、増税反対、アベノミクス万歳、日本万歳、毎日ニュース女子を見ています、</t>
  </si>
  <si>
    <t xml:space="preserve">GEOFFKERNOW OFFICIAL</t>
  </si>
  <si>
    <t xml:space="preserve">WEST CORNWALL, SOUTHWEST U.K. </t>
  </si>
  <si>
    <t xml:space="preserve">NON PC,SUPPORT SENSIBLE POLITICS.HATE DAESH,RACISTS, CHEATS,THE EU,EXTREMISTS.I LIKE, CLASSIC COUNTRY,CSN,SINATRA, FUNK,TOTO,ROCK,&amp;FREE SPEECH,RETIRED MUSICIAN.</t>
  </si>
  <si>
    <t xml:space="preserve">RT turbostocks "Here's the latest qz story about Trump: https://t.co/ZbYduvPbLP"</t>
  </si>
  <si>
    <t xml:space="preserve">Amitabh Kant</t>
  </si>
  <si>
    <t xml:space="preserve">CEO,Niti Aayog,GOI. Author-Branding India: An Incredible Story. Driver of Make in India,Startup India,Incredible !ndia &amp; God's Own Country campaigns . IAS:1980</t>
  </si>
  <si>
    <t xml:space="preserve">Japan's PM Shinzo Abe poised to win snap election https://t.co/riQePg3eUH</t>
  </si>
  <si>
    <t xml:space="preserve">GoodBeansWellington</t>
  </si>
  <si>
    <t xml:space="preserve">Tsardom of Massachusetts</t>
  </si>
  <si>
    <t xml:space="preserve">American Exceptionalism at its best</t>
  </si>
  <si>
    <t xml:space="preserve">mohammed imran hussa</t>
  </si>
  <si>
    <t xml:space="preserve">GI-PURE INFORMATION</t>
  </si>
  <si>
    <t xml:space="preserve">@Monitor_Sur #LookingForNews&gt;&amp;gt;&amp;gt; Election Risk Pays Off for Shinzo Abe of Japan as Party Appears to Win Big https://t.co/wC65TOElQ3</t>
  </si>
  <si>
    <t xml:space="preserve">Monitoring through major news media. All Time #LookingForNews http://t.co/hCC3D2qpga http://t.co/iGWwSQZH42 http://t.co/1G2eLj1Z1r WhatsApp1(323)591-4734</t>
  </si>
  <si>
    <t xml:space="preserve">飼い主入院中今犬少なめ</t>
  </si>
  <si>
    <t xml:space="preserve">過去作品流してます。今月いっぱい病院泊まりだけど家事、散歩には帰る程度。とにかく監視疲れ。仕事が中途半端になりすいません…← 飼い主より</t>
  </si>
  <si>
    <t xml:space="preserve">Shinzo Abe sweeps to resounding victory in Japan election https://t.co/x5vor5CWc0</t>
  </si>
  <si>
    <r>
      <rPr>
        <sz val="8"/>
        <rFont val="Noto Sans CJK SC Regular"/>
        <family val="2"/>
      </rPr>
      <t xml:space="preserve">中津 鳥羽樹</t>
    </r>
    <r>
      <rPr>
        <sz val="8"/>
        <rFont val="Droid Sans"/>
        <family val="0"/>
        <charset val="1"/>
      </rPr>
      <t xml:space="preserve">@</t>
    </r>
    <r>
      <rPr>
        <sz val="8"/>
        <rFont val="Noto Sans CJK SC Regular"/>
        <family val="2"/>
      </rPr>
      <t xml:space="preserve">アベノミクス継続</t>
    </r>
    <r>
      <rPr>
        <sz val="8"/>
        <rFont val="Droid Sans"/>
        <family val="0"/>
        <charset val="1"/>
      </rPr>
      <t xml:space="preserve">!</t>
    </r>
    <r>
      <rPr>
        <sz val="8"/>
        <rFont val="Noto Sans CJK SC Regular"/>
        <family val="2"/>
      </rPr>
      <t xml:space="preserve">ザマァ</t>
    </r>
    <r>
      <rPr>
        <sz val="8"/>
        <rFont val="Droid Sans"/>
        <family val="0"/>
        <charset val="1"/>
      </rPr>
      <t xml:space="preserve">w</t>
    </r>
  </si>
  <si>
    <t xml:space="preserve">ヤポン</t>
  </si>
  <si>
    <t xml:space="preserve">金と美人と仕事と旅が日課。それで構わなければどうぞ。</t>
  </si>
  <si>
    <t xml:space="preserve">PK Manansala 🐳🐋</t>
  </si>
  <si>
    <t xml:space="preserve">Japan's Abe on track for landslide win, exit polls show CNN · 4 hours ago Japanese Prime Minister Shinzo Abe... https://t.co/lyH9JsQboD</t>
  </si>
  <si>
    <t xml:space="preserve">Sacramento</t>
  </si>
  <si>
    <t xml:space="preserve">Check out my YouTube Channel! https://t.co/3O0b78yXNM ## #blogger #YouTubePartner #author #obama #politics #history #California #vlogger</t>
  </si>
  <si>
    <t xml:space="preserve">akariasa</t>
  </si>
  <si>
    <r>
      <rPr>
        <sz val="8"/>
        <rFont val="Noto Sans CJK SC Regular"/>
        <family val="2"/>
      </rPr>
      <t xml:space="preserve">神戸に住む在日</t>
    </r>
    <r>
      <rPr>
        <sz val="8"/>
        <rFont val="Droid Sans"/>
        <family val="0"/>
        <charset val="1"/>
      </rPr>
      <t xml:space="preserve">2</t>
    </r>
    <r>
      <rPr>
        <sz val="8"/>
        <rFont val="Noto Sans CJK SC Regular"/>
        <family val="2"/>
      </rPr>
      <t xml:space="preserve">世です。ゆるーく、まったりと。</t>
    </r>
    <r>
      <rPr>
        <sz val="8"/>
        <rFont val="Droid Sans"/>
        <family val="0"/>
        <charset val="1"/>
      </rPr>
      <t xml:space="preserve">(2015</t>
    </r>
    <r>
      <rPr>
        <sz val="8"/>
        <rFont val="Noto Sans CJK SC Regular"/>
        <family val="2"/>
      </rPr>
      <t xml:space="preserve">年に帰化しました</t>
    </r>
    <r>
      <rPr>
        <sz val="8"/>
        <rFont val="Droid Sans"/>
        <family val="0"/>
        <charset val="1"/>
      </rPr>
      <t xml:space="preserve">)</t>
    </r>
  </si>
  <si>
    <t xml:space="preserve">Breaking News Today</t>
  </si>
  <si>
    <t xml:space="preserve">World news |Japan in snap election as Shinzo Abe tries for new mandate to deal with North Korea: https://t.co/RzUrlIL4qm via @YouTube</t>
  </si>
  <si>
    <t xml:space="preserve">M Kucala, MST MBA</t>
  </si>
  <si>
    <t xml:space="preserve">Shinzo Abe gains big victory in Japan election https://t.co/eMCAGjpOYd via @FT</t>
  </si>
  <si>
    <t xml:space="preserve">Chicago (The Loop)</t>
  </si>
  <si>
    <t xml:space="preserve">(UC Berkeley; Golden Gate University, MST (Business /Taxation;Touro College MBA ) Swing Trader (FYI: I post ideas and events;not advice)</t>
  </si>
  <si>
    <t xml:space="preserve">Dhruv Bhimrajka</t>
  </si>
  <si>
    <t xml:space="preserve">visit https://t.co/EPczU8cxyr</t>
  </si>
  <si>
    <t xml:space="preserve">Kaycee</t>
  </si>
  <si>
    <t xml:space="preserve">Rishi Astika</t>
  </si>
  <si>
    <t xml:space="preserve">RT @aparanjape: Shinzo Abe sweeps to resounding victory in Japan election https://t.co/x5vor5CWc0</t>
  </si>
  <si>
    <t xml:space="preserve">N.A.</t>
  </si>
  <si>
    <t xml:space="preserve">Chil Swarr</t>
  </si>
  <si>
    <t xml:space="preserve">india</t>
  </si>
  <si>
    <t xml:space="preserve">nationalist, spiritual and fun loving</t>
  </si>
  <si>
    <t xml:space="preserve">Anirudh Bengeri</t>
  </si>
  <si>
    <t xml:space="preserve">hubli</t>
  </si>
  <si>
    <t xml:space="preserve">*Passionate Biker *Apple Products aficionado *Avid gamer *Big Big Big Nadal,MS Dhoni Fan *Budding Entrepreneur</t>
  </si>
  <si>
    <t xml:space="preserve">Smmry News</t>
  </si>
  <si>
    <t xml:space="preserve">Shinzo Abe Victorious in Japan’s Election - https://t.co/gqEWTVnmdw || #BreakingNews #news #JapanElection #Japan #ShinzoAbe</t>
  </si>
  <si>
    <t xml:space="preserve">Breaking news summarized.</t>
  </si>
  <si>
    <t xml:space="preserve">Sumbul Ismail</t>
  </si>
  <si>
    <t xml:space="preserve">new delhi, india</t>
  </si>
  <si>
    <t xml:space="preserve">law student</t>
  </si>
  <si>
    <t xml:space="preserve">犬太郎（あ）</t>
  </si>
  <si>
    <t xml:space="preserve">Sunil Subbaiah</t>
  </si>
  <si>
    <t xml:space="preserve">Shinzo Abe sweeps to resounding victory in Japan election https://t.co/kW9tAakXHu</t>
  </si>
  <si>
    <t xml:space="preserve">journalist with Times Of India</t>
  </si>
  <si>
    <t xml:space="preserve">Vega Challawar</t>
  </si>
  <si>
    <t xml:space="preserve">Nashik, India</t>
  </si>
  <si>
    <t xml:space="preserve">Trained in Ophthalmology Currently fulltime mother Not comfortable looking up at the sky, trying 2 remain grounded, still finding my roots… ♥≠like RT≠endorsemnt</t>
  </si>
  <si>
    <t xml:space="preserve">thecoorgpost</t>
  </si>
  <si>
    <t xml:space="preserve">Shinzo Abe sweeps to resounding victory in Japan election https://t.co/uNy1adwAsS</t>
  </si>
  <si>
    <t xml:space="preserve">Kodagu, India</t>
  </si>
  <si>
    <t xml:space="preserve">The latest news and stories from Kodagu and surrounding regions. Watch this space for more updates | Follow us to know more</t>
  </si>
  <si>
    <r>
      <rPr>
        <sz val="8"/>
        <rFont val="Noto Sans CJK SC Regular"/>
        <family val="2"/>
      </rPr>
      <t xml:space="preserve">ネギトロ丼</t>
    </r>
    <r>
      <rPr>
        <sz val="8"/>
        <rFont val="Droid Sans"/>
        <family val="0"/>
        <charset val="1"/>
      </rPr>
      <t xml:space="preserve">@</t>
    </r>
    <r>
      <rPr>
        <sz val="8"/>
        <rFont val="Noto Sans CJK SC Regular"/>
        <family val="2"/>
      </rPr>
      <t xml:space="preserve">妻</t>
    </r>
  </si>
  <si>
    <r>
      <rPr>
        <sz val="8"/>
        <rFont val="Noto Sans CJK SC Regular"/>
        <family val="2"/>
      </rPr>
      <t xml:space="preserve">元兵庫県民　今愛知県民　</t>
    </r>
    <r>
      <rPr>
        <sz val="8"/>
        <rFont val="Droid Sans"/>
        <family val="0"/>
        <charset val="1"/>
      </rPr>
      <t xml:space="preserve">|‥)</t>
    </r>
    <r>
      <rPr>
        <sz val="8"/>
        <rFont val="Noto Sans CJK SC Regular"/>
        <family val="2"/>
      </rPr>
      <t xml:space="preserve">　</t>
    </r>
  </si>
  <si>
    <r>
      <rPr>
        <sz val="8"/>
        <rFont val="Noto Sans CJK SC Regular"/>
        <family val="2"/>
      </rPr>
      <t xml:space="preserve">旦那が、ネギトロ丼を見て『おらの名前♪』と言ったので、私は今日からネギトロ丼の妻 </t>
    </r>
    <r>
      <rPr>
        <sz val="8"/>
        <rFont val="Droid Sans"/>
        <family val="0"/>
        <charset val="1"/>
      </rPr>
      <t xml:space="preserve">by</t>
    </r>
    <r>
      <rPr>
        <sz val="8"/>
        <rFont val="Noto Sans CJK SC Regular"/>
        <family val="2"/>
      </rPr>
      <t xml:space="preserve">俵万智 サラダ記念日風</t>
    </r>
    <r>
      <rPr>
        <sz val="8"/>
        <rFont val="Droid Sans"/>
        <family val="0"/>
        <charset val="1"/>
      </rPr>
      <t xml:space="preserve">(←</t>
    </r>
    <r>
      <rPr>
        <sz val="8"/>
        <rFont val="Noto Sans CJK SC Regular"/>
        <family val="2"/>
      </rPr>
      <t xml:space="preserve">ここ注目</t>
    </r>
    <r>
      <rPr>
        <sz val="8"/>
        <rFont val="Droid Sans"/>
        <family val="0"/>
        <charset val="1"/>
      </rPr>
      <t xml:space="preserve">)</t>
    </r>
  </si>
  <si>
    <t xml:space="preserve">Nick Samuels</t>
  </si>
  <si>
    <t xml:space="preserve">Equity and Liquid Alts Manager Research @Redington. Typically tweeting about fund management, equity markets and occasionally #THFC. All views mine of course.</t>
  </si>
  <si>
    <t xml:space="preserve">Richard J. Heydarian</t>
  </si>
  <si>
    <t xml:space="preserve">Academic, Author, Columnist @Manila_Bulletin: Resident Analyst @GMANews Op-Ed contributor: Aljazeera, NYT, Foreign Affairs, CNN, Straits Times, SCMP, CSIS, CFR</t>
  </si>
  <si>
    <t xml:space="preserve">Debasis Das 🇮🇳</t>
  </si>
  <si>
    <t xml:space="preserve">Shinzo Abe secures strong mandate in Japan's general election https://t.co/HhU5lS1UTT</t>
  </si>
  <si>
    <t xml:space="preserve">Scorpion by birth. Sr. Database Consultant by profession. #Cricket lover by identity, Learner by choice. Husband of a lovely lady and Proudest #Indian</t>
  </si>
  <si>
    <t xml:space="preserve">Jaggu</t>
  </si>
  <si>
    <t xml:space="preserve">Indian Nationalist, Big Modi Ji admirer, follower, fan. BJP member. Want to see India progress under Modi ji's leadership. Jai Hind.</t>
  </si>
  <si>
    <t xml:space="preserve">Makarand R Paranjape</t>
  </si>
  <si>
    <t xml:space="preserve">स्वदेशो भुवनत्रयम्</t>
  </si>
  <si>
    <t xml:space="preserve">"There is a truth to know, a work to do": poet-professor-public intellectual; not "merely" a political animal🙏</t>
  </si>
  <si>
    <t xml:space="preserve">iFashion Network</t>
  </si>
  <si>
    <t xml:space="preserve">RT @SmmryNews: Shinzo Abe Victorious in Japan’s Election - https://t.co/gqEWTVnmdw || #BreakingNews #news #JapanElection #Japan #ShinzoAbe</t>
  </si>
  <si>
    <t xml:space="preserve">iConcept Mediahttp://t.co/Z9ZM0j346Ahttp://t.co/6MBKi1Nx0Uhttp://t.co/gG22YSwtkY</t>
  </si>
  <si>
    <t xml:space="preserve">Alysse Fisher</t>
  </si>
  <si>
    <t xml:space="preserve">Austin, Texas</t>
  </si>
  <si>
    <t xml:space="preserve">PR/Media Longhorn living in ATX, loving adventures, and learning what matters</t>
  </si>
  <si>
    <t xml:space="preserve">Paul Fleming</t>
  </si>
  <si>
    <t xml:space="preserve">Roanoke VA</t>
  </si>
  <si>
    <t xml:space="preserve">Liberty University '14 #accounting#beaatch</t>
  </si>
  <si>
    <t xml:space="preserve">Ameet Joshi</t>
  </si>
  <si>
    <t xml:space="preserve">Miguel Chavarría</t>
  </si>
  <si>
    <t xml:space="preserve">Shinzo Abe secures strong mandate in Japan's general election https://t.co/yjPN9V0lve</t>
  </si>
  <si>
    <t xml:space="preserve">Ciudad de México</t>
  </si>
  <si>
    <t xml:space="preserve">Periodista, hikikomori, duermo poco. (Edit: ya duermo bien.)</t>
  </si>
  <si>
    <t xml:space="preserve">Sunanda Vashisht</t>
  </si>
  <si>
    <t xml:space="preserve">Explorer,Political Commentator Co-Founder : https://t.co/7VOH18ecv7 Official Blog : https://t.co/2dxn7qGSjZ</t>
  </si>
  <si>
    <t xml:space="preserve">Bharath</t>
  </si>
  <si>
    <t xml:space="preserve">Madras, Bangalore</t>
  </si>
  <si>
    <t xml:space="preserve">Talent Acquisition @DellEMC, Libran, Education and Tourism Entrepreneur in Making. Tweets are reflection of my thoughts, wishes, dreams, pain, happiness, wisdom</t>
  </si>
  <si>
    <t xml:space="preserve">Dre English´</t>
  </si>
  <si>
    <t xml:space="preserve">With My Bae &amp; Kid!!!</t>
  </si>
  <si>
    <t xml:space="preserve">Why I'm MIA?!?! Keeping You Square Ass Niggas Out My Business!!!</t>
  </si>
  <si>
    <t xml:space="preserve">Kit Juckes</t>
  </si>
  <si>
    <t xml:space="preserve">More elections.... Shinzo Abe gains big victory in Japan election via @FT https://t.co/0i5izkX3M0</t>
  </si>
  <si>
    <t xml:space="preserve">Macro-land</t>
  </si>
  <si>
    <t xml:space="preserve">The Fool on the Hill sees the sun going down and the eyes in his head see the world spinning around</t>
  </si>
  <si>
    <t xml:space="preserve">Hitesh Gupta</t>
  </si>
  <si>
    <t xml:space="preserve">Startup guy turned iBanker | Chief Curator - vcBytes Angels | BITSian | Product guy @ 3 VC funded startups | Tetris lover | filer kaapi addict</t>
  </si>
  <si>
    <t xml:space="preserve">Aditya</t>
  </si>
  <si>
    <t xml:space="preserve">julia</t>
  </si>
  <si>
    <t xml:space="preserve">austin tx</t>
  </si>
  <si>
    <t xml:space="preserve">you can't sit with me.</t>
  </si>
  <si>
    <t xml:space="preserve">bill page</t>
  </si>
  <si>
    <t xml:space="preserve">NH</t>
  </si>
  <si>
    <t xml:space="preserve">James Evans</t>
  </si>
  <si>
    <t xml:space="preserve">19 - student/actor/alien</t>
  </si>
  <si>
    <r>
      <rPr>
        <sz val="8"/>
        <rFont val="Noto Sans CJK SC Regular"/>
        <family val="2"/>
      </rPr>
      <t xml:space="preserve">都内で製造業の会社を経営していた父親を持つ、父親の口癖は、</t>
    </r>
    <r>
      <rPr>
        <sz val="8"/>
        <rFont val="Droid Sans"/>
        <family val="0"/>
        <charset val="1"/>
      </rPr>
      <t xml:space="preserve">55</t>
    </r>
    <r>
      <rPr>
        <sz val="8"/>
        <rFont val="Noto Sans CJK SC Regular"/>
        <family val="2"/>
      </rPr>
      <t xml:space="preserve">年間資産を喰う赤字になった事は無い、持ってる金以上は借り入れするな。 自身は医療法人と不動産貸付会社の経営、所有不動産は銀座のコマーシャルビル等都心</t>
    </r>
    <r>
      <rPr>
        <sz val="8"/>
        <rFont val="Droid Sans"/>
        <family val="0"/>
        <charset val="1"/>
      </rPr>
      <t xml:space="preserve">5</t>
    </r>
    <r>
      <rPr>
        <sz val="8"/>
        <rFont val="Noto Sans CJK SC Regular"/>
        <family val="2"/>
      </rPr>
      <t xml:space="preserve">区中心 海外不動産所有 日本株は約</t>
    </r>
    <r>
      <rPr>
        <sz val="8"/>
        <rFont val="Droid Sans"/>
        <family val="0"/>
        <charset val="1"/>
      </rPr>
      <t xml:space="preserve">7</t>
    </r>
    <r>
      <rPr>
        <sz val="8"/>
        <rFont val="Noto Sans CJK SC Regular"/>
        <family val="2"/>
      </rPr>
      <t xml:space="preserve">億運用中 使用車は</t>
    </r>
    <r>
      <rPr>
        <sz val="8"/>
        <rFont val="Droid Sans"/>
        <family val="0"/>
        <charset val="1"/>
      </rPr>
      <t xml:space="preserve">SL</t>
    </r>
    <r>
      <rPr>
        <sz val="8"/>
        <rFont val="Noto Sans CJK SC Regular"/>
        <family val="2"/>
      </rPr>
      <t xml:space="preserve">、改造</t>
    </r>
    <r>
      <rPr>
        <sz val="8"/>
        <rFont val="Droid Sans"/>
        <family val="0"/>
        <charset val="1"/>
      </rPr>
      <t xml:space="preserve">BENTLEY</t>
    </r>
    <r>
      <rPr>
        <sz val="8"/>
        <rFont val="Noto Sans CJK SC Regular"/>
        <family val="2"/>
      </rPr>
      <t xml:space="preserve">、</t>
    </r>
  </si>
  <si>
    <t xml:space="preserve">carolina sucre h</t>
  </si>
  <si>
    <t xml:space="preserve">Shinzo Abe secures strong mandate in Japan's general election https://t.co/LEedGlOKko</t>
  </si>
  <si>
    <t xml:space="preserve">CCS-NCE...South Carolina</t>
  </si>
  <si>
    <t xml:space="preserve">Ciudadana, venezolana. La democracia es asunto de todos ¡Tenemos que rescatarla!</t>
  </si>
  <si>
    <t xml:space="preserve">Devin</t>
  </si>
  <si>
    <t xml:space="preserve">whereever yall not!!!!</t>
  </si>
  <si>
    <t xml:space="preserve">#TEAMJORDEN.E.RAY 061712!!!!</t>
  </si>
  <si>
    <t xml:space="preserve">Here's the latest @qz story about Trump: https://t.co/XHaDrQPZrC</t>
  </si>
  <si>
    <t xml:space="preserve">Erica Housing</t>
  </si>
  <si>
    <t xml:space="preserve">Kr. Pradeep Sharma</t>
  </si>
  <si>
    <t xml:space="preserve">Noida India</t>
  </si>
  <si>
    <t xml:space="preserve">Techno guy-Gizmo-BJP follower by heart-Love Management Tips and follows it !! Jaypee Sufferer since 9 yrs!!!</t>
  </si>
  <si>
    <t xml:space="preserve">PROGRESSIVES 4</t>
  </si>
  <si>
    <t xml:space="preserve">Japanese PM Shinzo Abe &amp; his ruling coalition on course for a landslid in elections, exit polls show. #SundayMorning https://t.co/3ZFjqSbCrx</t>
  </si>
  <si>
    <t xml:space="preserve">Empowering the people through education, organization, and mobilization at the grassroots level. Instagram: https://t.co/fd4urI7fom</t>
  </si>
  <si>
    <t xml:space="preserve">たろ</t>
  </si>
  <si>
    <t xml:space="preserve">Tokyo ÜT: 25.74456,123.46333</t>
  </si>
  <si>
    <t xml:space="preserve">鉄ヲタのオッサンです。あと音楽好き。最近の情勢など気になるものをリツイしております。フォロバは気まぐれです。すみません。</t>
  </si>
  <si>
    <t xml:space="preserve">Ezequiel Aguilar</t>
  </si>
  <si>
    <t xml:space="preserve">RT @Democratic_Rep: Japanese PM Shinzo Abe &amp; his ruling coalition on course for a landslid in elections, exit polls show. #SundayMorning ht…</t>
  </si>
  <si>
    <t xml:space="preserve">Co-founder of Bernie Sanders Brigade Managed Bernie Sanders Brigade Twitter account.</t>
  </si>
  <si>
    <t xml:space="preserve">FROM THE TOP</t>
  </si>
  <si>
    <t xml:space="preserve">San Luis Obispo, CA</t>
  </si>
  <si>
    <t xml:space="preserve">Central Coast Pop Punk.</t>
  </si>
  <si>
    <t xml:space="preserve">Yushi</t>
  </si>
  <si>
    <t xml:space="preserve">Shinzo Abe secures strong mandate in Japan's general election https://t.co/YH360IFOUw</t>
  </si>
  <si>
    <t xml:space="preserve">Sheffield, England</t>
  </si>
  <si>
    <t xml:space="preserve">Master student in East Asian Business/ International Relations/ Modern Japanese history/ NGO/ Japanese/ English/ Français/ Football/ Bookish</t>
  </si>
  <si>
    <t xml:space="preserve">FeelTheBern</t>
  </si>
  <si>
    <t xml:space="preserve">AwkwardBombshell♡</t>
  </si>
  <si>
    <t xml:space="preserve">Florida </t>
  </si>
  <si>
    <t xml:space="preserve">Names Ty24young Coast2Coast Follow Me ♡</t>
  </si>
  <si>
    <t xml:space="preserve">Sarah mercy Alexa</t>
  </si>
  <si>
    <t xml:space="preserve">denver doll</t>
  </si>
  <si>
    <t xml:space="preserve">if i tell you im good, you'll say im boasting but if i tell you im no good you'll know im lying!</t>
  </si>
  <si>
    <t xml:space="preserve">Mukundan TN</t>
  </si>
  <si>
    <t xml:space="preserve">Firm believer that Sanatana Dharma is the medicine for the problems of the world</t>
  </si>
  <si>
    <t xml:space="preserve">RT TFTCS "Here's the latest qz story about Trump: https://t.co/SY5WhNRSJW"</t>
  </si>
  <si>
    <t xml:space="preserve">Lindsey Marie</t>
  </si>
  <si>
    <t xml:space="preserve">Just a midwest girl living in a southern world. ΑΞΔ ❤☀</t>
  </si>
  <si>
    <t xml:space="preserve">Dhirendra</t>
  </si>
  <si>
    <t xml:space="preserve">Indore, India</t>
  </si>
  <si>
    <t xml:space="preserve">Banker interested in economy politics nd hindu religious history. Avid Hindu nd a stauch supporter of Narendra Modi</t>
  </si>
  <si>
    <t xml:space="preserve">Pawan Saklani</t>
  </si>
  <si>
    <t xml:space="preserve">Dehradun</t>
  </si>
  <si>
    <t xml:space="preserve">I am Indian and I Proud to be an Indian</t>
  </si>
  <si>
    <t xml:space="preserve">sakurara</t>
  </si>
  <si>
    <r>
      <rPr>
        <sz val="8"/>
        <rFont val="Noto Sans CJK SC Regular"/>
        <family val="2"/>
      </rPr>
      <t xml:space="preserve">今年こそ拉致被害者の帰国が実現しますように！「日本」を誇りに思い「選挙」に行く人が増えますように！「凛として愛」「花うさぎさんブログ」も拡散応援中です。</t>
    </r>
    <r>
      <rPr>
        <sz val="8"/>
        <rFont val="Droid Sans"/>
        <family val="0"/>
        <charset val="1"/>
      </rPr>
      <t xml:space="preserve">http://t.co/j8ETImC4pU</t>
    </r>
  </si>
  <si>
    <t xml:space="preserve">Not So Mellow D</t>
  </si>
  <si>
    <t xml:space="preserve">Kentucky, USA</t>
  </si>
  <si>
    <t xml:space="preserve">Progressive US based writer, curator seeking work, collaboration, projects. DM or msg blog for info. Seeks Truth. Resisting fascism. Blocked by Peter Daou.</t>
  </si>
  <si>
    <t xml:space="preserve">Chris</t>
  </si>
  <si>
    <t xml:space="preserve">bottymcbottica</t>
  </si>
  <si>
    <t xml:space="preserve">Insanity: doing the same thing over and over again and expecting different results.</t>
  </si>
  <si>
    <t xml:space="preserve">bubba jaurequi 🔹</t>
  </si>
  <si>
    <t xml:space="preserve">"I think Japan should protect itself... Missiles have been flying over, but I don’t think the U.S. will protect us." https://t.co/agNz3vYNVJ</t>
  </si>
  <si>
    <t xml:space="preserve">U.C.B. </t>
  </si>
  <si>
    <t xml:space="preserve">Ask about our Old-Time Cure-All Elixer. It's good for what ails you. Country &amp; Western, Country Blues, Gutbucket Blues, Bluegrass, Gospel, Soul.</t>
  </si>
  <si>
    <t xml:space="preserve">Richard Gonzales</t>
  </si>
  <si>
    <t xml:space="preserve">Hayward, California </t>
  </si>
  <si>
    <t xml:space="preserve">HBKGang|$hmopBoyz|Cole World</t>
  </si>
  <si>
    <t xml:space="preserve">Suranie De Silva</t>
  </si>
  <si>
    <t xml:space="preserve">Sri Lanka </t>
  </si>
  <si>
    <t xml:space="preserve">Child of Most High God, Jesus is my saviour. Family - my strength. Nieces &amp; Nephew - my world. Professional banker. Crazy abt sport, music, dancing &amp; reading.</t>
  </si>
  <si>
    <t xml:space="preserve">Mrigank ~ HMP</t>
  </si>
  <si>
    <t xml:space="preserve">ग़लतफहमी </t>
  </si>
  <si>
    <t xml:space="preserve">Nice Guys Finish Last!</t>
  </si>
  <si>
    <t xml:space="preserve">Al Jazeera / “Japan's PM Shinzo Abe poised to win snap election - YouTube” https://t.co/vTjJxi2seC</t>
  </si>
  <si>
    <r>
      <rPr>
        <sz val="8"/>
        <rFont val="Noto Sans CJK SC Regular"/>
        <family val="2"/>
      </rPr>
      <t xml:space="preserve">橋本英樹 </t>
    </r>
    <r>
      <rPr>
        <sz val="8"/>
        <rFont val="Droid Sans"/>
        <family val="0"/>
        <charset val="1"/>
      </rPr>
      <t xml:space="preserve">28</t>
    </r>
    <r>
      <rPr>
        <sz val="8"/>
        <rFont val="Noto Sans CJK SC Regular"/>
        <family val="2"/>
      </rPr>
      <t xml:space="preserve">日日光霧降</t>
    </r>
  </si>
  <si>
    <r>
      <rPr>
        <sz val="8"/>
        <rFont val="Noto Sans CJK SC Regular"/>
        <family val="2"/>
      </rPr>
      <t xml:space="preserve">安倍政権支持、保守思想、巨人及び</t>
    </r>
    <r>
      <rPr>
        <sz val="8"/>
        <rFont val="Droid Sans"/>
        <family val="0"/>
        <charset val="1"/>
      </rPr>
      <t xml:space="preserve">MLB</t>
    </r>
    <r>
      <rPr>
        <sz val="8"/>
        <rFont val="Noto Sans CJK SC Regular"/>
        <family val="2"/>
      </rPr>
      <t xml:space="preserve">好き、日光アイスバックスをはじめアジアリーグ、</t>
    </r>
    <r>
      <rPr>
        <sz val="8"/>
        <rFont val="Droid Sans"/>
        <family val="0"/>
        <charset val="1"/>
      </rPr>
      <t xml:space="preserve">NHL</t>
    </r>
    <r>
      <rPr>
        <sz val="8"/>
        <rFont val="Noto Sans CJK SC Regular"/>
        <family val="2"/>
      </rPr>
      <t xml:space="preserve">アイスホッケー観戦、欧州サッカー観戦好き、池袋の猫カフェねころび通い、ビートルズ、ポールマッカートニー、クイーン、自衛隊音楽隊をはじめ吹奏楽好き、たまに飛行機写真の撮影もします。様々な</t>
    </r>
    <r>
      <rPr>
        <sz val="8"/>
        <rFont val="Droid Sans"/>
        <family val="0"/>
        <charset val="1"/>
      </rPr>
      <t xml:space="preserve">RT</t>
    </r>
    <r>
      <rPr>
        <sz val="8"/>
        <rFont val="Noto Sans CJK SC Regular"/>
        <family val="2"/>
      </rPr>
      <t xml:space="preserve">多め、良かったらファローして下さい。</t>
    </r>
  </si>
  <si>
    <t xml:space="preserve">jas1thdola</t>
  </si>
  <si>
    <t xml:space="preserve">Indian.I care for our motherland</t>
  </si>
  <si>
    <t xml:space="preserve">Baibhav Pandey</t>
  </si>
  <si>
    <t xml:space="preserve">Sarcasm, humour, meme, jokes. 24*7 twitter access.</t>
  </si>
  <si>
    <t xml:space="preserve">Valery</t>
  </si>
  <si>
    <t xml:space="preserve">Russia,Novosibirsk</t>
  </si>
  <si>
    <t xml:space="preserve">эмоциональный импотент</t>
  </si>
  <si>
    <t xml:space="preserve">Michael Hewson 🇬🇧</t>
  </si>
  <si>
    <t xml:space="preserve">Shinzo Abe gains big victory in Japan election https://t.co/ycAOMDnVc2 via @FT</t>
  </si>
  <si>
    <t xml:space="preserve">City of London, London - Re-tweet does not mean I agree</t>
  </si>
  <si>
    <t xml:space="preserve">Chief Mkt Analyst, @CMCMarkets 20+ years exp in trading FX. Arsenal fan. Content is not advice. Personal circumstances not considered. Views expressed are mine.</t>
  </si>
  <si>
    <r>
      <rPr>
        <sz val="8"/>
        <rFont val="Noto Sans CJK SC Regular"/>
        <family val="2"/>
      </rPr>
      <t xml:space="preserve">本田桜</t>
    </r>
    <r>
      <rPr>
        <sz val="8"/>
        <rFont val="Droid Sans"/>
        <family val="0"/>
        <charset val="1"/>
      </rPr>
      <t xml:space="preserve">*❀٭</t>
    </r>
    <r>
      <rPr>
        <sz val="8"/>
        <rFont val="Noto Sans CJK SC Regular"/>
        <family val="2"/>
      </rPr>
      <t xml:space="preserve">多忙中🇯🇵</t>
    </r>
  </si>
  <si>
    <t xml:space="preserve">奈良生まれの横浜育ち</t>
  </si>
  <si>
    <r>
      <rPr>
        <sz val="8"/>
        <rFont val="Noto Sans CJK SC Regular"/>
        <family val="2"/>
      </rPr>
      <t xml:space="preserve">皇御國弥栄╭</t>
    </r>
    <r>
      <rPr>
        <sz val="8"/>
        <rFont val="Droid Sans"/>
        <family val="0"/>
        <charset val="1"/>
      </rPr>
      <t xml:space="preserve">( </t>
    </r>
    <r>
      <rPr>
        <sz val="8"/>
        <rFont val="Noto Sans CJK SC Regular"/>
        <family val="2"/>
      </rPr>
      <t xml:space="preserve">･ㅂ･</t>
    </r>
    <r>
      <rPr>
        <sz val="8"/>
        <rFont val="Droid Sans"/>
        <family val="0"/>
        <charset val="1"/>
      </rPr>
      <t xml:space="preserve">)و ̑̑ </t>
    </r>
    <r>
      <rPr>
        <sz val="8"/>
        <rFont val="Noto Sans CJK SC Regular"/>
        <family val="2"/>
      </rPr>
      <t xml:space="preserve">品格ある我が国の美しい君が代に誇りを持っています。たまに皮肉･毒吐きます。行間を読める人が好き </t>
    </r>
    <r>
      <rPr>
        <sz val="8"/>
        <rFont val="Droid Sans"/>
        <family val="0"/>
        <charset val="1"/>
      </rPr>
      <t xml:space="preserve">CELLO♪</t>
    </r>
    <r>
      <rPr>
        <sz val="8"/>
        <rFont val="Noto Sans CJK SC Regular"/>
        <family val="2"/>
      </rPr>
      <t xml:space="preserve">･スポーツ･城･神社･伝統工芸･ </t>
    </r>
    <r>
      <rPr>
        <sz val="8"/>
        <rFont val="Droid Sans"/>
        <family val="0"/>
        <charset val="1"/>
      </rPr>
      <t xml:space="preserve">kokkai</t>
    </r>
    <r>
      <rPr>
        <sz val="8"/>
        <rFont val="Noto Sans CJK SC Regular"/>
        <family val="2"/>
      </rPr>
      <t xml:space="preserve">ｸﾗｽﾀ</t>
    </r>
    <r>
      <rPr>
        <sz val="8"/>
        <rFont val="Droid Sans"/>
        <family val="0"/>
        <charset val="1"/>
      </rPr>
      <t xml:space="preserve">/</t>
    </r>
    <r>
      <rPr>
        <sz val="8"/>
        <rFont val="Noto Sans CJK SC Regular"/>
        <family val="2"/>
      </rPr>
      <t xml:space="preserve">安倍政権支持</t>
    </r>
    <r>
      <rPr>
        <sz val="8"/>
        <rFont val="Droid Sans"/>
        <family val="0"/>
        <charset val="1"/>
      </rPr>
      <t xml:space="preserve">/</t>
    </r>
    <r>
      <rPr>
        <sz val="8"/>
        <rFont val="Noto Sans CJK SC Regular"/>
        <family val="2"/>
      </rPr>
      <t xml:space="preserve">拉致被害者奪還</t>
    </r>
    <r>
      <rPr>
        <sz val="8"/>
        <rFont val="Droid Sans"/>
        <family val="0"/>
        <charset val="1"/>
      </rPr>
      <t xml:space="preserve">// </t>
    </r>
    <r>
      <rPr>
        <sz val="8"/>
        <rFont val="Noto Sans CJK SC Regular"/>
        <family val="2"/>
      </rPr>
      <t xml:space="preserve">《特技》舌打ち </t>
    </r>
    <r>
      <rPr>
        <sz val="8"/>
        <rFont val="Droid Sans"/>
        <family val="0"/>
        <charset val="1"/>
      </rPr>
      <t xml:space="preserve">( •´∀•` ) </t>
    </r>
    <r>
      <rPr>
        <sz val="8"/>
        <rFont val="Noto Sans CJK SC Regular"/>
        <family val="2"/>
      </rPr>
      <t xml:space="preserve">お気軽にフォローどうぞ</t>
    </r>
  </si>
  <si>
    <t xml:space="preserve">Jeff Herman</t>
  </si>
  <si>
    <t xml:space="preserve">England my England</t>
  </si>
  <si>
    <t xml:space="preserve">I am tired of the poisonous media, sick of their refusal to cover what is really happening in this world. I have cancelled my TV licence in protest!!</t>
  </si>
  <si>
    <t xml:space="preserve">Kan Yuenyong</t>
  </si>
  <si>
    <t xml:space="preserve">Twitter for Mac</t>
  </si>
  <si>
    <r>
      <rPr>
        <sz val="8"/>
        <rFont val="Droid Sans"/>
        <family val="0"/>
        <charset val="1"/>
      </rPr>
      <t xml:space="preserve">I work as a Geopolitical strategist. Sikkha is Pali means शिखा, </t>
    </r>
    <r>
      <rPr>
        <sz val="8"/>
        <rFont val="Noto Sans CJK SC Regular"/>
        <family val="2"/>
      </rPr>
      <t xml:space="preserve">研究</t>
    </r>
    <r>
      <rPr>
        <sz val="8"/>
        <rFont val="Droid Sans"/>
        <family val="0"/>
        <charset val="1"/>
      </rPr>
      <t xml:space="preserve">, μανθάνω or study, to remind myself to study, to exchange idea with people. RT ≠ Endorsement</t>
    </r>
  </si>
  <si>
    <t xml:space="preserve">(((Phroexus)))</t>
  </si>
  <si>
    <t xml:space="preserve">RT @mhewson_CMC: Shinzo Abe gains big victory in Japan election https://t.co/ycAOMDnVc2 via @FT</t>
  </si>
  <si>
    <t xml:space="preserve">Scripta manent, verba volant, tweets flutter</t>
  </si>
  <si>
    <t xml:space="preserve">ﾗﾌｧｴﾙｳﾙﾄﾗ 偏向報道</t>
  </si>
  <si>
    <r>
      <rPr>
        <sz val="8"/>
        <rFont val="Noto Sans CJK SC Regular"/>
        <family val="2"/>
      </rPr>
      <t xml:space="preserve">日本国と純日本国民と安倍総理を中朝韓から守ろう。 </t>
    </r>
    <r>
      <rPr>
        <sz val="8"/>
        <rFont val="Droid Sans"/>
        <family val="0"/>
        <charset val="1"/>
      </rPr>
      <t xml:space="preserve">#</t>
    </r>
    <r>
      <rPr>
        <sz val="8"/>
        <rFont val="Noto Sans CJK SC Regular"/>
        <family val="2"/>
      </rPr>
      <t xml:space="preserve">安倍総理支持 </t>
    </r>
    <r>
      <rPr>
        <sz val="8"/>
        <rFont val="Droid Sans"/>
        <family val="0"/>
        <charset val="1"/>
      </rPr>
      <t xml:space="preserve">#</t>
    </r>
    <r>
      <rPr>
        <sz val="8"/>
        <rFont val="Noto Sans CJK SC Regular"/>
        <family val="2"/>
      </rPr>
      <t xml:space="preserve">自民党一択 </t>
    </r>
    <r>
      <rPr>
        <sz val="8"/>
        <rFont val="Droid Sans"/>
        <family val="0"/>
        <charset val="1"/>
      </rPr>
      <t xml:space="preserve">#</t>
    </r>
    <r>
      <rPr>
        <sz val="8"/>
        <rFont val="Noto Sans CJK SC Regular"/>
        <family val="2"/>
      </rPr>
      <t xml:space="preserve">安倍総理応援団 </t>
    </r>
    <r>
      <rPr>
        <sz val="8"/>
        <rFont val="Droid Sans"/>
        <family val="0"/>
        <charset val="1"/>
      </rPr>
      <t xml:space="preserve">#</t>
    </r>
    <r>
      <rPr>
        <sz val="8"/>
        <rFont val="Noto Sans CJK SC Regular"/>
        <family val="2"/>
      </rPr>
      <t xml:space="preserve">偏向報道 </t>
    </r>
    <r>
      <rPr>
        <sz val="8"/>
        <rFont val="Droid Sans"/>
        <family val="0"/>
        <charset val="1"/>
      </rPr>
      <t xml:space="preserve">#</t>
    </r>
    <r>
      <rPr>
        <sz val="8"/>
        <rFont val="Noto Sans CJK SC Regular"/>
        <family val="2"/>
      </rPr>
      <t xml:space="preserve">日本のこころ </t>
    </r>
    <r>
      <rPr>
        <sz val="8"/>
        <rFont val="Droid Sans"/>
        <family val="0"/>
        <charset val="1"/>
      </rPr>
      <t xml:space="preserve">#</t>
    </r>
    <r>
      <rPr>
        <sz val="8"/>
        <rFont val="Noto Sans CJK SC Regular"/>
        <family val="2"/>
      </rPr>
      <t xml:space="preserve">赤尾由美 </t>
    </r>
    <r>
      <rPr>
        <sz val="8"/>
        <rFont val="Droid Sans"/>
        <family val="0"/>
        <charset val="1"/>
      </rPr>
      <t xml:space="preserve">#</t>
    </r>
    <r>
      <rPr>
        <sz val="8"/>
        <rFont val="Noto Sans CJK SC Regular"/>
        <family val="2"/>
      </rPr>
      <t xml:space="preserve">外国人参政権絶対反対 </t>
    </r>
    <r>
      <rPr>
        <sz val="8"/>
        <rFont val="Droid Sans"/>
        <family val="0"/>
        <charset val="1"/>
      </rPr>
      <t xml:space="preserve">#</t>
    </r>
    <r>
      <rPr>
        <sz val="8"/>
        <rFont val="Noto Sans CJK SC Regular"/>
        <family val="2"/>
      </rPr>
      <t xml:space="preserve">公務員試験採用に国籍制限 </t>
    </r>
    <r>
      <rPr>
        <sz val="8"/>
        <rFont val="Droid Sans"/>
        <family val="0"/>
        <charset val="1"/>
      </rPr>
      <t xml:space="preserve">#</t>
    </r>
    <r>
      <rPr>
        <sz val="8"/>
        <rFont val="Noto Sans CJK SC Regular"/>
        <family val="2"/>
      </rPr>
      <t xml:space="preserve">朝鮮学校補助金廃止 </t>
    </r>
    <r>
      <rPr>
        <sz val="8"/>
        <rFont val="Droid Sans"/>
        <family val="0"/>
        <charset val="1"/>
      </rPr>
      <t xml:space="preserve">#</t>
    </r>
    <r>
      <rPr>
        <sz val="8"/>
        <rFont val="Noto Sans CJK SC Regular"/>
        <family val="2"/>
      </rPr>
      <t xml:space="preserve">立憲民主党だけはダメだ </t>
    </r>
    <r>
      <rPr>
        <sz val="8"/>
        <rFont val="Droid Sans"/>
        <family val="0"/>
        <charset val="1"/>
      </rPr>
      <t xml:space="preserve">#TBS #</t>
    </r>
    <r>
      <rPr>
        <sz val="8"/>
        <rFont val="Noto Sans CJK SC Regular"/>
        <family val="2"/>
      </rPr>
      <t xml:space="preserve">テレビ朝日 </t>
    </r>
    <r>
      <rPr>
        <sz val="8"/>
        <rFont val="Droid Sans"/>
        <family val="0"/>
        <charset val="1"/>
      </rPr>
      <t xml:space="preserve">#</t>
    </r>
    <r>
      <rPr>
        <sz val="8"/>
        <rFont val="Noto Sans CJK SC Regular"/>
        <family val="2"/>
      </rPr>
      <t xml:space="preserve">朝日新聞 </t>
    </r>
    <r>
      <rPr>
        <sz val="8"/>
        <rFont val="Droid Sans"/>
        <family val="0"/>
        <charset val="1"/>
      </rPr>
      <t xml:space="preserve">#</t>
    </r>
    <r>
      <rPr>
        <sz val="8"/>
        <rFont val="Noto Sans CJK SC Regular"/>
        <family val="2"/>
      </rPr>
      <t xml:space="preserve">毎日新聞 </t>
    </r>
    <r>
      <rPr>
        <sz val="8"/>
        <rFont val="Droid Sans"/>
        <family val="0"/>
        <charset val="1"/>
      </rPr>
      <t xml:space="preserve">#</t>
    </r>
    <r>
      <rPr>
        <sz val="8"/>
        <rFont val="Noto Sans CJK SC Regular"/>
        <family val="2"/>
      </rPr>
      <t xml:space="preserve">報道ステーション</t>
    </r>
  </si>
  <si>
    <t xml:space="preserve">RAGHU VAMSHEE M</t>
  </si>
  <si>
    <t xml:space="preserve">firm supporter of BJP. Looking forward to 'Modi'fy India. Knowledge hungry. Violin, Carnatic Classical music, Movies. Fan of Pawan Kalyan, Trivikram</t>
  </si>
  <si>
    <t xml:space="preserve">OldSkoolBailey</t>
  </si>
  <si>
    <t xml:space="preserve">BX~NY</t>
  </si>
  <si>
    <t xml:space="preserve">praneeth kumar reddy</t>
  </si>
  <si>
    <t xml:space="preserve">JK</t>
  </si>
  <si>
    <t xml:space="preserve">Then when they came for me, there was no one left to speak out...| RT's are not necessarily endorsements.</t>
  </si>
  <si>
    <t xml:space="preserve">Vagner Brito</t>
  </si>
  <si>
    <t xml:space="preserve">Japan's PM Shinzo Abe poised to win snap election https://t.co/NQUrMSZgUj via @YouTube</t>
  </si>
  <si>
    <t xml:space="preserve">Sou extremamente curioso e terno , porém sem perder a dureza do olhar objetivo.Quero aprender, pois a existência é uma constante descoberta.</t>
  </si>
  <si>
    <t xml:space="preserve">Humans Rights</t>
  </si>
  <si>
    <t xml:space="preserve">Election Risk Pays Off for Shinzo Abe of Japan as Party Appears to Win Big https://t.co/MCbomHmk8N https://t.co/zADmSESZSk</t>
  </si>
  <si>
    <t xml:space="preserve">Human deserves rights everywhere</t>
  </si>
  <si>
    <t xml:space="preserve">choco</t>
  </si>
  <si>
    <t xml:space="preserve">東京 世田谷区</t>
  </si>
  <si>
    <t xml:space="preserve">兼業です。株やってます。よろしくお願いします。</t>
  </si>
  <si>
    <t xml:space="preserve">Jake Sanchez</t>
  </si>
  <si>
    <t xml:space="preserve">Omaha, NE</t>
  </si>
  <si>
    <t xml:space="preserve">I perform vocals for the band Plague Upon Thee. Although I perform vocals for the band, i also play guitar, bass, and drums.</t>
  </si>
  <si>
    <t xml:space="preserve">Shonna</t>
  </si>
  <si>
    <t xml:space="preserve">Election Risk Pays Off for Shinzo Abe of Japan as Party Appears to Win Big - The New York Times https://t.co/VuKbgJdcMc</t>
  </si>
  <si>
    <t xml:space="preserve">none ya business :-)</t>
  </si>
  <si>
    <t xml:space="preserve">Mother, Daughter, Sister, Friend. I'm a Very Proud Black Woman; but I love people of all races &amp; religions. We are all Gods children 🙏🏾💞</t>
  </si>
  <si>
    <t xml:space="preserve">Alif Eronat</t>
  </si>
  <si>
    <t xml:space="preserve">Japan's PM Shinzo Abe poised to win snap election https://t.co/rYCl5Fm64V https://t.co/WJhHk2RWnl</t>
  </si>
  <si>
    <t xml:space="preserve">Turkey</t>
  </si>
  <si>
    <t xml:space="preserve">ANURAG ARORA</t>
  </si>
  <si>
    <t xml:space="preserve">Jalandhar, India</t>
  </si>
  <si>
    <t xml:space="preserve">MP</t>
  </si>
  <si>
    <t xml:space="preserve">✈️</t>
  </si>
  <si>
    <t xml:space="preserve">Bipolar vagrant, will work for shoes. Retweet curator.</t>
  </si>
  <si>
    <t xml:space="preserve">Domingos Cruz</t>
  </si>
  <si>
    <t xml:space="preserve">BRASIL-SP</t>
  </si>
  <si>
    <t xml:space="preserve">Brasileiro,residente em S.Paulo. Visitador da revista eletrônica VOZ da RUSSIA,á qual aprecio muito,por abranger assuntos diversos,principalmente na area de d</t>
  </si>
  <si>
    <t xml:space="preserve">DrugDesigns</t>
  </si>
  <si>
    <t xml:space="preserve">Shinzo Abe secures strong mandate in Japan's general election https://t.co/2SPEeW3oC5</t>
  </si>
  <si>
    <t xml:space="preserve">Bristol (UK) and Lyon (France)</t>
  </si>
  <si>
    <t xml:space="preserve">Molecular microbiologist on AMR frontline, aiming to bring new mechanism of action antibacterials to market. Mother of 3 &amp; lover of un scénariste. Keen gardener</t>
  </si>
  <si>
    <t xml:space="preserve">Emy Nerissa</t>
  </si>
  <si>
    <t xml:space="preserve">Louisiana, USA</t>
  </si>
  <si>
    <t xml:space="preserve">what will you do without freedom?</t>
  </si>
  <si>
    <t xml:space="preserve">山田小五郎太</t>
  </si>
  <si>
    <t xml:space="preserve">サラリーマン</t>
  </si>
  <si>
    <t xml:space="preserve">雑言あかうんと</t>
  </si>
  <si>
    <r>
      <rPr>
        <sz val="8"/>
        <rFont val="Noto Sans CJK SC Regular"/>
        <family val="2"/>
      </rPr>
      <t xml:space="preserve">東京</t>
    </r>
    <r>
      <rPr>
        <sz val="8"/>
        <rFont val="Droid Sans"/>
        <family val="0"/>
        <charset val="1"/>
      </rPr>
      <t xml:space="preserve">23</t>
    </r>
    <r>
      <rPr>
        <sz val="8"/>
        <rFont val="Noto Sans CJK SC Regular"/>
        <family val="2"/>
      </rPr>
      <t xml:space="preserve">区内</t>
    </r>
  </si>
  <si>
    <r>
      <rPr>
        <sz val="8"/>
        <rFont val="Noto Sans CJK SC Regular"/>
        <family val="2"/>
      </rPr>
      <t xml:space="preserve">反日な人が嫌い。偏りの報道も嫌い。「</t>
    </r>
    <r>
      <rPr>
        <sz val="8"/>
        <rFont val="Droid Sans"/>
        <family val="0"/>
        <charset val="1"/>
      </rPr>
      <t xml:space="preserve">NO RACISM</t>
    </r>
    <r>
      <rPr>
        <sz val="8"/>
        <rFont val="Noto Sans CJK SC Regular"/>
        <family val="2"/>
      </rPr>
      <t xml:space="preserve">」と言う人ほど「 </t>
    </r>
    <r>
      <rPr>
        <sz val="8"/>
        <rFont val="Droid Sans"/>
        <family val="0"/>
        <charset val="1"/>
      </rPr>
      <t xml:space="preserve">RACISM</t>
    </r>
    <r>
      <rPr>
        <sz val="8"/>
        <rFont val="Noto Sans CJK SC Regular"/>
        <family val="2"/>
      </rPr>
      <t xml:space="preserve">」だと思う今日この頃。アベニクシーな人とは話が合いません。前後の言葉も理解せず私はこんな人たち側と騒ぐ人とも話が合いません。テレビに洗脳されちゃう無知な人とも話が合いません。無言フォローすみません。</t>
    </r>
    <r>
      <rPr>
        <sz val="8"/>
        <rFont val="Droid Sans"/>
        <family val="0"/>
        <charset val="1"/>
      </rPr>
      <t xml:space="preserve">RT</t>
    </r>
    <r>
      <rPr>
        <sz val="8"/>
        <rFont val="Noto Sans CJK SC Regular"/>
        <family val="2"/>
      </rPr>
      <t xml:space="preserve">多目。フォローありがとうございます</t>
    </r>
  </si>
  <si>
    <t xml:space="preserve">Muhammad Sajid</t>
  </si>
  <si>
    <t xml:space="preserve">Shinzo Abe sweeps to a comfortable victory in Japan snap election https://t.co/2EQ70d8kmb</t>
  </si>
  <si>
    <t xml:space="preserve">Skardu, GilgitBaltistan, Pakistan</t>
  </si>
  <si>
    <t xml:space="preserve">Wanderlust #Balti, Proud #Pakistan-i, Pacifist #Muslim, Heterodox #Human, Nature #Lover, Interest in IR. Aim to ascent Chogoree(K2) in near future</t>
  </si>
  <si>
    <t xml:space="preserve">Japan's PM Shinzo Abe poised to win snap election https://t.co/B0JAa4zNr1 #breaking #world #news #video #today #watch #aljazeera</t>
  </si>
  <si>
    <t xml:space="preserve">Sam</t>
  </si>
  <si>
    <t xml:space="preserve">Japan's PM Shinzo Abe poised to win snap election https://t.co/lSOjz4Rzbe</t>
  </si>
  <si>
    <t xml:space="preserve">Just a good ol' boy from the south, married to a doctor.</t>
  </si>
  <si>
    <t xml:space="preserve">Alsnova</t>
  </si>
  <si>
    <t xml:space="preserve">大瀧詠一、ナイアガラのファンです。</t>
  </si>
  <si>
    <t xml:space="preserve">honest,straight forward,light hearted,nationalist,god loving &amp; fearing</t>
  </si>
  <si>
    <t xml:space="preserve">Vivek Gupta</t>
  </si>
  <si>
    <t xml:space="preserve">Discovering myself☺</t>
  </si>
  <si>
    <t xml:space="preserve">Onkar Pandey</t>
  </si>
  <si>
    <t xml:space="preserve">Shinzo Abe sweeps to resounding victory in Japan election https://t.co/xJC0t4faD5</t>
  </si>
  <si>
    <t xml:space="preserve">Pune, Nagpur - India</t>
  </si>
  <si>
    <t xml:space="preserve">Techie, Software, #Innovation Mgmt #Startups, #technology, #AI, Nationalist, Honoured to be followed by PM Shri @narendramodi views are personal, RT≠Endorsement</t>
  </si>
  <si>
    <t xml:space="preserve">ConspiracyDailyUpdat</t>
  </si>
  <si>
    <t xml:space="preserve">Shinzo Abe wins Re-Election as Typhoon Lan hits Japan https://t.co/CZ33chkrLv https://t.co/xR3uN81pNZ</t>
  </si>
  <si>
    <t xml:space="preserve">Perth Australia</t>
  </si>
  <si>
    <t xml:space="preserve">a part of the movement to Truth! The world is about to change and everything is ALL GOOD! This is a chronicle of the changes. I am a TRUTHER!</t>
  </si>
  <si>
    <t xml:space="preserve">Lisseth Nava</t>
  </si>
  <si>
    <t xml:space="preserve">Japan's PM Shinzo Abe poised to win snap election @AJEnglish https://t.co/VWsQHuGHGf</t>
  </si>
  <si>
    <t xml:space="preserve">México</t>
  </si>
  <si>
    <t xml:space="preserve">Humanities and Social Sciences, focus on Public Policies &amp; Development, ITESM. Topics: politics, economy, arts, literature, innovation and technology.</t>
  </si>
  <si>
    <t xml:space="preserve">SATYA RANJAN NAYAK</t>
  </si>
  <si>
    <t xml:space="preserve">Bhubaneswar,Odisha</t>
  </si>
  <si>
    <t xml:space="preserve">かめ吉</t>
  </si>
  <si>
    <t xml:space="preserve">安倍総理支持。安倍総理だから自民党支持。これ極めて単純な話。😊</t>
  </si>
  <si>
    <t xml:space="preserve">atul</t>
  </si>
  <si>
    <t xml:space="preserve">Pro market, RW, Athiest. Dislike communists, pseudo-seculars, AAPtards &amp; 'Adarsh Liberals'. Pro climate &amp; species conservation. Sports enthusiast.</t>
  </si>
  <si>
    <t xml:space="preserve">Ar. Kr.</t>
  </si>
  <si>
    <t xml:space="preserve">Virtue Signalling is cancer..</t>
  </si>
  <si>
    <t xml:space="preserve">Renee Nixon</t>
  </si>
  <si>
    <t xml:space="preserve">RT @STEWARDmag: Election Risk Pays Off for Shinzo Abe of Japan as Party Appears to Win Big https://t.co/lzNDzWE5AY</t>
  </si>
  <si>
    <t xml:space="preserve">Shinzo Abe secures strong mandate in Japan's general election https://t.co/7rTtXP5pPE</t>
  </si>
  <si>
    <t xml:space="preserve">Shinzo Abe just moved closer to becoming Japan’s longest-serving leader https://t.co/1JZ3qMqnEv</t>
  </si>
  <si>
    <r>
      <rPr>
        <sz val="8"/>
        <rFont val="Noto Sans CJK SC Regular"/>
        <family val="2"/>
      </rPr>
      <t xml:space="preserve">中年男</t>
    </r>
    <r>
      <rPr>
        <sz val="8"/>
        <rFont val="Droid Sans"/>
        <family val="0"/>
        <charset val="1"/>
      </rPr>
      <t xml:space="preserve">@</t>
    </r>
    <r>
      <rPr>
        <sz val="8"/>
        <rFont val="Noto Sans CJK SC Regular"/>
        <family val="2"/>
      </rPr>
      <t xml:space="preserve">やんちゃ雄猫</t>
    </r>
  </si>
  <si>
    <t xml:space="preserve">都立両国高校／早稲田大学政経・政治学科卒／零細企業代表 日本国をこよなく愛する中年男</t>
  </si>
  <si>
    <t xml:space="preserve">Ram</t>
  </si>
  <si>
    <t xml:space="preserve">Temple, TX</t>
  </si>
  <si>
    <t xml:space="preserve">Fellow Neonatology, Baylor Scott &amp; White Healthcare</t>
  </si>
  <si>
    <t xml:space="preserve">julie</t>
  </si>
  <si>
    <t xml:space="preserve">Election Risk Pays Off for Shinzo Abe of Japan as Party Appears to Win Big - The New York Times https://t.co/AxL0H1OHPN</t>
  </si>
  <si>
    <t xml:space="preserve">#Election2016 Arts Books Business &amp; Finance News Fashion &amp; Beauty Food &amp; Drink Health History Travel NBA NFL Music Pop Culture Politics #imstillwithher</t>
  </si>
  <si>
    <t xml:space="preserve">Santanu Chatterjee</t>
  </si>
  <si>
    <t xml:space="preserve"> 22.7081183, 88.3777102</t>
  </si>
  <si>
    <t xml:space="preserve">News junkie. Now Chief Copy Editor of ABP News Network. Never like to meet a pretender. Vivid critic of hypocrite netas. Links, RT Not Endorsement.</t>
  </si>
  <si>
    <t xml:space="preserve">RT qz "Shinzo Abe just moved closer to becoming Japan’s longest-serving leader https://t.co/Dnn8N2EFv9"</t>
  </si>
  <si>
    <r>
      <rPr>
        <sz val="8"/>
        <rFont val="Noto Sans CJK SC Regular"/>
        <family val="2"/>
      </rPr>
      <t xml:space="preserve">『</t>
    </r>
    <r>
      <rPr>
        <sz val="8"/>
        <rFont val="Droid Sans"/>
        <family val="0"/>
        <charset val="1"/>
      </rPr>
      <t xml:space="preserve">53</t>
    </r>
    <r>
      <rPr>
        <sz val="8"/>
        <rFont val="Noto Sans CJK SC Regular"/>
        <family val="2"/>
      </rPr>
      <t xml:space="preserve">』</t>
    </r>
  </si>
  <si>
    <t xml:space="preserve">Shinzo Abe secures strong mandate in Japan's general election https://t.co/cITkyB7RPb</t>
  </si>
  <si>
    <t xml:space="preserve">霞町→青山→用賀→港北→関内→那須→小田原→八戸→調布</t>
  </si>
  <si>
    <r>
      <rPr>
        <sz val="8"/>
        <rFont val="Noto Sans CJK SC Regular"/>
        <family val="2"/>
      </rPr>
      <t xml:space="preserve">企業再生ファンドにより特攻させられる流浪のマーケター 再生支援先の食品メーカー執行役員を</t>
    </r>
    <r>
      <rPr>
        <sz val="8"/>
        <rFont val="Droid Sans"/>
        <family val="0"/>
        <charset val="1"/>
      </rPr>
      <t xml:space="preserve">9/30</t>
    </r>
    <r>
      <rPr>
        <sz val="8"/>
        <rFont val="Noto Sans CJK SC Regular"/>
        <family val="2"/>
      </rPr>
      <t xml:space="preserve">に退任。</t>
    </r>
    <r>
      <rPr>
        <sz val="8"/>
        <rFont val="Droid Sans"/>
        <family val="0"/>
        <charset val="1"/>
      </rPr>
      <t xml:space="preserve">10</t>
    </r>
    <r>
      <rPr>
        <sz val="8"/>
        <rFont val="Noto Sans CJK SC Regular"/>
        <family val="2"/>
      </rPr>
      <t xml:space="preserve">月から東京に戻り、家族が増えました。柴犬「よもぎ」です。コブタワークス </t>
    </r>
    <r>
      <rPr>
        <sz val="8"/>
        <rFont val="Droid Sans"/>
        <family val="0"/>
        <charset val="1"/>
      </rPr>
      <t xml:space="preserve">CAO.</t>
    </r>
    <r>
      <rPr>
        <sz val="8"/>
        <rFont val="Noto Sans CJK SC Regular"/>
        <family val="2"/>
      </rPr>
      <t xml:space="preserve">（最高アル中責任者</t>
    </r>
    <r>
      <rPr>
        <sz val="8"/>
        <rFont val="Droid Sans"/>
        <family val="0"/>
        <charset val="1"/>
      </rPr>
      <t xml:space="preserve">)</t>
    </r>
  </si>
  <si>
    <t xml:space="preserve">Market Guru</t>
  </si>
  <si>
    <t xml:space="preserve">Yahin kahin </t>
  </si>
  <si>
    <t xml:space="preserve">Life is too short to be serious... Tweets are my intellectual property.... Never ever ever ever consider RTs as Endorsements ;)</t>
  </si>
  <si>
    <t xml:space="preserve">Jason Burger</t>
  </si>
  <si>
    <t xml:space="preserve">RT @53dayo: Shinzo Abe secures strong mandate in Japan's general election https://t.co/cITkyB7RPb</t>
  </si>
  <si>
    <t xml:space="preserve">Elgin, IL</t>
  </si>
  <si>
    <t xml:space="preserve">EHS 2020</t>
  </si>
  <si>
    <t xml:space="preserve">Greg Gaylor</t>
  </si>
  <si>
    <t xml:space="preserve">Election Risk Pays Off for Shinzo Abe of Japan as Party Appears to Win Big - The New York Times https://t.co/nWdqHqW5fp</t>
  </si>
  <si>
    <t xml:space="preserve">Dallas, Texas</t>
  </si>
  <si>
    <t xml:space="preserve">"[N]ever give in... except to convictions of honor.... Never yield to force... to the apparently overwhelming might of the enemy." Sir Winston Churchill</t>
  </si>
  <si>
    <t xml:space="preserve">HEXE 999 ♠️🐎♣️</t>
  </si>
  <si>
    <t xml:space="preserve">Election Risk Pays Off for Shinzo Abe of Japan as Party Appears to Win Big - The New York Times https://t.co/QHJjDlgMRo</t>
  </si>
  <si>
    <t xml:space="preserve">Las Vegas , Chicago, Wisconsin</t>
  </si>
  <si>
    <t xml:space="preserve">I'm who~ I'm ~nothing more/less Respect integrity everything! Always forgive,smile ~ In my silence there are lots of questions ~U will never know 🐝🖤Of Nature</t>
  </si>
  <si>
    <t xml:space="preserve">Simone Ros</t>
  </si>
  <si>
    <t xml:space="preserve">RT @qz: Shinzo Abe just moved closer to becoming Japan’s longest-serving leader https://t.co/1JZ3qMqnEv</t>
  </si>
  <si>
    <t xml:space="preserve">Strategic #Communication e #PublicAffairs @cominandpa Roma, prima Vienna e Bologna. Twitto di #energia #innovazione #geopolitica. Ovviamente opinioni personali</t>
  </si>
  <si>
    <t xml:space="preserve">QUARTZ: Shinzo Abe just moved closer to becoming Japan’s longest-serving leader https://t.co/1GjCqEDIYe</t>
  </si>
  <si>
    <t xml:space="preserve">Counsel Muinde</t>
  </si>
  <si>
    <t xml:space="preserve">Parklands,Nairobi</t>
  </si>
  <si>
    <t xml:space="preserve">Law student.</t>
  </si>
  <si>
    <t xml:space="preserve">Dr. Alapati Srinivas</t>
  </si>
  <si>
    <t xml:space="preserve">Kakinada,Andhra Pradesh, India</t>
  </si>
  <si>
    <t xml:space="preserve">Dr. Srinivas Alapati.Advocate.Faculty of Law,JNT University,Kakinada. Doctorate in Constitutional Law&amp; Administrative Law #MA, MJMC, MBA, LL.M, Ph.D&amp; Cyber Laws</t>
  </si>
  <si>
    <t xml:space="preserve">CHERAKULA YUGESH</t>
  </si>
  <si>
    <t xml:space="preserve">Tirupati, Andhra Pradesh</t>
  </si>
  <si>
    <t xml:space="preserve">PROUD INDIAN, BANKER, SENIOR MANAGER-TECHNICAL, ENGINEER, MASTER OF BUSINESS ADMINISTRATION</t>
  </si>
  <si>
    <t xml:space="preserve">Maya Varma</t>
  </si>
  <si>
    <t xml:space="preserve">Rudyard Kipling: If you can dream and not make dreams your master; If you can think and not make thoughts your aim, If you can meet with Triumph and Disaster..</t>
  </si>
  <si>
    <t xml:space="preserve">lalith kris</t>
  </si>
  <si>
    <t xml:space="preserve">Japan election 2017: PM Shinzo Abe sweeps to resounding victory in vote https://t.co/T2AY6PTufD via @FinancialXpress</t>
  </si>
  <si>
    <t xml:space="preserve">Indian..! Modian..! Human..! U b U, I b Me..!</t>
  </si>
  <si>
    <t xml:space="preserve">ANUJ W. MATHEW</t>
  </si>
  <si>
    <t xml:space="preserve">Via @euronews: Japan: exit polls suggest a landslide general election victory for Shinzo Abe’s coalition https://t.co/5KUfTGqWss</t>
  </si>
  <si>
    <t xml:space="preserve">ASIA</t>
  </si>
  <si>
    <t xml:space="preserve">LIVE YOUNG LIVE FREE. SPEED DENIM REEBOK .</t>
  </si>
  <si>
    <t xml:space="preserve">RainbowLink Inc.</t>
  </si>
  <si>
    <t xml:space="preserve">Internet, Earth</t>
  </si>
  <si>
    <r>
      <rPr>
        <sz val="8"/>
        <rFont val="Droid Sans"/>
        <family val="0"/>
        <charset val="1"/>
      </rPr>
      <t xml:space="preserve">Software Vendor. We've created software and sold/distributed them. We love science, art and politics. </t>
    </r>
    <r>
      <rPr>
        <sz val="8"/>
        <rFont val="Noto Sans CJK SC Regular"/>
        <family val="2"/>
      </rPr>
      <t xml:space="preserve">株式会社レインボーリンク</t>
    </r>
    <r>
      <rPr>
        <sz val="8"/>
        <rFont val="Droid Sans"/>
        <family val="0"/>
        <charset val="1"/>
      </rPr>
      <t xml:space="preserve">. DM not available.</t>
    </r>
  </si>
  <si>
    <t xml:space="preserve">Japan: exit polls suggest a landslide general election victory for Shinzo Abe's coalition https://t.co/MA2HXhokp2</t>
  </si>
  <si>
    <t xml:space="preserve">EagleStar.NET</t>
  </si>
  <si>
    <t xml:space="preserve">Shinzo Abe just moved closer to becoming Japan's longest-serving leader https://t.co/DcYxFa1v9R</t>
  </si>
  <si>
    <t xml:space="preserve">SocialOomph</t>
  </si>
  <si>
    <t xml:space="preserve">The Great Wide Open</t>
  </si>
  <si>
    <t xml:space="preserve">Available properties and buyers, for real estate with opportunities to buy, to sell, to trade, to enjoy. We make it known.</t>
  </si>
  <si>
    <t xml:space="preserve">Mammeri14828362</t>
  </si>
  <si>
    <t xml:space="preserve">RT @EagleStarNET: Shinzo Abe just moved closer to becoming Japan's longest-serving leader https://t.co/DcYxFa1v9R</t>
  </si>
  <si>
    <t xml:space="preserve">RAJEEV SINGH</t>
  </si>
  <si>
    <t xml:space="preserve">Shinzo Abe gains big victory in Japan election https://t.co/RYy9CzPXZe</t>
  </si>
  <si>
    <t xml:space="preserve">Rita Ghahramanian</t>
  </si>
  <si>
    <t xml:space="preserve">mammeri14828362</t>
  </si>
  <si>
    <t xml:space="preserve">Algiers                       </t>
  </si>
  <si>
    <t xml:space="preserve">Collection</t>
  </si>
  <si>
    <t xml:space="preserve">Achilles</t>
  </si>
  <si>
    <t xml:space="preserve">Shinzo Abe gains big victory in Japan election via @FT https://t.co/jMf3nJGZbf</t>
  </si>
  <si>
    <t xml:space="preserve">I think therefore I am. #Greek</t>
  </si>
  <si>
    <t xml:space="preserve">Yogi AshokJi</t>
  </si>
  <si>
    <t xml:space="preserve">Modi-fied. Views Strictly Personal. RTs or following !=endorsements</t>
  </si>
  <si>
    <t xml:space="preserve">K Benson</t>
  </si>
  <si>
    <t xml:space="preserve">Election Risk Pays Off for Shinzo Abe of Japan as Party Appears to Win Big - The New York Times https://t.co/3x7EE9NEtZ</t>
  </si>
  <si>
    <t xml:space="preserve">#UniteBlue #ProChoice #NoFrack No RWNJs or Porn; But I repeat myself... #Resist</t>
  </si>
  <si>
    <t xml:space="preserve">TaoTao</t>
  </si>
  <si>
    <t xml:space="preserve">Lucia</t>
  </si>
  <si>
    <t xml:space="preserve">New Haven,  Connecticut, USA</t>
  </si>
  <si>
    <t xml:space="preserve">I'm passionate about...Customer Experience, Integrated Campaigns, eBusiness and User Centric Designs</t>
  </si>
  <si>
    <t xml:space="preserve">1TN18🌐🕇🕊🇪🇺😱🎃</t>
  </si>
  <si>
    <t xml:space="preserve">For good and truthful news, follow me.</t>
  </si>
  <si>
    <t xml:space="preserve">François-Xavier BAUD</t>
  </si>
  <si>
    <t xml:space="preserve">Shinzo Abe gains big victory in Japan election https://t.co/tOYOInJpTO via @FT</t>
  </si>
  <si>
    <t xml:space="preserve">My Tweets are My Own</t>
  </si>
  <si>
    <t xml:space="preserve">Boussard &amp; Gavaudan - Europe - Multi-asset - Special situations - Event Driven - Equity -Credit - Volatility - Long Vol - London based</t>
  </si>
  <si>
    <t xml:space="preserve">平本オズワルド</t>
  </si>
  <si>
    <t xml:space="preserve">Shinzo Abe secures strong mandate in Japan's general election https://t.co/zAt8BBeucs</t>
  </si>
  <si>
    <t xml:space="preserve">神奈川県</t>
  </si>
  <si>
    <t xml:space="preserve">サルは火を見て近づかない、手には負えないと分かっているからです。人間は火山の噴火を見て、手には負えないと分かっているはずです、それでも人間は原発を造りました。今度その原発が爆発しました、手には負えないと分かっているはずなんだけど、何故止めないのか？それは人間はサルよりバカだから。外国人です、フォロー宜しくお願いします。</t>
  </si>
  <si>
    <t xml:space="preserve">Radio 2000</t>
  </si>
  <si>
    <t xml:space="preserve">Exit polls following Japan's general election suggests that Prime Minister Shinzo Abe has won a resounding victory. #sabcnews</t>
  </si>
  <si>
    <t xml:space="preserve">SABC Radio Park</t>
  </si>
  <si>
    <t xml:space="preserve">The home of your all-time favourites. Our Music. Your Memories... 97.2 - 100 FM Nationwide. Channel 812 on the satellite audio bouquet.</t>
  </si>
  <si>
    <t xml:space="preserve">ﾘｯｷｰ團十郎</t>
  </si>
  <si>
    <t xml:space="preserve">広島県福山市</t>
  </si>
  <si>
    <r>
      <rPr>
        <sz val="8"/>
        <rFont val="Noto Sans CJK SC Regular"/>
        <family val="2"/>
      </rPr>
      <t xml:space="preserve">独断､主観､私見､備忘録､本音乱文､駄文御容赦を｡ ﾛｰｶﾙﾃﾚﾋﾞ､ﾗｼﾞｵｶｰﾘﾎﾟｰﾄ､</t>
    </r>
    <r>
      <rPr>
        <sz val="8"/>
        <rFont val="Droid Sans"/>
        <family val="0"/>
        <charset val="1"/>
      </rPr>
      <t xml:space="preserve">FM</t>
    </r>
    <r>
      <rPr>
        <sz val="8"/>
        <rFont val="Noto Sans CJK SC Regular"/>
        <family val="2"/>
      </rPr>
      <t xml:space="preserve">岡山､ﾆｭｰｽｻｲﾄ他｡ ｢政治､社会時事､ﾛｰｶﾙ情報収集目的｣な開設｡ たまに他人様ｱｶｳﾝﾄ邪魔リプ失礼します｡ｽﾙｰ構いません｡ </t>
    </r>
    <r>
      <rPr>
        <sz val="8"/>
        <rFont val="Droid Sans"/>
        <family val="0"/>
        <charset val="1"/>
      </rPr>
      <t xml:space="preserve">('17/10/23</t>
    </r>
    <r>
      <rPr>
        <sz val="8"/>
        <rFont val="Noto Sans CJK SC Regular"/>
        <family val="2"/>
      </rPr>
      <t xml:space="preserve">改</t>
    </r>
    <r>
      <rPr>
        <sz val="8"/>
        <rFont val="Droid Sans"/>
        <family val="0"/>
        <charset val="1"/>
      </rPr>
      <t xml:space="preserve">)</t>
    </r>
  </si>
  <si>
    <t xml:space="preserve">Elizabeth Davis</t>
  </si>
  <si>
    <t xml:space="preserve">Election Risk Pays Off for Shinzo Abe of Japan as Party Appears to Win Big https://t.co/jFsJBcn6Pw https://t.co/vux5WVeifo</t>
  </si>
  <si>
    <t xml:space="preserve">香港</t>
  </si>
  <si>
    <t xml:space="preserve">Breaking news about china and the world.</t>
  </si>
  <si>
    <t xml:space="preserve">Simply</t>
  </si>
  <si>
    <t xml:space="preserve">#Election Risk Pays Off for Shinzo Abe of #Japan as #Party Appears to Win Big https://t.co/tBcRblE3Cp https://t.co/VhH5OkHOVT</t>
  </si>
  <si>
    <t xml:space="preserve">The highest rated news app globally.</t>
  </si>
  <si>
    <t xml:space="preserve">gus choungi</t>
  </si>
  <si>
    <t xml:space="preserve">A resounding majority could pave the way for the Japanese leader to revise the country's p @AJEnglish… https://t.co/rJ7tD3aqdW</t>
  </si>
  <si>
    <t xml:space="preserve">Bush</t>
  </si>
  <si>
    <t xml:space="preserve">Wesam Hassanein</t>
  </si>
  <si>
    <t xml:space="preserve">Master's Candidate @AU_SIS RT ≠ endorsement.</t>
  </si>
  <si>
    <t xml:space="preserve">Waka</t>
  </si>
  <si>
    <t xml:space="preserve">Kitts News</t>
  </si>
  <si>
    <t xml:space="preserve">kitts news</t>
  </si>
  <si>
    <t xml:space="preserve">I believe in truth, democracy, and freedom. Tweeting the News 24/7</t>
  </si>
  <si>
    <t xml:space="preserve">James Martinelli</t>
  </si>
  <si>
    <t xml:space="preserve">Election Risk Pays Off for Shinzo Abe of Japan as Party Appears to Win Big - The New York Times https://t.co/Ipp2xC6g6r</t>
  </si>
  <si>
    <t xml:space="preserve">progressive thinker - practical doer - generally happy and a tad stubborn #UniteBlue #LoveWins #TheResistance</t>
  </si>
  <si>
    <t xml:space="preserve">Abhishek Apte</t>
  </si>
  <si>
    <t xml:space="preserve">Rashika somani</t>
  </si>
  <si>
    <t xml:space="preserve">SociabbleApp</t>
  </si>
  <si>
    <t xml:space="preserve">SABC News Online</t>
  </si>
  <si>
    <t xml:space="preserve">RT @Radio2000ZA: Exit polls following Japan's general election suggests that Prime Minister Shinzo Abe has won a resounding victory. #sabcn…</t>
  </si>
  <si>
    <t xml:space="preserve">#SABCNews Hashtag</t>
  </si>
  <si>
    <t xml:space="preserve">SABC News Online is the digital news portal of the South African Broadcasting Corporation.</t>
  </si>
  <si>
    <t xml:space="preserve">Narendra Kondajji</t>
  </si>
  <si>
    <t xml:space="preserve">CERTIFIED FINANCIAL PLANNER(CM) Retweets are no endorsements.</t>
  </si>
  <si>
    <t xml:space="preserve">Retweeted Livemint (@livemint): Shinzo Abe sweeps to resounding victory in Japan election https://t.co/miB2A9xsx5 https://t.co/ycaH10ocAN</t>
  </si>
  <si>
    <t xml:space="preserve">Chetan Bhakkad</t>
  </si>
  <si>
    <t xml:space="preserve">Mumbai / Delhi / Pune</t>
  </si>
  <si>
    <t xml:space="preserve">Infrastructure Development Consultant</t>
  </si>
  <si>
    <t xml:space="preserve">gianluca magazzini</t>
  </si>
  <si>
    <t xml:space="preserve">Shinzo Abe gains big victory in Japan election https://t.co/n3fGc1q3qn via @FT #Japan #Abe</t>
  </si>
  <si>
    <t xml:space="preserve">pistoia</t>
  </si>
  <si>
    <t xml:space="preserve">portfolio manager - financial markets addicted -</t>
  </si>
  <si>
    <t xml:space="preserve">#JusticeForJFK🇺🇸</t>
  </si>
  <si>
    <t xml:space="preserve">Bravo to Japan for being smart unlike some Americans “Shinzo Abe's ruling is projected to win Japanese election” https://t.co/YSHBTowERb</t>
  </si>
  <si>
    <t xml:space="preserve">more pasta is better than pasta</t>
  </si>
  <si>
    <t xml:space="preserve">vinay goyal</t>
  </si>
  <si>
    <t xml:space="preserve">SMC Real Estate Advisors Pvt ltd</t>
  </si>
  <si>
    <t xml:space="preserve">RT @giamaga: Shinzo Abe gains big victory in Japan election https://t.co/n3fGc1q3qn via @FT #Japan #Abe</t>
  </si>
  <si>
    <t xml:space="preserve">DAYSIPAO</t>
  </si>
  <si>
    <t xml:space="preserve">ECUADOR</t>
  </si>
  <si>
    <t xml:space="preserve">Global and International</t>
  </si>
  <si>
    <t xml:space="preserve">Boston Economy</t>
  </si>
  <si>
    <t xml:space="preserve">Election Risk Pays Off for Shinzo Abe of Japan as Party Appears to Win Big https://t.co/2H0I4MPGXO</t>
  </si>
  <si>
    <t xml:space="preserve">RelationFlow</t>
  </si>
  <si>
    <t xml:space="preserve">Build the future on a stronger economy</t>
  </si>
  <si>
    <t xml:space="preserve">Rene Mancilla.M</t>
  </si>
  <si>
    <t xml:space="preserve">Shinzo Abe secures strong mandate in Japan's general election https://t.co/Xu6pjLLRk6</t>
  </si>
  <si>
    <t xml:space="preserve">Santiago - Chile</t>
  </si>
  <si>
    <t xml:space="preserve">Contador.Egresado de la UTE. area telecomunicaciones: Ex-presidente del Sin,Nac.Telef. Profesor de telefonia y redes de datos.Idioma:English - Español</t>
  </si>
  <si>
    <t xml:space="preserve">Abdul Karim</t>
  </si>
  <si>
    <t xml:space="preserve">kuala lumpur</t>
  </si>
  <si>
    <t xml:space="preserve">🤗</t>
  </si>
  <si>
    <t xml:space="preserve">Anton Sorkin ن</t>
  </si>
  <si>
    <t xml:space="preserve">Election can signal move to revise 🇯🇵‘s pacifist constitution. https://t.co/7tqNX1v8Tk @BBC For more: https://t.co/0S4iY2wt3c @AlJazeera</t>
  </si>
  <si>
    <t xml:space="preserve">Houston | Atlanta</t>
  </si>
  <si>
    <t xml:space="preserve">Legal News, Foreign Affairs, National Security, Christian Public Policy, &amp; Cultural Phenomena | Doctoral Student @EmoryLaw</t>
  </si>
  <si>
    <t xml:space="preserve">Ketan Jain</t>
  </si>
  <si>
    <t xml:space="preserve">Always India First</t>
  </si>
  <si>
    <t xml:space="preserve">🍉 Hajimegane! 🍉</t>
  </si>
  <si>
    <t xml:space="preserve">└A</t>
  </si>
  <si>
    <t xml:space="preserve">Lover of Sports, Anime and Memes #Dodgers #LAKings #Lakers #Angels #Galaxy NFL fan. Sports shit poster. International Sports junkie #ProRelforUSA supporter</t>
  </si>
  <si>
    <t xml:space="preserve">DHEER KOTHARI</t>
  </si>
  <si>
    <t xml:space="preserve">Communications consultant on the trot. Read and write: travel light. Specialise in engaging &amp; meaningful content.</t>
  </si>
  <si>
    <t xml:space="preserve">Nzinga Qunta</t>
  </si>
  <si>
    <t xml:space="preserve">News Anchor. Mom. For MC and Facilitation bookings email bookings@nzingaqunta.co.za</t>
  </si>
  <si>
    <t xml:space="preserve">Shinta </t>
  </si>
  <si>
    <t xml:space="preserve">Election Risk Pays Off for Shinzo Abe of Japan as Party Appears to Win Big https://t.co/arAwT5bNz5</t>
  </si>
  <si>
    <t xml:space="preserve">Shonan Tsujido</t>
  </si>
  <si>
    <r>
      <rPr>
        <sz val="8"/>
        <rFont val="Noto Sans CJK SC Regular"/>
        <family val="2"/>
      </rPr>
      <t xml:space="preserve">読書、</t>
    </r>
    <r>
      <rPr>
        <sz val="8"/>
        <rFont val="Droid Sans"/>
        <family val="0"/>
        <charset val="1"/>
      </rPr>
      <t xml:space="preserve">fm Yokohama</t>
    </r>
    <r>
      <rPr>
        <sz val="8"/>
        <rFont val="Noto Sans CJK SC Regular"/>
        <family val="2"/>
      </rPr>
      <t xml:space="preserve">、コーヒー、</t>
    </r>
    <r>
      <rPr>
        <sz val="8"/>
        <rFont val="Droid Sans"/>
        <family val="0"/>
        <charset val="1"/>
      </rPr>
      <t xml:space="preserve">iPad</t>
    </r>
    <r>
      <rPr>
        <sz val="8"/>
        <rFont val="Noto Sans CJK SC Regular"/>
        <family val="2"/>
      </rPr>
      <t xml:space="preserve">は生活の一部。ポスト・イクメンを目指す一児の父。しょこたんこと中川翔子さまはファン歴</t>
    </r>
    <r>
      <rPr>
        <sz val="8"/>
        <rFont val="Droid Sans"/>
        <family val="0"/>
        <charset val="1"/>
      </rPr>
      <t xml:space="preserve">10</t>
    </r>
    <r>
      <rPr>
        <sz val="8"/>
        <rFont val="Noto Sans CJK SC Regular"/>
        <family val="2"/>
      </rPr>
      <t xml:space="preserve">年であり人生のメンターとして崇めている。</t>
    </r>
  </si>
  <si>
    <t xml:space="preserve">TOKYO (Reuters) - Japanese Prime Minister Shinzo Abe's ruling bloc was headed for a big win in Sunday's election, … https://t.co/rXhcar2uZx</t>
  </si>
  <si>
    <t xml:space="preserve">T.C. HAKAN SONOK</t>
  </si>
  <si>
    <t xml:space="preserve">Avanti2018 @Avanti20202021 Takip edeni Takip Ediyor! #takipedenitakipederim 🚫 ⛔</t>
  </si>
  <si>
    <t xml:space="preserve">meiyoumayo</t>
  </si>
  <si>
    <t xml:space="preserve">"Election Risk Pays Off for Shinzo Abe of Japan as Party Appears to Win Big" by MOTOKO RICH via NYT The New York T… https://t.co/wfwV11ACYO</t>
  </si>
  <si>
    <t xml:space="preserve">YT - CleverFilmsGaming</t>
  </si>
  <si>
    <t xml:space="preserve">Janet Fearnley</t>
  </si>
  <si>
    <t xml:space="preserve">bara</t>
  </si>
  <si>
    <t xml:space="preserve">千葉</t>
  </si>
  <si>
    <r>
      <rPr>
        <sz val="8"/>
        <rFont val="Noto Sans CJK SC Regular"/>
        <family val="2"/>
      </rPr>
      <t xml:space="preserve">ガンダムもタイガーマスクも初代が好きです。</t>
    </r>
    <r>
      <rPr>
        <sz val="8"/>
        <rFont val="Droid Sans"/>
        <family val="0"/>
        <charset val="1"/>
      </rPr>
      <t xml:space="preserve">Twitter</t>
    </r>
    <r>
      <rPr>
        <sz val="8"/>
        <rFont val="Noto Sans CJK SC Regular"/>
        <family val="2"/>
      </rPr>
      <t xml:space="preserve">の作法がよくわからないまま呟いてるので、失礼があったら御免なさい。</t>
    </r>
    <r>
      <rPr>
        <sz val="8"/>
        <rFont val="Droid Sans"/>
        <family val="0"/>
        <charset val="1"/>
      </rPr>
      <t xml:space="preserve">J-NSC</t>
    </r>
    <r>
      <rPr>
        <sz val="8"/>
        <rFont val="Noto Sans CJK SC Regular"/>
        <family val="2"/>
      </rPr>
      <t xml:space="preserve">会員です。</t>
    </r>
  </si>
  <si>
    <t xml:space="preserve">Balakrishna Kalkura</t>
  </si>
  <si>
    <t xml:space="preserve">Hasan Chaudhry</t>
  </si>
  <si>
    <t xml:space="preserve">Election Risk Pays Off for Shinzo Abe of Japan as Party Appears to Win Big - The New York Times https://t.co/gEyEHItJdi</t>
  </si>
  <si>
    <t xml:space="preserve">-Don't like propaganda. I like real news stories. -I enjoy watching movies. Especially superheroes ones.</t>
  </si>
  <si>
    <t xml:space="preserve">Broadsword</t>
  </si>
  <si>
    <t xml:space="preserve">Tweets are not endorsements.</t>
  </si>
  <si>
    <t xml:space="preserve">MOHIT DUJARI</t>
  </si>
  <si>
    <t xml:space="preserve">India. </t>
  </si>
  <si>
    <t xml:space="preserve">INDIAN🇮🇳🇮🇳 Company secretary. Soon to be a law graduate. Eat sleep conquer! Repeat. Rebuild Redesign Reclaim! Followed by @PiyushGoyalOffc</t>
  </si>
  <si>
    <t xml:space="preserve">おむぎ</t>
  </si>
  <si>
    <t xml:space="preserve">   </t>
  </si>
  <si>
    <t xml:space="preserve">Ashesh Shah</t>
  </si>
  <si>
    <t xml:space="preserve">Headhunter. Entrepreneur. Doer. Thinker. Father of teenager. Support nationalist causes.</t>
  </si>
  <si>
    <t xml:space="preserve">Japan to turn up heat against North Korea as Abe gains new mandate with election win https://t.co/WUh04Xah9w https://t.co/LAR9x7KoVz</t>
  </si>
  <si>
    <t xml:space="preserve">Shinzo Abe just got one step closer to realizing his mandate for Japan. Here's what it looks like https://t.co/xsA0u23ahR</t>
  </si>
  <si>
    <t xml:space="preserve">TOKYO (Reuters) - Japanese Prime Minister Shinzo Abe's ruling bloc was headed for a big win in Sunday's election,... https://t.co/R8eLry628H</t>
  </si>
  <si>
    <t xml:space="preserve">Wilson Favre-Delerue</t>
  </si>
  <si>
    <t xml:space="preserve">Here's the latest @qz story about Trump: https://t.co/pGq5YFkZ4o</t>
  </si>
  <si>
    <t xml:space="preserve">Entrepreneur, culture vulture &amp; tireless traveller</t>
  </si>
  <si>
    <t xml:space="preserve">Jasper #Ω</t>
  </si>
  <si>
    <t xml:space="preserve">Election Risk Pays Off for Shinzo Abe of Japan as Party Appears to Win Big https://t.co/HOXGChujAe</t>
  </si>
  <si>
    <t xml:space="preserve">Right behind you </t>
  </si>
  <si>
    <t xml:space="preserve">Resistance Organizer #UnitedBlue https://t.co/xdhYM8QhAA #StillWithHer #TheResistance #Ω</t>
  </si>
  <si>
    <t xml:space="preserve">kamen7878</t>
  </si>
  <si>
    <t xml:space="preserve">神奈川→徳島</t>
  </si>
  <si>
    <t xml:space="preserve">今の日本は中国、韓国、アメリカの属国です！このままでは子供達に未来ある日本を託せなくなります。我々大人が何とかしないといけません・・・・・。フォローよろしくお願い致します。</t>
  </si>
  <si>
    <t xml:space="preserve">Election Risk Pays Off for Shinzo Abe of Japan as Party Appears to Win Big https://t.co/aYBoxhvlr3</t>
  </si>
  <si>
    <t xml:space="preserve">Election Risk Pays Off for Shinzo Abe of Japan as Party Appears to Win Big https://t.co/XtApT0i6pn</t>
  </si>
  <si>
    <t xml:space="preserve">يسوع ينقذ</t>
  </si>
  <si>
    <t xml:space="preserve">Shinzo Abe secures strong mandate in Japan's general election https://t.co/pr8TNEkTXp</t>
  </si>
  <si>
    <t xml:space="preserve">Jundiaí do Sul/PR - Brasil</t>
  </si>
  <si>
    <t xml:space="preserve">Sou servo do SENHOR JESUS, obedeço a Palavra da Salvação no amor do PAI Celestial. Aleluia!</t>
  </si>
  <si>
    <t xml:space="preserve">jen ann mary goodman</t>
  </si>
  <si>
    <t xml:space="preserve">MSc Communictions,MScIT Health, fan of the unendorsed&amp;genuinely brilliant https://t.co/v1hrsJWYg6 mom to unparalled stellar superior incredible kids</t>
  </si>
  <si>
    <r>
      <rPr>
        <sz val="8"/>
        <rFont val="Noto Sans CJK SC Regular"/>
        <family val="2"/>
      </rPr>
      <t xml:space="preserve">まさやん</t>
    </r>
    <r>
      <rPr>
        <sz val="8"/>
        <rFont val="Droid Sans"/>
        <family val="0"/>
        <charset val="1"/>
      </rPr>
      <t xml:space="preserve">@</t>
    </r>
    <r>
      <rPr>
        <sz val="8"/>
        <rFont val="Noto Sans CJK SC Regular"/>
        <family val="2"/>
      </rPr>
      <t xml:space="preserve">だって猫だもん</t>
    </r>
  </si>
  <si>
    <r>
      <rPr>
        <sz val="8"/>
        <rFont val="Noto Sans CJK SC Regular"/>
        <family val="2"/>
      </rPr>
      <t xml:space="preserve">猫好き（自宅にスコ在住）、自転車好き（愛車のビアンキで遠出）、ゴルフ好き（一向に進歩せず。。。）、マンガ好き（主にラブコメ）、ラーメン食べ歩き好き（私の体の主成分の</t>
    </r>
    <r>
      <rPr>
        <sz val="8"/>
        <rFont val="Droid Sans"/>
        <family val="0"/>
        <charset val="1"/>
      </rPr>
      <t xml:space="preserve">80%</t>
    </r>
    <r>
      <rPr>
        <sz val="8"/>
        <rFont val="Noto Sans CJK SC Regular"/>
        <family val="2"/>
      </rPr>
      <t xml:space="preserve">はラーメンで構成）、日本酒好き、釣り好き（フライフィッシング）、音楽大好き（ギターを掻き鳴らす）</t>
    </r>
  </si>
  <si>
    <t xml:space="preserve">gianfranco mignucci</t>
  </si>
  <si>
    <t xml:space="preserve">Shinzo Abe gains big victory in Japan election https://t.co/X482glvx1z via @FT The winning of the leader who led Japan out of the stagnation</t>
  </si>
  <si>
    <t xml:space="preserve">Emilio</t>
  </si>
  <si>
    <t xml:space="preserve">Shinzo Abe's party is on the road to a major victory in Japan's elections, early projections show https://t.co/aPgW6c7rir #Internacionales</t>
  </si>
  <si>
    <t xml:space="preserve">Quito, Ecuador</t>
  </si>
  <si>
    <t xml:space="preserve">Politólogo•Teórico del poder en proceso • Escalador y fotografo • Busco vivir en coherencia entre lo que pienso, digo y hago. #FeeldKrak</t>
  </si>
  <si>
    <t xml:space="preserve">DR AJAY KUMAR VYAS</t>
  </si>
  <si>
    <t xml:space="preserve">Japan election 2017: PM Shinzo Abe sweeps to resounding victory in vote https://t.co/yR746YwrEr via @FinancialXpress</t>
  </si>
  <si>
    <t xml:space="preserve">MUSCAT</t>
  </si>
  <si>
    <t xml:space="preserve">MBBS,MD,FROM INDIAN ARMY MEDICAL CORPS EX Apolitical,Honest,Nationalistic views.</t>
  </si>
  <si>
    <r>
      <rPr>
        <sz val="8"/>
        <rFont val="Noto Sans CJK SC Regular"/>
        <family val="2"/>
      </rPr>
      <t xml:space="preserve">おってぃー</t>
    </r>
    <r>
      <rPr>
        <sz val="8"/>
        <rFont val="Droid Sans"/>
        <family val="0"/>
        <charset val="1"/>
      </rPr>
      <t xml:space="preserve">@</t>
    </r>
    <r>
      <rPr>
        <sz val="8"/>
        <rFont val="Noto Sans CJK SC Regular"/>
        <family val="2"/>
      </rPr>
      <t xml:space="preserve">会社</t>
    </r>
    <r>
      <rPr>
        <sz val="8"/>
        <rFont val="Droid Sans"/>
        <family val="0"/>
        <charset val="1"/>
      </rPr>
      <t xml:space="preserve">PC</t>
    </r>
  </si>
  <si>
    <t xml:space="preserve">多目的室</t>
  </si>
  <si>
    <r>
      <rPr>
        <sz val="8"/>
        <rFont val="Droid Sans"/>
        <family val="0"/>
        <charset val="1"/>
      </rPr>
      <t xml:space="preserve">SMAP</t>
    </r>
    <r>
      <rPr>
        <sz val="8"/>
        <rFont val="Noto Sans CJK SC Regular"/>
        <family val="2"/>
      </rPr>
      <t xml:space="preserve">。</t>
    </r>
    <r>
      <rPr>
        <sz val="8"/>
        <rFont val="Droid Sans"/>
        <family val="0"/>
        <charset val="1"/>
      </rPr>
      <t xml:space="preserve">KinKi Kids</t>
    </r>
    <r>
      <rPr>
        <sz val="8"/>
        <rFont val="Noto Sans CJK SC Regular"/>
        <family val="2"/>
      </rPr>
      <t xml:space="preserve">。</t>
    </r>
    <r>
      <rPr>
        <sz val="8"/>
        <rFont val="Droid Sans"/>
        <family val="0"/>
        <charset val="1"/>
      </rPr>
      <t xml:space="preserve">SexyZone</t>
    </r>
    <r>
      <rPr>
        <sz val="8"/>
        <rFont val="Noto Sans CJK SC Regular"/>
        <family val="2"/>
      </rPr>
      <t xml:space="preserve">。サッカー。将棋。ついたて将棋。ミリオンダウト。政治。その他。</t>
    </r>
  </si>
  <si>
    <t xml:space="preserve">Eastasianews</t>
  </si>
  <si>
    <t xml:space="preserve">New post: Election Risk Pays Off for Shinzo Abe of Japan as Party Appears to Win Big https://t.co/NwIXyA8Hx9</t>
  </si>
  <si>
    <t xml:space="preserve">Eastasianewsnet201408</t>
  </si>
  <si>
    <r>
      <rPr>
        <sz val="8"/>
        <rFont val="Noto Sans CJK SC Regular"/>
        <family val="2"/>
      </rPr>
      <t xml:space="preserve">以前の日本はのどかでしたが、 最近は嫌な</t>
    </r>
    <r>
      <rPr>
        <sz val="8"/>
        <rFont val="Droid Sans"/>
        <family val="0"/>
        <charset val="1"/>
      </rPr>
      <t xml:space="preserve">news</t>
    </r>
    <r>
      <rPr>
        <sz val="8"/>
        <rFont val="Noto Sans CJK SC Regular"/>
        <family val="2"/>
      </rPr>
      <t xml:space="preserve">ばかり。今や一触即発な 東アジアの</t>
    </r>
    <r>
      <rPr>
        <sz val="8"/>
        <rFont val="Droid Sans"/>
        <family val="0"/>
        <charset val="1"/>
      </rPr>
      <t xml:space="preserve">news</t>
    </r>
    <r>
      <rPr>
        <sz val="8"/>
        <rFont val="Noto Sans CJK SC Regular"/>
        <family val="2"/>
      </rPr>
      <t xml:space="preserve">を、</t>
    </r>
    <r>
      <rPr>
        <sz val="8"/>
        <rFont val="Droid Sans"/>
        <family val="0"/>
        <charset val="1"/>
      </rPr>
      <t xml:space="preserve">CNN,F.A.Z,</t>
    </r>
    <r>
      <rPr>
        <sz val="8"/>
        <rFont val="Noto Sans CJK SC Regular"/>
        <family val="2"/>
      </rPr>
      <t xml:space="preserve">ルモンド</t>
    </r>
    <r>
      <rPr>
        <sz val="8"/>
        <rFont val="Droid Sans"/>
        <family val="0"/>
        <charset val="1"/>
      </rPr>
      <t xml:space="preserve">,</t>
    </r>
    <r>
      <rPr>
        <sz val="8"/>
        <rFont val="Noto Sans CJK SC Regular"/>
        <family val="2"/>
      </rPr>
      <t xml:space="preserve">人民網日本語版</t>
    </r>
    <r>
      <rPr>
        <sz val="8"/>
        <rFont val="Droid Sans"/>
        <family val="0"/>
        <charset val="1"/>
      </rPr>
      <t xml:space="preserve">,NYT,FRB</t>
    </r>
    <r>
      <rPr>
        <sz val="8"/>
        <rFont val="Noto Sans CJK SC Regular"/>
        <family val="2"/>
      </rPr>
      <t xml:space="preserve">・・から配信。</t>
    </r>
    <r>
      <rPr>
        <sz val="8"/>
        <rFont val="Droid Sans"/>
        <family val="0"/>
        <charset val="1"/>
      </rPr>
      <t xml:space="preserve">Wordpress→twitter</t>
    </r>
    <r>
      <rPr>
        <sz val="8"/>
        <rFont val="Noto Sans CJK SC Regular"/>
        <family val="2"/>
      </rPr>
      <t xml:space="preserve">で自動配信する</t>
    </r>
    <r>
      <rPr>
        <sz val="8"/>
        <rFont val="Droid Sans"/>
        <family val="0"/>
        <charset val="1"/>
      </rPr>
      <t xml:space="preserve">Bot</t>
    </r>
    <r>
      <rPr>
        <sz val="8"/>
        <rFont val="Noto Sans CJK SC Regular"/>
        <family val="2"/>
      </rPr>
      <t xml:space="preserve">の様なものです。みなさんに東アジアの現在を伝えられればという思いです。至らぬ点はご容赦を。でわ。</t>
    </r>
  </si>
  <si>
    <t xml:space="preserve">New post: Election Risk Pays Off for Shinzo Abe of Japan as Party Appears to Win Big https://t.co/w0vxKYJOYJ</t>
  </si>
  <si>
    <t xml:space="preserve">MakeAmericaFairAgain</t>
  </si>
  <si>
    <t xml:space="preserve">Election Risk Pays Off for Shinzo Abe of Japan as Party Appears to Win Big - The New York Times https://t.co/YkDr14mFcA</t>
  </si>
  <si>
    <t xml:space="preserve">Proud American , WomenRights, GayRights , HumanRights, EnvironmentalRights, ReligiousRights, ImmigrationRights MedicalRights and happiness for all Americans</t>
  </si>
  <si>
    <t xml:space="preserve">Chata Kato</t>
  </si>
  <si>
    <t xml:space="preserve">Shibuya/Shinjuku, Tokyo</t>
  </si>
  <si>
    <t xml:space="preserve">CD &amp; PG [ photos, psd, ai, svg, js, swift, c, py, rb, php, json, sql, xml, html, css, nginx, Ubuntu, Archlinux, Heroku, AWS, API ] #WWJD</t>
  </si>
  <si>
    <t xml:space="preserve">CAB News Online</t>
  </si>
  <si>
    <t xml:space="preserve">Incumbent Japanese Prime Minister Shinzo Abe's electoral bloc expected to win elections, based on exit polls: https://t.co/TNo2BECUNw</t>
  </si>
  <si>
    <t xml:space="preserve">Brownsville, TX</t>
  </si>
  <si>
    <t xml:space="preserve">CAB News Online is dedicated to delivering the best news. Follow us to see our other news stories.</t>
  </si>
  <si>
    <t xml:space="preserve">Financial</t>
  </si>
  <si>
    <t xml:space="preserve">Shinzo Abe gains big victory in Japan election #FinancialNews https://t.co/WFexKj35rH</t>
  </si>
  <si>
    <t xml:space="preserve">Kokila</t>
  </si>
  <si>
    <t xml:space="preserve">love travelling . history , culture &amp; societies interest me . politics too . humane religion - of any kind I like . good unselfish deeds move me .</t>
  </si>
  <si>
    <t xml:space="preserve">Ranjan Sharma</t>
  </si>
  <si>
    <t xml:space="preserve">ゲチ</t>
  </si>
  <si>
    <t xml:space="preserve">Election Risk Pays Off for Shinzo Abe of Japan as Party Appears to Win Big, via @nytimes https://t.co/j889ko6GkL</t>
  </si>
  <si>
    <r>
      <rPr>
        <sz val="8"/>
        <rFont val="Noto Sans CJK SC Regular"/>
        <family val="2"/>
      </rPr>
      <t xml:space="preserve">アメリカに来て治療受けたら病気</t>
    </r>
    <r>
      <rPr>
        <sz val="8"/>
        <rFont val="Droid Sans"/>
        <family val="0"/>
        <charset val="1"/>
      </rPr>
      <t xml:space="preserve">(</t>
    </r>
    <r>
      <rPr>
        <sz val="8"/>
        <rFont val="Noto Sans CJK SC Regular"/>
        <family val="2"/>
      </rPr>
      <t xml:space="preserve">繊維筋痛症</t>
    </r>
    <r>
      <rPr>
        <sz val="8"/>
        <rFont val="Droid Sans"/>
        <family val="0"/>
        <charset val="1"/>
      </rPr>
      <t xml:space="preserve">)</t>
    </r>
    <r>
      <rPr>
        <sz val="8"/>
        <rFont val="Noto Sans CJK SC Regular"/>
        <family val="2"/>
      </rPr>
      <t xml:space="preserve">が前よりはだいぶマシになってきた</t>
    </r>
  </si>
  <si>
    <t xml:space="preserve">Political Insights</t>
  </si>
  <si>
    <t xml:space="preserve">Election Risk Pays Off for Shinzo Abe of Japan as Party Appears to Win Big https://t.co/cABdZ4DVyO</t>
  </si>
  <si>
    <t xml:space="preserve">New York,</t>
  </si>
  <si>
    <t xml:space="preserve">Commentaries and Analyses on the Latest Geopolitical Developments RT not endorsements, contributors opinions are their own.</t>
  </si>
  <si>
    <t xml:space="preserve">sheikismail</t>
  </si>
  <si>
    <t xml:space="preserve">@AbeShinzo san congratz resounding victory in Japan election @narendramodi https://t.co/jK1CmpeKXi</t>
  </si>
  <si>
    <t xml:space="preserve">simple, friendly,</t>
  </si>
  <si>
    <t xml:space="preserve">yasuraskyn</t>
  </si>
  <si>
    <t xml:space="preserve">Nueva York</t>
  </si>
  <si>
    <t xml:space="preserve">Kyoto Gift And Food</t>
  </si>
  <si>
    <t xml:space="preserve">RT @sdut: Exit polls show win for Japanese PM Abe's ruling coalition https://t.co/F0VQfQDVwQ https://t.co/LcA9JAA0hn</t>
  </si>
  <si>
    <t xml:space="preserve">daniel sienkiewicz</t>
  </si>
  <si>
    <t xml:space="preserve">Shinzo Abe secures strong mandate in Japan's general election - can now throw off its non aggression requirement. https://t.co/wVIfuQUUBB</t>
  </si>
  <si>
    <t xml:space="preserve">Travel Advisory</t>
  </si>
  <si>
    <t xml:space="preserve">#Japan #Weather Shinzo Abe's coalition is projected to win the Japanese election That turnout was “remarkable give… https://t.co/iuSPBdbArb</t>
  </si>
  <si>
    <t xml:space="preserve">Weather warnings, travel disruptions, health outbreaks gathered from around the world.</t>
  </si>
  <si>
    <t xml:space="preserve">#Japan #Weather Typhoon Lan barrels toward Japan, delays election count Japan's Prime Minister Shinzo Abe ordered … https://t.co/iuSPBdbArb</t>
  </si>
  <si>
    <t xml:space="preserve">Noel Martín Sevilla</t>
  </si>
  <si>
    <t xml:space="preserve">In the news. U.N. reverses appointment of Robert Mugabe; in Japan new election is won by Shinzo Abe.</t>
  </si>
  <si>
    <t xml:space="preserve">Managua, Nicaragua</t>
  </si>
  <si>
    <t xml:space="preserve">Full time teacher, part time poet and quarter time dreamer and global tweeter. Devoted to God, family, learning and the improvement of the world.</t>
  </si>
  <si>
    <t xml:space="preserve">Ashish Kaul</t>
  </si>
  <si>
    <t xml:space="preserve">Passionate Engineer, Business Head by profession, Maverick at Heart, VLFM. Tweets are personal and retweets are endorsements😊!</t>
  </si>
  <si>
    <t xml:space="preserve">Ken L.</t>
  </si>
  <si>
    <t xml:space="preserve">Berkeley, CA</t>
  </si>
  <si>
    <t xml:space="preserve">Writer and history enthusiast. I comment on Thai/global politics. UC Berkeley '21 &amp; KIS '17. https://t.co/fel85rhvaP</t>
  </si>
  <si>
    <t xml:space="preserve">mikam</t>
  </si>
  <si>
    <r>
      <rPr>
        <sz val="8"/>
        <rFont val="Noto Sans CJK SC Regular"/>
        <family val="2"/>
      </rPr>
      <t xml:space="preserve">京都</t>
    </r>
    <r>
      <rPr>
        <sz val="8"/>
        <rFont val="Droid Sans"/>
        <family val="0"/>
        <charset val="1"/>
      </rPr>
      <t xml:space="preserve">@</t>
    </r>
    <r>
      <rPr>
        <sz val="8"/>
        <rFont val="Noto Sans CJK SC Regular"/>
        <family val="2"/>
      </rPr>
      <t xml:space="preserve">某カフェ </t>
    </r>
    <r>
      <rPr>
        <sz val="8"/>
        <rFont val="Droid Sans"/>
        <family val="0"/>
        <charset val="1"/>
      </rPr>
      <t xml:space="preserve">or SSA</t>
    </r>
  </si>
  <si>
    <r>
      <rPr>
        <sz val="8"/>
        <rFont val="Noto Sans CJK SC Regular"/>
        <family val="2"/>
      </rPr>
      <t xml:space="preserve">行政学 公共政策 プログラムとバグ診断と</t>
    </r>
    <r>
      <rPr>
        <sz val="8"/>
        <rFont val="Droid Sans"/>
        <family val="0"/>
        <charset val="1"/>
      </rPr>
      <t xml:space="preserve">AI</t>
    </r>
    <r>
      <rPr>
        <sz val="8"/>
        <rFont val="Noto Sans CJK SC Regular"/>
        <family val="2"/>
      </rPr>
      <t xml:space="preserve">。 政策評価・</t>
    </r>
    <r>
      <rPr>
        <sz val="8"/>
        <rFont val="Droid Sans"/>
        <family val="0"/>
        <charset val="1"/>
      </rPr>
      <t xml:space="preserve">ODA</t>
    </r>
    <r>
      <rPr>
        <sz val="8"/>
        <rFont val="Noto Sans CJK SC Regular"/>
        <family val="2"/>
      </rPr>
      <t xml:space="preserve">評価の研究</t>
    </r>
  </si>
  <si>
    <t xml:space="preserve">Shinzo Abe gains big victory in Japan election - Financial Times https://t.co/Yk0LwYkwHM https://t.co/V3g9RQ9WxW</t>
  </si>
  <si>
    <t xml:space="preserve">ちきちきマシン</t>
  </si>
  <si>
    <t xml:space="preserve">Election Risk Pays Off for Shinzo Abe of Japan as Party Appears to Win Big https://t.co/gms59GSLHE</t>
  </si>
  <si>
    <t xml:space="preserve">福岡県 福岡市 </t>
  </si>
  <si>
    <r>
      <rPr>
        <sz val="8"/>
        <rFont val="Noto Sans CJK SC Regular"/>
        <family val="2"/>
      </rPr>
      <t xml:space="preserve">熊本出身です フォローお願いします 映画大好き できれば映画関連の仕事してみたい </t>
    </r>
    <r>
      <rPr>
        <sz val="8"/>
        <rFont val="Droid Sans"/>
        <family val="0"/>
        <charset val="1"/>
      </rPr>
      <t xml:space="preserve">filmark ID</t>
    </r>
    <r>
      <rPr>
        <sz val="8"/>
        <rFont val="Noto Sans CJK SC Regular"/>
        <family val="2"/>
      </rPr>
      <t xml:space="preserve">：</t>
    </r>
    <r>
      <rPr>
        <sz val="8"/>
        <rFont val="Droid Sans"/>
        <family val="0"/>
        <charset val="1"/>
      </rPr>
      <t xml:space="preserve">againprisoner</t>
    </r>
  </si>
  <si>
    <t xml:space="preserve">zyıldırım</t>
  </si>
  <si>
    <t xml:space="preserve">Artık bizleri sevecek/değer verecek HALKçı biri gerek/soframız her dosta AÇIKTIR.CHP.ÇARŞI Beşiktaş.YORGUN emekli. Doğum tarihi 10 KASIM</t>
  </si>
  <si>
    <t xml:space="preserve">Aditya Shankar</t>
  </si>
  <si>
    <t xml:space="preserve">Christopher Kline</t>
  </si>
  <si>
    <t xml:space="preserve">Election Risk Pays Off for Shinzo Abe of Japan as Party Appears to Win Big - The New York Times https://t.co/taOI8Mpvm2</t>
  </si>
  <si>
    <t xml:space="preserve">Evington, VA</t>
  </si>
  <si>
    <t xml:space="preserve">Adjunct Instructor of #History, #Historian #twitterstorian #diplomacy #foreignpolicy #teachonline #onlinelearning #highered - MA, History; MA, Diplomacy</t>
  </si>
  <si>
    <t xml:space="preserve">Top Videos Mexico</t>
  </si>
  <si>
    <t xml:space="preserve">Election Risk Pays Off for Shinzo Abe of Japan as Party Appears to Win Big en https://t.co/G5VXN6oVPn</t>
  </si>
  <si>
    <t xml:space="preserve">Tu.tv - Tus videos en internet</t>
  </si>
  <si>
    <t xml:space="preserve">Los videos más vistos en http://t.co/1glnsZIPSD en Mexico! http://t.co/1glnsZIPSD el lugar donde Subir, Ver y Compartir tus Videos</t>
  </si>
  <si>
    <t xml:space="preserve">Majid</t>
  </si>
  <si>
    <t xml:space="preserve">Shinzo Abe gains big victory in Japan election https://t.co/bjfKrqDz2q via @FT</t>
  </si>
  <si>
    <t xml:space="preserve">Flavio Farias</t>
  </si>
  <si>
    <t xml:space="preserve">#SignsOfTheTimes. &gt;&amp;gt;&amp;gt; Japanese Prime Minister Shinzo Abe's coalition wins supermajority https://t.co/8GpFxXAaGo via @upi #eternalCalling</t>
  </si>
  <si>
    <t xml:space="preserve">Miami/USA</t>
  </si>
  <si>
    <t xml:space="preserve">Minister/Founder Christians Loving Israel &amp; its People. Graduated: Mercer University GA, MHRM MAU. Writer:Los Ovnis(UFOs) Dad of 4 &amp; 8 grands.IT MINISTRY.</t>
  </si>
  <si>
    <r>
      <rPr>
        <sz val="8"/>
        <rFont val="Noto Sans CJK SC Regular"/>
        <family val="2"/>
      </rPr>
      <t xml:space="preserve">ぱか</t>
    </r>
    <r>
      <rPr>
        <sz val="8"/>
        <rFont val="Droid Sans"/>
        <family val="0"/>
        <charset val="1"/>
      </rPr>
      <t xml:space="preserve">@</t>
    </r>
    <r>
      <rPr>
        <sz val="8"/>
        <rFont val="Noto Sans CJK SC Regular"/>
        <family val="2"/>
      </rPr>
      <t xml:space="preserve">海未キチ</t>
    </r>
  </si>
  <si>
    <t xml:space="preserve">神田</t>
  </si>
  <si>
    <r>
      <rPr>
        <sz val="8"/>
        <rFont val="Noto Sans CJK SC Regular"/>
        <family val="2"/>
      </rPr>
      <t xml:space="preserve">あるぱかさんの</t>
    </r>
    <r>
      <rPr>
        <sz val="8"/>
        <rFont val="Droid Sans"/>
        <family val="0"/>
        <charset val="1"/>
      </rPr>
      <t xml:space="preserve">68</t>
    </r>
    <r>
      <rPr>
        <sz val="8"/>
        <rFont val="Noto Sans CJK SC Regular"/>
        <family val="2"/>
      </rPr>
      <t xml:space="preserve">個目の雑談用垢 ただの海未キチ 寝そべり→ルビィちゃん 趣味ぷろぐらむ・ キチリプ </t>
    </r>
    <r>
      <rPr>
        <sz val="8"/>
        <rFont val="Droid Sans"/>
        <family val="0"/>
        <charset val="1"/>
      </rPr>
      <t xml:space="preserve">@paka3m go</t>
    </r>
    <r>
      <rPr>
        <sz val="8"/>
        <rFont val="Noto Sans CJK SC Regular"/>
        <family val="2"/>
      </rPr>
      <t xml:space="preserve">製おて海未</t>
    </r>
    <r>
      <rPr>
        <sz val="8"/>
        <rFont val="Droid Sans"/>
        <family val="0"/>
        <charset val="1"/>
      </rPr>
      <t xml:space="preserve">@umi0315ote </t>
    </r>
    <r>
      <rPr>
        <sz val="8"/>
        <rFont val="Noto Sans CJK SC Regular"/>
        <family val="2"/>
      </rPr>
      <t xml:space="preserve">アズレン佐世保</t>
    </r>
    <r>
      <rPr>
        <sz val="8"/>
        <rFont val="Droid Sans"/>
        <family val="0"/>
        <charset val="1"/>
      </rPr>
      <t xml:space="preserve">paka3</t>
    </r>
  </si>
  <si>
    <t xml:space="preserve">浮遊してそうなゴミ</t>
  </si>
  <si>
    <t xml:space="preserve">Shinzo Abe secures strong mandate in Japan's general election https://t.co/LeeXfbUVaj</t>
  </si>
  <si>
    <t xml:space="preserve"> feather for iOS  </t>
  </si>
  <si>
    <t xml:space="preserve">よろしくな</t>
  </si>
  <si>
    <t xml:space="preserve">Ian Cowie</t>
  </si>
  <si>
    <t xml:space="preserve">Go #Shinzo ! Abe gains big victory in #Japan election https://t.co/I3DpnQjL1k via @FT</t>
  </si>
  <si>
    <t xml:space="preserve">Sunday Times columnist. Mostly #Money #StockMarket #Investment . Difficult and dull stuff made easier and more interesting.</t>
  </si>
  <si>
    <t xml:space="preserve">Curious_Suricate</t>
  </si>
  <si>
    <t xml:space="preserve">Another election in #Japan, Shinzo Abe is likely to break the record of longevity as Japan Prime Minister.… https://t.co/tKBAEvaleQ</t>
  </si>
  <si>
    <t xml:space="preserve">You've always wanted to shine with a great general #knowledge? Are you just #bored? Just follow Curious Suricate: funny tweets and interesting #facts every day!</t>
  </si>
  <si>
    <t xml:space="preserve">Smita S.</t>
  </si>
  <si>
    <t xml:space="preserve">journalist, writer, singer, avid reader, dreamer, loves to talk</t>
  </si>
  <si>
    <t xml:space="preserve">David Takaki</t>
  </si>
  <si>
    <t xml:space="preserve">Hawaii</t>
  </si>
  <si>
    <t xml:space="preserve">Foreign Policy, International Relations, Speaking Truth 2 Power</t>
  </si>
  <si>
    <t xml:space="preserve">twilight2000</t>
  </si>
  <si>
    <t xml:space="preserve">Shinzo Abe Wins Overwhelming Mandate in Japan’s Snap Election https://t.co/Qk6i5LATwA via @thedailybeast</t>
  </si>
  <si>
    <t xml:space="preserve">Left Coast of the US</t>
  </si>
  <si>
    <t xml:space="preserve">Writer, teacher, mother, event planner, software engineer &amp; paleowhovian. I twitter politics &amp; am often shocked at just how crazy the extreme right can get.</t>
  </si>
  <si>
    <t xml:space="preserve">Brian</t>
  </si>
  <si>
    <t xml:space="preserve">Western Washington USA</t>
  </si>
  <si>
    <t xml:space="preserve">Living life slowly.</t>
  </si>
  <si>
    <t xml:space="preserve">sundar</t>
  </si>
  <si>
    <t xml:space="preserve">Born to live for the Motherland</t>
  </si>
  <si>
    <t xml:space="preserve">savinay</t>
  </si>
  <si>
    <t xml:space="preserve">You me and Deeplearning</t>
  </si>
  <si>
    <t xml:space="preserve">Jitendra Jha</t>
  </si>
  <si>
    <t xml:space="preserve">M.Phil (Statistics)</t>
  </si>
  <si>
    <t xml:space="preserve">Shinzo Abe gains big victory in Japan election #Economy https://t.co/BWMpxph40R</t>
  </si>
  <si>
    <t xml:space="preserve">David Jansen</t>
  </si>
  <si>
    <t xml:space="preserve">Japan’s snap election results: PM Shinzo Abe wins big https://t.co/pKmAHBrOCD</t>
  </si>
  <si>
    <t xml:space="preserve">Tokyo &amp; New York</t>
  </si>
  <si>
    <t xml:space="preserve">Strategic advisor to corporations, governments and heads of state on globalization, mergers &amp; acquisitions and transformation.</t>
  </si>
  <si>
    <t xml:space="preserve">vilfredo pareto</t>
  </si>
  <si>
    <t xml:space="preserve">xoxo</t>
  </si>
  <si>
    <t xml:space="preserve">👏👏👏👏 👍 🎉 Election Risk Pays Off for Shinzo Abe of Japan as Party Appears to Win Big - The New York Times https://t.co/zz90k1QNob</t>
  </si>
  <si>
    <t xml:space="preserve">San Jose</t>
  </si>
  <si>
    <t xml:space="preserve">#LockHimUp #LockEmUp #Prison4Trump #DeportTrumpToRussia #Idiot-Trump #neverTrump #notMyPOTUS #trumpNotLegitimate</t>
  </si>
  <si>
    <t xml:space="preserve">Malinda Michelle lee</t>
  </si>
  <si>
    <t xml:space="preserve">Election Risk Pays Off for Shinzo Abe of Japan as Party Appears to Win Big - The New York Times https://t.co/51c7U8LKDI</t>
  </si>
  <si>
    <t xml:space="preserve">Houston, TX</t>
  </si>
  <si>
    <t xml:space="preserve">Future Paralegal and Lobbyist with 2 Masters. one in Nonprofit Mangement from UHD and Public Administration. Passionate about helping others!</t>
  </si>
  <si>
    <t xml:space="preserve">Shinzo Abe secures strong mandate in Japan's general election https://t.co/Jib6wSQRjL</t>
  </si>
  <si>
    <t xml:space="preserve">Hemant S Pant</t>
  </si>
  <si>
    <t xml:space="preserve">Amritsar-PB02 - Doiwala UK07</t>
  </si>
  <si>
    <t xml:space="preserve">Ambarsariya😎 (Retweeter) Swayamsewak #Jai_Hind</t>
  </si>
  <si>
    <t xml:space="preserve">bemybaby</t>
  </si>
  <si>
    <t xml:space="preserve">Kyoto, Japan</t>
  </si>
  <si>
    <r>
      <rPr>
        <sz val="8"/>
        <rFont val="Droid Sans"/>
        <family val="0"/>
        <charset val="1"/>
      </rPr>
      <t xml:space="preserve">CTO/EO of SBIR granted startups, analytical chemist, colloid scientist, gold nanoparticle engineer, and codename crootie in CoD2/4. </t>
    </r>
    <r>
      <rPr>
        <sz val="8"/>
        <rFont val="Noto Sans CJK SC Regular"/>
        <family val="2"/>
      </rPr>
      <t xml:space="preserve">心の師は石田梅岩と山本七平 </t>
    </r>
    <r>
      <rPr>
        <sz val="8"/>
        <rFont val="Droid Sans"/>
        <family val="0"/>
        <charset val="1"/>
      </rPr>
      <t xml:space="preserve">#</t>
    </r>
    <r>
      <rPr>
        <sz val="8"/>
        <rFont val="Noto Sans CJK SC Regular"/>
        <family val="2"/>
      </rPr>
      <t xml:space="preserve">拉致被害者全員奪還</t>
    </r>
  </si>
  <si>
    <t xml:space="preserve">Rajan Singh</t>
  </si>
  <si>
    <t xml:space="preserve">Dubai, UAE</t>
  </si>
  <si>
    <t xml:space="preserve">A proud Indian, business manager for a global conglomerate active in infra, power, energy, investment business globally in developing &amp; emerging markets</t>
  </si>
  <si>
    <t xml:space="preserve">Indian 24 News</t>
  </si>
  <si>
    <t xml:space="preserve">Japan PM Shinzo Abe's ruling bloc on track for big win in election: TV exit polls https://t.co/4dpIGe6auv #news… https://t.co/kolYERifNh</t>
  </si>
  <si>
    <t xml:space="preserve">indian24-haberGönderici-3</t>
  </si>
  <si>
    <t xml:space="preserve">Indian 24 News covers latest news from India. https://t.co/MgQsLnUe1o https://t.co/fKMj99Qd0K</t>
  </si>
  <si>
    <t xml:space="preserve">Shinzo Abe just moved closer to becoming Japan's longest-serving leader https://t.co/ZxnJvQJLdR #japanElection https://t.co/EFr27XRYGR</t>
  </si>
  <si>
    <t xml:space="preserve">THANASSIS TEMPONERAS</t>
  </si>
  <si>
    <t xml:space="preserve">Shinzo Abe secures strong mandate in Japan's general election https://t.co/mKJdv0ecED</t>
  </si>
  <si>
    <t xml:space="preserve">Corfu , Greece</t>
  </si>
  <si>
    <t xml:space="preserve">Branch Manager in Piraeus Bank ( www.piraeusbank.gr ) Previous Years: Barclays Bank , AVIS. For Ever:Photography ,Yamaha Moto team, Travelling round the World</t>
  </si>
  <si>
    <t xml:space="preserve">Vikas</t>
  </si>
  <si>
    <t xml:space="preserve">Financial Analyst,Loves Reading,Investor. RTs are definitely not endorsements</t>
  </si>
  <si>
    <t xml:space="preserve">Shinzo Abe secures strong mandate in Japan's general election - The Guardian https://t.co/5Qx4VRKfdm https://t.co/W7IBGCqMKw</t>
  </si>
  <si>
    <t xml:space="preserve">My Life V</t>
  </si>
  <si>
    <t xml:space="preserve">Towson</t>
  </si>
  <si>
    <t xml:space="preserve">S Gurumurthy</t>
  </si>
  <si>
    <t xml:space="preserve">This is one election in which India had a huge stake. Abe is a cultural and civilisational partner of India. Prime… https://t.co/4VPZuXHlHo</t>
  </si>
  <si>
    <t xml:space="preserve">Mahaswami in whom I saw God advised me out of electoral politics. CA by profession. Writer on political, economic issues by choice Editor Thuglak by destiny</t>
  </si>
  <si>
    <t xml:space="preserve">Uttistha Bharata</t>
  </si>
  <si>
    <t xml:space="preserve">RT @sgurumurthy: This is one election in which India had a huge stake. Abe is a cultural and civilisational partner of India. Prime Ministe…</t>
  </si>
  <si>
    <t xml:space="preserve">Student of Jyotish,Kriya Sadhana,Homam,spiritual, India First,Arise!Awake! and stop not until the goal is reached-Uthistha Bhharataha! RT's not endorsements</t>
  </si>
  <si>
    <t xml:space="preserve">SANJAY VOHRA</t>
  </si>
  <si>
    <t xml:space="preserve">Dehradun, India</t>
  </si>
  <si>
    <t xml:space="preserve">Alivesmart India pvt ltd. Building a Smarter World by delivering Smart, Safe, Energy efficient &amp; Eco friendly Power Solutions. Reduce Carbon footprint.</t>
  </si>
  <si>
    <t xml:space="preserve">stockmarketnow</t>
  </si>
  <si>
    <t xml:space="preserve">Shinzo Abe's 3rd act: Stability for investors, and a salve for Japan's scandal-battered companies https://t.co/zL5BxOt2qj</t>
  </si>
  <si>
    <t xml:space="preserve">stock market live news stream</t>
  </si>
  <si>
    <t xml:space="preserve">Ajay Kadian 🇮🇳</t>
  </si>
  <si>
    <t xml:space="preserve">दिल से हिन्दुस्तानी !</t>
  </si>
  <si>
    <t xml:space="preserve">Naman Gokhroo</t>
  </si>
  <si>
    <t xml:space="preserve">Jaipur, Rajasthan, INDIA</t>
  </si>
  <si>
    <t xml:space="preserve">Administrative Officer (Finance), The New India Assurance Co. Ltd. Stock Market Enthusiast, In search of a Moat, When market gives you lemon make lemonade</t>
  </si>
  <si>
    <t xml:space="preserve">Pushkar N Kulkarni</t>
  </si>
  <si>
    <t xml:space="preserve">Kevandal</t>
  </si>
  <si>
    <t xml:space="preserve">RT @FXBAUD: Shinzo Abe gains big victory in Japan election https://t.co/tOYOInJpTO via @FT</t>
  </si>
  <si>
    <t xml:space="preserve">LOLWA</t>
  </si>
  <si>
    <t xml:space="preserve">216.2285° N, 530.5860° E</t>
  </si>
  <si>
    <t xml:space="preserve">A category-3 engineer from a category-2 college ,trying best possible to be a category-1 moron.proudly blocked by @mrsfunnybones @bainjal @nidhi @audreytruschke</t>
  </si>
  <si>
    <t xml:space="preserve">I Am Vikas ....</t>
  </si>
  <si>
    <t xml:space="preserve">Uttar Pradesh, India</t>
  </si>
  <si>
    <t xml:space="preserve">There is only one truth in universe, NUMBERS. Rest is observation. Don't try to abuse my dieties n civilization, reply will be in same coins. भारत सरकार ।</t>
  </si>
  <si>
    <t xml:space="preserve">Vimal Pandey 🇮🇳</t>
  </si>
  <si>
    <t xml:space="preserve"> भारत</t>
  </si>
  <si>
    <t xml:space="preserve">॥ जननी जन्मभूमिश्च स्वर्गादपि गरीयसी ॥ Mother and Motherland are superior to heaven</t>
  </si>
  <si>
    <t xml:space="preserve">Anjali George</t>
  </si>
  <si>
    <t xml:space="preserve">Jambudweepa</t>
  </si>
  <si>
    <t xml:space="preserve">Jonathan Harrison</t>
  </si>
  <si>
    <t xml:space="preserve">Author of Angels &amp; Entrepreneurs &amp; Photographer</t>
  </si>
  <si>
    <t xml:space="preserve">KS Yadav</t>
  </si>
  <si>
    <t xml:space="preserve">Jodhpur</t>
  </si>
  <si>
    <t xml:space="preserve">Advocate by profession dealing in constitutional and service matters in the High court at Jodhpur. 'बिना राष्ट्रधर्म राजनीति आधारहीन और लक्ष्यहीन'</t>
  </si>
  <si>
    <t xml:space="preserve">shashwat</t>
  </si>
  <si>
    <t xml:space="preserve">लखनऊ</t>
  </si>
  <si>
    <t xml:space="preserve">You know, hope is a mistake. If you can't fix what's broken, you'll go insane.</t>
  </si>
  <si>
    <t xml:space="preserve">Ajay</t>
  </si>
  <si>
    <t xml:space="preserve">I was a born Liberal, hypocrisy of pseudo seculars has made me a communal Hindu!</t>
  </si>
  <si>
    <t xml:space="preserve">Yatharth Purohit 🚩</t>
  </si>
  <si>
    <t xml:space="preserve">Proud Indian//Electrical engineer//techie//warrior of bigger battle//Hindutva//followed by @PiyushGoyalOffc</t>
  </si>
  <si>
    <t xml:space="preserve">#RenukaJain, FCA 🇮🇳</t>
  </si>
  <si>
    <t xml:space="preserve">Chartered Accountant, Company Secretary Financial &amp; Tax Advisor, Portfolio Management. favorite moments Sky diving in Munich &amp; Bungy in Cairns.</t>
  </si>
  <si>
    <t xml:space="preserve">Joga-Maya 😎</t>
  </si>
  <si>
    <t xml:space="preserve">Never ask a UP born Haryana domiciled Bong if she has fear 😎</t>
  </si>
  <si>
    <t xml:space="preserve">Sundar</t>
  </si>
  <si>
    <t xml:space="preserve">Proud to be a Bharatiya...Dharmo Rakshati Rakshitah!!!</t>
  </si>
  <si>
    <t xml:space="preserve">ॐ !nto!erantSou!🇮🇳</t>
  </si>
  <si>
    <t xml:space="preserve">भारतवर्ष </t>
  </si>
  <si>
    <t xml:space="preserve">♉ , #Photography !! ✌Observation 🤓 , *Not everyone has to like you , not everyone has a taste* 🚭</t>
  </si>
  <si>
    <t xml:space="preserve">Just a human 🇮🇳</t>
  </si>
  <si>
    <t xml:space="preserve">आर्यावर्त</t>
  </si>
  <si>
    <t xml:space="preserve">A believer of humanity who wants a world free from terrorism A lion by mind but a truth seeker human by soul.</t>
  </si>
  <si>
    <t xml:space="preserve">Nisha Singh</t>
  </si>
  <si>
    <t xml:space="preserve">Toronto | New Delhi | New York</t>
  </si>
  <si>
    <t xml:space="preserve">★ Viraat Hindu Girl ★ Sanatan Yodha Bhavani ★ Proud Kaffir ★ Friendly ★ Addictive ★ Abusive ★ Don't Mess ★ Half D***'s Stay Away ★ Jai Bharat ★ 6th account ★</t>
  </si>
  <si>
    <t xml:space="preserve">Carol Nolan Drake</t>
  </si>
  <si>
    <t xml:space="preserve">Election Risk Pays Off for Shinzo Abe of Japan as Party Appears to Win Big - The New York Times https://t.co/FAwJFUaTw0</t>
  </si>
  <si>
    <t xml:space="preserve">Columbus, OH</t>
  </si>
  <si>
    <t xml:space="preserve">Amit Sharma~Saraswat</t>
  </si>
  <si>
    <t xml:space="preserve">New Delhi, Faridabad, Aligarh</t>
  </si>
  <si>
    <t xml:space="preserve">sameer gupta</t>
  </si>
  <si>
    <t xml:space="preserve">Teacher ... Man U fan ... Modi Fan ... Foodie</t>
  </si>
  <si>
    <t xml:space="preserve">Intolerant Indian</t>
  </si>
  <si>
    <t xml:space="preserve">All In</t>
  </si>
  <si>
    <t xml:space="preserve">Totally Effed Up</t>
  </si>
  <si>
    <t xml:space="preserve">अमित आनंद 🇮🇳</t>
  </si>
  <si>
    <t xml:space="preserve">भारत</t>
  </si>
  <si>
    <t xml:space="preserve">A technologist by profession, a writer by heart, a politician by mind &amp; a student of life! My tweets r personal &amp; retweets not endorsemets.</t>
  </si>
  <si>
    <t xml:space="preserve">Vijay</t>
  </si>
  <si>
    <t xml:space="preserve">Vellore, India</t>
  </si>
  <si>
    <t xml:space="preserve">#தமிழன் #இந்தியன் #இந்து என்பதில் பெருமை #விளையாட்டு பிரியன் #புகைப்பட பிரியன்</t>
  </si>
  <si>
    <t xml:space="preserve">Himanshu Sharma</t>
  </si>
  <si>
    <t xml:space="preserve">Chandigarh, India</t>
  </si>
  <si>
    <t xml:space="preserve">Lawyer, Teetotaler, Philanthropist. Admirer of Swami Vivekananda. RTs not endorsements.</t>
  </si>
  <si>
    <t xml:space="preserve">Bhavik Shrimal</t>
  </si>
  <si>
    <t xml:space="preserve">Jaipur, India</t>
  </si>
  <si>
    <t xml:space="preserve">TRUMP supporter.</t>
  </si>
  <si>
    <t xml:space="preserve">T M Jeya Ganesh</t>
  </si>
  <si>
    <t xml:space="preserve">An Indian to the Core.</t>
  </si>
  <si>
    <t xml:space="preserve">NBS🇮🇳🔵</t>
  </si>
  <si>
    <t xml:space="preserve">Naujawan Bharat Sabha (revisited) || ॐ इदं राष्ट्राय इदन्न मम ॐ ||(https://t.co/yLoWoAin1K yiaorg@facebook.com</t>
  </si>
  <si>
    <t xml:space="preserve">slh364</t>
  </si>
  <si>
    <t xml:space="preserve">Wave</t>
  </si>
  <si>
    <t xml:space="preserve">Lové you</t>
  </si>
  <si>
    <t xml:space="preserve">Andrew Schneider</t>
  </si>
  <si>
    <t xml:space="preserve">Election Risk Pays Off for #ShinzoAbe of #Japan as LDP Appears to Win Big #JapanElection https://t.co/57qW4umvDL</t>
  </si>
  <si>
    <t xml:space="preserve">Houston, Texas</t>
  </si>
  <si>
    <t xml:space="preserve">Politics &amp; government reporter for @HPMNews887. NPR News contributor. Author. Historian. @UChicago alum.</t>
  </si>
  <si>
    <t xml:space="preserve">#Europe: Japan’s PM Shinzo Abe poised to win snap election https://t.co/kMCx9DsTkV</t>
  </si>
  <si>
    <t xml:space="preserve">Sundeep Bhatera.</t>
  </si>
  <si>
    <t xml:space="preserve">Bhakt, Unconditionally, Go Get It, RT not Endorsements.</t>
  </si>
  <si>
    <t xml:space="preserve">JIVA</t>
  </si>
  <si>
    <t xml:space="preserve">LandOfSeekers</t>
  </si>
  <si>
    <t xml:space="preserve">Monty chadha</t>
  </si>
  <si>
    <t xml:space="preserve">bharat </t>
  </si>
  <si>
    <t xml:space="preserve">Bhakt of my PM Modi ...and most important... Retweets r definite endorsements</t>
  </si>
  <si>
    <r>
      <rPr>
        <sz val="8"/>
        <rFont val="Noto Sans CJK SC Regular"/>
        <family val="2"/>
      </rPr>
      <t xml:space="preserve">アルフレド</t>
    </r>
    <r>
      <rPr>
        <sz val="8"/>
        <rFont val="Droid Sans"/>
        <family val="0"/>
        <charset val="1"/>
      </rPr>
      <t xml:space="preserve">Freddy</t>
    </r>
    <r>
      <rPr>
        <sz val="8"/>
        <rFont val="Noto Sans CJK SC Regular"/>
        <family val="2"/>
      </rPr>
      <t xml:space="preserve">ソーロ 🎥 🌏</t>
    </r>
  </si>
  <si>
    <t xml:space="preserve">RT @mattiaswac: Shinzo Abe just moved closer to becoming Japan's longest-serving leader https://t.co/ZxnJvQJLdR #japanElection https://t.co…</t>
  </si>
  <si>
    <r>
      <rPr>
        <sz val="8"/>
        <rFont val="Noto Sans CJK SC Regular"/>
        <family val="2"/>
      </rPr>
      <t xml:space="preserve">トゥデラ市、</t>
    </r>
    <r>
      <rPr>
        <sz val="8"/>
        <rFont val="Droid Sans"/>
        <family val="0"/>
        <charset val="1"/>
      </rPr>
      <t xml:space="preserve">Navarra. Spain.</t>
    </r>
  </si>
  <si>
    <r>
      <rPr>
        <sz val="8"/>
        <rFont val="Droid Sans"/>
        <family val="0"/>
        <charset val="1"/>
      </rPr>
      <t xml:space="preserve">Filmmaker, </t>
    </r>
    <r>
      <rPr>
        <sz val="8"/>
        <rFont val="Noto Sans CJK SC Regular"/>
        <family val="2"/>
      </rPr>
      <t xml:space="preserve">漫画とアニメオタク </t>
    </r>
    <r>
      <rPr>
        <sz val="8"/>
        <rFont val="Droid Sans"/>
        <family val="0"/>
        <charset val="1"/>
      </rPr>
      <t xml:space="preserve">y geek humano.</t>
    </r>
  </si>
  <si>
    <t xml:space="preserve">karan kohli</t>
  </si>
  <si>
    <t xml:space="preserve">Entrepreneur.</t>
  </si>
  <si>
    <t xml:space="preserve">Anshul</t>
  </si>
  <si>
    <t xml:space="preserve">Jabalpur, India</t>
  </si>
  <si>
    <t xml:space="preserve">ex cop, ex i banker, iit, iim, public policy, chevening alumuns, dreamer, cyber security, runner(HM 1:54) Retweet NOT endorsement Tweets not view of my employer</t>
  </si>
  <si>
    <t xml:space="preserve">Rajnish Sinha</t>
  </si>
  <si>
    <t xml:space="preserve">India First. #GoVegan - reduce non-veg in your food that is the best one can do to reduce global warming and a better beautiful world. # Bharat Mata Ki Jai.</t>
  </si>
  <si>
    <t xml:space="preserve">Intolerant Mahesh</t>
  </si>
  <si>
    <t xml:space="preserve"> पुणे Pune, India</t>
  </si>
  <si>
    <t xml:space="preserve">Proud Hindu,Reluctant Right Winger Child of a Daylight, Relentless Rapes by Pseudoseckulars;Media;Liberals;Commies and Congis.</t>
  </si>
  <si>
    <t xml:space="preserve">Janvi 🎪🚩🕉️</t>
  </si>
  <si>
    <t xml:space="preserve">Act like Summer🌤️walk like rain🌧️🌈 “Took a while to Feng Shui the evil out.” Nation First | Respect Soldiers💪 | @narendramodi NamoFan🙏 🇮🇳वन्देमातरम्🇮🇳</t>
  </si>
  <si>
    <t xml:space="preserve">Gagan Podar</t>
  </si>
  <si>
    <t xml:space="preserve">Aamchi Mumbai</t>
  </si>
  <si>
    <t xml:space="preserve">Proud Indian, Proud Mumbaikar, Proud Hindu. Fan of @swamy39 and his intellectual friends and @narendramodi, our PM. RTs are not endorsements.</t>
  </si>
  <si>
    <t xml:space="preserve">The Unending</t>
  </si>
  <si>
    <t xml:space="preserve">I make better coffee than you ever can, deal with it</t>
  </si>
  <si>
    <t xml:space="preserve">Manish Sanklecha</t>
  </si>
  <si>
    <t xml:space="preserve">supports modi n bjp. but not blind bhakt. RT r not endorsed.</t>
  </si>
  <si>
    <t xml:space="preserve">Satya Prakash</t>
  </si>
  <si>
    <t xml:space="preserve">Views expressed are personal</t>
  </si>
  <si>
    <t xml:space="preserve">Legal Editor, The Tribune. Previously with Hindustan Times, PTI</t>
  </si>
  <si>
    <t xml:space="preserve">Vijay B Nair</t>
  </si>
  <si>
    <t xml:space="preserve">UAE</t>
  </si>
  <si>
    <t xml:space="preserve">Alok Mehta</t>
  </si>
  <si>
    <t xml:space="preserve">Pune, Maharashtra</t>
  </si>
  <si>
    <t xml:space="preserve">Structural Engineer Interested in everything else Science,Politics, technology,Philosophy etc -stuff that makes 1sound smart but doesn't add 2 $$ productivity.</t>
  </si>
  <si>
    <t xml:space="preserve">Dr.Gopinath J.V.S</t>
  </si>
  <si>
    <t xml:space="preserve">Hyderabad,India</t>
  </si>
  <si>
    <t xml:space="preserve">Physician. Interests: NaMo supporter Hate Gandhi's and Paid Presstitutes</t>
  </si>
  <si>
    <t xml:space="preserve">Narasimha</t>
  </si>
  <si>
    <t xml:space="preserve">Hyderabad</t>
  </si>
  <si>
    <t xml:space="preserve">On twitter to support Hinduism. Contempt for journalists,Congis &amp; AAPtards for their hypocrisy. UP 2017 was special but 2019 is CRITICAL - for Modi &amp; for India</t>
  </si>
  <si>
    <t xml:space="preserve">gab.ai/samir_patil</t>
  </si>
  <si>
    <t xml:space="preserve">भारत India</t>
  </si>
  <si>
    <t xml:space="preserve">Peopled Geeks rule the World. I am a |-|@(k3r on the way. https://t.co/CmKjYAqTuy</t>
  </si>
  <si>
    <t xml:space="preserve">Anki</t>
  </si>
  <si>
    <t xml:space="preserve">Vijayawada, India</t>
  </si>
  <si>
    <t xml:space="preserve">💧Coffee Pot better than Pity Pot 💧💓</t>
  </si>
  <si>
    <t xml:space="preserve">Jaswinder Singh</t>
  </si>
  <si>
    <t xml:space="preserve">Nationalist, Admire MODI for the effort &amp; Man hours he puts in. FOE not at the cost of Nation. Salute the Defence Services. Live &amp; let live. Jai Hind.</t>
  </si>
  <si>
    <t xml:space="preserve">Jyoti R Samantray</t>
  </si>
  <si>
    <t xml:space="preserve">रामजी</t>
  </si>
  <si>
    <t xml:space="preserve">Mithun Tejasvi</t>
  </si>
  <si>
    <t xml:space="preserve">Chennai-Bangalore </t>
  </si>
  <si>
    <t xml:space="preserve">Actor</t>
  </si>
  <si>
    <t xml:space="preserve">Victor Perri</t>
  </si>
  <si>
    <t xml:space="preserve">Election Risk Pays Off for Shinzo Abe of Japan as Party Appears to Win Big - The New York Times https://t.co/ehL8irVDpo</t>
  </si>
  <si>
    <t xml:space="preserve">Salt Lake City UT</t>
  </si>
  <si>
    <t xml:space="preserve">practiced as a labor lawyer, employment discrimination, civil rights, disabilities litigator. Buddhist. Serving others and the Dharma.#TheResistance</t>
  </si>
  <si>
    <t xml:space="preserve">JustBigNews.com</t>
  </si>
  <si>
    <t xml:space="preserve">Election Risk Pays Off for Shinzo Abe of Japan as Party Appears to Win Big -- 17 related stories on JustBigNews. https://t.co/NGIBdu4KNG</t>
  </si>
  <si>
    <t xml:space="preserve">Newsibly Top Headlines</t>
  </si>
  <si>
    <t xml:space="preserve">News feed from the JustBigNews aggregator. Bringing you the topics most reported on by major media.</t>
  </si>
  <si>
    <t xml:space="preserve">k sridhar</t>
  </si>
  <si>
    <t xml:space="preserve">Honest citizen, hate corruption and give 10 for getting 1 from beloved. RTs are not endorsements</t>
  </si>
  <si>
    <t xml:space="preserve">राजा बाबू</t>
  </si>
  <si>
    <t xml:space="preserve">Bhojpur, India</t>
  </si>
  <si>
    <t xml:space="preserve">सनकी नं.1</t>
  </si>
  <si>
    <t xml:space="preserve">EX-SKF</t>
  </si>
  <si>
    <r>
      <rPr>
        <sz val="8"/>
        <rFont val="Droid Sans"/>
        <family val="0"/>
        <charset val="1"/>
      </rPr>
      <t xml:space="preserve">Used to be a financial blog following Austrian economics, but now taken over by Fukushima nuke accident. </t>
    </r>
    <r>
      <rPr>
        <sz val="8"/>
        <rFont val="Noto Sans CJK SC Regular"/>
        <family val="2"/>
      </rPr>
      <t xml:space="preserve">日本語ブログ</t>
    </r>
    <r>
      <rPr>
        <sz val="8"/>
        <rFont val="Droid Sans"/>
        <family val="0"/>
        <charset val="1"/>
      </rPr>
      <t xml:space="preserve">http://t.co/2t0e4LpihY</t>
    </r>
  </si>
  <si>
    <t xml:space="preserve">Supertyphoon Lan seems to be the latest obstacle to political parties seeking to unseat Japan’s ruling coalition https://t.co/sWeiNIxZtZ</t>
  </si>
  <si>
    <t xml:space="preserve">Inder Gopal</t>
  </si>
  <si>
    <t xml:space="preserve">Professional Photographer</t>
  </si>
  <si>
    <t xml:space="preserve">Shinzo Abe secures strong mandate in Japan's general election | World news via /r/worldnews https://t.co/L97SS6roXL</t>
  </si>
  <si>
    <t xml:space="preserve">PCM</t>
  </si>
  <si>
    <t xml:space="preserve">भारत माता की जय</t>
  </si>
  <si>
    <t xml:space="preserve">KrishRagavan</t>
  </si>
  <si>
    <t xml:space="preserve">Somewhere on Earth</t>
  </si>
  <si>
    <t xml:space="preserve">unoffical spokesperson for Congress party, biggest Rahul Gandi fan, For India's Benefit, he should continue to lead Congress in 2019, Munch #AAPtards 4 B/L&amp;D</t>
  </si>
  <si>
    <t xml:space="preserve">zerohour</t>
  </si>
  <si>
    <t xml:space="preserve">Ashish Mishra</t>
  </si>
  <si>
    <t xml:space="preserve">IT Labour, Tax Paying Common Man, Traveller &amp; RTs are not endorsements 😜</t>
  </si>
  <si>
    <t xml:space="preserve">virtuoso</t>
  </si>
  <si>
    <t xml:space="preserve">Jammu, Jammu And Kashmir</t>
  </si>
  <si>
    <t xml:space="preserve">Architect,Nationalist,Dharmic with a strong belief in the Sanatan way of life.</t>
  </si>
  <si>
    <t xml:space="preserve">Vinayak Jain</t>
  </si>
  <si>
    <t xml:space="preserve">Brilliant news for India! An election that mattered more to us than any other in the world. https://t.co/uUFmBEmEgA</t>
  </si>
  <si>
    <t xml:space="preserve">Followed by my inspiration Prime Minister @narendramodi | Indebted to my soldiers | Student of finance | Writer</t>
  </si>
  <si>
    <t xml:space="preserve">Parin</t>
  </si>
  <si>
    <t xml:space="preserve">Goregaon West, Mumbai</t>
  </si>
  <si>
    <t xml:space="preserve">I am an admirer of PM Modi &amp; if that makes me a 'Bhakt' so be it. I believe in the Hindu philosophy of Karma (even when I am committing bad Karmas 😨)</t>
  </si>
  <si>
    <t xml:space="preserve">YASH KHANDELWAL 🕉</t>
  </si>
  <si>
    <t xml:space="preserve">JAIPUR</t>
  </si>
  <si>
    <t xml:space="preserve">~अहिंसा परमो धर्मः धर्म हिंसा तथैव च:~ यदि अहिंसा परम् धर्म है, तो धर्म के लिए हिंसा भी परम् धर्म है ।#VikramSamvat 2073</t>
  </si>
  <si>
    <t xml:space="preserve">Exit polls show win for Japanese PM Shinzo Abe's ruling coalition https://t.co/sXd8vJgCCJ</t>
  </si>
  <si>
    <t xml:space="preserve">岡田哲哉</t>
  </si>
  <si>
    <t xml:space="preserve">Japan's PM Shinzo Abe poised to win snap election @AJENews https://t.co/GeA3UWhbZo</t>
  </si>
  <si>
    <t xml:space="preserve">名古屋市</t>
  </si>
  <si>
    <r>
      <rPr>
        <sz val="8"/>
        <rFont val="Noto Sans CJK SC Regular"/>
        <family val="2"/>
      </rPr>
      <t xml:space="preserve">コンピュータークリエーターズ代表。 </t>
    </r>
    <r>
      <rPr>
        <sz val="8"/>
        <rFont val="Droid Sans"/>
        <family val="0"/>
        <charset val="1"/>
      </rPr>
      <t xml:space="preserve">iPad</t>
    </r>
    <r>
      <rPr>
        <sz val="8"/>
        <rFont val="Noto Sans CJK SC Regular"/>
        <family val="2"/>
      </rPr>
      <t xml:space="preserve">アプリ</t>
    </r>
    <r>
      <rPr>
        <sz val="8"/>
        <rFont val="Droid Sans"/>
        <family val="0"/>
        <charset val="1"/>
      </rPr>
      <t xml:space="preserve">OneLineDraw</t>
    </r>
    <r>
      <rPr>
        <sz val="8"/>
        <rFont val="Noto Sans CJK SC Regular"/>
        <family val="2"/>
      </rPr>
      <t xml:space="preserve">、</t>
    </r>
    <r>
      <rPr>
        <sz val="8"/>
        <rFont val="Droid Sans"/>
        <family val="0"/>
        <charset val="1"/>
      </rPr>
      <t xml:space="preserve">iPhone</t>
    </r>
    <r>
      <rPr>
        <sz val="8"/>
        <rFont val="Noto Sans CJK SC Regular"/>
        <family val="2"/>
      </rPr>
      <t xml:space="preserve">アプリ</t>
    </r>
    <r>
      <rPr>
        <sz val="8"/>
        <rFont val="Droid Sans"/>
        <family val="0"/>
        <charset val="1"/>
      </rPr>
      <t xml:space="preserve">TrigonScope</t>
    </r>
    <r>
      <rPr>
        <sz val="8"/>
        <rFont val="Noto Sans CJK SC Regular"/>
        <family val="2"/>
      </rPr>
      <t xml:space="preserve">、特殊効果カメラの作者です。</t>
    </r>
    <r>
      <rPr>
        <sz val="8"/>
        <rFont val="Droid Sans"/>
        <family val="0"/>
        <charset val="1"/>
      </rPr>
      <t xml:space="preserve">Android</t>
    </r>
    <r>
      <rPr>
        <sz val="8"/>
        <rFont val="Noto Sans CJK SC Regular"/>
        <family val="2"/>
      </rPr>
      <t xml:space="preserve">もやってます。</t>
    </r>
  </si>
  <si>
    <t xml:space="preserve">Neelam</t>
  </si>
  <si>
    <t xml:space="preserve">नई दिल्ली, भारत</t>
  </si>
  <si>
    <t xml:space="preserve">arunabha lahiri</t>
  </si>
  <si>
    <t xml:space="preserve">ठाणे, भारत</t>
  </si>
  <si>
    <t xml:space="preserve">Staunch Nationalist &amp; A Proud INDIAN. Strongly averse to pseudo seculars, self styled intellectuals, &amp; news traders.</t>
  </si>
  <si>
    <t xml:space="preserve">Hindu_&amp;_Islamophobic</t>
  </si>
  <si>
    <t xml:space="preserve">YOW - CJB</t>
  </si>
  <si>
    <t xml:space="preserve">You never fail until you stop trying. ― Albert Einstein</t>
  </si>
  <si>
    <t xml:space="preserve">Shinzo Abe gains big victory in Japan election #JapanElection #Japan https://t.co/JrTTYptNK5</t>
  </si>
  <si>
    <t xml:space="preserve">Krish</t>
  </si>
  <si>
    <t xml:space="preserve">Karnataka, India</t>
  </si>
  <si>
    <t xml:space="preserve">Entrepreneur,Go with humanism, talk straight,Truth..always. Tweets own, RT/FAX not an endorsement.</t>
  </si>
  <si>
    <t xml:space="preserve">SeekingOptimism</t>
  </si>
  <si>
    <t xml:space="preserve">Proud Indian, Love Animals, Fitness freak and Traveler. Wish to see a day when all kinds of animal slaughter for food or religion is banned.</t>
  </si>
  <si>
    <t xml:space="preserve">Skrib</t>
  </si>
  <si>
    <t xml:space="preserve">RT @FAquila: Shinzo Abe gains big victory in Japan election #JapanElection #Japan https://t.co/JrTTYptNK5</t>
  </si>
  <si>
    <t xml:space="preserve">San Escobar</t>
  </si>
  <si>
    <t xml:space="preserve">The cull is coming. Pray for the poor millennials.</t>
  </si>
  <si>
    <t xml:space="preserve">आचार्य - श्री</t>
  </si>
  <si>
    <t xml:space="preserve">Over Billion Minds.. One Thought... INDIA FIRST !! RSS-JanSangh-BJP! @NarendraModi ji Follows Me</t>
  </si>
  <si>
    <t xml:space="preserve">kailas krish iyer</t>
  </si>
  <si>
    <t xml:space="preserve">Cancer will be eradicated soon from https://t.co/xYDznT4DGY over cancer by willpower, a Healthcare IT Professional ,a proud Indian , RT != Endosrment, Jai Hind</t>
  </si>
  <si>
    <t xml:space="preserve">Shinzo Abe secures strong mandate in Japan's general election | World news https://t.co/QXtoOJzdhv</t>
  </si>
  <si>
    <t xml:space="preserve">सोऽहम्</t>
  </si>
  <si>
    <t xml:space="preserve">कोऽहम्? कोऽहम्? पीछा करने पर पीछा करें! ट्वीट पर्सनल हों या पब्लिक, पसंद ना आये तो आँखें मूँद लें। मुझे परेशान ना करें।</t>
  </si>
  <si>
    <t xml:space="preserve">Angel with Fire</t>
  </si>
  <si>
    <t xml:space="preserve">Adrián Guízar</t>
  </si>
  <si>
    <t xml:space="preserve">Shinzo Abe gains big victory in Japan election - https://t.co/Ot7zcWvN2d via @FT</t>
  </si>
  <si>
    <t xml:space="preserve">Candidato a Doctor en Políticas Públicas, CIDE</t>
  </si>
  <si>
    <t xml:space="preserve">codepress</t>
  </si>
  <si>
    <t xml:space="preserve">Machine lover</t>
  </si>
  <si>
    <t xml:space="preserve">Sing</t>
  </si>
  <si>
    <t xml:space="preserve">Nation Before self</t>
  </si>
  <si>
    <t xml:space="preserve">allinall</t>
  </si>
  <si>
    <t xml:space="preserve">Bernard Gentry</t>
  </si>
  <si>
    <t xml:space="preserve">Dwyfor, Wales</t>
  </si>
  <si>
    <t xml:space="preserve">Clapham Common Conservative Councillor, Welsh Conservative Training Champion,Horse Racing Fan and Chelsea supporter.</t>
  </si>
  <si>
    <t xml:space="preserve">Frances Driggers</t>
  </si>
  <si>
    <t xml:space="preserve">Election Risk Pays Off for Shinzo Abe of Japan as Party Appears to Win Big - The New York Times https://t.co/YaHA3QLrzS</t>
  </si>
  <si>
    <t xml:space="preserve">Florida</t>
  </si>
  <si>
    <t xml:space="preserve">Prasad Karwa</t>
  </si>
  <si>
    <t xml:space="preserve">Pune, Jalgaon</t>
  </si>
  <si>
    <t xml:space="preserve">RTs are not endorsement. I meditate! Happy being Busy - Busy being Happy!</t>
  </si>
  <si>
    <t xml:space="preserve">Bholebaba</t>
  </si>
  <si>
    <t xml:space="preserve">Against corruption, I Love Saffron!! Want Congress mukt bharat!! RT not endorsement. Nadi Astrologer.</t>
  </si>
  <si>
    <t xml:space="preserve">Mewzhir</t>
  </si>
  <si>
    <t xml:space="preserve">Northern Region, West Malaysia</t>
  </si>
  <si>
    <t xml:space="preserve">21 | Malaysian | Law LLB IIUM | #GGMU #HalaMadrid</t>
  </si>
  <si>
    <t xml:space="preserve">Rakesh K K Gandhi</t>
  </si>
  <si>
    <t xml:space="preserve">Wherever you Want Me.</t>
  </si>
  <si>
    <t xml:space="preserve">Indian,Marwadi,Kannadiga.Employ myself.Sarcasm.RTs not endorsements</t>
  </si>
  <si>
    <t xml:space="preserve">pushpak dessai</t>
  </si>
  <si>
    <t xml:space="preserve">RT @vinayak_jain: Brilliant news for India! An election that mattered more to us than any other in the world. https://t.co/uUFmBEmEgA</t>
  </si>
  <si>
    <t xml:space="preserve">Dadar West, Mumbai</t>
  </si>
  <si>
    <t xml:space="preserve">माध्यांदिन</t>
  </si>
  <si>
    <t xml:space="preserve">realbhartiya</t>
  </si>
  <si>
    <t xml:space="preserve">A Proud Nationalist. Opinions personal.Retweet or Like not an endorsement!</t>
  </si>
  <si>
    <t xml:space="preserve">aasare</t>
  </si>
  <si>
    <t xml:space="preserve">Rajni Kalra 🇮🇳ੴ</t>
  </si>
  <si>
    <t xml:space="preserve">Mumbai / Bhopal / Jalandhar !</t>
  </si>
  <si>
    <t xml:space="preserve">Dr Harry Lime</t>
  </si>
  <si>
    <t xml:space="preserve">Shinzo Abe secures strong mandate in Japan's general election https://t.co/9EiSN5ksKq</t>
  </si>
  <si>
    <t xml:space="preserve">In Transit  </t>
  </si>
  <si>
    <t xml:space="preserve">Restaurateur Ringmaster &amp; Carpetbagger</t>
  </si>
  <si>
    <t xml:space="preserve">Isha</t>
  </si>
  <si>
    <t xml:space="preserve">I love my Hindustan, Fan of shri narendramodi ji, following him from 2002</t>
  </si>
  <si>
    <t xml:space="preserve">Sri Krishna</t>
  </si>
  <si>
    <t xml:space="preserve">RT &amp; likes,mean NO ENDORSEMENT</t>
  </si>
  <si>
    <t xml:space="preserve">Victory to The Mother &amp; Sri Aurobindo.He saved Franco-Brits at DUNKIRK from certain annihilation. She fooled Hitler 2 attack RUSSIA. Shi - Va.</t>
  </si>
  <si>
    <t xml:space="preserve">विषयक, अनुवादक</t>
  </si>
  <si>
    <t xml:space="preserve">#MandirKabBanayenge</t>
  </si>
  <si>
    <t xml:space="preserve">nidhi bahuguna</t>
  </si>
  <si>
    <t xml:space="preserve">housewife love reading, travelling, meeting people,politics,music supported india against corruption.now anti AAP , support MODI as PM</t>
  </si>
  <si>
    <t xml:space="preserve">Vasudevan S</t>
  </si>
  <si>
    <t xml:space="preserve">Software professional interested in discussing politics, economics, history etc. Certified internet hindhu by sagarika ghose :)</t>
  </si>
  <si>
    <t xml:space="preserve">Venkat R</t>
  </si>
  <si>
    <t xml:space="preserve">Rajeev</t>
  </si>
  <si>
    <t xml:space="preserve">Freelance journalist. “Chase them till last.”</t>
  </si>
  <si>
    <t xml:space="preserve">Dr. John B. Charnay</t>
  </si>
  <si>
    <t xml:space="preserve">Election Risk Pays Off for Shinzo Abe of Japan as Party Appears to Win Big - The New York Times https://t.co/tMjHhGcx62</t>
  </si>
  <si>
    <t xml:space="preserve">★ Filmmaker, Producer &amp; Writer ★ ★Fundraising/P.R. &amp; Business Development Consultant★Networking Guru★Life &amp; Career, Job Search, Creativity &amp; Leadership Coach ★</t>
  </si>
  <si>
    <t xml:space="preserve">🇺🇸ChristianPatriot</t>
  </si>
  <si>
    <t xml:space="preserve">https://t.co/1pvCuoLDI5 "JAPAN ELECTION LIVE UPDATES -- Conservative coalition of Shinzō Abe maintains hold of 2/3 of lower house. Left is…</t>
  </si>
  <si>
    <t xml:space="preserve">I am an American, a Christian, the son of a Veteran, and a Trump supporter. No weapon formed against this nation shall prosper. We will save this country.</t>
  </si>
  <si>
    <t xml:space="preserve">jai shri krishna</t>
  </si>
  <si>
    <t xml:space="preserve">new delhii india</t>
  </si>
  <si>
    <t xml:space="preserve">bharat bhaqt,pakka hindustani.</t>
  </si>
  <si>
    <t xml:space="preserve">CA Maheswar Gupta</t>
  </si>
  <si>
    <t xml:space="preserve">CA by profession.passionate in politics. Socialist.Want 2 serve people nd spread humanity acros world bcoz world is our home.No caste,religion.BJPView r prsonal</t>
  </si>
  <si>
    <t xml:space="preserve">Yuri Hiranuma</t>
  </si>
  <si>
    <t xml:space="preserve">Election Risk Pays Off for Shinzo Abe of Japan as Party Appears to Win Big https://t.co/LLegpDwah3</t>
  </si>
  <si>
    <t xml:space="preserve">Portland, Oregon  U.S.A.</t>
  </si>
  <si>
    <r>
      <rPr>
        <sz val="8"/>
        <rFont val="Droid Sans"/>
        <family val="0"/>
        <charset val="1"/>
      </rPr>
      <t xml:space="preserve">Doctor of Osteopathy, </t>
    </r>
    <r>
      <rPr>
        <sz val="8"/>
        <rFont val="Noto Sans CJK SC Regular"/>
        <family val="2"/>
      </rPr>
      <t xml:space="preserve">京都市出身</t>
    </r>
    <r>
      <rPr>
        <sz val="8"/>
        <rFont val="Droid Sans"/>
        <family val="0"/>
        <charset val="1"/>
      </rPr>
      <t xml:space="preserve">, </t>
    </r>
    <r>
      <rPr>
        <sz val="8"/>
        <rFont val="Noto Sans CJK SC Regular"/>
        <family val="2"/>
      </rPr>
      <t xml:space="preserve">渡米</t>
    </r>
    <r>
      <rPr>
        <sz val="8"/>
        <rFont val="Droid Sans"/>
        <family val="0"/>
        <charset val="1"/>
      </rPr>
      <t xml:space="preserve">35</t>
    </r>
    <r>
      <rPr>
        <sz val="8"/>
        <rFont val="Noto Sans CJK SC Regular"/>
        <family val="2"/>
      </rPr>
      <t xml:space="preserve">年目</t>
    </r>
    <r>
      <rPr>
        <sz val="8"/>
        <rFont val="Droid Sans"/>
        <family val="0"/>
        <charset val="1"/>
      </rPr>
      <t xml:space="preserve">, Vinyasa yoga, Gluten/dairy/egg free, https://t.co/iqJSD2dAbC, https://t.co/y4kiOFwMLL, https://t.co/G5drMsFvEs</t>
    </r>
  </si>
  <si>
    <t xml:space="preserve">Radhika Arun</t>
  </si>
  <si>
    <t xml:space="preserve">पूर्णमदः पूर्णमिदं पूर्णात् पूर्णमुदच्यते । पूर्णस्य पूर्णमादाय पूर्णमेवावशिष्यते ॥</t>
  </si>
  <si>
    <t xml:space="preserve">Net Hindu</t>
  </si>
  <si>
    <t xml:space="preserve">New Jersey, USA &amp; Palakkad, KL</t>
  </si>
  <si>
    <t xml:space="preserve">Two guys looking at the world from the right with open eyes. Nation first.</t>
  </si>
  <si>
    <t xml:space="preserve">vipin shukla</t>
  </si>
  <si>
    <t xml:space="preserve">ahmedabad</t>
  </si>
  <si>
    <t xml:space="preserve">Entropy is rising</t>
  </si>
  <si>
    <t xml:space="preserve">SURESHBABU</t>
  </si>
  <si>
    <t xml:space="preserve">NEWDELHI</t>
  </si>
  <si>
    <t xml:space="preserve">Under Secretary to Chairman, Rajyasabha Tweets are personal.RTs do not imply my endorsement.</t>
  </si>
  <si>
    <t xml:space="preserve">Ashok P</t>
  </si>
  <si>
    <t xml:space="preserve">శుభం</t>
  </si>
  <si>
    <t xml:space="preserve">Pune, India.</t>
  </si>
  <si>
    <t xml:space="preserve">Centrist. Movie &amp; Music buff. Series Addict. Sun hater. Winter lover. Life liver. 🕉</t>
  </si>
  <si>
    <t xml:space="preserve">Pranav Gurav</t>
  </si>
  <si>
    <t xml:space="preserve">Pune, Maharashtra, India.</t>
  </si>
  <si>
    <t xml:space="preserve">Incharge,#TSVK Tantra Shikshan Vidyarthi Karya, Pune Region | Mech. Engg | Atheist | Nt believe in Caste | #ABVP | Industry-Insti. Collaboration | #Tech4Nation</t>
  </si>
  <si>
    <t xml:space="preserve">joydeep roy</t>
  </si>
  <si>
    <t xml:space="preserve">Proud Hindu, Namo till 2034, big fan of comedian Rahul G, RT's do not imply endorsement</t>
  </si>
  <si>
    <t xml:space="preserve">Sunil Dangwal</t>
  </si>
  <si>
    <t xml:space="preserve">A proud Indian I Nationalist I Pro Development I Hardcore Modi Fan I Namo Namo</t>
  </si>
  <si>
    <t xml:space="preserve">Rithik Manoj</t>
  </si>
  <si>
    <t xml:space="preserve">Dubai and Kerala</t>
  </si>
  <si>
    <t xml:space="preserve">Right Wing Enthusiast | RSS Ideologue l "Politics for me is not an Ambition but a Mission" -Narendra Modi !</t>
  </si>
  <si>
    <t xml:space="preserve">Sushant</t>
  </si>
  <si>
    <t xml:space="preserve">[MODIfied] Data Analyst, BigData, Software Developer, RT ≠ endorsement. ★ଓଡ଼ିଆ★</t>
  </si>
  <si>
    <t xml:space="preserve">vijay</t>
  </si>
  <si>
    <t xml:space="preserve">Anuraag Saxena</t>
  </si>
  <si>
    <t xml:space="preserve">Volunteer w/ @IndiaPrideProj. Wannabe #MultiPotentialite. Indic-Liberal. RT ≠ endorsements.</t>
  </si>
  <si>
    <t xml:space="preserve">Trade News Analysis</t>
  </si>
  <si>
    <t xml:space="preserve">#BREAKING: Abe secures strong mandate in Japan's general election https://t.co/IsXpUaVfLb</t>
  </si>
  <si>
    <t xml:space="preserve">Trade and trade policy developments. Tailored for economists and decision makers. Follow @ITC_MktAnalysis for official announcements.</t>
  </si>
  <si>
    <t xml:space="preserve">Sarvesh dewbi shukla</t>
  </si>
  <si>
    <t xml:space="preserve">Shweta Ohri</t>
  </si>
  <si>
    <t xml:space="preserve">A nationalist and a staunch NaMo fan. Allergic to commies/aaptards/liberals. RTs do not imply endorsements. Honored to be followed by @PiyushGoyaloffc</t>
  </si>
  <si>
    <t xml:space="preserve">Sujit Kumar</t>
  </si>
  <si>
    <t xml:space="preserve">RTs &amp; Links are personnel and do not imply endorsement.</t>
  </si>
  <si>
    <t xml:space="preserve">@Newsoholic</t>
  </si>
  <si>
    <t xml:space="preserve">I love my motherhood.proud to be a Modi bhakt . don't need to be certified by deshdrohi Iike aaptards &amp; congressies .</t>
  </si>
  <si>
    <t xml:space="preserve">Vaibhav Gupta</t>
  </si>
  <si>
    <t xml:space="preserve">Chandra kuanar</t>
  </si>
  <si>
    <t xml:space="preserve">Arup Jena</t>
  </si>
  <si>
    <t xml:space="preserve">Balasore, Odisha</t>
  </si>
  <si>
    <t xml:space="preserve">Dr Praveen</t>
  </si>
  <si>
    <t xml:space="preserve">Bharat Matha Ki Jai...... India is in safe hands..</t>
  </si>
  <si>
    <t xml:space="preserve">Max murphy</t>
  </si>
  <si>
    <t xml:space="preserve">Election Risk Pays Off for Shinzo Abe of Japan as Party Appears to Win Big - The New York Times https://t.co/IUPVMKD0BG</t>
  </si>
  <si>
    <t xml:space="preserve">tokio Japon</t>
  </si>
  <si>
    <t xml:space="preserve">POWERFUL PEOPLE CANNOT AFFORD TO EDUCATE THE PEOPLE THAT THEY OPPRESS BECAUSE ONCE YOU ARE TRULY EDUCATED YOU WILL NOT ASK FOR POWER ! YOU WILL TAKE!!!!</t>
  </si>
  <si>
    <t xml:space="preserve">TPP Live Updates</t>
  </si>
  <si>
    <t xml:space="preserve">RT @TradeNewsCentre: #BREAKING: Abe secures strong mandate in Japan's general election https://t.co/IsXpUaVfLb</t>
  </si>
  <si>
    <t xml:space="preserve">All updates on #TPP agreement in the news. Stay fully informed on its progress towards entry into force ... or its demise!</t>
  </si>
  <si>
    <t xml:space="preserve">सत्य प्रकाश दुबे</t>
  </si>
  <si>
    <t xml:space="preserve">Lucknow, India</t>
  </si>
  <si>
    <t xml:space="preserve">mr_marek_</t>
  </si>
  <si>
    <t xml:space="preserve">Polls show that Japans prime minister, Shinzo Abe, is on track to win a third term. https://t.co/h0pijJ8nhV</t>
  </si>
  <si>
    <t xml:space="preserve">I'm into anything involving a camera</t>
  </si>
  <si>
    <t xml:space="preserve">Kamaldeep Marwaha</t>
  </si>
  <si>
    <t xml:space="preserve">Japan election: Shinzo Abe's ruling coalition secures large majority, exit polls suggest https://t.co/OTONQSm0sZ</t>
  </si>
  <si>
    <t xml:space="preserve">私は島国の日本に恋しています。非常にフレンドリーな社会。私は彼らに幸福と無限の繁栄を願っています。</t>
  </si>
  <si>
    <t xml:space="preserve">Sathamudhu</t>
  </si>
  <si>
    <t xml:space="preserve">Here</t>
  </si>
  <si>
    <t xml:space="preserve">RTs and likes are not endorsements. Views are personal</t>
  </si>
  <si>
    <t xml:space="preserve">Pramod Kumar Singh</t>
  </si>
  <si>
    <t xml:space="preserve">City Editor @TheDailyPioneer. #NationFirst. Tweets are personal, Have no connection to any ideology or faith. RTs not endorsement.</t>
  </si>
  <si>
    <t xml:space="preserve">Ch. Ravi Shankar</t>
  </si>
  <si>
    <t xml:space="preserve">Fael Takeda 🇵🇱🇮🇱</t>
  </si>
  <si>
    <t xml:space="preserve">INFP, Gamer, Hindu, Otaku</t>
  </si>
  <si>
    <t xml:space="preserve">john s. weaver</t>
  </si>
  <si>
    <t xml:space="preserve">Election Risk Pays Off for Shinzo Abe of Japan as Party Appears to Win Big - The New York Times https://t.co/I5Tfu1njxF</t>
  </si>
  <si>
    <t xml:space="preserve">Steilacoom, WA</t>
  </si>
  <si>
    <t xml:space="preserve">100% Disabled Green Beret. LTC. SOCOM, 1SFG(A), KU alum. Naughty Cath. Intrepid soul. Risked all for u! God &amp; To Do List saved me. SOCOM Care Coalition = Bueno!</t>
  </si>
  <si>
    <t xml:space="preserve">Anirudha Joshi</t>
  </si>
  <si>
    <t xml:space="preserve">Voracious reader. IT sales professional. Tweets are personal. RTs are not endorsements.</t>
  </si>
  <si>
    <t xml:space="preserve">Arancha Gonzalez</t>
  </si>
  <si>
    <t xml:space="preserve">Executive Director, International Trade Centre (@ITCnews). United Nations &amp; WTO. Passionate #Aid4Trade, SMEs, women economic empowerment &amp; development, my views</t>
  </si>
  <si>
    <t xml:space="preserve">laksh</t>
  </si>
  <si>
    <t xml:space="preserve">purely communal , seculars ki maa ka</t>
  </si>
  <si>
    <t xml:space="preserve">Sambit</t>
  </si>
  <si>
    <t xml:space="preserve">software Engineer by profession. cricket is passion .sachin Fan. Namo Supporter. Proud Hindu. Just Hate congress and AAP.RT not endorsement.</t>
  </si>
  <si>
    <t xml:space="preserve">Sanjay Kundu</t>
  </si>
  <si>
    <t xml:space="preserve">Manshi</t>
  </si>
  <si>
    <t xml:space="preserve">Hindu, Right winger, Swiftie. #Modifor2019</t>
  </si>
  <si>
    <t xml:space="preserve">प्रशांत राठी</t>
  </si>
  <si>
    <t xml:space="preserve">A Nationalist Hindu. CONSULTANT - IT &amp; Solar Energy. Interests - Music, Movies, Cricket, Humor, Travel, Photography.</t>
  </si>
  <si>
    <t xml:space="preserve">Gianni Riotta</t>
  </si>
  <si>
    <t xml:space="preserve">Shinzo Abe gains big victory in Japan election @FT</t>
  </si>
  <si>
    <t xml:space="preserve">Cofounder @catchybigdata #DNI @google @princeton @lastampa @uniluiss @cfr_org @raistoria @theatlantic @wef https://t.co/5jRBTdTLQR facebook riotta.it</t>
  </si>
  <si>
    <r>
      <rPr>
        <sz val="8"/>
        <rFont val="Droid Sans"/>
        <family val="0"/>
        <charset val="1"/>
      </rPr>
      <t xml:space="preserve">non</t>
    </r>
    <r>
      <rPr>
        <sz val="8"/>
        <rFont val="Noto Sans CJK SC Regular"/>
        <family val="2"/>
      </rPr>
      <t xml:space="preserve">少しましに</t>
    </r>
  </si>
  <si>
    <t xml:space="preserve">MWC</t>
  </si>
  <si>
    <t xml:space="preserve">Japan's PM Shinzo Abe poised to win snap election https://t.co/C9Bj0ytemn https://t.co/vTZ8iz7Cag</t>
  </si>
  <si>
    <t xml:space="preserve">MWC News- Alternative news, uncompromising, unapologetic, uncensored.</t>
  </si>
  <si>
    <t xml:space="preserve">Vignesh 🇮🇳</t>
  </si>
  <si>
    <t xml:space="preserve">#IndiaFirst🇮🇳 Proud Indian | NaMo Supporter | Free Speech | RTs may or may not be endorsements | Namasthe Sada Vatsale Mathrubhumi |</t>
  </si>
  <si>
    <t xml:space="preserve">srinivasa ramanujam</t>
  </si>
  <si>
    <t xml:space="preserve">Interested in politics, entertainment.</t>
  </si>
  <si>
    <t xml:space="preserve">I am Vikas</t>
  </si>
  <si>
    <t xml:space="preserve">India.</t>
  </si>
  <si>
    <t xml:space="preserve">IT Project Manager, Strong and Developed India Supporter. Anti-India and Award return brigade treat me as 'Bhakat'. Tweets are mostly on Current Country Topics</t>
  </si>
  <si>
    <t xml:space="preserve">Snowdrift</t>
  </si>
  <si>
    <t xml:space="preserve">OMG! Shinzo Abe on track for landslide victory, exit polls show https://t.co/qHDoKdRgJj</t>
  </si>
  <si>
    <t xml:space="preserve">Mr.Bharath</t>
  </si>
  <si>
    <t xml:space="preserve">Dogs and Anti-Modi brigade please stay away ..</t>
  </si>
  <si>
    <t xml:space="preserve">Kumar Pruthiraj Prad</t>
  </si>
  <si>
    <t xml:space="preserve">Cuttack </t>
  </si>
  <si>
    <t xml:space="preserve">hon. in physics.loves Bollywood actress not Bollywood</t>
  </si>
  <si>
    <t xml:space="preserve">マーリン</t>
  </si>
  <si>
    <t xml:space="preserve">Metzano</t>
  </si>
  <si>
    <t xml:space="preserve">"Election Risk Pays Off for Shinzo Abe of Japan as His Party Appears to Win Big" by MOTOKO RICH via NYT https://t.co/xfaJx36Fcm</t>
  </si>
  <si>
    <t xml:space="preserve">Operating Metzano - The Global HR Zone plus Linked:HR &amp; other HR-related LinkedIn groups with 1.5 million members #HR #VerticalNetwork curated by @pamelaharding</t>
  </si>
  <si>
    <t xml:space="preserve">Calavera Carabella</t>
  </si>
  <si>
    <t xml:space="preserve">El Mar de Todo el Mundo</t>
  </si>
  <si>
    <t xml:space="preserve">Yo soy pirata anciano cuyo nombre cristiano el tiempo y la gente han olvidado. Retrato por V. Van Gogh. I tweet in English. .أَنَاْ أًَلْجُمْجُمَة</t>
  </si>
  <si>
    <t xml:space="preserve">Siba Soumendra</t>
  </si>
  <si>
    <t xml:space="preserve">Marco Leofrigio</t>
  </si>
  <si>
    <t xml:space="preserve">E' il secolo delle Equazioni Difficili geopolitics analyst, member Italian Society of Military History, analyst for webmagazine https://t.co/aAaC94MBaR</t>
  </si>
  <si>
    <t xml:space="preserve">Election Risk Pays for of Japan as His Party Appears to Win Big https://t.co/hVUttbgvby</t>
  </si>
  <si>
    <t xml:space="preserve">roxyfoxy</t>
  </si>
  <si>
    <t xml:space="preserve">Shinzo Abe on track for landslide victory, exit polls show https://t.co/fDgkaABcoC</t>
  </si>
  <si>
    <t xml:space="preserve">las islas filipinas</t>
  </si>
  <si>
    <t xml:space="preserve">Ashish Jha</t>
  </si>
  <si>
    <t xml:space="preserve">New Delhi, Mumbai</t>
  </si>
  <si>
    <t xml:space="preserve">Economist with focus on South Asia. Read at IGIDR and DU. Previously worked for Indian Ministry of Finance in Delhi. Tweets are personal, RTs ≠ endorsements.</t>
  </si>
  <si>
    <t xml:space="preserve">FMI News</t>
  </si>
  <si>
    <t xml:space="preserve">Shinzo Abe on track for landslide victory, exit polls show https://t.co/JncYuB76CB</t>
  </si>
  <si>
    <t xml:space="preserve">Writer. Tv fan. Internet enthusiast. Bacon aficionado. Lifelong social mediaholic.</t>
  </si>
  <si>
    <t xml:space="preserve">SRN Legal Info</t>
  </si>
  <si>
    <t xml:space="preserve">Shinzo Abe on track for landslide victory, exit polls show https://t.co/sxYXCdqZ3Z</t>
  </si>
  <si>
    <t xml:space="preserve">anshuma pandit</t>
  </si>
  <si>
    <t xml:space="preserve">Sanctuary Media Inc</t>
  </si>
  <si>
    <t xml:space="preserve">Shinzo Abe on track for landslide victory, exit polls show https://t.co/0BoUJ8Mag7</t>
  </si>
  <si>
    <t xml:space="preserve">Anurag yesh</t>
  </si>
  <si>
    <t xml:space="preserve">Jaipur,Rajasthan</t>
  </si>
  <si>
    <t xml:space="preserve">I enjoy twittering and taking dig on shits in leisure period.</t>
  </si>
  <si>
    <t xml:space="preserve">Himanshu Kumar</t>
  </si>
  <si>
    <t xml:space="preserve">NOT TO WORRY</t>
  </si>
  <si>
    <t xml:space="preserve">Kress Adams Homes In</t>
  </si>
  <si>
    <t xml:space="preserve">Shinzo Abe on track for landslide victory, exit polls show https://t.co/Uv6BiW7amv</t>
  </si>
  <si>
    <t xml:space="preserve">Agent [Redacted]*</t>
  </si>
  <si>
    <t xml:space="preserve">United States🇺🇸</t>
  </si>
  <si>
    <t xml:space="preserve">The Philistine has laid out his worldview and it is a desolation. #AI #HumanRights #WarCrimes #USpolitics #Geopolitics #Market #Crosscheck #DisasterCapitalism</t>
  </si>
  <si>
    <t xml:space="preserve">BW State Inc</t>
  </si>
  <si>
    <t xml:space="preserve">Shinzo Abe on track for landslide victory, exit polls show https://t.co/sFrjfvMlp2</t>
  </si>
  <si>
    <t xml:space="preserve">Good Guns</t>
  </si>
  <si>
    <t xml:space="preserve">Shinzo Abe on track for landslide victory, exit polls show https://t.co/15sAR4UhfH</t>
  </si>
  <si>
    <t xml:space="preserve">Indiana, USA</t>
  </si>
  <si>
    <t xml:space="preserve">The secret of getting ahead is getting started.</t>
  </si>
  <si>
    <t xml:space="preserve">WQ Home Network</t>
  </si>
  <si>
    <t xml:space="preserve">Shinzo Abe on track for landslide victory, exit polls show https://t.co/XS2gE1kGpo</t>
  </si>
  <si>
    <t xml:space="preserve">LHC Health Info Hub</t>
  </si>
  <si>
    <t xml:space="preserve">Shinzo Abe on track for landslide victory, exit polls show https://t.co/wElvutgiZx</t>
  </si>
  <si>
    <t xml:space="preserve">CNN RSS: Shinzo Abe on track for landslide victory, exit polls show https://t.co/1JhhXA9J7w via cnnbrk cnn Retweet Follow</t>
  </si>
  <si>
    <t xml:space="preserve">Shomi Home Info Hub</t>
  </si>
  <si>
    <t xml:space="preserve">Shinzo Abe on track for landslide victory, exit polls show https://t.co/KDHIjQSdpa</t>
  </si>
  <si>
    <t xml:space="preserve">K Lebens Home Inc</t>
  </si>
  <si>
    <t xml:space="preserve">Shinzo Abe on track for landslide victory, exit polls show https://t.co/uG5RJPOF2v</t>
  </si>
  <si>
    <t xml:space="preserve">Professional creator. Beer fanatic. Proud zombie fanatic. Certified explorer.</t>
  </si>
  <si>
    <t xml:space="preserve">Smash Info Inc</t>
  </si>
  <si>
    <t xml:space="preserve">Shinzo Abe on track for landslide victory, exit polls show https://t.co/1Udd8JSRkm</t>
  </si>
  <si>
    <t xml:space="preserve">We know what we are, but know not what we may be.</t>
  </si>
  <si>
    <t xml:space="preserve">LASSY Info Network</t>
  </si>
  <si>
    <t xml:space="preserve">Shinzo Abe on track for landslide victory, exit polls show https://t.co/FnnSqiIb7S</t>
  </si>
  <si>
    <t xml:space="preserve">Internet junkie. Hardcore bacon practitioner. Award-winning tv scholar. Food ninja. Passionate music enthusiast.</t>
  </si>
  <si>
    <t xml:space="preserve">SG Home Ideas</t>
  </si>
  <si>
    <t xml:space="preserve">Shinzo Abe on track for landslide victory, exit polls show https://t.co/GiXrGPcfa4</t>
  </si>
  <si>
    <t xml:space="preserve">PK Info Media</t>
  </si>
  <si>
    <t xml:space="preserve">Shinzo Abe on track for landslide victory, exit polls show https://t.co/Tfak1pkL2S</t>
  </si>
  <si>
    <t xml:space="preserve">Certified tv fan. Award-winning travel fanatic. Professional thinker. Proud bacon enthusiast. Organizer. Troublemaker. Student.</t>
  </si>
  <si>
    <t xml:space="preserve">SM Info Network</t>
  </si>
  <si>
    <t xml:space="preserve">Shinzo Abe on track for landslide victory, exit polls show https://t.co/qIf9aeTa3G</t>
  </si>
  <si>
    <t xml:space="preserve">Kramer's Archive</t>
  </si>
  <si>
    <t xml:space="preserve">Shinzo Abe on track for landslide victory, exit polls show https://t.co/mS1mVW3d7U</t>
  </si>
  <si>
    <t xml:space="preserve">Shripathy Rao</t>
  </si>
  <si>
    <t xml:space="preserve">Bengaluru South, India</t>
  </si>
  <si>
    <t xml:space="preserve">AP News Inc</t>
  </si>
  <si>
    <t xml:space="preserve">Shinzo Abe on track for landslide victory, exit polls show https://t.co/wf5Dly35vb</t>
  </si>
  <si>
    <t xml:space="preserve">Passionate music evangelist. Social media maven. Food guru. Web ninja.</t>
  </si>
  <si>
    <t xml:space="preserve">Anna Myers Info</t>
  </si>
  <si>
    <t xml:space="preserve">Shinzo Abe on track for landslide victory, exit polls show https://t.co/4FPDKfisYr</t>
  </si>
  <si>
    <t xml:space="preserve">Friendly food guru. Twitter buff. Baconaholic. Pop culture advocate. Travel expert. Hardcore web fanatic. Total alcohol junkie.</t>
  </si>
  <si>
    <t xml:space="preserve">WhySoSensitive</t>
  </si>
  <si>
    <t xml:space="preserve">Happy go lucky. Professional procrastinator. Meme connoisseur. Football crazy. Current affairs-politics-history&amp;culture enthusiast. Terribly unbiased</t>
  </si>
  <si>
    <t xml:space="preserve">Mary Browski Info In</t>
  </si>
  <si>
    <t xml:space="preserve">Shinzo Abe on track for landslide victory, exit polls show https://t.co/Q0m2b9OYKb</t>
  </si>
  <si>
    <t xml:space="preserve">Coffee evangelist. Explorer. Music advocate. Professional social media junkie. Proud web maven. Organizer.</t>
  </si>
  <si>
    <t xml:space="preserve">Balmore Bonilla</t>
  </si>
  <si>
    <t xml:space="preserve">Shinzo Abe on track for landslide victory, exit polls show https://t.co/TvuW3GjXJh https://t.co/xRNxFoVz0K</t>
  </si>
  <si>
    <t xml:space="preserve">Imágenes del momento en 140</t>
  </si>
  <si>
    <t xml:space="preserve">José Torres</t>
  </si>
  <si>
    <t xml:space="preserve">Shinzo Abe on track for landslide victory, exit polls show https://t.co/RR1Au8tm7C https://t.co/DjmyfOL7q4</t>
  </si>
  <si>
    <t xml:space="preserve">Hermosillo, Sonora</t>
  </si>
  <si>
    <t xml:space="preserve">22, Arquitecto en proceso.</t>
  </si>
  <si>
    <t xml:space="preserve">Shinzo Abe on track for landslide victory, exit polls show: Japanese Prime Minister Shinzo Abe and his ruling…… https://t.co/7p6jdEUXhD</t>
  </si>
  <si>
    <t xml:space="preserve">SBW Home Care Inc</t>
  </si>
  <si>
    <t xml:space="preserve">Shinzo Abe on track for landslide victory, exit polls show https://t.co/nmIQ2WkupK</t>
  </si>
  <si>
    <t xml:space="preserve">Lifelong alcohol scholar. Incurable problem solver. Typical web lover. Student. Evil beer fanatic. Pop culture evangelist.</t>
  </si>
  <si>
    <t xml:space="preserve">הזאב</t>
  </si>
  <si>
    <t xml:space="preserve">arctic tundra </t>
  </si>
  <si>
    <t xml:space="preserve">a wandering wolf interested in alien life , universe, politics, movies, rail fanning and history hates liberals proud hindu btw RTs don't imply endorsements</t>
  </si>
  <si>
    <t xml:space="preserve">JN Studios</t>
  </si>
  <si>
    <t xml:space="preserve">Shinzo Abe on track for landslide victory, exit polls show https://t.co/0ebgzCht36</t>
  </si>
  <si>
    <t xml:space="preserve">वनवासी</t>
  </si>
  <si>
    <t xml:space="preserve">PS Health Journal</t>
  </si>
  <si>
    <t xml:space="preserve">Shinzo Abe on track for landslide victory, exit polls show https://t.co/Ti8N613Ttb</t>
  </si>
  <si>
    <t xml:space="preserve">george yanev</t>
  </si>
  <si>
    <t xml:space="preserve">Election Risk Pays Off for Shinzo Abe of Japan as Party Appears to Win Big - The New York Times https://t.co/vYFl2WZQhh</t>
  </si>
  <si>
    <t xml:space="preserve">Bulgaria </t>
  </si>
  <si>
    <t xml:space="preserve">Welcome to my World.</t>
  </si>
  <si>
    <t xml:space="preserve">Lemon Law Source</t>
  </si>
  <si>
    <t xml:space="preserve">Shinzo Abe on track for landslide victory, exit polls show https://t.co/sxEeDMc0YA</t>
  </si>
  <si>
    <t xml:space="preserve">Organizer. Hipster-friendly alcohol geek. Twitter lover. Social media advocate.</t>
  </si>
  <si>
    <t xml:space="preserve">Claymore Info</t>
  </si>
  <si>
    <t xml:space="preserve">Shinzo Abe on track for landslide victory, exit polls show https://t.co/5oUNxUNjN4</t>
  </si>
  <si>
    <t xml:space="preserve">Ohio, USA</t>
  </si>
  <si>
    <t xml:space="preserve">You change your life by changing your heart.</t>
  </si>
  <si>
    <t xml:space="preserve">BCC Info Network</t>
  </si>
  <si>
    <t xml:space="preserve">Shinzo Abe on track for landslide victory, exit polls show https://t.co/W7l6D7ky9U</t>
  </si>
  <si>
    <t xml:space="preserve">Twitter fanatic. Food scholar. Bacon specialist. Coffee junkie. Award-winning music trailblazer. Entrepreneur. Internet evangelist.</t>
  </si>
  <si>
    <t xml:space="preserve">Colonial Health Club</t>
  </si>
  <si>
    <t xml:space="preserve">Shinzo Abe on track for landslide victory, exit polls show https://t.co/n3Kea900Tk</t>
  </si>
  <si>
    <t xml:space="preserve">Gamer. Amateur zombie practitioner. Extreme pop culture lover. Total student. Music buff. Writer. Entrepreneur. Twitter fanatic.</t>
  </si>
  <si>
    <t xml:space="preserve">Riskinfo</t>
  </si>
  <si>
    <t xml:space="preserve">CNN #Worldnews Shinzo Abe on track for landslide victory, exit polls show https://t.co/KrtEhjqwNy</t>
  </si>
  <si>
    <t xml:space="preserve">#Risk #management and risk assessment tweets. Regular links to safe sites. Also a #quoteoftheday whenever possible</t>
  </si>
  <si>
    <t xml:space="preserve">Shannon R Health Net</t>
  </si>
  <si>
    <t xml:space="preserve">Shinzo Abe on track for landslide victory, exit polls show https://t.co/8I24JbQN9y</t>
  </si>
  <si>
    <t xml:space="preserve">GDG Legal Services</t>
  </si>
  <si>
    <t xml:space="preserve">Shinzo Abe on track for landslide victory, exit polls show https://t.co/R8VRgSR2fp</t>
  </si>
  <si>
    <t xml:space="preserve">Bring It On</t>
  </si>
  <si>
    <t xml:space="preserve">Shinzo Abe on track for landslide victory, exit polls show https://t.co/iXNG6LAR9D</t>
  </si>
  <si>
    <t xml:space="preserve">Social mediaholic. Zombie guru. Award-winning creator. Pop culture enthusiast. Twitter buff.</t>
  </si>
  <si>
    <t xml:space="preserve">TGF Info Network</t>
  </si>
  <si>
    <t xml:space="preserve">Shinzo Abe on track for landslide victory, exit polls show https://t.co/y0FsOHBwr8</t>
  </si>
  <si>
    <t xml:space="preserve">Tv fanatic. Organizer. Certified coffeeaholic. Wannabe analyst. Hipster-friendly music nerd. Incurable introvert.</t>
  </si>
  <si>
    <t xml:space="preserve">J Surfer Home Org</t>
  </si>
  <si>
    <t xml:space="preserve">Shinzo Abe on track for landslide victory, exit polls show https://t.co/xc79lMERXW</t>
  </si>
  <si>
    <t xml:space="preserve">Act as if what you do makes a difference. It does.</t>
  </si>
  <si>
    <t xml:space="preserve">DL Info Network</t>
  </si>
  <si>
    <t xml:space="preserve">Shinzo Abe on track for landslide victory, exit polls show https://t.co/DPp1DjVe1d</t>
  </si>
  <si>
    <t xml:space="preserve">Pop culture ninja. Foodaholic. Bacon evangelist. Writer. Music fanatic. Zombie maven. Internet fanatic. Award-winning reader. Social media geek. Thinker.</t>
  </si>
  <si>
    <t xml:space="preserve">DPG Law Inc</t>
  </si>
  <si>
    <t xml:space="preserve">Shinzo Abe on track for landslide victory, exit polls show https://t.co/h7F6xzNjg6</t>
  </si>
  <si>
    <t xml:space="preserve">What Shinzo Abe’s election win will mean for China-Japan relations https://t.co/YfdDpw154r</t>
  </si>
  <si>
    <t xml:space="preserve">Madhusudhan</t>
  </si>
  <si>
    <t xml:space="preserve">Engineer | Entrepreneur | Traveler Engineering &amp; foreign policy are fave topics. Lived in India, the US and EU and interested in everything.</t>
  </si>
  <si>
    <t xml:space="preserve">FD Home Network</t>
  </si>
  <si>
    <t xml:space="preserve">Shinzo Abe on track for landslide victory, exit polls show https://t.co/hgOaqINmJP</t>
  </si>
  <si>
    <t xml:space="preserve">Introvert. Devoted web trailblazer. Infuriatingly humble music enthusiast. Twitter ninja. Social media fan. Zombieaholic.</t>
  </si>
  <si>
    <t xml:space="preserve">TNT Info Inc</t>
  </si>
  <si>
    <t xml:space="preserve">Shinzo Abe on track for landslide victory, exit polls show https://t.co/P39Z65NZ5N</t>
  </si>
  <si>
    <t xml:space="preserve">Professional communicator. Web practitioner. Award-winning internet scholar. Social media nerd. Devoted troublemaker. Food expert.</t>
  </si>
  <si>
    <t xml:space="preserve">WTC Info Network</t>
  </si>
  <si>
    <t xml:space="preserve">Shinzo Abe on track for landslide victory, exit polls show https://t.co/rwZAjDyF3j</t>
  </si>
  <si>
    <t xml:space="preserve">jefferson1</t>
  </si>
  <si>
    <t xml:space="preserve">RT @SCMP_News: What Shinzo Abe’s election win will mean for China-Japan relations https://t.co/YfdDpw154r</t>
  </si>
  <si>
    <t xml:space="preserve">Harry-boss</t>
  </si>
  <si>
    <t xml:space="preserve">Embu, Brasil</t>
  </si>
  <si>
    <t xml:space="preserve">I could walk forever in my garden</t>
  </si>
  <si>
    <t xml:space="preserve">UskeusNews</t>
  </si>
  <si>
    <t xml:space="preserve">Shinzo Abe on track for landslide victory, exit polls show https://t.co/3NGrCqv9JG</t>
  </si>
  <si>
    <t xml:space="preserve">News Every Day | Noticias Todos Os Dias | Noticias Todos Los Días ⭐ E-mail: alanouass@gmail.com</t>
  </si>
  <si>
    <t xml:space="preserve">PWP Home Network</t>
  </si>
  <si>
    <t xml:space="preserve">Shinzo Abe on track for landslide victory, exit polls show https://t.co/VyCKCbDvVZ</t>
  </si>
  <si>
    <t xml:space="preserve">BKA Photo Studio &amp; M</t>
  </si>
  <si>
    <t xml:space="preserve">Shinzo Abe on track for landslide victory, exit polls show https://t.co/AH77eRqJeY</t>
  </si>
  <si>
    <t xml:space="preserve">Michigan, USA</t>
  </si>
  <si>
    <t xml:space="preserve">Infuriatingly humble reader. Total writer. Proud student. Subtly charming music advocate. Analyst.</t>
  </si>
  <si>
    <t xml:space="preserve">FB Health League</t>
  </si>
  <si>
    <t xml:space="preserve">Shinzo Abe on track for landslide victory, exit polls show https://t.co/W4hfM8Ys0s</t>
  </si>
  <si>
    <t xml:space="preserve">Certified zombieaholic. Music geek. Devoted gamer. Freelance social media lover. Hardcore organizer. Coffee ninja.</t>
  </si>
  <si>
    <t xml:space="preserve">Shinzo Abe gains big victory in Japan election @ft</t>
  </si>
  <si>
    <t xml:space="preserve">AAP Info Hub</t>
  </si>
  <si>
    <t xml:space="preserve">Shinzo Abe on track for landslide victory, exit polls show https://t.co/d0tQmK0WAO</t>
  </si>
  <si>
    <t xml:space="preserve">Interesting Home Inf</t>
  </si>
  <si>
    <t xml:space="preserve">Shinzo Abe on track for landslide victory, exit polls show https://t.co/t9MR52c0DM</t>
  </si>
  <si>
    <t xml:space="preserve">Global News</t>
  </si>
  <si>
    <t xml:space="preserve">Shinzo Abe on track for landslide victory, exit polls show https://t.co/hQC5kQF8Lj</t>
  </si>
  <si>
    <t xml:space="preserve">Washinton D.C. ,,,  U.S.A,</t>
  </si>
  <si>
    <t xml:space="preserve">Global News by __________________ __________________________________ ( .@illuminati_00 .) ____________ _____ @Global_00 _______________ ______ T j Parker</t>
  </si>
  <si>
    <t xml:space="preserve">Web Magazine Inc</t>
  </si>
  <si>
    <t xml:space="preserve">Shinzo Abe on track for landslide victory, exit polls show https://t.co/AWXRSe0ref</t>
  </si>
  <si>
    <t xml:space="preserve">Dhanshyam Patel</t>
  </si>
  <si>
    <t xml:space="preserve">RT and likes are not endorsements😀</t>
  </si>
  <si>
    <t xml:space="preserve">Election Risk Pays Off for Shinzo Abe of Japan as His Party Appears to Win Big - New York Times https://t.co/MyI91RMKAn</t>
  </si>
  <si>
    <t xml:space="preserve">Namibia Info Inc</t>
  </si>
  <si>
    <t xml:space="preserve">Shinzo Abe on track for landslide victory, exit polls show https://t.co/m0UplPv6QO</t>
  </si>
  <si>
    <t xml:space="preserve">EA Health Info Hub</t>
  </si>
  <si>
    <t xml:space="preserve">Shinzo Abe on track for landslide victory, exit polls show https://t.co/M8HCpzQ1MT</t>
  </si>
  <si>
    <t xml:space="preserve">Avid analyst. Pop culture fanatic. Unapologetic social media expert. Organizer. Alcohol scholar.</t>
  </si>
  <si>
    <t xml:space="preserve">L.A. Times News 24/7</t>
  </si>
  <si>
    <t xml:space="preserve">With a landslide win, Shinzo Abe could be ready to rewrite Japan's pacifist constitution https://t.co/VrgsM6KrJS</t>
  </si>
  <si>
    <t xml:space="preserve">A nonstop feed of everything on https://t.co/eTksmynSH7. See @latimes for our human-curated account, or https://t.co/lPWUJ5SPKF for individual streams.</t>
  </si>
  <si>
    <t xml:space="preserve">prem kumar . s</t>
  </si>
  <si>
    <t xml:space="preserve">kerala  India</t>
  </si>
  <si>
    <t xml:space="preserve">Business as usual</t>
  </si>
  <si>
    <t xml:space="preserve">Asian Girl W.T</t>
  </si>
  <si>
    <t xml:space="preserve">With a landslide win, Shinzo Abe could be ready to rewrite Japan's pacifist constitution https://t.co/LrztMjfdIk https://t.co/Uvt1Rk8Ijh</t>
  </si>
  <si>
    <t xml:space="preserve">Love Food, Los Angeles, Arizona, Surfing, News, Politics... Feminist Geek and Music Lover... It's a great day to be alive!</t>
  </si>
  <si>
    <t xml:space="preserve">Ganduri</t>
  </si>
  <si>
    <t xml:space="preserve">SAP |TDP &amp; BJP supporter |Bhakt | पूर्णमदः पूर्णमिदं पूर्णात् पूर्णमुदच्यते पूर्णस्य पूर्णमादाय पूर्णमेवावशिष्यते | Hindu | RSS Pracharak</t>
  </si>
  <si>
    <t xml:space="preserve">Shinzo Abe on track for landslide victory, exit polls show https://t.co/YYnYKhnLp3</t>
  </si>
  <si>
    <t xml:space="preserve">OfficeOfPK</t>
  </si>
  <si>
    <t xml:space="preserve">Be with me , to explore me</t>
  </si>
  <si>
    <t xml:space="preserve">Linda Z Info Inc</t>
  </si>
  <si>
    <t xml:space="preserve">Shinzo Abe on track for landslide victory, exit polls show https://t.co/RXa6O8rOmc</t>
  </si>
  <si>
    <t xml:space="preserve">Twitter trailblazer. Alcohol maven. Unable to type with boxing gloves on. Amateur bacon fanatic. Friendly music geek.</t>
  </si>
  <si>
    <t xml:space="preserve">L.A. Times World</t>
  </si>
  <si>
    <t xml:space="preserve">With a landslide win, Shinzo Abe could be ready to rewrite Japan's pacifist constitution https://t.co/QNQ2bNq3i6</t>
  </si>
  <si>
    <t xml:space="preserve">World news from @latimes. RTs are not endorsements. Follow our editors and correspondents here: http://t.co/D30Z1jcWYA</t>
  </si>
  <si>
    <t xml:space="preserve">USA news 2017</t>
  </si>
  <si>
    <t xml:space="preserve">[latimes] With a landslide win, Shinzo Abe could be ready to rewrite Japan's pacifist constitution… https://t.co/H3pm8wOJac</t>
  </si>
  <si>
    <t xml:space="preserve">News from USA</t>
  </si>
  <si>
    <t xml:space="preserve">ಸೌರಭ ನವಣಿ</t>
  </si>
  <si>
    <t xml:space="preserve">हिन्दवी स्वराज्य</t>
  </si>
  <si>
    <t xml:space="preserve">Japan’s PM Shinzo Abe poised to win snap election https://t.co/7VTrdyar1E https://t.co/8aPtNF6v7U</t>
  </si>
  <si>
    <t xml:space="preserve">With a landslide win, Shinzo Abe could be ready to rewrite Japan's pacifist constitution (LA Times) https://t.co/1kTugqgzhb</t>
  </si>
  <si>
    <t xml:space="preserve">MNH Media</t>
  </si>
  <si>
    <t xml:space="preserve">Shinzo Abe on track for landslide victory, exit polls show https://t.co/QkkNvciSkF</t>
  </si>
  <si>
    <t xml:space="preserve">Twitter buff. Internet aficionado. General coffee expert. Analyst. Beer trailblazer. Food evangelist. Zombie fanatic.</t>
  </si>
  <si>
    <t xml:space="preserve">Washington Info Org</t>
  </si>
  <si>
    <t xml:space="preserve">Shinzo Abe on track for landslide victory, exit polls show https://t.co/igHZjywOyt</t>
  </si>
  <si>
    <t xml:space="preserve">Subtly charming social media expert. Analyst. Avid music enthusiast. Hardcore internet scholar. Zombie maven. Friendly reader.</t>
  </si>
  <si>
    <t xml:space="preserve">SW Casino</t>
  </si>
  <si>
    <t xml:space="preserve">Shinzo Abe on track for landslide victory, exit polls show https://t.co/s8xnvTKpez</t>
  </si>
  <si>
    <t xml:space="preserve">Digvijay Chouhan</t>
  </si>
  <si>
    <t xml:space="preserve">Election Risk Pays Off for Shinzo Abe of Japan as His Party Appears to Win Big https://t.co/ZSBL04hRFh</t>
  </si>
  <si>
    <t xml:space="preserve">Ashutosh Singh</t>
  </si>
  <si>
    <t xml:space="preserve">Gurgaon, India</t>
  </si>
  <si>
    <t xml:space="preserve">Nation is first/Telecom expert/Hinduism ऊँ सर्वे भवन्तु सुखिनः सर्वे सन्तु निरामयाः सर्वे भद्राणि पश्यन्तु मा कश्चिद् दुःखभाग्भवेत</t>
  </si>
  <si>
    <t xml:space="preserve">myETmyHT India</t>
  </si>
  <si>
    <t xml:space="preserve">Founder CEO @ https://t.co/yhrVtGy8LA patented edtech acquired from 10 governments #English #Hindi #Japanese 81 million #language learners @myETmyHT Remind #patent #patents</t>
  </si>
  <si>
    <t xml:space="preserve">DP Learning</t>
  </si>
  <si>
    <t xml:space="preserve">Shinzo Abe on track for landslide victory, exit polls show https://t.co/doVwAhkxYE</t>
  </si>
  <si>
    <t xml:space="preserve">Certified alcohol nerd. Travel fanatic. Tv fanatic. Social media buff. Introvert.</t>
  </si>
  <si>
    <t xml:space="preserve">BP Info Hub</t>
  </si>
  <si>
    <t xml:space="preserve">Shinzo Abe on track for landslide victory, exit polls show https://t.co/GgvqpRPtUw</t>
  </si>
  <si>
    <t xml:space="preserve">BJ Home Info Inc</t>
  </si>
  <si>
    <t xml:space="preserve">Shinzo Abe on track for landslide victory, exit polls show https://t.co/y05ewUZEHo</t>
  </si>
  <si>
    <t xml:space="preserve">Wannabe problem solver. Beer expert. Evil bacon trailblazer. Devoted pop culture buff. Alcohol advocate.</t>
  </si>
  <si>
    <t xml:space="preserve">せんぺる・あうぐすとぅす</t>
  </si>
  <si>
    <t xml:space="preserve">気にスポ</t>
  </si>
  <si>
    <r>
      <rPr>
        <sz val="8"/>
        <rFont val="Noto Sans CJK SC Regular"/>
        <family val="2"/>
      </rPr>
      <t xml:space="preserve">基本的に</t>
    </r>
    <r>
      <rPr>
        <sz val="8"/>
        <rFont val="Droid Sans"/>
        <family val="0"/>
        <charset val="1"/>
      </rPr>
      <t xml:space="preserve">RT</t>
    </r>
    <r>
      <rPr>
        <sz val="8"/>
        <rFont val="Noto Sans CJK SC Regular"/>
        <family val="2"/>
      </rPr>
      <t xml:space="preserve">ばかりです。全ての</t>
    </r>
    <r>
      <rPr>
        <sz val="8"/>
        <rFont val="Droid Sans"/>
        <family val="0"/>
        <charset val="1"/>
      </rPr>
      <t xml:space="preserve">RT</t>
    </r>
    <r>
      <rPr>
        <sz val="8"/>
        <rFont val="Noto Sans CJK SC Regular"/>
        <family val="2"/>
      </rPr>
      <t xml:space="preserve">に賛成しているわけではありませんが、大体賛意と共に</t>
    </r>
    <r>
      <rPr>
        <sz val="8"/>
        <rFont val="Droid Sans"/>
        <family val="0"/>
        <charset val="1"/>
      </rPr>
      <t xml:space="preserve">RT</t>
    </r>
    <r>
      <rPr>
        <sz val="8"/>
        <rFont val="Noto Sans CJK SC Regular"/>
        <family val="2"/>
      </rPr>
      <t xml:space="preserve">してます。</t>
    </r>
  </si>
  <si>
    <t xml:space="preserve">Election Risk Pays Off for Shinzo Abe of Japan as His Party Appears to Win Big - New York… https://t.co/fE9kFkVvEd</t>
  </si>
  <si>
    <t xml:space="preserve">r himash</t>
  </si>
  <si>
    <t xml:space="preserve">uuuu cannnn seeeee meeeeeee</t>
  </si>
  <si>
    <t xml:space="preserve">友介</t>
  </si>
  <si>
    <t xml:space="preserve">The new York Times@japantimes https://t.co/7lH51O54F8</t>
  </si>
  <si>
    <t xml:space="preserve">München Deutschland</t>
  </si>
  <si>
    <t xml:space="preserve">Man lernt nie aus</t>
  </si>
  <si>
    <t xml:space="preserve">Deb Dip Chatterjee</t>
  </si>
  <si>
    <t xml:space="preserve">A Nationalist #Hospitality #Restauranteur</t>
  </si>
  <si>
    <t xml:space="preserve">William Mungall</t>
  </si>
  <si>
    <t xml:space="preserve">With a landslide win, Shinzo Abe could be ready to rewrite Japan's pacifist constitution https://t.co/qFgY3Lbnxg</t>
  </si>
  <si>
    <t xml:space="preserve">William Mungall is a #LosAngeles #architecture professional currently working with Landry Design Group. He enjoys #design and #travel. http://t.co/5AIKxpvvAg</t>
  </si>
  <si>
    <t xml:space="preserve">Tim Melino</t>
  </si>
  <si>
    <t xml:space="preserve">With a #LANDSLIDE win, Shinzo Abe could be ready to rewrite Japans pacifist constitution https://t.co/DgdWE4cpk4 #GPWX</t>
  </si>
  <si>
    <t xml:space="preserve">weather-globe</t>
  </si>
  <si>
    <t xml:space="preserve">NY</t>
  </si>
  <si>
    <t xml:space="preserve">Renewable Energy Meteorologist, interested in the #environment, #weather and #climate. Check out: https://t.co/EZIu1X2L6A &amp; Facebook: https://t.co/Ridbeg0K3b</t>
  </si>
  <si>
    <t xml:space="preserve">Raghavendra</t>
  </si>
  <si>
    <t xml:space="preserve">Colorado, USA</t>
  </si>
  <si>
    <t xml:space="preserve">Virtually a nobody, trying to decolonize and reeducate myself by adopting dharmic lens.</t>
  </si>
  <si>
    <t xml:space="preserve">durga</t>
  </si>
  <si>
    <t xml:space="preserve">Medical professional.NAMO May not be perfect still we Indians r lucky to have a PM like him.Curious to know how can ppl support Sonia fake gandhi &amp; fraud AAP</t>
  </si>
  <si>
    <t xml:space="preserve">GridPointWeather</t>
  </si>
  <si>
    <t xml:space="preserve">With a #LANDSLIDE win, Shinzo Abe could be ready to rewrite Japans pacifist constitution https://t.co/KcyAHjDOdE</t>
  </si>
  <si>
    <t xml:space="preserve">Gridpointwx</t>
  </si>
  <si>
    <t xml:space="preserve">Global Point Forecasting System</t>
  </si>
  <si>
    <t xml:space="preserve">HAB</t>
  </si>
  <si>
    <t xml:space="preserve">leo</t>
  </si>
  <si>
    <t xml:space="preserve">With a landslide win, Shinzo Abe could be ready to rewrite Japan's pacifist constitution https://t.co/0whdyiHKUU</t>
  </si>
  <si>
    <t xml:space="preserve">Shinzo Abe is on track to lead Japan through 2021 after a big election victory https://t.co/k1v2jM6kuH https://t.co/YRt9mRcnAD</t>
  </si>
  <si>
    <t xml:space="preserve">Debashish Sarkar</t>
  </si>
  <si>
    <t xml:space="preserve">Views r mine, re-tweets r not. nothing to do with profession. Laughter is the best medicine, tears r best soul-cleanser, music best purifier.</t>
  </si>
  <si>
    <t xml:space="preserve">sapdxgifts</t>
  </si>
  <si>
    <t xml:space="preserve">Shinzo Abe on track for landslide victory, exit polls show - Japanese Prime Minister Shinzo Abe and his ruling ... https://t.co/RMYwWG7WtH</t>
  </si>
  <si>
    <t xml:space="preserve">With a landslide win, Shinzo Abe could be ready to rewrite Japan's pacifist constitution https://t.co/83DLJwgOOR</t>
  </si>
  <si>
    <t xml:space="preserve">Radio International</t>
  </si>
  <si>
    <t xml:space="preserve">Shinzo Abe on track for landslide victory, exit polls show - Japanese Prime Minister Shinzo Abe and his ruling ... https://t.co/dmDopr0B8l</t>
  </si>
  <si>
    <t xml:space="preserve">This is Radio International...the sound of the 1960's, 50's &amp; 70's! The last pirate radio station...retro, music, radio ...Beatles, Rolling Stones etc 24/7</t>
  </si>
  <si>
    <t xml:space="preserve">SayLoud</t>
  </si>
  <si>
    <t xml:space="preserve">Not so Comfortable</t>
  </si>
  <si>
    <t xml:space="preserve">Unemployment is Insufferable. News Junkie/Geo-Politics/Sports/Tech (RTs r no endorsement) Wanna Travel, but ain't got money! 😢</t>
  </si>
  <si>
    <t xml:space="preserve">Kâplan</t>
  </si>
  <si>
    <t xml:space="preserve">RT @bpolitics: Shinzo Abe is on track to lead Japan through 2021 after a big election victory https://t.co/k1v2jM6kuH https://t.co/YRt9mRcn…</t>
  </si>
  <si>
    <t xml:space="preserve">#Souverainiste ° #Anticommunautariste ° #DémocratieDirecte ° Politique &amp; Culture(s) ° Enseignement Supérieur &amp; Recherche ° Enseignant Chercheur ° Sciences</t>
  </si>
  <si>
    <t xml:space="preserve">Joao Nunes Salvador</t>
  </si>
  <si>
    <t xml:space="preserve">What Shinzo Abe’s win will mean for China-Japan relations _ Ivan Tselichtchev https://t.co/D7jqkKeglV via @SCMP_news</t>
  </si>
  <si>
    <t xml:space="preserve">Tomar. Portugal.</t>
  </si>
  <si>
    <t xml:space="preserve">Engenharia Civil. Portugal, Cabo Verde, Espanha, Brasil, Moçambique, Angola, Colômbia, Guiné-Conacri, França</t>
  </si>
  <si>
    <t xml:space="preserve">Jyoti Suparna</t>
  </si>
  <si>
    <t xml:space="preserve">Modian at heart, updated by smart Tweeple, proud to be Indian and Hindu.RTs are just RTs! Jai Hind!</t>
  </si>
  <si>
    <t xml:space="preserve">Bernt Prestjan</t>
  </si>
  <si>
    <t xml:space="preserve">sverige</t>
  </si>
  <si>
    <t xml:space="preserve">Amitabh Poddar</t>
  </si>
  <si>
    <t xml:space="preserve">Concerned Observer</t>
  </si>
  <si>
    <t xml:space="preserve">Post-Truth Politics</t>
  </si>
  <si>
    <t xml:space="preserve">Shinzo Abe on track for landslide victory, exit polls show https://t.co/V90lgcea7d #CNN #News #Politics</t>
  </si>
  <si>
    <t xml:space="preserve">#Post #Truth #politics is a #political culture in which #debate is framed largely by appeals to #emotion disconnected from the details of #policy.</t>
  </si>
  <si>
    <t xml:space="preserve">Time for RETALIATION</t>
  </si>
  <si>
    <t xml:space="preserve">proud desh bhakt...NAMO bhakt...lawyer Bombay High court..My nationalism will remain saffron in colour, till the time secularism of this country remains green..</t>
  </si>
  <si>
    <t xml:space="preserve">Addalamariumasankar</t>
  </si>
  <si>
    <t xml:space="preserve">Fabio Leonardi</t>
  </si>
  <si>
    <t xml:space="preserve">RT @riotta: Shinzo Abe gains big victory in Japan election @ft</t>
  </si>
  <si>
    <t xml:space="preserve">Lui, trecento lettere, letteratura fine. Noi, centosessanta caratteri, due faccine ;) :p</t>
  </si>
  <si>
    <t xml:space="preserve">What Shinzo Abe’s election win will mean for China-Japan relations https://t.co/wyA9LXMZ1H… https://t.co/zvu8WGYFYl</t>
  </si>
  <si>
    <t xml:space="preserve">Manish Rathore</t>
  </si>
  <si>
    <t xml:space="preserve">With a landslide win, Shinzo Abe could be ready to rewrite Japan's pacifist constitution https://t.co/1qZapm76DX</t>
  </si>
  <si>
    <t xml:space="preserve">With a landslide win, Shinzo Abe could be ready to rewrite Japan's pacifist constitution https://t.co/BdG7VTtQJJ #LosAngelesTimes #latimes…</t>
  </si>
  <si>
    <t xml:space="preserve">rohit hiware</t>
  </si>
  <si>
    <t xml:space="preserve">From Hamburg via Taipei to Berlin. (Re)tweeting English, German, bits of Mandarin. Interested in markets, politics, (clean-)tech, anything (East) Asia.</t>
  </si>
  <si>
    <t xml:space="preserve">Zoe Norton</t>
  </si>
  <si>
    <t xml:space="preserve">With a landslide win, Shinzo Abe could be ready to rewrite Japan's pacifist constitution https://t.co/SlKsYFiL3a</t>
  </si>
  <si>
    <t xml:space="preserve">Christian</t>
  </si>
  <si>
    <t xml:space="preserve">Shinzo Abe secures strong mandate in Japan's general election https://t.co/uvBKgAHuyw</t>
  </si>
  <si>
    <t xml:space="preserve">Germany/Europe</t>
  </si>
  <si>
    <t xml:space="preserve">Social Democrat 🌹, Constitutional Monarchist 👑, Political Science Student. Interests: Politics, Science, Education, Innovation, Travel, Gastronomy, Sports.</t>
  </si>
  <si>
    <t xml:space="preserve">KJ🚩🚩</t>
  </si>
  <si>
    <t xml:space="preserve">Dar-ul-Harb</t>
  </si>
  <si>
    <t xml:space="preserve">Nationalist</t>
  </si>
  <si>
    <t xml:space="preserve">Anirban Ghosh</t>
  </si>
  <si>
    <t xml:space="preserve">I love my INDIA. India first.</t>
  </si>
  <si>
    <t xml:space="preserve">Exit polls show win for Japanese PM Abe's ruling coalition - Chicago Tribune https://t.co/TmvKDsMB4H Go Local… https://t.co/Km5nsjUgCO</t>
  </si>
  <si>
    <t xml:space="preserve">A</t>
  </si>
  <si>
    <t xml:space="preserve">Look forward to a developed Bharat! 🙏🏼 Lost my Ac @aar00sh so restarting!!! 😊</t>
  </si>
  <si>
    <t xml:space="preserve">Falcon Info Inc</t>
  </si>
  <si>
    <t xml:space="preserve">Shinzo Abe on track for landslide victory, exit polls show https://t.co/U4cAe9DxhD</t>
  </si>
  <si>
    <t xml:space="preserve">Accept the challenges so that you can feel the exhilaration of victory.</t>
  </si>
  <si>
    <t xml:space="preserve">Karen Angel Esteban</t>
  </si>
  <si>
    <t xml:space="preserve">RT @TimMelino: With a #LANDSLIDE win, Shinzo Abe could be ready to rewrite Japans pacifist constitution https://t.co/DgdWE4cpk4 #GPWX</t>
  </si>
  <si>
    <t xml:space="preserve">sujitchandran</t>
  </si>
  <si>
    <t xml:space="preserve">ProtectWithPen रणजीत</t>
  </si>
  <si>
    <t xml:space="preserve">बेंगलुरु-कर्नाटक-भारतवर्ष </t>
  </si>
  <si>
    <t xml:space="preserve">जो भरा नहीं है भावों से, बहती जिसमें रसधार नहीं, वह ह्रदय नहीं है पत्थर है जिसमें स्वदेश का प्यार नहीं।</t>
  </si>
  <si>
    <t xml:space="preserve">Dennis</t>
  </si>
  <si>
    <t xml:space="preserve">Election Risk Pays Off for Shinzo Abe of Japan as His Party Appears to Win Big https://t.co/48wFw9scqV</t>
  </si>
  <si>
    <t xml:space="preserve">Dekalb Cty /Atlanta Georgia </t>
  </si>
  <si>
    <t xml:space="preserve">MILIT BRAT/MARR FR 36YR/DA&amp;SON/BOY SC/CRIM JUS/36YR ENTR/COACH/FIGHTING FR PARTIES WORKING TOGETHER/Dennis4xx.com/Morgan4xx.wordpress.com/instag morgan4xxdennis</t>
  </si>
  <si>
    <t xml:space="preserve">Asipatravana</t>
  </si>
  <si>
    <t xml:space="preserve">HE WINS!!! 😁😁😁😁😁😁 DEATH TO LIBERALISM!!! 😁😁😁😁😀😀😀😀 https://t.co/TWHMpW3Imi</t>
  </si>
  <si>
    <t xml:space="preserve">Hindu | Oriya | Traditionalist</t>
  </si>
  <si>
    <t xml:space="preserve">BankeBihari</t>
  </si>
  <si>
    <t xml:space="preserve">असाध्य साधक स्वामिन असाध्य तव किंवद राम दूत कृपा सिंधो मत्कार्यं साध्यप्रभो</t>
  </si>
  <si>
    <t xml:space="preserve">Ankur saini</t>
  </si>
  <si>
    <t xml:space="preserve">Lava agarwal</t>
  </si>
  <si>
    <t xml:space="preserve">Research on Trade</t>
  </si>
  <si>
    <t xml:space="preserve">We track new publications on #trade to advance global research | special focus on tariffs &amp; trade agreements | RTs are welcome</t>
  </si>
  <si>
    <t xml:space="preserve">Biju Ganesh</t>
  </si>
  <si>
    <t xml:space="preserve">Rational Doer &amp; believer in Calm, Karam, Kaam</t>
  </si>
  <si>
    <t xml:space="preserve">Rajeev Kumar</t>
  </si>
  <si>
    <t xml:space="preserve">Abe wins overwhelming mandate in Japan election: Victory likely to harden stance on North Korea's nuclear threat https://t.co/YS2tNNVOOl</t>
  </si>
  <si>
    <t xml:space="preserve">Nationalist, Indian</t>
  </si>
  <si>
    <t xml:space="preserve">MS</t>
  </si>
  <si>
    <t xml:space="preserve">RTs not endorsement.</t>
  </si>
  <si>
    <t xml:space="preserve">Football Field</t>
  </si>
  <si>
    <t xml:space="preserve">With a landslide win, Shinzo Abe could be ready to rewrite Japan's pacifist constitution https://t.co/MawbZxyDct</t>
  </si>
  <si>
    <t xml:space="preserve">mary</t>
  </si>
  <si>
    <t xml:space="preserve">Always USA</t>
  </si>
  <si>
    <t xml:space="preserve">Lifelong educator. Constitutional &amp; Fiscal Conserv. Ex Dem. NO LISTS! #Vets #Israel #MAGA #2A Followed by James Woods and Marine Le Pen. Blocked by Hillary.</t>
  </si>
  <si>
    <t xml:space="preserve">(((Chana הנא)))</t>
  </si>
  <si>
    <t xml:space="preserve">With a landslide win, Shinzo Abe could be ready to rewrite Japan's pacifist constitution https://t.co/QUVi8XPvuK</t>
  </si>
  <si>
    <t xml:space="preserve">The Only Thing Necessary for Evil to Triumph is for Good People to Do Nothing #TheResistance #TrumpRussia #ImpeachTrump #UniteBlue #25thAmendmentNow</t>
  </si>
  <si>
    <t xml:space="preserve">PadmavatiputraVenkat</t>
  </si>
  <si>
    <t xml:space="preserve">Support #Gorkhaland as 30th state of India. Support #Balochistan as an Independent nation. Staunch Santana Dharmi. Hates hypocrisy the most!</t>
  </si>
  <si>
    <t xml:space="preserve">Baybee Reade</t>
  </si>
  <si>
    <t xml:space="preserve">With a landslide win, Shinzo Abe could be ready to rewrite Japan's pacifist constitution https://t.co/hwkOoIHw8P</t>
  </si>
  <si>
    <t xml:space="preserve">#AnimalsAreBetterThanPeople. #SpayNeuterAdopt #AdoptDontShop. #NoKill In loving Memory of Baybee. She crossed over the 🌈 rainbow bridge https://t.co/OakJXZBgm5</t>
  </si>
  <si>
    <t xml:space="preserve">Sohail (So) Rahman</t>
  </si>
  <si>
    <t xml:space="preserve">Emmy Nominated and RTS UK Winning News Anchor &amp; Journalist also Senior Asia Correspondent for Al Jazeera English News. Own views.</t>
  </si>
  <si>
    <t xml:space="preserve">Sandeep Saxena</t>
  </si>
  <si>
    <t xml:space="preserve">Stephen Jacobi</t>
  </si>
  <si>
    <t xml:space="preserve">Trade, govt rels &amp; eco dev. ED - NZIBF &amp; NZ China Council, Anglican (just), Chair of Te Aute Trust, linguist, thinks global &amp; local, likes long blacks, HB syrah</t>
  </si>
  <si>
    <t xml:space="preserve">Mahadev Desai</t>
  </si>
  <si>
    <t xml:space="preserve">Navsari,Gujarat,India</t>
  </si>
  <si>
    <t xml:space="preserve">PM NaMo for Jagadguru Bharat,Secretary,Vanche Gujarat headed by NaMo.President,Sayaji Lib.Love reading.Mission:Book-reading movement, Teacher-Torch Bearer proj</t>
  </si>
  <si>
    <t xml:space="preserve">With a landslide win, Shinzo Abe could be ready to rewrite Japan's pacifist constitution https://t.co/LcvSrs3cI5</t>
  </si>
  <si>
    <t xml:space="preserve">O - Ehikioya Hilary</t>
  </si>
  <si>
    <t xml:space="preserve">Japan's PM Shinzo Abe poised to win snap election @AJENews https://t.co/1s1LpZIeYT</t>
  </si>
  <si>
    <t xml:space="preserve">Lover of words. Hold no one liable, for your ignorance, or idiocy. 🙏✌️</t>
  </si>
  <si>
    <t xml:space="preserve">◦ CNN: Shinzo Abe on track for landslide victory, exit polls show https://t.co/wDO2QGiiRi #japan</t>
  </si>
  <si>
    <t xml:space="preserve">Ashutosh Kumar</t>
  </si>
  <si>
    <t xml:space="preserve">Noida, Uttar Pradesh</t>
  </si>
  <si>
    <t xml:space="preserve">A die hard cricket fan. RTs mean it's something worth sharing, not an endorsement.</t>
  </si>
  <si>
    <t xml:space="preserve">Ashar Jawad</t>
  </si>
  <si>
    <t xml:space="preserve">Japan Elections: Landslide victory for PM Shinzo Abe's party. Two-thirds majority in lower house of the Parliament. https://t.co/SXlsV6c3OZ</t>
  </si>
  <si>
    <t xml:space="preserve">Riva Media</t>
  </si>
  <si>
    <t xml:space="preserve">RT so_rahman "RT AJENews: Japan's PM Shinzo Abe poised to win snap election https://t.co/k4A8s1i1uK https://t.co/PyqJyYzzoX"</t>
  </si>
  <si>
    <t xml:space="preserve">Presenter, Make Up &amp; Voice Overs | TV &amp; Radio Production | Digital Marketing</t>
  </si>
  <si>
    <t xml:space="preserve">Referral Kings</t>
  </si>
  <si>
    <t xml:space="preserve">Shinzo Abe on track for landslide victory, exit polls show - Japanese Prime Minister Shinzo Abe and his ruling ... https://t.co/IMREypM8EQ</t>
  </si>
  <si>
    <t xml:space="preserve">Saleh Stevens</t>
  </si>
  <si>
    <t xml:space="preserve">Shinzo Abe on track for landslide victory, exit polls show - Japanese Prime Minister Shinzo Abe and his ruling ... https://t.co/fii7lIkSZ0</t>
  </si>
  <si>
    <t xml:space="preserve">Baltimore, MD</t>
  </si>
  <si>
    <t xml:space="preserve">Egypt to Baltimore. I pray to the east for better life, health and peace. I love my two brothers, my father and my son.https://t.co/rTd278w3qe</t>
  </si>
  <si>
    <t xml:space="preserve">John Batchelor</t>
  </si>
  <si>
    <t xml:space="preserve">Host of the the John Batchelor Show, weeknights from 9PM-1AM ET; novelist as John Calvin Batchelor.</t>
  </si>
  <si>
    <t xml:space="preserve">Retweeted Bloomberg Politics (@bpolitics): Shinzo Abe is on track to lead Japan through 2021 after a big... https://t.co/t4srdl4zr6</t>
  </si>
  <si>
    <t xml:space="preserve">Shinzo Abe on track for landslide victory, exit polls show - Japanese Prime Minister Shinzo Abe and his ruling ... https://t.co/fiD1snzYJr</t>
  </si>
  <si>
    <t xml:space="preserve">Digitello Maroc</t>
  </si>
  <si>
    <t xml:space="preserve">Actualités CNN World Shinzo Abe on track for landslide victory, exit polls show https://t.co/unNk6jAZ4Q</t>
  </si>
  <si>
    <t xml:space="preserve">Morocco</t>
  </si>
  <si>
    <t xml:space="preserve">• LAT: With a landslide win, Shinzo Abe could be ready to rewrite Japan's pacifist… https://t.co/KajmJCjZmt</t>
  </si>
  <si>
    <t xml:space="preserve">Steve S.</t>
  </si>
  <si>
    <t xml:space="preserve">RT @RivaMedia: RT so_rahman "RT AJENews: Japan's PM Shinzo Abe poised to win snap election https://t.co/k4A8s1i1uK https://t.co/PyqJyYzzoX"</t>
  </si>
  <si>
    <t xml:space="preserve">GameProject123567</t>
  </si>
  <si>
    <t xml:space="preserve">Video games are life</t>
  </si>
  <si>
    <t xml:space="preserve">Kiran K</t>
  </si>
  <si>
    <t xml:space="preserve">Bengaluru South, Karnataka</t>
  </si>
  <si>
    <t xml:space="preserve">khurram yousaf</t>
  </si>
  <si>
    <t xml:space="preserve">Declan Hurley</t>
  </si>
  <si>
    <t xml:space="preserve">North Carolina, USA</t>
  </si>
  <si>
    <t xml:space="preserve">Conservative writer &amp; businessman. Editor-in-chief at @FDLReview. Retweet ≠ endorsement.</t>
  </si>
  <si>
    <t xml:space="preserve">Ashraf Laidi</t>
  </si>
  <si>
    <t xml:space="preserve">Shinzo Abe gains big victory in Japan election - https://t.co/o4UlOd0BfS</t>
  </si>
  <si>
    <t xml:space="preserve">Strategist, trader &amp; author of Currency Trading &amp; Intermarket Analysis</t>
  </si>
  <si>
    <t xml:space="preserve">stephen jones</t>
  </si>
  <si>
    <t xml:space="preserve">Shinzo Abe secures strong mandate in Japan's general election https://t.co/8HLQTlb8UE</t>
  </si>
  <si>
    <t xml:space="preserve">Breamore, Hampshire</t>
  </si>
  <si>
    <t xml:space="preserve">bass man, political observer, psychotherapist.Shop Steward with AUEW, member of The Boilermakers Society, Musicians Union and BCPA. Never trust a Tory.</t>
  </si>
  <si>
    <t xml:space="preserve">Vedic Wisdom</t>
  </si>
  <si>
    <t xml:space="preserve">Vedas- The science of the Universe..</t>
  </si>
  <si>
    <t xml:space="preserve">proud kafir</t>
  </si>
  <si>
    <t xml:space="preserve">Himachal Pradesh, India</t>
  </si>
  <si>
    <t xml:space="preserve">RTs r personal. Don't take it seriously</t>
  </si>
  <si>
    <t xml:space="preserve">APS NEWS</t>
  </si>
  <si>
    <t xml:space="preserve">APS News Agency Shinzo Abe sweeps to a comfortable victory in Japan snap election - Pakistan Today Pakistan... https://t.co/lqT4ZVAWZ6</t>
  </si>
  <si>
    <t xml:space="preserve">Islamabad</t>
  </si>
  <si>
    <t xml:space="preserve">ASSOCIATED PRESS SERVICE APS,The News Agency from Pakistan</t>
  </si>
  <si>
    <t xml:space="preserve">kathrin erdmann</t>
  </si>
  <si>
    <t xml:space="preserve">RT @daiichi_crisis: • LAT: With a landslide win, Shinzo Abe could be ready to rewrite Japan's pacifist… https://t.co/KajmJCjZmt</t>
  </si>
  <si>
    <t xml:space="preserve">Hamburg</t>
  </si>
  <si>
    <t xml:space="preserve">Journalistin (NDR, DW), Trainerin, Lehrbeauftragte Schwerpunkte: Bildung, Integration, Sozialpolitik Interessen: Iran..... Und hier privat!!!</t>
  </si>
  <si>
    <t xml:space="preserve">APS News Agency Shinzo Abe sweeps to a comfortable victory in Japan snap election - Pakistan Today Pakistan... https://t.co/OA6VWKuF0a</t>
  </si>
  <si>
    <t xml:space="preserve">sghosh</t>
  </si>
  <si>
    <t xml:space="preserve">FOLLOWS YOU</t>
  </si>
  <si>
    <t xml:space="preserve">Dr Shivram 🇮🇳</t>
  </si>
  <si>
    <t xml:space="preserve">Ajmer, India</t>
  </si>
  <si>
    <t xml:space="preserve">Ayurved Medical Officer at Govt of Rajasthan ,B.A.M.S.,M.D.(Ayurveda) I.P.G.T.&amp; R.A.(GAU) Die Heart fan of PM @narendramodi @swamy39 @DrGPradhan,Nation comes1st</t>
  </si>
  <si>
    <t xml:space="preserve">The eternal wanderer</t>
  </si>
  <si>
    <t xml:space="preserve">Zack</t>
  </si>
  <si>
    <t xml:space="preserve">Election Risk Pays Off for Shinzo Abe of Japan as His Party Appears to Win Big - The New York Times https://t.co/oU6XY3fxM0</t>
  </si>
  <si>
    <t xml:space="preserve">Queens, New York</t>
  </si>
  <si>
    <t xml:space="preserve">Samarjit Bharat</t>
  </si>
  <si>
    <t xml:space="preserve">Indian History and culture</t>
  </si>
  <si>
    <t xml:space="preserve">True Fight</t>
  </si>
  <si>
    <t xml:space="preserve">Blocked by Suhasni hyder Seema Mustufa,,Praveen swami@kanimozhi PLEASE SPIRITUAL MYSTERY MONGERS STAY AWAY</t>
  </si>
  <si>
    <t xml:space="preserve">Shakkha Spirit</t>
  </si>
  <si>
    <t xml:space="preserve">Congratulations https://t.co/PIqddWygoI</t>
  </si>
  <si>
    <t xml:space="preserve">in search of Wonder.</t>
  </si>
  <si>
    <t xml:space="preserve">RT @latimesworld: With a landslide win, Shinzo Abe could be ready to rewrite Japan's pacifist constitution https://t.co/QNQ2bNq3i6</t>
  </si>
  <si>
    <t xml:space="preserve">Sumit Kumar Singh</t>
  </si>
  <si>
    <t xml:space="preserve">Research scholar at CSIR-Central Drug Research Institute || Am not the best and don't want to, just need the satisfaction in whatsoever i do|| I Sign Petitions</t>
  </si>
  <si>
    <t xml:space="preserve">Rachel Middleton</t>
  </si>
  <si>
    <t xml:space="preserve">Japan election exit polls point to thumping victory for PM Shinzo Abe's coalition https://t.co/K5t3rrsCID</t>
  </si>
  <si>
    <t xml:space="preserve">Canary Wharf, London</t>
  </si>
  <si>
    <t xml:space="preserve">Stints in international news wires across the globe covering finance,economics, general and politics.With newspaper, magazine and online reporting experience.</t>
  </si>
  <si>
    <t xml:space="preserve">Sherooo</t>
  </si>
  <si>
    <t xml:space="preserve">CS. Aspiring corporate consultant. I drink Budweiser. Random tweets. Here for fun.</t>
  </si>
  <si>
    <t xml:space="preserve">Harry</t>
  </si>
  <si>
    <t xml:space="preserve">RT @batchelorshow: Retweeted Bloomberg Politics (@bpolitics): Shinzo Abe is on track to lead Japan through 2021 after a big... https://t.c…</t>
  </si>
  <si>
    <t xml:space="preserve">Chicago metro</t>
  </si>
  <si>
    <t xml:space="preserve">Libertarian leaning Conservative, Interested in just about everything except Accounting.</t>
  </si>
  <si>
    <t xml:space="preserve">Pradeep Verma</t>
  </si>
  <si>
    <t xml:space="preserve">Ramakrishna Paturi</t>
  </si>
  <si>
    <t xml:space="preserve">chennai</t>
  </si>
  <si>
    <t xml:space="preserve">AAAHstin Guiney 👹</t>
  </si>
  <si>
    <t xml:space="preserve">I was hoping that people would reject Shinzō Abe at the voting booth, but the opposition to him was far too weak. https://t.co/HBXRSACN6b</t>
  </si>
  <si>
    <t xml:space="preserve">Writer, and computer programmer. I'm really passionate about left-wing politics, sports, and popular culture.</t>
  </si>
  <si>
    <t xml:space="preserve">payal bhayana</t>
  </si>
  <si>
    <t xml:space="preserve">Retweet quotes as I find them funny.don't endorse them.Politics becoming interesting-politicians getting exposed !Yes! I am a NAMO BHAKT!!Now?</t>
  </si>
  <si>
    <t xml:space="preserve">shashwat shukla</t>
  </si>
  <si>
    <t xml:space="preserve">Psychology|Software|History|Defense| Foreign-Policy|Space|Movies|Weapons Firm believer in reciprocity in all aspects. Hater of all isms and anti-isms.</t>
  </si>
  <si>
    <t xml:space="preserve">Sangramohite11</t>
  </si>
  <si>
    <t xml:space="preserve">Jai Shri Ram, Jay Hind गंदगी—भारत छोड़ो, गरीबी—भारत छोड़ो, भ्रष्टाचार—भारत छोड़ो, आतंकवाद—भारत छोड़ो, जातिवाद—भारत छोड़ो! RT doesn't mean i am saying it</t>
  </si>
  <si>
    <t xml:space="preserve">Simi</t>
  </si>
  <si>
    <t xml:space="preserve">Nitin Kaushik</t>
  </si>
  <si>
    <t xml:space="preserve">Bergen, Norway</t>
  </si>
  <si>
    <t xml:space="preserve">Husband I Father I Learning Professional I Optimist I Direct #India #Hinduism #Politics #Economy #Space #Leadership #PersonalGrowth</t>
  </si>
  <si>
    <t xml:space="preserve">Shinzo Abe on track for landslide victory, exit polls show https://t.co/kmHbhtChHW</t>
  </si>
  <si>
    <t xml:space="preserve">Breaking Global News</t>
  </si>
  <si>
    <t xml:space="preserve">MKN</t>
  </si>
  <si>
    <t xml:space="preserve">J</t>
  </si>
  <si>
    <t xml:space="preserve">Shinzo Abe on track for landslide victory, exit polls show - Japanese Prime Minister Shinzo Abe and his ruling ... https://t.co/zfnblsLla3</t>
  </si>
  <si>
    <t xml:space="preserve">Marseille, France</t>
  </si>
  <si>
    <t xml:space="preserve">World.. Shinzo Abe on track for landslide victory, exit polls show https://t.co/4IUsLT9BUd</t>
  </si>
  <si>
    <t xml:space="preserve">alex</t>
  </si>
  <si>
    <t xml:space="preserve">Election Risk Pays Off for Shinzo Abe of Japan as Party Appears to Win Big https://t.co/eiMejD9zDC via @nytimes</t>
  </si>
  <si>
    <t xml:space="preserve">横浜</t>
  </si>
  <si>
    <t xml:space="preserve">Grace not works // Random Dispatches from Japan. ☕️✖️📷</t>
  </si>
  <si>
    <t xml:space="preserve">Yves kin</t>
  </si>
  <si>
    <t xml:space="preserve">Investors king</t>
  </si>
  <si>
    <t xml:space="preserve">Shinzo Abe Gains Big Victory in Japan Election - https://t.co/nXsPktGVAc</t>
  </si>
  <si>
    <t xml:space="preserve">INVESTORS KING is a digital news media that provides comprehensive analysis on business, finance, economy, technology and government policy.</t>
  </si>
  <si>
    <t xml:space="preserve">BeingRight</t>
  </si>
  <si>
    <t xml:space="preserve">Shinzo Abe it is.. https://t.co/LLMM0L2tGD Japan, Germany, France, US, UK, Australia conducts poll and announces result in a day. We 🤔🤔🤔</t>
  </si>
  <si>
    <t xml:space="preserve">Life is a great escape..</t>
  </si>
  <si>
    <t xml:space="preserve">Tatiana Gélvez Rubio</t>
  </si>
  <si>
    <t xml:space="preserve">Shinzo Abe gains big victory in Japan election https://t.co/ypmJqUjsE2 via @FT</t>
  </si>
  <si>
    <t xml:space="preserve">Bogota-Colombia</t>
  </si>
  <si>
    <t xml:space="preserve">PhD Student @uniessexgovt |Researching on public spending efficiency, tax compliance|Sponsored by @FundacionCEIBA | @unisouthampton | @EconomiaUext alumni</t>
  </si>
  <si>
    <t xml:space="preserve">Rajesh Mehta</t>
  </si>
  <si>
    <t xml:space="preserve">A jewellery manufacturer, Trader, Prolific reader, join us on The Public Square on Facebook. Tweets are not Personal endorsements.</t>
  </si>
  <si>
    <t xml:space="preserve">StreetEYE</t>
  </si>
  <si>
    <t xml:space="preserve">Shinzo Abe gains big victory in Japan election - Financial Times - https://t.co/uHCVv3paFc</t>
  </si>
  <si>
    <t xml:space="preserve">StreetEYE Bot</t>
  </si>
  <si>
    <t xml:space="preserve">Wall Street, Cyberspace</t>
  </si>
  <si>
    <t xml:space="preserve">Top Financial Market News Right Now: (Mostly) algo + crowd-sourced + professional curation since 2012-ish. A @druce project.</t>
  </si>
  <si>
    <t xml:space="preserve">Clear Vision</t>
  </si>
  <si>
    <t xml:space="preserve">Shinzo Abe on track for landslide victory, exit polls show https://t.co/a8ywFm7mQJ</t>
  </si>
  <si>
    <t xml:space="preserve">syndwire</t>
  </si>
  <si>
    <t xml:space="preserve">Bluepearl</t>
  </si>
  <si>
    <t xml:space="preserve">RT @alaidi: Shinzo Abe gains big victory in Japan election - https://t.co/o4UlOd0BfS</t>
  </si>
  <si>
    <t xml:space="preserve">राघव धूत</t>
  </si>
  <si>
    <t xml:space="preserve">proud भारतीय 🇮🇳| law student | #sachinist | #indori | #marwadi ₹ | unapologetically hindu</t>
  </si>
  <si>
    <t xml:space="preserve">singh</t>
  </si>
  <si>
    <t xml:space="preserve">FollowedBy: @PiyushGoyalOffc Nation First,Nationalist,Proud on NAMO,किसी पार्टी का चाटुकार नही,देश सर्वोपरी,ईमानदार किसान पुत्र, नक्सल,आतंकवाद प्रेमी दूररहें</t>
  </si>
  <si>
    <t xml:space="preserve">Nikhil soni</t>
  </si>
  <si>
    <t xml:space="preserve">Live &amp; Let die Retweets are not endorsements</t>
  </si>
  <si>
    <t xml:space="preserve">Jotaro A-key NONAKA</t>
  </si>
  <si>
    <t xml:space="preserve">Media Producer / Serial Entrepreneur / Chairman of INFODEC (Tokyo) / Love Tokyo / Love Japan</t>
  </si>
  <si>
    <t xml:space="preserve">Siddharth Gupta</t>
  </si>
  <si>
    <t xml:space="preserve">Haryana, India</t>
  </si>
  <si>
    <t xml:space="preserve">Want India to prosper. Indian bureaucracy remains THE biggest deterrent to our nation's progress. RTs may or maynot be endorsements</t>
  </si>
  <si>
    <t xml:space="preserve">राजन</t>
  </si>
  <si>
    <t xml:space="preserve">u:1.23456/$!/-7d</t>
  </si>
  <si>
    <t xml:space="preserve">Culture , Social , Science , Politics , Navodayan,</t>
  </si>
  <si>
    <t xml:space="preserve">Abhijeet Kumar</t>
  </si>
  <si>
    <t xml:space="preserve">IT Professional(Messaging Admin) Die Hard Man utd fan.Tweets r my personal views.RT not endorsement.</t>
  </si>
  <si>
    <t xml:space="preserve">Sigma Kappa</t>
  </si>
  <si>
    <t xml:space="preserve">त्पृथिव्यै समुद्रपर्यंता,</t>
  </si>
  <si>
    <t xml:space="preserve">नमस्ते सदा वत्सले मातृभूमे!!</t>
  </si>
  <si>
    <t xml:space="preserve">so|fox</t>
  </si>
  <si>
    <t xml:space="preserve">writing | coding | drawing</t>
  </si>
  <si>
    <t xml:space="preserve">Love Dire Straits</t>
  </si>
  <si>
    <t xml:space="preserve">Unapologetic Hindu. RW job in 2019 is not just to defeat congress. It is to defeat all NDA ministers who gave interview to NDTV.</t>
  </si>
  <si>
    <t xml:space="preserve">Dr Ashok Kumar Tiku</t>
  </si>
  <si>
    <t xml:space="preserve">Abhishek Chaudhari</t>
  </si>
  <si>
    <t xml:space="preserve">Research Fellow, Public Policy Research Centre. Views are personal. Re-tweets are not endorsement.</t>
  </si>
  <si>
    <t xml:space="preserve">Steve Worley</t>
  </si>
  <si>
    <t xml:space="preserve">Election Risk Pays Off for Shinzo Abe of Japan as His Party Appears to Win Big - The New York Times... https://t.co/AFWD5r53PE</t>
  </si>
  <si>
    <t xml:space="preserve">Proud Prog-Liberal International_Atheist Pro-Abortion 2ndAmendment-Hater SocialCommunist Baby-Eating Feminist Sexual_Deviant Anti-Fascist Satan-lover SJW INFP</t>
  </si>
  <si>
    <t xml:space="preserve">patilPutra</t>
  </si>
  <si>
    <t xml:space="preserve">जननी जन्मभूमिश्च स्वर्गादपि गरीयसी Mother &amp; motherland are superior to Heaven.</t>
  </si>
  <si>
    <t xml:space="preserve">Manoj Kumar</t>
  </si>
  <si>
    <t xml:space="preserve">Indian First | Proud Hindu | Proud Haryanvi | #SAP ABAP/HANA Tech Consultant</t>
  </si>
  <si>
    <t xml:space="preserve">Matt Baker</t>
  </si>
  <si>
    <t xml:space="preserve">Japan elections: PM Abe big win https://t.co/OoFOVYhCUe An update on the election in Japan - in a nutshell a big majority for Shinzo Abe P…</t>
  </si>
  <si>
    <t xml:space="preserve">Matt Baker, account manager</t>
  </si>
  <si>
    <t xml:space="preserve">VandeMataram</t>
  </si>
  <si>
    <t xml:space="preserve">#VandeMataram #BhagwaDhwaj </t>
  </si>
  <si>
    <t xml:space="preserve">Netaji-Vivekanand-Aurobindo-BankimChandra-Dayanand Saraswati-SPMookerji-Savarkar-Golwarkar-Tilak Admirer.Nationalist-Hindutva-Free Speech/MarketCapitalism-Chess</t>
  </si>
  <si>
    <t xml:space="preserve">Pradeepkumar Kathavi</t>
  </si>
  <si>
    <t xml:space="preserve">Bangalore, INDIA.</t>
  </si>
  <si>
    <t xml:space="preserve">Management Consultant</t>
  </si>
  <si>
    <t xml:space="preserve">W$!n9|-l</t>
  </si>
  <si>
    <t xml:space="preserve">Male, Fin-IT Pro,Bangalore/Pune.</t>
  </si>
  <si>
    <t xml:space="preserve">His gamble on a snap election paid off with voters https://t.co/TFSGfvm8W5</t>
  </si>
  <si>
    <t xml:space="preserve">arvind nayak</t>
  </si>
  <si>
    <t xml:space="preserve">New Delhi,  Bharath</t>
  </si>
  <si>
    <t xml:space="preserve">A Monk without a Monastery</t>
  </si>
  <si>
    <t xml:space="preserve">Mandark Saraf</t>
  </si>
  <si>
    <t xml:space="preserve">Aurangabad, India</t>
  </si>
  <si>
    <t xml:space="preserve">Studying mechanical engineering.</t>
  </si>
  <si>
    <t xml:space="preserve">RAND Corporation</t>
  </si>
  <si>
    <t xml:space="preserve">"A politically strong and secure Shinzo Abe has a large impact on the United States and its interests." https://t.co/6C83xLFdHg #Japan</t>
  </si>
  <si>
    <t xml:space="preserve">Adobe® Social</t>
  </si>
  <si>
    <t xml:space="preserve">Santa Monica, California</t>
  </si>
  <si>
    <t xml:space="preserve">RAND helps improve policy and decisionmaking through research and analysis. RAND is nonprofit, nonpartisan, and committed to the public interest.</t>
  </si>
  <si>
    <t xml:space="preserve">BK Das</t>
  </si>
  <si>
    <t xml:space="preserve">RahulBadghare</t>
  </si>
  <si>
    <t xml:space="preserve">RTs are Not endorsements</t>
  </si>
  <si>
    <t xml:space="preserve">eze weight loss</t>
  </si>
  <si>
    <t xml:space="preserve">Japan elections: PM Abe big win An update on the election in Japan - in a nutshell a big majority for Shinzo Abe Public broadcaster NHK rep…</t>
  </si>
  <si>
    <t xml:space="preserve">Mets Fan In Chief</t>
  </si>
  <si>
    <t xml:space="preserve">Big Congrats to Ex-Met Shinjo for his Huge Win as Prime Minister of Japan. #LGM #JapanElection #JapaneseGP https://t.co/nMF7AiwWId</t>
  </si>
  <si>
    <t xml:space="preserve">Trump World Tower Moscow</t>
  </si>
  <si>
    <t xml:space="preserve">I've been working hard on MAGA. Now I'm working on behalf of #Mets fans to Make the Failing New York Mets Great Again. Not real Trump bc he is a moron #mNYMga</t>
  </si>
  <si>
    <t xml:space="preserve">“@bpolitics: Shinzo Abe is on track to lead Japan through 2021 after a big election victory https://t.co/cpIPElO23w https://t.co/JwVIgcvmMd”</t>
  </si>
  <si>
    <t xml:space="preserve">Ambarsariyah</t>
  </si>
  <si>
    <t xml:space="preserve">Never waste time trying to explain who you are to people who are committed to misunderstand you.</t>
  </si>
  <si>
    <t xml:space="preserve">ダックール</t>
  </si>
  <si>
    <t xml:space="preserve">Rajesh Thakur</t>
  </si>
  <si>
    <t xml:space="preserve">Chandigarh</t>
  </si>
  <si>
    <t xml:space="preserve">Director at Csint Private Limited , Photography Meditations ,spiritualism.</t>
  </si>
  <si>
    <t xml:space="preserve">まりちゃわん</t>
  </si>
  <si>
    <t xml:space="preserve">Never been happier! Hooraaaaay!!🎉🎉🎉 Election Risk Pays Off for Shinzo Abe of Japan as His Party Appears to Win Big https://t.co/LOGbbQRgtm</t>
  </si>
  <si>
    <r>
      <rPr>
        <sz val="8"/>
        <rFont val="Droid Sans"/>
        <family val="0"/>
        <charset val="1"/>
      </rPr>
      <t xml:space="preserve">Originally from Japan, been in SC for 22 years..Love ANYTHIG about ELON MUSK! </t>
    </r>
    <r>
      <rPr>
        <sz val="8"/>
        <rFont val="Noto Sans CJK SC Regular"/>
        <family val="2"/>
      </rPr>
      <t xml:space="preserve">在米</t>
    </r>
    <r>
      <rPr>
        <sz val="8"/>
        <rFont val="Droid Sans"/>
        <family val="0"/>
        <charset val="1"/>
      </rPr>
      <t xml:space="preserve">22</t>
    </r>
    <r>
      <rPr>
        <sz val="8"/>
        <rFont val="Noto Sans CJK SC Regular"/>
        <family val="2"/>
      </rPr>
      <t xml:space="preserve">年目</t>
    </r>
    <r>
      <rPr>
        <sz val="8"/>
        <rFont val="Droid Sans"/>
        <family val="0"/>
        <charset val="1"/>
      </rPr>
      <t xml:space="preserve">from</t>
    </r>
    <r>
      <rPr>
        <sz val="8"/>
        <rFont val="Noto Sans CJK SC Regular"/>
        <family val="2"/>
      </rPr>
      <t xml:space="preserve">佐賀県。英語教師→米国で日本語教師→結婚</t>
    </r>
    <r>
      <rPr>
        <sz val="8"/>
        <rFont val="Droid Sans"/>
        <family val="0"/>
        <charset val="1"/>
      </rPr>
      <t xml:space="preserve">&amp;</t>
    </r>
    <r>
      <rPr>
        <sz val="8"/>
        <rFont val="Noto Sans CJK SC Regular"/>
        <family val="2"/>
      </rPr>
      <t xml:space="preserve">渡米。息子２人</t>
    </r>
    <r>
      <rPr>
        <sz val="8"/>
        <rFont val="Droid Sans"/>
        <family val="0"/>
        <charset val="1"/>
      </rPr>
      <t xml:space="preserve">(20</t>
    </r>
    <r>
      <rPr>
        <sz val="8"/>
        <rFont val="Noto Sans CJK SC Regular"/>
        <family val="2"/>
      </rPr>
      <t xml:space="preserve">歳＋</t>
    </r>
    <r>
      <rPr>
        <sz val="8"/>
        <rFont val="Droid Sans"/>
        <family val="0"/>
        <charset val="1"/>
      </rPr>
      <t xml:space="preserve">18</t>
    </r>
    <r>
      <rPr>
        <sz val="8"/>
        <rFont val="Noto Sans CJK SC Regular"/>
        <family val="2"/>
      </rPr>
      <t xml:space="preserve">歳・自閉症</t>
    </r>
    <r>
      <rPr>
        <sz val="8"/>
        <rFont val="Droid Sans"/>
        <family val="0"/>
        <charset val="1"/>
      </rPr>
      <t xml:space="preserve">)</t>
    </r>
    <r>
      <rPr>
        <sz val="8"/>
        <rFont val="Noto Sans CJK SC Regular"/>
        <family val="2"/>
      </rPr>
      <t xml:space="preserve">付。行動分析学、</t>
    </r>
    <r>
      <rPr>
        <sz val="8"/>
        <rFont val="Droid Sans"/>
        <family val="0"/>
        <charset val="1"/>
      </rPr>
      <t xml:space="preserve">New York</t>
    </r>
    <r>
      <rPr>
        <sz val="8"/>
        <rFont val="Noto Sans CJK SC Regular"/>
        <family val="2"/>
      </rPr>
      <t xml:space="preserve">＆怪談心霊もの好き。</t>
    </r>
  </si>
  <si>
    <t xml:space="preserve">Shinzo Abe on track for landslide victory, exit polls show - Japanese Prime Minister Shinzo Abe and his ruling ... https://t.co/nkCgY5lIGk</t>
  </si>
  <si>
    <t xml:space="preserve">Noticias y más</t>
  </si>
  <si>
    <t xml:space="preserve">#News Shinzo Abe on track for landslide victory, exit polls show https://t.co/LEmlvceEVh</t>
  </si>
  <si>
    <t xml:space="preserve">Un espacio para conocer las noticias del día a día.</t>
  </si>
  <si>
    <t xml:space="preserve">Kira Clara Aires</t>
  </si>
  <si>
    <t xml:space="preserve">Shinzo Abe on track for landslide victory, exit polls show https://t.co/fyzz5wWYdb</t>
  </si>
  <si>
    <t xml:space="preserve">PLEASE RT my pinned tweet. Thx.------------------Just moved to Virginia. The cool weather is a relief from heaven.</t>
  </si>
  <si>
    <t xml:space="preserve">Manish S Sharma</t>
  </si>
  <si>
    <t xml:space="preserve">San Diego, California, USA</t>
  </si>
  <si>
    <t xml:space="preserve">Insp General@Indian Police, honoured by US Congress &amp; Mayor San Diego, United Nations peacekeeper, Diplomat, Interntnl &amp; Strtgc Affairs Afficianado</t>
  </si>
  <si>
    <t xml:space="preserve">Public Situation</t>
  </si>
  <si>
    <t xml:space="preserve">RT @RANDCorporation: "A politically strong and secure Shinzo Abe has a large impact on the United States and its interests." https://t.co/6…</t>
  </si>
  <si>
    <t xml:space="preserve">Public Situation App</t>
  </si>
  <si>
    <t xml:space="preserve">Cyprus</t>
  </si>
  <si>
    <t xml:space="preserve">Preconceptions, exposes amazing new facts and discoveries, explores different perspectives, and inspires you to..</t>
  </si>
  <si>
    <t xml:space="preserve">Bhavna</t>
  </si>
  <si>
    <t xml:space="preserve">Red goons, Bharat ki barbadi gang, Aaptards &amp; Pappus stay away. Presstitutes aren't welcome either.</t>
  </si>
  <si>
    <t xml:space="preserve">Trader</t>
  </si>
  <si>
    <t xml:space="preserve">born to trade</t>
  </si>
  <si>
    <t xml:space="preserve">chihiro saito</t>
  </si>
  <si>
    <t xml:space="preserve">Election Risk Pays Off for Shinzo Abe of Japan as His Party Appears to Win Big https://t.co/yz2JmwpDIU</t>
  </si>
  <si>
    <t xml:space="preserve">Germany Stuttgart</t>
  </si>
  <si>
    <t xml:space="preserve">Lotus Quartett https://t.co/P0VEFEdCuF</t>
  </si>
  <si>
    <t xml:space="preserve">Dr. Gautam Panda</t>
  </si>
  <si>
    <t xml:space="preserve">Doctor at 💝, but then the Nation🇮🇳 always comes First...</t>
  </si>
  <si>
    <t xml:space="preserve">Jai Shri Ram 🚩🚩</t>
  </si>
  <si>
    <t xml:space="preserve">अमित शर्मा</t>
  </si>
  <si>
    <t xml:space="preserve">भारत का रहने वाला हूँ !</t>
  </si>
  <si>
    <t xml:space="preserve">राष्ट्रवादी</t>
  </si>
  <si>
    <t xml:space="preserve">あみば</t>
  </si>
  <si>
    <t xml:space="preserve">Election Risk Pays Off for Shinzo Abe of Japan as His Party Appears to Win Big https://t.co/0UIBv7p74B</t>
  </si>
  <si>
    <t xml:space="preserve">จังหวัด โอซาก้า</t>
  </si>
  <si>
    <r>
      <rPr>
        <sz val="8"/>
        <rFont val="Noto Sans CJK SC Regular"/>
        <family val="2"/>
      </rPr>
      <t xml:space="preserve">小学</t>
    </r>
    <r>
      <rPr>
        <sz val="8"/>
        <rFont val="Droid Sans"/>
        <family val="0"/>
        <charset val="1"/>
      </rPr>
      <t xml:space="preserve">5-6</t>
    </r>
    <r>
      <rPr>
        <sz val="8"/>
        <rFont val="Noto Sans CJK SC Regular"/>
        <family val="2"/>
      </rPr>
      <t xml:space="preserve">年の担任が満州引揚げ者の共産党員（インターナショナルのプリントを配布）。大学在学中に学内運動家から「部落解放運動に参加しないのは悪」と言われ反発。行動する保守運動の主張を支持。売国マスコミが気持ち悪いので老後は</t>
    </r>
    <r>
      <rPr>
        <sz val="8"/>
        <rFont val="Droid Sans"/>
        <family val="0"/>
        <charset val="1"/>
      </rPr>
      <t xml:space="preserve">Bangkok</t>
    </r>
    <r>
      <rPr>
        <sz val="8"/>
        <rFont val="Noto Sans CJK SC Regular"/>
        <family val="2"/>
      </rPr>
      <t xml:space="preserve">移住。</t>
    </r>
    <r>
      <rPr>
        <sz val="8"/>
        <rFont val="Droid Sans"/>
        <family val="0"/>
        <charset val="1"/>
      </rPr>
      <t xml:space="preserve">#</t>
    </r>
    <r>
      <rPr>
        <sz val="8"/>
        <rFont val="Noto Sans CJK SC Regular"/>
        <family val="2"/>
      </rPr>
      <t xml:space="preserve">大政奉還二 </t>
    </r>
    <r>
      <rPr>
        <sz val="8"/>
        <rFont val="Droid Sans"/>
        <family val="0"/>
        <charset val="1"/>
      </rPr>
      <t xml:space="preserve">#รักในหลวง</t>
    </r>
  </si>
  <si>
    <t xml:space="preserve">sandeep akula</t>
  </si>
  <si>
    <t xml:space="preserve">Alla</t>
  </si>
  <si>
    <t xml:space="preserve">Kyiv</t>
  </si>
  <si>
    <t xml:space="preserve">Пишу об украинской политике. Массфолловинг считаю злом! В интернете не зарабатываю!</t>
  </si>
  <si>
    <t xml:space="preserve">Nidhi Jha</t>
  </si>
  <si>
    <t xml:space="preserve">Tatastu !!!</t>
  </si>
  <si>
    <t xml:space="preserve">Adventurous, Positive, Indian, uneducated IT Professional, No Wings to Political parties, No Endorsements, Witty, Sarcasm, Critic, Outspoken and lots of music !</t>
  </si>
  <si>
    <t xml:space="preserve">HAAL Electronica</t>
  </si>
  <si>
    <t xml:space="preserve">With a landslide win, Shinzo Abe could be ready to rewrite Japan's pacifist constitution by Gavin Blair via latime… https://t.co/G7eOeXLq1V</t>
  </si>
  <si>
    <t xml:space="preserve">Husband | Father | Film/TV Music Composer For inquires/project work contact me at: haalelectronica@gmail.com</t>
  </si>
  <si>
    <t xml:space="preserve">Japan's Shinzo Abe headed to impressive election win: projections https://t.co/V402bLYt9i #abcnetau #abc #news</t>
  </si>
  <si>
    <t xml:space="preserve">Richard Tuffin</t>
  </si>
  <si>
    <t xml:space="preserve">Shinzo Abe secures strong mandate in Japan's general election. https://t.co/r8vmwFQRnV</t>
  </si>
  <si>
    <t xml:space="preserve">#Canberra</t>
  </si>
  <si>
    <t xml:space="preserve">#VoteYes. Dances with trolls. Photographer. Web editor. #Foodie #Wine. #afl #BoundByBlue. Opinions all mine. DM's after following = Unfollow.</t>
  </si>
  <si>
    <t xml:space="preserve">Blackrock Investment says Abe's Japan election 'mild positive' for Japan stocks Blackrock: Japanese Prime Minister Shinzo Abe's Liberal De…</t>
  </si>
  <si>
    <t xml:space="preserve">Gary Scott</t>
  </si>
  <si>
    <t xml:space="preserve">KCRW Program Director // I create things so things can be created.</t>
  </si>
  <si>
    <t xml:space="preserve">Abdul Rehman</t>
  </si>
  <si>
    <t xml:space="preserve">Shinzo Abe secures strong mandate in Japan's general election - https://t.co/Q1y6KkVQqt, , #World-News https://t.co/ycN88CD3Y3</t>
  </si>
  <si>
    <t xml:space="preserve">nvision360</t>
  </si>
  <si>
    <t xml:space="preserve">We believe in your dreams</t>
  </si>
  <si>
    <r>
      <rPr>
        <sz val="8"/>
        <rFont val="Noto Sans CJK SC Regular"/>
        <family val="2"/>
      </rPr>
      <t xml:space="preserve">風</t>
    </r>
    <r>
      <rPr>
        <sz val="8"/>
        <rFont val="Droid Sans"/>
        <family val="0"/>
        <charset val="1"/>
      </rPr>
      <t xml:space="preserve">bot</t>
    </r>
  </si>
  <si>
    <t xml:space="preserve">"Election Risk Pays Off for Shinzo Abe of Japan as His Party Appears to Win Big" by MOTOKO RICH via NYT https://t.co/2gexNBXnrF</t>
  </si>
  <si>
    <t xml:space="preserve">35.517926,134.177328</t>
  </si>
  <si>
    <r>
      <rPr>
        <sz val="8"/>
        <rFont val="Noto Sans CJK SC Regular"/>
        <family val="2"/>
      </rPr>
      <t xml:space="preserve">風まかせ</t>
    </r>
    <r>
      <rPr>
        <sz val="8"/>
        <rFont val="Droid Sans"/>
        <family val="0"/>
        <charset val="1"/>
      </rPr>
      <t xml:space="preserve">( @kazemakase )</t>
    </r>
    <r>
      <rPr>
        <sz val="8"/>
        <rFont val="Noto Sans CJK SC Regular"/>
        <family val="2"/>
      </rPr>
      <t xml:space="preserve">の災害時アカウントです。自動と手動投稿してます。 リプライ、</t>
    </r>
    <r>
      <rPr>
        <sz val="8"/>
        <rFont val="Droid Sans"/>
        <family val="0"/>
        <charset val="1"/>
      </rPr>
      <t xml:space="preserve">DM</t>
    </r>
    <r>
      <rPr>
        <sz val="8"/>
        <rFont val="Noto Sans CJK SC Regular"/>
        <family val="2"/>
      </rPr>
      <t xml:space="preserve">には対応しておりません。 </t>
    </r>
    <r>
      <rPr>
        <sz val="8"/>
        <rFont val="Droid Sans"/>
        <family val="0"/>
        <charset val="1"/>
      </rPr>
      <t xml:space="preserve">#sanin_snow NHK</t>
    </r>
    <r>
      <rPr>
        <sz val="8"/>
        <rFont val="Noto Sans CJK SC Regular"/>
        <family val="2"/>
      </rPr>
      <t xml:space="preserve">ニュース ロイターニュース</t>
    </r>
    <r>
      <rPr>
        <sz val="8"/>
        <rFont val="Droid Sans"/>
        <family val="0"/>
        <charset val="1"/>
      </rPr>
      <t xml:space="preserve">Reuters News) https://t.co/9JiPreX07D </t>
    </r>
    <r>
      <rPr>
        <sz val="8"/>
        <rFont val="Noto Sans CJK SC Regular"/>
        <family val="2"/>
      </rPr>
      <t xml:space="preserve">など</t>
    </r>
  </si>
  <si>
    <t xml:space="preserve">victor morillo</t>
  </si>
  <si>
    <t xml:space="preserve">"Election Risk Pays Off for Shinzo Abe of Japan as His Party Appears to Win Big" by MOTOKO RICH via NYT https://t.co/aSvLtYbM7M</t>
  </si>
  <si>
    <t xml:space="preserve">En algun lugar dla Mancha creo</t>
  </si>
  <si>
    <t xml:space="preserve">Amante d mi familia, d la libertad y la paz. Socio del Barça, Fanatico del Magallanes y NY Yankees. Ingenierio d profesion pero todero por definicion...SONRIAN</t>
  </si>
  <si>
    <t xml:space="preserve">Damian Han</t>
  </si>
  <si>
    <t xml:space="preserve">Election Risk Pays Off for Shinzo Abe of Japan as His Party Appears to Win Big Via New York Times https://t.co/UFGiOvYcRb</t>
  </si>
  <si>
    <t xml:space="preserve">"Election Risk Pays Off for Shinzo Abe of Japan as His Party Appears to Win Big" by MOTOKO RICH via NYT https://t.co/slEHYhC8CB</t>
  </si>
  <si>
    <t xml:space="preserve">NicKafkas</t>
  </si>
  <si>
    <t xml:space="preserve">"Election Risk Pays Off for Shinzo Abe of Japan as His Party Appears to Win Big" by MOTOKO RICH via NYT https://t.co/T89ZhrTYVN</t>
  </si>
  <si>
    <t xml:space="preserve">BOSTON</t>
  </si>
  <si>
    <t xml:space="preserve">Football (soccer), Photography, Cycling, Computing</t>
  </si>
  <si>
    <t xml:space="preserve">gabriel colima</t>
  </si>
  <si>
    <t xml:space="preserve">"Election Risk Pays Off for Shinzo Abe of Japan as His Party Appears to Win Big" by MOTOKO RICH via NYT https://t.co/1FRpBY3CJJ</t>
  </si>
  <si>
    <t xml:space="preserve">colima, mexico</t>
  </si>
  <si>
    <t xml:space="preserve">Originario de el pueblo de San Casteabro del Municipio de Tepesco Eloyo. Soy hijo de Jose Boquitas de la Coronilla y Elma Canon Melambas. Pa servir a usted.</t>
  </si>
  <si>
    <t xml:space="preserve">SCIO TEAM</t>
  </si>
  <si>
    <t xml:space="preserve">"Election Risk Pays Off for Shinzo Abe of Japan as His Party Appears to Win Big" by MOTOKO RICH via NYT… https://t.co/3bU7YxPqGR</t>
  </si>
  <si>
    <t xml:space="preserve">Community Management &amp; Brand Shuttle. (Social Media &amp; Marketing) follow by follow</t>
  </si>
  <si>
    <t xml:space="preserve">Cody Bennett</t>
  </si>
  <si>
    <t xml:space="preserve">"Election Risk Pays Off for Shinzo Abe of Japan as His Party Appears to Win Big" by MOTOKO RICH via NYT… https://t.co/7mhFl5Pg6o</t>
  </si>
  <si>
    <t xml:space="preserve">Mandeville</t>
  </si>
  <si>
    <t xml:space="preserve">Muhammad Iqbal Dar</t>
  </si>
  <si>
    <t xml:space="preserve">"Election Risk Pays Off for Shinzo Abe of Japan as His Party Appears to Win Big" https://t.co/CaQN7L0FCR</t>
  </si>
  <si>
    <t xml:space="preserve">Kokernag Anantnag Kashmir</t>
  </si>
  <si>
    <t xml:space="preserve">Status is what I tweet the last...</t>
  </si>
  <si>
    <t xml:space="preserve">PIYUSH</t>
  </si>
  <si>
    <t xml:space="preserve">कर्मण्येवाधिकारस्ते मा फलेषु कदाचन। मा कर्मफलहेतुर्भूर्मा ते सङ्गोस्त्वकर्मणि ||</t>
  </si>
  <si>
    <t xml:space="preserve">Abd laziz Oubairouk</t>
  </si>
  <si>
    <t xml:space="preserve">Election Risk Pays Off for Shinzo Abe of Japan as His Party Appears to Win Big#World https://t.co/Fbh12mhMZB</t>
  </si>
  <si>
    <t xml:space="preserve">knowledge is the power of teaching. . Learn #howto Create account of any site, Enjoy more tech and i Help You To Start. Follow Please.</t>
  </si>
  <si>
    <t xml:space="preserve">Hassan Ayesh</t>
  </si>
  <si>
    <t xml:space="preserve">Victor Lau</t>
  </si>
  <si>
    <t xml:space="preserve">Former leader of @GreenPartySK .SPUR for UFCW Local 1400 .Union Member/Business Owner https://t.co/u7xZZkGH8J</t>
  </si>
  <si>
    <t xml:space="preserve">Yaadlinks Radio</t>
  </si>
  <si>
    <t xml:space="preserve">"Election Risk Pays Off for Shinzo Abe of Japan as His Party Appears to Win Big" by MOTOKO RICH via NYT https://t.co/w7azRYF3Gu</t>
  </si>
  <si>
    <t xml:space="preserve">London. UK</t>
  </si>
  <si>
    <t xml:space="preserve">Tune in &amp; TURN IT UP!</t>
  </si>
  <si>
    <t xml:space="preserve">World: Shinzo Abe on track for landslide victory, exit polls show: Japanese Prime Minister… https://t.co/XZTuazT7Md</t>
  </si>
  <si>
    <t xml:space="preserve">RT @poliinsights: Election Risk Pays Off for Shinzo Abe of Japan as Party Appears to Win Big https://t.co/cABdZ4DVyO</t>
  </si>
  <si>
    <t xml:space="preserve">Youssef Amerniss</t>
  </si>
  <si>
    <t xml:space="preserve">"Election Risk Pays Off for Shinzo Abe of Japan as His Party Appears to Win Big" https://t.co/UoBwfiWSmp https://t.co/IaW2YivaNJ</t>
  </si>
  <si>
    <t xml:space="preserve">Royaume du Maroc</t>
  </si>
  <si>
    <t xml:space="preserve">Conseiller en communication, publicité, audiovisuel et multimedia</t>
  </si>
  <si>
    <t xml:space="preserve">Ever Gonzalez</t>
  </si>
  <si>
    <t xml:space="preserve">"Election Risk Pays Off for Shinzo Abe of Japan as His Party Appears to Win Big" by MOTOKO RICH via NYT https://t.co/t7JlkIRNia</t>
  </si>
  <si>
    <t xml:space="preserve">( ͡º ͜ʖ ͡º)</t>
  </si>
  <si>
    <t xml:space="preserve">RT @Asipatravana: HE WINS!!! 😁😁😁😁😁😁 DEATH TO LIBERALISM!!! 😁😁😁😁😀😀😀😀 https://t.co/TWHMpW3Imi</t>
  </si>
  <si>
    <t xml:space="preserve">You Es Ay</t>
  </si>
  <si>
    <t xml:space="preserve">ephemeron of one cosmic moment</t>
  </si>
  <si>
    <t xml:space="preserve">Bill Nigh</t>
  </si>
  <si>
    <t xml:space="preserve">Middle of BosWash conurbation</t>
  </si>
  <si>
    <t xml:space="preserve">Citizen and US Army Vet. Dilettante with reasonably respectable clusters of mastery. RT does not equal endorsement.</t>
  </si>
  <si>
    <t xml:space="preserve">DP Survive</t>
  </si>
  <si>
    <t xml:space="preserve">Election Risk Pays Off for Shinzo Abe of Japan as His Party Appears to Win Big by… https://t.co/5S0M0fdNvc https://t.co/FlsnInBkl3</t>
  </si>
  <si>
    <t xml:space="preserve">MARCOS...</t>
  </si>
  <si>
    <t xml:space="preserve">मोदी जी के भारत मै..</t>
  </si>
  <si>
    <t xml:space="preserve">i m an proud indian as well as an anti paid media too...+ one of the biggest bhakt of modi ji...हर हर मोदी घर घर मोदी...</t>
  </si>
  <si>
    <t xml:space="preserve">#HinduLivesMatter</t>
  </si>
  <si>
    <t xml:space="preserve">Retweets may or may not be endorsements. Want to name and shame Arvind Kejriwal/Rahul Gandhi, child-raping christians, jihadis, islamists and liars.</t>
  </si>
  <si>
    <t xml:space="preserve">0x acdc</t>
  </si>
  <si>
    <t xml:space="preserve">RT @BorisTouc: #Japan: Shinzo Abe wins early election amid tensions with #NorthKorea &amp; calls to revise Constitution on self-defense https:/…</t>
  </si>
  <si>
    <t xml:space="preserve">Real stupidity beats artificial intelligence every time. Hogfather TPR</t>
  </si>
  <si>
    <t xml:space="preserve">Sergey Karnatov</t>
  </si>
  <si>
    <t xml:space="preserve">"Election Risk Pays Off for Shinzo Abe of Japan as His Party Appears to Win Big" by MOTOKO RICH via NYT https://t.co/BCr0FU4E6U</t>
  </si>
  <si>
    <t xml:space="preserve">I'm a #Web #Developer &amp; the Terrible @Cure8or just #Writing &amp; having fun online w/ #SocialMedia | Say Hi on https://t.co/EVyStbIUbN &amp; drop by my site⤵👋</t>
  </si>
  <si>
    <t xml:space="preserve">Amallukose</t>
  </si>
  <si>
    <t xml:space="preserve">WORLD NEWS: . "Election Risk Pays Off for Shinzo Abe of Japan as His Party Appears to Win Big" by MOTOKO RICH via N… https://t.co/f7o6DhYMgV</t>
  </si>
  <si>
    <t xml:space="preserve">Kanhagad-Ajanur-Nileshwar, India</t>
  </si>
  <si>
    <t xml:space="preserve">You will know me,just talk to me</t>
  </si>
  <si>
    <t xml:space="preserve">Japan PM Shinzo Abe's ruling bloc on track for big win in election: TV exit polls https://t.co/AeJ4OO9gEs</t>
  </si>
  <si>
    <t xml:space="preserve">Pacific Box</t>
  </si>
  <si>
    <t xml:space="preserve">Election Risk Pays Off for Shinzo Abe of Japan as His Party Appears to Win Big by MOTOKO RICH https://t.co/4vaX2xnprH</t>
  </si>
  <si>
    <t xml:space="preserve">बाबा अपराजित</t>
  </si>
  <si>
    <t xml:space="preserve">बायो पढ़ के अपनी बहन की शादी करवाओगे मुझसे 😏😏😏😏</t>
  </si>
  <si>
    <t xml:space="preserve">Mohan</t>
  </si>
  <si>
    <t xml:space="preserve">“Listen.Reflect.Assimilate.”</t>
  </si>
  <si>
    <t xml:space="preserve">“Devotion to duty is the highest form of worship of God.” ― Swami Vivekananda</t>
  </si>
  <si>
    <t xml:space="preserve">Johnny Gaddar</t>
  </si>
  <si>
    <t xml:space="preserve">ABC News</t>
  </si>
  <si>
    <t xml:space="preserve">Japan's Shinzo Abe headed to impressive election win: projections (Photo: Reuters) https://t.co/uxK058aPHB https://t.co/N1YzSvPCwX</t>
  </si>
  <si>
    <t xml:space="preserve">Spredfast app</t>
  </si>
  <si>
    <t xml:space="preserve">Latest news updates from the Australian Broadcasting Corp. This is an official @abcaustralia account.</t>
  </si>
  <si>
    <t xml:space="preserve">Japan's Shinzo Abe headed to impressive election win: projections https://t.co/FBoJ600rzm #NLU</t>
  </si>
  <si>
    <t xml:space="preserve">VIJAY KUMAR 🇮🇳</t>
  </si>
  <si>
    <t xml:space="preserve">varanasi</t>
  </si>
  <si>
    <t xml:space="preserve">Google News India</t>
  </si>
  <si>
    <t xml:space="preserve">Japan PM Shinzo Abe's ruling bloc on track for big win in election: TV exit polls - Economic Times https://t.co/eHembuxE8r</t>
  </si>
  <si>
    <t xml:space="preserve">Google India News – Find Latest News Today, Google News in English, Current News, Today's News Headlines, Breaking News Today by Google News India.</t>
  </si>
  <si>
    <t xml:space="preserve">Rajen Pandya</t>
  </si>
  <si>
    <t xml:space="preserve">Mulund West, Mumbai, India</t>
  </si>
  <si>
    <t xml:space="preserve">You have a PM who works 14+ hours a day. What's your favourite excuse?</t>
  </si>
  <si>
    <t xml:space="preserve">CA_Kantijain</t>
  </si>
  <si>
    <t xml:space="preserve">Chartered Accountant (CA) in Practice. LLB Graduate. Founder member of SVSJNM, Bangalore &amp; BJS-ACE. Active member of JCIBGC-Bangalore. &amp; https://t.co/dDjKVphe5t.</t>
  </si>
  <si>
    <t xml:space="preserve">Jodi Jones</t>
  </si>
  <si>
    <t xml:space="preserve">abcnews: Japan's Shinzo Abe headed to impressive election win: projections (Photo: Reuters) … https://t.co/Ys7Rpafxfm</t>
  </si>
  <si>
    <t xml:space="preserve">Brutally Honest but Disarmingly Charming #marketing #business #manager #analyst #writer #younique #itworks #consultant #joinme</t>
  </si>
  <si>
    <t xml:space="preserve">mcc</t>
  </si>
  <si>
    <t xml:space="preserve">Shinzo Abe’s party wins big in Japanese election, increasing chances he'll successfully rewrite JP's pacifism clause https://t.co/8xWcio8hBy</t>
  </si>
  <si>
    <t xml:space="preserve">glitch girl -- current avatar by @egypturnash</t>
  </si>
  <si>
    <r>
      <rPr>
        <sz val="8"/>
        <rFont val="Noto Sans CJK SC Regular"/>
        <family val="2"/>
      </rPr>
      <t xml:space="preserve">ねこたん</t>
    </r>
    <r>
      <rPr>
        <sz val="8"/>
        <rFont val="Droid Sans"/>
        <family val="0"/>
        <charset val="1"/>
      </rPr>
      <t xml:space="preserve">^^</t>
    </r>
  </si>
  <si>
    <t xml:space="preserve">八百万の神様のおわす国</t>
  </si>
  <si>
    <r>
      <rPr>
        <sz val="8"/>
        <rFont val="Noto Sans CJK SC Regular"/>
        <family val="2"/>
      </rPr>
      <t xml:space="preserve">美しい日本に生まれ育ったことを感謝しています </t>
    </r>
    <r>
      <rPr>
        <sz val="8"/>
        <rFont val="Droid Sans"/>
        <family val="0"/>
        <charset val="1"/>
      </rPr>
      <t xml:space="preserve">Love begins at home. ̳^•ᴗ•^ ̳ </t>
    </r>
    <r>
      <rPr>
        <sz val="8"/>
        <rFont val="Noto Sans CJK SC Regular"/>
        <family val="2"/>
      </rPr>
      <t xml:space="preserve">にゃん♥ 【日韓間の政治、経済を０にすべき！】 天皇陛下への無礼発言、総理を人形に見立てた残虐デモは許しがたい！😡 精神異常な反日の敵対国を『 助けない！ 教えない！ 関わらない！ 盗ませない！ 』</t>
    </r>
  </si>
  <si>
    <t xml:space="preserve">Robert Slater</t>
  </si>
  <si>
    <t xml:space="preserve">RT @mcclure111: Shinzo Abe’s party wins big in Japanese election, increasing chances he'll successfully rewrite JP's pacifism clause https:…</t>
  </si>
  <si>
    <t xml:space="preserve">Very cute, very tired. Programmer, Runner, DM. Avatar by @gigideegee https://t.co/0DP0vDpZpH I post politics over at @owlspolitics</t>
  </si>
  <si>
    <t xml:space="preserve">Mary Brock Jones</t>
  </si>
  <si>
    <t xml:space="preserve">RT @abcnews: Japan's Shinzo Abe headed to impressive election win: projections (Photo: Reuters) https://t.co/uxK058aPHB https://t.co/N1YzSv…</t>
  </si>
  <si>
    <t xml:space="preserve">Mary Brock Jones, author, loves to escape to the #SciFi and #historicalromance worlds in her head. #IAN1 #IARTG #SupportIndieAuthors https://t.co/P2F4xoZxQO</t>
  </si>
  <si>
    <t xml:space="preserve">gopal Mondal</t>
  </si>
  <si>
    <t xml:space="preserve">WORDLNEWS</t>
  </si>
  <si>
    <t xml:space="preserve">Shinzo Abe secures strong mandate in Japan's general election | World news https://t.co/ToDcTRF0MP #worldnews #news #breakingnews</t>
  </si>
  <si>
    <t xml:space="preserve">TOP NEWS.</t>
  </si>
  <si>
    <t xml:space="preserve">Farooqh</t>
  </si>
  <si>
    <t xml:space="preserve">Indian.. 🇮🇳</t>
  </si>
  <si>
    <t xml:space="preserve">Madeline's Ashes</t>
  </si>
  <si>
    <t xml:space="preserve">Toronto</t>
  </si>
  <si>
    <t xml:space="preserve">futurist, science fiction novelist, speaker, immigrant, anime nerd, married to @bydavidnickle</t>
  </si>
  <si>
    <t xml:space="preserve">Toy</t>
  </si>
  <si>
    <t xml:space="preserve">Japan's Shinzo Abe headed to impressive election win: projections https://t.co/9KZCeVAc2E</t>
  </si>
  <si>
    <t xml:space="preserve">Twitter bot that grabs Japan related news from ABC news Australia. Follow if find it handy! Sorry,I don't follow anyone w/ this account to keep the site simple.</t>
  </si>
  <si>
    <t xml:space="preserve">Christian DeFeo</t>
  </si>
  <si>
    <t xml:space="preserve">Shinzo Abe gains big victory in Japan election via @FT https://t.co/4iGqOqyHWo</t>
  </si>
  <si>
    <t xml:space="preserve">Peterborough, England</t>
  </si>
  <si>
    <t xml:space="preserve">Concerned citizen in Eye, Thorney &amp; Newborough, @etnlabour, Chair of Central England Anglia @CoopParty. @Carol1neTweets' husband. Views my own.</t>
  </si>
  <si>
    <t xml:space="preserve">Japan to turn up heat against North Korea as Abe gains new mandate with election win https://t.co/LnXEDIeHqS https://t.co/bI5YgxyuFt</t>
  </si>
  <si>
    <t xml:space="preserve">Chad Hudson</t>
  </si>
  <si>
    <t xml:space="preserve">Nova Scotia, Canada</t>
  </si>
  <si>
    <t xml:space="preserve">Tweeting on politics and the public good. Views and opinions are my own. Follows and Retweets do not equal endorsements.</t>
  </si>
  <si>
    <t xml:space="preserve">Shakil Ahmed</t>
  </si>
  <si>
    <t xml:space="preserve">RT @Daily_Express: Japan to turn up heat against North Korea as Abe gains new mandate with election win https://t.co/LnXEDIeHqS https://t.c…</t>
  </si>
  <si>
    <t xml:space="preserve">ظَهَرَ الْفَسَادُ فِي الْبَرِّ وَالْبَحْرِ بِمَا ۔۔۔ Corruption has appeared throughout the land and sea by [reason of] what the hands of people have earned so</t>
  </si>
  <si>
    <t xml:space="preserve">Rameshwar Prasad</t>
  </si>
  <si>
    <t xml:space="preserve">Joshua Burr</t>
  </si>
  <si>
    <t xml:space="preserve">RT @doctorcdf: Shinzo Abe gains big victory in Japan election via @FT https://t.co/4iGqOqyHWo</t>
  </si>
  <si>
    <t xml:space="preserve">Kilmersdon, England</t>
  </si>
  <si>
    <t xml:space="preserve">Always hungry, lover of the Lurcher, Somerset born and bred. Still a Lib Dem.</t>
  </si>
  <si>
    <t xml:space="preserve">Ahmed Al Omran</t>
  </si>
  <si>
    <t xml:space="preserve">Shinzo Abe is set to push for a revision of Japan’s pacifist constitution after big victory in early election https://t.co/idlvv3setL</t>
  </si>
  <si>
    <t xml:space="preserve">Journalist · Ex-@WSJ Saudi correspondent · Columbia J-School alum · Email: alomran (at) gmail dot com</t>
  </si>
  <si>
    <t xml:space="preserve">nagesh</t>
  </si>
  <si>
    <t xml:space="preserve">Interested in Indian Economy, Politics and Global Oil prices.</t>
  </si>
  <si>
    <t xml:space="preserve">Breaking Knowledge</t>
  </si>
  <si>
    <t xml:space="preserve">Japan PM Shinzo Abe's ruling bloc on track for big win in election: TV exit polls… https://t.co/Tp5JXeE2vz @iblogbir</t>
  </si>
  <si>
    <t xml:space="preserve">LET THE KNOWLEDGE COME TO YOU FIRST</t>
  </si>
  <si>
    <t xml:space="preserve">Pablo A</t>
  </si>
  <si>
    <t xml:space="preserve">BANGKOK JAMAICA Tokyo Barcelona London</t>
  </si>
  <si>
    <t xml:space="preserve">Tech Entrepreneur, Writer. Former CEO @ E21MEDIA. Passionate about Crypto/Bitcoin/Investment/Media/culture/music/film/travel &amp; all that explains this mad world!</t>
  </si>
  <si>
    <t xml:space="preserve">Election Risk Pays Off for Shinzo Abe of Japan as His Party Appears to Win Big https://t.co/Ay5w04qIPt</t>
  </si>
  <si>
    <t xml:space="preserve">Saraschandra K</t>
  </si>
  <si>
    <t xml:space="preserve">Loves mediocre comedy.Hates tangled wires</t>
  </si>
  <si>
    <t xml:space="preserve">tabithasabater</t>
  </si>
  <si>
    <t xml:space="preserve">Breaking News - Election risk pays off for shinzo abe of japan as his party appears to win big: https://t.co/YyFdgF5TPS via @YouTube</t>
  </si>
  <si>
    <t xml:space="preserve">https://www.youtube.com/channel/UCwv6FQb2U8yJFDwlvW4JXCw/videos?disable_polymer=1</t>
  </si>
  <si>
    <t xml:space="preserve">https://t.co/KTZuBxuUPc</t>
  </si>
  <si>
    <t xml:space="preserve">SomertonFromeLibDems</t>
  </si>
  <si>
    <t xml:space="preserve">Frome</t>
  </si>
  <si>
    <t xml:space="preserve">#Somerton and #Frome Liberal Democrats - fighting for you all year round.</t>
  </si>
  <si>
    <t xml:space="preserve">Monira Al Q.</t>
  </si>
  <si>
    <t xml:space="preserve">RT @ahmed: Shinzo Abe is set to push for a revision of Japan’s pacifist constitution after big victory in early election https://t.co/idlvv…</t>
  </si>
  <si>
    <t xml:space="preserve">Nowhere</t>
  </si>
  <si>
    <t xml:space="preserve">Funerary artist with political interests. Tweeting mostly politics. RT ≠ Endorsement</t>
  </si>
  <si>
    <t xml:space="preserve">vamsi krishna</t>
  </si>
  <si>
    <t xml:space="preserve">Lukas Benke</t>
  </si>
  <si>
    <t xml:space="preserve">https://t.co/1SNUE8OB6C And one more reason why I love Japan. Congratulations to Shinzo Abe! Hope Japans stays this conservative course!</t>
  </si>
  <si>
    <t xml:space="preserve">Germany, Dresden</t>
  </si>
  <si>
    <t xml:space="preserve">I am: - German - Gamer - Lover of History - Right-Wing - Anti-SJW - Kekistani - Free Speech Advocate - Pro-Israel - Love Japan - Comic/Manga/Anime Fan</t>
  </si>
  <si>
    <t xml:space="preserve">HEINKESSE</t>
  </si>
  <si>
    <r>
      <rPr>
        <sz val="8"/>
        <rFont val="Noto Sans CJK SC Regular"/>
        <family val="2"/>
      </rPr>
      <t xml:space="preserve">神奈川県､東京都</t>
    </r>
    <r>
      <rPr>
        <sz val="8"/>
        <rFont val="Droid Sans"/>
        <family val="0"/>
        <charset val="1"/>
      </rPr>
      <t xml:space="preserve">23</t>
    </r>
    <r>
      <rPr>
        <sz val="8"/>
        <rFont val="Noto Sans CJK SC Regular"/>
        <family val="2"/>
      </rPr>
      <t xml:space="preserve">区</t>
    </r>
  </si>
  <si>
    <t xml:space="preserve">Shinzo Abe's ruling coalition expected to win decisively in Japan election https://t.co/GtzNHUlowk</t>
  </si>
  <si>
    <t xml:space="preserve">Thoha Ali</t>
  </si>
  <si>
    <t xml:space="preserve">james</t>
  </si>
  <si>
    <t xml:space="preserve">Steven Heutink</t>
  </si>
  <si>
    <t xml:space="preserve">Shinzo Abe gains big victory in Japan election https://t.co/b3zLuPBXfu via @FT</t>
  </si>
  <si>
    <t xml:space="preserve">Huizen, Nederland</t>
  </si>
  <si>
    <t xml:space="preserve">Zuidvogels JO16-1,voetbal,hond,AFC Ajax,klm,Johan Cruijff, FC Barcelona, Verenigde Staten, Volkspartij voor Vrijheid en Democratie, JOVD</t>
  </si>
  <si>
    <t xml:space="preserve">ウム・クルトゥム</t>
  </si>
  <si>
    <r>
      <rPr>
        <sz val="8"/>
        <rFont val="Noto Sans CJK SC Regular"/>
        <family val="2"/>
      </rPr>
      <t xml:space="preserve">中東と欧州　</t>
    </r>
    <r>
      <rPr>
        <sz val="8"/>
        <rFont val="Droid Sans"/>
        <family val="0"/>
        <charset val="1"/>
      </rPr>
      <t xml:space="preserve">Dubai/Beirut/Stockholm</t>
    </r>
  </si>
  <si>
    <r>
      <rPr>
        <sz val="8"/>
        <rFont val="Noto Sans CJK SC Regular"/>
        <family val="2"/>
      </rPr>
      <t xml:space="preserve">東西行ったり来たり </t>
    </r>
    <r>
      <rPr>
        <sz val="8"/>
        <rFont val="Droid Sans"/>
        <family val="0"/>
        <charset val="1"/>
      </rPr>
      <t xml:space="preserve">https://t.co/Byo6HAGx4R https://t.co/vhtYbgsfVD</t>
    </r>
  </si>
  <si>
    <t xml:space="preserve">Ozesurfer</t>
  </si>
  <si>
    <t xml:space="preserve">RT ≠ Endorsement, necessarily. Just for your information. https://t.co/yuVzTqNS6v https://t.co/ugNuKpirtT https://t.co/adWoeMPPdY</t>
  </si>
  <si>
    <t xml:space="preserve">Student</t>
  </si>
  <si>
    <t xml:space="preserve">Shinzo Abe’s expected election win will make him Japan's longest-serving prime minister https://t.co/PGKU0LysHf https://t.co/EbBPkoNjZd</t>
  </si>
  <si>
    <t xml:space="preserve">Sanjay Sharma</t>
  </si>
  <si>
    <t xml:space="preserve">Entrepreneur I Books, movies and documentaries enthusiast I Co- Founder and Producer@Flutesong Media</t>
  </si>
  <si>
    <t xml:space="preserve">Vidoe TV</t>
  </si>
  <si>
    <t xml:space="preserve">Japan: exit polls suggest a landslide general election victory for Shinzo Abe's coalition - https://t.co/jNND70m6Cw https://t.co/92F7DDt5Oh</t>
  </si>
  <si>
    <t xml:space="preserve">vidoe tv</t>
  </si>
  <si>
    <t xml:space="preserve">Become a Dailymotion Partner: https://t.co/dmuvMIpoLF Our Video Platform: https://t.co/FYjXVmXzP3</t>
  </si>
  <si>
    <t xml:space="preserve">sassygirl914</t>
  </si>
  <si>
    <t xml:space="preserve">The hottest places in hell are reserved for those who in time of moral crisis, maintain their neutrality~ Dante #TheResistance No trolls, lists or DMs.</t>
  </si>
  <si>
    <t xml:space="preserve">Japan's Shinzo Abe headed to impressive election win: projections: https://t.co/1kOcqCFoyC - Just In #Latest</t>
  </si>
  <si>
    <t xml:space="preserve">Noah Feldman</t>
  </si>
  <si>
    <t xml:space="preserve">Cambridge, MA</t>
  </si>
  <si>
    <t xml:space="preserve">law professor at @Harvard_Law, columnist for @BV, Senior Fellow of the Society of Fellows at Harvard</t>
  </si>
  <si>
    <t xml:space="preserve">R Singh</t>
  </si>
  <si>
    <t xml:space="preserve">THE NRI Prespective</t>
  </si>
  <si>
    <t xml:space="preserve">A Non Resident Indian.</t>
  </si>
  <si>
    <t xml:space="preserve">Maryam Al Dabbagh</t>
  </si>
  <si>
    <t xml:space="preserve">Sharjah, United Arab Emirates</t>
  </si>
  <si>
    <t xml:space="preserve">Ila Al Amam إلى الأمام //Writer and Researcher - PR consultant // arts &amp; culture // SOAS alumni- MA //Arab//Iraqi identity .. and coffee , good coffee.</t>
  </si>
  <si>
    <t xml:space="preserve">Baduna</t>
  </si>
  <si>
    <t xml:space="preserve">Our Precious Earth</t>
  </si>
  <si>
    <t xml:space="preserve">I love Learning with a Passion.</t>
  </si>
  <si>
    <t xml:space="preserve">TLMoe</t>
  </si>
  <si>
    <t xml:space="preserve">Shinzo Abe secures strong mandate in Japan's general election https://t.co/V1AdNVf4PP</t>
  </si>
  <si>
    <t xml:space="preserve">Oregon boonies</t>
  </si>
  <si>
    <t xml:space="preserve">Best vegan cook, loves ALL animals, artist, wannabe a writer someday</t>
  </si>
  <si>
    <t xml:space="preserve">kunal singh</t>
  </si>
  <si>
    <t xml:space="preserve">Teis Knuthsen</t>
  </si>
  <si>
    <t xml:space="preserve">Shinzo Abe gains big victory in Japan election via @FT https://t.co/RUybIe259A</t>
  </si>
  <si>
    <t xml:space="preserve">tk@saxobank.com +45 31139452 </t>
  </si>
  <si>
    <t xml:space="preserve">CIO at Saxo Private Bank. Global macro nerd and TAA fan.</t>
  </si>
  <si>
    <t xml:space="preserve">Japan election exit poll results are in https://t.co/k3ruvs7z9m</t>
  </si>
  <si>
    <t xml:space="preserve">Exit polls show Japan's PM winning a big victory in Sunday's snap parliamentary election https://t.co/peLwZ1Tche https://t.co/2SpSy2SfXG</t>
  </si>
  <si>
    <t xml:space="preserve">Japan's Shinzo Abe headed to impressive election win: projections https://t.co/o44KhxQjot</t>
  </si>
  <si>
    <t xml:space="preserve">じぇいじぇい</t>
  </si>
  <si>
    <t xml:space="preserve">RT @AJENews: Exit polls show Japan's PM winning a big victory in Sunday's snap parliamentary election https://t.co/peLwZ1Tche https://t.co/…</t>
  </si>
  <si>
    <t xml:space="preserve">黒蜥蜴星</t>
  </si>
  <si>
    <t xml:space="preserve">例の顔</t>
  </si>
  <si>
    <t xml:space="preserve">Tais Max Hyltoft</t>
  </si>
  <si>
    <t xml:space="preserve">RT @TeisKnuthsen: Shinzo Abe gains big victory in Japan election via @FT https://t.co/RUybIe259A</t>
  </si>
  <si>
    <t xml:space="preserve">Aalborg, Denmark</t>
  </si>
  <si>
    <t xml:space="preserve">Gareth Hutchens</t>
  </si>
  <si>
    <t xml:space="preserve">Shinzo Abe secures strong mandate in Japan's general election https://t.co/szj6mT0ngs</t>
  </si>
  <si>
    <t xml:space="preserve">Parliament House, Canberra</t>
  </si>
  <si>
    <t xml:space="preserve">Politics and economics correspondent for Guardian Australia. Know anything that needs reporting? Email: gareth.hutchens@theguardian.com Wickr: g966</t>
  </si>
  <si>
    <t xml:space="preserve">Daily Headlines</t>
  </si>
  <si>
    <t xml:space="preserve">Shinzo Abe secures strong mandate in Japan's general election https://t.co/mjYIMVLx6l</t>
  </si>
  <si>
    <t xml:space="preserve">Daily headlines and interest stories from Canada and around the world</t>
  </si>
  <si>
    <t xml:space="preserve">ASHEESH #nosurname</t>
  </si>
  <si>
    <t xml:space="preserve">New world</t>
  </si>
  <si>
    <t xml:space="preserve">#wakeuphindu no caste only Hindu. Need nobody's advise I have enough knowledge to judge people. Aware Hindu hate jehadis and libtards...</t>
  </si>
  <si>
    <t xml:space="preserve">Greg Jericho</t>
  </si>
  <si>
    <t xml:space="preserve">RT @grhutchens: Shinzo Abe secures strong mandate in Japan's general election https://t.co/szj6mT0ngs</t>
  </si>
  <si>
    <t xml:space="preserve">Writes on economics and politics for Guardian Australia</t>
  </si>
  <si>
    <t xml:space="preserve">Gerry Lynch</t>
  </si>
  <si>
    <t xml:space="preserve">Election risk pays off for Shinzo Abe of Japan as his LDP party + allies on right look set to win 2/3 majority https://t.co/mRtiKdEeFb</t>
  </si>
  <si>
    <t xml:space="preserve">Salisbury, England</t>
  </si>
  <si>
    <t xml:space="preserve">Comms Director @DioSalisbury. Past Director @AllianceParty. Future @C_of_E ordinand. Belfast boy. Radio ham. World politics geek. Views may not be my employer's</t>
  </si>
  <si>
    <t xml:space="preserve">Kim Babac</t>
  </si>
  <si>
    <t xml:space="preserve">Japan's Shinzo Abe headed to impressive election win: projections https://t.co/9g7gN1AUXx #news</t>
  </si>
  <si>
    <t xml:space="preserve">behind you...</t>
  </si>
  <si>
    <t xml:space="preserve">help me help you know me</t>
  </si>
  <si>
    <t xml:space="preserve">Ayodele Olabode PT</t>
  </si>
  <si>
    <t xml:space="preserve">Sold Out...</t>
  </si>
  <si>
    <t xml:space="preserve">EnigMAA</t>
  </si>
  <si>
    <t xml:space="preserve">CALIFORNIA ~ South &amp; North  </t>
  </si>
  <si>
    <t xml:space="preserve">Proud BabyBoomer &amp;GrtGRANDMother with SocialEntrepreneurial GOALS! NEWConcepts/Product Designer Created A New APPlication for AUTO-Safety and Missing Persons</t>
  </si>
  <si>
    <t xml:space="preserve">Priyang Bhatt</t>
  </si>
  <si>
    <t xml:space="preserve">A Full-Time STUDENT and Part-Time TEACHER..</t>
  </si>
  <si>
    <t xml:space="preserve">푸른곰</t>
  </si>
  <si>
    <t xml:space="preserve">Election Risk Pays Off for Shinzo Abe of Japan as His Party Appears to Win Big – The New York Times https://t.co/iPmtAhppBr</t>
  </si>
  <si>
    <r>
      <rPr>
        <sz val="8"/>
        <rFont val="Droid Sans"/>
        <family val="0"/>
        <charset val="1"/>
      </rPr>
      <t xml:space="preserve">IT</t>
    </r>
    <r>
      <rPr>
        <sz val="8"/>
        <rFont val="Noto Sans CJK SC Regular"/>
        <family val="2"/>
      </rPr>
      <t xml:space="preserve">블로거</t>
    </r>
    <r>
      <rPr>
        <sz val="8"/>
        <rFont val="Droid Sans"/>
        <family val="0"/>
        <charset val="1"/>
      </rPr>
      <t xml:space="preserve">. </t>
    </r>
    <r>
      <rPr>
        <sz val="8"/>
        <rFont val="Noto Sans CJK SC Regular"/>
        <family val="2"/>
      </rPr>
      <t xml:space="preserve">맥</t>
    </r>
    <r>
      <rPr>
        <sz val="8"/>
        <rFont val="Droid Sans"/>
        <family val="0"/>
        <charset val="1"/>
      </rPr>
      <t xml:space="preserve">, </t>
    </r>
    <r>
      <rPr>
        <sz val="8"/>
        <rFont val="Noto Sans CJK SC Regular"/>
        <family val="2"/>
      </rPr>
      <t xml:space="preserve">윈도우</t>
    </r>
    <r>
      <rPr>
        <sz val="8"/>
        <rFont val="Droid Sans"/>
        <family val="0"/>
        <charset val="1"/>
      </rPr>
      <t xml:space="preserve">, iOS, </t>
    </r>
    <r>
      <rPr>
        <sz val="8"/>
        <rFont val="Noto Sans CJK SC Regular"/>
        <family val="2"/>
      </rPr>
      <t xml:space="preserve">안드로이드 사용중</t>
    </r>
    <r>
      <rPr>
        <sz val="8"/>
        <rFont val="Droid Sans"/>
        <family val="0"/>
        <charset val="1"/>
      </rPr>
      <t xml:space="preserve">. MCP. </t>
    </r>
    <r>
      <rPr>
        <sz val="8"/>
        <rFont val="Noto Sans CJK SC Regular"/>
        <family val="2"/>
      </rPr>
      <t xml:space="preserve">고양이와 커피</t>
    </r>
    <r>
      <rPr>
        <sz val="8"/>
        <rFont val="Droid Sans"/>
        <family val="0"/>
        <charset val="1"/>
      </rPr>
      <t xml:space="preserve">, </t>
    </r>
    <r>
      <rPr>
        <sz val="8"/>
        <rFont val="Noto Sans CJK SC Regular"/>
        <family val="2"/>
      </rPr>
      <t xml:space="preserve">하겐다즈 좋아하는 잡식성 오타쿠</t>
    </r>
    <r>
      <rPr>
        <sz val="8"/>
        <rFont val="Droid Sans"/>
        <family val="0"/>
        <charset val="1"/>
      </rPr>
      <t xml:space="preserve">. </t>
    </r>
    <r>
      <rPr>
        <sz val="8"/>
        <rFont val="Noto Sans CJK SC Regular"/>
        <family val="2"/>
      </rPr>
      <t xml:space="preserve">국제 뉴스나 </t>
    </r>
    <r>
      <rPr>
        <sz val="8"/>
        <rFont val="Droid Sans"/>
        <family val="0"/>
        <charset val="1"/>
      </rPr>
      <t xml:space="preserve">IT </t>
    </r>
    <r>
      <rPr>
        <sz val="8"/>
        <rFont val="Noto Sans CJK SC Regular"/>
        <family val="2"/>
      </rPr>
      <t xml:space="preserve">소식</t>
    </r>
    <r>
      <rPr>
        <sz val="8"/>
        <rFont val="Droid Sans"/>
        <family val="0"/>
        <charset val="1"/>
      </rPr>
      <t xml:space="preserve">/</t>
    </r>
    <r>
      <rPr>
        <sz val="8"/>
        <rFont val="Noto Sans CJK SC Regular"/>
        <family val="2"/>
      </rPr>
      <t xml:space="preserve">트렌드</t>
    </r>
    <r>
      <rPr>
        <sz val="8"/>
        <rFont val="Droid Sans"/>
        <family val="0"/>
        <charset val="1"/>
      </rPr>
      <t xml:space="preserve">, </t>
    </r>
    <r>
      <rPr>
        <sz val="8"/>
        <rFont val="Noto Sans CJK SC Regular"/>
        <family val="2"/>
      </rPr>
      <t xml:space="preserve">애니</t>
    </r>
    <r>
      <rPr>
        <sz val="8"/>
        <rFont val="Droid Sans"/>
        <family val="0"/>
        <charset val="1"/>
      </rPr>
      <t xml:space="preserve">, </t>
    </r>
    <r>
      <rPr>
        <sz val="8"/>
        <rFont val="Noto Sans CJK SC Regular"/>
        <family val="2"/>
      </rPr>
      <t xml:space="preserve">서브컬처</t>
    </r>
    <r>
      <rPr>
        <sz val="8"/>
        <rFont val="Droid Sans"/>
        <family val="0"/>
        <charset val="1"/>
      </rPr>
      <t xml:space="preserve">, </t>
    </r>
    <r>
      <rPr>
        <sz val="8"/>
        <rFont val="Noto Sans CJK SC Regular"/>
        <family val="2"/>
      </rPr>
      <t xml:space="preserve">일상 위주 트윗</t>
    </r>
    <r>
      <rPr>
        <sz val="8"/>
        <rFont val="Droid Sans"/>
        <family val="0"/>
        <charset val="1"/>
      </rPr>
      <t xml:space="preserve">. </t>
    </r>
    <r>
      <rPr>
        <sz val="8"/>
        <rFont val="Noto Sans CJK SC Regular"/>
        <family val="2"/>
      </rPr>
      <t xml:space="preserve">모든 팔로우</t>
    </r>
    <r>
      <rPr>
        <sz val="8"/>
        <rFont val="Droid Sans"/>
        <family val="0"/>
        <charset val="1"/>
      </rPr>
      <t xml:space="preserve">/RT/</t>
    </r>
    <r>
      <rPr>
        <sz val="8"/>
        <rFont val="Noto Sans CJK SC Regular"/>
        <family val="2"/>
      </rPr>
      <t xml:space="preserve">링크</t>
    </r>
    <r>
      <rPr>
        <sz val="8"/>
        <rFont val="Droid Sans"/>
        <family val="0"/>
        <charset val="1"/>
      </rPr>
      <t xml:space="preserve">/</t>
    </r>
    <r>
      <rPr>
        <sz val="8"/>
        <rFont val="Noto Sans CJK SC Regular"/>
        <family val="2"/>
      </rPr>
      <t xml:space="preserve">좋아요가 찬동</t>
    </r>
    <r>
      <rPr>
        <sz val="8"/>
        <rFont val="Droid Sans"/>
        <family val="0"/>
        <charset val="1"/>
      </rPr>
      <t xml:space="preserve">/</t>
    </r>
    <r>
      <rPr>
        <sz val="8"/>
        <rFont val="Noto Sans CJK SC Regular"/>
        <family val="2"/>
      </rPr>
      <t xml:space="preserve">추천의 의미는 아니며 멘션등에 전부는 대답 못드림을 양해 바랍니다</t>
    </r>
    <r>
      <rPr>
        <sz val="8"/>
        <rFont val="Droid Sans"/>
        <family val="0"/>
        <charset val="1"/>
      </rPr>
      <t xml:space="preserve">.</t>
    </r>
  </si>
  <si>
    <t xml:space="preserve">Priya Barik</t>
  </si>
  <si>
    <t xml:space="preserve">Bhubaneswar , Odisha</t>
  </si>
  <si>
    <t xml:space="preserve">Happy go lucky Proud nationalist Proud odia Modified Supports RSS BJP #jaihind</t>
  </si>
  <si>
    <t xml:space="preserve">jerry morrow</t>
  </si>
  <si>
    <t xml:space="preserve">Shinzo Abe just got one step closer to realizing his mandate for Japan. Here’s what it looks like https://t.co/dUdjSWmCue via @qz</t>
  </si>
  <si>
    <t xml:space="preserve">japanese, communications at the YMCA, copy &amp; layout, promotional videos, zen, african music, Cal football, strength training, scottish gaelic music</t>
  </si>
  <si>
    <t xml:space="preserve">Japan's Shinzo Abe headed to impressive election win: projections https://t.co/WMcEdwJArH</t>
  </si>
  <si>
    <t xml:space="preserve">tunckar</t>
  </si>
  <si>
    <t xml:space="preserve">RT @purengom: Election Risk Pays Off for Shinzo Abe of Japan as His Party Appears to Win Big – The New York Times https://t.co/iPmtAhppBr</t>
  </si>
  <si>
    <t xml:space="preserve">istanbul</t>
  </si>
  <si>
    <t xml:space="preserve">35 yıldır para,banka hülasa finansın yalan dolan dünyasında.</t>
  </si>
  <si>
    <t xml:space="preserve">Rosemary Vass</t>
  </si>
  <si>
    <t xml:space="preserve">Mum, Granny, retired educator. Passionate about social justice; educational equity; stopping csg/coal, climate change; disability rights and gardening!!</t>
  </si>
  <si>
    <t xml:space="preserve">bhunesh</t>
  </si>
  <si>
    <t xml:space="preserve">Werner &amp; Ursula</t>
  </si>
  <si>
    <t xml:space="preserve">Ursula and I use Art as a medium to express our concerns for the Environment.</t>
  </si>
  <si>
    <t xml:space="preserve">MakeInIndia</t>
  </si>
  <si>
    <t xml:space="preserve">DD</t>
  </si>
  <si>
    <t xml:space="preserve">MommaMarDee</t>
  </si>
  <si>
    <t xml:space="preserve">human being, person, individual, coen bros. character yet discovered, survivor, believer in Creator, Love at its best n worst, wonderer good at living irony</t>
  </si>
  <si>
    <t xml:space="preserve">🙏General B Rawat🙏</t>
  </si>
  <si>
    <t xml:space="preserve">Shambhala</t>
  </si>
  <si>
    <t xml:space="preserve">Hindu = United Dharma = (Hi,Ja,Bu,Si) #Bharathavarsha Opinion is Personal ,RT isn't endorsement, let's have constructive criticism, discuss, Respect 4 Dharmic</t>
  </si>
  <si>
    <t xml:space="preserve">MOTOKI</t>
  </si>
  <si>
    <r>
      <rPr>
        <sz val="8"/>
        <rFont val="Noto Sans CJK SC Regular"/>
        <family val="2"/>
      </rPr>
      <t xml:space="preserve">京都 </t>
    </r>
    <r>
      <rPr>
        <sz val="8"/>
        <rFont val="Droid Sans"/>
        <family val="0"/>
        <charset val="1"/>
      </rPr>
      <t xml:space="preserve">, Kyoto , JAPAN</t>
    </r>
  </si>
  <si>
    <r>
      <rPr>
        <sz val="8"/>
        <rFont val="Noto Sans CJK SC Regular"/>
        <family val="2"/>
      </rPr>
      <t xml:space="preserve">野球 </t>
    </r>
    <r>
      <rPr>
        <sz val="8"/>
        <rFont val="Droid Sans"/>
        <family val="0"/>
        <charset val="1"/>
      </rPr>
      <t xml:space="preserve">JAZZ Classical music </t>
    </r>
    <r>
      <rPr>
        <sz val="8"/>
        <rFont val="Noto Sans CJK SC Regular"/>
        <family val="2"/>
      </rPr>
      <t xml:space="preserve">輸入盤 </t>
    </r>
    <r>
      <rPr>
        <sz val="8"/>
        <rFont val="Droid Sans"/>
        <family val="0"/>
        <charset val="1"/>
      </rPr>
      <t xml:space="preserve">Youtube </t>
    </r>
    <r>
      <rPr>
        <sz val="8"/>
        <rFont val="Noto Sans CJK SC Regular"/>
        <family val="2"/>
      </rPr>
      <t xml:space="preserve">ミリタリー</t>
    </r>
    <r>
      <rPr>
        <sz val="8"/>
        <rFont val="Droid Sans"/>
        <family val="0"/>
        <charset val="1"/>
      </rPr>
      <t xml:space="preserve">[</t>
    </r>
    <r>
      <rPr>
        <sz val="8"/>
        <rFont val="Noto Sans CJK SC Regular"/>
        <family val="2"/>
      </rPr>
      <t xml:space="preserve">刀は抜かず鋭くあるべし</t>
    </r>
    <r>
      <rPr>
        <sz val="8"/>
        <rFont val="Droid Sans"/>
        <family val="0"/>
        <charset val="1"/>
      </rPr>
      <t xml:space="preserve">]</t>
    </r>
    <r>
      <rPr>
        <sz val="8"/>
        <rFont val="Noto Sans CJK SC Regular"/>
        <family val="2"/>
      </rPr>
      <t xml:space="preserve">戦術 戦略 土木 宇宙 読書 歴史 素粒子物理学 お笑い 芸術 車 </t>
    </r>
    <r>
      <rPr>
        <sz val="8"/>
        <rFont val="Droid Sans"/>
        <family val="0"/>
        <charset val="1"/>
      </rPr>
      <t xml:space="preserve">WRC </t>
    </r>
    <r>
      <rPr>
        <sz val="8"/>
        <rFont val="Noto Sans CJK SC Regular"/>
        <family val="2"/>
      </rPr>
      <t xml:space="preserve">蕎麦 年下 少年 微</t>
    </r>
    <r>
      <rPr>
        <sz val="8"/>
        <rFont val="Droid Sans"/>
        <family val="0"/>
        <charset val="1"/>
      </rPr>
      <t xml:space="preserve">S </t>
    </r>
    <r>
      <rPr>
        <sz val="8"/>
        <rFont val="Noto Sans CJK SC Regular"/>
        <family val="2"/>
      </rPr>
      <t xml:space="preserve">凸 煙草</t>
    </r>
    <r>
      <rPr>
        <sz val="8"/>
        <rFont val="Droid Sans"/>
        <family val="0"/>
        <charset val="1"/>
      </rPr>
      <t xml:space="preserve">[</t>
    </r>
    <r>
      <rPr>
        <sz val="8"/>
        <rFont val="Noto Sans CJK SC Regular"/>
        <family val="2"/>
      </rPr>
      <t xml:space="preserve">大人のマナーを遵守</t>
    </r>
    <r>
      <rPr>
        <sz val="8"/>
        <rFont val="Droid Sans"/>
        <family val="0"/>
        <charset val="1"/>
      </rPr>
      <t xml:space="preserve">] </t>
    </r>
    <r>
      <rPr>
        <sz val="8"/>
        <rFont val="Noto Sans CJK SC Regular"/>
        <family val="2"/>
      </rPr>
      <t xml:space="preserve">酒 醤油 わさび 動物・水族館 エンタメ ニュース ジャーナリズム 旅 珈琲</t>
    </r>
  </si>
  <si>
    <t xml:space="preserve">ギバサ</t>
  </si>
  <si>
    <r>
      <rPr>
        <sz val="8"/>
        <rFont val="Noto Sans CJK SC Regular"/>
        <family val="2"/>
      </rPr>
      <t xml:space="preserve">まとめサイトなど徘徊してます。無言ツイートご容赦下さい。ジャンルでアカウント分けてないのでごちゃまぜなのでご了承お願いします。</t>
    </r>
    <r>
      <rPr>
        <sz val="8"/>
        <rFont val="Droid Sans"/>
        <family val="0"/>
        <charset val="1"/>
      </rPr>
      <t xml:space="preserve">An account isn't being separated, so the various genres mix. Please accept it in case of follow</t>
    </r>
    <r>
      <rPr>
        <sz val="8"/>
        <rFont val="Noto Sans CJK SC Regular"/>
        <family val="2"/>
      </rPr>
      <t xml:space="preserve">。</t>
    </r>
  </si>
  <si>
    <t xml:space="preserve">Shailendra Aragula</t>
  </si>
  <si>
    <t xml:space="preserve">cyn_city</t>
  </si>
  <si>
    <t xml:space="preserve">Japan PM Shinzo Abe's ruling bloc on track for big win in election: TV exit polls… https://t.co/ON7pCP1Fk7</t>
  </si>
  <si>
    <t xml:space="preserve">Chris Schuetzinger</t>
  </si>
  <si>
    <t xml:space="preserve">Shinzo Abe gains big victory in Japan election #Japan #ShinzoAbe https://t.co/5wg63niihN</t>
  </si>
  <si>
    <t xml:space="preserve">OS X</t>
  </si>
  <si>
    <t xml:space="preserve">Zurich, Vienna: Europe</t>
  </si>
  <si>
    <t xml:space="preserve">MMM: Modern Medicine Man. M.D. Swiss Medical Board Certified Psychiatrist, Humanist, Skeptic and Biker.</t>
  </si>
  <si>
    <t xml:space="preserve">junia</t>
  </si>
  <si>
    <t xml:space="preserve">RT @rachelmealey: Japan election: Shinzo Abe and his policies are unpopular, so why are voters set to stick with him? https://t.co/f4CjPKYt…</t>
  </si>
  <si>
    <t xml:space="preserve">EU</t>
  </si>
  <si>
    <t xml:space="preserve">student in political science, int.l relations, int.l/EU law/economics, constitutionalism; environmentalist, renewable energy, no-nukes</t>
  </si>
  <si>
    <t xml:space="preserve">News Club 🌐</t>
  </si>
  <si>
    <t xml:space="preserve">Shinzo Abe on way to big parliamentary election win Shinzo Abe, Japan’s prime mi... https://t.co/DkAuSySep0 via… https://t.co/h6xQO0Mj7N</t>
  </si>
  <si>
    <t xml:space="preserve">Official News Club: #LatestNews, #BreakingNews, #WorldNews, #ScienceNews, #TechNews, #BusinessNews, #SportsNews 🌐</t>
  </si>
  <si>
    <t xml:space="preserve">🎗psychosmology🎗</t>
  </si>
  <si>
    <t xml:space="preserve">Seoul, South Korea</t>
  </si>
  <si>
    <t xml:space="preserve">Brian Jeffears</t>
  </si>
  <si>
    <t xml:space="preserve">GA, USA</t>
  </si>
  <si>
    <t xml:space="preserve">Endeavoring to be a game developer, Champion of Roguelikes, RogueTemple moderator, Random Roguelike Radio Disembodied Voice, FM Synth</t>
  </si>
  <si>
    <t xml:space="preserve">Japan's Shinzo Abe headed to impressive election win: projections #WorldNews https://t.co/2VaJHGz9BP</t>
  </si>
  <si>
    <t xml:space="preserve">Shinzo Abe's 3rd act: Stability for investors, and a salve for Japan's scandal-battered companies.. https://t.co/A8zDxSYlAo</t>
  </si>
  <si>
    <t xml:space="preserve">Viking Tiger</t>
  </si>
  <si>
    <t xml:space="preserve">East of Kingstown. England.</t>
  </si>
  <si>
    <t xml:space="preserve">Long time black and amber. Like Pink Floyd, comfortably numb. Put me on a list and I will block. Retweets not always an endorsement.Hate EU love free Europe</t>
  </si>
  <si>
    <t xml:space="preserve">HooTa</t>
  </si>
  <si>
    <r>
      <rPr>
        <sz val="8"/>
        <rFont val="Noto Sans CJK SC Regular"/>
        <family val="2"/>
      </rPr>
      <t xml:space="preserve">🎌 レコードや</t>
    </r>
    <r>
      <rPr>
        <sz val="8"/>
        <rFont val="Droid Sans"/>
        <family val="0"/>
        <charset val="1"/>
      </rPr>
      <t xml:space="preserve">CD</t>
    </r>
    <r>
      <rPr>
        <sz val="8"/>
        <rFont val="Noto Sans CJK SC Regular"/>
        <family val="2"/>
      </rPr>
      <t xml:space="preserve">を売る仕事をしていたが、時勢に勝てず数年前に閉店。</t>
    </r>
    <r>
      <rPr>
        <sz val="8"/>
        <rFont val="Droid Sans"/>
        <family val="0"/>
        <charset val="1"/>
      </rPr>
      <t xml:space="preserve">70</t>
    </r>
    <r>
      <rPr>
        <sz val="8"/>
        <rFont val="Noto Sans CJK SC Regular"/>
        <family val="2"/>
      </rPr>
      <t xml:space="preserve">年代ロック、ブルース、アフリカ音楽、ブラジル音楽が好き。仕事で音楽を考えないので、かえって、好きな音楽をゆっくり聴けるな〜。</t>
    </r>
  </si>
  <si>
    <t xml:space="preserve">Politics</t>
  </si>
  <si>
    <t xml:space="preserve">Japan's Shinzo Abe headed to impressive election win: projections #Politics https://t.co/egn6NIKrS2</t>
  </si>
  <si>
    <t xml:space="preserve">Find your latest Politics news with just one click. Don't miss out on anything happening!</t>
  </si>
  <si>
    <t xml:space="preserve">Marty Yates 🇺🇸 🐸</t>
  </si>
  <si>
    <t xml:space="preserve">WhereEverIWant2B</t>
  </si>
  <si>
    <t xml:space="preserve">Independent Patriotic Christian Autism Advocate/Parent/Homeschooler Small Business Owner https://t.co/MHp79IBagV President TRUMP 🇺🇸🐸👌🗽💪</t>
  </si>
  <si>
    <t xml:space="preserve">Shelshand</t>
  </si>
  <si>
    <t xml:space="preserve">Just Another Tweeter/My views not reflected in all tweets.</t>
  </si>
  <si>
    <t xml:space="preserve">#Panga Math Le</t>
  </si>
  <si>
    <t xml:space="preserve">Beleiver in Akanda Bharat, Strong India.</t>
  </si>
  <si>
    <t xml:space="preserve">Hani Abuagla</t>
  </si>
  <si>
    <t xml:space="preserve">Suvie Kaul</t>
  </si>
  <si>
    <t xml:space="preserve">The only Absolute Truth about my-self is that - I AM.</t>
  </si>
  <si>
    <t xml:space="preserve">Nitin mohan</t>
  </si>
  <si>
    <t xml:space="preserve">Shinzo Abe on way to big parliamentary election win | News - https://t.co/qLoTdGcE9M Abe on way to big parliamentary election win | News</t>
  </si>
  <si>
    <t xml:space="preserve">DTTO NEWS</t>
  </si>
  <si>
    <t xml:space="preserve">Election day typhoon in Japan. https://t.co/ESM73AKNzi</t>
  </si>
  <si>
    <t xml:space="preserve">Discerning The Times Online</t>
  </si>
  <si>
    <t xml:space="preserve">With a landslide win, Shinzo Abe could be ready to rewrite Japan's pacifist constitution https://t.co/mqOKMd7jmc</t>
  </si>
  <si>
    <t xml:space="preserve">Gorgeous FM</t>
  </si>
  <si>
    <t xml:space="preserve">Shinzo Abe is on course for a resounding victory in Japan's snap election - and has vowed to "deal firmly" with... https://t.co/DqSrQN0WCX</t>
  </si>
  <si>
    <t xml:space="preserve">West Midlands, England</t>
  </si>
  <si>
    <t xml:space="preserve">Wolverhampton's No1 Community Radio Station</t>
  </si>
  <si>
    <t xml:space="preserve">Assessmart Test</t>
  </si>
  <si>
    <t xml:space="preserve">Check out Japan PM Shinzo Abe's ruling bloc on track for big win in election: TV exit polls - Economic Times https://t.co/HaM83eXLf0</t>
  </si>
  <si>
    <t xml:space="preserve">Shinzo Abe’s expected election win will make him Japan's longest-serving prime minister https://t.co/k55EH3FrD7 https://t.co/ronkl4ZNtX</t>
  </si>
  <si>
    <t xml:space="preserve">theodore karasik</t>
  </si>
  <si>
    <t xml:space="preserve">AOR= Arabian Peninsula, South Asia, Central Asia, Russia, Caucasus, Levant, North Africa, Horn of Africa, East Asia</t>
  </si>
  <si>
    <t xml:space="preserve">Sid</t>
  </si>
  <si>
    <t xml:space="preserve">#India - Japan PM Shinzo Abe's ruling bloc on track for big win in election: TV exit polls… https://t.co/k1PNKDMrDA</t>
  </si>
  <si>
    <t xml:space="preserve">Computers, movies &amp; internet make my world. My FB pages: http://t.co/MlCapQ64l5 http://t.co/EOP542pEpo</t>
  </si>
  <si>
    <t xml:space="preserve">Luci</t>
  </si>
  <si>
    <t xml:space="preserve">RT @trtworld: Shinzo Abe’s expected election win will make him Japan's longest-serving prime minister https://t.co/k55EH3FrD7 https://t.co/…</t>
  </si>
  <si>
    <t xml:space="preserve">I dream of seeing earth from space</t>
  </si>
  <si>
    <t xml:space="preserve">Japan PM Shinzo Abe's ruling bloc on track for big win in election: TV exit polls… https://t.co/rMbS1JRLYe News IN</t>
  </si>
  <si>
    <t xml:space="preserve">Yüce Antalyaspor</t>
  </si>
  <si>
    <t xml:space="preserve">Antalyamız iyiyse bizde iyiyiz.😉 #BizAntalyasporuz 🔴⚪</t>
  </si>
  <si>
    <t xml:space="preserve">Ron Loveland</t>
  </si>
  <si>
    <t xml:space="preserve">Shinzo Abe gains big victory in Japan election via @FT https://t.co/A4q0lhL1H6</t>
  </si>
  <si>
    <t xml:space="preserve">Cardiff, Wales/ Newcastle NSW</t>
  </si>
  <si>
    <t xml:space="preserve">Energy adviser to Welsh Gov/FInstP/Hon.Prof Swansea Uni College of Eng/Visiting Scientist CSIRO NSW/ Buddhist. Full profile on Linkedin. 'Likes' mostly for ref</t>
  </si>
  <si>
    <t xml:space="preserve">河内丸（裁判員制度を即時廃止せよ）</t>
  </si>
  <si>
    <t xml:space="preserve">"North Korea helped him" Re: The Guardian: Shinzo Abe secures strong mandate in Japan's general election https://t.co/G3tuEUIa7K</t>
  </si>
  <si>
    <t xml:space="preserve">Congratulations to Edward Snowden, Laura Poitras and Glenn Greenwald</t>
  </si>
  <si>
    <t xml:space="preserve">Thomas A Giles</t>
  </si>
  <si>
    <t xml:space="preserve">With a landslide win, Shinzo Abe could be ready to rewrite Japan's pacifist constitution https://t.co/vB6iENYpDk</t>
  </si>
  <si>
    <t xml:space="preserve">Laguna Beach, CA #TheResistance</t>
  </si>
  <si>
    <t xml:space="preserve">About four beers left of center. OFA_OC Feelin the Bern!</t>
  </si>
  <si>
    <t xml:space="preserve">satya shanbhag</t>
  </si>
  <si>
    <t xml:space="preserve">Surgeon, scientist,spiritually nationalist</t>
  </si>
  <si>
    <t xml:space="preserve">debia</t>
  </si>
  <si>
    <t xml:space="preserve">Matt East</t>
  </si>
  <si>
    <t xml:space="preserve">RT @AJEVideos: Japan's PM Shinzo Abe poised to win snap election: https://t.co/uKKJmiGjte via @YouTube</t>
  </si>
  <si>
    <t xml:space="preserve">Snr Planning Producer for Asia-Pac Newsgathering and sometime Newsdesk Editor | Al Jazeera English | Usual disclaimer - my thoughts, not employer's etc..</t>
  </si>
  <si>
    <t xml:space="preserve">Tea Lover</t>
  </si>
  <si>
    <t xml:space="preserve">Hope springs: Japan’s prime minister may regret calling an early election https://t.co/j5KqkJeRAc via @TheEconomist</t>
  </si>
  <si>
    <t xml:space="preserve">PETER BARKER</t>
  </si>
  <si>
    <t xml:space="preserve">#ShinzoAbe secures strong #mandate in #Japan's #general #election https://t.co/GGmTAe3tD9</t>
  </si>
  <si>
    <t xml:space="preserve">MULTIMEDIA Design | Illustration | Maps | Motion Graphics #animation #design #illustration #maps #research #vfx</t>
  </si>
  <si>
    <t xml:space="preserve">Newsy</t>
  </si>
  <si>
    <t xml:space="preserve">Exit polls look good for #Japan's PM Shinzo Abe, and he may now set his sights on amending its constitution. https://t.co/XenS9jjkQj</t>
  </si>
  <si>
    <t xml:space="preserve">News with the why. https://t.co/mLh1dx0kt1</t>
  </si>
  <si>
    <t xml:space="preserve">Shivaji Vithalrao</t>
  </si>
  <si>
    <t xml:space="preserve">Lead Engineer @HCLTech, Technical Research Analyst by hobby and Pursuing Chartered Market Technician from MTA (USA)</t>
  </si>
  <si>
    <t xml:space="preserve">Shinzo Abe secures strong mandate in Japan's general election https://t.co/L1hCgx75CE</t>
  </si>
  <si>
    <t xml:space="preserve">Roberto Re</t>
  </si>
  <si>
    <t xml:space="preserve">Shinzo Abe gains big victory in Japan election @ft Via @riotta</t>
  </si>
  <si>
    <t xml:space="preserve">SIRENETbrk</t>
  </si>
  <si>
    <t xml:space="preserve">Milano +45.465556°, +9.190000°</t>
  </si>
  <si>
    <t xml:space="preserve">Ich bin ein Mailänder,independent analytical thinker.Fulltime student of News RT=FYI #MIlano #engineer #networker ½ROBot #TweetMI #TheBrightSide #Empatia</t>
  </si>
  <si>
    <t xml:space="preserve">Muppalla</t>
  </si>
  <si>
    <t xml:space="preserve">TruthBeTold</t>
  </si>
  <si>
    <t xml:space="preserve">Emergency Physician. Musicbuff. RT not endorsement.</t>
  </si>
  <si>
    <t xml:space="preserve">Vivek AS 🇮🇳</t>
  </si>
  <si>
    <t xml:space="preserve">INDIAN, Sales pro, Patriotic, Music Lover, Funny &amp;Real.Embarked on Learning life, history,politics&amp; culture wid an aim to contribute! RT's R Not endorsement🇮</t>
  </si>
  <si>
    <t xml:space="preserve">RT @EagleStarNET: Shinzo Abe secures strong mandate in Japan's general election https://t.co/L1hCgx75CE</t>
  </si>
  <si>
    <t xml:space="preserve">Mohd Shafeeg Mahmood</t>
  </si>
  <si>
    <t xml:space="preserve">Maldives</t>
  </si>
  <si>
    <t xml:space="preserve">Chief Executive Officer | Local Government Authority | Maldives | Tweets=Personal | RT≠Endorsement.</t>
  </si>
  <si>
    <t xml:space="preserve">Japan's Prime Minister Shinzo Abe secures strong mandate in General Election success - City… https://t.co/w6ByMISbAG</t>
  </si>
  <si>
    <t xml:space="preserve">ケンジ</t>
  </si>
  <si>
    <t xml:space="preserve">愛知県 </t>
  </si>
  <si>
    <t xml:space="preserve">もと左、現在右。 目には目を、愛には寛容を。 一度裏切ったやつは何度でも裏切る。 週末は釣り🎣</t>
  </si>
  <si>
    <t xml:space="preserve">A.Lizard</t>
  </si>
  <si>
    <t xml:space="preserve">SF Bay Area</t>
  </si>
  <si>
    <t xml:space="preserve">independent electronics - computer R&amp;D. ex-tech journo. read SF, music-industrial (Angelspit,Experiment Haywire,HelalynFlowers,FrontLineAssembly) #AllCatPack</t>
  </si>
  <si>
    <t xml:space="preserve">Randy L. Sanders</t>
  </si>
  <si>
    <t xml:space="preserve">Shinzo Abe Wins Overwhelming Mandate in Japan’s Snap Election https://t.co/eUO4vigWWZ via @thedailybeast</t>
  </si>
  <si>
    <t xml:space="preserve">Sandy, OR</t>
  </si>
  <si>
    <t xml:space="preserve">A part-time online democratic activist. Love reading political and governmental history. I call 'em when I see 'em.</t>
  </si>
  <si>
    <t xml:space="preserve">Japan PM Shinzo Abe's ruling bloc on track for big win in election: TV exit polls… https://t.co/HMXmcOn7SU @iblogbir</t>
  </si>
  <si>
    <t xml:space="preserve">Crumbling Eddifice</t>
  </si>
  <si>
    <t xml:space="preserve">Solving #Politrick #AntiIlluminati, #AntiZionist &amp;#AntiFreemason #Palestine #Apartheid, #Zionist Hunter #GMO blocked by @swamy39 @Tarekfatah @rita_Katz &amp; RW</t>
  </si>
  <si>
    <t xml:space="preserve">Canada24News</t>
  </si>
  <si>
    <t xml:space="preserve">Japan's Shinzo Abe scores impressive election win https://t.co/mrJuezVGo4 #news #Politics https://t.co/vo77mO5Har</t>
  </si>
  <si>
    <t xml:space="preserve">canada news sender</t>
  </si>
  <si>
    <t xml:space="preserve">Toronto, OH</t>
  </si>
  <si>
    <t xml:space="preserve">Election Risk Pays Off for Shinzo Abe of Japan as His Party Appears to Win Big https://t.co/3GKkIXSlGK</t>
  </si>
  <si>
    <t xml:space="preserve">読書中</t>
  </si>
  <si>
    <r>
      <rPr>
        <sz val="8"/>
        <rFont val="Droid Sans"/>
        <family val="0"/>
        <charset val="1"/>
      </rPr>
      <t xml:space="preserve">Twitter</t>
    </r>
    <r>
      <rPr>
        <sz val="8"/>
        <rFont val="Noto Sans CJK SC Regular"/>
        <family val="2"/>
      </rPr>
      <t xml:space="preserve">は読み物。</t>
    </r>
  </si>
  <si>
    <t xml:space="preserve">Habla Con Gian</t>
  </si>
  <si>
    <t xml:space="preserve">Shinzo Abe secures strong mandate in Japan's general election https://t.co/eloSFyW3Ij</t>
  </si>
  <si>
    <t xml:space="preserve">Genova, Liguria</t>
  </si>
  <si>
    <t xml:space="preserve">showrunner, director of tv series, movies, documentaries, video music, talents, adv, etc, screenwriter.</t>
  </si>
  <si>
    <t xml:space="preserve">Geo45</t>
  </si>
  <si>
    <t xml:space="preserve">1.372609,103.849407</t>
  </si>
  <si>
    <t xml:space="preserve">World Citizen</t>
  </si>
  <si>
    <t xml:space="preserve">Japan: Shinzo Abe heads for big election win https://t.co/hZq1JhGlty</t>
  </si>
  <si>
    <t xml:space="preserve">Sujeev Kommana</t>
  </si>
  <si>
    <t xml:space="preserve">Telugu, Kamma, Hindu without Samskara.Trying to educate myself through Dharampal, Rajeev Srinivasan, Rajiv Malhotra, Varsha Bhosle, Sandeep Balakrishna, et al</t>
  </si>
  <si>
    <t xml:space="preserve">Dr. Mark P. Barry</t>
  </si>
  <si>
    <t xml:space="preserve">Japan election: Shinzo Abe's coalition wins supermajority - The Washington Post https://t.co/nKCj3RzCIL</t>
  </si>
  <si>
    <t xml:space="preserve">Tivoli, NY (near Bard, Vassar)</t>
  </si>
  <si>
    <t xml:space="preserve">Followed US-NK relations for 27 yrs. Met Kim Il Sung in '94. Worked w/ NGOs that met Kim Jong Il &amp; facilitated US-NK ties. 📧 m.barry@uts.edu.</t>
  </si>
  <si>
    <t xml:space="preserve">The Eyes of Texas</t>
  </si>
  <si>
    <r>
      <rPr>
        <sz val="8"/>
        <rFont val="Noto Sans CJK SC Regular"/>
        <family val="2"/>
      </rPr>
      <t xml:space="preserve">現在、米国のエネルギー産業で仕事中。日本の真の原動力、中小企業を活気付けることが今の日本には必要。とりあえず原発再活動するべし。 座右の銘</t>
    </r>
    <r>
      <rPr>
        <sz val="8"/>
        <rFont val="Droid Sans"/>
        <family val="0"/>
        <charset val="1"/>
      </rPr>
      <t xml:space="preserve">: </t>
    </r>
    <r>
      <rPr>
        <sz val="8"/>
        <rFont val="Noto Sans CJK SC Regular"/>
        <family val="2"/>
      </rPr>
      <t xml:space="preserve">働かざるもの食うべからず。</t>
    </r>
  </si>
  <si>
    <t xml:space="preserve">Japan: Shinzo Abe heads for big election win https://t.co/x0FBmicicC https://t.co/7VANOxqVyF</t>
  </si>
  <si>
    <t xml:space="preserve">jane</t>
  </si>
  <si>
    <t xml:space="preserve">Japan's Shinzo Abe headed to impressive election win: projections https://t.co/2kWNxBEWyf via @ABCNews</t>
  </si>
  <si>
    <t xml:space="preserve">messenger of God. visiting scholar at Duke University(2015-2016). PhD degree holder</t>
  </si>
  <si>
    <t xml:space="preserve">Catherine Szenci</t>
  </si>
  <si>
    <t xml:space="preserve">RT @euronews: Japan: Shinzo Abe heads for big election win https://t.co/x0FBmicicC https://t.co/7VANOxqVyF</t>
  </si>
  <si>
    <t xml:space="preserve">Markland Wood, Toronto</t>
  </si>
  <si>
    <t xml:space="preserve">Tom Kiedrowski</t>
  </si>
  <si>
    <t xml:space="preserve">♦MD, Cedar Tree Advisory Service ♦Visiting Lecturer in Telecommunications Law at University of Strathclyde ♦Member of the Institute of Water ♦Member of ESAN</t>
  </si>
  <si>
    <t xml:space="preserve">Bijaya Shrestha</t>
  </si>
  <si>
    <t xml:space="preserve">TOKYO—Japanese Prime Minister Shinzo Abe won a strong new mandate from voters in a national election Sunday, a... https://t.co/qBaZZ8BiPP</t>
  </si>
  <si>
    <t xml:space="preserve">Diego De Luna</t>
  </si>
  <si>
    <t xml:space="preserve">Un abuso sin igual que espantosas monstruosidades y deformaciones se hayan amparado bajo aquel santo nombre¿Qué negó Cristo?Todo lo que hoy es llamado cristiano</t>
  </si>
  <si>
    <t xml:space="preserve">Hussein Ismail</t>
  </si>
  <si>
    <t xml:space="preserve">memeorandum</t>
  </si>
  <si>
    <t xml:space="preserve">Election Risk Pays Off for Shinzo Abe of Japan as His Party Appears to Win Big (@motokorich) https://t.co/KeaSUElQdr https://t.co/2JMtpM8waP</t>
  </si>
  <si>
    <t xml:space="preserve">San Francisco</t>
  </si>
  <si>
    <t xml:space="preserve">The latest political news and opinion from left to right and back on a single page.</t>
  </si>
  <si>
    <t xml:space="preserve">Ivan Vejvoda</t>
  </si>
  <si>
    <t xml:space="preserve">Director Europe project &amp; Permanent Fellow Institute for Human Sciences @IWM_Vienna Politics, Democracy, Europe, EU, Transatlant relations, Enlargement, Balkans</t>
  </si>
  <si>
    <t xml:space="preserve">Новини</t>
  </si>
  <si>
    <t xml:space="preserve">Japan: Shinzo Abe heads for big election win https://t.co/u5hBmv4jjd euronews</t>
  </si>
  <si>
    <t xml:space="preserve">Sofia, Bulgaria</t>
  </si>
  <si>
    <t xml:space="preserve">Новини. Без прасета.</t>
  </si>
  <si>
    <t xml:space="preserve">KD</t>
  </si>
  <si>
    <t xml:space="preserve">Brahmand</t>
  </si>
  <si>
    <t xml:space="preserve">There are things known and things unknown and in between are the doors. Retweets are not necessarily endorsements. NO DMs please 🙏</t>
  </si>
  <si>
    <t xml:space="preserve">Japan: Shinzo Abe heads for big election win https://t.co/6MqKGJh8aZ #EuroNews</t>
  </si>
  <si>
    <t xml:space="preserve">Yuvan Krishna</t>
  </si>
  <si>
    <t xml:space="preserve">#EuroNews: Japan: Shinzo Abe heads for big election win https://t.co/vy6auTrNlg #WorldNews #News https://t.co/7bAf8k4eT7</t>
  </si>
  <si>
    <r>
      <rPr>
        <sz val="8"/>
        <rFont val="Droid Sans"/>
        <family val="0"/>
        <charset val="1"/>
      </rPr>
      <t xml:space="preserve">surprise attack </t>
    </r>
    <r>
      <rPr>
        <sz val="8"/>
        <rFont val="Noto Sans CJK SC Regular"/>
        <family val="2"/>
      </rPr>
      <t xml:space="preserve">奇襲</t>
    </r>
  </si>
  <si>
    <r>
      <rPr>
        <sz val="8"/>
        <rFont val="Droid Sans"/>
        <family val="0"/>
        <charset val="1"/>
      </rPr>
      <t xml:space="preserve">Japan </t>
    </r>
    <r>
      <rPr>
        <sz val="8"/>
        <rFont val="Noto Sans CJK SC Regular"/>
        <family val="2"/>
      </rPr>
      <t xml:space="preserve">日本</t>
    </r>
  </si>
  <si>
    <r>
      <rPr>
        <sz val="8"/>
        <rFont val="Noto Sans CJK SC Regular"/>
        <family val="2"/>
      </rPr>
      <t xml:space="preserve">陰謀を知るために塩ン蝶浪の偽丁初をおススメします。ショーペンハウアー「医者は人間の弱い面だけを見て、法律家は人間の悪い面だけを見る。さらには宗教家は人間の馬鹿な面だけを見る」 【さゆふらっとまうんどの通報で即削除された記事 </t>
    </r>
    <r>
      <rPr>
        <sz val="8"/>
        <rFont val="Droid Sans"/>
        <family val="0"/>
        <charset val="1"/>
      </rPr>
      <t xml:space="preserve">https://t.co/nma5Kk95Pk</t>
    </r>
    <r>
      <rPr>
        <sz val="8"/>
        <rFont val="Noto Sans CJK SC Regular"/>
        <family val="2"/>
      </rPr>
      <t xml:space="preserve">】</t>
    </r>
  </si>
  <si>
    <t xml:space="preserve">Japan: Shinzo Abe heads for big election win: https://t.co/Up2Zn1L5S1 - News | Euronews RSS #Latest</t>
  </si>
  <si>
    <t xml:space="preserve">Shinzo Abe wins resounding victory in Japan, exit polls say https://t.co/z42Fi7BlUj #bbc</t>
  </si>
  <si>
    <t xml:space="preserve">New Media</t>
  </si>
  <si>
    <t xml:space="preserve">#World Japan’s Shinzo Abe scores impressive election win https://t.co/Gh5Ax0Wi2I</t>
  </si>
  <si>
    <t xml:space="preserve">News from hip, alternative sources.</t>
  </si>
  <si>
    <t xml:space="preserve">RT euronews "Japan: Shinzo Abe heads for big election win https://t.co/PYA8oUZm1U https://t.co/2aBLdieKmT"</t>
  </si>
  <si>
    <t xml:space="preserve">Narayan Nedungadi</t>
  </si>
  <si>
    <t xml:space="preserve">Dubai</t>
  </si>
  <si>
    <t xml:space="preserve">An Engineer from NIT Calicut. Managing Director Gulf Connoisseur. Privilege of havingPMO India following me Supporter of Donald Trump.</t>
  </si>
  <si>
    <t xml:space="preserve">Alessandro Maran</t>
  </si>
  <si>
    <t xml:space="preserve">Election Risk Pays Off for Shinzo Abe of Japan as His Party Appears to Win Big via @NYTimes https://t.co/BrvfJ0eeXQ</t>
  </si>
  <si>
    <t xml:space="preserve">Gorizia, Italy</t>
  </si>
  <si>
    <t xml:space="preserve">Vicepresidente del gruppo PD del Senato. Eletto nel Friuli Venezia Giulia. Nel febbraio 2015, con i senatori di Scelta Civica, ho aderito al gruppo del PD.</t>
  </si>
  <si>
    <t xml:space="preserve">i News Today</t>
  </si>
  <si>
    <t xml:space="preserve">Japan: Shinzo Abe heads for big election win https://t.co/kc0m7oykQO</t>
  </si>
  <si>
    <t xml:space="preserve">World  - inews2day.tumblr.com</t>
  </si>
  <si>
    <t xml:space="preserve">#News - #Noticias - #Nouvelles - #Новости - #Ειδήσεις</t>
  </si>
  <si>
    <t xml:space="preserve">Elanie Cardenas</t>
  </si>
  <si>
    <t xml:space="preserve">Lover of history,anthropology=archaeology,and everything earthly and unearthly</t>
  </si>
  <si>
    <t xml:space="preserve">Find more about a man who led his party to another big win - its 5th straight victory in Japan's elections. https://t.co/NYb3mzwXoR</t>
  </si>
  <si>
    <t xml:space="preserve">Shinzo Abe on track for landslide victory, exit polls show - Japanese Prime Minister Shinzo Abe and his ruling ... https://t.co/V15XaMqY0Z</t>
  </si>
  <si>
    <t xml:space="preserve">- ̗̀new ̖́- Wannie's</t>
  </si>
  <si>
    <t xml:space="preserve">RIP Satoru Iwata. We miss you. Imma cake pop stan. paid in ₱.</t>
  </si>
  <si>
    <t xml:space="preserve">Emir Karakaya</t>
  </si>
  <si>
    <r>
      <rPr>
        <sz val="8"/>
        <rFont val="Droid Sans"/>
        <family val="0"/>
        <charset val="1"/>
      </rPr>
      <t xml:space="preserve">Boğaziçi Üniversitesi, Keio University(</t>
    </r>
    <r>
      <rPr>
        <sz val="8"/>
        <rFont val="Noto Sans CJK SC Regular"/>
        <family val="2"/>
      </rPr>
      <t xml:space="preserve">慶応義塾大学</t>
    </r>
    <r>
      <rPr>
        <sz val="8"/>
        <rFont val="Droid Sans"/>
        <family val="0"/>
        <charset val="1"/>
      </rPr>
      <t xml:space="preserve">), Trabzonspor, Aksaray Müstakbel Tarihçi </t>
    </r>
    <r>
      <rPr>
        <sz val="8"/>
        <rFont val="Noto Sans CJK SC Regular"/>
        <family val="2"/>
      </rPr>
      <t xml:space="preserve">日本史 日本語の学生</t>
    </r>
    <r>
      <rPr>
        <sz val="8"/>
        <rFont val="Droid Sans"/>
        <family val="0"/>
        <charset val="1"/>
      </rPr>
      <t xml:space="preserve">, </t>
    </r>
    <r>
      <rPr>
        <sz val="8"/>
        <rFont val="Noto Sans CJK SC Regular"/>
        <family val="2"/>
      </rPr>
      <t xml:space="preserve">汉语的学生</t>
    </r>
  </si>
  <si>
    <t xml:space="preserve">JAPAN BUZZ</t>
  </si>
  <si>
    <t xml:space="preserve">Shinzo Abe gains big victory in Japan election [via FT] https://t.co/wc9PwPQgEW #japanbuzz https://t.co/5Q5SzQsYtb</t>
  </si>
  <si>
    <t xml:space="preserve">Next bits share</t>
  </si>
  <si>
    <t xml:space="preserve">London/Tokyo</t>
  </si>
  <si>
    <t xml:space="preserve">We help brands expand in Japan, using Social Media, influencer marketing and other digital activities. Any questions? Get in touch! https://t.co/gBUSP5MAR7</t>
  </si>
  <si>
    <t xml:space="preserve">🎃Dunc S. Pumpkins🎃</t>
  </si>
  <si>
    <t xml:space="preserve">The middle of nowhere Canada</t>
  </si>
  <si>
    <t xml:space="preserve">He/Him student Akward babyfaced giant that's into anime and video games. Opinions do not represent any school/workplace. Nintendo Switch FC 4329-1468-9397</t>
  </si>
  <si>
    <t xml:space="preserve">RT Anon_Eu "#EuroNews: Japan: Shinzo Abe heads for big election win https://t.co/yMgbw3OitX #WorldNews #News https://t.co/HLhZN7QW10"</t>
  </si>
  <si>
    <t xml:space="preserve">Andrew Correia</t>
  </si>
  <si>
    <t xml:space="preserve">Shinzo Abe on track for landslide victory, exit polls show - Japanese Prime Minister Shinzo Abe and his ruling ... https://t.co/uEB4oddV12</t>
  </si>
  <si>
    <t xml:space="preserve">Vijeesh CTK ॐ</t>
  </si>
  <si>
    <t xml:space="preserve">Bangalore | Mahe | Coimbatore</t>
  </si>
  <si>
    <t xml:space="preserve">Hindu Nationalist | Swayamsevak | Ardent Narendra Modi Fan</t>
  </si>
  <si>
    <t xml:space="preserve">#3Novices : Japan: Shinzo Abe heads for big election win https://t.co/rI3IHR1SUa The ruling coalition of Japanese Prime Minister Shinzo Ab…</t>
  </si>
  <si>
    <t xml:space="preserve">#India - Japan PM Shinzo Abe's ruling bloc on track for big win in election: TV exit polls… https://t.co/s4A4AxFFPq</t>
  </si>
  <si>
    <t xml:space="preserve">Kapil Singh Pawar</t>
  </si>
  <si>
    <t xml:space="preserve">Bangalore India</t>
  </si>
  <si>
    <t xml:space="preserve">SiP</t>
  </si>
  <si>
    <t xml:space="preserve">Japan election: Shinzo Abe's ruling coalition secures large majority, exit polls suggest https://t.co/nrDZVgtcST</t>
  </si>
  <si>
    <t xml:space="preserve">Varsovie</t>
  </si>
  <si>
    <t xml:space="preserve">Private opinions only. Retweet doesnt mean endorsement. Some or all tweets could be fictional. Dont blame messanger.</t>
  </si>
  <si>
    <t xml:space="preserve">"https://t.co/QOKBMkhNIw"Japan: Shinzo Abe heads for big election win #Ειδήσεις #News #Noticias #Nouvelles #Новости https://t.co/l738V4veYI</t>
  </si>
  <si>
    <t xml:space="preserve">Japan’s Shinzo Abe scores impressive election win https://t.co/UFxLIWrdZb</t>
  </si>
  <si>
    <t xml:space="preserve">RT @NAR: Find more about a man who led his party to another big win - its 5th straight victory in Japan's elections. https://t.co/NYb3mzwXoR</t>
  </si>
  <si>
    <t xml:space="preserve">Japan P.M. Shinzo Abe wins snap election https://t.co/XNHfI8L2yO</t>
  </si>
  <si>
    <t xml:space="preserve">KSM</t>
  </si>
  <si>
    <t xml:space="preserve">consultant. retweets are not endorsements</t>
  </si>
  <si>
    <t xml:space="preserve">Gareth Brading 🌹</t>
  </si>
  <si>
    <t xml:space="preserve">I bet Theresa May wishes she had the kind of election the LDP and Shinzō Abe just had in Japan.</t>
  </si>
  <si>
    <t xml:space="preserve">Oxford, United Kingdom</t>
  </si>
  <si>
    <t xml:space="preserve">Platform Manager, qualified philosopher, and democratic socialist. My views are my own and are not representative of any organization.</t>
  </si>
  <si>
    <t xml:space="preserve">BigTowFuzz</t>
  </si>
  <si>
    <t xml:space="preserve">V/\</t>
  </si>
  <si>
    <t xml:space="preserve">TwoDudesGaming</t>
  </si>
  <si>
    <t xml:space="preserve">Japan: Shinzo Abe heads for big election win https://t.co/ktNEmPrWXR #euronews #euro #news</t>
  </si>
  <si>
    <r>
      <rPr>
        <sz val="8"/>
        <rFont val="Noto Sans CJK SC Regular"/>
        <family val="2"/>
      </rPr>
      <t xml:space="preserve">ムーミンの父</t>
    </r>
    <r>
      <rPr>
        <sz val="8"/>
        <rFont val="Droid Sans"/>
        <family val="0"/>
        <charset val="1"/>
      </rPr>
      <t xml:space="preserve">(</t>
    </r>
    <r>
      <rPr>
        <sz val="8"/>
        <rFont val="Noto Sans CJK SC Regular"/>
        <family val="2"/>
      </rPr>
      <t xml:space="preserve">ロシア留学中</t>
    </r>
    <r>
      <rPr>
        <sz val="8"/>
        <rFont val="Droid Sans"/>
        <family val="0"/>
        <charset val="1"/>
      </rPr>
      <t xml:space="preserve">)</t>
    </r>
  </si>
  <si>
    <t xml:space="preserve">Election Risk Pays Off for Shinzo Abe of Japan as His Party Appears to Win Big via @NYTimes https://t.co/AGwkHn5Xs7</t>
  </si>
  <si>
    <t xml:space="preserve">Владивосток, Россия</t>
  </si>
  <si>
    <r>
      <rPr>
        <sz val="8"/>
        <rFont val="Noto Sans CJK SC Regular"/>
        <family val="2"/>
      </rPr>
      <t xml:space="preserve">まだ東京で消耗してるの？俺はウラジオストクで消耗してるよ</t>
    </r>
    <r>
      <rPr>
        <sz val="8"/>
        <rFont val="Droid Sans"/>
        <family val="0"/>
        <charset val="1"/>
      </rPr>
      <t xml:space="preserve">(</t>
    </r>
    <r>
      <rPr>
        <sz val="8"/>
        <rFont val="Noto Sans CJK SC Regular"/>
        <family val="2"/>
      </rPr>
      <t xml:space="preserve">瀕死</t>
    </r>
    <r>
      <rPr>
        <sz val="8"/>
        <rFont val="Droid Sans"/>
        <family val="0"/>
        <charset val="1"/>
      </rPr>
      <t xml:space="preserve">)/</t>
    </r>
    <r>
      <rPr>
        <sz val="8"/>
        <rFont val="Noto Sans CJK SC Regular"/>
        <family val="2"/>
      </rPr>
      <t xml:space="preserve">志雄会</t>
    </r>
    <r>
      <rPr>
        <sz val="8"/>
        <rFont val="Droid Sans"/>
        <family val="0"/>
        <charset val="1"/>
      </rPr>
      <t xml:space="preserve">/</t>
    </r>
    <r>
      <rPr>
        <sz val="8"/>
        <rFont val="Noto Sans CJK SC Regular"/>
        <family val="2"/>
      </rPr>
      <t xml:space="preserve">極東日誌</t>
    </r>
  </si>
  <si>
    <t xml:space="preserve">Election Risk Pays Off for Shinzo Abe of Japan as His Party Appears to Win Big https://t.co/DronIvdasg</t>
  </si>
  <si>
    <t xml:space="preserve">OLD FARANG</t>
  </si>
  <si>
    <t xml:space="preserve">Thailand</t>
  </si>
  <si>
    <t xml:space="preserve">Pathetic old Farang that gather in Thailand for whatever reasons</t>
  </si>
  <si>
    <t xml:space="preserve">Irie1</t>
  </si>
  <si>
    <t xml:space="preserve">A general election in the middle of a category 4 hurricane 😰 https://t.co/9hjTDitd8f</t>
  </si>
  <si>
    <t xml:space="preserve">St Bess girl.Reggae fan. Coffee &amp; wine lover. seeking total peace of mind</t>
  </si>
  <si>
    <t xml:space="preserve">Babblers</t>
  </si>
  <si>
    <t xml:space="preserve">Japan PM Shinzo Abe’s statute confederation on lane for large win in election: TV exit polls https://t.co/yl3MJf63m7</t>
  </si>
  <si>
    <t xml:space="preserve">E.R.sakthivel</t>
  </si>
  <si>
    <t xml:space="preserve">RTs are not endorsements, Live &amp; Let live</t>
  </si>
  <si>
    <t xml:space="preserve">The J Network</t>
  </si>
  <si>
    <t xml:space="preserve">Shinzo Abe Retains Supermajority in Election in Japan, May Push to Amend Constitution - - See More @ https://t.co/UjvOW503oJ</t>
  </si>
  <si>
    <t xml:space="preserve">Bladimir Urbina</t>
  </si>
  <si>
    <t xml:space="preserve">..HONDURAS..MI PATRIA CON ORGULLO !!Padre de TRES Tesoros Amados y Bellos.! N.G.A..Tapachula,Chiapas Mx</t>
  </si>
  <si>
    <t xml:space="preserve">Mohit Ved</t>
  </si>
  <si>
    <t xml:space="preserve">Hilal Ulukan</t>
  </si>
  <si>
    <t xml:space="preserve">Hilal Ulukan Application</t>
  </si>
  <si>
    <t xml:space="preserve">Go anywhere and do anything! MBA / London College UK, Agriculture Boğaziçi University Istanbul</t>
  </si>
  <si>
    <t xml:space="preserve">Shinzo Abe secures strong mandate in Japan's general election https://t.co/gngVywftBT</t>
  </si>
  <si>
    <t xml:space="preserve">The morning after the night before: Shinzo Abe is still prime minister. “People have no other choices, really.” https://t.co/I39ZJHzH4T</t>
  </si>
  <si>
    <t xml:space="preserve">Sinan Aalam</t>
  </si>
  <si>
    <t xml:space="preserve">muhamadiqbaldar: "Election Risk Pays Off for Shinzo Abe of Japan as His Party Appears to Win Big" https://t.co/12KTo2gDva</t>
  </si>
  <si>
    <t xml:space="preserve">Srinagar, India</t>
  </si>
  <si>
    <t xml:space="preserve">Programmer; interested in AI Doctor in making</t>
  </si>
  <si>
    <t xml:space="preserve">Daily Kviorisi News®</t>
  </si>
  <si>
    <t xml:space="preserve">Shinzo Abe on track for landslide victory, exit polls show - Japanese Prime Minister Shinzo Abe and his ruling ... https://t.co/3MjtcAkKmL</t>
  </si>
  <si>
    <t xml:space="preserve">World - The Kviorisi Palace</t>
  </si>
  <si>
    <t xml:space="preserve">Latest News Update from around the World, GET HERE! Please ask us for more about, with pleasure we will follow up. This account is run by @Kviorisi. Thanks!!! ☺</t>
  </si>
  <si>
    <t xml:space="preserve">VotingFemale</t>
  </si>
  <si>
    <t xml:space="preserve">Tokyo Japan: Trump's Great Friend PM Abe reestablishes a Japanese Nationalist Super-Majority in Japan’s Parliament.… https://t.co/WXRgLhP0Lq</t>
  </si>
  <si>
    <t xml:space="preserve">Phoenix, Arizona</t>
  </si>
  <si>
    <t xml:space="preserve">Political Blogger • Constitution Defender • NRA Life Member • Conservative Watch Kitty • Supporter Of Trump • Love Sarah Palin</t>
  </si>
  <si>
    <t xml:space="preserve">Satyabrata 🇮🇳</t>
  </si>
  <si>
    <t xml:space="preserve">India kolkata</t>
  </si>
  <si>
    <t xml:space="preserve">All opinions welcome, let's have a discussion. Do not cry when I bash you.i did not write I will agree wid urs</t>
  </si>
  <si>
    <t xml:space="preserve">Shinzo Abe on way to big parliamentary election win | Shinzo Abe, Japan's prime minister, is headed ... | https://t.co/qfdTLN0yla</t>
  </si>
  <si>
    <r>
      <rPr>
        <sz val="8"/>
        <rFont val="Droid Sans"/>
        <family val="0"/>
        <charset val="1"/>
      </rPr>
      <t xml:space="preserve">Jake Adelstein/</t>
    </r>
    <r>
      <rPr>
        <sz val="8"/>
        <rFont val="Noto Sans CJK SC Regular"/>
        <family val="2"/>
      </rPr>
      <t xml:space="preserve">中本哲史</t>
    </r>
  </si>
  <si>
    <t xml:space="preserve">RT @justinmccurry: Updated: Shinzo Abe secures strong mandate in Japan's general election https://t.co/1EXNaVJI4x</t>
  </si>
  <si>
    <t xml:space="preserve">Usually Tokyo</t>
  </si>
  <si>
    <r>
      <rPr>
        <sz val="8"/>
        <rFont val="Droid Sans"/>
        <family val="0"/>
        <charset val="1"/>
      </rPr>
      <t xml:space="preserve">Investigative journalist, Zen Buddhist Priest, Paladin. "Trouble is my business." </t>
    </r>
    <r>
      <rPr>
        <sz val="8"/>
        <rFont val="Noto Sans CJK SC Regular"/>
        <family val="2"/>
      </rPr>
      <t xml:space="preserve">調査報道記者・禅僧 </t>
    </r>
    <r>
      <rPr>
        <sz val="8"/>
        <rFont val="Droid Sans"/>
        <family val="0"/>
        <charset val="1"/>
      </rPr>
      <t xml:space="preserve">@dailybeast </t>
    </r>
    <r>
      <rPr>
        <sz val="8"/>
        <rFont val="Noto Sans CJK SC Regular"/>
        <family val="2"/>
      </rPr>
      <t xml:space="preserve">等</t>
    </r>
  </si>
  <si>
    <t xml:space="preserve">SMK</t>
  </si>
  <si>
    <t xml:space="preserve">RT @VotingFemaIe: Tokyo Japan: Trump's Great Friend PM Abe reestablishes a Japanese Nationalist Super-Majority in Japan’s Parliament. http…</t>
  </si>
  <si>
    <t xml:space="preserve">20 year USAF veteran. Proud supporter of the NRA. Conservative and Christian. #MAGA #TRUMPTRAIN #BoycottNFL #BlueLivesMatter #MilitarySupport #2A #CodeofVets</t>
  </si>
  <si>
    <t xml:space="preserve">Submit</t>
  </si>
  <si>
    <t xml:space="preserve">Copenhagen, Denmark</t>
  </si>
  <si>
    <t xml:space="preserve">Choose the true path.</t>
  </si>
  <si>
    <t xml:space="preserve">Annyah L Hasler</t>
  </si>
  <si>
    <t xml:space="preserve">Philadelphia, U.S.A.</t>
  </si>
  <si>
    <t xml:space="preserve">ATHEIST, Love Animals, Booze, Hot Dogs, The Arts, No Idiots Tolerated. Black Female Boomer Progressive, #DemExit Independent ! TRUMP Is #NotMyPresident NO DM's.</t>
  </si>
  <si>
    <t xml:space="preserve">12.13.14</t>
  </si>
  <si>
    <t xml:space="preserve">RT @TheJNetworks: Shinzo Abe Retains Supermajority in Election in Japan, May Push to Amend Constitution - - See More @ https://t.co/UjvOW5…</t>
  </si>
  <si>
    <t xml:space="preserve">Instagram @ nakia_love TeamSag 21</t>
  </si>
  <si>
    <t xml:space="preserve">Connor J</t>
  </si>
  <si>
    <t xml:space="preserve">awoI</t>
  </si>
  <si>
    <t xml:space="preserve">The more real you get the more unreal the world gets - john lennon</t>
  </si>
  <si>
    <t xml:space="preserve">Ramyavaran</t>
  </si>
  <si>
    <t xml:space="preserve">Shinzo Abe just moved closer to becoming Japan's longest-serving leader - Quartz https://t.co/TDR0co41RE</t>
  </si>
  <si>
    <t xml:space="preserve">Anil Kumar</t>
  </si>
  <si>
    <t xml:space="preserve">कनवर्टेड संदीप बना जिहादी आदिल: इंसान जबतक संदीप रहता है इंसान ही रहता है, ज्यूँ ही आदिल बनता है खुदबखुद क़ातिल बन जाता है</t>
  </si>
  <si>
    <t xml:space="preserve">Global National</t>
  </si>
  <si>
    <t xml:space="preserve">The victory would boost Abe’s chances of winning another three-year term next September. https://t.co/oiJ9TWdXfl</t>
  </si>
  <si>
    <t xml:space="preserve">Watch online</t>
  </si>
  <si>
    <t xml:space="preserve">The most informative half-hour in Canada. Weeknights w/@DFriesenGlobal &amp; wknds w/@Robin_Global. For breaking news follow @globalnews.</t>
  </si>
  <si>
    <t xml:space="preserve">lapsed pumpkinist</t>
  </si>
  <si>
    <t xml:space="preserve">Twidere for Android #5</t>
  </si>
  <si>
    <t xml:space="preserve">⚧♀ish (she ⅋ they), queer, white, privileged. Into good books, type systems, the Bronze Age collapse. Unions yes, fascists no. https://t.co/WNYO1lvq3h</t>
  </si>
  <si>
    <t xml:space="preserve">Yuka Okumura</t>
  </si>
  <si>
    <t xml:space="preserve">general news UK</t>
  </si>
  <si>
    <t xml:space="preserve">Shinzo Abe secures strong mandate in Japan's general election - The Guardian #GeneralNews https://t.co/nN8KYPi1I2</t>
  </si>
  <si>
    <t xml:space="preserve">Find your latest General News news with just one click. Don't miss out on anything happening!</t>
  </si>
  <si>
    <t xml:space="preserve">EHA News</t>
  </si>
  <si>
    <t xml:space="preserve">#BREAKING: PM Shinzo Abe’s Liberal Democrat Party gains majority of parliament seats in Japan’s Election according… https://t.co/OtyvX7vCzy</t>
  </si>
  <si>
    <t xml:space="preserve">Breaking news, from the place that integrates Middle East to Europe. ( Deutsch: @eha_deutsch)</t>
  </si>
  <si>
    <t xml:space="preserve">NamasteToIndia</t>
  </si>
  <si>
    <t xml:space="preserve">#MondayMotivation Shinzo Abe is on course for a resounding victory in Japan's snap election - has vowed to "deal f… https://t.co/fDNuT3PDT3</t>
  </si>
  <si>
    <t xml:space="preserve">REPUBLIC OF INDIA 🇮🇳</t>
  </si>
  <si>
    <t xml:space="preserve">When we greet one another, we fold our hands in Namaste because we believe that God resides in the heart of every human being.</t>
  </si>
  <si>
    <t xml:space="preserve">Gaurav Pradhan</t>
  </si>
  <si>
    <t xml:space="preserve">RT @NamasteToIndia: #MondayMotivation Shinzo Abe is on course for a resounding victory in Japan's snap election - has vowed to "deal firml…</t>
  </si>
  <si>
    <t xml:space="preserve">U-chan</t>
  </si>
  <si>
    <r>
      <rPr>
        <sz val="8"/>
        <rFont val="Noto Sans CJK SC Regular"/>
        <family val="2"/>
      </rPr>
      <t xml:space="preserve">旧次世代の党支持。閲覧注意。 無断フォロー、</t>
    </r>
    <r>
      <rPr>
        <sz val="8"/>
        <rFont val="Droid Sans"/>
        <family val="0"/>
        <charset val="1"/>
      </rPr>
      <t xml:space="preserve">RT</t>
    </r>
    <r>
      <rPr>
        <sz val="8"/>
        <rFont val="Noto Sans CJK SC Regular"/>
        <family val="2"/>
      </rPr>
      <t xml:space="preserve">御免。挨拶無用。</t>
    </r>
  </si>
  <si>
    <t xml:space="preserve">Adam Smith</t>
  </si>
  <si>
    <t xml:space="preserve">Dharma</t>
  </si>
  <si>
    <t xml:space="preserve">I'm Dharmic. Hindu Nationalist.</t>
  </si>
  <si>
    <t xml:space="preserve">Foysol Chowdhury</t>
  </si>
  <si>
    <t xml:space="preserve">#ShinzoAbe , the comeback kid"big win - its 5th straight victory in #JapanElection 's elections. https://t.co/jHykYvglqv</t>
  </si>
  <si>
    <t xml:space="preserve">Price Action, fundamental</t>
  </si>
  <si>
    <t xml:space="preserve">Beingnetnobody</t>
  </si>
  <si>
    <t xml:space="preserve">Japan PM Shinzo Abe's ruling bloc on track for big win in election: TV exit polls… https://t.co/0G66oWuK1t</t>
  </si>
  <si>
    <t xml:space="preserve">Jess Sinkula</t>
  </si>
  <si>
    <t xml:space="preserve">Thunder Up</t>
  </si>
  <si>
    <t xml:space="preserve">yodaka🐥</t>
  </si>
  <si>
    <t xml:space="preserve">ごく普通の主婦（働くママ）です。日本が普通の国になれるように微力ながら発信していきたいです。理不尽な偏向報道に怒りを感じます。電波オークション賛成。</t>
  </si>
  <si>
    <t xml:space="preserve">J Kush</t>
  </si>
  <si>
    <t xml:space="preserve">Happy CRJ</t>
  </si>
  <si>
    <t xml:space="preserve">Tanmay</t>
  </si>
  <si>
    <t xml:space="preserve">raj</t>
  </si>
  <si>
    <t xml:space="preserve">Expect logical questions. If you do not acknowledge the problem, you can never address it. Love travelling</t>
  </si>
  <si>
    <t xml:space="preserve">Globalnews.ca</t>
  </si>
  <si>
    <t xml:space="preserve">The victory would boost Abe’s chances of winning another three-year term next September. https://t.co/3VyjRcVH9N</t>
  </si>
  <si>
    <t xml:space="preserve">Breaking Canadian news with a fresh perspective on local &amp; international headlines. SkyTracker Weather app: https://t.co/4OW86Zjbjr * On @snapchat: globalnews1</t>
  </si>
  <si>
    <t xml:space="preserve">Global BC</t>
  </si>
  <si>
    <t xml:space="preserve">The victory would boost Abe’s chances of winning another three-year term next September. https://t.co/ZyNdG5NLJO</t>
  </si>
  <si>
    <t xml:space="preserve">Vancouver, BC, Canada</t>
  </si>
  <si>
    <t xml:space="preserve">Home of B.C.'s #1 news programming. Shaw Cable 11, Shaw HD 211.</t>
  </si>
  <si>
    <t xml:space="preserve">Global Edmonton</t>
  </si>
  <si>
    <t xml:space="preserve">The victory would boost Abe’s chances of winning another three-year term next September. https://t.co/sI9jQG8Vma</t>
  </si>
  <si>
    <t xml:space="preserve">Edmonton, AB</t>
  </si>
  <si>
    <t xml:space="preserve">Our City. Our News.</t>
  </si>
  <si>
    <t xml:space="preserve">Global News Toronto</t>
  </si>
  <si>
    <t xml:space="preserve">The victory would boost Abe’s chances of winning another three-year term next September. https://t.co/7tzQH7SZ1l</t>
  </si>
  <si>
    <t xml:space="preserve">Breaking GTA News from http://t.co/YtPjg7p85s. Please visit us on Facebook @ http://t.co/lpOg5iHNU7.</t>
  </si>
  <si>
    <t xml:space="preserve">Indian Delicacies</t>
  </si>
  <si>
    <t xml:space="preserve">Bringing authentic Indian food direct from the kitchens of India to you. Lets enjoy these Indian delicacies together 🤗</t>
  </si>
  <si>
    <t xml:space="preserve">Mark Burris</t>
  </si>
  <si>
    <t xml:space="preserve">Japan in snap election as Shinzo Abe tries for new mandate to deal with North Korea https://t.co/M8sTS2ztKC</t>
  </si>
  <si>
    <t xml:space="preserve">aka the idea man</t>
  </si>
  <si>
    <t xml:space="preserve">Crj Plus</t>
  </si>
  <si>
    <t xml:space="preserve">RT @globalnews: The victory would boost Abe’s chances of winning another three-year term next September. https://t.co/3VyjRcVH9N</t>
  </si>
  <si>
    <t xml:space="preserve">Naveen Shori🇮🇳</t>
  </si>
  <si>
    <t xml:space="preserve">Believe in India &amp; it's spirit.Nationalism should always be 100% anything less is treason. Motto to expose AntiNationals. Badge of Honour followed by Maj Gaurav</t>
  </si>
  <si>
    <t xml:space="preserve">Mario Tremblay</t>
  </si>
  <si>
    <t xml:space="preserve">Montréal, Canada</t>
  </si>
  <si>
    <t xml:space="preserve">(VP Affaires corporatives et publiques au Fonds de solidarité FTQ-twitter perso.)</t>
  </si>
  <si>
    <t xml:space="preserve">Eeshan Joshi</t>
  </si>
  <si>
    <t xml:space="preserve">Guardians of the Peace</t>
  </si>
  <si>
    <t xml:space="preserve">Shinzo Abe secures strong mandate in Japan's general election https://t.co/yIoWtkyaFj</t>
  </si>
  <si>
    <t xml:space="preserve">SAMURAI🇯🇵JAPAN</t>
  </si>
  <si>
    <r>
      <rPr>
        <sz val="8"/>
        <rFont val="Noto Sans CJK SC Regular"/>
        <family val="2"/>
      </rPr>
      <t xml:space="preserve">人種及び民族差別は許されません❕ですがこの国に住みながら日本人に対する差別をする事はもっと許されません❕何故か❔ここは日本国だからです❕この日本国に住んで日本国の享受を受けるのならば、日本国に対し義務を果たすべき❕権利のみ主張するだけならば、この地球のどこの国へ行っても嫌われるだけ❕政治垢ですが犬猫ネタも</t>
    </r>
    <r>
      <rPr>
        <sz val="8"/>
        <rFont val="Droid Sans"/>
        <family val="0"/>
        <charset val="1"/>
      </rPr>
      <t xml:space="preserve">RT</t>
    </r>
    <r>
      <rPr>
        <sz val="8"/>
        <rFont val="Noto Sans CJK SC Regular"/>
        <family val="2"/>
      </rPr>
      <t xml:space="preserve">します❕</t>
    </r>
  </si>
  <si>
    <t xml:space="preserve">I follow and retweet news and interesting tweets by politicians, celebrities and news channels. Follow me to stay updated. #news #politics #election16 #peace</t>
  </si>
  <si>
    <t xml:space="preserve">Ravi</t>
  </si>
  <si>
    <t xml:space="preserve">I love to discuss about the present Politics of India. Views expressed here are highly Pro India. My country comes first and I am proud to be an Indian.</t>
  </si>
  <si>
    <t xml:space="preserve">Niranjan Pai</t>
  </si>
  <si>
    <t xml:space="preserve">Patriotic &amp; Nationalist Bhartiya | RTs ≠ Endorsement</t>
  </si>
  <si>
    <t xml:space="preserve">Anne M</t>
  </si>
  <si>
    <t xml:space="preserve">RT @motokorich: The morning after the night before: Shinzo Abe is still prime minister. “People have no other choices, really.” https://t.c…</t>
  </si>
  <si>
    <t xml:space="preserve">mom, health researcher, dog lover, political junkie, film buff, vegetarian, mindfulness practitioner</t>
  </si>
  <si>
    <t xml:space="preserve">wilc0076</t>
  </si>
  <si>
    <t xml:space="preserve">Political Reader</t>
  </si>
  <si>
    <t xml:space="preserve">But with the majority of votes counted, the Liberal Democrats and their coalition partner had won enough seats to... https://t.co/IX1K0Eh0Er</t>
  </si>
  <si>
    <t xml:space="preserve">MyPoliticalViewer</t>
  </si>
  <si>
    <t xml:space="preserve">Your best source of assorted political news that matters. Afar and wide!</t>
  </si>
  <si>
    <t xml:space="preserve">Doug McAneny</t>
  </si>
  <si>
    <t xml:space="preserve">Proud USN vet, fast attack sailor and foreign policy wonk working for the best employee owned A/E firm on the planet---HDR, INC.</t>
  </si>
  <si>
    <t xml:space="preserve">Brian Stewart ♋️</t>
  </si>
  <si>
    <t xml:space="preserve">Via @euronews: Japan: Shinzo Abe heads for big election win https://t.co/08r8pJtVqD</t>
  </si>
  <si>
    <t xml:space="preserve">Scotland</t>
  </si>
  <si>
    <t xml:space="preserve">Sci-Fi Fan | Tech Follower | PC/Mac user | CAD/Revit | Music/TV/Films | Member CIBSE, AUGI, &amp; SEDA, SSEG🍃 + Scotland, Wales &amp; England Community Energy Coops</t>
  </si>
  <si>
    <t xml:space="preserve">Asger R. Christensen</t>
  </si>
  <si>
    <t xml:space="preserve">Shinzo Abe, the "comeback kid" of Japanese politics- Nikkei Asian Review https://t.co/jHMNuvDzD5</t>
  </si>
  <si>
    <t xml:space="preserve">Tokyo Japan/ Hillerod Denmark</t>
  </si>
  <si>
    <t xml:space="preserve">Experienced journalist, writer, analyst, lecturer and tour leader in Tokyo. Helping Danes understand, experience and cooperate with Japan and Asia in many ways</t>
  </si>
  <si>
    <t xml:space="preserve">Jonathan Johnson</t>
  </si>
  <si>
    <t xml:space="preserve">Japan: Shinzo Abe heads for big election win</t>
  </si>
  <si>
    <t xml:space="preserve">May I talk to someone over here? =) Follow humans only.</t>
  </si>
  <si>
    <t xml:space="preserve">André Spiteri</t>
  </si>
  <si>
    <t xml:space="preserve">Shinzo Abe, the "comeback kid" of Japanese politics- Nikkei Asian Review https://t.co/4ZkD8km4em</t>
  </si>
  <si>
    <t xml:space="preserve">Malta</t>
  </si>
  <si>
    <r>
      <rPr>
        <sz val="8"/>
        <rFont val="Droid Sans"/>
        <family val="0"/>
        <charset val="1"/>
      </rPr>
      <t xml:space="preserve">Ambassador of the Republic of Malta to Japan 🇲🇹🇯🇵 </t>
    </r>
    <r>
      <rPr>
        <sz val="8"/>
        <rFont val="Noto Sans CJK SC Regular"/>
        <family val="2"/>
      </rPr>
      <t xml:space="preserve">マルタ共和国在外日本担当大使 </t>
    </r>
    <r>
      <rPr>
        <sz val="8"/>
        <rFont val="Droid Sans"/>
        <family val="0"/>
        <charset val="1"/>
      </rPr>
      <t xml:space="preserve">RTs &amp; Follows ≠ Endorsement</t>
    </r>
  </si>
  <si>
    <t xml:space="preserve">Benjamin Willard</t>
  </si>
  <si>
    <t xml:space="preserve">RT @GlobalBC: The victory would boost Abe’s chances of winning another three-year term next September. https://t.co/ZyNdG5NLJO</t>
  </si>
  <si>
    <t xml:space="preserve">Autistic, Bisexual and Proud of it! And currently working on my own Star Wars-style Space Opera</t>
  </si>
  <si>
    <t xml:space="preserve">Bill Graveland</t>
  </si>
  <si>
    <t xml:space="preserve">RT @GlobalNational: The victory would boost Abe’s chances of winning another three-year term next September. https://t.co/oiJ9TWdXfl</t>
  </si>
  <si>
    <t xml:space="preserve">Calgary, Canada</t>
  </si>
  <si>
    <t xml:space="preserve">National Correspondent for The Canadian Press</t>
  </si>
  <si>
    <t xml:space="preserve">#India - Japan PM Shinzo Abe's ruling bloc on track for big win in election: TV exit polls… https://t.co/QWVCFzUCsi</t>
  </si>
  <si>
    <t xml:space="preserve">Siddharth Pandey🇮🇳</t>
  </si>
  <si>
    <t xml:space="preserve">Indian Football,MUFC, Federer, Test Cricket, Dharma</t>
  </si>
  <si>
    <t xml:space="preserve">Satpalsetia</t>
  </si>
  <si>
    <t xml:space="preserve">Believer of Satyam,Shivam &amp; Sundram, If you have to shoot, shoot - do'nt talk</t>
  </si>
  <si>
    <t xml:space="preserve">Nationalist Guru Ji</t>
  </si>
  <si>
    <t xml:space="preserve">I'm an Indian &amp; a proud Hindu #Nationalist #RSS fan &amp; @narendramodi ka bhakt Jai Hind... Jai Sri Ram...</t>
  </si>
  <si>
    <t xml:space="preserve">Hari Thrivikramji</t>
  </si>
  <si>
    <t xml:space="preserve">Shinzo Abe gains big victory in Japan election - https://t.co/GjOgHDdyhc</t>
  </si>
  <si>
    <t xml:space="preserve">Ready to help anyone the best I can | Very strong willed &amp; determined to oppose injustice &amp; unfairness in any flavor | ATHEIST</t>
  </si>
  <si>
    <t xml:space="preserve">Shinzo Abe secures strong mandate in Japan's general election https://t.co/zg4lcrenaM</t>
  </si>
  <si>
    <t xml:space="preserve">Japan PM Shinzo Abe's ruling bloc on track for big win in election: TV exit polls… https://t.co/9yMT5c5NeH News IN</t>
  </si>
  <si>
    <t xml:space="preserve">sabitarahim</t>
  </si>
  <si>
    <t xml:space="preserve">Shinzo Abe secures strong mandate in Japan's general election~ https://t.co/FF3uXBlvEK</t>
  </si>
  <si>
    <t xml:space="preserve">Fredy Burgos</t>
  </si>
  <si>
    <t xml:space="preserve">.Nationalists within Japan awaken today amid the results of the snap election. Globalists recoil in horror.… https://t.co/eIW6UZHeQk</t>
  </si>
  <si>
    <t xml:space="preserve">Christian, Conservative, Republican, Small Business Owner, 1A/2A, #USA, #Virginia, #Chile, #RPVSCC11th, #TeamTrump, Borders, language, and culture do matter!</t>
  </si>
  <si>
    <t xml:space="preserve">アイリッシュネットワークジャパン東京</t>
  </si>
  <si>
    <t xml:space="preserve">Tokyo JAPAN</t>
  </si>
  <si>
    <t xml:space="preserve">Love #Ireland.Ireland is rightly known as the “The Emerald Isle” because of its wonderful, lush green scenery. The Irish way~Humor and easy-going lifestyle.</t>
  </si>
  <si>
    <t xml:space="preserve">kiyo</t>
  </si>
  <si>
    <t xml:space="preserve">チーバくんの鼻先あたり</t>
  </si>
  <si>
    <r>
      <rPr>
        <sz val="8"/>
        <rFont val="Droid Sans"/>
        <family val="0"/>
        <charset val="1"/>
      </rPr>
      <t xml:space="preserve">B'z</t>
    </r>
    <r>
      <rPr>
        <sz val="8"/>
        <rFont val="Noto Sans CJK SC Regular"/>
        <family val="2"/>
      </rPr>
      <t xml:space="preserve">と</t>
    </r>
    <r>
      <rPr>
        <sz val="8"/>
        <rFont val="Droid Sans"/>
        <family val="0"/>
        <charset val="1"/>
      </rPr>
      <t xml:space="preserve">access</t>
    </r>
    <r>
      <rPr>
        <sz val="8"/>
        <rFont val="Noto Sans CJK SC Regular"/>
        <family val="2"/>
      </rPr>
      <t xml:space="preserve">と</t>
    </r>
    <r>
      <rPr>
        <sz val="8"/>
        <rFont val="Droid Sans"/>
        <family val="0"/>
        <charset val="1"/>
      </rPr>
      <t xml:space="preserve">doa</t>
    </r>
    <r>
      <rPr>
        <sz val="8"/>
        <rFont val="Noto Sans CJK SC Regular"/>
        <family val="2"/>
      </rPr>
      <t xml:space="preserve">と戦国と飼い猫野球格闘技その他をこよなく愛しつつ、子育て奮闘なう。いろいろと毒も吐きます。人見知りなので、フォローされてもブロックする事があります。ご注意。</t>
    </r>
  </si>
  <si>
    <t xml:space="preserve">Automatic Blogging</t>
  </si>
  <si>
    <t xml:space="preserve">Japan’s Shinzo Abe scores impressive election win - National ~ https://t.co/Cm6rne7zAm https://t.co/3z2419H1H9</t>
  </si>
  <si>
    <t xml:space="preserve">Property of @HendriWigunah</t>
  </si>
  <si>
    <t xml:space="preserve">Empowering Latest News &amp; Information</t>
  </si>
  <si>
    <t xml:space="preserve">Fernando Ramirez</t>
  </si>
  <si>
    <t xml:space="preserve">Shinzo Abe secures strong mandate in Japan's general election https://t.co/SCwbH5ycrY</t>
  </si>
  <si>
    <t xml:space="preserve">Japan's Prime Minister Shinzo Abe shores up strong victory in election https://t.co/i7qdxewimc</t>
  </si>
  <si>
    <t xml:space="preserve">Shandy Singaporean</t>
  </si>
  <si>
    <t xml:space="preserve">Ever interested in people.</t>
  </si>
  <si>
    <t xml:space="preserve">Rich Brownie</t>
  </si>
  <si>
    <t xml:space="preserve">synthetic darkstar✴️</t>
  </si>
  <si>
    <t xml:space="preserve">hostile lands</t>
  </si>
  <si>
    <t xml:space="preserve">agender trans dyke. Ⓐ☭ https://t.co/nTLGOFrLWn photographer 📷 agent(s) of crows</t>
  </si>
  <si>
    <t xml:space="preserve">Frantz Fanon</t>
  </si>
  <si>
    <t xml:space="preserve">sit down before fact as a little child, be prepared to give up every conceived notion, follow humbly wherever,whatever abyss nature leads or you'll learn nutin</t>
  </si>
  <si>
    <t xml:space="preserve">Socialnn Austin</t>
  </si>
  <si>
    <t xml:space="preserve">Japanese Prime Minister Shinzo Abe takes overwhelming majority in tge #JapanElection https://t.co/L6nC5PvKcw</t>
  </si>
  <si>
    <t xml:space="preserve">Austin, Texas, USA</t>
  </si>
  <si>
    <t xml:space="preserve">The Social News Network is a national social media-driven publication built by college students for college students</t>
  </si>
  <si>
    <t xml:space="preserve">#marvellous997 Japan’s Shinzo Abe scores impressive election win https://t.co/Hl7MbLmpX5</t>
  </si>
  <si>
    <t xml:space="preserve">VictoriasSedgeFields</t>
  </si>
  <si>
    <r>
      <rPr>
        <sz val="8"/>
        <rFont val="Noto Sans CJK SC Regular"/>
        <family val="2"/>
      </rPr>
      <t xml:space="preserve">日々是好日 </t>
    </r>
    <r>
      <rPr>
        <sz val="8"/>
        <rFont val="Droid Sans"/>
        <family val="0"/>
        <charset val="1"/>
      </rPr>
      <t xml:space="preserve">https://t.co/P3TzOUqy1V https://t.co/cLLrOyg3M5 https://t.co/k1vSH6y9Xa https://t.co/cK6wpSRyzx https://t.co/sMo1WTFWZQ</t>
    </r>
  </si>
  <si>
    <t xml:space="preserve">https://t.co/86NMA5GOVK "President Trump's friend Shinzo Abe wins in landslide in Sunday's general election in Japan"</t>
  </si>
  <si>
    <t xml:space="preserve">Deepak Kumar</t>
  </si>
  <si>
    <t xml:space="preserve">Bhakt</t>
  </si>
  <si>
    <t xml:space="preserve">BhunjuK</t>
  </si>
  <si>
    <t xml:space="preserve">Support a no nonsense Govt. Sick of corrupt &amp; inefficient politicians. RTs are not an endorsement, it's FYI only.</t>
  </si>
  <si>
    <t xml:space="preserve">sanjay ranbir</t>
  </si>
  <si>
    <t xml:space="preserve">Abe wins overwhelming mandate in Japan election: Victory likely to harden stance on North Korea's nuclear threat https://t.co/eXeDN3VyWn</t>
  </si>
  <si>
    <t xml:space="preserve">Lawrence, NJ , blore india </t>
  </si>
  <si>
    <t xml:space="preserve">intellectual/ Expert - who doesn’t know what he doesn’t know, &amp; assumes he knows what people think. 😳 blocked by many "liberals". India First</t>
  </si>
  <si>
    <t xml:space="preserve">Jenny Kim</t>
  </si>
  <si>
    <t xml:space="preserve">“All of humanity's problems stem from man's inability to sit quietly in a room alone.” ― Blaise Pascal, Pensé Opinions are my own. Retweets not endorsements.</t>
  </si>
  <si>
    <t xml:space="preserve">Exit polls show snap election gambit pays off for Japan PM Shinzo Abe https://t.co/VT50wr3waG https://t.co/0Di9co7emJ</t>
  </si>
  <si>
    <t xml:space="preserve">Live content curated by top Singapore influencers. (Pic:https://t.co/EPJeOg7nVC)</t>
  </si>
  <si>
    <t xml:space="preserve">Mike Petersen</t>
  </si>
  <si>
    <t xml:space="preserve">Waipukurau</t>
  </si>
  <si>
    <t xml:space="preserve">Farmer and Company Director. Passionately committed to advancing New Zealand here and on the global stage.</t>
  </si>
  <si>
    <t xml:space="preserve">LOOTED INDIAN చాడా</t>
  </si>
  <si>
    <t xml:space="preserve">Luv my country,culture. HATE CORRUPTION &amp; VIOLENCE .Qsn Dbl stnds of media n HumnRight activists. Tweets r personal views.RTs r not endorsements. Retd Banker</t>
  </si>
  <si>
    <t xml:space="preserve">Japan PM Shinzo Abe's ruling bloc on track for big win in election: TV exit polls… https://t.co/dhKid7bTll @iblogbir</t>
  </si>
  <si>
    <t xml:space="preserve">vthacker</t>
  </si>
  <si>
    <t xml:space="preserve">architect🔯interior designer🔯town planner🔯 landscape designer🏡 art research 🔯artist🎨art collector📚 loves flowers &amp;nature 🌳horse riding 🐴loves cooking🍝</t>
  </si>
  <si>
    <t xml:space="preserve">SNath</t>
  </si>
  <si>
    <t xml:space="preserve">milwaukee</t>
  </si>
  <si>
    <t xml:space="preserve">Interested in nationalistic and spiritual literature. And Renewable sources of energy.</t>
  </si>
  <si>
    <t xml:space="preserve">Veerbhadra</t>
  </si>
  <si>
    <t xml:space="preserve">Do I look like I care</t>
  </si>
  <si>
    <t xml:space="preserve">Ri</t>
  </si>
  <si>
    <t xml:space="preserve">Janetter for iPhone</t>
  </si>
  <si>
    <t xml:space="preserve">南越國</t>
  </si>
  <si>
    <t xml:space="preserve">A Clothier Still Warm</t>
  </si>
  <si>
    <t xml:space="preserve">RT @asgerrojle: Shinzo Abe, the "comeback kid" of Japanese politics- Nikkei Asian Review https://t.co/jHMNuvDzD5</t>
  </si>
  <si>
    <t xml:space="preserve">Loop Samoa</t>
  </si>
  <si>
    <t xml:space="preserve">Shinzo Abe's coalition wins Sunday's general election https://t.co/kR1AgXrHYr</t>
  </si>
  <si>
    <t xml:space="preserve">Samoa</t>
  </si>
  <si>
    <t xml:space="preserve">Samoa's #1 news app for local news, sports, entertainment, lifestyle, business, community and events. Get the app - https://t.co/y8GwXIBY2N</t>
  </si>
  <si>
    <t xml:space="preserve">Moch Yoga Samudera</t>
  </si>
  <si>
    <t xml:space="preserve">Ignorance isn't bliss.</t>
  </si>
  <si>
    <t xml:space="preserve">Ashok</t>
  </si>
  <si>
    <t xml:space="preserve">Not too far..</t>
  </si>
  <si>
    <t xml:space="preserve">Railroad Engineer, student of life, Indian of Vasudhav Kutumbkam values, dreams to be a thread which makes the garland...</t>
  </si>
  <si>
    <t xml:space="preserve">starrick1</t>
  </si>
  <si>
    <t xml:space="preserve">Nat Ch</t>
  </si>
  <si>
    <t xml:space="preserve">聴覚評論家　中川雅文</t>
  </si>
  <si>
    <t xml:space="preserve">聴覚評論家。 にゅ〜ろまｰけた〜、著述家。 時事ネタ、ときどき耳の話。 まずはブログ拝見ください。</t>
  </si>
  <si>
    <r>
      <rPr>
        <sz val="8"/>
        <rFont val="Droid Sans"/>
        <family val="0"/>
        <charset val="1"/>
      </rPr>
      <t xml:space="preserve">Shinobu </t>
    </r>
    <r>
      <rPr>
        <sz val="8"/>
        <rFont val="Noto Sans CJK SC Regular"/>
        <family val="2"/>
      </rPr>
      <t xml:space="preserve">忍</t>
    </r>
  </si>
  <si>
    <r>
      <rPr>
        <sz val="8"/>
        <rFont val="Droid Sans"/>
        <family val="0"/>
        <charset val="1"/>
      </rPr>
      <t xml:space="preserve">I love music♪ </t>
    </r>
    <r>
      <rPr>
        <sz val="8"/>
        <rFont val="Noto Sans CJK SC Regular"/>
        <family val="2"/>
      </rPr>
      <t xml:space="preserve">日本は、今、様々なものと闘う時が 来てしまったんだなという実感を持って います。 闘います、が、所有しているすべての辞書に人種差別という文字は、存在しておりません。悪しからず♪</t>
    </r>
  </si>
  <si>
    <t xml:space="preserve">Ranjith AR</t>
  </si>
  <si>
    <t xml:space="preserve">☯-</t>
  </si>
  <si>
    <r>
      <rPr>
        <sz val="8"/>
        <rFont val="Noto Sans CJK SC Regular"/>
        <family val="2"/>
      </rPr>
      <t xml:space="preserve">コンピューターシティ </t>
    </r>
    <r>
      <rPr>
        <sz val="8"/>
        <rFont val="Droid Sans"/>
        <family val="0"/>
        <charset val="1"/>
      </rPr>
      <t xml:space="preserve">in </t>
    </r>
    <r>
      <rPr>
        <sz val="8"/>
        <rFont val="Noto Sans CJK SC Regular"/>
        <family val="2"/>
      </rPr>
      <t xml:space="preserve">エレクトロ・ワールド</t>
    </r>
  </si>
  <si>
    <r>
      <rPr>
        <sz val="8"/>
        <rFont val="Droid Sans"/>
        <family val="0"/>
        <charset val="1"/>
      </rPr>
      <t xml:space="preserve">(</t>
    </r>
    <r>
      <rPr>
        <sz val="8"/>
        <rFont val="Noto Sans CJK SC Regular"/>
        <family val="2"/>
      </rPr>
      <t xml:space="preserve">・</t>
    </r>
    <r>
      <rPr>
        <sz val="8"/>
        <rFont val="Droid Sans"/>
        <family val="0"/>
        <charset val="1"/>
      </rPr>
      <t xml:space="preserve">ω</t>
    </r>
    <r>
      <rPr>
        <sz val="8"/>
        <rFont val="Noto Sans CJK SC Regular"/>
        <family val="2"/>
      </rPr>
      <t xml:space="preserve">・</t>
    </r>
    <r>
      <rPr>
        <sz val="8"/>
        <rFont val="Droid Sans"/>
        <family val="0"/>
        <charset val="1"/>
      </rPr>
      <t xml:space="preserve">)/GABRIEL/</t>
    </r>
  </si>
  <si>
    <t xml:space="preserve">JPN,inner universe</t>
  </si>
  <si>
    <t xml:space="preserve">LOVE USA /@slipknot /military /cat /science /YOUTUBE / Convention against Transnational Organized Crime</t>
  </si>
  <si>
    <t xml:space="preserve">News_US_Elections</t>
  </si>
  <si>
    <t xml:space="preserve">Election Risk Pays Off for Shinzo Abe of Japan as His Party Appears to Win Big - New York Times #UsElections https://t.co/Yl9otMpHKi</t>
  </si>
  <si>
    <t xml:space="preserve">Stay on top of the latest Election news. BStay up to date in one click. check http://t.co/TdTyguTYlr</t>
  </si>
  <si>
    <t xml:space="preserve">lorenzo vera h</t>
  </si>
  <si>
    <t xml:space="preserve">Winterfall</t>
  </si>
  <si>
    <t xml:space="preserve">valar morghulis</t>
  </si>
  <si>
    <t xml:space="preserve">Vigilant Amey</t>
  </si>
  <si>
    <t xml:space="preserve">NaMo fan... BJP Supporter... Die hard Manchester United fan..... Engineer by Profession and most importantly a Vigilant citizen of India.</t>
  </si>
  <si>
    <t xml:space="preserve">Hardik Patel</t>
  </si>
  <si>
    <r>
      <rPr>
        <sz val="8"/>
        <rFont val="Droid Sans"/>
        <family val="0"/>
        <charset val="1"/>
      </rPr>
      <t xml:space="preserve">(´</t>
    </r>
    <r>
      <rPr>
        <sz val="8"/>
        <rFont val="Noto Sans CJK SC Regular"/>
        <family val="2"/>
      </rPr>
      <t xml:space="preserve">･</t>
    </r>
    <r>
      <rPr>
        <sz val="8"/>
        <rFont val="Droid Sans"/>
        <family val="0"/>
        <charset val="1"/>
      </rPr>
      <t xml:space="preserve">ω</t>
    </r>
    <r>
      <rPr>
        <sz val="8"/>
        <rFont val="Noto Sans CJK SC Regular"/>
        <family val="2"/>
      </rPr>
      <t xml:space="preserve">･</t>
    </r>
    <r>
      <rPr>
        <sz val="8"/>
        <rFont val="Droid Sans"/>
        <family val="0"/>
        <charset val="1"/>
      </rPr>
      <t xml:space="preserve">`) ∂ɾԵ</t>
    </r>
  </si>
  <si>
    <t xml:space="preserve">RT @kristoferkawas: TOKYO (Reuters) - Japanese Prime Minister Shinzo Abe's ruling bloc was headed for a big win in Sunday's election, … htt…</t>
  </si>
  <si>
    <t xml:space="preserve">News, Technology, Thai foods</t>
  </si>
  <si>
    <t xml:space="preserve">DEATHANIE VENOM</t>
  </si>
  <si>
    <t xml:space="preserve">Mentally MN, Technically TX</t>
  </si>
  <si>
    <t xml:space="preserve">My patronus is a tsundere shark.</t>
  </si>
  <si>
    <t xml:space="preserve">Lachlan Hetherton</t>
  </si>
  <si>
    <t xml:space="preserve">Graphics programmer and senior software engineer, broken ex-boulderer with mangled fingers and long suffering SC2 player. Profile artwork by @dlanham.</t>
  </si>
  <si>
    <t xml:space="preserve">Ashok.  Keshwala.</t>
  </si>
  <si>
    <t xml:space="preserve">Vertebrate</t>
  </si>
  <si>
    <t xml:space="preserve">Neuston, Chester, England, UK</t>
  </si>
  <si>
    <t xml:space="preserve">Grand Wizard Bullingdon Git at The Duke of Westminster's Wealth-Doubling Campaign. #Satire #Innovation #LowCarbon #Immigrant #ChesterFrosties RT ≠ end blah</t>
  </si>
  <si>
    <t xml:space="preserve">Sysyana Citra</t>
  </si>
  <si>
    <t xml:space="preserve">am I a free thinker? I always thinking -1995- nutritionist 😍 | 0's | ♥FAMILY | @VIEMOSTA | @marcmarquez93 | ♥MUSIC @Snoopy | line: citra-scr93</t>
  </si>
  <si>
    <t xml:space="preserve">Risk Policy - ARPI</t>
  </si>
  <si>
    <t xml:space="preserve">#Japan's Shinzo #Abe headed to impressive #election win: projections - ABC News #media #polls wrong again https://t.co/87yyYZ0g3d</t>
  </si>
  <si>
    <t xml:space="preserve">Offices - Melbourne &amp; Canberra</t>
  </si>
  <si>
    <t xml:space="preserve">ARPI is the world leader in Risk Policy - new body of knowledge - new approach to Risk - new concepts eg Vulnerability - connects Leaders with Risk</t>
  </si>
  <si>
    <t xml:space="preserve">Булгаа</t>
  </si>
  <si>
    <t xml:space="preserve">Сүхбаатар дүүргийн 15-р хороо</t>
  </si>
  <si>
    <t xml:space="preserve">Хүн бол төрөлхийн #УлсТөр-ийн амьтан. Аристотель | #ҮндсэнХууль | #УИХ | #ИТХ | @UniBogazici төгсөгч | @dempartym гишүүн | #ПарламентынАрдчилал-ыг баримтлагч</t>
  </si>
  <si>
    <t xml:space="preserve">Tan Kin Lian</t>
  </si>
  <si>
    <t xml:space="preserve">The Liberal Democratic Party of Japan has been returned to power with a larger majority. (Just like the PAP in... https://t.co/YZCONLxtPM</t>
  </si>
  <si>
    <t xml:space="preserve">I managed a large insurance company in Singapore for 30 years and now run a company that provides consultancy and develop web and mobile application software.</t>
  </si>
  <si>
    <t xml:space="preserve">Aditya 🇮🇳</t>
  </si>
  <si>
    <t xml:space="preserve">Swaraj is our Birthright. Apolitical. Occasionally explodes on Anti Nationals. 🔸️GOD🔸️COUNTRY🔸️FAMILY🔸️</t>
  </si>
  <si>
    <t xml:space="preserve">Japan PM Shinzo Abe's ruling bloc on track for big win in election: TV exit polls… https://t.co/gfk9lheggZ</t>
  </si>
  <si>
    <r>
      <rPr>
        <sz val="8"/>
        <rFont val="Droid Sans"/>
        <family val="0"/>
        <charset val="1"/>
      </rPr>
      <t xml:space="preserve">(o</t>
    </r>
    <r>
      <rPr>
        <sz val="8"/>
        <rFont val="Noto Sans CJK SC Regular"/>
        <family val="2"/>
      </rPr>
      <t xml:space="preserve">ﾟ</t>
    </r>
    <r>
      <rPr>
        <sz val="8"/>
        <rFont val="Droid Sans"/>
        <family val="0"/>
        <charset val="1"/>
      </rPr>
      <t xml:space="preserve">c_</t>
    </r>
    <r>
      <rPr>
        <sz val="8"/>
        <rFont val="Noto Sans CJK SC Regular"/>
        <family val="2"/>
      </rPr>
      <t xml:space="preserve">ﾟ</t>
    </r>
    <r>
      <rPr>
        <sz val="8"/>
        <rFont val="Droid Sans"/>
        <family val="0"/>
        <charset val="1"/>
      </rPr>
      <t xml:space="preserve">o)</t>
    </r>
  </si>
  <si>
    <t xml:space="preserve">オーストラリアのあの街</t>
  </si>
  <si>
    <r>
      <rPr>
        <sz val="8"/>
        <rFont val="Noto Sans CJK SC Regular"/>
        <family val="2"/>
      </rPr>
      <t xml:space="preserve">色々雑多アカウントじゃけど、ツイ上でデーブスペクターにダジャレ返す日々。シュールなお笑い歓迎</t>
    </r>
    <r>
      <rPr>
        <sz val="8"/>
        <rFont val="Droid Sans"/>
        <family val="0"/>
        <charset val="1"/>
      </rPr>
      <t xml:space="preserve">!</t>
    </r>
    <r>
      <rPr>
        <sz val="8"/>
        <rFont val="Noto Sans CJK SC Regular"/>
        <family val="2"/>
      </rPr>
      <t xml:space="preserve">オーストラリア、メルボルン、ニュージーランドも紹介するけぇ。とりあえずカープ勝ちんさい。</t>
    </r>
    <r>
      <rPr>
        <sz val="8"/>
        <rFont val="Droid Sans"/>
        <family val="0"/>
        <charset val="1"/>
      </rPr>
      <t xml:space="preserve">80s, 90s</t>
    </r>
    <r>
      <rPr>
        <sz val="8"/>
        <rFont val="Noto Sans CJK SC Regular"/>
        <family val="2"/>
      </rPr>
      <t xml:space="preserve">の洋楽も好きでぇ。グルメ、健康系話題も。政治は右左無し。日本応援する人を応援。トイプードルちゃんの父 。 オッサンなんよ✌</t>
    </r>
  </si>
  <si>
    <t xml:space="preserve">Global Trade News</t>
  </si>
  <si>
    <t xml:space="preserve">All around the world</t>
  </si>
  <si>
    <t xml:space="preserve">Trade News in one Live Feed | #GLOBAL #TRADE coverage 24/24 | #ITC #WTO #UNCTAD #ICTSD #OECD</t>
  </si>
  <si>
    <t xml:space="preserve">Carl Bildt</t>
  </si>
  <si>
    <t xml:space="preserve">Early results point at big win for Prime Minister Shinzo Abe’s ruling coalition in Sunday’s Japan election. https://t.co/U6PguFQFkr</t>
  </si>
  <si>
    <t xml:space="preserve">Co-Chair European Council on Foreign Relations @ecfr. Among many other things. På svenska på @cbildt.</t>
  </si>
  <si>
    <t xml:space="preserve">Shinzo Abe returned with a strong majority to pursue reform of pacifist constitution https://t.co/sZjO3ZrIjy</t>
  </si>
  <si>
    <t xml:space="preserve">RT @CAPEuropeFR: Election Risk Pays Off for #ShinzoAbe of #Japan as Party Appears to Win Big https://t.co/xUOhtDbuPZ</t>
  </si>
  <si>
    <t xml:space="preserve">Aditya Patel</t>
  </si>
  <si>
    <t xml:space="preserve">bratNvet</t>
  </si>
  <si>
    <t xml:space="preserve">"Shinzo Abe secures strong mandate in Japan's general election" https://t.co/lfDCfpTZ6M</t>
  </si>
  <si>
    <t xml:space="preserve">That photo a gift from my daughter. Future Belongs To Them. USAF Vet, Oath for life. Constitution. Husb a Mil Brat - His Dad Rescue Pilot in Nam,Korea. NoLists.</t>
  </si>
  <si>
    <t xml:space="preserve">Brant Houston</t>
  </si>
  <si>
    <t xml:space="preserve">RT @eha_news: #BREAKING: PM Shinzo Abe’s Liberal Democrat Party gains majority of parliament seats in Japan’s Election according to results…</t>
  </si>
  <si>
    <t xml:space="preserve">Kendale</t>
  </si>
  <si>
    <t xml:space="preserve">there is a problem with this mattress</t>
  </si>
  <si>
    <t xml:space="preserve">Avilon Joel</t>
  </si>
  <si>
    <t xml:space="preserve">https://t.co/ASWEnpVdfW</t>
  </si>
  <si>
    <t xml:space="preserve">Sihab Mahmud Shuvo</t>
  </si>
  <si>
    <t xml:space="preserve">#Breaking</t>
  </si>
  <si>
    <t xml:space="preserve">জীবন খাতার শেষের পাতায়, এঁকে দিলাম আলপনা, আমার স্মৃতি পড়বে মনে, যখন আমি থাকব না...!</t>
  </si>
  <si>
    <t xml:space="preserve">((( IL Steve )))</t>
  </si>
  <si>
    <t xml:space="preserve">RT @carlbildt: Early results point at big win for Prime Minister Shinzo Abe’s ruling coalition in Sunday’s Japan election. https://t.co/U6P…</t>
  </si>
  <si>
    <t xml:space="preserve">Atty Steve in 21st state … Bearded man illustration © 1996 Edward Gorey https://t.co/EQFu07xZva An RT by me ≠♥ &amp; a RT of my tweet ≠ I ♥ retweeter</t>
  </si>
  <si>
    <t xml:space="preserve">What Shinzo Abe’s election win will mean for China-Japan relations https://t.co/fGRmxOCd25</t>
  </si>
  <si>
    <t xml:space="preserve">RT @SCMP_News: What Shinzo Abe’s election win will mean for China-Japan relations https://t.co/fGRmxOCd25</t>
  </si>
  <si>
    <r>
      <rPr>
        <sz val="8"/>
        <rFont val="Droid Sans"/>
        <family val="0"/>
        <charset val="1"/>
      </rPr>
      <t xml:space="preserve">Austin Willhoft </t>
    </r>
    <r>
      <rPr>
        <sz val="8"/>
        <rFont val="Noto Sans CJK SC Regular"/>
        <family val="2"/>
      </rPr>
      <t xml:space="preserve">陳定伸</t>
    </r>
  </si>
  <si>
    <t xml:space="preserve">Taiwanese Roots/American upbringings. Let's talk East Asian news. Journalism @UOSOJC🐥/ Chinese @NTU🇹🇼/ Staff writer @EthosMag</t>
  </si>
  <si>
    <t xml:space="preserve">rajeev somanathan</t>
  </si>
  <si>
    <t xml:space="preserve">ABS-CBN News Channel</t>
  </si>
  <si>
    <t xml:space="preserve">In this #ANCRecap, Sean King of Park Strategies talks about Japan's Shinzo Abe, who is headed for a big election vi… https://t.co/xYBGNrroqn</t>
  </si>
  <si>
    <t xml:space="preserve">News updates &amp; breaking news from the Philippines. Like our Facebook page: http://t.co/xr1ETuyubS.</t>
  </si>
  <si>
    <t xml:space="preserve">Mark Meehan</t>
  </si>
  <si>
    <t xml:space="preserve">Shinzo Abe secures strong mandate in Japan’s general election https://t.co/8yYtY5dwDp</t>
  </si>
  <si>
    <t xml:space="preserve">Dublin/Laois, Ireland</t>
  </si>
  <si>
    <t xml:space="preserve">Dubliner in Laois, dad-to-be, news tweeter @mpn_curation, picture-taker. @SocDems member organising for Laois/Offaly. Opinions own. IG: marcaspadraig</t>
  </si>
  <si>
    <t xml:space="preserve">MPN News</t>
  </si>
  <si>
    <t xml:space="preserve">Shinzo Abe secures strong mandate in Japan’s general election https://t.co/62mpKIC6gB</t>
  </si>
  <si>
    <t xml:space="preserve">Curating accurate, up-to-date International news from a variety of sources. Non-profit, no credit taken | Run by @MarcasPadraig | @mpn_curation</t>
  </si>
  <si>
    <t xml:space="preserve">Bo Anderson</t>
  </si>
  <si>
    <t xml:space="preserve">Franz-Stefan Gady</t>
  </si>
  <si>
    <t xml:space="preserve">Shinzo Abe gains big victory in Japan election https://t.co/EuCAd8rmQt via @FT</t>
  </si>
  <si>
    <t xml:space="preserve">Senior Fellow @EWInstitute; Editor @Diplomat_APAC:What does Hippoclides care? Asia Defense, Cyber, Future of War, Defense Policy RT≠❤️=⭐</t>
  </si>
  <si>
    <t xml:space="preserve">Brooklinewise</t>
  </si>
  <si>
    <t xml:space="preserve">With a landslide win, Shinzo Abe could be ready to rewrite Japan's pacifist constitution https://t.co/ml24r9aWGM</t>
  </si>
  <si>
    <t xml:space="preserve">비선형 심리지도</t>
  </si>
  <si>
    <t xml:space="preserve">Deepak Bansal</t>
  </si>
  <si>
    <t xml:space="preserve">जननी जन्मभूमिश्च स्वरगादपि गरीयसी</t>
  </si>
  <si>
    <t xml:space="preserve">tejida</t>
  </si>
  <si>
    <t xml:space="preserve">Retired teacher information addict who loves knitting, sewing, animals, the home teams and tennis.</t>
  </si>
  <si>
    <t xml:space="preserve">母ポン</t>
  </si>
  <si>
    <r>
      <rPr>
        <sz val="8"/>
        <rFont val="Noto Sans CJK SC Regular"/>
        <family val="2"/>
      </rPr>
      <t xml:space="preserve">日本の未来のために、子たちの為に、身を挺して働く安倍総理。こんなに働く首相を見たことがありません。安倍総理は日本を救う奇跡の宰相です！＊＊＊和と和を繋いで、善き伝統、善き文化、美しい日本を子や孫に残してあげましょう。 ○</t>
    </r>
    <r>
      <rPr>
        <sz val="8"/>
        <rFont val="Droid Sans"/>
        <family val="0"/>
        <charset val="1"/>
      </rPr>
      <t xml:space="preserve">Japan-Conservative ○Free Tibet ○</t>
    </r>
    <r>
      <rPr>
        <sz val="8"/>
        <rFont val="Noto Sans CJK SC Regular"/>
        <family val="2"/>
      </rPr>
      <t xml:space="preserve">六四天安門○</t>
    </r>
  </si>
  <si>
    <t xml:space="preserve">KENTA</t>
  </si>
  <si>
    <t xml:space="preserve">日本の味方であれば皆兄弟。人種差別大反対。差別を利用して誤った理論を正当化する輩は区別します。</t>
  </si>
  <si>
    <t xml:space="preserve">Web-2-3-Linkaloo</t>
  </si>
  <si>
    <t xml:space="preserve">#news #on4us #infos Shinzo Abe secures strong mandate in Japan’s general election – The Guardian https://t.co/0Kq0pPSLRV</t>
  </si>
  <si>
    <t xml:space="preserve">#India - Japan PM Shinzo Abe's ruling bloc on track for big win in election: TV exit polls… https://t.co/ZtNZtv6kif</t>
  </si>
  <si>
    <t xml:space="preserve">MR_HIND</t>
  </si>
  <si>
    <t xml:space="preserve">RT @Tweet2Sid: #India - Japan PM Shinzo Abe's ruling bloc on track for big win in election: TV exit polls… https://t.co/ZtNZtv6kif</t>
  </si>
  <si>
    <t xml:space="preserve">Mr Hind</t>
  </si>
  <si>
    <t xml:space="preserve">This is a BOT that retweets the Indian tweets with salute #JaiHind , around the globe. if you are a Real Indian follow Me. This BOT is made by @iGjGourav</t>
  </si>
  <si>
    <t xml:space="preserve">vlady поліщук</t>
  </si>
  <si>
    <t xml:space="preserve">kyivpost.com; en.censor.net.ua</t>
  </si>
  <si>
    <t xml:space="preserve">https://t.co/ye6CNQRb4H; https://t.co/ARHShguKHx</t>
  </si>
  <si>
    <t xml:space="preserve">run.woman</t>
  </si>
  <si>
    <t xml:space="preserve">Charles Oudom</t>
  </si>
  <si>
    <t xml:space="preserve">Abe to Xi: Japan is eliminating constitutional constraints to engage in global and Asian affairs at full strength https://t.co/LtFikcqWxm</t>
  </si>
  <si>
    <t xml:space="preserve">Paris, Phnom Penh</t>
  </si>
  <si>
    <t xml:space="preserve">politics bore me. Injustice inflames me.</t>
  </si>
  <si>
    <t xml:space="preserve">Japan PM Shinzo Abe's ruling bloc on track for big win in election: TV exit polls… https://t.co/ssUVYAGNz6 News IN</t>
  </si>
  <si>
    <t xml:space="preserve">sayvari</t>
  </si>
  <si>
    <t xml:space="preserve">नैनं छिन्दन्ति शस्त्राणि नैनं दहति पावकः। न चैनं क्लेदयन्त्यापो न शोषयति मारुतः।। Weapons cannot cut/fire cannot burn/water cannot wet/wind cannot dry this Atma</t>
  </si>
  <si>
    <t xml:space="preserve">Abigail Pollak Cruz</t>
  </si>
  <si>
    <t xml:space="preserve">Abe to push reform of Japan's pacifist constitution after election win: TOKYO (Reuters) - Japanese Prime Minister S… https://t.co/yrJMeTq6za</t>
  </si>
  <si>
    <t xml:space="preserve">I live at New York</t>
  </si>
  <si>
    <t xml:space="preserve">ASIA ACCESS</t>
  </si>
  <si>
    <t xml:space="preserve">What Shinzo Abe’s win will mean for China-Japan relations #asiaaccess https://t.co/P6nXuSBXAp</t>
  </si>
  <si>
    <t xml:space="preserve">HONG KONG | CHINA | INDONESIA | JAPAN | PHILIPPINES | KOREA | IRELAND</t>
  </si>
  <si>
    <t xml:space="preserve">BUSINESS ADVISORY SERVICES. Helping Companies build their business in Asia. We know Asia, get to know us.</t>
  </si>
  <si>
    <t xml:space="preserve">🌞Rob Christie🌞</t>
  </si>
  <si>
    <t xml:space="preserve">https://t.co/WEwKPvPPwp Constitutional Conservative #MAGA</t>
  </si>
  <si>
    <t xml:space="preserve">この先まがれ</t>
  </si>
  <si>
    <t xml:space="preserve">ニュースの根っこをのぞいています。無言フォロー、失礼いたします。</t>
  </si>
  <si>
    <r>
      <rPr>
        <sz val="8"/>
        <rFont val="Noto Sans CJK SC Regular"/>
        <family val="2"/>
      </rPr>
      <t xml:space="preserve">ボン緒方✧</t>
    </r>
    <r>
      <rPr>
        <sz val="8"/>
        <rFont val="Droid Sans"/>
        <family val="0"/>
        <charset val="1"/>
      </rPr>
      <t xml:space="preserve">*</t>
    </r>
    <r>
      <rPr>
        <sz val="8"/>
        <rFont val="Noto Sans CJK SC Regular"/>
        <family val="2"/>
      </rPr>
      <t xml:space="preserve">｡</t>
    </r>
  </si>
  <si>
    <r>
      <rPr>
        <sz val="8"/>
        <rFont val="Noto Sans CJK SC Regular"/>
        <family val="2"/>
      </rPr>
      <t xml:space="preserve">『</t>
    </r>
    <r>
      <rPr>
        <sz val="8"/>
        <rFont val="Droid Sans"/>
        <family val="0"/>
        <charset val="1"/>
      </rPr>
      <t xml:space="preserve">CA</t>
    </r>
    <r>
      <rPr>
        <sz val="8"/>
        <rFont val="Noto Sans CJK SC Regular"/>
        <family val="2"/>
      </rPr>
      <t xml:space="preserve">』</t>
    </r>
    <r>
      <rPr>
        <sz val="8"/>
        <rFont val="Droid Sans"/>
        <family val="0"/>
        <charset val="1"/>
      </rPr>
      <t xml:space="preserve">sayang sehun.</t>
    </r>
  </si>
  <si>
    <t xml:space="preserve">Shiva Maniam</t>
  </si>
  <si>
    <t xml:space="preserve">Election Risk Pays Off for Shinzo Abe of Japan as His Party Appears to Win Big via @NYTimes https://t.co/dwcyMpO6SN</t>
  </si>
  <si>
    <t xml:space="preserve">Public policy @HeinzCollege. Midwesterner, Gopher alum @UMNews, and Oxford comma absolutist. Interested in data, politics, geography, int’l affairs, languages.</t>
  </si>
  <si>
    <t xml:space="preserve">Dhyan Shah</t>
  </si>
  <si>
    <t xml:space="preserve">Political Junkie, Follows Energy Policy. Tweet for fun but retweets are not an endorsement! Nationalist lookig for center of Right! https://t.co/xZK1nZBmVR</t>
  </si>
  <si>
    <t xml:space="preserve">iam</t>
  </si>
  <si>
    <r>
      <rPr>
        <sz val="8"/>
        <rFont val="Noto Sans CJK SC Regular"/>
        <family val="2"/>
      </rPr>
      <t xml:space="preserve">ごく普通の</t>
    </r>
    <r>
      <rPr>
        <sz val="8"/>
        <rFont val="Droid Sans"/>
        <family val="0"/>
        <charset val="1"/>
      </rPr>
      <t xml:space="preserve">30</t>
    </r>
    <r>
      <rPr>
        <sz val="8"/>
        <rFont val="Noto Sans CJK SC Regular"/>
        <family val="2"/>
      </rPr>
      <t xml:space="preserve">代女性です。最近のメディアの偏向報道はあまりにひどく、情報収集のためツイッターを始めました。情報収集すればするほど、この日本国民を守ってくれるのは安倍政権だけ！！と強く感じるようになりました。安倍政権になってからは安心しか感じません！安倍政権を絶大支持しています！</t>
    </r>
  </si>
  <si>
    <t xml:space="preserve">Don Hammonds</t>
  </si>
  <si>
    <t xml:space="preserve">Dallas</t>
  </si>
  <si>
    <t xml:space="preserve">I follow more than 100 female singers from all over the world. I also follow events in Ukraine &amp; Eastern Europe.</t>
  </si>
  <si>
    <t xml:space="preserve">S.Swagat</t>
  </si>
  <si>
    <t xml:space="preserve">Port Blair, India</t>
  </si>
  <si>
    <t xml:space="preserve">Blogger,adventurer and a proud human being.. Olympian</t>
  </si>
  <si>
    <t xml:space="preserve">Loop Tonga</t>
  </si>
  <si>
    <t xml:space="preserve">Shinzo Abe wins Japan's general election https://t.co/0GA7zc5Swk</t>
  </si>
  <si>
    <t xml:space="preserve">Tonga's #1 news app for local news, sports, entertainment, lifestyle, business, community and events Get the app - https://t.co/y8GwXIBY2N</t>
  </si>
  <si>
    <r>
      <rPr>
        <sz val="8"/>
        <rFont val="Droid Sans"/>
        <family val="0"/>
        <charset val="1"/>
      </rPr>
      <t xml:space="preserve">Kazushi N. | </t>
    </r>
    <r>
      <rPr>
        <sz val="8"/>
        <rFont val="Noto Sans CJK SC Regular"/>
        <family val="2"/>
      </rPr>
      <t xml:space="preserve">長山一石</t>
    </r>
  </si>
  <si>
    <t xml:space="preserve">Election Risk Pays Off for Shinzo Abe of Japan as His Party Appears to Win Big https://t.co/mSVAO2Agly</t>
  </si>
  <si>
    <t xml:space="preserve">Bay Area</t>
  </si>
  <si>
    <r>
      <rPr>
        <sz val="8"/>
        <rFont val="Droid Sans"/>
        <family val="0"/>
        <charset val="1"/>
      </rPr>
      <t xml:space="preserve">Kazushi Nagayama: Senior Ninja @Google. Doshisha &amp; LSE graduate. Dilettante. Anthropology, philosophy, data. All my views are belong to me. S+50</t>
    </r>
    <r>
      <rPr>
        <sz val="8"/>
        <rFont val="Noto Sans CJK SC Regular"/>
        <family val="2"/>
      </rPr>
      <t xml:space="preserve">ローラー</t>
    </r>
    <r>
      <rPr>
        <sz val="8"/>
        <rFont val="Droid Sans"/>
        <family val="0"/>
        <charset val="1"/>
      </rPr>
      <t xml:space="preserve">/</t>
    </r>
    <r>
      <rPr>
        <sz val="8"/>
        <rFont val="Noto Sans CJK SC Regular"/>
        <family val="2"/>
      </rPr>
      <t xml:space="preserve">ジェット</t>
    </r>
    <r>
      <rPr>
        <sz val="8"/>
        <rFont val="Droid Sans"/>
        <family val="0"/>
        <charset val="1"/>
      </rPr>
      <t xml:space="preserve">/</t>
    </r>
    <r>
      <rPr>
        <sz val="8"/>
        <rFont val="Noto Sans CJK SC Regular"/>
        <family val="2"/>
      </rPr>
      <t xml:space="preserve">ラピブラ</t>
    </r>
  </si>
  <si>
    <t xml:space="preserve">stephen garrett</t>
  </si>
  <si>
    <t xml:space="preserve">Shinzo Abe gains big victory in Japan election https://t.co/T9WidpP4Sx via @FT</t>
  </si>
  <si>
    <t xml:space="preserve">Stanford GSB, BBVA Head of Equity Derivatives Flow, USNA Grad, Ex US Navy Nuke, FFG-41, CVN-70, England Rugby Union Fan</t>
  </si>
  <si>
    <t xml:space="preserve">Abe to push reform of Japan's pacifist constitution after election win TOKYO (Reuters) - Japanese Prime Minister Shinzo Abe's ruling blo...</t>
  </si>
  <si>
    <t xml:space="preserve">kashmiriyat ki mkc</t>
  </si>
  <si>
    <t xml:space="preserve">Glasgow, Scotland</t>
  </si>
  <si>
    <t xml:space="preserve">Goes well with all things. Opinions change when reach expiry date. RTs are not endorsements.</t>
  </si>
  <si>
    <t xml:space="preserve">Japan: Shinzo Abe heads for big election win https://t.co/H3eeaLAEcU</t>
  </si>
  <si>
    <t xml:space="preserve">Japan PM Shinzo Abe's ruling bloc on track for big win in election: TV exit polls… https://t.co/3a52KvcOTl @iblogbir</t>
  </si>
  <si>
    <t xml:space="preserve">Punyaputra Kiran</t>
  </si>
  <si>
    <t xml:space="preserve">Maverick AP07-OD10-AP31-AP28-TN02-AP28-RJ14-KA03-AP28-RJ14-CG04-OD02-HR26-AP28 Living:TS07 Nativity ❎Sure;Right Thinking;Religious ❎Spiritual;RTs ❎endorsments</t>
  </si>
  <si>
    <t xml:space="preserve">Naresh Mendon</t>
  </si>
  <si>
    <t xml:space="preserve">Amarendra K Pandey</t>
  </si>
  <si>
    <t xml:space="preserve">Mechanical engineer, MBA, Retired from teaching profession. RTs are not endorsement. Seeking truth beyond religions.</t>
  </si>
  <si>
    <t xml:space="preserve">You are fake news!!!</t>
  </si>
  <si>
    <t xml:space="preserve">個人の自由、伝統的な家族観の重視。安倍政権支持。日本のこころ支持。日本の伝統を守る。皇室を尊ぶ。英霊に深く感謝。マスメディアの偏向報道を許さない。誇り高き本来の日本を取り戻す。差別には反対。</t>
  </si>
  <si>
    <t xml:space="preserve">ねぎ鍋</t>
  </si>
  <si>
    <r>
      <rPr>
        <sz val="8"/>
        <rFont val="Noto Sans CJK SC Regular"/>
        <family val="2"/>
      </rPr>
      <t xml:space="preserve">好きな方は関ジャニ∞‼私の元気の源💝 ベーシストの</t>
    </r>
    <r>
      <rPr>
        <sz val="8"/>
        <rFont val="Droid Sans"/>
        <family val="0"/>
        <charset val="1"/>
      </rPr>
      <t xml:space="preserve">KenKen✨</t>
    </r>
    <r>
      <rPr>
        <sz val="8"/>
        <rFont val="Noto Sans CJK SC Regular"/>
        <family val="2"/>
      </rPr>
      <t xml:space="preserve">神です🎵 安倍総理支持❗自民党支持です✨ 本気で美しく強い我が国の現状と未来を考える方々共感です。 大嫌いな物 朝日新聞 民進党 反日 嫌日 在日チョン 我が国日本を貶める人々 嘘を撒き散らすマスゴミ</t>
    </r>
  </si>
  <si>
    <t xml:space="preserve">Jose Diaz</t>
  </si>
  <si>
    <t xml:space="preserve">Election Risk Pays Off for Shinzo Abe of Japan as His Party Appears to Win Big https://t.co/TDSVnKAIKB https://t.co/Cg8BxODPpe</t>
  </si>
  <si>
    <t xml:space="preserve">Baburaj Varma</t>
  </si>
  <si>
    <t xml:space="preserve">East Cost,Singapore</t>
  </si>
  <si>
    <t xml:space="preserve">IT security.Proud member of JP(BJP).NaMo&amp;Dr Swamy suppoter.Passionate about Bharat Maa and Sanatan Dharma.RTs not my stamp.Trying to make sense🤔-Vande Mataram!</t>
  </si>
  <si>
    <t xml:space="preserve">Loop Vanuatu</t>
  </si>
  <si>
    <t xml:space="preserve">Shinzo Abe gains victory in Japan's general election https://t.co/SrzFnrU1Hr</t>
  </si>
  <si>
    <t xml:space="preserve">Vanuatu</t>
  </si>
  <si>
    <t xml:space="preserve">Vanuatu's #1 news app for local news, sports, entertainment, lifestyle, business, community and events Get the app - https://t.co/y8GwXIBY2N</t>
  </si>
  <si>
    <t xml:space="preserve">MANE mBsmith</t>
  </si>
  <si>
    <t xml:space="preserve">RT @iShares: PM Shinzo Abe won Japan's snap election - let's take a look at what that means for the markets and Japanese stocks https://t.c…</t>
  </si>
  <si>
    <t xml:space="preserve">Portland, OR, PDX</t>
  </si>
  <si>
    <t xml:space="preserve">Technician. Poet. Submarine Veteran USN. STS1 (ss). 100 Fathom Curve. 🕉 = Dial Tone 'O The Universe. Triple-Gem 🕉. Discourse Ovah Discord. RT 🚫 ENDORSEMENT!</t>
  </si>
  <si>
    <t xml:space="preserve">Sidhartha</t>
  </si>
  <si>
    <t xml:space="preserve">"Election Risk Pays Off for Shinzo Abe of Japan as His Party Appears to Win Big" by MOTOKO RICH via NYT World https://t.co/s8nE6QXTPe #news</t>
  </si>
  <si>
    <t xml:space="preserve">Melbourne Australia </t>
  </si>
  <si>
    <t xml:space="preserve">Amateur Photographer / Traveller/ always curious / Strange sense of humor / sarcastic / Technofobe</t>
  </si>
  <si>
    <t xml:space="preserve">Beyond Rhetoric</t>
  </si>
  <si>
    <t xml:space="preserve">myrna elnella ❤️❤️❤️</t>
  </si>
  <si>
    <t xml:space="preserve">RT @ANCALERTS: In this #ANCRecap, Sean King of Park Strategies talks about Japan's Shinzo Abe, who is headed for a big election victory. #A…</t>
  </si>
  <si>
    <t xml:space="preserve">Gifu-shi, Gifu</t>
  </si>
  <si>
    <t xml:space="preserve">Mathew 6:33 Love is Elnella 😻</t>
  </si>
  <si>
    <t xml:space="preserve">Firts Contact</t>
  </si>
  <si>
    <t xml:space="preserve">Election Risk Pays Off for Shinzo Abe of Japan as His Party Appears to Win Big https://t.co/iY2kc7vL5r https://t.co/cMSrJzRW6Z</t>
  </si>
  <si>
    <t xml:space="preserve">Breaking News, Latest News and Photos.</t>
  </si>
  <si>
    <t xml:space="preserve">Your Real Estate US</t>
  </si>
  <si>
    <t xml:space="preserve">Japan's economy faces huge challenges: Prime Minister Shinzo Abe is betting Japan's economy is in good enough shap … https://t.co/IJuHuWQE6p</t>
  </si>
  <si>
    <t xml:space="preserve">Social Media Publisher App </t>
  </si>
  <si>
    <t xml:space="preserve">The_News_DIVA🎀</t>
  </si>
  <si>
    <t xml:space="preserve">Japanese prime minister coasting to election win https://t.co/1m6hWBbhRl via @Politico https://t.co/NfeHfzevgq</t>
  </si>
  <si>
    <t xml:space="preserve">Croton-on-Hudson, NY</t>
  </si>
  <si>
    <t xml:space="preserve">#NYC 🗽 #NewsJunkie. Followed by @BarackObama, @BritneySpears, @OctaviaSpencer, @MorgFair, @YokoOno, @Barbi_Twins @DEADLINE. #MAJIX #IFB 💯 🇺🇸 #TheResistance ✊</t>
  </si>
  <si>
    <t xml:space="preserve">Mimi Ho</t>
  </si>
  <si>
    <t xml:space="preserve">Margaret Katheryn</t>
  </si>
  <si>
    <t xml:space="preserve">Darth Shwa</t>
  </si>
  <si>
    <t xml:space="preserve">Japanese prime minister coasting to election win https://t.co/EuqfsFdhXL https://t.co/aBzhzwQuu8</t>
  </si>
  <si>
    <t xml:space="preserve">Currency Trader</t>
  </si>
  <si>
    <t xml:space="preserve">Lalith Seetharaman</t>
  </si>
  <si>
    <t xml:space="preserve">Views personal. RTs no endorsement. Bharath Mata ki Jai NaMo NaMo!! #iCare4Rare</t>
  </si>
  <si>
    <t xml:space="preserve">Politics news</t>
  </si>
  <si>
    <t xml:space="preserve">Japanese prime minister coasting to election win https://t.co/UYtGvfx0Xq https://t.co/2ijGtgpy3V</t>
  </si>
  <si>
    <t xml:space="preserve">We show you the truth Hot Breaking news, USA politics, Trump and conservative support</t>
  </si>
  <si>
    <t xml:space="preserve">Feeds4U</t>
  </si>
  <si>
    <t xml:space="preserve">Japanese prime minister coasting to election win https://t.co/bWtfxtm8u9 #Politics #News</t>
  </si>
  <si>
    <t xml:space="preserve">International </t>
  </si>
  <si>
    <t xml:space="preserve">....updates and articles on topics that interest me, and may interest you too.</t>
  </si>
  <si>
    <t xml:space="preserve">Leonora Interssa</t>
  </si>
  <si>
    <t xml:space="preserve">Japanese prime minister coasting to election win https://t.co/TW73UzTsrp via @josephjett https://t.co/s02uE4SVXm</t>
  </si>
  <si>
    <t xml:space="preserve">I follow back! #followback @follow4follow I retweet celebrities!</t>
  </si>
  <si>
    <t xml:space="preserve">Defend Europa</t>
  </si>
  <si>
    <t xml:space="preserve">Japan in snap election as Shinzo Abe tries for new mandate to deal with North Korea https://t.co/a092ifNNyc</t>
  </si>
  <si>
    <t xml:space="preserve">Dashboard Organiser</t>
  </si>
  <si>
    <t xml:space="preserve">Europa</t>
  </si>
  <si>
    <t xml:space="preserve">News | History | Art | Anti-EU | Europe of Nations &amp; Freedom | #DefendEuropa #DefendEurope | Donations: https://t.co/yozTjO1j4I</t>
  </si>
  <si>
    <t xml:space="preserve">Japan's Shinzo Abe headed to impressive election win: projections https://t.co/RVn6sB3I2w via @ABCNews</t>
  </si>
  <si>
    <t xml:space="preserve">Mitra Prakash Rajput</t>
  </si>
  <si>
    <t xml:space="preserve">Takao Chikubu</t>
  </si>
  <si>
    <t xml:space="preserve">"Prime Minister Abe are poised for landslide victory,,," via France 24 https://t.co/D1Zsel6SUq</t>
  </si>
  <si>
    <r>
      <rPr>
        <sz val="8"/>
        <rFont val="Noto Sans CJK SC Regular"/>
        <family val="2"/>
      </rPr>
      <t xml:space="preserve">戦略コンサルタント兼大学教師</t>
    </r>
    <r>
      <rPr>
        <sz val="8"/>
        <rFont val="Droid Sans"/>
        <family val="0"/>
        <charset val="1"/>
      </rPr>
      <t xml:space="preserve">asktaka</t>
    </r>
    <r>
      <rPr>
        <sz val="8"/>
        <rFont val="Noto Sans CJK SC Regular"/>
        <family val="2"/>
      </rPr>
      <t xml:space="preserve">の個人的な</t>
    </r>
    <r>
      <rPr>
        <sz val="8"/>
        <rFont val="Droid Sans"/>
        <family val="0"/>
        <charset val="1"/>
      </rPr>
      <t xml:space="preserve">tw</t>
    </r>
    <r>
      <rPr>
        <sz val="8"/>
        <rFont val="Noto Sans CJK SC Regular"/>
        <family val="2"/>
      </rPr>
      <t xml:space="preserve">です。</t>
    </r>
    <r>
      <rPr>
        <sz val="8"/>
        <rFont val="Droid Sans"/>
        <family val="0"/>
        <charset val="1"/>
      </rPr>
      <t xml:space="preserve">PC</t>
    </r>
    <r>
      <rPr>
        <sz val="8"/>
        <rFont val="Noto Sans CJK SC Regular"/>
        <family val="2"/>
      </rPr>
      <t xml:space="preserve">は</t>
    </r>
    <r>
      <rPr>
        <sz val="8"/>
        <rFont val="Droid Sans"/>
        <family val="0"/>
        <charset val="1"/>
      </rPr>
      <t xml:space="preserve">Apple_LISA</t>
    </r>
    <r>
      <rPr>
        <sz val="8"/>
        <rFont val="Noto Sans CJK SC Regular"/>
        <family val="2"/>
      </rPr>
      <t xml:space="preserve">時代から、ネットはパソ通時代から、と付き合いは長いですが</t>
    </r>
    <r>
      <rPr>
        <sz val="8"/>
        <rFont val="Droid Sans"/>
        <family val="0"/>
        <charset val="1"/>
      </rPr>
      <t xml:space="preserve">...</t>
    </r>
    <r>
      <rPr>
        <sz val="8"/>
        <rFont val="Noto Sans CJK SC Regular"/>
        <family val="2"/>
      </rPr>
      <t xml:space="preserve">。英文</t>
    </r>
    <r>
      <rPr>
        <sz val="8"/>
        <rFont val="Droid Sans"/>
        <family val="0"/>
        <charset val="1"/>
      </rPr>
      <t xml:space="preserve">Tweet</t>
    </r>
    <r>
      <rPr>
        <sz val="8"/>
        <rFont val="Noto Sans CJK SC Regular"/>
        <family val="2"/>
      </rPr>
      <t xml:space="preserve">は</t>
    </r>
    <r>
      <rPr>
        <sz val="8"/>
        <rFont val="Droid Sans"/>
        <family val="0"/>
        <charset val="1"/>
      </rPr>
      <t xml:space="preserve">@takaochikubu </t>
    </r>
    <r>
      <rPr>
        <sz val="8"/>
        <rFont val="Noto Sans CJK SC Regular"/>
        <family val="2"/>
      </rPr>
      <t xml:space="preserve">で海外メディア中心にフォローしています。</t>
    </r>
  </si>
  <si>
    <t xml:space="preserve">"Prime Minister Abe are poised for landslide victory,,," via France 24 https://t.co/DVbHtmMqml</t>
  </si>
  <si>
    <t xml:space="preserve">Yuvraj Singh Charan</t>
  </si>
  <si>
    <t xml:space="preserve">Jaipur</t>
  </si>
  <si>
    <t xml:space="preserve">Japanese prime minister coasting to election win: [[ This is a content summary only. Visit… https://t.co/8A8fJ1miT9</t>
  </si>
  <si>
    <t xml:space="preserve">Alexandra Friess</t>
  </si>
  <si>
    <t xml:space="preserve">RT @The_News_DIVA: Japanese prime minister coasting to election win https://t.co/1m6hWBbhRl via @Politico https://t.co/NfeHfzevgq</t>
  </si>
  <si>
    <t xml:space="preserve">davison, mi</t>
  </si>
  <si>
    <t xml:space="preserve">I've got it all.</t>
  </si>
  <si>
    <t xml:space="preserve">metacode</t>
  </si>
  <si>
    <t xml:space="preserve">#ShinzoAbe, the "comeback kid" of Japanese politics https://t.co/Xov2la25Cn (@NAR) #JapanElection</t>
  </si>
  <si>
    <t xml:space="preserve">Southeast EU</t>
  </si>
  <si>
    <t xml:space="preserve">Geopolitics (War Media Propaganda Money Development Greece) Tech (AI Algorithms Big Data Robotics FOSS 3D Printing Cyberwar OSINT Privacy GMO Sci4D ICT4D)</t>
  </si>
  <si>
    <t xml:space="preserve">Spirit of Hindutva</t>
  </si>
  <si>
    <t xml:space="preserve">Bengaluru, Hindusthan</t>
  </si>
  <si>
    <t xml:space="preserve">Definition of Hindutva - Hindu politics in the service of Hindu Nation &amp; Minorities within the realm of Hindusthan that is Bharat.</t>
  </si>
  <si>
    <t xml:space="preserve">Raghavan Srinivasan</t>
  </si>
  <si>
    <t xml:space="preserve">MajGen Brajesh Kumar</t>
  </si>
  <si>
    <t xml:space="preserve">Noida</t>
  </si>
  <si>
    <t xml:space="preserve">Retd DG Works Indian Army was responsible for Mil Infrastructure of Armed Forces Now an Independent Consultant on Infrastructure &amp; Security Related Issues</t>
  </si>
  <si>
    <t xml:space="preserve">virat</t>
  </si>
  <si>
    <t xml:space="preserve">Florence, AL</t>
  </si>
  <si>
    <t xml:space="preserve">vegan muslim gay christian transsexual from north east surviving a fascist rule. I tweet for a better world. Microsoft</t>
  </si>
  <si>
    <t xml:space="preserve">Adi</t>
  </si>
  <si>
    <t xml:space="preserve">Dr. S. Venugopalan</t>
  </si>
  <si>
    <t xml:space="preserve">Thiruvallur</t>
  </si>
  <si>
    <t xml:space="preserve">Vedic &amp; Sanskrit scholar. Professor.Dept of Sanskrit&amp;Indian Culture. SCSVMV University. KANCHIPURAM. TN. (Sri Jayendrasaraswati Ayurveda College. Chennai)</t>
  </si>
  <si>
    <t xml:space="preserve">Miyuri</t>
  </si>
  <si>
    <t xml:space="preserve">RT @a_spiteri: Shinzo Abe, the "comeback kid" of Japanese politics- Nikkei Asian Review https://t.co/4ZkD8km4em</t>
  </si>
  <si>
    <t xml:space="preserve">Kanagawa Japan</t>
  </si>
  <si>
    <t xml:space="preserve">I love Japan. My favorites…flowers, animals, landscapes, northern lights, traveling, sports, music, photos. Thank you for following me!(*^^*)</t>
  </si>
  <si>
    <r>
      <rPr>
        <sz val="8"/>
        <rFont val="Droid Sans"/>
        <family val="0"/>
        <charset val="1"/>
      </rPr>
      <t xml:space="preserve">Fiona Angelica (</t>
    </r>
    <r>
      <rPr>
        <sz val="8"/>
        <rFont val="Noto Sans CJK SC Regular"/>
        <family val="2"/>
      </rPr>
      <t xml:space="preserve">宝石</t>
    </r>
    <r>
      <rPr>
        <sz val="8"/>
        <rFont val="Droid Sans"/>
        <family val="0"/>
        <charset val="1"/>
      </rPr>
      <t xml:space="preserve">)</t>
    </r>
  </si>
  <si>
    <t xml:space="preserve">Japan PM Shinzo Abe wins national election and pushes referendum forward to change Constitution article 9 "Renuncia… https://t.co/zLW06Hyxhy</t>
  </si>
  <si>
    <t xml:space="preserve">Chicago, the Windy City</t>
  </si>
  <si>
    <t xml:space="preserve">"I am human, and I think that nothing of that which is human is alien to me." - Terence</t>
  </si>
  <si>
    <t xml:space="preserve">Japan's Shinzo Abe headed to impressive election win: projections https://t.co/2DLudLWYfl</t>
  </si>
  <si>
    <t xml:space="preserve">Toby Brillon</t>
  </si>
  <si>
    <t xml:space="preserve">Lubbock, TX</t>
  </si>
  <si>
    <t xml:space="preserve">Husband, father, preacher, teacher, and most importantly saved by grace through faith in Jesus Christ. Follow ≠ Endorsement</t>
  </si>
  <si>
    <t xml:space="preserve">shreenathsingh</t>
  </si>
  <si>
    <t xml:space="preserve">Election Risk Pays Off for Shinzo Abe of Japan as His Party Appears to Win Big - The New York Times https://t.co/FMzcU5Hl2W</t>
  </si>
  <si>
    <t xml:space="preserve">Naperville, IL</t>
  </si>
  <si>
    <t xml:space="preserve">Date of Birth - 1st February 1946.</t>
  </si>
  <si>
    <t xml:space="preserve">Kame21</t>
  </si>
  <si>
    <t xml:space="preserve">turned 55</t>
  </si>
  <si>
    <t xml:space="preserve">Policy Now</t>
  </si>
  <si>
    <t xml:space="preserve">Japanese prime minister coasting to election win https://t.co/15lxFCbiF0 https://t.co/3X1BpfHNfQ</t>
  </si>
  <si>
    <t xml:space="preserve">Anti GOP Activist</t>
  </si>
  <si>
    <t xml:space="preserve">Shinzo Abe Wins Overwhelming Mandate in Japan’s Snap Election https://t.co/2cffuCEYMv via @thedailybeast</t>
  </si>
  <si>
    <t xml:space="preserve">I am a longtime Anti GOP Activist on a mission to expose republican racism and evil and a Computer science major in College</t>
  </si>
  <si>
    <t xml:space="preserve">6metaphor</t>
  </si>
  <si>
    <t xml:space="preserve">Right leaning economic minded</t>
  </si>
  <si>
    <t xml:space="preserve">Norman Albert Goldie</t>
  </si>
  <si>
    <t xml:space="preserve">RT @Blaiserboy: Japanese prime minister coasting to election win https://t.co/EuqfsFdhXL https://t.co/aBzhzwQuu8</t>
  </si>
  <si>
    <t xml:space="preserve">journalist, jounalista, writer, cook &amp; exec chef</t>
  </si>
  <si>
    <t xml:space="preserve">Japan PM Shinzo Abe's ruling bloc on track for big win in election: TV exit polls… https://t.co/8576uaEcE6</t>
  </si>
  <si>
    <t xml:space="preserve">Otto Inglis</t>
  </si>
  <si>
    <t xml:space="preserve">RT @DefendEvropa: Japan in snap election as Shinzo Abe tries for new mandate to deal with North Korea https://t.co/a092ifNNyc</t>
  </si>
  <si>
    <t xml:space="preserve">Edinburgh</t>
  </si>
  <si>
    <t xml:space="preserve">Brexit campaigner. Views are mine. Retweets are not necessarily endorsements.</t>
  </si>
  <si>
    <t xml:space="preserve">GREATER🇸🇴SOMALIA</t>
  </si>
  <si>
    <t xml:space="preserve">Jijiga, Somalia</t>
  </si>
  <si>
    <t xml:space="preserve">YOUNG SOMALI SOLDIER FIGHTING FOR HIS LAND AND PEOPLE IN ANY WAY POSSIBLE. #GreaterSomalia #FreeOgaden #FreeNFD #FreeDjibouti #FreeQalbiDhagax</t>
  </si>
  <si>
    <t xml:space="preserve">Marcellus Manassas🗼</t>
  </si>
  <si>
    <t xml:space="preserve">Under God Almigty </t>
  </si>
  <si>
    <t xml:space="preserve">If u don't like what I have to say then either; shut up,man up,or Leave!LOVE NATIONALISM.LONG LIVE THE US, EUROPE POPULIST MOVEMENT! GOD BLESS!</t>
  </si>
  <si>
    <t xml:space="preserve">saori</t>
  </si>
  <si>
    <t xml:space="preserve">GBF 12511217</t>
  </si>
  <si>
    <t xml:space="preserve">japanese-brazilian trans lesbian // videogames, anime, gay // more apprehensive about RTing het than porn</t>
  </si>
  <si>
    <t xml:space="preserve">张麦霸</t>
  </si>
  <si>
    <t xml:space="preserve">A Modest Indian</t>
  </si>
  <si>
    <t xml:space="preserve">दुरितांचे तिमिर जावो। विश्व स्वधर्मसूर्ये पाहो।। जो जें वांछील तो तें लाहो। प्राणिजात ।। -पसायदान</t>
  </si>
  <si>
    <t xml:space="preserve">The News24</t>
  </si>
  <si>
    <t xml:space="preserve">Japanese prime minister coasting to election win https://t.co/OVofdZbRaC https://t.co/vEKRIIwkcN</t>
  </si>
  <si>
    <t xml:space="preserve">Breaking news alerts and updates from the Daily Info .Our mission is to inform and equip Americans who love freedom.</t>
  </si>
  <si>
    <t xml:space="preserve">predicting2020</t>
  </si>
  <si>
    <t xml:space="preserve">BRICS and the World</t>
  </si>
  <si>
    <t xml:space="preserve">Rajesh Kumar Singh</t>
  </si>
  <si>
    <t xml:space="preserve">I am an ultra liberal, and proud to be an Indian and a Hindu, passionate about films, and a writer, director, and producer. I am a playwright as well.</t>
  </si>
  <si>
    <t xml:space="preserve">Glenn Ostrosky</t>
  </si>
  <si>
    <t xml:space="preserve">#Japan voters strengthen Abe’s hand in snap polls https://t.co/002xSLvJnE</t>
  </si>
  <si>
    <t xml:space="preserve">Edmonton, AB, Canada</t>
  </si>
  <si>
    <t xml:space="preserve">55 years old, #Canadian, retired. University of Alberta Graduate. Class of 1988. Live in Edmonton #yeg . Home for the last 35 years :)</t>
  </si>
  <si>
    <t xml:space="preserve">Krishnakumar Raman</t>
  </si>
  <si>
    <t xml:space="preserve">Uncle Junior</t>
  </si>
  <si>
    <t xml:space="preserve">No DMs!~TCP/IP my second language~Ride Harley-Davidson &amp; piss on progressives~USMC Nam Vet 9th MAB NGF~Semper Fidelis~smarter than I look! #1A #2A</t>
  </si>
  <si>
    <t xml:space="preserve">Dr. K.Subash  Mallya</t>
  </si>
  <si>
    <t xml:space="preserve">Calicut   kerala</t>
  </si>
  <si>
    <t xml:space="preserve">Consultant Gynec Endoscopic surgeon. Rightist views in leftist state. Indian first,</t>
  </si>
  <si>
    <t xml:space="preserve">Manishekhar</t>
  </si>
  <si>
    <t xml:space="preserve">Sitamarhi, Bihar, India</t>
  </si>
  <si>
    <t xml:space="preserve">SAP Technical consultant, I may not replay back during working days (Mon-Fri) working hours (8AM to 6PM). Please excuse me for that.</t>
  </si>
  <si>
    <t xml:space="preserve">TOM KIDD</t>
  </si>
  <si>
    <t xml:space="preserve">#ShinzoAbe secures strong mandate in Japan's general election https://t.co/zfpQTK3tiC</t>
  </si>
  <si>
    <t xml:space="preserve">"Sometimes it's magic. Sometimes it's tragic." - Jimmy Buffett</t>
  </si>
  <si>
    <t xml:space="preserve">Tobias Steiner🇦🇹🐸</t>
  </si>
  <si>
    <t xml:space="preserve">🇦🇹 Make Austria Great Again🇦🇹 I tweet about anything going on all over the globe mostly memes. #AntiEU #Populist #Libertarian #ForBritain #SchwarzBlau #FPÖ</t>
  </si>
  <si>
    <t xml:space="preserve">MJFinancial Planners</t>
  </si>
  <si>
    <t xml:space="preserve">Hoshiarpur</t>
  </si>
  <si>
    <t xml:space="preserve">MJ Financial Planners is one of the leading financial planning firm in Hoshiarpur, Punjab, working with a mission to provide financial planning to individuals..</t>
  </si>
  <si>
    <t xml:space="preserve">Nikolai Riazantsev</t>
  </si>
  <si>
    <t xml:space="preserve">Cambodia</t>
  </si>
  <si>
    <t xml:space="preserve">Japanese prime minister coasting to election win https://t.co/EIC1Loea7I https://t.co/1awbQrZzFO</t>
  </si>
  <si>
    <t xml:space="preserve">#India - Japan PM Shinzo Abe's ruling bloc on track for big win in election: TV exit polls… https://t.co/0bN9vgU8HS</t>
  </si>
  <si>
    <t xml:space="preserve">YUKA Murai</t>
  </si>
  <si>
    <t xml:space="preserve">Japan Election: In North Korea's Shadow Shinzo Abe Gambles for Power https://t.co/S4Op7eORmK https://t.co/DrgUxt7znN</t>
  </si>
  <si>
    <r>
      <rPr>
        <sz val="8"/>
        <rFont val="Droid Sans"/>
        <family val="0"/>
        <charset val="1"/>
      </rPr>
      <t xml:space="preserve">🗾tokyo &amp; new jersey are always in my 💟 | PDX | </t>
    </r>
    <r>
      <rPr>
        <sz val="8"/>
        <rFont val="Noto Sans CJK SC Regular"/>
        <family val="2"/>
      </rPr>
      <t xml:space="preserve">どこかで記事やら公式ブログやら書いてます✒️🗞️ </t>
    </r>
    <r>
      <rPr>
        <sz val="8"/>
        <rFont val="Droid Sans"/>
        <family val="0"/>
        <charset val="1"/>
      </rPr>
      <t xml:space="preserve">writer + ELLE Japan blogger | 🇺🇸🇯🇵 | IG &amp; snapchat &amp; Pin: yukamurai</t>
    </r>
  </si>
  <si>
    <t xml:space="preserve">Conventus Law</t>
  </si>
  <si>
    <t xml:space="preserve">Shinzo Abe's 3rd act: Stability for investors, and a salve for Japan's scandal-battered companies https://t.co/hxiL5FZt7b</t>
  </si>
  <si>
    <t xml:space="preserve">Asia Pacific</t>
  </si>
  <si>
    <t xml:space="preserve">We love being different. We want to help people stay informed, give them new ideas about the Asia legal market &amp; challenge the way people think. #asia #law</t>
  </si>
  <si>
    <t xml:space="preserve">Japan PM Shinzo Abe's ruling bloc on track for big win in election: TV exit polls… https://t.co/bobcx3blDz News IN</t>
  </si>
  <si>
    <t xml:space="preserve">Japan | Shinzo Abe heads to impressive election win https://t.co/10vHl1rtWv</t>
  </si>
  <si>
    <t xml:space="preserve">O. Bula Escobar</t>
  </si>
  <si>
    <t xml:space="preserve">Shinzo Abe just moved closer to becoming #Japan’s longest-serving leader https://t.co/V0FVSXql6q via @qz</t>
  </si>
  <si>
    <t xml:space="preserve">INTERNATIONAL GEOPOLITICS Former UN Rep (Ex-RepONU) CATHOLIC/PRO-WEST-PATRIOT - MULTILINGUAL-AUTHOR: WATCH YOUR BACKYARD &amp; EL PLAN MAESTRO (THE MASTER PLAN)</t>
  </si>
  <si>
    <t xml:space="preserve">celesteprince</t>
  </si>
  <si>
    <t xml:space="preserve">PM #Shinzo Abe wins 2/3rd's the majority #vote in #Japan's election. https://t.co/zLZl1wCm34</t>
  </si>
  <si>
    <t xml:space="preserve">Artist &amp; Entrepreneur V 3.14 Music and Technology. I believe in beauty, business, justice, and gravity.</t>
  </si>
  <si>
    <t xml:space="preserve">Anthony Fensom</t>
  </si>
  <si>
    <t xml:space="preserve">Brisbane, Queensland</t>
  </si>
  <si>
    <t xml:space="preserve">Communication consultant/writer. Former #Tokyo expat. Football fan. Posts on Australia/Japan (probably) lost in translation ;-) #PR tweets at @FensomComms</t>
  </si>
  <si>
    <t xml:space="preserve">Vijai Jayadevan</t>
  </si>
  <si>
    <t xml:space="preserve">West Lafayette, IN</t>
  </si>
  <si>
    <t xml:space="preserve">Engineer, PhD student @ Purdue University.</t>
  </si>
  <si>
    <t xml:space="preserve">筑後柳河棟梁宗吉兵衛</t>
  </si>
  <si>
    <t xml:space="preserve">Senior lady in the picture looks like Abe somewhere. RTShinzo Abe secures strong mandate in Japan's general election https://t.co/dp8hw6jhpe</t>
  </si>
  <si>
    <t xml:space="preserve">used to teach english at high schools in japan and taught japanese n japanese culture at a college in taizhou, jiangsu, china for 6 years from 2011 till 2016.</t>
  </si>
  <si>
    <t xml:space="preserve">Election Risk Pays Off for Shinzo Abe of Japan as His Party Appears to Win Big https://t.co/pnWfEb0hch</t>
  </si>
  <si>
    <t xml:space="preserve">With a landslide win, Shinzo Abe could be ready to rewrite Japan's pacifist constitution https://t.co/COZ381zEng</t>
  </si>
  <si>
    <t xml:space="preserve">#MondayMotivation</t>
  </si>
  <si>
    <t xml:space="preserve">Pretoria, RSA | WorldWide</t>
  </si>
  <si>
    <t xml:space="preserve">#MondayMotivation Inc™2017® #MotivationMonday/#MotivationZA #Motivation/#Quote/#SocialTrendsZA @MasterBathKol/@SpiritofGrace1</t>
  </si>
  <si>
    <t xml:space="preserve">Front Business News</t>
  </si>
  <si>
    <t xml:space="preserve">https://t.co/ijX7eCFSWa Japan's Abe Cements Power With Strong Election Win - Japanese Prime Minister Shinzo Abe... https://t.co/uZzrH2KzFM</t>
  </si>
  <si>
    <t xml:space="preserve">in the World</t>
  </si>
  <si>
    <t xml:space="preserve">Press-Portal for Business News Finance Markets Technology Entrepreneurs Work Lifestyle Lists Opinions http://t.co/fN7JSoHH5w</t>
  </si>
  <si>
    <t xml:space="preserve">Fuck Donald Trump</t>
  </si>
  <si>
    <t xml:space="preserve">Japanese prime minister coasting to election win - TOKYO — Japan’s ruling coalition appeared headed to an impre... https://t.co/mOcuc3qQRD</t>
  </si>
  <si>
    <t xml:space="preserve">The Resistance List below</t>
  </si>
  <si>
    <t xml:space="preserve">#TheResistance #Resist #Resistance Subscribe to The Resistance List below to get everything</t>
  </si>
  <si>
    <t xml:space="preserve">KatySmith</t>
  </si>
  <si>
    <t xml:space="preserve">irategroup.ru Shinzo Abe secures strong mandate in Japan's general election - The Guardian https://t.co/4EaHGCPVgD</t>
  </si>
  <si>
    <t xml:space="preserve">Hi guys this is my official twitter, check out my fanpage on facebook #followback #RT</t>
  </si>
  <si>
    <t xml:space="preserve">Exit Polls: Japan Abe's Coalition Set to Win Snap Vote - Exit polls indicate Japanese Prime Minister Shinzo Abe... https://t.co/1Tt0ARVEzW</t>
  </si>
  <si>
    <t xml:space="preserve">Tom Flowers 🎧</t>
  </si>
  <si>
    <t xml:space="preserve">Japanese prime minister coasting to election win https://t.co/yUc9755K2F</t>
  </si>
  <si>
    <t xml:space="preserve">Neptune Beach, Florida, USA</t>
  </si>
  <si>
    <t xml:space="preserve">US Marine veteran. BA Psychology from UNF (2000). American Numismatic Association (ANA) Member No. R-1179011. Facebook https://t.co/eStZiEdTgz</t>
  </si>
  <si>
    <t xml:space="preserve">v I n A y !!!</t>
  </si>
  <si>
    <t xml:space="preserve">Bharatheeyudu !!! ..../\.... !!!</t>
  </si>
  <si>
    <t xml:space="preserve">Ospcol</t>
  </si>
  <si>
    <t xml:space="preserve">RT @omarbula: Shinzo Abe just moved closer to becoming #Japan’s longest-serving leader https://t.co/V0FVSXql6q via @qz</t>
  </si>
  <si>
    <t xml:space="preserve">Not a Left fan. Coffee aficionado, never follow back a leftist, if did it I'll correct the mistake asap.</t>
  </si>
  <si>
    <r>
      <rPr>
        <sz val="8"/>
        <rFont val="Noto Sans CJK SC Regular"/>
        <family val="2"/>
      </rPr>
      <t xml:space="preserve">ベンソン</t>
    </r>
    <r>
      <rPr>
        <sz val="8"/>
        <rFont val="Droid Sans"/>
        <family val="0"/>
        <charset val="1"/>
      </rPr>
      <t xml:space="preserve">.</t>
    </r>
    <r>
      <rPr>
        <sz val="8"/>
        <rFont val="Noto Sans CJK SC Regular"/>
        <family val="2"/>
      </rPr>
      <t xml:space="preserve">ベニ</t>
    </r>
  </si>
  <si>
    <t xml:space="preserve">Japan to turn up heat against North Korea as Shinzo Abe wins election | World | News | https://t.co/xv1uJJE2L7 https://t.co/0Fs05pTe9g</t>
  </si>
  <si>
    <t xml:space="preserve">Kaufman, Texas</t>
  </si>
  <si>
    <r>
      <rPr>
        <sz val="8"/>
        <rFont val="Droid Sans"/>
        <family val="0"/>
        <charset val="1"/>
      </rPr>
      <t xml:space="preserve">#UrbanPlanner #EarthScientist #Zionist Exegetical #Dispensationalist Texan Organic Hydroponic &amp; Fish Farmer Biker Single </t>
    </r>
    <r>
      <rPr>
        <sz val="8"/>
        <rFont val="Noto Sans CJK SC Regular"/>
        <family val="2"/>
      </rPr>
      <t xml:space="preserve">日本の文化や言語の学生 </t>
    </r>
    <r>
      <rPr>
        <sz val="8"/>
        <rFont val="Droid Sans"/>
        <family val="0"/>
        <charset val="1"/>
      </rPr>
      <t xml:space="preserve">0331/32/69/8511</t>
    </r>
  </si>
  <si>
    <t xml:space="preserve">rudra pratap</t>
  </si>
  <si>
    <t xml:space="preserve">hyderabad, telangana, india.</t>
  </si>
  <si>
    <t xml:space="preserve">Views are personal, retweets are not necessarily endorsements</t>
  </si>
  <si>
    <t xml:space="preserve">AGLi</t>
  </si>
  <si>
    <t xml:space="preserve">Industrial Musique for Industrial People.</t>
  </si>
  <si>
    <t xml:space="preserve">SHASHANK B RAI</t>
  </si>
  <si>
    <t xml:space="preserve">https://t.co/2zE65jzqNs Shinzo Abe overhauls his victory's indication.</t>
  </si>
  <si>
    <t xml:space="preserve">Christchurch City, New Zealand</t>
  </si>
  <si>
    <t xml:space="preserve">kobuta</t>
  </si>
  <si>
    <r>
      <rPr>
        <sz val="8"/>
        <rFont val="Noto Sans CJK SC Regular"/>
        <family val="2"/>
      </rPr>
      <t xml:space="preserve">少しづつつぶやくようにしましたが</t>
    </r>
    <r>
      <rPr>
        <sz val="8"/>
        <rFont val="Droid Sans"/>
        <family val="0"/>
        <charset val="1"/>
      </rPr>
      <t xml:space="preserve">RT</t>
    </r>
    <r>
      <rPr>
        <sz val="8"/>
        <rFont val="Noto Sans CJK SC Regular"/>
        <family val="2"/>
      </rPr>
      <t xml:space="preserve">多めです。日本の穏やかなところが好きです。のんびり穏やかにいきましょ♪丁寧な言葉使いを心掛けております。お気軽にお声掛けください。</t>
    </r>
  </si>
  <si>
    <t xml:space="preserve">Pulivendula Koushik</t>
  </si>
  <si>
    <t xml:space="preserve">Karnataka</t>
  </si>
  <si>
    <t xml:space="preserve">Conservative Hindu Indian..Fan of @narendramodi, @netanyahu</t>
  </si>
  <si>
    <t xml:space="preserve">Kris Kakar</t>
  </si>
  <si>
    <t xml:space="preserve">Hindu, engineer, nature lover, spiritual, Tabla player, Ayurveda enthusiast.</t>
  </si>
  <si>
    <t xml:space="preserve">Retweet Wale Baba</t>
  </si>
  <si>
    <t xml:space="preserve">Kare ja,kare ja....retweet kare ja</t>
  </si>
  <si>
    <t xml:space="preserve">Shinzo Abe is on track to lead Japan through 2021 after a big election victory https://t.co/nTjGsM44Nt https://t.co/V6ekK4nmch</t>
  </si>
  <si>
    <t xml:space="preserve">Parisa Andrea</t>
  </si>
  <si>
    <t xml:space="preserve">RT @bpolitics: Shinzo Abe is on track to lead Japan through 2021 after a big election victory https://t.co/nTjGsM44Nt https://t.co/V6ekK4nm…</t>
  </si>
  <si>
    <t xml:space="preserve">Broadcast and multimedia journalist. Focused on global and current affairs, business, and local news. Got a story? Email below: Thiswayforward@outlook.com</t>
  </si>
  <si>
    <r>
      <rPr>
        <sz val="8"/>
        <rFont val="Droid Sans"/>
        <family val="0"/>
        <charset val="1"/>
      </rPr>
      <t xml:space="preserve">Abe secures strong mandate in #Japan's general #election https://t.co/LTLMUGmG2q Estimated #Voter turnout 53.6%,2nd lowest since WW2.#</t>
    </r>
    <r>
      <rPr>
        <sz val="8"/>
        <rFont val="Noto Sans CJK SC Regular"/>
        <family val="2"/>
      </rPr>
      <t xml:space="preserve">衆院選</t>
    </r>
  </si>
  <si>
    <t xml:space="preserve">Election Risk Pays Off for Shinzo Abe of Japan as His LDP Appears to Win Big | With two new LDP opposition parties… https://t.co/2lnoLbnb3C</t>
  </si>
  <si>
    <t xml:space="preserve">Aurva Bhārgava</t>
  </si>
  <si>
    <t xml:space="preserve">A Hindu. Likes to read stuff. Enjoys tales from itihAsas, purANas</t>
  </si>
  <si>
    <t xml:space="preserve">Himanshu Dev Sharma</t>
  </si>
  <si>
    <t xml:space="preserve">A Hindu Nationalist.Project Management for livelihood..Educationalist..Martial Arts enthusiast..1st Dan Black Belt in Karate..भारत माता की जय..गौ माता की जय !!</t>
  </si>
  <si>
    <t xml:space="preserve">Doomsday's CW</t>
  </si>
  <si>
    <t xml:space="preserve">RT @microcarpa1: Abe secures strong mandate in #Japan's general #election https://t.co/LTLMUGmG2q Estimated #Voter turnout 53.6%,2nd lowest…</t>
  </si>
  <si>
    <t xml:space="preserve">Activst, FmrJourno, Historian, Earthling #NoNukes #NoDAPL #IdleNoMore #HumanRights #GetMoneyOut #LGBTQ #Green #Independent #Sanders #Stein #Gabbard 🚫 #Oligarchy</t>
  </si>
  <si>
    <t xml:space="preserve">Abe's victory renews speculation over changes to Japan's constitution https://t.co/QFtGOClxIJ via @ABCNews</t>
  </si>
  <si>
    <t xml:space="preserve">Rhea Crosley</t>
  </si>
  <si>
    <t xml:space="preserve">FBM 601 Bible College Christian</t>
  </si>
  <si>
    <t xml:space="preserve">Japan PM Shinzo Abe's ruling bloc on track for big win in election: TV exit polls… https://t.co/u0bm1ju0SC @iblogbir</t>
  </si>
  <si>
    <t xml:space="preserve">Rico</t>
  </si>
  <si>
    <t xml:space="preserve">日本 日出ル國    トー山サエモンノ城在住</t>
  </si>
  <si>
    <r>
      <rPr>
        <sz val="8"/>
        <rFont val="Noto Sans CJK SC Regular"/>
        <family val="2"/>
      </rPr>
      <t xml:space="preserve">宜しくお願い致します。日本、ファッション、漫画、歴史、アールヌーボー、アールデコ、日本のイラストレーターさん、動物好きです</t>
    </r>
    <r>
      <rPr>
        <sz val="8"/>
        <rFont val="Droid Sans"/>
        <family val="0"/>
        <charset val="1"/>
      </rPr>
      <t xml:space="preserve">(♪</t>
    </r>
    <r>
      <rPr>
        <sz val="8"/>
        <rFont val="Noto Sans CJK SC Regular"/>
        <family val="2"/>
      </rPr>
      <t xml:space="preserve">・</t>
    </r>
    <r>
      <rPr>
        <sz val="8"/>
        <rFont val="Droid Sans"/>
        <family val="0"/>
        <charset val="1"/>
      </rPr>
      <t xml:space="preserve">0</t>
    </r>
    <r>
      <rPr>
        <sz val="8"/>
        <rFont val="Noto Sans CJK SC Regular"/>
        <family val="2"/>
      </rPr>
      <t xml:space="preserve">・♪</t>
    </r>
    <r>
      <rPr>
        <sz val="8"/>
        <rFont val="Droid Sans"/>
        <family val="0"/>
        <charset val="1"/>
      </rPr>
      <t xml:space="preserve">) </t>
    </r>
    <r>
      <rPr>
        <sz val="8"/>
        <rFont val="Noto Sans CJK SC Regular"/>
        <family val="2"/>
      </rPr>
      <t xml:space="preserve">最近、日本の事について考えてます。趣味 大雑把ベランダー 大雑把アクアリウム 歴史、時代劇好きです☀☺☀ 無礼な礼儀知らずの方はブロックします🎵</t>
    </r>
  </si>
  <si>
    <t xml:space="preserve">Jorge Alvarez</t>
  </si>
  <si>
    <t xml:space="preserve">omarbula: Shinzo Abe just moved closer to becoming #Japan’s longest-serving leader https://t.co/WKnRBuniY4 via qz</t>
  </si>
  <si>
    <t xml:space="preserve">Bogota</t>
  </si>
  <si>
    <t xml:space="preserve">La gente de las Américas tiene derecho a la democracia y sus gobiernos tienen la obligación de promoverlo y defenderlo</t>
  </si>
  <si>
    <t xml:space="preserve">SankaPadma</t>
  </si>
  <si>
    <t xml:space="preserve">Vande Mataram! Desh Bhakti is Dev Bhakti... Retweets are not endorsements.</t>
  </si>
  <si>
    <t xml:space="preserve">Anand Iyer</t>
  </si>
  <si>
    <t xml:space="preserve">Nagpur </t>
  </si>
  <si>
    <t xml:space="preserve">Trader- A.K.Enterprise- Director -Autodynamics auto India pvt ltd. Co-Director Thesis pharmaceutical Pvt Ltd.</t>
  </si>
  <si>
    <t xml:space="preserve">olrockcandymtns</t>
  </si>
  <si>
    <t xml:space="preserve">Prashant</t>
  </si>
  <si>
    <t xml:space="preserve">RT @arvindmahajan: #ShinzoAbe secures strong mandate in #Japan's general #election @AbeShinzo https://t.co/T6aIrbFC1d</t>
  </si>
  <si>
    <t xml:space="preserve">Hichmalumnist</t>
  </si>
  <si>
    <t xml:space="preserve">Retweets are not endorsements</t>
  </si>
  <si>
    <t xml:space="preserve">f*ck shinzo abe</t>
  </si>
  <si>
    <r>
      <rPr>
        <sz val="8"/>
        <rFont val="Droid Sans"/>
        <family val="0"/>
        <charset val="1"/>
      </rPr>
      <t xml:space="preserve">tweets from corean USians but DMs open; #fuckshinzoabe is a global effort! icon by kim jin ho </t>
    </r>
    <r>
      <rPr>
        <sz val="8"/>
        <rFont val="Noto Sans CJK SC Regular"/>
        <family val="2"/>
      </rPr>
      <t xml:space="preserve">김진호 ⓒ 데일리중앙</t>
    </r>
  </si>
  <si>
    <t xml:space="preserve">The Washington Times</t>
  </si>
  <si>
    <t xml:space="preserve">Japanese Prime Minister Shinzo Abe gains election mandate as President Trump prepares to visit Asia.… https://t.co/a2ZPINAsRf</t>
  </si>
  <si>
    <t xml:space="preserve">Official Twitter Account for The Washington Times</t>
  </si>
  <si>
    <t xml:space="preserve">S T A T EG E O R G E</t>
  </si>
  <si>
    <t xml:space="preserve">RT @WashTimes: Japanese Prime Minister Shinzo Abe gains election mandate as President Trump prepares to visit Asia. https://t.co/d3Cps0oz6E…</t>
  </si>
  <si>
    <t xml:space="preserve">Go for breaking news, videos, and the latest top stories in world news, business, politics, health and pop culture. https://t.co/Vd20hyINf0</t>
  </si>
  <si>
    <t xml:space="preserve">Dennis_Dammit</t>
  </si>
  <si>
    <t xml:space="preserve">It's OK if you disagree. I can't force you to be right.</t>
  </si>
  <si>
    <t xml:space="preserve">prafulla ketkar</t>
  </si>
  <si>
    <t xml:space="preserve">New Delhi, Bharat</t>
  </si>
  <si>
    <t xml:space="preserve">Editor, Organiser (Weekly) https://t.co/vMoMKM1p8k</t>
  </si>
  <si>
    <t xml:space="preserve">John Bickford</t>
  </si>
  <si>
    <t xml:space="preserve">Election Risk Pays Off for Shinzo Abe of Japan as His Party Appears to Win Big https://t.co/wOIXtoJhk2</t>
  </si>
  <si>
    <t xml:space="preserve">Pipeliner Chic</t>
  </si>
  <si>
    <t xml:space="preserve">#MAGA #DiscipleofJesus #Married #Conservative #Prolife #Traveler #AnimalLover #InteriorDesigner</t>
  </si>
  <si>
    <t xml:space="preserve">whoAMi</t>
  </si>
  <si>
    <t xml:space="preserve"> India</t>
  </si>
  <si>
    <t xml:space="preserve">Learning the ways of Twitter!! Mostly Re-tweeting (don't expect many original thoughts)</t>
  </si>
  <si>
    <t xml:space="preserve">Matt Arildsen</t>
  </si>
  <si>
    <t xml:space="preserve">MDiv Student @PTSeminary | #NeverTrump Conservative | ⅓ of @realbadpodcast</t>
  </si>
  <si>
    <t xml:space="preserve">IndiespensableThink</t>
  </si>
  <si>
    <t xml:space="preserve">Abe's victory renews speculation over changes to Japan's constitution https://t.co/XCuQhr8kF8 #abcnetau #abc #news</t>
  </si>
  <si>
    <t xml:space="preserve">Raghavan R</t>
  </si>
  <si>
    <t xml:space="preserve">India 🇮🇳</t>
  </si>
  <si>
    <t xml:space="preserve">Vinod</t>
  </si>
  <si>
    <t xml:space="preserve">Independent Thinker , Retweets are not endorsements</t>
  </si>
  <si>
    <t xml:space="preserve">Joanne Spruce</t>
  </si>
  <si>
    <t xml:space="preserve">"On course to become Japan's longest-serving prime minister, Shinzo Abe faces economic test" https://t.co/hXcdtOQYsb #Abe #Japan #election</t>
  </si>
  <si>
    <t xml:space="preserve">Vernon, British Columbia</t>
  </si>
  <si>
    <t xml:space="preserve">world traveller, philanthropist, break dancer, cookie chef ... but really, just a real estate broker/agent</t>
  </si>
  <si>
    <t xml:space="preserve">Delta75</t>
  </si>
  <si>
    <t xml:space="preserve">Hiroki Kishihara</t>
  </si>
  <si>
    <t xml:space="preserve">Nagasakien, amoureux de la langue, traducteur japonais https://t.co/K90k1R0onn</t>
  </si>
  <si>
    <t xml:space="preserve">Brigitte Quinto</t>
  </si>
  <si>
    <t xml:space="preserve">brookly,ny</t>
  </si>
  <si>
    <t xml:space="preserve">All saints have a past and all sinners have a future</t>
  </si>
  <si>
    <t xml:space="preserve">Abe's victory renews speculation over changes to Japan's constitution (Photo: Reuters) https://t.co/ICX7Qt78Eb https://t.co/wJPGo30eaa</t>
  </si>
  <si>
    <t xml:space="preserve">Meena 🤓Modifor2019❤</t>
  </si>
  <si>
    <t xml:space="preserve">RT @abcnews: Abe's victory renews speculation over changes to Japan's constitution (Photo: Reuters) https://t.co/ICX7Qt78Eb https://t.co/wJ…</t>
  </si>
  <si>
    <t xml:space="preserve">Guwahati India </t>
  </si>
  <si>
    <t xml:space="preserve">I am Indian and love India</t>
  </si>
  <si>
    <t xml:space="preserve">クロ</t>
  </si>
  <si>
    <r>
      <rPr>
        <sz val="8"/>
        <rFont val="Noto Sans CJK SC Regular"/>
        <family val="2"/>
      </rPr>
      <t xml:space="preserve">🔸少し🔑開けてみました</t>
    </r>
    <r>
      <rPr>
        <sz val="8"/>
        <rFont val="Droid Sans"/>
        <family val="0"/>
        <charset val="1"/>
      </rPr>
      <t xml:space="preserve">(///) 🔸</t>
    </r>
    <r>
      <rPr>
        <sz val="8"/>
        <rFont val="Noto Sans CJK SC Regular"/>
        <family val="2"/>
      </rPr>
      <t xml:space="preserve">無言フォロー失礼いたします。右でも左でもなく日本が好きで護りたいと思っている普通の国民です。 ゆっくりです🔸たいしたことは呟きません🔸</t>
    </r>
    <r>
      <rPr>
        <sz val="8"/>
        <rFont val="Droid Sans"/>
        <family val="0"/>
        <charset val="1"/>
      </rPr>
      <t xml:space="preserve">Love</t>
    </r>
    <r>
      <rPr>
        <sz val="8"/>
        <rFont val="Noto Sans CJK SC Regular"/>
        <family val="2"/>
      </rPr>
      <t xml:space="preserve">：⚽🐱🌸🔸気軽にフォローしてくださいね🔸🐱</t>
    </r>
    <r>
      <rPr>
        <sz val="8"/>
        <rFont val="Droid Sans"/>
        <family val="0"/>
        <charset val="1"/>
      </rPr>
      <t xml:space="preserve">+👧+👩 🔸iPhone</t>
    </r>
    <r>
      <rPr>
        <sz val="8"/>
        <rFont val="Noto Sans CJK SC Regular"/>
        <family val="2"/>
      </rPr>
      <t xml:space="preserve">から呟いてます 🔸（基本的に</t>
    </r>
    <r>
      <rPr>
        <sz val="8"/>
        <rFont val="Droid Sans"/>
        <family val="0"/>
        <charset val="1"/>
      </rPr>
      <t xml:space="preserve">DM</t>
    </r>
    <r>
      <rPr>
        <sz val="8"/>
        <rFont val="Noto Sans CJK SC Regular"/>
        <family val="2"/>
      </rPr>
      <t xml:space="preserve">は見ません）</t>
    </r>
  </si>
  <si>
    <t xml:space="preserve">キシモト☆ヤスヒロ</t>
  </si>
  <si>
    <t xml:space="preserve">神戸市西区</t>
  </si>
  <si>
    <r>
      <rPr>
        <sz val="8"/>
        <rFont val="Noto Sans CJK SC Regular"/>
        <family val="2"/>
      </rPr>
      <t xml:space="preserve">フェレットと自転車大好き。 兵庫県明石市のチーム・ポルポに所属し、 ポルポ総合研究所の中の人。 最近は、もっぱらグルメライド 家族はフェレットの唄子、林檎、桃子 競技馬のダイヤ ちょっぴり内気な、やぎ座の</t>
    </r>
    <r>
      <rPr>
        <sz val="8"/>
        <rFont val="Droid Sans"/>
        <family val="0"/>
        <charset val="1"/>
      </rPr>
      <t xml:space="preserve">O</t>
    </r>
    <r>
      <rPr>
        <sz val="8"/>
        <rFont val="Noto Sans CJK SC Regular"/>
        <family val="2"/>
      </rPr>
      <t xml:space="preserve">型。</t>
    </r>
  </si>
  <si>
    <t xml:space="preserve">Gwen Jacobs</t>
  </si>
  <si>
    <t xml:space="preserve">Abe's victory renews speculation over changes to #Japan's constitution https://t.co/UuKlMNBPil via @ABCNews</t>
  </si>
  <si>
    <t xml:space="preserve">Darwin, ex-Melbourne</t>
  </si>
  <si>
    <t xml:space="preserve">Nom de plume. Loves History, Conservative Politics, Philosophy, Info Tech, AFL, Star Wars, Marvel &amp; Game of Thrones.</t>
  </si>
  <si>
    <t xml:space="preserve">Political News</t>
  </si>
  <si>
    <t xml:space="preserve">Japanese prime minister coasting to election win https://t.co/bxWs5GNmRK https://t.co/Akdp8jxcEh</t>
  </si>
  <si>
    <t xml:space="preserve">Japanese Prime Minister Abe heads to impressive election win https://t.co/pUNxipHX89 #NLU</t>
  </si>
  <si>
    <t xml:space="preserve">Julia Anna</t>
  </si>
  <si>
    <t xml:space="preserve">Japan in snap election as Shinzo Abe tries for new mandate to deal with North Korea: https://t.co/ojIGDlGacQ via @YouTube</t>
  </si>
  <si>
    <t xml:space="preserve">ShanoVaruna</t>
  </si>
  <si>
    <t xml:space="preserve">Navy Veteran.My Timeline is my Hyde Park and my 140 ch is my freedom. Tweets have Shelf Life .I RT does not mean I agree.Videos,Pics representational</t>
  </si>
  <si>
    <t xml:space="preserve">steve mclin</t>
  </si>
  <si>
    <t xml:space="preserve">aleppo</t>
  </si>
  <si>
    <t xml:space="preserve">slighty eccentric &amp; strongly eclectic, fairly eulexic madhatting teapot. give me durian, orval &amp; skyr. rosebud. yes in round two. llap. rt ≠ endorsement</t>
  </si>
  <si>
    <t xml:space="preserve">Dhaval</t>
  </si>
  <si>
    <t xml:space="preserve">Oséas Victor</t>
  </si>
  <si>
    <t xml:space="preserve">Shinzo Abe on track for landslide victory, exit polls show - Japanese Prime Minister Shinzo Abe and his ruling ... https://t.co/5ehDECrXl4</t>
  </si>
  <si>
    <t xml:space="preserve">Tec. Wobben Windpower ENERCON</t>
  </si>
  <si>
    <t xml:space="preserve">Shivakumar Gurumurth</t>
  </si>
  <si>
    <t xml:space="preserve">andrea mayes</t>
  </si>
  <si>
    <t xml:space="preserve">ABC Journalist and digital news producer.</t>
  </si>
  <si>
    <t xml:space="preserve">ABC Perth</t>
  </si>
  <si>
    <t xml:space="preserve">Perth</t>
  </si>
  <si>
    <t xml:space="preserve">ABC Local Radio Perth &amp; ABC News I Listen online: https://t.co/ThPW2gXKY0 This is an official @abcaustralia account.</t>
  </si>
  <si>
    <t xml:space="preserve">BINOD KUMAR</t>
  </si>
  <si>
    <t xml:space="preserve">A soldier, national interest my agenda, can't tolerate corrupt,retweets r not endorsements, PM Narendra Modi follows me,Ek Bharat Shreshtha Bharat!</t>
  </si>
  <si>
    <t xml:space="preserve">Abe's victory renews speculation over changes to Japan's constitution https://t.co/oNyQelJ8Sh #news</t>
  </si>
  <si>
    <t xml:space="preserve">inamoly</t>
  </si>
  <si>
    <r>
      <rPr>
        <sz val="8"/>
        <rFont val="Noto Sans CJK SC Regular"/>
        <family val="2"/>
      </rPr>
      <t xml:space="preserve">渋谷の</t>
    </r>
    <r>
      <rPr>
        <sz val="8"/>
        <rFont val="Droid Sans"/>
        <family val="0"/>
        <charset val="1"/>
      </rPr>
      <t xml:space="preserve">IT</t>
    </r>
    <r>
      <rPr>
        <sz val="8"/>
        <rFont val="Noto Sans CJK SC Regular"/>
        <family val="2"/>
      </rPr>
      <t xml:space="preserve">企業で頑張ってます。ブログ事業や証券事業を経て、何でもやります課。最近は後進育成の仕組みとクラウド戦略も少々。クリエイティブでもっとネットを便利にしたい。 </t>
    </r>
    <r>
      <rPr>
        <sz val="8"/>
        <rFont val="Droid Sans"/>
        <family val="0"/>
        <charset val="1"/>
      </rPr>
      <t xml:space="preserve">HTML5, LeanUX, NoUI, Prototype Designer</t>
    </r>
  </si>
  <si>
    <t xml:space="preserve">Anil kumar Acharya</t>
  </si>
  <si>
    <t xml:space="preserve">Gummidipoondi(T.N.) India</t>
  </si>
  <si>
    <t xml:space="preserve">திவாப்ரதீப சீனுவாஸராகவன், Bharatiya, A Hindu,Tamil Iyangar Brahmin, Ex Banker.Tweets are personal.RTs are not always endorsements.Logical criticism welcome.</t>
  </si>
  <si>
    <t xml:space="preserve">Dougy's Daily Digest</t>
  </si>
  <si>
    <t xml:space="preserve">Abe's victory renews speculation over changes to Japan's constitution https://t.co/878az2X4CI via @skinnergj</t>
  </si>
  <si>
    <t xml:space="preserve">Daily News Digest from sources worldwide, posting up to 400 plus tweets daily. With over 1,000 direct subscribers and 80,000 plus across 165 lists.</t>
  </si>
  <si>
    <t xml:space="preserve">Abe's victory renews speculation over changes to Japan's constitution https://t.co/ODaDb9UK8g</t>
  </si>
  <si>
    <t xml:space="preserve">Observer</t>
  </si>
  <si>
    <t xml:space="preserve">HINDU Interested in News, social issues and Politics. Don't follow me blindly. (RT's are not endorsements)</t>
  </si>
  <si>
    <t xml:space="preserve">Puneet Goel</t>
  </si>
  <si>
    <t xml:space="preserve">हिन्दु राष्ट्र भारत</t>
  </si>
  <si>
    <t xml:space="preserve">माता रामो मत्पिता रामचन्द्रः स्वामी रामो मत्सखा रामचन्द्रः। सर्वस्वं मे रामचन्द्रो दयालुर्नान्यं जाने नैव जाने न जाने ॥</t>
  </si>
  <si>
    <t xml:space="preserve">Bill Periman</t>
  </si>
  <si>
    <t xml:space="preserve">Deplorable Texas Biker 4 Trump Μολὼν λάβε Followed by @AlfonZoRachel @JoeDanMedia @DineshDSouza @WashingtonTimes &amp; Patriots like you. on GAB @OldAsDirt</t>
  </si>
  <si>
    <t xml:space="preserve">Thanniru Ravi Babu</t>
  </si>
  <si>
    <t xml:space="preserve">Khammam</t>
  </si>
  <si>
    <t xml:space="preserve">Politics &amp; Government News and sports</t>
  </si>
  <si>
    <t xml:space="preserve">Abe's victory renews speculation over changes to Japan's constitution https://t.co/3AhzvdusOw</t>
  </si>
  <si>
    <t xml:space="preserve">Dr.Ravichandra</t>
  </si>
  <si>
    <t xml:space="preserve">Practicing Vipassi and a nationalist! RT=No endorcement</t>
  </si>
  <si>
    <t xml:space="preserve">Shailesh</t>
  </si>
  <si>
    <t xml:space="preserve">Japan PM Shinzo Abe's ruling bloc on track for big win in election: TV exit polls https://t.co/fmskKj5dpU</t>
  </si>
  <si>
    <t xml:space="preserve">Hello every one, I am sexy man, I love music , I like Travel , I like watches, I like perfume , I love drinks . I LIKE PARTY, I LOVE PETS, I LOVE ,,,,,,,,</t>
  </si>
  <si>
    <t xml:space="preserve">#Election2015 Shinzo Abe secures strong mandate in Japan's general election https://t.co/n6U2gMAHAr</t>
  </si>
  <si>
    <t xml:space="preserve">With a landslide win, Shinzo Abe could be ready to rewrite Japan's… https://t.co/e0Et2LxSPR Via @LATimes✔️CC #LosAngeles #California #USA</t>
  </si>
  <si>
    <t xml:space="preserve">きゃんでぃー</t>
  </si>
  <si>
    <t xml:space="preserve">Columbia, SC USA</t>
  </si>
  <si>
    <r>
      <rPr>
        <sz val="8"/>
        <rFont val="Droid Sans"/>
        <family val="0"/>
        <charset val="1"/>
      </rPr>
      <t xml:space="preserve">Columbia, SC USA </t>
    </r>
    <r>
      <rPr>
        <sz val="8"/>
        <rFont val="Noto Sans CJK SC Regular"/>
        <family val="2"/>
      </rPr>
      <t xml:space="preserve">サウスカロライナ州コロンビアにいます。</t>
    </r>
  </si>
  <si>
    <t xml:space="preserve">Raguraman B</t>
  </si>
  <si>
    <t xml:space="preserve">https://t.co/N0pjVjAyi6 Multiple Sclerosis - dx 2004 #Glataxone (Copaxone)</t>
  </si>
  <si>
    <t xml:space="preserve">Jenkers News (ENG)</t>
  </si>
  <si>
    <t xml:space="preserve">Shinzo #Abe's election victory #renews speculation over changes to #Japan's constitution https://t.co/H36WDrypCN https://t.co/H4BHBoglny</t>
  </si>
  <si>
    <t xml:space="preserve">Jenkers Eng Posting</t>
  </si>
  <si>
    <t xml:space="preserve">Jenkers connecting news https://t.co/WOCpcAe8IM https://t.co/0ZBItSzRAg</t>
  </si>
  <si>
    <t xml:space="preserve">kartic_billore</t>
  </si>
  <si>
    <t xml:space="preserve">bangalore</t>
  </si>
  <si>
    <t xml:space="preserve">Reading people tweets n some time Question their tweets with Logics. RT is not endorsement</t>
  </si>
  <si>
    <t xml:space="preserve">Nipon Saikia</t>
  </si>
  <si>
    <t xml:space="preserve">Assam, India</t>
  </si>
  <si>
    <t xml:space="preserve">Staunch nationalist, unapologetic hindu, sapiosexual</t>
  </si>
  <si>
    <t xml:space="preserve">KnowYourLeaker</t>
  </si>
  <si>
    <t xml:space="preserve">Japan's Pm Shinzo Abe Poised To Win Snap Election (RT↺ Fav❤️) https://t.co/W2EvkDVky9 #aljazeera #tokyo #secondworldwar #ja</t>
  </si>
  <si>
    <t xml:space="preserve">Daily news video:</t>
  </si>
  <si>
    <t xml:space="preserve">Rajdeep Sharma</t>
  </si>
  <si>
    <t xml:space="preserve">Guwahati</t>
  </si>
  <si>
    <t xml:space="preserve">Concerned citizen, thinker, writer, commentator...</t>
  </si>
  <si>
    <t xml:space="preserve">crea</t>
  </si>
  <si>
    <t xml:space="preserve">Late great state of California</t>
  </si>
  <si>
    <t xml:space="preserve">We won Trump is the 45th president We are taking our country back! I believe in God country and family. My God was,a Jewish Carpenter..No lists I will block!!</t>
  </si>
  <si>
    <t xml:space="preserve">Sun Sentinel</t>
  </si>
  <si>
    <t xml:space="preserve">Abe heads to impressive election win, may push to revise Japan's pacifist constitution - Sun Sentinel https://t.co/kgoAx2SU6Q</t>
  </si>
  <si>
    <t xml:space="preserve">South Florida</t>
  </si>
  <si>
    <t xml:space="preserve">The official South Florida Sun Sentinel newspaper account covering Fort Lauderdale, Miami, Palm Beach, Broward, and Dade counties.</t>
  </si>
  <si>
    <t xml:space="preserve">Jennifer Dwyer Lewis</t>
  </si>
  <si>
    <t xml:space="preserve">RT @SunSentinel: Abe heads to impressive election win, may push to revise Japan's pacifist constitution - Sun Sentinel https://t.co/kgoAx2S…</t>
  </si>
  <si>
    <t xml:space="preserve">Vero Beach, FL</t>
  </si>
  <si>
    <t xml:space="preserve">Formerly of Fort Lauderdale, Jennifer Lewis now resides in Vero Beach, Florida.</t>
  </si>
  <si>
    <t xml:space="preserve">Scott Caterer</t>
  </si>
  <si>
    <t xml:space="preserve">Our Newest Story (Japan election: Shinzo Abe's economy faces huge challenges) is being shared on Online News ... -… https://t.co/Mz5uU238jy</t>
  </si>
  <si>
    <t xml:space="preserve">Online News Gazette</t>
  </si>
  <si>
    <t xml:space="preserve">North Las Vegas Nevada</t>
  </si>
  <si>
    <t xml:space="preserve">Believing the news is somewhere between the black and white. Follow On Gazette and Get Whats Important</t>
  </si>
  <si>
    <t xml:space="preserve">Manoj Kr Chaturvedy</t>
  </si>
  <si>
    <t xml:space="preserve">Daltonganj</t>
  </si>
  <si>
    <t xml:space="preserve">MediaFlood</t>
  </si>
  <si>
    <t xml:space="preserve">Shinzo Abe on track for landslide victory, exit polls show - https://t.co/JSsFwL7mCD</t>
  </si>
  <si>
    <t xml:space="preserve">World News as it Happens</t>
  </si>
  <si>
    <t xml:space="preserve">LiveNews</t>
  </si>
  <si>
    <t xml:space="preserve">Shinzo Abe on way to bi https://t.co/RWi2AGF4mH via @W3LiveNews #Japan #ShinzōAbe #LiberalDemocraticParty #Japanesegeneralelection2017</t>
  </si>
  <si>
    <t xml:space="preserve">W3LiveNews</t>
  </si>
  <si>
    <t xml:space="preserve">Melbourne, Victoria</t>
  </si>
  <si>
    <t xml:space="preserve">World's most popular #trends site. Bringing you the latest #trends including #news, videos and searches from all around the #world.Visit:https://t.co/6IIU8YXMth</t>
  </si>
  <si>
    <t xml:space="preserve">SANTOSH MANDLIK</t>
  </si>
  <si>
    <t xml:space="preserve">Dist.- TAPI; GUJARAT</t>
  </si>
  <si>
    <t xml:space="preserve">ART OF LIVING FACULTY FOR PART-1 BASIC COURSE, SRI SRI YOGA, YLTP, PRISON SMART PROGRAMME</t>
  </si>
  <si>
    <t xml:space="preserve">I'm On Fire</t>
  </si>
  <si>
    <t xml:space="preserve">Abe heads to impressive election win, may push to revise Japan's pacifist constitution https://t.co/piTg3pxqo7</t>
  </si>
  <si>
    <t xml:space="preserve">Amalia Nicolau</t>
  </si>
  <si>
    <t xml:space="preserve">Japan's Abe on track for landslide victory - Japanese Prime Minister Shinzo Abe appears on course to win a deci... https://t.co/jN9HVyf1C7</t>
  </si>
  <si>
    <t xml:space="preserve">Panama city</t>
  </si>
  <si>
    <t xml:space="preserve">Periodista, cronista social, observadora, feminista, fotógrafa, lectora, cinéfila, buena bailadora, mala cocinera...</t>
  </si>
  <si>
    <t xml:space="preserve">Japan PM Shinzo Abe's ruling bloc on track for big win in election: TV exit polls… https://t.co/6sgOU9ysZY</t>
  </si>
  <si>
    <t xml:space="preserve">William E. Lewis, Jr</t>
  </si>
  <si>
    <t xml:space="preserve">Fort Lauderdale, Florida</t>
  </si>
  <si>
    <t xml:space="preserve">Former AM talk show host @AM740WSBR @AM1470WWNN, columnist @KSLcom @SFLReporter @TheBlaze @SWFlReporter. RT ≠ endorsement</t>
  </si>
  <si>
    <t xml:space="preserve">K-R-J</t>
  </si>
  <si>
    <t xml:space="preserve">Crime News Latest</t>
  </si>
  <si>
    <t xml:space="preserve">Japan PM Shinzo Abe's ruling bloc on track for big win in election: TV exit polls - Economic Times https://t.co/cV5aYLQO1T</t>
  </si>
  <si>
    <t xml:space="preserve">See Latest News and Crime News https://t.co/fKdlYFpBfz</t>
  </si>
  <si>
    <t xml:space="preserve">Downtown LA Daily</t>
  </si>
  <si>
    <t xml:space="preserve">With a landslide win, Shinzo Abe could be ready to rewrite Japan's pacifist constitution https://t.co/osoIqggESq</t>
  </si>
  <si>
    <t xml:space="preserve">Downtown Los Angeles, CA</t>
  </si>
  <si>
    <t xml:space="preserve">Curating the best media feeds in Downtown LA. Part of the 400-city The Breaking News Network, the largest community news network supporting the social good</t>
  </si>
  <si>
    <t xml:space="preserve">Ravi Chilakala</t>
  </si>
  <si>
    <t xml:space="preserve">Bhakth Of MODI &amp; SWAMY</t>
  </si>
  <si>
    <t xml:space="preserve">ಹೊಸ ಭಾರತ 🇮🇳</t>
  </si>
  <si>
    <t xml:space="preserve">Olivier Bruyère</t>
  </si>
  <si>
    <t xml:space="preserve">Shinzo Abe on track for landslide victory, exit polls show - Japanese Prime Minister Shinzo Abe and his ruling ... https://t.co/qcTYIiTyrQ</t>
  </si>
  <si>
    <t xml:space="preserve">Management - Montreal - Business Intelligence - Social Media - HR #Webmarketing #BI #News #Africa #Travels #Triathlete #Ironman #photography #seo #jesuisloup</t>
  </si>
  <si>
    <t xml:space="preserve">SaveHindus</t>
  </si>
  <si>
    <t xml:space="preserve">Bharatavarsha</t>
  </si>
  <si>
    <t xml:space="preserve">Right-wing Hindu. Keen on Politics, Economy, Tech Ventures, Business &amp; International Affairs. Love India, Israel, Japan https://t.co/kSVf7Blaf1</t>
  </si>
  <si>
    <t xml:space="preserve">GeneralnewsUK</t>
  </si>
  <si>
    <t xml:space="preserve">Shinzo Abe secures strong mandate in Japan's general election #GeneralNews https://t.co/No87IASGza</t>
  </si>
  <si>
    <t xml:space="preserve">Find your latest General News with just one click. Don’t miss out on anything happening in your profession .check http://t.co/849krYRd2Y</t>
  </si>
  <si>
    <t xml:space="preserve">鳴海悟</t>
  </si>
  <si>
    <r>
      <rPr>
        <sz val="8"/>
        <rFont val="Noto Sans CJK SC Regular"/>
        <family val="2"/>
      </rPr>
      <t xml:space="preserve">ガンダム、艦これ、カメラその他諸々にはまっております。 友人知人が</t>
    </r>
    <r>
      <rPr>
        <sz val="8"/>
        <rFont val="Droid Sans"/>
        <family val="0"/>
        <charset val="1"/>
      </rPr>
      <t xml:space="preserve">Twitter</t>
    </r>
    <r>
      <rPr>
        <sz val="8"/>
        <rFont val="Noto Sans CJK SC Regular"/>
        <family val="2"/>
      </rPr>
      <t xml:space="preserve">を始めていると知り、試しにはじめてみました。 こちらでは過去に撮った写真を中心に貼ってみようかと思ってます。</t>
    </r>
  </si>
  <si>
    <t xml:space="preserve">Michelle Catlin</t>
  </si>
  <si>
    <t xml:space="preserve">Shinzo Abe &lt;3 https://t.co/WmM2zsk7t3</t>
  </si>
  <si>
    <t xml:space="preserve">Dutch trans girl. Interested in politics, culture, biology and animation.</t>
  </si>
  <si>
    <t xml:space="preserve">Tej Pratap Pandit</t>
  </si>
  <si>
    <t xml:space="preserve">Chemical Tech |Truth Hunger bcos it prevails at last |Hindus gave BASIC MATHS,YOGA,AYURVEDA 2human kind|Support @swamy39 @narendramodi|See LIKES 4 my tweets</t>
  </si>
  <si>
    <t xml:space="preserve">Santosh Indu Panda</t>
  </si>
  <si>
    <t xml:space="preserve">IT Professional | India First</t>
  </si>
  <si>
    <t xml:space="preserve">Dianne</t>
  </si>
  <si>
    <t xml:space="preserve">I want "America Great Again"</t>
  </si>
  <si>
    <t xml:space="preserve">Deplorable "Grandmother"</t>
  </si>
  <si>
    <t xml:space="preserve">Selvam</t>
  </si>
  <si>
    <t xml:space="preserve">There is no religion greater than truth and a truthful person knows no fear - The Rig Veda</t>
  </si>
  <si>
    <t xml:space="preserve">Liberty</t>
  </si>
  <si>
    <r>
      <rPr>
        <sz val="8"/>
        <rFont val="Noto Sans CJK SC Regular"/>
        <family val="2"/>
      </rPr>
      <t xml:space="preserve">子どもは興味を持ったとき学ぶ </t>
    </r>
    <r>
      <rPr>
        <sz val="8"/>
        <rFont val="Droid Sans"/>
        <family val="0"/>
        <charset val="1"/>
      </rPr>
      <t xml:space="preserve">http://t.co/sdI7rMD64q </t>
    </r>
    <r>
      <rPr>
        <sz val="8"/>
        <rFont val="Noto Sans CJK SC Regular"/>
        <family val="2"/>
      </rPr>
      <t xml:space="preserve">ホームエデュケーションのこどもとのバカンス </t>
    </r>
    <r>
      <rPr>
        <sz val="8"/>
        <rFont val="Droid Sans"/>
        <family val="0"/>
        <charset val="1"/>
      </rPr>
      <t xml:space="preserve">http://t.co/dHHtlFPtAq </t>
    </r>
    <r>
      <rPr>
        <sz val="8"/>
        <rFont val="Noto Sans CJK SC Regular"/>
        <family val="2"/>
      </rPr>
      <t xml:space="preserve">ホームエデュケーション どんな日常？</t>
    </r>
    <r>
      <rPr>
        <sz val="8"/>
        <rFont val="Droid Sans"/>
        <family val="0"/>
        <charset val="1"/>
      </rPr>
      <t xml:space="preserve">https://t.co/BCkRzpBHYY </t>
    </r>
  </si>
  <si>
    <t xml:space="preserve">SYDNEY (Reuters) - Japanese shares jumped on a weaker yen on Monday as an election win for Shinzo Abe's ruling blo… https://t.co/qu8ALLUAct</t>
  </si>
  <si>
    <t xml:space="preserve">Arun</t>
  </si>
  <si>
    <t xml:space="preserve">Fanatic of rajinikanth :) like Modi's leadership:) traditionalist:) rahman:) dhoni:) agassi:)schumacher:)raina:)csk:)messi:)shankar:)rajamouli:)jai hind:)</t>
  </si>
  <si>
    <t xml:space="preserve">KenBolin</t>
  </si>
  <si>
    <t xml:space="preserve">Alexandria MN</t>
  </si>
  <si>
    <t xml:space="preserve">Retire Bishop Church Of God School West Coast Bible College Father &amp; Mother spent 50 years in the ministry pastoring. Thanking God for our home &amp; our parents.h</t>
  </si>
  <si>
    <t xml:space="preserve">Chief of the Spooks</t>
  </si>
  <si>
    <t xml:space="preserve">RT @CatTheUndying: Shinzo Abe &lt;3 https://t.co/WmM2zsk7t3</t>
  </si>
  <si>
    <t xml:space="preserve">I am the king of Gaul kneel before me you filthy Romans and watch while I burn your city oh I am also a #StaffReporter</t>
  </si>
  <si>
    <t xml:space="preserve">Bloomberg Graphics</t>
  </si>
  <si>
    <t xml:space="preserve">Shinzo Abe’s ruling coalition retains two-thirds majority in parliament after big #japanelection win… https://t.co/vd5Z88qstI</t>
  </si>
  <si>
    <t xml:space="preserve">Graphs, maps and data journalism from the Bloomberg Graphics team.</t>
  </si>
  <si>
    <t xml:space="preserve">william frey</t>
  </si>
  <si>
    <t xml:space="preserve">RT @swissifg: More than 100 million Japanese voters are poised to give Shinzo Abe a fresh mandate https://t.co/XP22CqYXOz https://t.co/LUp2…</t>
  </si>
  <si>
    <t xml:space="preserve">orlando florida</t>
  </si>
  <si>
    <t xml:space="preserve">Intl Hotel/ Restaurant /Cruise Ship Consultant/Worked 5 Continents and Caribbean speaks writes 6 languages I would never risk my life again see photo</t>
  </si>
  <si>
    <t xml:space="preserve">Dr Ausberto Torres</t>
  </si>
  <si>
    <t xml:space="preserve">RT @BBGVisualData: Shinzo Abe’s ruling coalition retains two-thirds majority in parliament after big #japanelection win https://t.co/yREOhO…</t>
  </si>
  <si>
    <t xml:space="preserve">Deutschland und New York</t>
  </si>
  <si>
    <t xml:space="preserve">NYC/Southampton, NY Native, Attorney, ex Bear Stearns &amp; UBS Fixed Income Specialist, University Professor, US Patriot</t>
  </si>
  <si>
    <r>
      <rPr>
        <sz val="8"/>
        <rFont val="Noto Sans CJK SC Regular"/>
        <family val="2"/>
      </rPr>
      <t xml:space="preserve">うさぎ 🐇 </t>
    </r>
    <r>
      <rPr>
        <sz val="8"/>
        <rFont val="Droid Sans"/>
        <family val="0"/>
        <charset val="1"/>
      </rPr>
      <t xml:space="preserve">Rabbit</t>
    </r>
  </si>
  <si>
    <r>
      <rPr>
        <sz val="8"/>
        <rFont val="Droid Sans"/>
        <family val="0"/>
        <charset val="1"/>
      </rPr>
      <t xml:space="preserve">Anti-Austerity. </t>
    </r>
    <r>
      <rPr>
        <sz val="8"/>
        <rFont val="Noto Sans CJK SC Regular"/>
        <family val="2"/>
      </rPr>
      <t xml:space="preserve">反緊縮うさぎ💰ポリティカルコンパスでは左派リベラルに位置💡 生きてるうちに好景気を経験したいんじゃ〜</t>
    </r>
  </si>
  <si>
    <t xml:space="preserve">Ken Aragaki</t>
  </si>
  <si>
    <t xml:space="preserve">Election Risk Pays Off for Shinzo Abe of Japan as His Party Appears to Win Big https://t.co/uaWAtL1SLj via @nytimes</t>
  </si>
  <si>
    <t xml:space="preserve">New York/Tokyo</t>
  </si>
  <si>
    <r>
      <rPr>
        <sz val="8"/>
        <rFont val="Droid Sans"/>
        <family val="0"/>
        <charset val="1"/>
      </rPr>
      <t xml:space="preserve">Freelance multimedia journalist working in New York City &amp; Tokyo. Previously @cunyjschool, @AP, @tbs_newsi, @ICFJ Email: ken.aragaki@journalism.cuny.edu </t>
    </r>
    <r>
      <rPr>
        <sz val="8"/>
        <rFont val="Noto Sans CJK SC Regular"/>
        <family val="2"/>
      </rPr>
      <t xml:space="preserve">日本語でも</t>
    </r>
  </si>
  <si>
    <t xml:space="preserve">मेरा भारत 2016</t>
  </si>
  <si>
    <t xml:space="preserve">everywhere with my  family</t>
  </si>
  <si>
    <t xml:space="preserve">भारत माता की जय,. RTs are not endorsement.</t>
  </si>
  <si>
    <t xml:space="preserve">Edinson Fonseca</t>
  </si>
  <si>
    <t xml:space="preserve">Bogotá, Col.</t>
  </si>
  <si>
    <t xml:space="preserve">Business, Economics, Politics, Eco &amp; Tech. | Business Manager @UNColombia | Here only my opinions. #Freedom ✊ #TheShowMustGoOn</t>
  </si>
  <si>
    <t xml:space="preserve">BorneoPost Online</t>
  </si>
  <si>
    <t xml:space="preserve">Japanese Prime Minister Shinzo Abe swept to a resounding victory in a snap election Sunday and immediately vowed... https://t.co/VVWYCS6qQ3</t>
  </si>
  <si>
    <t xml:space="preserve">Malaysia, Sarawak, Kuching</t>
  </si>
  <si>
    <t xml:space="preserve">The Borneo Post is the largest and most read English daily in Borneo. Established 35 years ago on April 24, 1978.</t>
  </si>
  <si>
    <t xml:space="preserve">#USA #LAT #NEWS broadast by #EMET_NEWS_PRESS: With a landslide win, Shinzo Abe could be ready to rewrite Japan... https://t.co/8LKx77XBB6</t>
  </si>
  <si>
    <t xml:space="preserve">Denisse Quinto</t>
  </si>
  <si>
    <t xml:space="preserve">GOOD PUPPER</t>
  </si>
  <si>
    <t xml:space="preserve">Sports World Wide</t>
  </si>
  <si>
    <t xml:space="preserve">Shinzo Abe's election victory renews speculation over changes to Japan's constitution https://t.co/YECXgMHWHA</t>
  </si>
  <si>
    <t xml:space="preserve">Blue Marbel</t>
  </si>
  <si>
    <t xml:space="preserve">#WorldSports #F1 #Formula1 #OlympicGames #TracknField #racing #Marathon #Swimming</t>
  </si>
  <si>
    <t xml:space="preserve">#India - Japan PM Shinzo Abe's ruling bloc on track for big win in election: TV exit polls… https://t.co/mhpdj4g4q6</t>
  </si>
  <si>
    <t xml:space="preserve">Japan PM Shinzo Abe's ruling bloc on track for big win in election: TV exit polls… https://t.co/qna0xrtunS News IN</t>
  </si>
  <si>
    <t xml:space="preserve">The numbers behind Shinzo Abe's landslide win in Japan's snap election https://t.co/IbaoVoUC5V https://t.co/qWrmy7tY6S</t>
  </si>
  <si>
    <t xml:space="preserve">௵௹௺௶௷௸௳௴௰௱௲ஶூ௨௩௪௬௮௯ஜ</t>
  </si>
  <si>
    <t xml:space="preserve">omnipresent</t>
  </si>
  <si>
    <t xml:space="preserve">ௐ Handle mainly for political podimass, karma. Main handle @vaidhiy4v ௐ</t>
  </si>
  <si>
    <t xml:space="preserve">The numbers behind Shinzo Abe's landslide win in Japan's snap election https://t.co/OqdKk8o7iH https://t.co/Ni3GWjfGuD #BSAFunds #Merchan…</t>
  </si>
  <si>
    <t xml:space="preserve">Vettri</t>
  </si>
  <si>
    <t xml:space="preserve">Ingvar</t>
  </si>
  <si>
    <t xml:space="preserve">G</t>
  </si>
  <si>
    <t xml:space="preserve">RT @business: The numbers behind Shinzo Abe's landslide win in Japan's snap election https://t.co/IbaoVoUC5V https://t.co/qWrmy7tY6S</t>
  </si>
  <si>
    <t xml:space="preserve">Jamaica</t>
  </si>
  <si>
    <t xml:space="preserve">Jamaican Tech Entrepreneur, BPO, POS https://t.co/gbg3gQGxdr, Email Hosting for $150/year, System Design &amp; Setup, Digital Signage, Lifetime MS Office, #Forex</t>
  </si>
  <si>
    <t xml:space="preserve">Komrade J</t>
  </si>
  <si>
    <t xml:space="preserve">Dr. R.Prasanna kumar</t>
  </si>
  <si>
    <t xml:space="preserve">kumarprasanna.r@gmail.com</t>
  </si>
  <si>
    <t xml:space="preserve">Luke Ashton</t>
  </si>
  <si>
    <t xml:space="preserve">Earth | Oceania | Australia</t>
  </si>
  <si>
    <t xml:space="preserve">Australian born/ideology© | a local of this planet™ | the speed of time is: one sec/sec :) | traveller | naturalist ♻️</t>
  </si>
  <si>
    <t xml:space="preserve">The numbers behind Shinzo Abe's landslide win in Japan's snap election https://t.co/xN1An9d6jo https://t.co/2lPN0zqd30</t>
  </si>
  <si>
    <t xml:space="preserve">Jvivid</t>
  </si>
  <si>
    <t xml:space="preserve">Former Investment Banker</t>
  </si>
  <si>
    <t xml:space="preserve">Rakshith Reddy</t>
  </si>
  <si>
    <t xml:space="preserve">An entrepreneur who loves Science, Politics, Sports,Trekking,Stock trader and above all a proud Hindu.</t>
  </si>
  <si>
    <t xml:space="preserve">business: The numbers behind Shinzo Abe's landslide win in Japan's snap election https://t.co/fo0UGMMH8K https://t.co/QnCBA3PjzO</t>
  </si>
  <si>
    <t xml:space="preserve">The numbers behind Shinzo Abe's landslide win in Japan's snap election https://t.co/PvEv1YCJQE https://t.co/mS8Djw3NGI</t>
  </si>
  <si>
    <t xml:space="preserve">The numbers behind Shinzo Abe's landslide win in Japan's snap election https://t.co/xGrSby7gRJ https://t.co/sLuBIgkVTy</t>
  </si>
  <si>
    <t xml:space="preserve">Visión Mundial</t>
  </si>
  <si>
    <t xml:space="preserve">Main news around the world ( English - Spanish ). Historia y datos de fútbol el deporte Rey.</t>
  </si>
  <si>
    <t xml:space="preserve">Hardik</t>
  </si>
  <si>
    <t xml:space="preserve">Indian Cric-eater! (Parody Account)</t>
  </si>
  <si>
    <t xml:space="preserve">HERNAN PAREDES</t>
  </si>
  <si>
    <t xml:space="preserve">Dominican Republic</t>
  </si>
  <si>
    <t xml:space="preserve">Ingeniero Civil, Master in Business Administration (MBA) y aspirante a emprendedor. Egresado de @intecrd @BarnaBusinessS</t>
  </si>
  <si>
    <t xml:space="preserve">BBC Business</t>
  </si>
  <si>
    <t xml:space="preserve">Shinzo Abe Japan election win. Prof. Richard Werner, former adviser to Bank of Japan on the economic challenge:… https://t.co/MMn2IVLmYL</t>
  </si>
  <si>
    <t xml:space="preserve">Business news from the BBC. This is our official account aimed at a UK audience. For more global BBC business news please follow @BBCWorldBiz.</t>
  </si>
  <si>
    <t xml:space="preserve">vikassagar</t>
  </si>
  <si>
    <t xml:space="preserve">bihar Jharkhand</t>
  </si>
  <si>
    <t xml:space="preserve">Business</t>
  </si>
  <si>
    <t xml:space="preserve">Surfnm</t>
  </si>
  <si>
    <t xml:space="preserve">Vagabond engineer and student of the market</t>
  </si>
  <si>
    <t xml:space="preserve">bızɐɥ pɐɯɯɐɥnɯ</t>
  </si>
  <si>
    <t xml:space="preserve">Selangor - Melaka</t>
  </si>
  <si>
    <t xml:space="preserve">MMU Melaka.</t>
  </si>
  <si>
    <t xml:space="preserve">business: The numbers behind Shinzo Abe's landslide win in Japan's snap election https://t.co/r4ufvYbfhs … https://t.co/5lzxVU6ez2</t>
  </si>
  <si>
    <t xml:space="preserve">Christopher Bach</t>
  </si>
  <si>
    <t xml:space="preserve">Winchester, VA</t>
  </si>
  <si>
    <t xml:space="preserve">U.S. Army Veteran, Security and Resilience Student, Chess Player, and Philosopher.</t>
  </si>
  <si>
    <t xml:space="preserve">rohit sharma</t>
  </si>
  <si>
    <t xml:space="preserve">One Name One Goal... India Rising and name shining</t>
  </si>
  <si>
    <t xml:space="preserve">Mario A. Cuevas</t>
  </si>
  <si>
    <t xml:space="preserve">Views are exclusively my own and RT does not necessarily mean endorsement.</t>
  </si>
  <si>
    <t xml:space="preserve">Ottawa Family Tree</t>
  </si>
  <si>
    <t xml:space="preserve">Ottawa, Canada</t>
  </si>
  <si>
    <t xml:space="preserve">#genealogy #familyhistory McEwan, Wilson, Cadieux, Frood, O'Connor, Doyle, Dolan, Killeen, from Scotland, Ireland &amp; France</t>
  </si>
  <si>
    <t xml:space="preserve">Renaissance</t>
  </si>
  <si>
    <t xml:space="preserve">U.K.</t>
  </si>
  <si>
    <t xml:space="preserve">The withered minds are excluded</t>
  </si>
  <si>
    <t xml:space="preserve">jaimeotero_: The numbers behind Shinzo Abe's landslide win in Japan's snap election https://t.co/XEoHOryWSw https://t.co/FeSEUMFJyS RT</t>
  </si>
  <si>
    <r>
      <rPr>
        <sz val="8"/>
        <rFont val="Noto Sans CJK SC Regular"/>
        <family val="2"/>
      </rPr>
      <t xml:space="preserve">時雨</t>
    </r>
    <r>
      <rPr>
        <sz val="8"/>
        <rFont val="Droid Sans"/>
        <family val="0"/>
        <charset val="1"/>
      </rPr>
      <t xml:space="preserve">@</t>
    </r>
    <r>
      <rPr>
        <sz val="8"/>
        <rFont val="Noto Sans CJK SC Regular"/>
        <family val="2"/>
      </rPr>
      <t xml:space="preserve">名簿</t>
    </r>
    <r>
      <rPr>
        <sz val="8"/>
        <rFont val="Droid Sans"/>
        <family val="0"/>
        <charset val="1"/>
      </rPr>
      <t xml:space="preserve">/</t>
    </r>
    <r>
      <rPr>
        <sz val="8"/>
        <rFont val="Noto Sans CJK SC Regular"/>
        <family val="2"/>
      </rPr>
      <t xml:space="preserve">施設利用表</t>
    </r>
  </si>
  <si>
    <t xml:space="preserve">RT @BBCBusiness: Shinzo Abe Japan election win. Prof. Richard Werner, former adviser to Bank of Japan on the economic challenge: https://t.…</t>
  </si>
  <si>
    <t xml:space="preserve">a smart aleck</t>
  </si>
  <si>
    <r>
      <rPr>
        <sz val="8"/>
        <rFont val="Droid Sans"/>
        <family val="0"/>
        <charset val="1"/>
      </rPr>
      <t xml:space="preserve">ks5 </t>
    </r>
    <r>
      <rPr>
        <sz val="8"/>
        <rFont val="Noto Sans CJK SC Regular"/>
        <family val="2"/>
      </rPr>
      <t xml:space="preserve">英検</t>
    </r>
    <r>
      <rPr>
        <sz val="8"/>
        <rFont val="Droid Sans"/>
        <family val="0"/>
        <charset val="1"/>
      </rPr>
      <t xml:space="preserve">2</t>
    </r>
    <r>
      <rPr>
        <sz val="8"/>
        <rFont val="Noto Sans CJK SC Regular"/>
        <family val="2"/>
      </rPr>
      <t xml:space="preserve">次試験怖いナリ </t>
    </r>
    <r>
      <rPr>
        <sz val="8"/>
        <rFont val="Droid Sans"/>
        <family val="0"/>
        <charset val="1"/>
      </rPr>
      <t xml:space="preserve">F</t>
    </r>
    <r>
      <rPr>
        <sz val="8"/>
        <rFont val="Noto Sans CJK SC Regular"/>
        <family val="2"/>
      </rPr>
      <t xml:space="preserve">ラン大学志望です 女は誰でもマンコ捧げてください 人格はいらないです 神のような美少女を除く 性格美少女 ママ〜〜</t>
    </r>
  </si>
  <si>
    <t xml:space="preserve">Marita La Palm</t>
  </si>
  <si>
    <t xml:space="preserve">Grad student, American University, Terrorism and Homeland Security Policy. Security focus on domestic and international events. #cyber #cve</t>
  </si>
  <si>
    <t xml:space="preserve">The numbers behind Shinzo Abe's landslide win in Japan's snap election https://t.co/LOZA8VdOtV https://t.co/K3eu7CMweG</t>
  </si>
  <si>
    <t xml:space="preserve">Robbie Axelrod</t>
  </si>
  <si>
    <t xml:space="preserve">Seychelles</t>
  </si>
  <si>
    <t xml:space="preserve">Messianico desde sus origenes. Futbolista frustrado. Paleo 89%</t>
  </si>
  <si>
    <t xml:space="preserve">Massao</t>
  </si>
  <si>
    <t xml:space="preserve">Niigata Japan </t>
  </si>
  <si>
    <r>
      <rPr>
        <sz val="8"/>
        <rFont val="Noto Sans CJK SC Regular"/>
        <family val="2"/>
      </rPr>
      <t xml:space="preserve">アンチメジャーな閑人。英語うまくない。</t>
    </r>
    <r>
      <rPr>
        <sz val="8"/>
        <rFont val="Droid Sans"/>
        <family val="0"/>
        <charset val="1"/>
      </rPr>
      <t xml:space="preserve">English a little|world news|a fan of https://t.co/MwMOPfZCBv environment&amp;development|trains|transport|Commercial followers can be blocked</t>
    </r>
  </si>
  <si>
    <t xml:space="preserve">Sherrilyn Martin Alf</t>
  </si>
  <si>
    <t xml:space="preserve">Chicago, Illinois</t>
  </si>
  <si>
    <t xml:space="preserve">Handcrafted Custom Jewelry and Crochet Apparel for everyday wear for Sherrilyn Designs, where all things are beautiful!</t>
  </si>
  <si>
    <t xml:space="preserve">The numbers behind Shinzo Abe's landslide win in Japan's snap election https://t.co/4EPzQ7fVLm https://t.co/OcG3fOr2QS</t>
  </si>
  <si>
    <t xml:space="preserve">Marybee</t>
  </si>
  <si>
    <t xml:space="preserve">The nation was awakened by that deafening shot. ~Corazon Aquino</t>
  </si>
  <si>
    <t xml:space="preserve">business: The numbers behind Shinzo Abe's landslide win in Japan's snap election https://t.co/bTlqp23YzW https://t.co/nwfdoLZPOs</t>
  </si>
  <si>
    <t xml:space="preserve">business: The numbers behind Shinzo Abe's landslide win in Japan's snap election https://t.co/ual9M7CCBa https://t.co/RfGMDq7X1m</t>
  </si>
  <si>
    <r>
      <rPr>
        <sz val="8"/>
        <rFont val="Droid Sans"/>
        <family val="0"/>
        <charset val="1"/>
      </rPr>
      <t xml:space="preserve">dean</t>
    </r>
    <r>
      <rPr>
        <sz val="8"/>
        <rFont val="Noto Sans CJK SC Regular"/>
        <family val="2"/>
      </rPr>
      <t xml:space="preserve">　ディーン</t>
    </r>
  </si>
  <si>
    <t xml:space="preserve">Shinzo Abe’s gamble on an early election may have just won him a chance to lead Japan through 2021. https://t.co/wMnByBR6pb</t>
  </si>
  <si>
    <t xml:space="preserve">femto project</t>
  </si>
  <si>
    <t xml:space="preserve">julio cruz</t>
  </si>
  <si>
    <t xml:space="preserve">Maestro en Derecho, ciudadano universal.</t>
  </si>
  <si>
    <t xml:space="preserve">Zurairi AR</t>
  </si>
  <si>
    <t xml:space="preserve">Putrajaya, Malaysia</t>
  </si>
  <si>
    <t xml:space="preserve">Journo &amp; columnist with @themmailonline | Freelance researcher | Humanist &amp; sceptic | Father | Tip/PGP: https://t.co/g8mgHEJLwL</t>
  </si>
  <si>
    <t xml:space="preserve">Ali Ebrahimzadeh Esq</t>
  </si>
  <si>
    <t xml:space="preserve">BBCBusiness: Shinzo Abe Japan election win. Prof. Richard Werner, former adviser to Bank of Japan on the economic … https://t.co/Lo1pzUhAfI</t>
  </si>
  <si>
    <t xml:space="preserve">Tel: (510) 910-3198</t>
  </si>
  <si>
    <t xml:space="preserve">Rated a Top 100 Trial Lawyer. Serving CA, NY, MA, DC. Business Law, Criminal Defense, Divorce &amp; Child Custody, Education Law. See @AliEesq and @AEArtLaw</t>
  </si>
  <si>
    <t xml:space="preserve">문재인 대통령</t>
  </si>
  <si>
    <r>
      <rPr>
        <sz val="8"/>
        <rFont val="Droid Sans"/>
        <family val="0"/>
        <charset val="1"/>
      </rPr>
      <t xml:space="preserve">jazz. </t>
    </r>
    <r>
      <rPr>
        <sz val="8"/>
        <rFont val="Noto Sans CJK SC Regular"/>
        <family val="2"/>
      </rPr>
      <t xml:space="preserve">여행</t>
    </r>
    <r>
      <rPr>
        <sz val="8"/>
        <rFont val="Droid Sans"/>
        <family val="0"/>
        <charset val="1"/>
      </rPr>
      <t xml:space="preserve">. </t>
    </r>
    <r>
      <rPr>
        <sz val="8"/>
        <rFont val="Noto Sans CJK SC Regular"/>
        <family val="2"/>
      </rPr>
      <t xml:space="preserve">자유</t>
    </r>
    <r>
      <rPr>
        <sz val="8"/>
        <rFont val="Droid Sans"/>
        <family val="0"/>
        <charset val="1"/>
      </rPr>
      <t xml:space="preserve">. </t>
    </r>
    <r>
      <rPr>
        <sz val="8"/>
        <rFont val="Noto Sans CJK SC Regular"/>
        <family val="2"/>
      </rPr>
      <t xml:space="preserve">인간</t>
    </r>
    <r>
      <rPr>
        <sz val="8"/>
        <rFont val="Droid Sans"/>
        <family val="0"/>
        <charset val="1"/>
      </rPr>
      <t xml:space="preserve">. </t>
    </r>
    <r>
      <rPr>
        <sz val="8"/>
        <rFont val="Noto Sans CJK SC Regular"/>
        <family val="2"/>
      </rPr>
      <t xml:space="preserve">음악</t>
    </r>
    <r>
      <rPr>
        <sz val="8"/>
        <rFont val="Droid Sans"/>
        <family val="0"/>
        <charset val="1"/>
      </rPr>
      <t xml:space="preserve">. </t>
    </r>
    <r>
      <rPr>
        <sz val="8"/>
        <rFont val="Noto Sans CJK SC Regular"/>
        <family val="2"/>
      </rPr>
      <t xml:space="preserve">문학</t>
    </r>
    <r>
      <rPr>
        <sz val="8"/>
        <rFont val="Droid Sans"/>
        <family val="0"/>
        <charset val="1"/>
      </rPr>
      <t xml:space="preserve">. </t>
    </r>
    <r>
      <rPr>
        <sz val="8"/>
        <rFont val="Noto Sans CJK SC Regular"/>
        <family val="2"/>
      </rPr>
      <t xml:space="preserve">영국</t>
    </r>
    <r>
      <rPr>
        <sz val="8"/>
        <rFont val="Droid Sans"/>
        <family val="0"/>
        <charset val="1"/>
      </rPr>
      <t xml:space="preserve">, </t>
    </r>
    <r>
      <rPr>
        <sz val="8"/>
        <rFont val="Noto Sans CJK SC Regular"/>
        <family val="2"/>
      </rPr>
      <t xml:space="preserve">나를 구성하는 단어들 </t>
    </r>
    <r>
      <rPr>
        <sz val="8"/>
        <rFont val="Droid Sans"/>
        <family val="0"/>
        <charset val="1"/>
      </rPr>
      <t xml:space="preserve">,,,</t>
    </r>
  </si>
  <si>
    <t xml:space="preserve">CaliNews</t>
  </si>
  <si>
    <t xml:space="preserve">With a landslide win, Shinzo Abe could be ready to rewrite Japan's pacifist constitution #LATimes https://t.co/MTzNATXH51</t>
  </si>
  <si>
    <t xml:space="preserve">Los Angeles, California</t>
  </si>
  <si>
    <t xml:space="preserve">Sharing the latest news in #California for our tweeps. Here is a short clip about us @bhivec2: https://t.co/OTHn1LcDiS. #bhive #savethebees #marketing</t>
  </si>
  <si>
    <t xml:space="preserve">Nishant Shastry</t>
  </si>
  <si>
    <t xml:space="preserve">Shinzo Abe Japan election win. Prof. Richard Werner, former adviser to Bank of Japan on the economic challenge:… https://t.co/8f4qgYu4g9</t>
  </si>
  <si>
    <t xml:space="preserve">Hyderabad, India</t>
  </si>
  <si>
    <t xml:space="preserve">Digital Strategist-cum-Historian at PurpleTalk Inc. RTs don't imply endorsement!</t>
  </si>
  <si>
    <t xml:space="preserve">Ayobami</t>
  </si>
  <si>
    <t xml:space="preserve">Love all, trust a few, do wrong to none.</t>
  </si>
  <si>
    <t xml:space="preserve">#BloombergTV ❧ The numbers behind Shinzo Abe's landslide win in Japan's snap election https://t.co/iTe2FYfw6V https://t.co/2EogYqQ4eb</t>
  </si>
  <si>
    <t xml:space="preserve">Mahesh Swami</t>
  </si>
  <si>
    <t xml:space="preserve">RT @BloombergQuint: Shinzo Abe’s gamble on an early election may have just won him a chance to lead Japan through 2021. https://t.co/wMnByB…</t>
  </si>
  <si>
    <t xml:space="preserve">भारत (india)</t>
  </si>
  <si>
    <t xml:space="preserve">om namah shivay ... yoga is lifestyle</t>
  </si>
  <si>
    <t xml:space="preserve">Abe's victory renews speculation over changes to Japan's constitution: https://t.co/AyMo9lnHxv - Just In #Latest</t>
  </si>
  <si>
    <t xml:space="preserve">Allola rajkiran</t>
  </si>
  <si>
    <t xml:space="preserve">Retweets are not endorsements.</t>
  </si>
  <si>
    <t xml:space="preserve">Japan's PM Abe to hold news conference a day after comfortable victory in polls - The… https://t.co/UCfTi4gxM0</t>
  </si>
  <si>
    <t xml:space="preserve">RT BloombergTV "The numbers behind Shinzo Abe's landslide win in Japan's snap election https://t.co/9TfcblBs1X https://t.co/z1GkKWYRuW"</t>
  </si>
  <si>
    <t xml:space="preserve">Shakuntala Dhyani</t>
  </si>
  <si>
    <t xml:space="preserve">Shinzo Abe Japan election win. Prof. Richard Werner, former adviser to Bank of Japan on the economic challenge:… https://t.co/37Durht1aD</t>
  </si>
  <si>
    <t xml:space="preserve">Executive Trainer at Apollo Hospitals. I love children's.</t>
  </si>
  <si>
    <t xml:space="preserve">Maha Manian</t>
  </si>
  <si>
    <t xml:space="preserve">Chennai, INDIA</t>
  </si>
  <si>
    <t xml:space="preserve">¦ भारत माता की जय ¦ A proud Hindu and a Nationalist. I believe in Ekam Sath, Vipraah bahudhaa vadhanthi.</t>
  </si>
  <si>
    <t xml:space="preserve">Lajos Zweig</t>
  </si>
  <si>
    <t xml:space="preserve">Tusnádfürdö, Székelyföld</t>
  </si>
  <si>
    <t xml:space="preserve">Merry Morris</t>
  </si>
  <si>
    <t xml:space="preserve">Delray Beach, Florida</t>
  </si>
  <si>
    <t xml:space="preserve">Penning WANTED: What's Mine Is Mine: A Mother's Memoir</t>
  </si>
  <si>
    <t xml:space="preserve">The numbers behind Shinzo Abe's landslide win in Japan's snap election https://t.co/E0615NJwMh https://t.co/vfVBsX7iiy</t>
  </si>
  <si>
    <t xml:space="preserve">The numbers behind Shinzo Abe's landslide win in Japan's snap election https://t.co/MkmihIb0QY https://t.co/yM3pwZmDGW</t>
  </si>
  <si>
    <t xml:space="preserve">Gowrikanth</t>
  </si>
  <si>
    <t xml:space="preserve">PinchofSalt</t>
  </si>
  <si>
    <t xml:space="preserve">A Truth Seeker</t>
  </si>
  <si>
    <t xml:space="preserve">🇪🇺European🏳️‍🌈</t>
  </si>
  <si>
    <t xml:space="preserve">Dublin, European Union</t>
  </si>
  <si>
    <t xml:space="preserve">gamer, potential writer, potential other things. likes stuff. European Federlist. 💕 Eurovision.</t>
  </si>
  <si>
    <t xml:space="preserve">Gre-gore St. Haunter</t>
  </si>
  <si>
    <t xml:space="preserve">Good morning Asia! Japan’s Nikkei 225 gains 0.91% and USDJPY up 0.3% to 113.8770 after Shinzo Abe's party retains supermajority in election</t>
  </si>
  <si>
    <t xml:space="preserve">No debt collectors, please.</t>
  </si>
  <si>
    <t xml:space="preserve">Gregor Stuart Hunter, currently observing Halloween. Asia markets reporter at @WSJ in Hong Kong. PGP: https://t.co/JvpqVqlIaY</t>
  </si>
  <si>
    <t xml:space="preserve">Rajeev Singh</t>
  </si>
  <si>
    <t xml:space="preserve">RT @bpolitics: The numbers behind Shinzo Abe's landslide win in Japan's snap election https://t.co/MkmihIb0QY https://t.co/yM3pwZmDGW</t>
  </si>
  <si>
    <t xml:space="preserve">Kanad Bandyopadhyay</t>
  </si>
  <si>
    <t xml:space="preserve">Jambudwipe, Bharatkhande</t>
  </si>
  <si>
    <t xml:space="preserve">X Corps of Engineers,Indian Army Welcm Info on Stock Markets &amp; Global ETFs with India focus Mix of Growth &amp; Dividend</t>
  </si>
  <si>
    <t xml:space="preserve">Adella Pasos</t>
  </si>
  <si>
    <t xml:space="preserve">The numbers behind Shinzo Abe's landslide win in Japan's snap election https://t.co/viOljavI3v via @business https://t.co/bKG7qV8N0u</t>
  </si>
  <si>
    <t xml:space="preserve">Lovely City of CHI</t>
  </si>
  <si>
    <t xml:space="preserve">The Official Twitter of Model | Entrepreneur | Philanthropist | Marketing &amp; Branding Expert | TV Host / Personality - Bookings: bookings@adellapasos.com</t>
  </si>
  <si>
    <t xml:space="preserve">The numbers behind Shinzo Abe's landslide win in Japan's snap election https://t.co/mP6ILNcNeC via @business https://t.co/LAyCzhS5HU</t>
  </si>
  <si>
    <t xml:space="preserve">#Business Strategist | #Marketing Expert | #Entrepreneur | Owner of @CryptoMarketers | MODEL | #TV HOST | AUTHOR: How to Make $ Online - GROW YOUR BUSINESS</t>
  </si>
  <si>
    <t xml:space="preserve">A Seeker of knowledge of self who believes in Dharma. Want to serve society before leaving. A proud Bharatwasi.</t>
  </si>
  <si>
    <t xml:space="preserve">Horacio Madkur</t>
  </si>
  <si>
    <t xml:space="preserve">Abogado-Magister en Finanzas de la UCEMA -Profesor de la Universidad Nacional de Tucuman "No hay nada más cómodo que no pensar" Simone Weil</t>
  </si>
  <si>
    <t xml:space="preserve">Kylo John</t>
  </si>
  <si>
    <t xml:space="preserve">Degenerate gamer &amp; Star Wars fan. #AnimeRight anarchist. Ron Paul = Red Pill personified. Trump has been cuckpromised. YokoTaro=God https://t.co/jYWi3xEPWh</t>
  </si>
  <si>
    <t xml:space="preserve">Chandra Bathwal</t>
  </si>
  <si>
    <t xml:space="preserve">Chartered Accountant by profession. NaMo supporter. Believes in Karma! A proud Indian &amp; Hindu !! Sickulars stay away!!!</t>
  </si>
  <si>
    <t xml:space="preserve">Bella Rose Photo</t>
  </si>
  <si>
    <t xml:space="preserve">St Cloud, MN</t>
  </si>
  <si>
    <t xml:space="preserve">Photographers, Bloggers, Music Lovers, Educators - Owners of Bella Rose Photography &amp; Official Photographers of St Cloud State Athletics - GO HUSKIES!</t>
  </si>
  <si>
    <t xml:space="preserve">原田　壽治</t>
  </si>
  <si>
    <t xml:space="preserve">RT @BloombergTV: The numbers behind Shinzo Abe's landslide win in Japan's snap election https://t.co/LOZA8VdOtV https://t.co/K3eu7CMweG</t>
  </si>
  <si>
    <t xml:space="preserve">Siti Fatimah</t>
  </si>
  <si>
    <t xml:space="preserve">The numbers behind Shinzo Abe's landslide win in Japan's snap election https://t.co/01bgTNON6w https://t.co/tLeJoZNYW9 #fb #sitifatimah #…</t>
  </si>
  <si>
    <t xml:space="preserve">Johor Bahru, Johor</t>
  </si>
  <si>
    <t xml:space="preserve">Financial Consultant with Phillip Capital</t>
  </si>
  <si>
    <t xml:space="preserve">Jonathan Harley 🚴</t>
  </si>
  <si>
    <t xml:space="preserve">RT @BloombergAsia: The numbers behind Shinzo Abe's landslide win in Japan's snap election https://t.co/E0615NJwMh https://t.co/vfVBsX7iiy</t>
  </si>
  <si>
    <t xml:space="preserve">Dad, son, Head of News, Asia-Pacific @Twitter, via @60Mins, @abcnews &amp; some.</t>
  </si>
  <si>
    <t xml:space="preserve">Modi Todie</t>
  </si>
  <si>
    <t xml:space="preserve">I am a Hindu, want equal treatment of all &amp; merit to rule. I must be intolerant!!</t>
  </si>
  <si>
    <t xml:space="preserve">ashok4NarendraModi</t>
  </si>
  <si>
    <t xml:space="preserve">Shinzo Abe's election victory renews speculation over changes to Japan's constitution https://t.co/FVlkrgbRtu via @abcnews</t>
  </si>
  <si>
    <t xml:space="preserve">ohm namo shivaya,narayana</t>
  </si>
  <si>
    <t xml:space="preserve">Jai Ma Bharti,Lord Shiva,Swami Vivekananda,Ma Sarada made Narendra Modi Indian PM modern Chandra Gupt Maurya,Kiren Rijiju liked my tweet,followed by Piyush Goel</t>
  </si>
  <si>
    <t xml:space="preserve">кукольный Дональд</t>
  </si>
  <si>
    <t xml:space="preserve">C'land</t>
  </si>
  <si>
    <t xml:space="preserve">Knickers in a permanent twist. I LOVE tennis, basketball, Belgium, pandas and pith. Read A Book. I write a stitch @ Bulletsforever re: the MYSTICS.</t>
  </si>
  <si>
    <t xml:space="preserve">The Nationalist.</t>
  </si>
  <si>
    <t xml:space="preserve">A Proud Nationalist, A Modi Bhakta. Best Slogan in 2019 would be Phir Ekbaar Modi Sarkar. Hate all Sicko Liberals. RTs are not necessarily my endorsements.</t>
  </si>
  <si>
    <t xml:space="preserve">Philippine News Now</t>
  </si>
  <si>
    <t xml:space="preserve">Japanese Prime Minister Shinzo Abe swept to a comfortable victory in a snap election Sunday, October 22. https://t.co/iGquVl7P2O</t>
  </si>
  <si>
    <t xml:space="preserve">Manila City, National Capital Region</t>
  </si>
  <si>
    <t xml:space="preserve">Breaking News, Developing Stories</t>
  </si>
  <si>
    <t xml:space="preserve">Japanese Prime Minister Shinzo Abe swept to a comfortable victory in a snap election Sunday, October 22. https://t.co/jOyr7gjLyx</t>
  </si>
  <si>
    <t xml:space="preserve">Republic of the Philippines</t>
  </si>
  <si>
    <t xml:space="preserve">Covering in the heart of the Philippines with experience for 8 years</t>
  </si>
  <si>
    <t xml:space="preserve">Japanese Prime Minister Shinzo Abe swept to a comfortable victory in a snap election Sunday, October 22. https://t.co/LhyzD3O2Ou</t>
  </si>
  <si>
    <t xml:space="preserve">Japan PM Shinzo Abe's ruling bloc on track for big win in election: TV exit polls… https://t.co/6Fd9HISsZr @iblogbir</t>
  </si>
  <si>
    <t xml:space="preserve">India1st BulletTrain</t>
  </si>
  <si>
    <t xml:space="preserve">Rajalingam Nagappan</t>
  </si>
  <si>
    <t xml:space="preserve">FOLLOWER OF VEDIC RELIGION.. SAAKTHAIT -FEELS EVERYHTING IS HER COSMIC DANCE .LET ALL FLOW N FLOURISH .BE VARY OF Mahishasuramardini LOVE BHARAT N GOWMATHA.</t>
  </si>
  <si>
    <t xml:space="preserve">Rahul kasare</t>
  </si>
  <si>
    <t xml:space="preserve">Anti corruption. On the way to find Sinighami😀</t>
  </si>
  <si>
    <t xml:space="preserve">Aishath Aniya</t>
  </si>
  <si>
    <t xml:space="preserve">The Maldives</t>
  </si>
  <si>
    <t xml:space="preserve">हीरामन Tiwari</t>
  </si>
  <si>
    <t xml:space="preserve">जन्मभूमिः स्वर्गादपि गरीयसी</t>
  </si>
  <si>
    <t xml:space="preserve">JNU Faculty; a Balliol; form'ly, Heinrich Zimmer Prof of Ind Phil&amp;Intellectual History, Heidelberg; EURIAS Sr Fellow &amp; Sr Fellow IIAS Jerusalem [Views personal]</t>
  </si>
  <si>
    <t xml:space="preserve">齊藤浩文</t>
  </si>
  <si>
    <t xml:space="preserve">山口県山陽小野田市</t>
  </si>
  <si>
    <r>
      <rPr>
        <sz val="8"/>
        <rFont val="Droid Sans"/>
        <family val="0"/>
        <charset val="1"/>
      </rPr>
      <t xml:space="preserve">Web</t>
    </r>
    <r>
      <rPr>
        <sz val="8"/>
        <rFont val="Noto Sans CJK SC Regular"/>
        <family val="2"/>
      </rPr>
      <t xml:space="preserve">デザイン、サーバ運営、アプリケーション開発の仕事をしています。 福岡・山口・岡山・兵庫・大阪・京都・滋賀・神奈川・東京で活動中。</t>
    </r>
  </si>
  <si>
    <r>
      <rPr>
        <sz val="8"/>
        <rFont val="Noto Sans CJK SC Regular"/>
        <family val="2"/>
      </rPr>
      <t xml:space="preserve">斉藤ヨウ </t>
    </r>
    <r>
      <rPr>
        <sz val="8"/>
        <rFont val="Droid Sans"/>
        <family val="0"/>
        <charset val="1"/>
      </rPr>
      <t xml:space="preserve">/ Yo Saito</t>
    </r>
  </si>
  <si>
    <t xml:space="preserve">CONGRATS!🇩🇪6⃣ Respect and love Prost, Häkkinen and a great actor Daniel Craig. And I'm addicted to Smash since 2016. Especially love Vlad. Why they broke up😭</t>
  </si>
  <si>
    <t xml:space="preserve">Mayor of Smileytown</t>
  </si>
  <si>
    <t xml:space="preserve">Bernardsville, NJ</t>
  </si>
  <si>
    <t xml:space="preserve">Hello, I am the Mayor and I tweet about a bread and games world. Call me the Boogeyman</t>
  </si>
  <si>
    <t xml:space="preserve">शशॉंक</t>
  </si>
  <si>
    <t xml:space="preserve">Thinker | Reader | Loves to be called a 'Bharatiya' | Sanatan Dharmi</t>
  </si>
  <si>
    <t xml:space="preserve">Sandeep</t>
  </si>
  <si>
    <t xml:space="preserve">बेलगाम, भारत</t>
  </si>
  <si>
    <t xml:space="preserve">Proud 2b an integral part of d Divine Dispensation @RSSorg, Ex @ABVPVoice , Member @_prabudhabharat, @FINSHQ, Co-ordinator: https://t.co/br1XIOqNP2 Tweets personal</t>
  </si>
  <si>
    <t xml:space="preserve">BBCBusiness: Shinzo Abe Japan election win. Prof. Richard Werner, former adviser to Bank of Japan on the economic … https://t.co/gROW1njzAY</t>
  </si>
  <si>
    <t xml:space="preserve">John Scotus</t>
  </si>
  <si>
    <t xml:space="preserve">Election Risk Pays Off for Shinzo Abe of Japan as His Party Appears to Win Big https://t.co/sxzQvB92CO</t>
  </si>
  <si>
    <t xml:space="preserve">Christian, conservative, writer, photographer, and American expat. #nevertrump</t>
  </si>
  <si>
    <t xml:space="preserve">Rodney Proctor</t>
  </si>
  <si>
    <t xml:space="preserve">Tulsa Oklahoma</t>
  </si>
  <si>
    <t xml:space="preserve">Freelance journalist struggling through the death of newspapers. Veteran of both U.S. Air Force and Army. Political progressive. In search of work-contact me</t>
  </si>
  <si>
    <t xml:space="preserve">John Burnett</t>
  </si>
  <si>
    <t xml:space="preserve">Business and Political Commentator | Author | Public Speaker | Businessman | Professor | Urban Financial Freedom Fighter | Media Kit https://t.co/a9DVeVhPa1</t>
  </si>
  <si>
    <t xml:space="preserve">𝓥.𝓟.𝓘𝔂𝓮𝓻</t>
  </si>
  <si>
    <t xml:space="preserve">सर्वेषां शान्तिर्भवतु।सर्वेषां स्वस्तिर्भवतु। लोका:समस्ता: सुखिनो भवन्तु। सर्वे भवन्तु सुखिन: सर्वे सन्तु निरामया: सर्वे भद्राणि पश्यन्तु मा कशिचद दुखभाग्भवेत।🌹</t>
  </si>
  <si>
    <t xml:space="preserve">🕉️LINGA🕉️</t>
  </si>
  <si>
    <t xml:space="preserve">Aham Aathma</t>
  </si>
  <si>
    <t xml:space="preserve">RT BloombergTV "The numbers behind Shinzo Abe's landslide win in Japan's snap election https://t.co/nLJjdtby6U https://t.co/pQANFUaBQf"</t>
  </si>
  <si>
    <t xml:space="preserve">BhaktOfSwVivekananda</t>
  </si>
  <si>
    <t xml:space="preserve">Bhakta of Sri Rama, Swami Vivekananda and Sri Sri Ravi Shankar. RTs are not endorsements. Gyan for the now at https://t.co/KMAcwPr4BE…</t>
  </si>
  <si>
    <t xml:space="preserve">RT TFTCS "RT BloombergTV "The numbers behind Shinzo Abe's landslide win in Japan's snap election … https://t.co/R1fk5nH5EJ""</t>
  </si>
  <si>
    <t xml:space="preserve">DJJC137</t>
  </si>
  <si>
    <t xml:space="preserve">Japan's Abe on way to big election victory @AJEnglish https://t.co/CotvXcpXpZ https://t.co/S7lAZoZnG9</t>
  </si>
  <si>
    <t xml:space="preserve">MIA/LA/LV/NYC &amp; All Over The World</t>
  </si>
  <si>
    <t xml:space="preserve">Locksmith/Security Pro Also #EDM #IT #InfoTech #InfoSec #SigInt #Hacker #Globalist #Followback #NRA #ACLU (Mem. of both!) #2A #25A #InternationalLove</t>
  </si>
  <si>
    <t xml:space="preserve">RT TFTCS "RT BloombergTV "The numbers behind Shinzo Abe's landslide win in Japan's snap election … https://t.co/z1GkKWYRuW""</t>
  </si>
  <si>
    <t xml:space="preserve">Vijay Budhiraja</t>
  </si>
  <si>
    <t xml:space="preserve">DELHI , INDIA</t>
  </si>
  <si>
    <t xml:space="preserve">वन्दे मातरम् 🙏🙏🙏</t>
  </si>
  <si>
    <t xml:space="preserve">Sharmila Gharpure</t>
  </si>
  <si>
    <t xml:space="preserve">Life - I'm loving it..</t>
  </si>
  <si>
    <t xml:space="preserve">raghav gundavarapu</t>
  </si>
  <si>
    <t xml:space="preserve">निर्मल नगर, Ongole</t>
  </si>
  <si>
    <t xml:space="preserve">India, travel, investments, movies</t>
  </si>
  <si>
    <t xml:space="preserve">Hari S Venkateswarlu</t>
  </si>
  <si>
    <t xml:space="preserve">Maya S</t>
  </si>
  <si>
    <t xml:space="preserve">RTs are plenty but not necessarily endorsements.</t>
  </si>
  <si>
    <t xml:space="preserve">hito</t>
  </si>
  <si>
    <t xml:space="preserve">Shinzo Abe secures strong mandate in Japan's general election https://t.co/GwjheXh0m4</t>
  </si>
  <si>
    <t xml:space="preserve">地球</t>
  </si>
  <si>
    <t xml:space="preserve">Sometimes I cannot believe that I am part of these miracles, the planet earth and a human life.</t>
  </si>
  <si>
    <t xml:space="preserve">Narendra Bharindwal</t>
  </si>
  <si>
    <t xml:space="preserve">How pitiful is the error through which people believe their happiness to be in lust and pride - Leo Tolstoy RT may or may not be endorsements depends.</t>
  </si>
  <si>
    <t xml:space="preserve">Bhawesh Jha</t>
  </si>
  <si>
    <t xml:space="preserve">PSEPHOLOGIST | Former Programming Head at BIG FM | Tweets on ELECTORAL POLITICS | Please do not tag me in ABUSIVE posts | RTs are not endorsement</t>
  </si>
  <si>
    <t xml:space="preserve">nyra</t>
  </si>
  <si>
    <t xml:space="preserve">सरस्वती पुत्र @narendramodi🙏|Political observer &amp; analyst with mature balcony view|Hate பிச்சைக்கார #presstitutes &amp; అడుక్కుతినే lowIQ #AAPtards|100% followback</t>
  </si>
  <si>
    <t xml:space="preserve">アルフォンス</t>
  </si>
  <si>
    <t xml:space="preserve">エセサヨク、エセエコロジー、エセ平和主義者、放射脳、お花畑脳、憲法九条脳の方は大嫌いです。でも愛国心のある真の左翼の方は嫌いではありません。安倍総理を断固支持！偏向報道は絶対に許さない！日々日本を守って下さっている自衛隊に心からの感謝を。在日米軍にも敬意を払います。猫大好き、生き物大好き。</t>
  </si>
  <si>
    <t xml:space="preserve">かずふぉん</t>
  </si>
  <si>
    <t xml:space="preserve">ふくおかけーん</t>
  </si>
  <si>
    <t xml:space="preserve">RT business "The numbers behind Shinzo Abe's landslide win in Japan's snap election https://t.co/3uezOlZ2t0 https://t.co/ysHUULgITa"</t>
  </si>
  <si>
    <t xml:space="preserve">Shinzo Abe may have just won a chance to lead Japan through 2021 https://t.co/TvJY6wH3x2 https://t.co/6YrSSIyQpO</t>
  </si>
  <si>
    <t xml:space="preserve">anant</t>
  </si>
  <si>
    <t xml:space="preserve">RT @business: Shinzo Abe may have just won a chance to lead Japan through 2021 https://t.co/TvJY6wH3x2 https://t.co/6YrSSIyQpO</t>
  </si>
  <si>
    <t xml:space="preserve">Gajendra Budhathoki</t>
  </si>
  <si>
    <t xml:space="preserve">Kathmandu, Nepal</t>
  </si>
  <si>
    <t xml:space="preserve">♿JWD ♿ News Editor: Karobar Daily https://t.co/yCerbI2yl3 l tweets are personal । National Journalism Award, Developing Asia Journalism Award-Winner</t>
  </si>
  <si>
    <t xml:space="preserve">Jane Searles</t>
  </si>
  <si>
    <t xml:space="preserve">James Jay Carafano</t>
  </si>
  <si>
    <t xml:space="preserve">Washington, DC </t>
  </si>
  <si>
    <t xml:space="preserve">Trying to prevent World War III one tweet at a time</t>
  </si>
  <si>
    <t xml:space="preserve">Борын ГАНЗОРИГ🇲🇳</t>
  </si>
  <si>
    <t xml:space="preserve">Mongolia Ulaanbaatar </t>
  </si>
  <si>
    <t xml:space="preserve">#Тэвчвэл тэсч үлдэнэ... #Аав хань анд нөхөр</t>
  </si>
  <si>
    <t xml:space="preserve">Shinzo Abe may have just won a chance to lead Japan through 2021 https://t.co/oEAy7g9p8Q https://t.co/6yd9Oe4J5x</t>
  </si>
  <si>
    <t xml:space="preserve">Shinzo Abe may have just won a chance to lead Japan through 2021 https://t.co/jf14cfYtVN https://t.co/mpOXwKObhD #BSAFunds #MerchantCashA…</t>
  </si>
  <si>
    <t xml:space="preserve">poo✨</t>
  </si>
  <si>
    <t xml:space="preserve">西日本</t>
  </si>
  <si>
    <r>
      <rPr>
        <sz val="8"/>
        <rFont val="Noto Sans CJK SC Regular"/>
        <family val="2"/>
      </rPr>
      <t xml:space="preserve">原発反対！戦争反対！ スマホゲーや</t>
    </r>
    <r>
      <rPr>
        <sz val="8"/>
        <rFont val="Droid Sans"/>
        <family val="0"/>
        <charset val="1"/>
      </rPr>
      <t xml:space="preserve">steam</t>
    </r>
    <r>
      <rPr>
        <sz val="8"/>
        <rFont val="Noto Sans CJK SC Regular"/>
        <family val="2"/>
      </rPr>
      <t xml:space="preserve">ゲーで世界中の人と遊ぶのが趣味の一つです。正直者が報われる世界になるといいな🍒</t>
    </r>
  </si>
  <si>
    <t xml:space="preserve">Gaurav</t>
  </si>
  <si>
    <t xml:space="preserve">Njoying life King Size!!</t>
  </si>
  <si>
    <t xml:space="preserve">Yousuf Mirza</t>
  </si>
  <si>
    <t xml:space="preserve">Business leader,commentator with keen focus on development economics. Chief Executive Officer at International Steels Limited.</t>
  </si>
  <si>
    <t xml:space="preserve">Paulina Astroza</t>
  </si>
  <si>
    <t xml:space="preserve">Concepción (Chile)</t>
  </si>
  <si>
    <t xml:space="preserve">Directora Programa de Estudios Europeos #UdeC Dra. Ciencias Políticas y Sociales (UC Lovaina, Bélgica) Abogada #UdeC Cátedra Jean Monnet de la UE (2017-2020)</t>
  </si>
  <si>
    <t xml:space="preserve">Layman</t>
  </si>
  <si>
    <t xml:space="preserve">Creative Thinkers with affirmative and positive thoughts...ability to join words to form sentences that can create revolution...writing song, poem,blog,article</t>
  </si>
  <si>
    <t xml:space="preserve">Wessam Elgouery</t>
  </si>
  <si>
    <t xml:space="preserve">business: Shinzo Abe may have just won a chance to lead Japan through 2021 https://t.co/o2SqZAp9rx https://t.co/PtdwgWtoX9</t>
  </si>
  <si>
    <t xml:space="preserve">RT @iOnkarPandey: Shinzo Abe sweeps to resounding victory in Japan election https://t.co/xJC0t4faD5</t>
  </si>
  <si>
    <t xml:space="preserve">People Truth</t>
  </si>
  <si>
    <t xml:space="preserve">जो बोलना हे बिंदास बोल,ताकि दुनिया को सच पता चले और लोग जागृत हो. !!में नहीं कर सकता,पर हम जरुर कर सकते हे!!</t>
  </si>
  <si>
    <t xml:space="preserve">Abdul Majid</t>
  </si>
  <si>
    <t xml:space="preserve">hanna maulidina</t>
  </si>
  <si>
    <t xml:space="preserve">Bogor</t>
  </si>
  <si>
    <t xml:space="preserve">International Relations</t>
  </si>
  <si>
    <t xml:space="preserve">Mark Chetcuti</t>
  </si>
  <si>
    <t xml:space="preserve">York University graduate. Ted Herbert wrestling graduate. NHL Vegas Golden Knights® team name creator.WWE, KFC corporate contributor.Helped form The Arcade Fire</t>
  </si>
  <si>
    <t xml:space="preserve">shivmusik</t>
  </si>
  <si>
    <t xml:space="preserve">A Hindu Nationalist, I stand with OPS, RTs are endorsements</t>
  </si>
  <si>
    <t xml:space="preserve">텍스트 읽는 요츠바봇</t>
  </si>
  <si>
    <t xml:space="preserve">한국</t>
  </si>
  <si>
    <r>
      <rPr>
        <sz val="8"/>
        <rFont val="Noto Sans CJK SC Regular"/>
        <family val="2"/>
      </rPr>
      <t xml:space="preserve">기사와 리포트를 읽어요</t>
    </r>
    <r>
      <rPr>
        <sz val="8"/>
        <rFont val="Droid Sans"/>
        <family val="0"/>
        <charset val="1"/>
      </rPr>
      <t xml:space="preserve">.</t>
    </r>
  </si>
  <si>
    <t xml:space="preserve">Here's how Japan PM Shinzo Abe responded to his projected election victory https://t.co/CDIKEO6MbK https://t.co/Do0InDqOHN</t>
  </si>
  <si>
    <t xml:space="preserve">shubhadam</t>
  </si>
  <si>
    <t xml:space="preserve">ROCKIE🍁</t>
  </si>
  <si>
    <t xml:space="preserve">Manitoba, Canada</t>
  </si>
  <si>
    <t xml:space="preserve">Avid NHL Winnipeg Jets fan. A proud Canadian that appreciates the Caribbean, Rum, fishing and investing. RTs are not an endorsement.</t>
  </si>
  <si>
    <t xml:space="preserve">Rakesh Singh</t>
  </si>
  <si>
    <t xml:space="preserve">Engineer, Wish Corruption &amp; Poverty Free Sundar &amp;Swatchh Bharat,Farmers Upliftment, India as Export Hub,Make in India and Digital India.</t>
  </si>
  <si>
    <t xml:space="preserve">KRS | கரச</t>
  </si>
  <si>
    <t xml:space="preserve">https://t.co/D0cz6C8q4U</t>
  </si>
  <si>
    <t xml:space="preserve">barbara</t>
  </si>
  <si>
    <t xml:space="preserve">I'm an IT professional.GOD is my first priority. Interests:Technology, Education,Research,Health,Business, Media,Financial markets,Insurance,oil&amp;gas,Gov't&amp;NGOs.</t>
  </si>
  <si>
    <t xml:space="preserve">business: Shinzo Abe may have just won a chance to lead Japan through 2021 https://t.co/IBOKgwCjEe https://t.co/avLWOcmW6a</t>
  </si>
  <si>
    <t xml:space="preserve">business: Shinzo Abe may have just won a chance to lead Japan through 2021 https://t.co/fD6xyB6lng https://t.co/DMEXnPNkm7</t>
  </si>
  <si>
    <r>
      <rPr>
        <sz val="8"/>
        <rFont val="Noto Sans CJK SC Regular"/>
        <family val="2"/>
      </rPr>
      <t xml:space="preserve">ガブリエル </t>
    </r>
    <r>
      <rPr>
        <sz val="8"/>
        <rFont val="Droid Sans"/>
        <family val="0"/>
        <charset val="1"/>
      </rPr>
      <t xml:space="preserve">o Gaby</t>
    </r>
  </si>
  <si>
    <t xml:space="preserve">ARGENTINA</t>
  </si>
  <si>
    <t xml:space="preserve">Busca en mi TL, Muchas veces escribo lo que pienso, otras, lo que piensa mi otro yo.</t>
  </si>
  <si>
    <t xml:space="preserve">GGRAsia</t>
  </si>
  <si>
    <t xml:space="preserve">Japan casino hopes rise on Shinzo Abe election win - https://t.co/5DDwRUP9z2 https://t.co/U8L3SL6M0Q</t>
  </si>
  <si>
    <t xml:space="preserve">Macau</t>
  </si>
  <si>
    <t xml:space="preserve">Cécile</t>
  </si>
  <si>
    <r>
      <rPr>
        <sz val="8"/>
        <rFont val="Noto Sans CJK SC Regular"/>
        <family val="2"/>
      </rPr>
      <t xml:space="preserve">在上海等你 </t>
    </r>
    <r>
      <rPr>
        <sz val="8"/>
        <rFont val="Droid Sans"/>
        <family val="0"/>
        <charset val="1"/>
      </rPr>
      <t xml:space="preserve">#MaoAsada</t>
    </r>
  </si>
  <si>
    <t xml:space="preserve">Lucky</t>
  </si>
  <si>
    <t xml:space="preserve">pilot, 2nd amendment supporter, WORLD politics observer, writer, I laugh out loud when I see a Basset Hound run, and I frown at disrespect of our flag!**NO LIST</t>
  </si>
  <si>
    <t xml:space="preserve">Shinzo Abe may have just won a chance to lead Japan through 2021 https://t.co/ySyuMj111B https://t.co/PwXAQpc7GZ</t>
  </si>
  <si>
    <t xml:space="preserve">Antonio Amarilla J</t>
  </si>
  <si>
    <t xml:space="preserve">Minga Guazú - Paraguay</t>
  </si>
  <si>
    <t xml:space="preserve">Je vous servirai au nom de notre devise : Liberté, Égalité, Fraternité.</t>
  </si>
  <si>
    <t xml:space="preserve">Shinzo Abe's party on road to victory in Japan's elections, early projections show https://t.co/hQZ7dY1wZp</t>
  </si>
  <si>
    <t xml:space="preserve">Shinzo Abe may have just won a chance to lead Japan through 2021 https://t.co/41fXbZlBZX https://t.co/HKXFimtyLB</t>
  </si>
  <si>
    <t xml:space="preserve">Shinzo Abe may have just won a chance to lead Japan through 2021 https://t.co/2VHpPAb230 https://t.co/4bTEGH8My9</t>
  </si>
  <si>
    <t xml:space="preserve">tweetie0817</t>
  </si>
  <si>
    <t xml:space="preserve">RT @bpolitics: Here's how Japan PM Shinzo Abe responded to his projected election victory https://t.co/CDIKEO6MbK https://t.co/Do0InDqOHN</t>
  </si>
  <si>
    <t xml:space="preserve">Missouri</t>
  </si>
  <si>
    <t xml:space="preserve">twice-divorced,woman,white,Registered Nurse Gloria Poole &amp; artist in oils, prolifer, Republican</t>
  </si>
  <si>
    <t xml:space="preserve">Pankaj Chandak</t>
  </si>
  <si>
    <t xml:space="preserve">Hindustan</t>
  </si>
  <si>
    <t xml:space="preserve">Alumnus of NIT Durgapur &amp; IMI New Delhi, Nationalist to the CORE - EK BHARAT SHRESHTHA BHARAT. RTs not necessarily Endorsement</t>
  </si>
  <si>
    <t xml:space="preserve">RT business "Shinzo Abe may have just won a chance to lead Japan through 2021 https://t.co/JVsEFcwSxf https://t.co/UZdxWULZFK"</t>
  </si>
  <si>
    <t xml:space="preserve">business: Shinzo Abe may have just won a chance to lead Japan through 2021 https://t.co/KXgZj9bBaG … https://t.co/zeIW8lvtud</t>
  </si>
  <si>
    <t xml:space="preserve">Oriana Pawlyk</t>
  </si>
  <si>
    <t xml:space="preserve">RT @nytimesworld: Shinzo Abe's party on road to victory in Japan's elections, early projections show https://t.co/hQZ7dY1wZp</t>
  </si>
  <si>
    <t xml:space="preserve">@Militarydotcom air war reporter. B-1B IS NOT NUKE-CAPABLE. Prev @AirForceTimes. @MiamiUniversity. American Ukrainian. Chiberia🏡. Opinions mine. [RT, ❤️≠E]</t>
  </si>
  <si>
    <t xml:space="preserve">Terrell</t>
  </si>
  <si>
    <t xml:space="preserve">DCA ✈️ SBN</t>
  </si>
  <si>
    <t xml:space="preserve">Luke 1:37</t>
  </si>
  <si>
    <t xml:space="preserve">RAJ KUMAR</t>
  </si>
  <si>
    <t xml:space="preserve">Shinzo Abe may have just won a chance to lead Japan through 2021 https://t.co/4EmVp1zW49 https://t.co/sRXQ9GaR2v</t>
  </si>
  <si>
    <r>
      <rPr>
        <sz val="8"/>
        <rFont val="Droid Sans"/>
        <family val="0"/>
        <charset val="1"/>
      </rPr>
      <t xml:space="preserve">Shoko Tanaka  </t>
    </r>
    <r>
      <rPr>
        <sz val="8"/>
        <rFont val="Noto Sans CJK SC Regular"/>
        <family val="2"/>
      </rPr>
      <t xml:space="preserve">脱原発</t>
    </r>
  </si>
  <si>
    <t xml:space="preserve">Davis, CA, USA</t>
  </si>
  <si>
    <r>
      <rPr>
        <sz val="8"/>
        <rFont val="Noto Sans CJK SC Regular"/>
        <family val="2"/>
      </rPr>
      <t xml:space="preserve">カリフォルニアから支離滅裂につぶやきます！</t>
    </r>
    <r>
      <rPr>
        <sz val="8"/>
        <rFont val="Droid Sans"/>
        <family val="0"/>
        <charset val="1"/>
      </rPr>
      <t xml:space="preserve">1947</t>
    </r>
    <r>
      <rPr>
        <sz val="8"/>
        <rFont val="Noto Sans CJK SC Regular"/>
        <family val="2"/>
      </rPr>
      <t xml:space="preserve">－</t>
    </r>
    <r>
      <rPr>
        <sz val="8"/>
        <rFont val="Droid Sans"/>
        <family val="0"/>
        <charset val="1"/>
      </rPr>
      <t xml:space="preserve">52</t>
    </r>
    <r>
      <rPr>
        <sz val="8"/>
        <rFont val="Noto Sans CJK SC Regular"/>
        <family val="2"/>
      </rPr>
      <t xml:space="preserve">年間に日本で作られたオキュパイドジャパンの収集と輸出陶磁器研究。ブログ「</t>
    </r>
    <r>
      <rPr>
        <sz val="8"/>
        <rFont val="Droid Sans"/>
        <family val="0"/>
        <charset val="1"/>
      </rPr>
      <t xml:space="preserve">OJ </t>
    </r>
    <r>
      <rPr>
        <sz val="8"/>
        <rFont val="Noto Sans CJK SC Regular"/>
        <family val="2"/>
      </rPr>
      <t xml:space="preserve">倶楽部」</t>
    </r>
    <r>
      <rPr>
        <sz val="8"/>
        <rFont val="Droid Sans"/>
        <family val="0"/>
        <charset val="1"/>
      </rPr>
      <t xml:space="preserve">http://t.co/uHEOz0HDFd </t>
    </r>
    <r>
      <rPr>
        <sz val="8"/>
        <rFont val="Noto Sans CJK SC Regular"/>
        <family val="2"/>
      </rPr>
      <t xml:space="preserve">命は尊い、平和反戦活動、反核活動をしています</t>
    </r>
  </si>
  <si>
    <t xml:space="preserve">Sachin</t>
  </si>
  <si>
    <t xml:space="preserve">IT coolie . A Proud Hindu , keen interest in #Economics #StockMarket #Politics</t>
  </si>
  <si>
    <t xml:space="preserve">JoAnna Bisson</t>
  </si>
  <si>
    <t xml:space="preserve">San Diego</t>
  </si>
  <si>
    <t xml:space="preserve">RT @BloombergTV: Shinzo Abe may have just won a chance to lead Japan through 2021 https://t.co/4EmVp1zW49 https://t.co/sRXQ9GaR2v</t>
  </si>
  <si>
    <t xml:space="preserve">Rajendra Naidu</t>
  </si>
  <si>
    <t xml:space="preserve">jaimeotero_: Shinzo Abe may have just won a chance to lead Japan through 2021 https://t.co/TU4mFRblKb https://t.co/KyQssiUwz4 RT</t>
  </si>
  <si>
    <t xml:space="preserve">RT: @nytimesworld :Shinzo Abe's party on road to victory in Japan's elections, early projections show https://t.co/Dr0zdzHqYI</t>
  </si>
  <si>
    <t xml:space="preserve">RT: nytimesworld :Shinzo Abe's party on road to victory in Japan's elections, early projections show https://t.co/lMf1gMtjHv</t>
  </si>
  <si>
    <t xml:space="preserve">Shinzo Abe's party on road to victory in Japan's elections, early projections show https://t.co/PMLYLDxiQC</t>
  </si>
  <si>
    <t xml:space="preserve">nytimesworld: Shinzo Abe's party on road to victory in Japan's elections, early projections show https://t.co/XPJ3ZUM5PA #arrobin</t>
  </si>
  <si>
    <t xml:space="preserve">President Cameron</t>
  </si>
  <si>
    <t xml:space="preserve">President - CWI, President &amp; CEO- Infiniti Capital, loves golf, squash, cricket.</t>
  </si>
  <si>
    <t xml:space="preserve">シマシマ猫</t>
  </si>
  <si>
    <t xml:space="preserve">日々思った事や心に残った言葉を呟きます。</t>
  </si>
  <si>
    <t xml:space="preserve">Neville Blanc</t>
  </si>
  <si>
    <t xml:space="preserve">profesor derecho politico y constitucional, secretario-tesorero Sociedad de Bibliofilos chilenos, miembro de número de la Sociedad Chilena de Historia y Geograf</t>
  </si>
  <si>
    <t xml:space="preserve">arakin again</t>
  </si>
  <si>
    <r>
      <rPr>
        <sz val="8"/>
        <rFont val="Noto Sans CJK SC Regular"/>
        <family val="2"/>
      </rPr>
      <t xml:space="preserve">名古屋市 笠寺駅 徒歩</t>
    </r>
    <r>
      <rPr>
        <sz val="8"/>
        <rFont val="Droid Sans"/>
        <family val="0"/>
        <charset val="1"/>
      </rPr>
      <t xml:space="preserve">10</t>
    </r>
    <r>
      <rPr>
        <sz val="8"/>
        <rFont val="Noto Sans CJK SC Regular"/>
        <family val="2"/>
      </rPr>
      <t xml:space="preserve">分</t>
    </r>
  </si>
  <si>
    <r>
      <rPr>
        <sz val="8"/>
        <rFont val="Noto Sans CJK SC Regular"/>
        <family val="2"/>
      </rPr>
      <t xml:space="preserve">少しずつ始めよう 昭和</t>
    </r>
    <r>
      <rPr>
        <sz val="8"/>
        <rFont val="Droid Sans"/>
        <family val="0"/>
        <charset val="1"/>
      </rPr>
      <t xml:space="preserve">31</t>
    </r>
    <r>
      <rPr>
        <sz val="8"/>
        <rFont val="Noto Sans CJK SC Regular"/>
        <family val="2"/>
      </rPr>
      <t xml:space="preserve">年生まれ 歯科技工士 航空整備士 これからは重量級クレーン運転士リフトの運ちゃんで食っていくか（笑）遠い日の記憶から今日から明日がきっと見えるはず！</t>
    </r>
  </si>
  <si>
    <t xml:space="preserve">Ignacio Bastías</t>
  </si>
  <si>
    <t xml:space="preserve">Plume for Android</t>
  </si>
  <si>
    <t xml:space="preserve">Prashant Dhar</t>
  </si>
  <si>
    <t xml:space="preserve">Milan, Lombardy</t>
  </si>
  <si>
    <t xml:space="preserve">Nation First!</t>
  </si>
  <si>
    <t xml:space="preserve">Marlet Salazar</t>
  </si>
  <si>
    <t xml:space="preserve">Shinzo Abe secures strong mandate in Japan's general election https://t.co/6MIjpHD10r</t>
  </si>
  <si>
    <t xml:space="preserve">Manila, Phlippines</t>
  </si>
  <si>
    <t xml:space="preserve">Writer / Bibiliophile / Photography enthusiast</t>
  </si>
  <si>
    <t xml:space="preserve">Oleksiy Anokhin</t>
  </si>
  <si>
    <t xml:space="preserve">With R I am ... "fitteR, happieR, moRe pRoductive, comfoRtable" (c)</t>
  </si>
  <si>
    <t xml:space="preserve">Dinesh Mehta</t>
  </si>
  <si>
    <t xml:space="preserve">RT: nytimesworld :Shinzo Abe's party on road to victory in Japan's elections, early projections show https://t.co/VrsbkJJift</t>
  </si>
  <si>
    <t xml:space="preserve">Shinzo Abe may have just won a chance to lead Japan through 2021 https://t.co/bQHPujxVG7 https://t.co/4H7akzESNK</t>
  </si>
  <si>
    <t xml:space="preserve">Shinzo Abe may have just won a chance to lead Japan through 2021 https://t.co/lPQcT5QxSD https://t.co/CYBD9MpHvM</t>
  </si>
  <si>
    <t xml:space="preserve">විගස පුවත් 24x7</t>
  </si>
  <si>
    <t xml:space="preserve">Japan PM Shinzo Abe’s coalition wins general election https://t.co/9Pqr47hS1h</t>
  </si>
  <si>
    <t xml:space="preserve">Srilanka Fast Web News Provider 24x7...</t>
  </si>
  <si>
    <t xml:space="preserve">Jessica Cheung</t>
  </si>
  <si>
    <t xml:space="preserve">Why ‘unpopular’ PM Abe is slated to win Japan vote https://t.co/1mrjozQD4m</t>
  </si>
  <si>
    <t xml:space="preserve">producer @npr's all things considered</t>
  </si>
  <si>
    <t xml:space="preserve">BBC Asia</t>
  </si>
  <si>
    <t xml:space="preserve">The Twitter home of BBC News in Asia.</t>
  </si>
  <si>
    <t xml:space="preserve">RT @BloombergAsia: Shinzo Abe may have just won a chance to lead Japan through 2021 https://t.co/bQHPujxVG7 https://t.co/4H7akzESNK</t>
  </si>
  <si>
    <t xml:space="preserve">RT: nytimesworld :Shinzo Abe's party on road to victory in Japan's elections, early projections show https://t.co/shls9YJrTD</t>
  </si>
  <si>
    <t xml:space="preserve">#BloombergTV ❧ Shinzo Abe may have just won a chance to lead Japan through 2021 https://t.co/BStxXlvMVB https://t.co/B3BkIrYc0b</t>
  </si>
  <si>
    <t xml:space="preserve">Shinzo Abe may have just won a chance to lead Japan through 2021 https://t.co/jQOzTK939o https://t.co/BsVDU7eWTQ #fb #sitifatimah #malays…</t>
  </si>
  <si>
    <t xml:space="preserve">Narendra Joshi</t>
  </si>
  <si>
    <t xml:space="preserve">Karl Lawrence Abiog</t>
  </si>
  <si>
    <t xml:space="preserve">RT BloombergTV "Shinzo Abe may have just won a chance to lead Japan through 2021 https://t.co/hFpib3u9ft https://t.co/AWiuYNHcnB"</t>
  </si>
  <si>
    <t xml:space="preserve">Carlos SDQ</t>
  </si>
  <si>
    <t xml:space="preserve">MarketingForJustice</t>
  </si>
  <si>
    <t xml:space="preserve">"Shinzo Abe may have just won a chance to lead Japan through 2021 https://t.co/O45DuDlcte https://t.co/Sc5rv8hCO6"https://t.co/Q0eC8Z3v13</t>
  </si>
  <si>
    <t xml:space="preserve">For when what you're passionate about needs justice Account managed by @heardandrew</t>
  </si>
  <si>
    <t xml:space="preserve">田辺博章</t>
  </si>
  <si>
    <r>
      <rPr>
        <sz val="8"/>
        <rFont val="Noto Sans CJK SC Regular"/>
        <family val="2"/>
      </rPr>
      <t xml:space="preserve">場末の</t>
    </r>
    <r>
      <rPr>
        <sz val="8"/>
        <rFont val="Droid Sans"/>
        <family val="0"/>
        <charset val="1"/>
      </rPr>
      <t xml:space="preserve">Pub</t>
    </r>
  </si>
  <si>
    <r>
      <rPr>
        <sz val="8"/>
        <rFont val="Droid Sans"/>
        <family val="0"/>
        <charset val="1"/>
      </rPr>
      <t xml:space="preserve">1970</t>
    </r>
    <r>
      <rPr>
        <sz val="8"/>
        <rFont val="Noto Sans CJK SC Regular"/>
        <family val="2"/>
      </rPr>
      <t xml:space="preserve">年生まれのオッさんですが、フォローしてくれている皆さんよろしくお願いします</t>
    </r>
    <r>
      <rPr>
        <sz val="8"/>
        <rFont val="Droid Sans"/>
        <family val="0"/>
        <charset val="1"/>
      </rPr>
      <t xml:space="preserve">m(_ _)m</t>
    </r>
  </si>
  <si>
    <t xml:space="preserve">Paul Brown</t>
  </si>
  <si>
    <t xml:space="preserve">Paul Brown: human rights, overpopulation, mass extinction, global warming, corporate rule. Subscribe to free email newslinks at pbrown4348@zoho.com.</t>
  </si>
  <si>
    <t xml:space="preserve">ゼットン会長</t>
  </si>
  <si>
    <t xml:space="preserve">Japan: exit polls suggest a landslide general election victory for Shinzo Abe's coalition - https://t.co/0IWdViBrRL #XaniaTube</t>
  </si>
  <si>
    <t xml:space="preserve">RT @bpolitics: Shinzo Abe may have just won a chance to lead Japan through 2021 https://t.co/lPQcT5QxSD https://t.co/CYBD9MpHvM</t>
  </si>
  <si>
    <t xml:space="preserve">FreakyVinny</t>
  </si>
  <si>
    <t xml:space="preserve">Cannibal, Criminal, Fanatic, &amp; Sellout</t>
  </si>
  <si>
    <t xml:space="preserve">Sumod Kuhar</t>
  </si>
  <si>
    <t xml:space="preserve">Ek Bhartiya, rest searching what I am. RTs are not endorsement.</t>
  </si>
  <si>
    <t xml:space="preserve">R Vishwanathan</t>
  </si>
  <si>
    <t xml:space="preserve">Retired. interests - politics,management,religion and spirituality. Support Namo</t>
  </si>
  <si>
    <t xml:space="preserve">Carlos Trujillo</t>
  </si>
  <si>
    <t xml:space="preserve">Armagedón</t>
  </si>
  <si>
    <t xml:space="preserve">Más acertado que JJ Rendón ´HAY UN CAMINO´ ´El Tiempo de Dios es perfecto´ ´Voltea pa´que te enamores´ CEO #BorregosSinFronteras #DespacitoReplay #FireandFury</t>
  </si>
  <si>
    <t xml:space="preserve">(bö)lf</t>
  </si>
  <si>
    <t xml:space="preserve">Highbury, North London</t>
  </si>
  <si>
    <t xml:space="preserve">a malay kafr.</t>
  </si>
  <si>
    <t xml:space="preserve">Dhruv</t>
  </si>
  <si>
    <t xml:space="preserve">Magdeburg, Deutschland</t>
  </si>
  <si>
    <t xml:space="preserve">Tweets about Hindu culture, sports and politics #noconversion #ReclaimTemples</t>
  </si>
  <si>
    <t xml:space="preserve">Uday Vellamcheti</t>
  </si>
  <si>
    <t xml:space="preserve">Japan PM Shinzo Abe's ruling bloc on track for big win in election: TV exit polls… https://t.co/KIXgQvd0rS</t>
  </si>
  <si>
    <t xml:space="preserve">Verna Smith</t>
  </si>
  <si>
    <t xml:space="preserve">#journalist, no holds-bar. Passion for #politics /#media. #SyracuseU Alum. Admires Strength/growth/determination. A year to seek/find. TheClipBoard@gmail.com</t>
  </si>
  <si>
    <r>
      <rPr>
        <sz val="8"/>
        <rFont val="Noto Sans CJK SC Regular"/>
        <family val="2"/>
      </rPr>
      <t xml:space="preserve">かがやき</t>
    </r>
    <r>
      <rPr>
        <sz val="8"/>
        <rFont val="Droid Sans"/>
        <family val="0"/>
        <charset val="1"/>
      </rPr>
      <t xml:space="preserve">ver.</t>
    </r>
    <r>
      <rPr>
        <sz val="8"/>
        <rFont val="Noto Sans CJK SC Regular"/>
        <family val="2"/>
      </rPr>
      <t xml:space="preserve">サマチャレ</t>
    </r>
  </si>
  <si>
    <t xml:space="preserve">Университет Канадзава</t>
  </si>
  <si>
    <r>
      <rPr>
        <sz val="8"/>
        <rFont val="Noto Sans CJK SC Regular"/>
        <family val="2"/>
      </rPr>
      <t xml:space="preserve">無機固体物性</t>
    </r>
    <r>
      <rPr>
        <sz val="8"/>
        <rFont val="Droid Sans"/>
        <family val="0"/>
        <charset val="1"/>
      </rPr>
      <t xml:space="preserve">/</t>
    </r>
    <r>
      <rPr>
        <sz val="8"/>
        <rFont val="Noto Sans CJK SC Regular"/>
        <family val="2"/>
      </rPr>
      <t xml:space="preserve">ガラス科学</t>
    </r>
    <r>
      <rPr>
        <sz val="8"/>
        <rFont val="Droid Sans"/>
        <family val="0"/>
        <charset val="1"/>
      </rPr>
      <t xml:space="preserve">/</t>
    </r>
    <r>
      <rPr>
        <sz val="8"/>
        <rFont val="Noto Sans CJK SC Regular"/>
        <family val="2"/>
      </rPr>
      <t xml:space="preserve">衝撃破壊</t>
    </r>
    <r>
      <rPr>
        <sz val="8"/>
        <rFont val="Droid Sans"/>
        <family val="0"/>
        <charset val="1"/>
      </rPr>
      <t xml:space="preserve">/</t>
    </r>
    <r>
      <rPr>
        <sz val="8"/>
        <rFont val="Noto Sans CJK SC Regular"/>
        <family val="2"/>
      </rPr>
      <t xml:space="preserve">応用鉱物学 </t>
    </r>
    <r>
      <rPr>
        <sz val="8"/>
        <rFont val="Droid Sans"/>
        <family val="0"/>
        <charset val="1"/>
      </rPr>
      <t xml:space="preserve">русский язык /science policy/</t>
    </r>
    <r>
      <rPr>
        <sz val="8"/>
        <rFont val="Noto Sans CJK SC Regular"/>
        <family val="2"/>
      </rPr>
      <t xml:space="preserve">エコロジー経済学 研究向け垢 大半が備忘録。サマチャレ</t>
    </r>
    <r>
      <rPr>
        <sz val="8"/>
        <rFont val="Droid Sans"/>
        <family val="0"/>
        <charset val="1"/>
      </rPr>
      <t xml:space="preserve">11th P03</t>
    </r>
  </si>
  <si>
    <t xml:space="preserve">thetristanfrantz</t>
  </si>
  <si>
    <t xml:space="preserve">congrats to shinzo abe for winning the japan PM election. i trust him in dealing with north korea, but he has to realize that trump has...</t>
  </si>
  <si>
    <t xml:space="preserve">The Republic Of Frantzia</t>
  </si>
  <si>
    <t xml:space="preserve">the best underground ranter on youtube! milestones: followers: 10,000 views: 100,000</t>
  </si>
  <si>
    <t xml:space="preserve">Chieko Natori</t>
  </si>
  <si>
    <t xml:space="preserve">Japan election: Shinzo Abe and his policies are unpopular, so why are voters set to stick with him? https://t.co/0mQTifbXOC via @abcnews</t>
  </si>
  <si>
    <t xml:space="preserve">Perth, Australia</t>
  </si>
  <si>
    <r>
      <rPr>
        <sz val="8"/>
        <rFont val="Noto Sans CJK SC Regular"/>
        <family val="2"/>
      </rPr>
      <t xml:space="preserve">夫、</t>
    </r>
    <r>
      <rPr>
        <sz val="8"/>
        <rFont val="Droid Sans"/>
        <family val="0"/>
        <charset val="1"/>
      </rPr>
      <t xml:space="preserve">14</t>
    </r>
    <r>
      <rPr>
        <sz val="8"/>
        <rFont val="Noto Sans CJK SC Regular"/>
        <family val="2"/>
      </rPr>
      <t xml:space="preserve">歳女子、</t>
    </r>
    <r>
      <rPr>
        <sz val="8"/>
        <rFont val="Droid Sans"/>
        <family val="0"/>
        <charset val="1"/>
      </rPr>
      <t xml:space="preserve">6</t>
    </r>
    <r>
      <rPr>
        <sz val="8"/>
        <rFont val="Noto Sans CJK SC Regular"/>
        <family val="2"/>
      </rPr>
      <t xml:space="preserve">歳男児の４人家族。福島原発事故後、放射能汚染を避けるため、埼玉県三郷市→東京西部→香川県と転居を重ね、</t>
    </r>
    <r>
      <rPr>
        <sz val="8"/>
        <rFont val="Droid Sans"/>
        <family val="0"/>
        <charset val="1"/>
      </rPr>
      <t xml:space="preserve">2013</t>
    </r>
    <r>
      <rPr>
        <sz val="8"/>
        <rFont val="Noto Sans CJK SC Regular"/>
        <family val="2"/>
      </rPr>
      <t xml:space="preserve">年</t>
    </r>
    <r>
      <rPr>
        <sz val="8"/>
        <rFont val="Droid Sans"/>
        <family val="0"/>
        <charset val="1"/>
      </rPr>
      <t xml:space="preserve">4</t>
    </r>
    <r>
      <rPr>
        <sz val="8"/>
        <rFont val="Noto Sans CJK SC Regular"/>
        <family val="2"/>
      </rPr>
      <t xml:space="preserve">月から一家で西オーストラリア在住。趣味は音楽、ガーデニング、料理、</t>
    </r>
    <r>
      <rPr>
        <sz val="8"/>
        <rFont val="Droid Sans"/>
        <family val="0"/>
        <charset val="1"/>
      </rPr>
      <t xml:space="preserve">DIY</t>
    </r>
    <r>
      <rPr>
        <sz val="8"/>
        <rFont val="Noto Sans CJK SC Regular"/>
        <family val="2"/>
      </rPr>
      <t xml:space="preserve">など。ブログ「パースで手作りざんまい」更新中。</t>
    </r>
  </si>
  <si>
    <t xml:space="preserve">Mukesh</t>
  </si>
  <si>
    <t xml:space="preserve">Modi's Intolerant India</t>
  </si>
  <si>
    <t xml:space="preserve">Proud Modi Bhakt. Vyapam | LalitGate | Beef | Dadari | Intolerance | AwardWapasi | &amp; more to come. Dear haters, throw all that u can, Modi is here to stay.</t>
  </si>
  <si>
    <t xml:space="preserve">Srinivasan.S</t>
  </si>
  <si>
    <t xml:space="preserve">Amaih!</t>
  </si>
  <si>
    <t xml:space="preserve">Janetter for Android</t>
  </si>
  <si>
    <t xml:space="preserve">AvGeek. Petrolhead. Otaku. Lurker. Roughneck.</t>
  </si>
  <si>
    <t xml:space="preserve">After Shinzo Abe's election win in Japan, many challenges still loom https://t.co/YBRD1qSIWa https://t.co/G9ypEXckmi</t>
  </si>
  <si>
    <t xml:space="preserve">Justin R. Jacobs</t>
  </si>
  <si>
    <t xml:space="preserve">Denver/LoHi/La Selva Beach</t>
  </si>
  <si>
    <t xml:space="preserve">Director of Integrated Communications &amp; Marketing @IMAfinancial | Tweets are my own | RT's probably sarcasm</t>
  </si>
  <si>
    <t xml:space="preserve">QuestionForAll</t>
  </si>
  <si>
    <t xml:space="preserve">RT @ChiekoInCage: Japan election: Shinzo Abe and his policies are unpopular, so why are voters set to stick with him? https://t.co/0mQTifbX…</t>
  </si>
  <si>
    <t xml:space="preserve">DomandePerTuttiBot</t>
  </si>
  <si>
    <t xml:space="preserve">Random Re-tweet from the best questions of twitter, do you play ? @questionforall</t>
  </si>
  <si>
    <t xml:space="preserve">John Aladina</t>
  </si>
  <si>
    <t xml:space="preserve">Democratic Republic Of Congo</t>
  </si>
  <si>
    <t xml:space="preserve">#Writer #Economist #Strategic #Political #Analyst #Advisor #Management #Finance #Auditing #Accounting #Planning | ICPM Member | #Eager to learn from others</t>
  </si>
  <si>
    <t xml:space="preserve">Kailash Vishnoi</t>
  </si>
  <si>
    <t xml:space="preserve">Portland Delhi Brasilia </t>
  </si>
  <si>
    <t xml:space="preserve">TM. Yog. Vegetarian. Researcher. Teacher. Eternal Student. PhD. RTs are not endorsements.</t>
  </si>
  <si>
    <r>
      <rPr>
        <sz val="8"/>
        <rFont val="Droid Sans"/>
        <family val="0"/>
        <charset val="1"/>
      </rPr>
      <t xml:space="preserve">havre3st (du.</t>
    </r>
    <r>
      <rPr>
        <sz val="8"/>
        <rFont val="Noto Sans CJK SC Regular"/>
        <family val="2"/>
      </rPr>
      <t xml:space="preserve">実子柚</t>
    </r>
    <r>
      <rPr>
        <sz val="8"/>
        <rFont val="Droid Sans"/>
        <family val="0"/>
        <charset val="1"/>
      </rPr>
      <t xml:space="preserve">)</t>
    </r>
  </si>
  <si>
    <t xml:space="preserve">wadnahjifugho (Japonaise)</t>
  </si>
  <si>
    <t xml:space="preserve">quibnon &amp; l'atelier de Yuzuca: 100-8698 No.2252, Ginza, Japanese Postale , Tokyo ,(p/o): @poi5vron■ http://t.co/1Y6okQJ9 (@moin5re (at) yahoo. co.jp</t>
  </si>
  <si>
    <t xml:space="preserve">Bhaskar G</t>
  </si>
  <si>
    <t xml:space="preserve">A proud Hindu and a Dr Swamy Bhakth. RTs not endorsements</t>
  </si>
  <si>
    <t xml:space="preserve">Ber F.B.</t>
  </si>
  <si>
    <t xml:space="preserve">Caracas, Distrito Capital</t>
  </si>
  <si>
    <t xml:space="preserve">Venezolano</t>
  </si>
  <si>
    <r>
      <rPr>
        <sz val="8"/>
        <rFont val="Droid Sans"/>
        <family val="0"/>
        <charset val="1"/>
      </rPr>
      <t xml:space="preserve">poi5vron (cu.</t>
    </r>
    <r>
      <rPr>
        <sz val="8"/>
        <rFont val="Noto Sans CJK SC Regular"/>
        <family val="2"/>
      </rPr>
      <t xml:space="preserve">実子柑</t>
    </r>
    <r>
      <rPr>
        <sz val="8"/>
        <rFont val="Droid Sans"/>
        <family val="0"/>
        <charset val="1"/>
      </rPr>
      <t xml:space="preserve">)</t>
    </r>
  </si>
  <si>
    <r>
      <rPr>
        <sz val="8"/>
        <rFont val="Droid Sans"/>
        <family val="0"/>
        <charset val="1"/>
      </rPr>
      <t xml:space="preserve">wadnahjifugho (</t>
    </r>
    <r>
      <rPr>
        <sz val="8"/>
        <rFont val="Noto Sans CJK SC Regular"/>
        <family val="2"/>
      </rPr>
      <t xml:space="preserve">東京都</t>
    </r>
    <r>
      <rPr>
        <sz val="8"/>
        <rFont val="Droid Sans"/>
        <family val="0"/>
        <charset val="1"/>
      </rPr>
      <t xml:space="preserve">Tokyo</t>
    </r>
    <r>
      <rPr>
        <sz val="8"/>
        <rFont val="Noto Sans CJK SC Regular"/>
        <family val="2"/>
      </rPr>
      <t xml:space="preserve">区部（西側）</t>
    </r>
    <r>
      <rPr>
        <sz val="8"/>
        <rFont val="Droid Sans"/>
        <family val="0"/>
        <charset val="1"/>
      </rPr>
      <t xml:space="preserve">)</t>
    </r>
  </si>
  <si>
    <r>
      <rPr>
        <sz val="8"/>
        <rFont val="Droid Sans"/>
        <family val="0"/>
        <charset val="1"/>
      </rPr>
      <t xml:space="preserve">@moin5re @havre3st (←home)</t>
    </r>
    <r>
      <rPr>
        <sz val="8"/>
        <rFont val="Noto Sans CJK SC Regular"/>
        <family val="2"/>
      </rPr>
      <t xml:space="preserve">のフォロー用アカウント</t>
    </r>
    <r>
      <rPr>
        <sz val="8"/>
        <rFont val="Droid Sans"/>
        <family val="0"/>
        <charset val="1"/>
      </rPr>
      <t xml:space="preserve">(account to follow)</t>
    </r>
    <r>
      <rPr>
        <sz val="8"/>
        <rFont val="Noto Sans CJK SC Regular"/>
        <family val="2"/>
      </rPr>
      <t xml:space="preserve">であります。</t>
    </r>
    <r>
      <rPr>
        <sz val="8"/>
        <rFont val="Droid Sans"/>
        <family val="0"/>
        <charset val="1"/>
      </rPr>
      <t xml:space="preserve">http://t.co/F6PrJCOuEl parfois </t>
    </r>
    <r>
      <rPr>
        <sz val="8"/>
        <rFont val="Noto Sans CJK SC Regular"/>
        <family val="2"/>
      </rPr>
      <t xml:space="preserve">＊＊</t>
    </r>
    <r>
      <rPr>
        <sz val="8"/>
        <rFont val="Droid Sans"/>
        <family val="0"/>
        <charset val="1"/>
      </rPr>
      <t xml:space="preserve">bot.</t>
    </r>
  </si>
  <si>
    <t xml:space="preserve">🚩🚩🚩</t>
  </si>
  <si>
    <t xml:space="preserve">Hindu Rashtra Bharatha</t>
  </si>
  <si>
    <t xml:space="preserve">Support हिंदू राष्ट्र।🚩 शिवाजी महाराज is my GOD. Supporter of Subramanian Swamy, Subhash Chandra Bose ji and Ajit Doval ji। भारतीय। हिंदू। ಕನ್ನಡಿಗ</t>
  </si>
  <si>
    <t xml:space="preserve">drifter_N</t>
  </si>
  <si>
    <r>
      <rPr>
        <sz val="8"/>
        <rFont val="Noto Sans CJK SC Regular"/>
        <family val="2"/>
      </rPr>
      <t xml:space="preserve">しがない</t>
    </r>
    <r>
      <rPr>
        <sz val="8"/>
        <rFont val="Droid Sans"/>
        <family val="0"/>
        <charset val="1"/>
      </rPr>
      <t xml:space="preserve">IT</t>
    </r>
    <r>
      <rPr>
        <sz val="8"/>
        <rFont val="Noto Sans CJK SC Regular"/>
        <family val="2"/>
      </rPr>
      <t xml:space="preserve">渡り職人でございます。方々、ぼちぼち徘徊しとります。</t>
    </r>
  </si>
  <si>
    <r>
      <rPr>
        <sz val="8"/>
        <rFont val="Droid Sans"/>
        <family val="0"/>
        <charset val="1"/>
      </rPr>
      <t xml:space="preserve">moin5re </t>
    </r>
    <r>
      <rPr>
        <sz val="8"/>
        <rFont val="Noto Sans CJK SC Regular"/>
        <family val="2"/>
      </rPr>
      <t xml:space="preserve">屯山灯伯</t>
    </r>
  </si>
  <si>
    <r>
      <rPr>
        <sz val="8"/>
        <rFont val="Droid Sans"/>
        <family val="0"/>
        <charset val="1"/>
      </rPr>
      <t xml:space="preserve">wadnahjifugho (</t>
    </r>
    <r>
      <rPr>
        <sz val="8"/>
        <rFont val="Noto Sans CJK SC Regular"/>
        <family val="2"/>
      </rPr>
      <t xml:space="preserve">東京都・区部（西側）</t>
    </r>
    <r>
      <rPr>
        <sz val="8"/>
        <rFont val="Droid Sans"/>
        <family val="0"/>
        <charset val="1"/>
      </rPr>
      <t xml:space="preserve">)</t>
    </r>
  </si>
  <si>
    <r>
      <rPr>
        <sz val="8"/>
        <rFont val="Noto Sans CJK SC Regular"/>
        <family val="2"/>
      </rPr>
      <t xml:space="preserve">参事 </t>
    </r>
    <r>
      <rPr>
        <sz val="8"/>
        <rFont val="Droid Sans"/>
        <family val="0"/>
        <charset val="1"/>
      </rPr>
      <t xml:space="preserve">@havre3st</t>
    </r>
    <r>
      <rPr>
        <sz val="8"/>
        <rFont val="Noto Sans CJK SC Regular"/>
        <family val="2"/>
      </rPr>
      <t xml:space="preserve">の日本語専門アカウントです。どこそことなくフリー（に限りなく近、</t>
    </r>
    <r>
      <rPr>
        <sz val="8"/>
        <rFont val="Droid Sans"/>
        <family val="0"/>
        <charset val="1"/>
      </rPr>
      <t xml:space="preserve">@havre5st @erne3ar </t>
    </r>
    <r>
      <rPr>
        <sz val="8"/>
        <rFont val="Noto Sans CJK SC Regular"/>
        <family val="2"/>
      </rPr>
      <t xml:space="preserve">お問い合わせ、ありましたらメール</t>
    </r>
    <r>
      <rPr>
        <sz val="8"/>
        <rFont val="Droid Sans"/>
        <family val="0"/>
        <charset val="1"/>
      </rPr>
      <t xml:space="preserve">moin5re(at) yahoo .co.jp</t>
    </r>
    <r>
      <rPr>
        <sz val="8"/>
        <rFont val="Noto Sans CJK SC Regular"/>
        <family val="2"/>
      </rPr>
      <t xml:space="preserve">まで。ブログも書いてます</t>
    </r>
    <r>
      <rPr>
        <sz val="8"/>
        <rFont val="Droid Sans"/>
        <family val="0"/>
        <charset val="1"/>
      </rPr>
      <t xml:space="preserve">https://t.co/obSB0ihqyh </t>
    </r>
    <r>
      <rPr>
        <sz val="8"/>
        <rFont val="Noto Sans CJK SC Regular"/>
        <family val="2"/>
      </rPr>
      <t xml:space="preserve">。</t>
    </r>
    <r>
      <rPr>
        <sz val="8"/>
        <rFont val="Droid Sans"/>
        <family val="0"/>
        <charset val="1"/>
      </rPr>
      <t xml:space="preserve">@yori2a @ttonzan</t>
    </r>
  </si>
  <si>
    <t xml:space="preserve">Rach or Alice 🍄</t>
  </si>
  <si>
    <t xml:space="preserve">Atlantic Ocean</t>
  </si>
  <si>
    <t xml:space="preserve">#visual #art #graphs #business #numbers #wanderlust 🚢#AUTISM #ADHD. #Travel #Culture #Humanity #Ambidextrous #BobDylan #NYC ❤🗽💃🏽🇺🇸⚓️</t>
  </si>
  <si>
    <t xml:space="preserve">Brijesh Mundada</t>
  </si>
  <si>
    <t xml:space="preserve">Nashik</t>
  </si>
  <si>
    <t xml:space="preserve">pinank (Achillies)</t>
  </si>
  <si>
    <t xml:space="preserve">ur-trading</t>
  </si>
  <si>
    <t xml:space="preserve">Yen is weaker and Japanese equity futures notably higher following a landslide election victory for Japan Prime Minister Shinzo Abe</t>
  </si>
  <si>
    <t xml:space="preserve">COLOMBIA</t>
  </si>
  <si>
    <t xml:space="preserve">No enseñar a un hombre que está dispuesto a aprender es desaprovechar a un hombre: Confucio. Un gráfico vale más que mil palabras...</t>
  </si>
  <si>
    <t xml:space="preserve">Santiago A M</t>
  </si>
  <si>
    <t xml:space="preserve">👊🏼Apasionado por las finanzas 📈, la economía y los mercados. Ciclista aficionado 🚴🏽. Ingeniero ⚒ ¿QUIEN COMO DIOS? ⚡️ Instagram 📷 @sagudelom0612</t>
  </si>
  <si>
    <t xml:space="preserve">Abhi Mahapatra</t>
  </si>
  <si>
    <t xml:space="preserve">In state of constant inquisitiveness. Bikes, sports and music keeps me sane. Love all forms of storytelling. work@Nissan</t>
  </si>
  <si>
    <t xml:space="preserve">Sakura</t>
  </si>
  <si>
    <r>
      <rPr>
        <sz val="8"/>
        <rFont val="Noto Sans CJK SC Regular"/>
        <family val="2"/>
      </rPr>
      <t xml:space="preserve">趣味、興味のあることを中心に</t>
    </r>
    <r>
      <rPr>
        <sz val="8"/>
        <rFont val="Droid Sans"/>
        <family val="0"/>
        <charset val="1"/>
      </rPr>
      <t xml:space="preserve">Twitter</t>
    </r>
    <r>
      <rPr>
        <sz val="8"/>
        <rFont val="Noto Sans CJK SC Regular"/>
        <family val="2"/>
      </rPr>
      <t xml:space="preserve">を使ってます。</t>
    </r>
  </si>
  <si>
    <t xml:space="preserve">笠原 昭彦　九州のじじ</t>
  </si>
  <si>
    <t xml:space="preserve">アメブロを、やっています。ホークスを応援していきます。 左翼・共産党は大嫌いです。 純日本人です。もちろん日本が一番好きです。</t>
  </si>
  <si>
    <t xml:space="preserve">Seputar Indonesia</t>
  </si>
  <si>
    <t xml:space="preserve">Shinzo Abe’s election victory renews speculation over changes to Japan’s constitution… https://t.co/NYRbMTi18l https://t.co/IbnBbXDxir</t>
  </si>
  <si>
    <t xml:space="preserve">Berita Terbaru Nasional Internasional</t>
  </si>
  <si>
    <t xml:space="preserve">bluebot</t>
  </si>
  <si>
    <t xml:space="preserve">#politics #media #news https://t.co/unTwhFm09w Japan: exit polls suggest a landslide general election victory for Shinzo Abe's coalition -…</t>
  </si>
  <si>
    <t xml:space="preserve">just a lil political watchbot, and occasionally the creator as well</t>
  </si>
  <si>
    <t xml:space="preserve">The Walking D</t>
  </si>
  <si>
    <t xml:space="preserve">On your pc screen.</t>
  </si>
  <si>
    <t xml:space="preserve">Just a guy. That's all.</t>
  </si>
  <si>
    <t xml:space="preserve">Shinzo Abe’s election victory renews speculation over changes to Japan’s constitution… https://t.co/uXykPW7kZi https://t.co/7NRGjkdOaG</t>
  </si>
  <si>
    <t xml:space="preserve">CarlosMBVSlimHeluRot</t>
  </si>
  <si>
    <t xml:space="preserve">UNIVERSE &amp; Planet Earth </t>
  </si>
  <si>
    <t xml:space="preserve">CMBSlimHeluRothschild UNIVERSE #12Tribes #ClipperNationSince6thGrade. #1#NBA2K13 MostWins @WorldGaming. #Hebrew #BasketballWizz #DENA #Issachar</t>
  </si>
  <si>
    <t xml:space="preserve">Roy</t>
  </si>
  <si>
    <t xml:space="preserve">Jiangsu</t>
  </si>
  <si>
    <t xml:space="preserve">Carol Diaz</t>
  </si>
  <si>
    <t xml:space="preserve">Resist and Persist !</t>
  </si>
  <si>
    <t xml:space="preserve">夏目くうみ</t>
  </si>
  <si>
    <t xml:space="preserve">徳島市内</t>
  </si>
  <si>
    <r>
      <rPr>
        <sz val="8"/>
        <rFont val="Noto Sans CJK SC Regular"/>
        <family val="2"/>
      </rPr>
      <t xml:space="preserve">絵描きですが、不思議世界とのご縁ができ、爆走中。 神様大好き！日本大好き！って叫んでます。日本は日本人が守る！日本の神様も剣を持ってる！（＾＾）ｖ エロ系・アフィ系など</t>
    </r>
    <r>
      <rPr>
        <sz val="8"/>
        <rFont val="Droid Sans"/>
        <family val="0"/>
        <charset val="1"/>
      </rPr>
      <t xml:space="preserve">NG</t>
    </r>
    <r>
      <rPr>
        <sz val="8"/>
        <rFont val="Noto Sans CJK SC Regular"/>
        <family val="2"/>
      </rPr>
      <t xml:space="preserve">です。神様に指刺されるのはご法度。ご自身のお心に問うて下さいまし。 保守です。ウザイと思われる方はミュートをお願い致しますね（笑）</t>
    </r>
    <r>
      <rPr>
        <sz val="8"/>
        <rFont val="Droid Sans"/>
        <family val="0"/>
        <charset val="1"/>
      </rPr>
      <t xml:space="preserve">m(__)m</t>
    </r>
  </si>
  <si>
    <t xml:space="preserve">z 💜💚💛💙❤️</t>
  </si>
  <si>
    <t xml:space="preserve">🔸thoughts of bi-feminist documented through world news 🔸pro love, humans, and just everything positive in general 💫🏳️‍🌈</t>
  </si>
  <si>
    <t xml:space="preserve">Rohit Kumar Agarwal</t>
  </si>
  <si>
    <t xml:space="preserve">Shinzo Abe's election victory renews speculation over changes to Japan's constitution https://t.co/l5I34GxkiH via @abcnews</t>
  </si>
  <si>
    <t xml:space="preserve">Avinash Gorakshakar</t>
  </si>
  <si>
    <t xml:space="preserve">head of Research joindre capital services love equities meeting companies</t>
  </si>
  <si>
    <t xml:space="preserve">IndianKashmiri</t>
  </si>
  <si>
    <t xml:space="preserve">Noida,NCR region,UP,India </t>
  </si>
  <si>
    <t xml:space="preserve">Professional - Aspiring Indian</t>
  </si>
  <si>
    <t xml:space="preserve">Hindustani</t>
  </si>
  <si>
    <t xml:space="preserve">Lonavala</t>
  </si>
  <si>
    <t xml:space="preserve">Educationist, Social worker &amp; NaMo supporter, Pl follow back</t>
  </si>
  <si>
    <t xml:space="preserve">T. L. SAHU</t>
  </si>
  <si>
    <t xml:space="preserve">I am an engineer (DGM) working in a big engg company in Delhi. I am interested in politics. I am closely observing the political activities of India and world.</t>
  </si>
  <si>
    <t xml:space="preserve">Maverick</t>
  </si>
  <si>
    <t xml:space="preserve">VP &amp; Head - Workplace Giving &amp; Alliances @ GiveIndia, MBA Cass, Madridista, Entrepreneur, Work in Progress!</t>
  </si>
  <si>
    <t xml:space="preserve">Let's get dangerous; let's get brave. Let's dream and work together towards a better tomorrow.</t>
  </si>
  <si>
    <t xml:space="preserve">pgotimukul</t>
  </si>
  <si>
    <t xml:space="preserve">Bjp Modi Yogi r important to india. also nationalism n Indian culture. travel n reading keep one up to date. share n love keeps u going.</t>
  </si>
  <si>
    <t xml:space="preserve">G G</t>
  </si>
  <si>
    <t xml:space="preserve">IN</t>
  </si>
  <si>
    <t xml:space="preserve">#Got to be aware - #Presstitutes , #SocialMedia is the new North, it remembers EVERYTHING!</t>
  </si>
  <si>
    <t xml:space="preserve">Being Bhartiya🇮🇳</t>
  </si>
  <si>
    <t xml:space="preserve">Bharat भारत</t>
  </si>
  <si>
    <t xml:space="preserve">Be practical. Support #UCC &amp; only EBC reservations. Believed in humanity. #IndiaFirst #सबका_साथ_सबका_विकास #जय_हिन्द ! #वंदे_मातरम 🇮🇳</t>
  </si>
  <si>
    <t xml:space="preserve">Dark Knight</t>
  </si>
  <si>
    <t xml:space="preserve">一期一会</t>
  </si>
  <si>
    <t xml:space="preserve">RT BloombergTV "Shinzo Abe may have just won a chance to lead Japan through 2021 https://t.co/eY6Hjic9Eo https://t.co/wsaFCnN6n3"</t>
  </si>
  <si>
    <t xml:space="preserve">holly.c</t>
  </si>
  <si>
    <t xml:space="preserve">Arpit Joshi 🇮🇳</t>
  </si>
  <si>
    <t xml:space="preserve">jai hind</t>
  </si>
  <si>
    <t xml:space="preserve">senthil kumar</t>
  </si>
  <si>
    <t xml:space="preserve">Proud Hindu and Indian Nationalist.I love animals including snakes and birds.They too have right to live on this earth.No human being have right to eat them.</t>
  </si>
  <si>
    <t xml:space="preserve">Japanese Prime Minister Shinzo Abe's ruling bloc scored a big win in Sunday's election, bolstering his chance of... https://t.co/nutnsJjvnt</t>
  </si>
  <si>
    <t xml:space="preserve">My Sources</t>
  </si>
  <si>
    <t xml:space="preserve">Personal account. Retweeting news &amp; insights. Mostly politics (often with a tendency), sometimes economics plus a little bit science &amp; tech.</t>
  </si>
  <si>
    <t xml:space="preserve">#India - Japan PM Shinzo Abe's ruling bloc on track for big win in election: TV exit polls… https://t.co/IkAnQSFaGr</t>
  </si>
  <si>
    <t xml:space="preserve">राकेश रंजन</t>
  </si>
  <si>
    <t xml:space="preserve">...-Under the spreading chestnut tree, I sold you and you sold me-...Love History. Studied Fashion. Addicted to Short Stories. Aspirant. RT not endorsement.</t>
  </si>
  <si>
    <t xml:space="preserve">Jaganath</t>
  </si>
  <si>
    <t xml:space="preserve">Nation First. Retweet not endorsement.</t>
  </si>
  <si>
    <t xml:space="preserve">consumer A</t>
  </si>
  <si>
    <t xml:space="preserve">[via Buffer] Election Risk Pays Off for Shinzo Abe of Japan as His Party Appears to Win Big https://t.co/lL43msgL8n</t>
  </si>
  <si>
    <t xml:space="preserve">I am a consumer. As yet I have no name. I've no idea where I was born. All I remember is that I was tweeting in a dampish dark place.</t>
  </si>
  <si>
    <t xml:space="preserve">gentle_cat009</t>
  </si>
  <si>
    <t xml:space="preserve">あなたは十年後にもきっと、せめて十年でいいから戻ってやり直したいと思っていますよ。 今やり直してください。 未来を。 十年後か、二十年後か、五十年後から戻ってきたんですよ。 今。 『ねこぢる』 ※※政治系ツイートは全て転載と妄想です※※日々是精進※※痛みを感じる方向に出口がある※※</t>
  </si>
  <si>
    <t xml:space="preserve">Japan PM Shinzo Abe's ruling bloc on track for big win in election: TV exit polls… https://t.co/25B2TZoVlK News IN</t>
  </si>
  <si>
    <t xml:space="preserve">Prabhaker Sinha</t>
  </si>
  <si>
    <t xml:space="preserve">Lynne J. Boccaccio</t>
  </si>
  <si>
    <t xml:space="preserve">Japan's Abe on track for landslide win, exit polls show @CNN https://t.co/i9SFfopsFN //Election In Japan Today--Shinzo Abe Likely To Win."</t>
  </si>
  <si>
    <t xml:space="preserve">lynnejboccaccio@yahoo.com</t>
  </si>
  <si>
    <t xml:space="preserve">Freelance Writer, Toronto...Issues of the day, Elections, Politics, Environment &amp; More-Retweets Or Likes Are Not An Agreement/ Opinion, Unless Stated.</t>
  </si>
  <si>
    <t xml:space="preserve">Japan: exit polls suggest a landslide general election victory for Shinzo Abe's coalition https://t.co/8baGcpNSuS</t>
  </si>
  <si>
    <t xml:space="preserve">頭道人</t>
  </si>
  <si>
    <t xml:space="preserve">RT TFTCS "RT BloombergTV "Shinzo Abe may have just won a chance to lead Japan through 2021 https://t.co/hFpib3u9ft https://t.co/AWiuYNHcnB""</t>
  </si>
  <si>
    <t xml:space="preserve">Ankit Gupta</t>
  </si>
  <si>
    <t xml:space="preserve">My need for Freedom dominates my decisions | Want to go everywhere</t>
  </si>
  <si>
    <t xml:space="preserve">Ajey Bhatia</t>
  </si>
  <si>
    <t xml:space="preserve">The more I know, the more I know, how much more, there is to know!</t>
  </si>
  <si>
    <t xml:space="preserve">Sunita Garg</t>
  </si>
  <si>
    <t xml:space="preserve">Physician, proud Hindu &amp; even prouder Indian. RTs Don't imply endorsement</t>
  </si>
  <si>
    <t xml:space="preserve">八円</t>
  </si>
  <si>
    <r>
      <rPr>
        <sz val="8"/>
        <rFont val="Noto Sans CJK SC Regular"/>
        <family val="2"/>
      </rPr>
      <t xml:space="preserve">祖父は小笠原兵団 要塞建築第五中隊 大日本帝国陸軍 少尉 第一条 皇室を敬戴すべし 第二条 本国を愛重すべし 第三条 人民の権利を固守すべし この各条は子孫の子孫にまで伝え、決して変えてはならず、後世に子孫がこれに違反することがあれば、それは日本人の子孫ではない。</t>
    </r>
    <r>
      <rPr>
        <sz val="8"/>
        <rFont val="Droid Sans"/>
        <family val="0"/>
        <charset val="1"/>
      </rPr>
      <t xml:space="preserve">#</t>
    </r>
    <r>
      <rPr>
        <sz val="8"/>
        <rFont val="Noto Sans CJK SC Regular"/>
        <family val="2"/>
      </rPr>
      <t xml:space="preserve">玄洋社 </t>
    </r>
  </si>
  <si>
    <t xml:space="preserve">CARUM</t>
  </si>
  <si>
    <t xml:space="preserve">Kuala Lumpur Federal Territory</t>
  </si>
  <si>
    <t xml:space="preserve">The Centre for ASEAN Regionalism University of Malaya (CARUM) focuses not just on ASEAN but also on ASEAN’s relations with dialogue partners beyond the region.</t>
  </si>
  <si>
    <t xml:space="preserve">Madhulika kak</t>
  </si>
  <si>
    <t xml:space="preserve">Born in Kashmir, firmly believe Sanatan only scientific way of life, dil se Bharitiya ,Principle of life Karma and Truth are only Dharma</t>
  </si>
  <si>
    <t xml:space="preserve">エリー佐藤</t>
  </si>
  <si>
    <t xml:space="preserve">ski instructor/magazine writer/editor/high school English teacher/beetle breeder/TOEIC trainer/yoga tutor</t>
  </si>
  <si>
    <t xml:space="preserve">懞紗田</t>
  </si>
  <si>
    <t xml:space="preserve">Veo News</t>
  </si>
  <si>
    <t xml:space="preserve">Japan: exit polls suggest a landslide general election victory for Shinzo Abe’s coalition https://t.co/lbemGZnCAg https://t.co/IuTD9KeD1W</t>
  </si>
  <si>
    <t xml:space="preserve">Video news about World News in Veo News A site for @Teleame @VeoNoticias_</t>
  </si>
  <si>
    <t xml:space="preserve">Adrian Aragon Saenz</t>
  </si>
  <si>
    <t xml:space="preserve">COSTA RICA</t>
  </si>
  <si>
    <t xml:space="preserve">Writer.If you like passion, elegance, design, innovation, tech ,financial info, imagination, social responsibility or legacies FOLLOW ME- ORGANIC PROFILE!</t>
  </si>
  <si>
    <t xml:space="preserve">Kiran</t>
  </si>
  <si>
    <t xml:space="preserve">Brahmin by Birth | An Academic by Vocation | A Nationalist by Heart (Views expressed are personal &amp; RTs are not endorsements)</t>
  </si>
  <si>
    <t xml:space="preserve">橋本完</t>
  </si>
  <si>
    <t xml:space="preserve">Election Risk Pays Off for Shinzo Abe of Japan as His Party Appears to Win Big https://t.co/alLxSTZScq</t>
  </si>
  <si>
    <t xml:space="preserve">Osaka</t>
  </si>
  <si>
    <r>
      <rPr>
        <sz val="8"/>
        <rFont val="Noto Sans CJK SC Regular"/>
        <family val="2"/>
      </rPr>
      <t xml:space="preserve">アトリエまほろ・主宰 </t>
    </r>
    <r>
      <rPr>
        <sz val="8"/>
        <rFont val="Droid Sans"/>
        <family val="0"/>
        <charset val="1"/>
      </rPr>
      <t xml:space="preserve">Atelier MAHORO </t>
    </r>
    <r>
      <rPr>
        <sz val="8"/>
        <rFont val="Noto Sans CJK SC Regular"/>
        <family val="2"/>
      </rPr>
      <t xml:space="preserve">＜ 匠が創る生活空間 ＞をテーマに、地球環境にやさしい都市をめざして、都市に社叢の森をつくる。 社叢とは、鎮守の森をはじめとする古墳、ウタキ、社寺林など、人がみだりに入ることを制限している森です。 社叢の森は、地球環境を護る生物多様性の宝庫だからです。</t>
    </r>
  </si>
  <si>
    <t xml:space="preserve">Raul Luraghi</t>
  </si>
  <si>
    <t xml:space="preserve">Inquisitive mind</t>
  </si>
  <si>
    <t xml:space="preserve">Interests: Finance, Science, History &amp; News</t>
  </si>
  <si>
    <t xml:space="preserve">Shotaro Kaneda</t>
  </si>
  <si>
    <t xml:space="preserve">NeoTokyo, MD</t>
  </si>
  <si>
    <t xml:space="preserve">A bit of a punk, impulsively brash, and resolute. One part furry, one part Otaku. Two parts cool guy, all rolled into one. Dig me, people!</t>
  </si>
  <si>
    <t xml:space="preserve">Harish Pande</t>
  </si>
  <si>
    <t xml:space="preserve">“I care, therefore I am; I hope, therefore I am; I imagine, therefore I am. I am ethical, therefore I am. I have a purpose, therefore I am!!</t>
  </si>
  <si>
    <t xml:space="preserve">Ketan Sheth</t>
  </si>
  <si>
    <t xml:space="preserve">Shinzo Abe sweeps to resounding victory in Japan election https://t.co/AFWX6mFvOI</t>
  </si>
  <si>
    <t xml:space="preserve">Political and Social Analyst. #IndiaFirst Privilege - India's PM @narendramodi ji follows me. All views are strictly personal. RTs are not endorsements</t>
  </si>
  <si>
    <t xml:space="preserve">RT TFTCS "RT BloombergTV "Shinzo Abe may have just won a chance to lead Japan through 2021 https://t.co/BZnJzPv3A8 https://t.co/inSa9WO7pO""</t>
  </si>
  <si>
    <t xml:space="preserve">reply 2world</t>
  </si>
  <si>
    <t xml:space="preserve">Japan's PM Abe vows to be firm with North Korea after big win in election, East Asia News &amp; Top Stories - https://t.co/ZuXWogMTeR</t>
  </si>
  <si>
    <t xml:space="preserve">Sharing global Geopolitical news .Worries about man made slaves.RTs are not endorsements.</t>
  </si>
  <si>
    <t xml:space="preserve">Akshay Kanoria</t>
  </si>
  <si>
    <t xml:space="preserve">Bombay based, politically liberal, economically conservative. RTs are not endorsements just things I find interesting</t>
  </si>
  <si>
    <t xml:space="preserve">Sunny</t>
  </si>
  <si>
    <t xml:space="preserve">Election Risk Pays Off for Shinzo Abe of Japan as His Party Appears to Win Big https://t.co/sLKrxKjv0R</t>
  </si>
  <si>
    <r>
      <rPr>
        <sz val="8"/>
        <rFont val="Droid Sans"/>
        <family val="0"/>
        <charset val="1"/>
      </rPr>
      <t xml:space="preserve">CUD46, ESL UT Austin, Law CMU 20, LL.M. at IIT (C-K) 2016 &amp; U of Minnesota 2017. #FCBayern #COYS</t>
    </r>
    <r>
      <rPr>
        <sz val="8"/>
        <rFont val="Noto Sans CJK SC Regular"/>
        <family val="2"/>
      </rPr>
      <t xml:space="preserve">「</t>
    </r>
    <r>
      <rPr>
        <sz val="8"/>
        <rFont val="Droid Sans"/>
        <family val="0"/>
        <charset val="1"/>
      </rPr>
      <t xml:space="preserve">@toeyarisara ☆</t>
    </r>
    <r>
      <rPr>
        <sz val="8"/>
        <rFont val="Noto Sans CJK SC Regular"/>
        <family val="2"/>
      </rPr>
      <t xml:space="preserve">」</t>
    </r>
  </si>
  <si>
    <t xml:space="preserve">Bhuvi</t>
  </si>
  <si>
    <t xml:space="preserve">CNSG</t>
  </si>
  <si>
    <t xml:space="preserve">vithal rai thakore</t>
  </si>
  <si>
    <t xml:space="preserve">Bhagyanagar, Telengana</t>
  </si>
  <si>
    <t xml:space="preserve">Hindu Nationalist. Rt's are not endorsement &amp; it's not my responsibility</t>
  </si>
  <si>
    <t xml:space="preserve">rishi b</t>
  </si>
  <si>
    <t xml:space="preserve">Take pride in being an Indian, take pride in being a hindu. My retweets are my endorsements, my favourites are actually bookmarks and not necessarily favourites</t>
  </si>
  <si>
    <t xml:space="preserve">蒙面炒粉</t>
  </si>
  <si>
    <t xml:space="preserve">shaktiprasad</t>
  </si>
  <si>
    <t xml:space="preserve">Pune, Bharat(India)</t>
  </si>
  <si>
    <t xml:space="preserve">Koch Research Institute Pune</t>
  </si>
  <si>
    <t xml:space="preserve">Arindam Datta</t>
  </si>
  <si>
    <t xml:space="preserve">बैंगलुरु, भारत</t>
  </si>
  <si>
    <t xml:space="preserve">Sports Business and Financial News Government and Politics News</t>
  </si>
  <si>
    <t xml:space="preserve">Election Risk Pays Off for Shinzo Abe of Japan as Party Appears to Win Big #election https://t.co/6Sd0vpYUNL https://t.co/tyFh92X7Em</t>
  </si>
  <si>
    <t xml:space="preserve">Japan PM Shinzo Abe's ruling bloc on track for big win in election: TV exit polls… https://t.co/zdK0tHnIEA @iblogbir</t>
  </si>
  <si>
    <t xml:space="preserve">Italian congress</t>
  </si>
  <si>
    <t xml:space="preserve">Exposing congress paid journalists</t>
  </si>
  <si>
    <t xml:space="preserve">Shankara</t>
  </si>
  <si>
    <t xml:space="preserve">Harish M</t>
  </si>
  <si>
    <t xml:space="preserve">BE IN LOVE TO BE HAPPY BE HAPPY TO BE IN LOVE. A Proud Virat Hindu. For every reason there is a Supreme reason that is SRI KRISHNA.</t>
  </si>
  <si>
    <t xml:space="preserve">James Iacobus</t>
  </si>
  <si>
    <t xml:space="preserve">#ShinzoAbe's election victory renews speculation over changes to #Japan's constitution https://t.co/T4xxUjrm05 via @abcnews #JapanElection</t>
  </si>
  <si>
    <t xml:space="preserve">I'm a philomath, philocalist, nyctophile, #introvert (#INTJ), misanthrope, individualist, #agnostic, #demiromantic #asexual #fetishist, and anomaly. 18+</t>
  </si>
  <si>
    <t xml:space="preserve">mil ♋️</t>
  </si>
  <si>
    <t xml:space="preserve">Seremban</t>
  </si>
  <si>
    <t xml:space="preserve">Idealist | Work til i can buy Calvin Klein like buying groceries | Ailurophile | @AlumniFSPPPUiTM @MAS | consistently having faith and hope on this cruel world</t>
  </si>
  <si>
    <t xml:space="preserve">babajibaala</t>
  </si>
  <si>
    <t xml:space="preserve">A lonely wanderer of मातृभूमि</t>
  </si>
  <si>
    <t xml:space="preserve">小翡翠</t>
  </si>
  <si>
    <t xml:space="preserve">PankajBagla</t>
  </si>
  <si>
    <t xml:space="preserve">Being defeated is often a temporary condition; giving up is what makes it permanent.</t>
  </si>
  <si>
    <t xml:space="preserve">Jack Chu</t>
  </si>
  <si>
    <t xml:space="preserve">Preetish Agarkhed</t>
  </si>
  <si>
    <t xml:space="preserve">Brahma</t>
  </si>
  <si>
    <t xml:space="preserve">Japan: exit polls suggest a landslide general election victory for Shinzo Abe's coalition https://t.co/cOlA9IseNw #breaking #world #europe…</t>
  </si>
  <si>
    <t xml:space="preserve">sanjay mishra</t>
  </si>
  <si>
    <t xml:space="preserve">Sanatan Dharmi, Seeker, Believe in Vashudhaive Kutumbkam, Respect is luxury work hard to earn it. Differences in opinions is ok but Bullshit is not.</t>
  </si>
  <si>
    <t xml:space="preserve">MAHESH YADAV</t>
  </si>
  <si>
    <t xml:space="preserve">COUNTRY FIRST PROUD TO BE BHARTIYE HINDU 🕉. S.SWAMY Bhakta.N. MODI JI's bhakt GAURAV PRADHAN JI's admirer .views r personal FOE 🆗.</t>
  </si>
  <si>
    <t xml:space="preserve">BijuKumar</t>
  </si>
  <si>
    <t xml:space="preserve">A Proud Indian and a Proud Hindu. Tweets expressed here are my personal opinion.</t>
  </si>
  <si>
    <t xml:space="preserve">KK-Bagavath Gita</t>
  </si>
  <si>
    <t xml:space="preserve">25 Years in Telecom Industry. Proud to be an Indian. Re tweet are not endorsements. All must read Bhagavath Gita at least once in their Life time</t>
  </si>
  <si>
    <t xml:space="preserve">Arai</t>
  </si>
  <si>
    <t xml:space="preserve">UKM</t>
  </si>
  <si>
    <t xml:space="preserve">setitis air yang jernih datangnya dari awan yang sangat gelap.</t>
  </si>
  <si>
    <t xml:space="preserve">Avalurian</t>
  </si>
  <si>
    <t xml:space="preserve">Japan's Shinzo Abe headed to impressive election win: projections https://t.co/2OLvNFcizO via @ABCNews</t>
  </si>
  <si>
    <t xml:space="preserve">  Bengaluru</t>
  </si>
  <si>
    <t xml:space="preserve">Believer Smart alecky comments Engineer Revel in mirth and sarcasm.</t>
  </si>
  <si>
    <t xml:space="preserve">The Quill</t>
  </si>
  <si>
    <t xml:space="preserve">Hate bullshit and have a high opinion about myself</t>
  </si>
  <si>
    <t xml:space="preserve">Australia News</t>
  </si>
  <si>
    <t xml:space="preserve">Abe's victory renews #Speculation over changes #Japan's: https://t.co/GCKljzJVV9, https://t.co/rwYgImqLhO https://t.co/mIGSABjMxz</t>
  </si>
  <si>
    <t xml:space="preserve">AustraliaNews</t>
  </si>
  <si>
    <t xml:space="preserve">All #Australia News in one place, Follow us to get updates on all things #Aussie</t>
  </si>
  <si>
    <t xml:space="preserve">くまごろう</t>
  </si>
  <si>
    <t xml:space="preserve">日本が好きです。</t>
  </si>
  <si>
    <t xml:space="preserve">Harsh</t>
  </si>
  <si>
    <t xml:space="preserve">Observer &amp; The Learner --RT's Doesn't mean Endorsement</t>
  </si>
  <si>
    <t xml:space="preserve">みつや</t>
  </si>
  <si>
    <t xml:space="preserve">まず事実をつかめ。 それから思うままに曲解せよ。</t>
  </si>
  <si>
    <t xml:space="preserve">Daniel Cotter</t>
  </si>
  <si>
    <t xml:space="preserve">Lawyer:insurance reg and M&amp;A/privacy+cyber/outside GC/Governance/ author + speaker (incl. compliance, ERM, US history/SCOTUS) CIPP/US. Tweets not legal advice.</t>
  </si>
  <si>
    <t xml:space="preserve">kap136</t>
  </si>
  <si>
    <t xml:space="preserve">主に猫</t>
  </si>
  <si>
    <t xml:space="preserve">Abhishek Sharma</t>
  </si>
  <si>
    <t xml:space="preserve">India Sports NW</t>
  </si>
  <si>
    <t xml:space="preserve">Shinzo Abe sweeps to resounding victory in Japan vote - "As I promised in the election, my imminent task is to ... https://t.co/Cx0udKdiUM</t>
  </si>
  <si>
    <t xml:space="preserve">India sports news / 5 tweets per hour / Opinion exchanges</t>
  </si>
  <si>
    <t xml:space="preserve">विनिश वरमानी</t>
  </si>
  <si>
    <t xml:space="preserve">मोदी समर्थक। भाजपा सदस्य। संघ कार्यकर्ता। सह सचिव,हिंदी प्रचार प्रसार समिति। सदस्य,जन सेवा आरोग्य केंद्र। Followed by @Piyushgoyaloffc</t>
  </si>
  <si>
    <t xml:space="preserve">salil naik</t>
  </si>
  <si>
    <t xml:space="preserve">Shinzo Abe's election gamble pays off https://t.co/0dijBcBu64 https://t.co/mfjLTn7M8v</t>
  </si>
  <si>
    <t xml:space="preserve">राहुल बंसल🇮🇳</t>
  </si>
  <si>
    <t xml:space="preserve">भारतीय 🇮🇳 | only mission to spread positive work of Modi's- Team INDIA | tweets are personal</t>
  </si>
  <si>
    <t xml:space="preserve">S.PARANTHAMAN</t>
  </si>
  <si>
    <t xml:space="preserve"> Tamil Nadu</t>
  </si>
  <si>
    <t xml:space="preserve">Rss,bjp follower Hardcore NAMO fan</t>
  </si>
  <si>
    <t xml:space="preserve">Vivian Sanchez</t>
  </si>
  <si>
    <t xml:space="preserve">New Yerusalem</t>
  </si>
  <si>
    <t xml:space="preserve">Am Yisrael Chai</t>
  </si>
  <si>
    <t xml:space="preserve">Free Press Journal</t>
  </si>
  <si>
    <t xml:space="preserve">Japan’s ruling camp headed by PM Shinzo Abe wins two-thirds majority in lower house election https://t.co/eoYDPIRSHc https://t.co/GF9g9nIH4x</t>
  </si>
  <si>
    <t xml:space="preserve">The voice of #Mumbai. The Free Press Journal is one of the oldest English daily newspapers from Mumbai with a heritage of more than 85 years.</t>
  </si>
  <si>
    <t xml:space="preserve">Suryakantha Reddy G</t>
  </si>
  <si>
    <t xml:space="preserve">Bellary</t>
  </si>
  <si>
    <t xml:space="preserve">I am a farmer and strong critic of pseudo secular leaders. RT is not endorsement. FEEL PROUD TO BE KNOWN AS NAMO BHAKTH</t>
  </si>
  <si>
    <t xml:space="preserve">Eric Lee</t>
  </si>
  <si>
    <t xml:space="preserve">RT @BloombergTV: Shinzo Abe's election gamble pays off https://t.co/0dijBcBu64 https://t.co/mfjLTn7M8v</t>
  </si>
  <si>
    <t xml:space="preserve">Investment Manager</t>
  </si>
  <si>
    <t xml:space="preserve">#financialplanning Monday Papers: Shinzo Abe gains big victory in Japan election https://t.co/sC7SOfyRj5 #investment #ifa</t>
  </si>
  <si>
    <t xml:space="preserve">#financialplanning Monday Papers: Shinzo Abe gains big victory in Japan election https://t.co/1DlRF2RUPy #investment #ifa</t>
  </si>
  <si>
    <t xml:space="preserve">Les Conway IFA</t>
  </si>
  <si>
    <t xml:space="preserve">Monday Papers: Shinzo Abe gains big victory in Japan election https://t.co/CEZ5D6FFVC #EssentiallyFinancial</t>
  </si>
  <si>
    <t xml:space="preserve">Pinner</t>
  </si>
  <si>
    <t xml:space="preserve">Experienced Financial Planner guiding people along their journey of life and keen Motor Sport fan (including competing)</t>
  </si>
  <si>
    <t xml:space="preserve">Kidambi GP Sarathy</t>
  </si>
  <si>
    <t xml:space="preserve">An oasis.</t>
  </si>
  <si>
    <t xml:space="preserve">A wannabe philonthrapist who is yet to complete his own materialistic journey! A day dreamer in entirety for the well being of fellow global villagers.</t>
  </si>
  <si>
    <t xml:space="preserve">Sri Shivamaya</t>
  </si>
  <si>
    <t xml:space="preserve">Sadashivoham</t>
  </si>
  <si>
    <t xml:space="preserve">Finance News London</t>
  </si>
  <si>
    <t xml:space="preserve">Monday Papers: Shinzo Abe gains big victory in Japan election https://t.co/sUn5ZY9P6k</t>
  </si>
  <si>
    <t xml:space="preserve">The latest finance, banking &amp; investment news from the City of London &amp; Canary Wharf.</t>
  </si>
  <si>
    <t xml:space="preserve">Rosalind Chin</t>
  </si>
  <si>
    <t xml:space="preserve">Bloomberg TV reporter. All views expressed here are my own.</t>
  </si>
  <si>
    <t xml:space="preserve">Rahul Purohit</t>
  </si>
  <si>
    <t xml:space="preserve">......</t>
  </si>
  <si>
    <t xml:space="preserve">_Super_Man_1981</t>
  </si>
  <si>
    <t xml:space="preserve"> _Super_Man_1981</t>
  </si>
  <si>
    <t xml:space="preserve">RJ_Wealth_Ltd - Rich</t>
  </si>
  <si>
    <t xml:space="preserve">Monday Papers: Shinzo Abe gains big victory in Japan election https://t.co/xUWSrNjlbi https://t.co/zV9r5STF9t</t>
  </si>
  <si>
    <t xml:space="preserve">ÜT: 51.4252334,0.8161731</t>
  </si>
  <si>
    <t xml:space="preserve">Business Owner. Entrepreneur. Avid Golfer. Spurs Fan. Husband. Dad. Gin Lover. Director of this leading London &amp; Essex based company on their road to greatness</t>
  </si>
  <si>
    <t xml:space="preserve">Shinzo Abe placed to lead Japan through 2021 after big election win https://t.co/w8NwrBKOqG</t>
  </si>
  <si>
    <t xml:space="preserve">#BloombergTV ❧ Shinzo Abe's election gamble pays off https://t.co/LIhwnkrouE https://t.co/Cr1VmIvK59</t>
  </si>
  <si>
    <t xml:space="preserve">Citywire Money</t>
  </si>
  <si>
    <t xml:space="preserve">Monday Papers: Shinzo Abe gains big victory in Japan election https://t.co/3cl7bZOvkI</t>
  </si>
  <si>
    <t xml:space="preserve">Vauxhall, London</t>
  </si>
  <si>
    <t xml:space="preserve">Citywire Money: current, reliable, independent financial news and investment info. Articles by @CitywireMoney/Citywire-Money-Hacks.</t>
  </si>
  <si>
    <t xml:space="preserve">RT BloombergTV "Shinzo Abe's election gamble pays off https://t.co/RFhOhfukNs https://t.co/AVtcLtQ11V"</t>
  </si>
  <si>
    <t xml:space="preserve">頭文寺 青</t>
  </si>
  <si>
    <r>
      <rPr>
        <sz val="8"/>
        <rFont val="Noto Sans CJK SC Regular"/>
        <family val="2"/>
      </rPr>
      <t xml:space="preserve">栃木市在住 </t>
    </r>
    <r>
      <rPr>
        <sz val="8"/>
        <rFont val="Droid Sans"/>
        <family val="0"/>
        <charset val="1"/>
      </rPr>
      <t xml:space="preserve">Tochigi</t>
    </r>
    <r>
      <rPr>
        <sz val="8"/>
        <rFont val="Noto Sans CJK SC Regular"/>
        <family val="2"/>
      </rPr>
      <t xml:space="preserve">＿</t>
    </r>
    <r>
      <rPr>
        <sz val="8"/>
        <rFont val="Droid Sans"/>
        <family val="0"/>
        <charset val="1"/>
      </rPr>
      <t xml:space="preserve">Japan</t>
    </r>
  </si>
  <si>
    <r>
      <rPr>
        <sz val="8"/>
        <rFont val="Noto Sans CJK SC Regular"/>
        <family val="2"/>
      </rPr>
      <t xml:space="preserve">ヲタでネトウヨで女装子でアラフォーのキモいおっさんでござる </t>
    </r>
    <r>
      <rPr>
        <sz val="8"/>
        <rFont val="Droid Sans"/>
        <family val="0"/>
        <charset val="1"/>
      </rPr>
      <t xml:space="preserve">(●´ω`●)</t>
    </r>
  </si>
  <si>
    <t xml:space="preserve">Matthew Thompson</t>
  </si>
  <si>
    <t xml:space="preserve">Monday Papers: Shinzo Abe gains big victory in Japan election https://t.co/h7v8JWhpYf https://t.co/cZGzYzWDAg</t>
  </si>
  <si>
    <t xml:space="preserve">Rossendale / St Helens</t>
  </si>
  <si>
    <t xml:space="preserve">Chartered Financial Planner</t>
  </si>
  <si>
    <t xml:space="preserve">RT BloombergTV "Shinzo Abe's election gamble pays off https://t.co/kmJDXFYCxs https://t.co/G3yZt1iHL2"</t>
  </si>
  <si>
    <t xml:space="preserve">Ramnath Kumar</t>
  </si>
  <si>
    <t xml:space="preserve">Hard core Hindu Nationalist. Die hard fan of Modi. A very proud Indian. Strong supporter of Israel</t>
  </si>
  <si>
    <t xml:space="preserve">Cédric Sam</t>
  </si>
  <si>
    <t xml:space="preserve">Interactive Graphic Journalist at @BBGVisualData</t>
  </si>
  <si>
    <r>
      <rPr>
        <sz val="8"/>
        <rFont val="Droid Sans"/>
        <family val="0"/>
        <charset val="1"/>
      </rPr>
      <t xml:space="preserve">Lim CheeTiong </t>
    </r>
    <r>
      <rPr>
        <sz val="8"/>
        <rFont val="Noto Sans CJK SC Regular"/>
        <family val="2"/>
      </rPr>
      <t xml:space="preserve">林志忠 🛢</t>
    </r>
  </si>
  <si>
    <t xml:space="preserve">An Ex-Futures broker in Singapore 🇸🇬; waiting to start a new adventure. PRO Futures Intraday Trading Specialist (@PRO_FITS) Always #OOTT.</t>
  </si>
  <si>
    <t xml:space="preserve">Shibu Balan</t>
  </si>
  <si>
    <t xml:space="preserve">malayali aaane le!! gooner!! homer!! bjpier</t>
  </si>
  <si>
    <t xml:space="preserve">RT BloombergTV: Shinzo Abe's election gamble pays off https://t.co/bKY5vnqsvf https://t.co/ELck9Y2hRq #fb #sitifatimah #malaysia</t>
  </si>
  <si>
    <t xml:space="preserve">RT TFTCS "RT BloombergTV "Shinzo Abe's election gamble pays off https://t.co/RFhOhfukNs https://t.co/AVtcLtQ11V""</t>
  </si>
  <si>
    <t xml:space="preserve">Shinzo Abe placed to lead Japan through 2021 after big election win</t>
  </si>
  <si>
    <t xml:space="preserve">Bibhakar Kumar</t>
  </si>
  <si>
    <t xml:space="preserve">BHUBANESWAR</t>
  </si>
  <si>
    <t xml:space="preserve">Shinzo Abe placed to lead Japan through 2021 after big election win https://t.co/EhkYziiDBv</t>
  </si>
  <si>
    <t xml:space="preserve">nemoto takafumi</t>
  </si>
  <si>
    <t xml:space="preserve">Amit Singh</t>
  </si>
  <si>
    <t xml:space="preserve">Change don't need always revolution, can start with a single person</t>
  </si>
  <si>
    <t xml:space="preserve">Redhish Chandran</t>
  </si>
  <si>
    <t xml:space="preserve">kerala and part time delhite</t>
  </si>
  <si>
    <t xml:space="preserve">Nationalistic views (people call me Right Wing)</t>
  </si>
  <si>
    <t xml:space="preserve">Jitendra Lalani</t>
  </si>
  <si>
    <t xml:space="preserve">Gandhinagar,Gujarat,India</t>
  </si>
  <si>
    <t xml:space="preserve">First generation entrepreneur, Founder of Services Unlimited, NAMO supporter, swamy fan, opinions are personal, RTs not endorsement</t>
  </si>
  <si>
    <t xml:space="preserve">Gopal</t>
  </si>
  <si>
    <t xml:space="preserve">I am a Nationalist</t>
  </si>
  <si>
    <t xml:space="preserve">Shinzo Abe placed to lead Japan through 2021 after big election win https://t.co/TD7kfLV5ag</t>
  </si>
  <si>
    <t xml:space="preserve">Gustaf Reinfeldt</t>
  </si>
  <si>
    <t xml:space="preserve">Lund, Sweden</t>
  </si>
  <si>
    <t xml:space="preserve">Älskar frihet, pasta bolognese. @mufswe. Digital specialist @MilttonLabs. Internationell sekreterare @_FMSF. Aktiv i @Studentafton. Tidigare @PrimePR, @timbro.</t>
  </si>
  <si>
    <t xml:space="preserve">RT TopFiveTraders "RT BloombergTV "Shinzo Abe's election gamble pays off https://t.co/hVo5UThZxW https://t.co/gnJlRR516M""</t>
  </si>
  <si>
    <t xml:space="preserve">RT TopFiveTraders "RT TFTCS "RT BloombergTV "Shinzo Abe's election gamble pays off https://t.co/hVo5UThZxW https://t.co/gnJlRR516M"""</t>
  </si>
  <si>
    <t xml:space="preserve">Siddharth</t>
  </si>
  <si>
    <t xml:space="preserve">Abe's victory renews speculation over changes to Japan's constitution https://t.co/DYdZcMMZ9W</t>
  </si>
  <si>
    <t xml:space="preserve">Sunil Kumar Sharma</t>
  </si>
  <si>
    <t xml:space="preserve">Approaching typhoon affects Japan election, Shinzo Abe likely to benefit https://t.co/wNldoum6mn via @wionews</t>
  </si>
  <si>
    <t xml:space="preserve">Ninnad Shrotri</t>
  </si>
  <si>
    <t xml:space="preserve">RT @livemint: Shinzo Abe placed to lead Japan through 2021 after big election win https://t.co/TD7kfLV5ag</t>
  </si>
  <si>
    <t xml:space="preserve">#Storyteller #Marketer #Believer #Straightforward Sick of #Sickulars, #Hypocrites n #Chamchas. Proud of my #Culture n #Heritage. RT may not b an endorsement.</t>
  </si>
  <si>
    <t xml:space="preserve">Japan's Shinzo Abe headed to impressive election win: projections https://t.co/f01azpuH17</t>
  </si>
  <si>
    <t xml:space="preserve">Shinzo Abe wins general election but fails to excite Japan’s voters https://t.co/Nulu4rLs0m</t>
  </si>
  <si>
    <t xml:space="preserve">eswar dutt</t>
  </si>
  <si>
    <t xml:space="preserve">vijayawada andhrapradesh india</t>
  </si>
  <si>
    <t xml:space="preserve">mkg cosultant for Herbal,nutra&amp;API A political ,admirer of modiji not a blind supporter RT not endorsements no direct messages please</t>
  </si>
  <si>
    <t xml:space="preserve">Japan PM Shinzo Abe’s coalition wins general election https://t.co/gl7ASkMjRW</t>
  </si>
  <si>
    <t xml:space="preserve">Rajesh Chavan</t>
  </si>
  <si>
    <t xml:space="preserve">Venkata Ramana T</t>
  </si>
  <si>
    <t xml:space="preserve">Hyderabad, Mobile: 9490102351</t>
  </si>
  <si>
    <t xml:space="preserve">Supreet Singh Bahga</t>
  </si>
  <si>
    <t xml:space="preserve">Assistant Professor of Mechanical Engineering at IIT Delhi. IIT Bombay Silver Medalist. Stanford PhD.</t>
  </si>
  <si>
    <t xml:space="preserve">theWanderer</t>
  </si>
  <si>
    <t xml:space="preserve">India First!</t>
  </si>
  <si>
    <t xml:space="preserve">RT TFTCS "RT BloombergTV "Shinzo Abe's election gamble pays off https://t.co/hVo5UThZxW https://t.co/gnJlRR516M""</t>
  </si>
  <si>
    <t xml:space="preserve">AestheticallyPresent</t>
  </si>
  <si>
    <t xml:space="preserve">Beauty is power balanced</t>
  </si>
  <si>
    <t xml:space="preserve">manoj murali</t>
  </si>
  <si>
    <t xml:space="preserve">sw engineer, Hindu</t>
  </si>
  <si>
    <t xml:space="preserve">Nitin Kapoor</t>
  </si>
  <si>
    <t xml:space="preserve">Jonathan Livingston Seagull</t>
  </si>
  <si>
    <t xml:space="preserve">Satyakam</t>
  </si>
  <si>
    <t xml:space="preserve">hweepeng, tay</t>
  </si>
  <si>
    <t xml:space="preserve">Shinzo Abe, the "comeback kid" of Japanese politics- Nikkei Asian Review https://t.co/S3XF0nms3W</t>
  </si>
  <si>
    <t xml:space="preserve">Follows China, East Asia news and developments. RT ≠ endorsement.</t>
  </si>
  <si>
    <t xml:space="preserve">Sven Gradolny</t>
  </si>
  <si>
    <t xml:space="preserve">TwConTestAnt</t>
  </si>
  <si>
    <t xml:space="preserve">Hamburg, Deutschland</t>
  </si>
  <si>
    <t xml:space="preserve">Leidenschaftlicher Gamer &amp; Systemadministrator 🔰Living in Hamburg 🔰</t>
  </si>
  <si>
    <t xml:space="preserve">Mark Johnson</t>
  </si>
  <si>
    <t xml:space="preserve">Japan shares at two-decade top, yen at three-month low on Shinzo Abe win /via @globeandmail https://t.co/253Xu8uJHw</t>
  </si>
  <si>
    <t xml:space="preserve">Alberta, Canada</t>
  </si>
  <si>
    <t xml:space="preserve">Passionate about getting you #Results #entrepreneurs #mindset #success #Speaker Author, Father, Husband, Horse Enthusiast, blogger on success, wisdom</t>
  </si>
  <si>
    <t xml:space="preserve">New India</t>
  </si>
  <si>
    <t xml:space="preserve">Nayi Soch Naya Bharat #NewIndiaTakeOff</t>
  </si>
  <si>
    <t xml:space="preserve">Ajay Pillay</t>
  </si>
  <si>
    <t xml:space="preserve">Dameria Annissa FS</t>
  </si>
  <si>
    <t xml:space="preserve">A full time volunteer, a rookie auditor, a sport enthusiast, an alto chorister, and a hardcore K-fan. A people person. // @KampusUpdate</t>
  </si>
  <si>
    <t xml:space="preserve">anurag`</t>
  </si>
  <si>
    <t xml:space="preserve">Vinu M</t>
  </si>
  <si>
    <t xml:space="preserve">Sathyam...Shivam....Sundaram :)</t>
  </si>
  <si>
    <t xml:space="preserve">T Raghu</t>
  </si>
  <si>
    <t xml:space="preserve">Retweets Are Not Endorsements</t>
  </si>
  <si>
    <t xml:space="preserve">K</t>
  </si>
  <si>
    <t xml:space="preserve">🇮🇳Ensine</t>
  </si>
  <si>
    <t xml:space="preserve">A Proud Hindusthani</t>
  </si>
  <si>
    <t xml:space="preserve">Reuben Abraham</t>
  </si>
  <si>
    <t xml:space="preserve">Besides becoming the longest serving PM since the war, what else? Revoking Article 9? Even closer ties to India? https://t.co/CPAQSWPRCl</t>
  </si>
  <si>
    <t xml:space="preserve">CEO, IDFC Institute. Visiting scholar, NYU. Milken Senior Fellow. Global Futures Council on Future of Cities &amp; Urbanisation. Classical Liberal. Columbia alum.</t>
  </si>
  <si>
    <t xml:space="preserve">Thornton Holmes</t>
  </si>
  <si>
    <t xml:space="preserve">Monday Papers: Shinzo Abe gains big victory in Japan election https://t.co/SMPJSLlhOB https://t.co/vefa34dsBG</t>
  </si>
  <si>
    <t xml:space="preserve">Peterborough UK</t>
  </si>
  <si>
    <t xml:space="preserve">BNI Ambassador and referral marketer since 1999 - Qualified Independent Financial Adviser, Musician &amp; Harley enthusiast!</t>
  </si>
  <si>
    <t xml:space="preserve">Monday Papers: Shinzo Abe gains big victory in Japan election https://t.co/rcYn7pX4GE</t>
  </si>
  <si>
    <t xml:space="preserve">Monday Papers: Shinzo Abe gains big victory in Japan election https://t.co/mZw5SJtF6D</t>
  </si>
  <si>
    <t xml:space="preserve">India NewsWaver</t>
  </si>
  <si>
    <t xml:space="preserve">Shinzo Abe sweeps to resounding victory in Japan vote - "As I promised in the election, my imminent task is to ... https://t.co/vOf65lmfu5</t>
  </si>
  <si>
    <t xml:space="preserve">India news / 5 tweets per hour / Opinion exchanges</t>
  </si>
  <si>
    <t xml:space="preserve">中崎町カフェ マラッカ 技術者トニーリン</t>
  </si>
  <si>
    <r>
      <rPr>
        <sz val="8"/>
        <rFont val="Noto Sans CJK SC Regular"/>
        <family val="2"/>
      </rPr>
      <t xml:space="preserve">大阪市北区黒崎町</t>
    </r>
    <r>
      <rPr>
        <sz val="8"/>
        <rFont val="Droid Sans"/>
        <family val="0"/>
        <charset val="1"/>
      </rPr>
      <t xml:space="preserve">5-14</t>
    </r>
  </si>
  <si>
    <r>
      <rPr>
        <sz val="8"/>
        <rFont val="Noto Sans CJK SC Regular"/>
        <family val="2"/>
      </rPr>
      <t xml:space="preserve">下町技術者トニーリン。中華料理屋に間違えられやすい 中華系マレーシアホワイトコーヒーショップを共同経営。専門は半導体。中崎町 カフェですが雑誌テレビに無視され</t>
    </r>
    <r>
      <rPr>
        <sz val="8"/>
        <rFont val="Droid Sans"/>
        <family val="0"/>
        <charset val="1"/>
      </rPr>
      <t xml:space="preserve">2</t>
    </r>
    <r>
      <rPr>
        <sz val="8"/>
        <rFont val="Noto Sans CJK SC Regular"/>
        <family val="2"/>
      </rPr>
      <t xml:space="preserve">年経過。夜カフェ 海南チキライス ランチ ラクサ うさぎ小梅ロゴ。維新がおきて大阪がシンガポールみたいになることを夢見る市場原理主義者。</t>
    </r>
  </si>
  <si>
    <t xml:space="preserve">chandra jahgirdaar</t>
  </si>
  <si>
    <t xml:space="preserve">Digvijay</t>
  </si>
  <si>
    <t xml:space="preserve">~ Soham : Hamsa ~</t>
  </si>
  <si>
    <t xml:space="preserve">Madhvi Thakur</t>
  </si>
  <si>
    <t xml:space="preserve">Vadodra, Gujarat</t>
  </si>
  <si>
    <t xml:space="preserve">A bit of a dog nut. Puppies make my heart go mush.</t>
  </si>
  <si>
    <t xml:space="preserve">brazen_dude</t>
  </si>
  <si>
    <t xml:space="preserve">Views personal... RTs not endorsement!!</t>
  </si>
  <si>
    <t xml:space="preserve">S.SANTOSH KUMAR</t>
  </si>
  <si>
    <t xml:space="preserve">pps</t>
  </si>
  <si>
    <t xml:space="preserve"> INDIA</t>
  </si>
  <si>
    <t xml:space="preserve">Indian Army Veteran who is living life on his own terms. वीर भोग्य वसुंधरा "The Brave Shall Inherit the Earth"</t>
  </si>
  <si>
    <t xml:space="preserve">Shinzo Abe placed to lead Japan through 2021 after big election win https://t.co/LxLUeRdXTY</t>
  </si>
  <si>
    <t xml:space="preserve">Mario</t>
  </si>
  <si>
    <t xml:space="preserve">日本のお侍さん🏯忝い</t>
  </si>
  <si>
    <r>
      <rPr>
        <sz val="8"/>
        <rFont val="Noto Sans CJK SC Regular"/>
        <family val="2"/>
      </rPr>
      <t xml:space="preserve">子孫に残したい✨清らかで美しい日本。日々神棚に手を合わせ👏心身の鍛練怠らず。食育、教育に努め富国強兵の手を緩めてはなりませぬ。</t>
    </r>
    <r>
      <rPr>
        <sz val="8"/>
        <rFont val="Droid Sans"/>
        <family val="0"/>
        <charset val="1"/>
      </rPr>
      <t xml:space="preserve">#</t>
    </r>
    <r>
      <rPr>
        <sz val="8"/>
        <rFont val="Noto Sans CJK SC Regular"/>
        <family val="2"/>
      </rPr>
      <t xml:space="preserve">神道 </t>
    </r>
    <r>
      <rPr>
        <sz val="8"/>
        <rFont val="Droid Sans"/>
        <family val="0"/>
        <charset val="1"/>
      </rPr>
      <t xml:space="preserve">#</t>
    </r>
    <r>
      <rPr>
        <sz val="8"/>
        <rFont val="Noto Sans CJK SC Regular"/>
        <family val="2"/>
      </rPr>
      <t xml:space="preserve">脱亜論 🔜左翼紛いの反日害人は駆逐するべし。日本古来の日本人でありたい、我ふる里を残したい、是も又人権也。明日の日本🇯🇵がまた佳き日を迎えられますよふニ。安倍政権＆日ころ支持❤</t>
    </r>
  </si>
  <si>
    <t xml:space="preserve">S.Ramprasad</t>
  </si>
  <si>
    <t xml:space="preserve">Ph.D Researcher</t>
  </si>
  <si>
    <t xml:space="preserve">Mindfulness</t>
  </si>
  <si>
    <t xml:space="preserve">सत्यमेव जयते। ॐ सर्वे भवन्तु सुखिनः सर्वे संतु निरामयः</t>
  </si>
  <si>
    <t xml:space="preserve">ધવન ભાયાણી™ 🇮🇳</t>
  </si>
  <si>
    <t xml:space="preserve">ગુજરાત, ભારત</t>
  </si>
  <si>
    <t xml:space="preserve">Tweets = personal opinion or experiences. Retweets not endorsements. Hate Mongers &amp; Anti Nationalists will be blocked. જૈન. સત્ય કહેવામાં આવશે. #IndiaFirst.</t>
  </si>
  <si>
    <t xml:space="preserve">sunil</t>
  </si>
  <si>
    <t xml:space="preserve">Sports Government and Politics Bollywood and Celebrities Entertainment Cricketers and Commentators Business &amp; CEOs</t>
  </si>
  <si>
    <t xml:space="preserve">Revival of Hindustan</t>
  </si>
  <si>
    <t xml:space="preserve">Hindusthan</t>
  </si>
  <si>
    <t xml:space="preserve">Pawan Kalyan Fan | ♥ Vizag | ♥ Java |♥ Blue | Country First | Views strictly Personal</t>
  </si>
  <si>
    <t xml:space="preserve">Sadaf Sayeed 🇮🇳</t>
  </si>
  <si>
    <t xml:space="preserve">Delhi India</t>
  </si>
  <si>
    <t xml:space="preserve">Indian/Budding entrepreneur/CEO of an Org focusing on financial inclusion of masses. Sufi at heart *Tweets are personal nothing to do with my company/employer</t>
  </si>
  <si>
    <t xml:space="preserve">Ankit</t>
  </si>
  <si>
    <t xml:space="preserve">Loves Sanatan Dharma. Pro-Hindu Nationalism.</t>
  </si>
  <si>
    <t xml:space="preserve">Kiran Chada</t>
  </si>
  <si>
    <t xml:space="preserve">22 &amp; 14 Years(Science Grad &amp; Business Management Post Grad)'Since'.I Tweet/RT general,technology,finance (basically) news.Leadership,Sustainability.</t>
  </si>
  <si>
    <t xml:space="preserve">sachanuj</t>
  </si>
  <si>
    <t xml:space="preserve">child by heart and never give up is my mantra, love travelling, cinema and my India.</t>
  </si>
  <si>
    <t xml:space="preserve">Cándido Martínez</t>
  </si>
  <si>
    <t xml:space="preserve">Nanotargeting Consultant @eecjs. MSc Political Communication, University of Navarra &amp; The George Washington University. Maps and data analysis. #Dataviz</t>
  </si>
  <si>
    <t xml:space="preserve">Rohan Joshi</t>
  </si>
  <si>
    <t xml:space="preserve">Bangalore, Karnataka India</t>
  </si>
  <si>
    <t xml:space="preserve">Retweet does not mean endorsement necessarily.</t>
  </si>
  <si>
    <t xml:space="preserve">Poonam Patil Kalra</t>
  </si>
  <si>
    <t xml:space="preserve">Entrepreneur, nature lover, complicated yet simple, far from sane.</t>
  </si>
  <si>
    <t xml:space="preserve">ryokusai</t>
  </si>
  <si>
    <t xml:space="preserve">主にやる夫スレをまとめるブログ、“Ａｐｐｌｅ‐Ｐｏｌｉｓｈｉｎｇ Ａｒｔｉｃｌｅｓ”の管理人です。</t>
  </si>
  <si>
    <t xml:space="preserve">Nationalist Ram</t>
  </si>
  <si>
    <t xml:space="preserve">India under renovation (modi-fication) , inconvenience will be caused. I urge nationalists to be strong influencers of change. Jai Hind!</t>
  </si>
  <si>
    <t xml:space="preserve">7 News Melbourne</t>
  </si>
  <si>
    <t xml:space="preserve">Japan's Prime Minister Shinzo Abe looks set for a strong election win. https://t.co/YnGLv6hbfi #7News https://t.co/pBi28ouJKw</t>
  </si>
  <si>
    <t xml:space="preserve">Live from our Melbourne headquarters every night at 6PM. Presented Monday to Friday by @Peter_Mitchell7, and Saturday and Sunday by @JenniferKeyte.</t>
  </si>
  <si>
    <t xml:space="preserve">PROSECUTE  HRC  NOW!</t>
  </si>
  <si>
    <t xml:space="preserve">IMPORTANT:GOD;MOM;Family; Friends;Pets;Health;Fitness;Bicycle; ARMY-Very Proud to have served in U.S. Army for 33yrs 1982-2015; Die-hard Trump Supporter!</t>
  </si>
  <si>
    <t xml:space="preserve">Sanjay Chaudhari</t>
  </si>
  <si>
    <t xml:space="preserve">A proud INDIAN &amp; Canadian | Sanatani HINDU | MODI-bhakt | Believe in ShriKrishna Buddh Chanakya Vivekanand Sardar Vajpayee Swamy Kalam Osho | वसुधैव कुटुम्बकम ।</t>
  </si>
  <si>
    <t xml:space="preserve">Prasad Deshpande</t>
  </si>
  <si>
    <t xml:space="preserve">Al Taqiyya Free Zone</t>
  </si>
  <si>
    <t xml:space="preserve">हे अधम रक्तरंजिते।सुजन पूजिते।श्री स्वतंत्रते तुजसाठिं मरण तें जनन तुजविण जनन ते मरण तुज सकल चराचर शरण Blocked by @NabamtukiCM @MamataOfficial @kavita_krishnan</t>
  </si>
  <si>
    <t xml:space="preserve">Yan Dao</t>
  </si>
  <si>
    <t xml:space="preserve">Pocket.</t>
  </si>
  <si>
    <t xml:space="preserve">Evil genius</t>
  </si>
  <si>
    <t xml:space="preserve">Rakesh</t>
  </si>
  <si>
    <t xml:space="preserve">Believe in helping children,women &amp; elders .look for clean hearted people only</t>
  </si>
  <si>
    <t xml:space="preserve">Abe's victory renews speculation over changes to Japan's constitution https://t.co/j3zVwimwcr #NewsSuite https://t.co/F5cN5rXakJ</t>
  </si>
  <si>
    <t xml:space="preserve">Deeps</t>
  </si>
  <si>
    <t xml:space="preserve">Head of Marketing @dropbox Asia-Pacific and Japan. Former @salesforce @microsoft and @sony. Passion for authentic storytelling and growth.</t>
  </si>
  <si>
    <t xml:space="preserve">Yaajushi</t>
  </si>
  <si>
    <t xml:space="preserve">आत्मनः कामाय सर्वं प्रियं भवति...।</t>
  </si>
  <si>
    <t xml:space="preserve">MalapatiRaja</t>
  </si>
  <si>
    <t xml:space="preserve">Devotee of Maa Shakthi; Dharmic; Simple living; Vegetarian; Small Village upbringing; BIGGEST WEAKNESS: Loves sharing ideas to solve India's biggest issues</t>
  </si>
  <si>
    <t xml:space="preserve">東雲情報局</t>
  </si>
  <si>
    <r>
      <rPr>
        <sz val="8"/>
        <rFont val="Noto Sans CJK SC Regular"/>
        <family val="2"/>
      </rPr>
      <t xml:space="preserve">日本人を守るために自衛隊を国防軍</t>
    </r>
    <r>
      <rPr>
        <sz val="8"/>
        <rFont val="Droid Sans"/>
        <family val="0"/>
        <charset val="1"/>
      </rPr>
      <t xml:space="preserve">(</t>
    </r>
    <r>
      <rPr>
        <sz val="8"/>
        <rFont val="Noto Sans CJK SC Regular"/>
        <family val="2"/>
      </rPr>
      <t xml:space="preserve">日本軍</t>
    </r>
    <r>
      <rPr>
        <sz val="8"/>
        <rFont val="Droid Sans"/>
        <family val="0"/>
        <charset val="1"/>
      </rPr>
      <t xml:space="preserve">)</t>
    </r>
    <r>
      <rPr>
        <sz val="8"/>
        <rFont val="Noto Sans CJK SC Regular"/>
        <family val="2"/>
      </rPr>
      <t xml:space="preserve">にする自主憲法制定</t>
    </r>
    <r>
      <rPr>
        <sz val="8"/>
        <rFont val="Droid Sans"/>
        <family val="0"/>
        <charset val="1"/>
      </rPr>
      <t xml:space="preserve">(</t>
    </r>
    <r>
      <rPr>
        <sz val="8"/>
        <rFont val="Noto Sans CJK SC Regular"/>
        <family val="2"/>
      </rPr>
      <t xml:space="preserve">憲法改正</t>
    </r>
    <r>
      <rPr>
        <sz val="8"/>
        <rFont val="Droid Sans"/>
        <family val="0"/>
        <charset val="1"/>
      </rPr>
      <t xml:space="preserve">)</t>
    </r>
    <r>
      <rPr>
        <sz val="8"/>
        <rFont val="Noto Sans CJK SC Regular"/>
        <family val="2"/>
      </rPr>
      <t xml:space="preserve">等の政治ニュースや日頃の生活に関わる『テレビや新聞』が《何故か》伝えないニュースを 『</t>
    </r>
    <r>
      <rPr>
        <sz val="8"/>
        <rFont val="Droid Sans"/>
        <family val="0"/>
        <charset val="1"/>
      </rPr>
      <t xml:space="preserve">Japanese Twitter News</t>
    </r>
    <r>
      <rPr>
        <sz val="8"/>
        <rFont val="Noto Sans CJK SC Regular"/>
        <family val="2"/>
      </rPr>
      <t xml:space="preserve">』 として若者から年配の方まで分かりやすいように情報発信しています。</t>
    </r>
  </si>
  <si>
    <t xml:space="preserve">Ravi Batra</t>
  </si>
  <si>
    <t xml:space="preserve">Election Risk Pays Off for Shinzo Abe of Japan as His Party Appears to Win Big https://t.co/OwRrnMKJWL - #Domo #DPRK 4 #MissilesOverJapan !</t>
  </si>
  <si>
    <t xml:space="preserve">Manhattan</t>
  </si>
  <si>
    <t xml:space="preserve">#PatriotLawyer. Frm NYS Commissioner 4PublicEthics: #JCOPE. #MAGA #Democrat Unending effort 2 #FormAMorePerfectUnion🇺🇸.Legal&amp;HumanRights Advisor 2Ukraine-UN</t>
  </si>
  <si>
    <t xml:space="preserve">laxmi nair</t>
  </si>
  <si>
    <t xml:space="preserve">KeShArI GoViNd</t>
  </si>
  <si>
    <t xml:space="preserve">Vadodra </t>
  </si>
  <si>
    <t xml:space="preserve">IITB Alumni, Pure Mathematician. Modi Fan.. Follow me to get 100% follow back...</t>
  </si>
  <si>
    <t xml:space="preserve">Ashutosh Singh Rawat</t>
  </si>
  <si>
    <t xml:space="preserve">Nationalist , Vocal, Indian</t>
  </si>
  <si>
    <t xml:space="preserve">Insurance share</t>
  </si>
  <si>
    <t xml:space="preserve">Monday Papers: Shinzo Abe gains big victory in Japan election - https://t.co/jXovVqcxoW https://t.co/l0ojTjV9dI</t>
  </si>
  <si>
    <t xml:space="preserve">Your best source of Insurance News on Twitter.</t>
  </si>
  <si>
    <t xml:space="preserve">PR Kumar</t>
  </si>
  <si>
    <t xml:space="preserve">Shinzo Abe to push reform of Japan's pacifist constitution after election win</t>
  </si>
  <si>
    <t xml:space="preserve">Shinzo Abe placed to lead Japan through 2021 after big election win. Congratulations @AbeShinzo 👏👏💐💐 https://t.co/n88FCS99FX</t>
  </si>
  <si>
    <t xml:space="preserve">Nation wants to know</t>
  </si>
  <si>
    <t xml:space="preserve">Shinzo Abe placed to lead Japan through 2021 after big election win https://t.co/iikw29Ym1E</t>
  </si>
  <si>
    <r>
      <rPr>
        <sz val="8"/>
        <rFont val="Noto Sans CJK SC Regular"/>
        <family val="2"/>
      </rPr>
      <t xml:space="preserve">テネス／</t>
    </r>
    <r>
      <rPr>
        <sz val="8"/>
        <rFont val="Droid Sans"/>
        <family val="0"/>
        <charset val="1"/>
      </rPr>
      <t xml:space="preserve">HBC</t>
    </r>
  </si>
  <si>
    <r>
      <rPr>
        <sz val="8"/>
        <rFont val="Noto Sans CJK SC Regular"/>
        <family val="2"/>
      </rPr>
      <t xml:space="preserve">大宮の絆を見て</t>
    </r>
    <r>
      <rPr>
        <sz val="8"/>
        <rFont val="Droid Sans"/>
        <family val="0"/>
        <charset val="1"/>
      </rPr>
      <t xml:space="preserve">2</t>
    </r>
    <r>
      <rPr>
        <sz val="8"/>
        <rFont val="Noto Sans CJK SC Regular"/>
        <family val="2"/>
      </rPr>
      <t xml:space="preserve">年ぶりに復員しました。 ジオン</t>
    </r>
    <r>
      <rPr>
        <sz val="8"/>
        <rFont val="Droid Sans"/>
        <family val="0"/>
        <charset val="1"/>
      </rPr>
      <t xml:space="preserve">: </t>
    </r>
    <r>
      <rPr>
        <sz val="8"/>
        <rFont val="Noto Sans CJK SC Regular"/>
        <family val="2"/>
      </rPr>
      <t xml:space="preserve">ミネバ・ザビ、マリーダ・クルス→シャリア・ブル、コノハナノサクヤ 連邦</t>
    </r>
    <r>
      <rPr>
        <sz val="8"/>
        <rFont val="Droid Sans"/>
        <family val="0"/>
        <charset val="1"/>
      </rPr>
      <t xml:space="preserve">: </t>
    </r>
    <r>
      <rPr>
        <sz val="8"/>
        <rFont val="Noto Sans CJK SC Regular"/>
        <family val="2"/>
      </rPr>
      <t xml:space="preserve">デフラ・カー→テネス／ＨＢＣ、ヒノカクヅチ、タケミナカタ</t>
    </r>
  </si>
  <si>
    <t xml:space="preserve">Maris Kucinskis</t>
  </si>
  <si>
    <t xml:space="preserve">Congratulations to prime minister of #Japan Shinzō Abe on a decisive election victory and look forward to further advance 🇱🇻- 🇯🇵cooperation!</t>
  </si>
  <si>
    <t xml:space="preserve">Eiichi Takahashi</t>
  </si>
  <si>
    <t xml:space="preserve">Ajit_Patil</t>
  </si>
  <si>
    <t xml:space="preserve">India First !!! Views are personal + RTs are not Endorsements</t>
  </si>
  <si>
    <t xml:space="preserve">Brexit Relocations</t>
  </si>
  <si>
    <t xml:space="preserve">Monday Papers: Shinzo Abe gains big victory in Japan election #Brexit #UKMfg #UKIP https://t.co/Uzjch2XXEI</t>
  </si>
  <si>
    <t xml:space="preserve">Daily tweets covering #Brexit induced Service and Manufacturing relocations from the UK to the EU Single Market and Customs Union #UKmfg</t>
  </si>
  <si>
    <t xml:space="preserve">Dollar vs yen hits 3 month high; touches 114.00 - Japan’s Shinzo Abe's election win removes uncertainty and fue... https://t.co/7VjmSU0cO2</t>
  </si>
  <si>
    <t xml:space="preserve">Ali Naqvi</t>
  </si>
  <si>
    <t xml:space="preserve">Nikkei hits new highs after Japan election - Investors bet on a continuation of Prime Minister Shinzo Abe's eco... https://t.co/7vn14oUvY4</t>
  </si>
  <si>
    <t xml:space="preserve">Academic,consultant,business person. Orgs,Change,Leadership,Comms,Strategy, innovation https://t.co/rx7uiYkLEG-mfundisi.RT!=endorsement.Views my own.Some automa</t>
  </si>
  <si>
    <t xml:space="preserve">BrexshitTrade2020 ❄</t>
  </si>
  <si>
    <t xml:space="preserve">Monday Papers: Shinzo Abe gains big victory in Japan election #Brexit #UKMfg https://t.co/EmSOBpllKB</t>
  </si>
  <si>
    <t xml:space="preserve">#Brexit means the UK losing access to EU Trade Agreements with 50 countries, the Single Market, Customs Union &amp; damaging established international supply chains</t>
  </si>
  <si>
    <t xml:space="preserve">Chinna Mani</t>
  </si>
  <si>
    <t xml:space="preserve">Latvia in Japan</t>
  </si>
  <si>
    <t xml:space="preserve">RT @MarisKucinskis: Congratulations to prime minister of #Japan Shinzō Abe on a decisive election victory and look forward to further advan…</t>
  </si>
  <si>
    <t xml:space="preserve">Shibuya-ku, Tokyo</t>
  </si>
  <si>
    <t xml:space="preserve">Official Twitter account for Embassy of Latvia in Japan; Facebook: https://t.co/736GXIne9E</t>
  </si>
  <si>
    <t xml:space="preserve">Nagendra Ramaswami</t>
  </si>
  <si>
    <t xml:space="preserve">Entrepreneur with a keen interest in Technology, True Health Care, Real Food, Permaculture, Sustainable Living, and Education.</t>
  </si>
  <si>
    <t xml:space="preserve">しろ</t>
  </si>
  <si>
    <t xml:space="preserve">浅田真央さんを応援しています。海外ドラマ好きですが、今年は大河ドラマにはまっています。</t>
  </si>
  <si>
    <t xml:space="preserve">News247247</t>
  </si>
  <si>
    <t xml:space="preserve">Shinzo Abe To Push Reform Of Japan's Constitution After Election Win</t>
  </si>
  <si>
    <t xml:space="preserve">Communicator ...sometimes .my choice, Total zombie guru , Unapologetic twitteraholic ,</t>
  </si>
  <si>
    <r>
      <rPr>
        <sz val="8"/>
        <rFont val="Noto Sans CJK SC Regular"/>
        <family val="2"/>
      </rPr>
      <t xml:space="preserve">ふぉっきゅん</t>
    </r>
    <r>
      <rPr>
        <sz val="8"/>
        <rFont val="Droid Sans"/>
        <family val="0"/>
        <charset val="1"/>
      </rPr>
      <t xml:space="preserve">@</t>
    </r>
    <r>
      <rPr>
        <sz val="8"/>
        <rFont val="Noto Sans CJK SC Regular"/>
        <family val="2"/>
      </rPr>
      <t xml:space="preserve">ﾊﾟｩヮ〜〜〜〜〜〜〜〜〜</t>
    </r>
  </si>
  <si>
    <t xml:space="preserve">脱私☀即的</t>
  </si>
  <si>
    <r>
      <rPr>
        <sz val="8"/>
        <rFont val="Droid Sans"/>
        <family val="0"/>
        <charset val="1"/>
      </rPr>
      <t xml:space="preserve">SB69</t>
    </r>
    <r>
      <rPr>
        <sz val="8"/>
        <rFont val="Noto Sans CJK SC Regular"/>
        <family val="2"/>
      </rPr>
      <t xml:space="preserve">（徒然）</t>
    </r>
    <r>
      <rPr>
        <sz val="8"/>
        <rFont val="Droid Sans"/>
        <family val="0"/>
        <charset val="1"/>
      </rPr>
      <t xml:space="preserve">/</t>
    </r>
    <r>
      <rPr>
        <sz val="8"/>
        <rFont val="Noto Sans CJK SC Regular"/>
        <family val="2"/>
      </rPr>
      <t xml:space="preserve">人間椅子</t>
    </r>
    <r>
      <rPr>
        <sz val="8"/>
        <rFont val="Droid Sans"/>
        <family val="0"/>
        <charset val="1"/>
      </rPr>
      <t xml:space="preserve">/B'z</t>
    </r>
    <r>
      <rPr>
        <sz val="8"/>
        <rFont val="Noto Sans CJK SC Regular"/>
        <family val="2"/>
      </rPr>
      <t xml:space="preserve">とかメタル系のぷに絵かき。最近</t>
    </r>
    <r>
      <rPr>
        <sz val="8"/>
        <rFont val="Droid Sans"/>
        <family val="0"/>
        <charset val="1"/>
      </rPr>
      <t xml:space="preserve">FGO</t>
    </r>
    <r>
      <rPr>
        <sz val="8"/>
        <rFont val="Noto Sans CJK SC Regular"/>
        <family val="2"/>
      </rPr>
      <t xml:space="preserve">をぬるく始めました。政治沼に落ちてしまったが故、その手のついーと多めでごめんなさい。リヨ絵のダヴィンチちゃん好きすぎてつらい </t>
    </r>
    <r>
      <rPr>
        <sz val="8"/>
        <rFont val="Droid Sans"/>
        <family val="0"/>
        <charset val="1"/>
      </rPr>
      <t xml:space="preserve">https://t.co/yMrMMeBb8o◆1119</t>
    </r>
    <r>
      <rPr>
        <sz val="8"/>
        <rFont val="Noto Sans CJK SC Regular"/>
        <family val="2"/>
      </rPr>
      <t xml:space="preserve">は有明台場エリアで青山椅子の予感（応募した）</t>
    </r>
  </si>
  <si>
    <t xml:space="preserve">Sankalp Gupta☁️</t>
  </si>
  <si>
    <t xml:space="preserve">Shinzo Abe To Push Reform Of Japan's Constitution After Election Win https://t.co/sRbdkr749C #News #NDTV</t>
  </si>
  <si>
    <t xml:space="preserve">Life is not a cuppa tea that you sip it!! #Pune based Solution Architect #LoveDriving #HappyHusband #Gamer</t>
  </si>
  <si>
    <t xml:space="preserve">Melbourne Now</t>
  </si>
  <si>
    <t xml:space="preserve">Japan's Prime Minister Shinzo Abe looks set for a strong election win. 7News https://t.co/vFoUkDotre</t>
  </si>
  <si>
    <t xml:space="preserve">Top Melbourne Now</t>
  </si>
  <si>
    <t xml:space="preserve">Breaking news and weather updates from Melbourne.</t>
  </si>
  <si>
    <t xml:space="preserve">Lapis Lazuli</t>
  </si>
  <si>
    <t xml:space="preserve">that sounds a bit too long! Shinzo Abe placed to lead Japan through 2021 after big election win https://t.co/KBN32lj6tE</t>
  </si>
  <si>
    <r>
      <rPr>
        <sz val="8"/>
        <rFont val="Droid Sans"/>
        <family val="0"/>
        <charset val="1"/>
      </rPr>
      <t xml:space="preserve">Peace-loving pragmatist. Love to have civil conversations learning from each other. Interested in peace, security, nuclear, politics, Asia, Japan etc. </t>
    </r>
    <r>
      <rPr>
        <sz val="8"/>
        <rFont val="Noto Sans CJK SC Regular"/>
        <family val="2"/>
      </rPr>
      <t xml:space="preserve">冬は必ず春となる。</t>
    </r>
  </si>
  <si>
    <t xml:space="preserve">Pure News Network</t>
  </si>
  <si>
    <t xml:space="preserve">#Breaking #News Shinzo Abe To Push Reform Of Japan's Constitution After Election Win https://t.co/Jmsrb7CPrM #BreakingNews</t>
  </si>
  <si>
    <t xml:space="preserve">Follow us for #Breaking #News #World #News #International #News and #Headlines from across the globe | Part of @ESSMediaLLC</t>
  </si>
  <si>
    <t xml:space="preserve">shiva prasad</t>
  </si>
  <si>
    <t xml:space="preserve">factsfeeding.com</t>
  </si>
  <si>
    <t xml:space="preserve">Shinzo Abe To Push Reform Of Japan’s Pacifist Constitution After Election Win https://t.co/1UAyOoGa63</t>
  </si>
  <si>
    <t xml:space="preserve">https://t.co/NytHu5Kp0l is your news,entertainment, music,fashion website. We provide you with the latest news,videos straight from the entertainment industry.</t>
  </si>
  <si>
    <t xml:space="preserve">Oye-Lawrence</t>
  </si>
  <si>
    <t xml:space="preserve">Twitterrific</t>
  </si>
  <si>
    <t xml:space="preserve">06°25'N, 03°27'E </t>
  </si>
  <si>
    <t xml:space="preserve">Co-founder AstrumStores &amp; SwapNaija.........</t>
  </si>
  <si>
    <t xml:space="preserve">Himanshu Nayak</t>
  </si>
  <si>
    <t xml:space="preserve">Lokesh</t>
  </si>
  <si>
    <t xml:space="preserve">Shinzo Abe, the "comeback kid" of Japanese politics- Nikkei Asian Review https://t.co/JRZ504kTqV</t>
  </si>
  <si>
    <t xml:space="preserve">Venkat</t>
  </si>
  <si>
    <t xml:space="preserve">Want to see true democracy, true secularism and really neutral media. RTs do not necessarily mean endorsements. Limited time on Twitter due to full time job.</t>
  </si>
  <si>
    <t xml:space="preserve">BhaktiKiShakti</t>
  </si>
  <si>
    <t xml:space="preserve">Varanasi, India</t>
  </si>
  <si>
    <t xml:space="preserve">Bhakti hi Shakti hai🙏🙏🙏</t>
  </si>
  <si>
    <t xml:space="preserve">Brad Valentine</t>
  </si>
  <si>
    <t xml:space="preserve">Python-Twitter Integration</t>
  </si>
  <si>
    <t xml:space="preserve">Champagne for my real friends and real pain for my sham friends.</t>
  </si>
  <si>
    <t xml:space="preserve">Matthew Kottre</t>
  </si>
  <si>
    <t xml:space="preserve">Tillamook, OR</t>
  </si>
  <si>
    <t xml:space="preserve">harish shivdasani</t>
  </si>
  <si>
    <t xml:space="preserve">mumbai world</t>
  </si>
  <si>
    <t xml:space="preserve">Steers biz leader/#entrepreneur/astut Sr exe attain exaltd #leadership, #happiness &amp; true identity Ex faculty IIMA.Leadrship Author &amp;Speaker https://t.co/YM2MnbOq7s</t>
  </si>
  <si>
    <t xml:space="preserve">Jeremy</t>
  </si>
  <si>
    <t xml:space="preserve">Singer, Performer, Grammar Nazi</t>
  </si>
  <si>
    <t xml:space="preserve">Shinzo Abe’s expected election win will make him Japan's longest-serving prime minister https://t.co/k55EH3nQLz https://t.co/HRfPnN7h3O</t>
  </si>
  <si>
    <t xml:space="preserve">Media Studio</t>
  </si>
  <si>
    <t xml:space="preserve">Shinzo Abe secures strong mandate in Japan's general election -- 19 related stories on JustBigNews. https://t.co/pZe9y0Irhp</t>
  </si>
  <si>
    <t xml:space="preserve">Kim Dudko</t>
  </si>
  <si>
    <t xml:space="preserve">Shinzo Abe gains big victory in Japan election @GuvnorMedia_ https://t.co/3vz2TAK0ny</t>
  </si>
  <si>
    <t xml:space="preserve">Guvnor App</t>
  </si>
  <si>
    <t xml:space="preserve">HR Director, passionate about my profession, passionate about riding, enjoy lifes challenges</t>
  </si>
  <si>
    <t xml:space="preserve">Moustapha Abdikadir</t>
  </si>
  <si>
    <t xml:space="preserve">RT @trtworld: Shinzo Abe’s expected election win will make him Japan's longest-serving prime minister https://t.co/k55EH3nQLz https://t.co/…</t>
  </si>
  <si>
    <t xml:space="preserve">😀😀</t>
  </si>
  <si>
    <t xml:space="preserve">CLEAR VISION MEDIA</t>
  </si>
  <si>
    <t xml:space="preserve">Nikkei hits new highs after Japan election - Investors bet on a continuation of Prime Minister Shinzo Abe's eco... https://t.co/5v2T0voYPC</t>
  </si>
  <si>
    <t xml:space="preserve">Assisting with the #marketing for #property developers &amp; estate agents. #CGIs #Architect #floorplans #3D #video</t>
  </si>
  <si>
    <t xml:space="preserve">ViperNebulous</t>
  </si>
  <si>
    <t xml:space="preserve">Nikkei hits new highs after Japan election https://t.co/gHg8TwZ6im Investors bet on a continuation of Prime Minister Shinzo Abe's economic…</t>
  </si>
  <si>
    <t xml:space="preserve">News, Blog, Products</t>
  </si>
  <si>
    <t xml:space="preserve">STARTinfoUP</t>
  </si>
  <si>
    <t xml:space="preserve">#LONDON #BUSINESS #ECONOMICS:Monday Papers:Xendpay,a #moneytransfer operation.., is set to expand into India… https://t.co/hnYsKl5oWN</t>
  </si>
  <si>
    <t xml:space="preserve">Information on startups/TECH news</t>
  </si>
  <si>
    <t xml:space="preserve">bhushan gorey</t>
  </si>
  <si>
    <t xml:space="preserve">RT is not endorsement! equity investor, believes in Sangh ideology, proud hindu.</t>
  </si>
  <si>
    <t xml:space="preserve">偽イタリア人</t>
  </si>
  <si>
    <t xml:space="preserve">Shinzo Abe secures strong mandate in Japan's general election https://t.co/EazDIsVEzP</t>
  </si>
  <si>
    <r>
      <rPr>
        <sz val="8"/>
        <rFont val="Noto Sans CJK SC Regular"/>
        <family val="2"/>
      </rPr>
      <t xml:space="preserve">君ん家の屋根裏に棲んでたりして</t>
    </r>
    <r>
      <rPr>
        <sz val="8"/>
        <rFont val="Droid Sans"/>
        <family val="0"/>
        <charset val="1"/>
      </rPr>
      <t xml:space="preserve">(</t>
    </r>
    <r>
      <rPr>
        <sz val="8"/>
        <rFont val="Noto Sans CJK SC Regular"/>
        <family val="2"/>
      </rPr>
      <t xml:space="preserve">怖っ</t>
    </r>
    <r>
      <rPr>
        <sz val="8"/>
        <rFont val="Droid Sans"/>
        <family val="0"/>
        <charset val="1"/>
      </rPr>
      <t xml:space="preserve">)</t>
    </r>
  </si>
  <si>
    <r>
      <rPr>
        <sz val="8"/>
        <rFont val="Droid Sans"/>
        <family val="0"/>
        <charset val="1"/>
      </rPr>
      <t xml:space="preserve">CDTV</t>
    </r>
    <r>
      <rPr>
        <sz val="8"/>
        <rFont val="Noto Sans CJK SC Regular"/>
        <family val="2"/>
      </rPr>
      <t xml:space="preserve">を御覧の皆さま今晩は。 素敵な曲貼り以外は、下らない事を軸にツイートをするアカウントなのですが、時事ツイート多めになっています。 莫迦故に、自己</t>
    </r>
    <r>
      <rPr>
        <sz val="8"/>
        <rFont val="Droid Sans"/>
        <family val="0"/>
        <charset val="1"/>
      </rPr>
      <t xml:space="preserve">RT</t>
    </r>
    <r>
      <rPr>
        <sz val="8"/>
        <rFont val="Noto Sans CJK SC Regular"/>
        <family val="2"/>
      </rPr>
      <t xml:space="preserve">をバカみたいにするので、</t>
    </r>
    <r>
      <rPr>
        <sz val="8"/>
        <rFont val="Droid Sans"/>
        <family val="0"/>
        <charset val="1"/>
      </rPr>
      <t xml:space="preserve">RT</t>
    </r>
    <r>
      <rPr>
        <sz val="8"/>
        <rFont val="Noto Sans CJK SC Regular"/>
        <family val="2"/>
      </rPr>
      <t xml:space="preserve">非表示設定をお願い致します。</t>
    </r>
  </si>
  <si>
    <t xml:space="preserve">Indian</t>
  </si>
  <si>
    <t xml:space="preserve">Nationalist-Jai Hind NAMO(2014-2024) Amit Shah(2024-2029</t>
  </si>
  <si>
    <t xml:space="preserve">4 Paws Decals</t>
  </si>
  <si>
    <t xml:space="preserve">The Election Win of Japanese Prime Minister Shinzo Abe Puts the Nikkei on Track for a Record Rise https://t.co/wX0GyPmzMu</t>
  </si>
  <si>
    <t xml:space="preserve">pratigya singh</t>
  </si>
  <si>
    <t xml:space="preserve">a foodie;luv watching movies. Proud Indian :)</t>
  </si>
  <si>
    <t xml:space="preserve">kumaran natarajan</t>
  </si>
  <si>
    <t xml:space="preserve">WJT ❄️</t>
  </si>
  <si>
    <t xml:space="preserve">Shinzo Abe gains big victory in Japan election https://t.co/8WwkXPpNhg via @FT</t>
  </si>
  <si>
    <t xml:space="preserve">Qui Cogitavit Sustinet #Connecticut | Blog https://t.co/slBfQGVpa5 | Organising Data Empowering Ideas | #AI #Brain #Research #Digital #Knowledge #Code #Writing</t>
  </si>
  <si>
    <t xml:space="preserve">JMB</t>
  </si>
  <si>
    <t xml:space="preserve">West Coast</t>
  </si>
  <si>
    <t xml:space="preserve">Politically independent capitalist</t>
  </si>
  <si>
    <t xml:space="preserve">Jatin</t>
  </si>
  <si>
    <t xml:space="preserve">Vinmax Infotech</t>
  </si>
  <si>
    <t xml:space="preserve">#Shinzo Abe To Push Reform Of Japan's Constitution After Election Win - https://t.co/d4WA5ZgtuQ #Japanese Prime Minister Shinzo ...</t>
  </si>
  <si>
    <t xml:space="preserve">latest mobile news app</t>
  </si>
  <si>
    <t xml:space="preserve">Vinmax Infotech is one of leading Software Development, Designing &amp; Outsourcing Company in the business of providing software services to its clients globally.</t>
  </si>
  <si>
    <t xml:space="preserve">Ludis Neiders</t>
  </si>
  <si>
    <t xml:space="preserve">Latvia</t>
  </si>
  <si>
    <t xml:space="preserve">Benjamin Low</t>
  </si>
  <si>
    <t xml:space="preserve">下一頁的我</t>
  </si>
  <si>
    <t xml:space="preserve">Muthu Raja</t>
  </si>
  <si>
    <t xml:space="preserve">Management Graduate, Trader, Blogger. Interested in politics, business , books, quizzes and movies.</t>
  </si>
  <si>
    <t xml:space="preserve">रंगा - ரங்கா</t>
  </si>
  <si>
    <t xml:space="preserve">Bharatiya, searching for roots-values of Dharma. Educating kids on Bharatiya values, support financially deprived class. Publisher. RT is not endorsement</t>
  </si>
  <si>
    <t xml:space="preserve">News,Biz&amp;Inspiration</t>
  </si>
  <si>
    <t xml:space="preserve">The Election Win of Japanese Prime Minister Shinzo Abe Puts the Nikkei on Track for a Record Rise… https://t.co/lQMI09p0Ik</t>
  </si>
  <si>
    <t xml:space="preserve">News ,quotes, Business Expert. Free Gift cards. 😀🎁🎁🎁🎁</t>
  </si>
  <si>
    <t xml:space="preserve">Juank</t>
  </si>
  <si>
    <t xml:space="preserve">The Election Win of Japanese Prime Minister Shinzo Abe Puts the Nikkei on Track for a Record Rise https://t.co/X5LF9JdKec</t>
  </si>
  <si>
    <t xml:space="preserve">San Salvador, El Salvador</t>
  </si>
  <si>
    <t xml:space="preserve">#Blogger #Tech #Política #Monitoreo #Discapacidad #Workaholic #FMLN #ElSalvador 🇸🇻 –de cuando en vez, bruto para decir las cosas– 🤔 ¡Así en corto!</t>
  </si>
  <si>
    <t xml:space="preserve">Kundan mondal</t>
  </si>
  <si>
    <t xml:space="preserve">Narendra Modi congratulates Shinzo Abe on re-election in Japan https://t.co/xuEiik1Xog</t>
  </si>
  <si>
    <t xml:space="preserve">*Dr Barkat SOOMRO*</t>
  </si>
  <si>
    <t xml:space="preserve">Shinzo Abe sweeps to a comfortable victory in Japan snap election https://t.co/3OEASpLTOG</t>
  </si>
  <si>
    <t xml:space="preserve">HYDERABAD, SINDH, PAKISTAN.</t>
  </si>
  <si>
    <t xml:space="preserve">M.Sc. Agri. (SINDH) Gold Medalist. PhD. Univ of Alberta, CANADA. Sr. Fulbright Postdoctorate, Univ. of Georgia, USA., E.U. Postdoctorate, Thessaloniki, GREECE.</t>
  </si>
  <si>
    <t xml:space="preserve">पीयूष #Dr.Swamy4FM</t>
  </si>
  <si>
    <t xml:space="preserve">Anjali</t>
  </si>
  <si>
    <t xml:space="preserve">Coffee addict, voracious reader, intrepid traveller, animal lover &amp; dreamer-that's me in a nutshell. RT's are not endorsement</t>
  </si>
  <si>
    <t xml:space="preserve">Harish Sharma</t>
  </si>
  <si>
    <t xml:space="preserve">July Matters</t>
  </si>
  <si>
    <t xml:space="preserve">Shinzo Abe To Push Reform Of Japan's Pacifist Constitution After Election Win https://t.co/NGu7lIY9Z2</t>
  </si>
  <si>
    <t xml:space="preserve">App #g45g4</t>
  </si>
  <si>
    <t xml:space="preserve">Indian @ heart</t>
  </si>
  <si>
    <t xml:space="preserve">IIT BHU Alumni(1980), committed to Technology &amp; Development; A Modi fan; Keen on Culture, Current affairs, Business and Corruption free progressive INDIA.</t>
  </si>
  <si>
    <t xml:space="preserve">TOKYO (Reuters) - Japanese Prime Minister Shinzo Abe and U.S. President Donald Trump agreed to work together… https://t.co/mrr0lFgnBT #FB</t>
  </si>
  <si>
    <t xml:space="preserve">vinod shah</t>
  </si>
  <si>
    <t xml:space="preserve">Real estate consultant,follower of Avadhoot Shivanand https://t.co/Ye07lfarnF initiatives to spread awareness of Shivyog agriculture and Science beyond Science in medicine</t>
  </si>
  <si>
    <t xml:space="preserve">TOKYO (Reuters) - Japanese Prime Minister Shinzo Abe and U.S. President Donald Trump agreed to work together to... https://t.co/jD5leqwZBC</t>
  </si>
  <si>
    <t xml:space="preserve">MinoruMikeAoki</t>
  </si>
  <si>
    <t xml:space="preserve">Japan's Prime Minister Shinzo Abe and his Liberal Democratic Party has won big in the recent election. https://t.co/pSCOGj7C3H</t>
  </si>
  <si>
    <t xml:space="preserve">https://t.co/M7m3gsSK4j https://t.co/VRKEGAaJTh</t>
  </si>
  <si>
    <t xml:space="preserve">Shinzo Abe placed to lead Japan through 2021 after big election win https://t.co/Nz5ullRjCQ</t>
  </si>
  <si>
    <t xml:space="preserve">Madhava Menon</t>
  </si>
  <si>
    <t xml:space="preserve">India first. Re tweets are not endorsement.</t>
  </si>
  <si>
    <r>
      <rPr>
        <sz val="8"/>
        <rFont val="Noto Sans CJK SC Regular"/>
        <family val="2"/>
      </rPr>
      <t xml:space="preserve">荒井利彦🐬</t>
    </r>
    <r>
      <rPr>
        <sz val="8"/>
        <rFont val="Droid Sans"/>
        <family val="0"/>
        <charset val="1"/>
      </rPr>
      <t xml:space="preserve">ToshihikoArai♿</t>
    </r>
  </si>
  <si>
    <r>
      <rPr>
        <sz val="8"/>
        <rFont val="Noto Sans CJK SC Regular"/>
        <family val="2"/>
      </rPr>
      <t xml:space="preserve">猫が大好き❤弱い者虐めは大嫌いです❗</t>
    </r>
    <r>
      <rPr>
        <sz val="8"/>
        <rFont val="Droid Sans"/>
        <family val="0"/>
        <charset val="1"/>
      </rPr>
      <t xml:space="preserve">50</t>
    </r>
    <r>
      <rPr>
        <sz val="8"/>
        <rFont val="Noto Sans CJK SC Regular"/>
        <family val="2"/>
      </rPr>
      <t xml:space="preserve">歳台で脳梗塞になり、右半身麻痺になりました。現在は身体障害者</t>
    </r>
    <r>
      <rPr>
        <sz val="8"/>
        <rFont val="Droid Sans"/>
        <family val="0"/>
        <charset val="1"/>
      </rPr>
      <t xml:space="preserve">2</t>
    </r>
    <r>
      <rPr>
        <sz val="8"/>
        <rFont val="Noto Sans CJK SC Regular"/>
        <family val="2"/>
      </rPr>
      <t xml:space="preserve">級、リハビリ励行中。</t>
    </r>
    <r>
      <rPr>
        <sz val="8"/>
        <rFont val="Droid Sans"/>
        <family val="0"/>
        <charset val="1"/>
      </rPr>
      <t xml:space="preserve">#vegan #CKD #JesusLover Protestant christian #FreePalestine #BDS #BoycottApartheidIsrael 🌸 ن</t>
    </r>
  </si>
  <si>
    <t xml:space="preserve">BHARAT SETHIA</t>
  </si>
  <si>
    <t xml:space="preserve">THANE MUMBAI</t>
  </si>
  <si>
    <t xml:space="preserve">TAKE LIFE AS IT COMES TO LIVE IT KING SIZE</t>
  </si>
  <si>
    <t xml:space="preserve">#Trending Shinzo Abe placed to lead Japan through 2021 after big election win https://t.co/nlsmA70RGp… https://t.co/sbIhplJuZm</t>
  </si>
  <si>
    <t xml:space="preserve">Dan Stiel</t>
  </si>
  <si>
    <t xml:space="preserve">The Election Win of Japanese Prime Minister Shinzo Abe Puts the Nikkei on Track for a Record Rise https://t.co/oecQkDJIbH</t>
  </si>
  <si>
    <t xml:space="preserve">Newport Beach, CA</t>
  </si>
  <si>
    <t xml:space="preserve">I don't fight with bulls, swim with sharks, or fly wearing wingsuits. I'm just a marketing guy who likes to share interesting news w/friends.</t>
  </si>
  <si>
    <t xml:space="preserve">Nevo Financial LLC</t>
  </si>
  <si>
    <t xml:space="preserve">The Election Win of Japanese Prime Minister Shinzo Abe Puts the Nikkei on Track for a Record Rise https://t.co/zCa1uWfblg</t>
  </si>
  <si>
    <t xml:space="preserve">We're focused on investing in and building portfolios of financial services brands, products and businesses recognized for quality, performance and innovation.</t>
  </si>
  <si>
    <t xml:space="preserve">Narendra Modi congratulates Shinzo Abe on re-election in Japan https://t.co/7SWe0IR7Q5 #Elections #AcheDin #Politics</t>
  </si>
  <si>
    <t xml:space="preserve">Shinzo Abe placed to lead Japan through 2021 after big election win https://t.co/ZP1IhUCYCv https://t.co/VgzpYeMgEI</t>
  </si>
  <si>
    <t xml:space="preserve">Shinzo Abe placed to lead Japan through 2021 after big election win https://t.co/ZgkRsuRHDX</t>
  </si>
  <si>
    <t xml:space="preserve">Social Media 4 BJP</t>
  </si>
  <si>
    <t xml:space="preserve">Narendra Modi congratulates Shinzo Abe on re-election in Japan https://t.co/svnRHnzunz https://t.co/EgKgYgvi3b</t>
  </si>
  <si>
    <t xml:space="preserve">Gujarat, India</t>
  </si>
  <si>
    <t xml:space="preserve">Account Managed by A Karyakarta of Youth BJP Ahmedabad District</t>
  </si>
  <si>
    <t xml:space="preserve">Emerge Biz Solutions</t>
  </si>
  <si>
    <t xml:space="preserve">The Election Win of Japanese Prime Minister Shinzo Abe Puts the Nikkei on Track for a Record Rise https://t.co/Z6J1maGA8w</t>
  </si>
  <si>
    <t xml:space="preserve">E-merge Business Solutions offers honest, value based business solutions through #IT, #Virtual Asst. &amp; #Marketing services to its clients. Call (868) 283-1560</t>
  </si>
  <si>
    <t xml:space="preserve">Harshang Desai BJYM</t>
  </si>
  <si>
    <t xml:space="preserve">RT @socialmedia4bjp: Narendra Modi congratulates Shinzo Abe on re-election in Japan https://t.co/svnRHnzunz https://t.co/EgKgYgvi3b</t>
  </si>
  <si>
    <t xml:space="preserve">🌐 ભારતીય જનતા પાર્ટી નવસારી જિલ્લા યુવા મોરચા રોજગાર આયામ સંયોજક. 🔵 ભારતીય જનતા પાર્ટી નવસારી તાલુકા ITSM સભ્ય. 🌏 વિધાનસભા-175 નવસારી તાલુકા ITSM કન્વીનર.</t>
  </si>
  <si>
    <t xml:space="preserve">Santanu Sengupta</t>
  </si>
  <si>
    <t xml:space="preserve">Kolkata, West Bengal</t>
  </si>
  <si>
    <t xml:space="preserve">||EX BANKER|| Now Hotelier &amp; Restaurateur Tweets are personal opinion,RT not an endorsement</t>
  </si>
  <si>
    <t xml:space="preserve">Asia Casino Gaming</t>
  </si>
  <si>
    <t xml:space="preserve">Japan casino hopes rise on Shinzo Abe election win https://t.co/KIvpSucl6n #ACG #AsiaCasinoGaming #AsiaCasinos #CasinoNews #CasinoListing</t>
  </si>
  <si>
    <t xml:space="preserve">With over 200 casinos to choose from, Asia Casino Gaming invites gaming enthusiasts to browse through its website by game or destination of their choice.</t>
  </si>
  <si>
    <t xml:space="preserve">nirath manipanda</t>
  </si>
  <si>
    <t xml:space="preserve">Fortune</t>
  </si>
  <si>
    <t xml:space="preserve">Japan's Nikkei is on track for a record rise after Shinzo Abe's coalition scored a resounding election win https://t.co/N27J4oqMoC</t>
  </si>
  <si>
    <t xml:space="preserve">FORTUNE's official Twitter feed. Here's what we're hearing, seeing, reading and writing. Visit us at http://t.co/EZnUYxNm</t>
  </si>
  <si>
    <t xml:space="preserve">WLST.com</t>
  </si>
  <si>
    <t xml:space="preserve">Shinzo Abes Resounding Win Puts Nikkei on Track for Record Rise https://t.co/S6DviHMrfm https://t.co/BP8ANUYasX https://t.co/oUjzXxb05y</t>
  </si>
  <si>
    <t xml:space="preserve">wlst</t>
  </si>
  <si>
    <t xml:space="preserve">digital</t>
  </si>
  <si>
    <t xml:space="preserve">wall street breaking news, investing news, trading news ++free streaming news, trends, buzz</t>
  </si>
  <si>
    <t xml:space="preserve">MMO</t>
  </si>
  <si>
    <t xml:space="preserve">RT @FortuneMagazine: Japan's Nikkei is on track for a record rise after Shinzo Abe's coalition scored a resounding election win https://t.c…</t>
  </si>
  <si>
    <t xml:space="preserve">It's all about balance....</t>
  </si>
  <si>
    <t xml:space="preserve">Suresh Patel</t>
  </si>
  <si>
    <t xml:space="preserve">New Jersey</t>
  </si>
  <si>
    <t xml:space="preserve">JOSEPH   MAKATO</t>
  </si>
  <si>
    <t xml:space="preserve">RT @AcheDinAaneWale: Narendra Modi congratulates Shinzo Abe on re-election in Japan https://t.co/7SWe0IR7Q5 #Elections #AcheDin #Politics</t>
  </si>
  <si>
    <t xml:space="preserve">kaushal</t>
  </si>
  <si>
    <t xml:space="preserve">Mithapur, India</t>
  </si>
  <si>
    <t xml:space="preserve">i am active social activist and also involved in indian politics am representing BJP AS an DISTRICT IT CELL CONVENOR..... ::રાષ્ટ્રદેવો ભવ::</t>
  </si>
  <si>
    <t xml:space="preserve">moneycontrol</t>
  </si>
  <si>
    <t xml:space="preserve">Japan PM Shinzo Abe's ruling bloc on track for big win in election: TV exit polls https://t.co/eTk0CCUKg2 https://t.co/lVcwnuPDYo</t>
  </si>
  <si>
    <t xml:space="preserve">Know the New Economy through Moneycontrol, India’s No.1 financial portal. Tune in for exclusive and breaking news, in-depth analysis, and best investment tools</t>
  </si>
  <si>
    <t xml:space="preserve">Fool on the Hillz</t>
  </si>
  <si>
    <t xml:space="preserve">Business, Branding, Marketing, I.T. Apps Design, Politics, Dev-Economics, Urban-Environment, Scientist, Village-Idiot, Paying First-Class Pax on Ship of Fools</t>
  </si>
  <si>
    <t xml:space="preserve">NAVY CAPITAL</t>
  </si>
  <si>
    <t xml:space="preserve">#NavyCapital : Japan's Nikkei is on track for a record rise after Shinzo Abe's coalition scored a resounding elect… https://t.co/04LiA71LRM</t>
  </si>
  <si>
    <t xml:space="preserve">Official handle of Navy Capital. we expertise in investment banking, Investment Management, Research &amp; Advisory, Wealth Management with Roboust Risk Management</t>
  </si>
  <si>
    <t xml:space="preserve">News Eleven</t>
  </si>
  <si>
    <t xml:space="preserve">Shinzo Abe To Push Reform Of Japan’s Pacifist Constitution After Election Win https://t.co/5ay4hNFZRW https://t.co/n4ML9inyg2</t>
  </si>
  <si>
    <t xml:space="preserve">Lorne Daley</t>
  </si>
  <si>
    <t xml:space="preserve">moderate liberal</t>
  </si>
  <si>
    <t xml:space="preserve">Japan's Nikkei is on track for a record rise after Shinzo Abe's coalition scored a resounding election win https://t.co/GPaKwRyXpl — Fort…</t>
  </si>
  <si>
    <t xml:space="preserve">Vishwatma</t>
  </si>
  <si>
    <t xml:space="preserve">rain that falls in craggy places Loses itself,dispersed throughout the mountains So does the man who sees dharma as diverse,become dispersed in their pursuit</t>
  </si>
  <si>
    <t xml:space="preserve">Fukushima.exposed</t>
  </si>
  <si>
    <t xml:space="preserve">The truth about Fukushima is being covered up by the Gov and Media.</t>
  </si>
  <si>
    <t xml:space="preserve">Alexandru Herea</t>
  </si>
  <si>
    <t xml:space="preserve">Andorra</t>
  </si>
  <si>
    <t xml:space="preserve">Professeur d'économie et juriste droit public des affaires, droit international et européen / Étudiant en sociologie</t>
  </si>
  <si>
    <t xml:space="preserve">Indian Journalist</t>
  </si>
  <si>
    <t xml:space="preserve">भारत </t>
  </si>
  <si>
    <t xml:space="preserve">If Sagarika, Barkha, Raveesh, Rajdeep types are journalist, then I am journalist too. Based in Lutyen Delhi. Willing to sell my soul if paid suitably.</t>
  </si>
  <si>
    <t xml:space="preserve">CNBC</t>
  </si>
  <si>
    <t xml:space="preserve">Japan's leader just won a resounding election victory, but he's still unpopular https://t.co/mF7ST8ufoQ</t>
  </si>
  <si>
    <t xml:space="preserve">First in Business Worldwide</t>
  </si>
  <si>
    <t xml:space="preserve">Vishal Agrawal</t>
  </si>
  <si>
    <t xml:space="preserve">लंकेश</t>
  </si>
  <si>
    <t xml:space="preserve">RT @moneycontrolcom: Japan PM Shinzo Abe's ruling bloc on track for big win in election: TV exit polls https://t.co/eTk0CCUKg2 https://t.co…</t>
  </si>
  <si>
    <t xml:space="preserve">Uttarakhand</t>
  </si>
  <si>
    <t xml:space="preserve">लंकेश का डंका बजता रहेगा। जब तक राम है रावण रहेगा।।</t>
  </si>
  <si>
    <t xml:space="preserve">Japan PM Shinzo Abe's ruling bloc on track for big win in election: TV exit polls https://t.co/g47CFdYgJC https://t.co/EU8zywMJvb</t>
  </si>
  <si>
    <t xml:space="preserve">Rohit Choubey</t>
  </si>
  <si>
    <t xml:space="preserve">Nation lover; common person, RT and like are not endorsement, Namo bhakt. blessed following by @PiyushGoyalOffc</t>
  </si>
  <si>
    <t xml:space="preserve">iFortuneFinancing</t>
  </si>
  <si>
    <t xml:space="preserve">Japan's leader just won a resounding election victory, but he's still unpopular https://t.co/8x117nunlF #$loan #firsttimebusinessloan #vet…</t>
  </si>
  <si>
    <t xml:space="preserve">Intrepid Fortune Financing lives to lend! Helping hundreds of thousands of small businesses every year grow and expand at exponential rates.</t>
  </si>
  <si>
    <t xml:space="preserve">DeShaunsMrk™</t>
  </si>
  <si>
    <t xml:space="preserve">Japan's leader just won a resounding election victory, but he's still unpopular https://t.co/5sdmsFWAiK</t>
  </si>
  <si>
    <t xml:space="preserve">Cleveland, Ohio</t>
  </si>
  <si>
    <t xml:space="preserve">#BrandAuthority | #Branding | #Consulting | #Marketing | #Promotions ©(2017)DESHAUN'S MARKETING, INC. COMMUNICATION IS KEY@™ #BrandBuildGrindShine™</t>
  </si>
  <si>
    <t xml:space="preserve">CNBC International</t>
  </si>
  <si>
    <t xml:space="preserve">Japan's leader just won a resounding election victory, but he's still unpopular https://t.co/yd6J7nvXOH https://t.co/w2oQCJxLE2</t>
  </si>
  <si>
    <t xml:space="preserve">With the biggest breaking business and financial news from around the world, CNBC International is here to help you get ahead.</t>
  </si>
  <si>
    <t xml:space="preserve">RT @CNBC: Japan's leader just won a resounding election victory, but he's still unpopular https://t.co/mF7ST8ufoQ</t>
  </si>
  <si>
    <t xml:space="preserve">Media Professional</t>
  </si>
  <si>
    <t xml:space="preserve">News Hub</t>
  </si>
  <si>
    <t xml:space="preserve">Shinzo Abe Secures Strong Mandate In Japan S General Election: https://t.co/5aMCjEbBfy via @YouTube</t>
  </si>
  <si>
    <t xml:space="preserve">Digital lib</t>
  </si>
  <si>
    <t xml:space="preserve">https://t.co/DmV15TKpZ8</t>
  </si>
  <si>
    <t xml:space="preserve">Chandrabhushan Joshi</t>
  </si>
  <si>
    <t xml:space="preserve">Shinzo Abe gains big victory in Japan election ... Thats a Good News 🙂 https://t.co/OmNVjoxmyK</t>
  </si>
  <si>
    <t xml:space="preserve">IT Project Manager. I Tweet on Politics/Current Affairs/History/Technology/Assorted Stuff. PM @narendramodi Follows Me. RT's aren't necessarily Endorsements</t>
  </si>
  <si>
    <t xml:space="preserve">Juan Antonio Vela</t>
  </si>
  <si>
    <t xml:space="preserve">Alguien con #sentido__común__</t>
  </si>
  <si>
    <r>
      <rPr>
        <sz val="8"/>
        <rFont val="Droid Sans"/>
        <family val="0"/>
        <charset val="1"/>
      </rPr>
      <t xml:space="preserve">R Ray Wang (</t>
    </r>
    <r>
      <rPr>
        <sz val="8"/>
        <rFont val="Noto Sans CJK SC Regular"/>
        <family val="2"/>
      </rPr>
      <t xml:space="preserve">王瑞光</t>
    </r>
    <r>
      <rPr>
        <sz val="8"/>
        <rFont val="Droid Sans"/>
        <family val="0"/>
        <charset val="1"/>
      </rPr>
      <t xml:space="preserve">)</t>
    </r>
  </si>
  <si>
    <t xml:space="preserve">RT @CNBCi: Japan's leader just won a resounding election victory, but he's still unpopular https://t.co/yd6J7nvXOH https://t.co/w2oQCJxLE2</t>
  </si>
  <si>
    <t xml:space="preserve">Silicon Valley | SF | 39.5K Ft</t>
  </si>
  <si>
    <t xml:space="preserve">@ConstellationR CEO, CoHost @DisrupTVShow, BestSelling @HarvardBiz Author, Negotiator, Keynoter, Futurist, Biz Innovator, Provocateur, EDM DJ #Foodie #SVLife</t>
  </si>
  <si>
    <t xml:space="preserve">FinanzLinksASIA</t>
  </si>
  <si>
    <t xml:space="preserve">▶ Japan's leader just won a resounding election victory, but he's still unpopular: Shinzo Abe's recent triumph… https://t.co/adJ9eYdmAG</t>
  </si>
  <si>
    <t xml:space="preserve">Bussiness News Asia - Stock Exchanges - Economy - Currencies ❋❋❋❋❋❋❋❋Imprint: http://t.co/0ErTwTODTE ❋❋❋❋❋❋❋❋❋❋ Webseite:</t>
  </si>
  <si>
    <t xml:space="preserve">Prakash Saurabh</t>
  </si>
  <si>
    <t xml:space="preserve">Hamirpur, Uttar Pradesh</t>
  </si>
  <si>
    <t xml:space="preserve">Clerk, Revenue Department, Hamirpur</t>
  </si>
  <si>
    <t xml:space="preserve">Japan's leader just won a resounding election victory, but he's still unpopular https://t.co/Vby2XYh1vA https://t.co/7Ib47Pieg2</t>
  </si>
  <si>
    <t xml:space="preserve">resona daiichi</t>
  </si>
  <si>
    <t xml:space="preserve">Japan's leader just won a resounding election victory, but he's still unpopular https://t.co/36U3Jf5339 https://t.co/0t9JftCsNo</t>
  </si>
  <si>
    <t xml:space="preserve">tokyo</t>
  </si>
  <si>
    <r>
      <rPr>
        <sz val="8"/>
        <rFont val="Droid Sans"/>
        <family val="0"/>
        <charset val="1"/>
      </rPr>
      <t xml:space="preserve">Resona Dai-Ichi Group </t>
    </r>
    <r>
      <rPr>
        <sz val="8"/>
        <rFont val="Noto Sans CJK SC Regular"/>
        <family val="2"/>
      </rPr>
      <t xml:space="preserve">りそな第一グループ </t>
    </r>
    <r>
      <rPr>
        <sz val="8"/>
        <rFont val="Droid Sans"/>
        <family val="0"/>
        <charset val="1"/>
      </rPr>
      <t xml:space="preserve">is a private wealth management company that provides financial services to the needs of individuals and corporate institutions.</t>
    </r>
  </si>
  <si>
    <t xml:space="preserve">CNBC Top Stories</t>
  </si>
  <si>
    <t xml:space="preserve">Japan's leader just won a resounding election victory, but he's still unpopular https://t.co/SDUE66xvZW https://t.co/eJIvhmQsfJ</t>
  </si>
  <si>
    <t xml:space="preserve">Englewood Cliffs, NJ</t>
  </si>
  <si>
    <t xml:space="preserve">This account shares the top news stories on http://t.co/FNmWSgQzKm. Follow @CNBC for top business news and @CNBCnow for breaking news.</t>
  </si>
  <si>
    <t xml:space="preserve">Japan's leader just won a resounding election victory, but he's still unpopular https://t.co/PWa0okdaLa</t>
  </si>
  <si>
    <t xml:space="preserve">BlackCentaur</t>
  </si>
  <si>
    <t xml:space="preserve">Japan's leader just won a resounding election victory, but he's still unpopular https://t.co/IYvfOiEuII #news #CNBC</t>
  </si>
  <si>
    <t xml:space="preserve">24/7 Capital Markets News monitoring plus independent ideas; Links &amp; RT ≠ endorsement; also @BlackCentaurFX; Atheist, Libertarian, Humanist</t>
  </si>
  <si>
    <t xml:space="preserve">Dr Rakesh Dholakia</t>
  </si>
  <si>
    <t xml:space="preserve">JJ</t>
  </si>
  <si>
    <t xml:space="preserve">The Japanese economy will resurrect again.</t>
  </si>
  <si>
    <t xml:space="preserve">B A R I</t>
  </si>
  <si>
    <t xml:space="preserve">🎌日本國⛩</t>
  </si>
  <si>
    <r>
      <rPr>
        <sz val="8"/>
        <rFont val="Noto Sans CJK SC Regular"/>
        <family val="2"/>
      </rPr>
      <t xml:space="preserve">現役で働く方々が困窮せず余裕が出ますように。 </t>
    </r>
    <r>
      <rPr>
        <sz val="8"/>
        <rFont val="Droid Sans"/>
        <family val="0"/>
        <charset val="1"/>
      </rPr>
      <t xml:space="preserve">#</t>
    </r>
    <r>
      <rPr>
        <sz val="8"/>
        <rFont val="Noto Sans CJK SC Regular"/>
        <family val="2"/>
      </rPr>
      <t xml:space="preserve">憲法改正 </t>
    </r>
    <r>
      <rPr>
        <sz val="8"/>
        <rFont val="Droid Sans"/>
        <family val="0"/>
        <charset val="1"/>
      </rPr>
      <t xml:space="preserve">#</t>
    </r>
    <r>
      <rPr>
        <sz val="8"/>
        <rFont val="Noto Sans CJK SC Regular"/>
        <family val="2"/>
      </rPr>
      <t xml:space="preserve">拉致被害者全員奪還 </t>
    </r>
    <r>
      <rPr>
        <sz val="8"/>
        <rFont val="Droid Sans"/>
        <family val="0"/>
        <charset val="1"/>
      </rPr>
      <t xml:space="preserve">#</t>
    </r>
    <r>
      <rPr>
        <sz val="8"/>
        <rFont val="Noto Sans CJK SC Regular"/>
        <family val="2"/>
      </rPr>
      <t xml:space="preserve">移民反対 </t>
    </r>
    <r>
      <rPr>
        <sz val="8"/>
        <rFont val="Droid Sans"/>
        <family val="0"/>
        <charset val="1"/>
      </rPr>
      <t xml:space="preserve">#</t>
    </r>
    <r>
      <rPr>
        <sz val="8"/>
        <rFont val="Noto Sans CJK SC Regular"/>
        <family val="2"/>
      </rPr>
      <t xml:space="preserve">反グローバリズム </t>
    </r>
    <r>
      <rPr>
        <sz val="8"/>
        <rFont val="Droid Sans"/>
        <family val="0"/>
        <charset val="1"/>
      </rPr>
      <t xml:space="preserve">#</t>
    </r>
    <r>
      <rPr>
        <sz val="8"/>
        <rFont val="Noto Sans CJK SC Regular"/>
        <family val="2"/>
      </rPr>
      <t xml:space="preserve">消費税全廃 </t>
    </r>
    <r>
      <rPr>
        <sz val="8"/>
        <rFont val="Droid Sans"/>
        <family val="0"/>
        <charset val="1"/>
      </rPr>
      <t xml:space="preserve">#</t>
    </r>
    <r>
      <rPr>
        <sz val="8"/>
        <rFont val="Noto Sans CJK SC Regular"/>
        <family val="2"/>
      </rPr>
      <t xml:space="preserve">財政出動 </t>
    </r>
    <r>
      <rPr>
        <sz val="8"/>
        <rFont val="Droid Sans"/>
        <family val="0"/>
        <charset val="1"/>
      </rPr>
      <t xml:space="preserve">#</t>
    </r>
    <r>
      <rPr>
        <sz val="8"/>
        <rFont val="Noto Sans CJK SC Regular"/>
        <family val="2"/>
      </rPr>
      <t xml:space="preserve">国債発行</t>
    </r>
  </si>
  <si>
    <t xml:space="preserve">#CNBC 👉Japan's leader just won a resounding election victory, but he's still unpopular https://t.co/OxoCWqlFhT</t>
  </si>
  <si>
    <t xml:space="preserve">James Alexander</t>
  </si>
  <si>
    <t xml:space="preserve">Adventurer, Explorer, Entrepreneur; Finding tranquility amidst chaos 🌪</t>
  </si>
  <si>
    <t xml:space="preserve">Patrick Atwater</t>
  </si>
  <si>
    <t xml:space="preserve">Shinzo Abe gains big victory in Japan election https://t.co/doOsP7kJ6M via @FT</t>
  </si>
  <si>
    <t xml:space="preserve">Pioneering new water data infrastructure for @cadc_io coalition with team @a_r_g_olabs to prepare California for whatever the future holds.</t>
  </si>
  <si>
    <t xml:space="preserve">Shinzo Abe To Push Reform Of Japan's Constitution After Election Win https://t.co/YY8WswdE0g</t>
  </si>
  <si>
    <t xml:space="preserve">Robinson Obunga</t>
  </si>
  <si>
    <t xml:space="preserve">Hope is the mother of everything</t>
  </si>
  <si>
    <t xml:space="preserve">Prateek Mangal</t>
  </si>
  <si>
    <t xml:space="preserve">Nuclear News</t>
  </si>
  <si>
    <t xml:space="preserve">Election win won't boost unpopular Shinzo Abe's ratings https://t.co/fBNkTTqUiu</t>
  </si>
  <si>
    <t xml:space="preserve">Covering all things nuclear. Real time stories and updates about the nuclear industry and the future of nuclear energy.</t>
  </si>
  <si>
    <t xml:space="preserve">Demetri Sevastopulo</t>
  </si>
  <si>
    <t xml:space="preserve">Shinzo Abe gains big victory in Japan election https://t.co/W9jrYzZNKC via @FT</t>
  </si>
  <si>
    <t xml:space="preserve">Irishman in Washington</t>
  </si>
  <si>
    <r>
      <rPr>
        <sz val="8"/>
        <rFont val="Droid Sans"/>
        <family val="0"/>
        <charset val="1"/>
      </rPr>
      <t xml:space="preserve">Washington Bureau Chief @FinancialTimes</t>
    </r>
    <r>
      <rPr>
        <sz val="8"/>
        <rFont val="Noto Sans CJK SC Regular"/>
        <family val="2"/>
      </rPr>
      <t xml:space="preserve">・</t>
    </r>
    <r>
      <rPr>
        <sz val="8"/>
        <rFont val="Droid Sans"/>
        <family val="0"/>
        <charset val="1"/>
      </rPr>
      <t xml:space="preserve">Former Pentagon &amp; CIA correspondent, Asia News Editor, China correspondent</t>
    </r>
    <r>
      <rPr>
        <sz val="8"/>
        <rFont val="Noto Sans CJK SC Regular"/>
        <family val="2"/>
      </rPr>
      <t xml:space="preserve">・</t>
    </r>
    <r>
      <rPr>
        <sz val="8"/>
        <rFont val="Droid Sans"/>
        <family val="0"/>
        <charset val="1"/>
      </rPr>
      <t xml:space="preserve">Chinese &amp; Japanese speaker</t>
    </r>
    <r>
      <rPr>
        <sz val="8"/>
        <rFont val="Noto Sans CJK SC Regular"/>
        <family val="2"/>
      </rPr>
      <t xml:space="preserve">・</t>
    </r>
    <r>
      <rPr>
        <sz val="8"/>
        <rFont val="Droid Sans"/>
        <family val="0"/>
        <charset val="1"/>
      </rPr>
      <t xml:space="preserve">Bio:https://t.co/q2lHK4EJIL</t>
    </r>
  </si>
  <si>
    <t xml:space="preserve">Nitesh Raj</t>
  </si>
  <si>
    <t xml:space="preserve">बैंगलोर</t>
  </si>
  <si>
    <t xml:space="preserve">A Hindu Nationalist, Political Discussion, Positive Thinker, Optimist, Proud Indian, RT’s are not endorsement</t>
  </si>
  <si>
    <t xml:space="preserve">3NovicesAsia</t>
  </si>
  <si>
    <t xml:space="preserve">#3Novices : Japan's leader just won a resounding election victory, but he's still unpopular https://t.co/tbaQ0pRKbp Shinzo Abe's recent tr…</t>
  </si>
  <si>
    <t xml:space="preserve">Asian</t>
  </si>
  <si>
    <t xml:space="preserve">Shinzo Abe To Push Reform Of Japan’s Constitution After Election Win https://t.co/sebWC8zqgc https://t.co/hQCFKWColF</t>
  </si>
  <si>
    <r>
      <rPr>
        <sz val="8"/>
        <rFont val="Droid Sans"/>
        <family val="0"/>
        <charset val="1"/>
      </rPr>
      <t xml:space="preserve">☔️ቴኦቤስታ☔️</t>
    </r>
    <r>
      <rPr>
        <sz val="8"/>
        <rFont val="Noto Sans CJK SC Regular"/>
        <family val="2"/>
      </rPr>
      <t xml:space="preserve">葉頌恩☔️</t>
    </r>
  </si>
  <si>
    <t xml:space="preserve">all over the place / nagoya JP</t>
  </si>
  <si>
    <t xml:space="preserve">here to learn &amp; share (not to agree or endorse) the most interesting bits. &amp; the memes, i'm so here for the memes 😂. rt fiend. #hyperpolyglot.</t>
  </si>
  <si>
    <t xml:space="preserve">Gustavo E. Sanchez</t>
  </si>
  <si>
    <t xml:space="preserve">Los angeles, ca.</t>
  </si>
  <si>
    <t xml:space="preserve">Americanista de corazón, orgullosamente mexicano</t>
  </si>
  <si>
    <t xml:space="preserve">Subhankar Biswas</t>
  </si>
  <si>
    <t xml:space="preserve">Emperor Commodus LLC</t>
  </si>
  <si>
    <t xml:space="preserve">Japan's leader just won a resounding election victory, but he's still unpopular https://t.co/bIL7eHNo9Q</t>
  </si>
  <si>
    <t xml:space="preserve">Mena-Lee Ciara, VA</t>
  </si>
  <si>
    <t xml:space="preserve">RT FortuneMagazine "Japan's Nikkei is on track for a record rise after Shinzo Abe's coalition scored a resounding … https://t.co/IXC2Pd57VY"</t>
  </si>
  <si>
    <t xml:space="preserve">Edmonton, Alberta</t>
  </si>
  <si>
    <t xml:space="preserve">We strive to provide the administrative services that occupy precious time, the time that can be used to focus on business development and success.</t>
  </si>
  <si>
    <t xml:space="preserve">Krunal Bhatt</t>
  </si>
  <si>
    <t xml:space="preserve">vadodara </t>
  </si>
  <si>
    <t xml:space="preserve">#3Novices : Japan's Abe Cements Power With Strong Election Win https://t.co/GDSaoxq8n5 Japanese Prime Minister Shinzo Abe won a new mandat…</t>
  </si>
  <si>
    <t xml:space="preserve">#CNBC "Japan's leader just won a resounding election victory, but he's still unpopular" https://t.co/r2iyS8tXSw</t>
  </si>
  <si>
    <t xml:space="preserve">Tej Narang</t>
  </si>
  <si>
    <t xml:space="preserve">Interested in Politics &amp; Economics</t>
  </si>
  <si>
    <t xml:space="preserve">MÁTYÁS Máté</t>
  </si>
  <si>
    <t xml:space="preserve">International Relations/Public Administration student from Hungary Studying in Shanghai • Currently headquartered in DC 🇺🇸 • BP/LND/SH/LA-educated 🌐🇪🇺🇭🇺</t>
  </si>
  <si>
    <t xml:space="preserve">Chike-Okoye Ifeanyi</t>
  </si>
  <si>
    <t xml:space="preserve">Abuja</t>
  </si>
  <si>
    <t xml:space="preserve">Annamalai Rm</t>
  </si>
  <si>
    <t xml:space="preserve">Madurai South, India</t>
  </si>
  <si>
    <t xml:space="preserve">Mutual fund distributor</t>
  </si>
  <si>
    <t xml:space="preserve">Venu Srinivasan</t>
  </si>
  <si>
    <t xml:space="preserve">A CA student , Loves movies. Not all RTs are endorsements.</t>
  </si>
  <si>
    <t xml:space="preserve">Yash Thakare</t>
  </si>
  <si>
    <t xml:space="preserve">NullMinowskiSpace</t>
  </si>
  <si>
    <t xml:space="preserve">Proud Indian| #JustAnotherLazyIITian| IITB Believes in embracing simplicity to reach the infinity|Tesla Fan|Drifting thru Twittosphere |Ex-GoldmanSachs|Wanderer</t>
  </si>
  <si>
    <t xml:space="preserve">TweetendraWagh</t>
  </si>
  <si>
    <t xml:space="preserve">Jungle</t>
  </si>
  <si>
    <t xml:space="preserve">Pappu-G</t>
  </si>
  <si>
    <t xml:space="preserve">Comedian by profession, a part-time politician.</t>
  </si>
  <si>
    <t xml:space="preserve">Priyank</t>
  </si>
  <si>
    <t xml:space="preserve">Kochi</t>
  </si>
  <si>
    <t xml:space="preserve">A stock market freak , also a true united fan 4ever...</t>
  </si>
  <si>
    <t xml:space="preserve">Japan's Abe to push pacifist constitution reform after strong election win: TOKYO (Reuters) - Prime Minister Shinzo… https://t.co/6rHD29fmwb</t>
  </si>
  <si>
    <t xml:space="preserve">RT @Dimi: Shinzo Abe gains big victory in Japan election https://t.co/W9jrYzZNKC via @FT</t>
  </si>
  <si>
    <t xml:space="preserve">Nathan Coon</t>
  </si>
  <si>
    <t xml:space="preserve">Avid environmentalist, wildlife supporter, history fanatic, and science zealot.</t>
  </si>
  <si>
    <t xml:space="preserve">Haile Hagos</t>
  </si>
  <si>
    <t xml:space="preserve">Via @euronews: Japan: Shinzo Abe heads for big election win https://t.co/Mo1LujASFV</t>
  </si>
  <si>
    <t xml:space="preserve">IBTimes India</t>
  </si>
  <si>
    <t xml:space="preserve">Shinzo Abe to push reform of #Japan's pacifist constitution after election win @AbeShinzo https://t.co/pzkLxkttdu</t>
  </si>
  <si>
    <t xml:space="preserve">International Business Times | India Edition | Indian News for the global news consumer - Follow us on Facebook: https://t.co/HTGgtZuVe7</t>
  </si>
  <si>
    <t xml:space="preserve">▶ Japan's Abe Cements Power With Strong Election Win: Japanese Prime Minister Shinzo Abe won a new mandate from… https://t.co/DVrsVqfbTB WSJ</t>
  </si>
  <si>
    <t xml:space="preserve">Jaishankar Narayanan</t>
  </si>
  <si>
    <t xml:space="preserve">Ecom, IT &amp; Proj Mgmt Consultant. Teacher of Sanskrit &amp; Vedanta. Healer &amp; Therapist. Sishya of Swami Dayananda Saraswati, IIT-BHU, Arsha Vidya Gurukulam Alumnus</t>
  </si>
  <si>
    <t xml:space="preserve">Kaps</t>
  </si>
  <si>
    <t xml:space="preserve">Indraprastha, Bharat</t>
  </si>
  <si>
    <t xml:space="preserve">Advsr-Invest.Promotion to GoI #MakeInIndia/#DigitalIndia संघर्षरत उपक्रमी #Samsung/#VirginMobile/#Aircel/#Oxigen/#Alstom MBA-NITIE, BTech, Pers A/c, RTs≠Support</t>
  </si>
  <si>
    <t xml:space="preserve">1 Million People</t>
  </si>
  <si>
    <t xml:space="preserve">Shinzo Abe on track for landslide victory, exit polls show https://t.co/5tYBcbeYoI</t>
  </si>
  <si>
    <t xml:space="preserve">Gremlin Social</t>
  </si>
  <si>
    <t xml:space="preserve">People Have Done Over 6 Million Dollars In Sales With The EverLesson Marketing System ► https://t.co/yVSTNM86ze</t>
  </si>
  <si>
    <t xml:space="preserve">Anshu Arora</t>
  </si>
  <si>
    <t xml:space="preserve">remax performance realty realtor</t>
  </si>
  <si>
    <t xml:space="preserve">Geoff Bent</t>
  </si>
  <si>
    <t xml:space="preserve">Shinzo Abe gains big victory in Japan election https://t.co/hYhnMXkbXd via @FT</t>
  </si>
  <si>
    <t xml:space="preserve">Financial Trader,teacher,actor,poet</t>
  </si>
  <si>
    <t xml:space="preserve">DFL</t>
  </si>
  <si>
    <t xml:space="preserve">Japan PM Shinzo Abe to remain unpopular even after parliamentary election victory -Deutsche… https://t.co/5qBDjiObN8 https://t.co/9QB80L1LUw</t>
  </si>
  <si>
    <t xml:space="preserve">Bayern, Deutschland</t>
  </si>
  <si>
    <t xml:space="preserve">Die Deutsche Finanzleasing GmbH Leasing, Finanzierung, Mietkauf, Investment, global Trade</t>
  </si>
  <si>
    <t xml:space="preserve">Automobil News</t>
  </si>
  <si>
    <t xml:space="preserve">Japan PM Shinzo Abe to remain unpopular even after parliamentary election victory -Deutsche… https://t.co/7RE3RpOAg9 https://t.co/Rltc6QnX7V</t>
  </si>
  <si>
    <t xml:space="preserve">Automobil News bietet euch ein Nachrichten Portal mit gemischten Inhalt. Mit Schwerpunkt Automobil haben wir bei vielen den Nerv getroffen.</t>
  </si>
  <si>
    <t xml:space="preserve">Japan's Abe to push pacifist constitution reform after strong election win TOKYO (Reuters) - Prime Minister Shinzo… https://t.co/EI0OQFqTLi</t>
  </si>
  <si>
    <r>
      <rPr>
        <sz val="8"/>
        <rFont val="Noto Sans CJK SC Regular"/>
        <family val="2"/>
      </rPr>
      <t xml:space="preserve">★ニュース・最新情報 ２４時間配信中★ 相互フォロー支援アカウント【自動・手動フォロー運用中！】 フォロー返し</t>
    </r>
    <r>
      <rPr>
        <sz val="8"/>
        <rFont val="Droid Sans"/>
        <family val="0"/>
        <charset val="1"/>
      </rPr>
      <t xml:space="preserve">100</t>
    </r>
    <r>
      <rPr>
        <sz val="8"/>
        <rFont val="Noto Sans CJK SC Regular"/>
        <family val="2"/>
      </rPr>
      <t xml:space="preserve">％ フォロバ率</t>
    </r>
    <r>
      <rPr>
        <sz val="8"/>
        <rFont val="Droid Sans"/>
        <family val="0"/>
        <charset val="1"/>
      </rPr>
      <t xml:space="preserve">100</t>
    </r>
    <r>
      <rPr>
        <sz val="8"/>
        <rFont val="Noto Sans CJK SC Regular"/>
        <family val="2"/>
      </rPr>
      <t xml:space="preserve">％ リフォロー率</t>
    </r>
    <r>
      <rPr>
        <sz val="8"/>
        <rFont val="Droid Sans"/>
        <family val="0"/>
        <charset val="1"/>
      </rPr>
      <t xml:space="preserve">100% I follow you back.</t>
    </r>
  </si>
  <si>
    <t xml:space="preserve">SurgicalDigital</t>
  </si>
  <si>
    <t xml:space="preserve">Bhakt, Engineer, Studying law, strategic analyst, voracious reader, adventurer and whatever that inspires me..100% follow back (RT:- Does not means endorsement)</t>
  </si>
  <si>
    <t xml:space="preserve">HRishabh Chourey</t>
  </si>
  <si>
    <t xml:space="preserve">Bhopal, India</t>
  </si>
  <si>
    <t xml:space="preserve">If you ever try something, then try to be one in a million, else don't worry you are of course one among a million.</t>
  </si>
  <si>
    <t xml:space="preserve">HELECON</t>
  </si>
  <si>
    <t xml:space="preserve">Japan PM Shinzo Abe to remain unpopular even after parliamentary election victory. https://t.co/9WVEB4o3h3</t>
  </si>
  <si>
    <t xml:space="preserve">EUROPE</t>
  </si>
  <si>
    <t xml:space="preserve">I am interested in economics, project Europe, public discourse art and history. I tweet about Europe (including Greece and UK) and USA.</t>
  </si>
  <si>
    <t xml:space="preserve">Shinzo Abe placed to lead Japan through 2021 after big election win https://t.co/6v6iqRIP5p</t>
  </si>
  <si>
    <t xml:space="preserve">Forex Warrior</t>
  </si>
  <si>
    <t xml:space="preserve">Japan's leader just won a resounding election victory, but he's still unpopular: Shinzo Abe… https://t.co/3TEibjM6ro</t>
  </si>
  <si>
    <t xml:space="preserve">Sweden</t>
  </si>
  <si>
    <t xml:space="preserve">Forex Warrior | Your most complete twitter central for high quality forex and economy related news feeds in real-time | Many updates! | Currency is our passion!</t>
  </si>
  <si>
    <t xml:space="preserve">Vipul Tandon</t>
  </si>
  <si>
    <t xml:space="preserve">Intolerant Nationalist, Proud Patholoigcal hater of Nehruvian Legacy! Congitards, Aaptards, Commies,Pesudo Secular maintain distance. RTs not endorsement. Delhi</t>
  </si>
  <si>
    <t xml:space="preserve">Viswanathan Shastri</t>
  </si>
  <si>
    <t xml:space="preserve">SpecGemini</t>
  </si>
  <si>
    <r>
      <rPr>
        <sz val="8"/>
        <rFont val="Noto Sans CJK SC Regular"/>
        <family val="2"/>
      </rPr>
      <t xml:space="preserve">ついっぷる </t>
    </r>
    <r>
      <rPr>
        <sz val="8"/>
        <rFont val="Droid Sans"/>
        <family val="0"/>
        <charset val="1"/>
      </rPr>
      <t xml:space="preserve">for Android</t>
    </r>
  </si>
  <si>
    <t xml:space="preserve">financial</t>
  </si>
  <si>
    <t xml:space="preserve">forex, real estate, bankruptcy, derivatives</t>
  </si>
  <si>
    <t xml:space="preserve">Abe heads to impressive election win, may push to revise Japan's pacifist constitution https://t.co/lNDDEL1twB</t>
  </si>
  <si>
    <t xml:space="preserve">Gone Away</t>
  </si>
  <si>
    <t xml:space="preserve">Humanitarian. History. 'Our true nationality is Mankind'. George Orwell. / During times of universal deceit, telling the truth becomes a revolutionary act.</t>
  </si>
  <si>
    <t xml:space="preserve">Parag Damle</t>
  </si>
  <si>
    <t xml:space="preserve">Sunchartist</t>
  </si>
  <si>
    <t xml:space="preserve">Japan's leader just won a resounding election victory, but he's still unpopular https://t.co/YX76n1q53I</t>
  </si>
  <si>
    <t xml:space="preserve">Macro / Technical analysis a labour of love , travel, foodie, current affairs</t>
  </si>
  <si>
    <t xml:space="preserve">Bedri Ardogan</t>
  </si>
  <si>
    <t xml:space="preserve">Hessen, Deutschland</t>
  </si>
  <si>
    <t xml:space="preserve">TopNyt</t>
  </si>
  <si>
    <t xml:space="preserve">Japan's Abe to push pacifist constitution reform after strong election win https://t.co/Xf8WwPdZ7X TOKYO (Reuters) - Prime Minister Shinzo…</t>
  </si>
  <si>
    <t xml:space="preserve">Danmark og verden</t>
  </si>
  <si>
    <t xml:space="preserve">Dagens vigtigste nyheder på dansk og engelsk.</t>
  </si>
  <si>
    <t xml:space="preserve">Zee News</t>
  </si>
  <si>
    <t xml:space="preserve">#NarendraModi congratulates Shinzo Abe on re-election in Japan https://t.co/XEF3O6cp2N</t>
  </si>
  <si>
    <t xml:space="preserve">10 Channels I India’s Largest News Network I 140 mn viewers I Breaking News alert from India &amp; world. Download Zee Media Apps - https://t.co/1HsBWGNbiU</t>
  </si>
  <si>
    <t xml:space="preserve">Säkpol_SE</t>
  </si>
  <si>
    <t xml:space="preserve">Sakpol Magic</t>
  </si>
  <si>
    <t xml:space="preserve">Bot som retweetar listan Säkpol och allt taggat #säkpol eller #värtattförsvara. Följ för att hålla koll, använd taggarna för att nå ut. Egna tweets förekommer.</t>
  </si>
  <si>
    <t xml:space="preserve">Ashish Jain</t>
  </si>
  <si>
    <t xml:space="preserve">Chief Executive Officer, Healthcare Sector Skill Council ( HSSC)</t>
  </si>
  <si>
    <t xml:space="preserve">V. Loganathan</t>
  </si>
  <si>
    <t xml:space="preserve">Shinzo Abe gains big victory in Japan election https://t.co/jVMz4ewx0l via @FT</t>
  </si>
  <si>
    <t xml:space="preserve">M.A. Public Administration, University of Madras, Post Graduate Dip. in Business Administration, Annamalai University</t>
  </si>
  <si>
    <t xml:space="preserve">Ram Chander Sharma</t>
  </si>
  <si>
    <t xml:space="preserve">Chenigaram Gangadhar</t>
  </si>
  <si>
    <t xml:space="preserve">RT @ZeeNews: #NarendraModi congratulates Shinzo Abe on re-election in Japan https://t.co/XEF3O6cp2N</t>
  </si>
  <si>
    <t xml:space="preserve">Nizamabad, India</t>
  </si>
  <si>
    <t xml:space="preserve">Photo grapy &amp; Video grapy. Sotiol arganetion.</t>
  </si>
  <si>
    <t xml:space="preserve">Ashok Sridharan</t>
  </si>
  <si>
    <t xml:space="preserve">Musician, Keyboard Programmer, Music Assistant (Pandigai), Former HR (Infosys)</t>
  </si>
  <si>
    <t xml:space="preserve">Umong Sethi</t>
  </si>
  <si>
    <t xml:space="preserve">NOIDA,India</t>
  </si>
  <si>
    <t xml:space="preserve">Independent Security analyst and skill development specialist! interests include economy, start ups, smart &amp; safe cities, smart borders and skill development.</t>
  </si>
  <si>
    <t xml:space="preserve">Amal Joseph</t>
  </si>
  <si>
    <t xml:space="preserve">Addicted to Life ❤👈</t>
  </si>
  <si>
    <t xml:space="preserve">Ashok Kumar</t>
  </si>
  <si>
    <t xml:space="preserve">Delhi/ NCR </t>
  </si>
  <si>
    <t xml:space="preserve">Santosh Kulkarni</t>
  </si>
  <si>
    <t xml:space="preserve">Journalist for Loksatta, from Indian Express Group. Previously worked with 'Kesari', 'Sakaal' &amp; 'Maharashtra Times', three famous brand in Marathi Journalism...</t>
  </si>
  <si>
    <t xml:space="preserve">rameshagrawal95</t>
  </si>
  <si>
    <t xml:space="preserve">Hindi poet,nature lover</t>
  </si>
  <si>
    <t xml:space="preserve">mahesh t bhut</t>
  </si>
  <si>
    <t xml:space="preserve">bkt4eva</t>
  </si>
  <si>
    <t xml:space="preserve">सर्वत्र| </t>
  </si>
  <si>
    <t xml:space="preserve">राम भक्त</t>
  </si>
  <si>
    <t xml:space="preserve">TOKYO (Reuters) - Prime Minister Shinzo Abe, buoyed by a huge election win for lawmakers who favor revising... https://t.co/HDh4JkcHMm</t>
  </si>
  <si>
    <t xml:space="preserve">Afzal Arshed</t>
  </si>
  <si>
    <t xml:space="preserve">Vancouver B.C.  ( Canada ) </t>
  </si>
  <si>
    <t xml:space="preserve">Retired as Principal . Professor of English Literature &amp;Language Patriotic Pakistani..... Pakistan first of all.....Long live Pakistan ...</t>
  </si>
  <si>
    <t xml:space="preserve">Hindi News Post</t>
  </si>
  <si>
    <t xml:space="preserve">Shinzo Abe sweeps to resounding victory in Japan election– Article https://t.co/UD9GLoBUdS https://t.co/hnF8oP0Bqj</t>
  </si>
  <si>
    <t xml:space="preserve">Latest Hindi News, Hindi News Website, Hindi News Paper, Live Hindi News in Hindi, (हिन्दी न्यूज़ वेबसाइट)</t>
  </si>
  <si>
    <t xml:space="preserve">Prakash बराला</t>
  </si>
  <si>
    <t xml:space="preserve">राजस्थान, भारत</t>
  </si>
  <si>
    <t xml:space="preserve">M. Navy</t>
  </si>
  <si>
    <t xml:space="preserve">Shinzo Abe To Push Reform Of Japan's Constitution After Election Win: https://t.co/tRgBbzdivX - NDTV News - Latest #Latest</t>
  </si>
  <si>
    <t xml:space="preserve">Manesha</t>
  </si>
  <si>
    <t xml:space="preserve">Honoured to be followed by PM @narendramodi , @PiyushGoyal @ramkripalmp @ChanduLalSahu_ @sanghaviharsh @VinodChavdaBJP @byadavbjp @chhedatarachand @BobBlackman</t>
  </si>
  <si>
    <t xml:space="preserve">Rana Nikhil Kashyap</t>
  </si>
  <si>
    <t xml:space="preserve">dighwara,chapra,bihar</t>
  </si>
  <si>
    <t xml:space="preserve">#Work4PmModi inspired by @narendramodi speech and my good blesses always with you my adorable #pmModi. #राष्ट्रवादी कर्म से। Student of class 11th.</t>
  </si>
  <si>
    <t xml:space="preserve">Global X Magzine</t>
  </si>
  <si>
    <t xml:space="preserve">ZeeNews: #NarendraModi congratulates Shinzo Abe on re-election in Japan https://t.co/JWc8wYoUDU</t>
  </si>
  <si>
    <t xml:space="preserve">Global X Magzine is all about technology, news, events, gossip and what's happening in this fast-changing world.</t>
  </si>
  <si>
    <t xml:space="preserve">Thinking Human TV</t>
  </si>
  <si>
    <t xml:space="preserve">RT @Sunchartist: Japan's leader just won a resounding election victory, but he's still unpopular https://t.co/YX76n1q53I</t>
  </si>
  <si>
    <t xml:space="preserve">Home of The Crypto Currency Market Recap on YouTube. Follow me for LIVE updates from my $10,000 to $1,000,000 crypto trading challenge.</t>
  </si>
  <si>
    <t xml:space="preserve">No One</t>
  </si>
  <si>
    <t xml:space="preserve">गुड़गांव, भारत</t>
  </si>
  <si>
    <t xml:space="preserve">NIDAHASA News</t>
  </si>
  <si>
    <t xml:space="preserve">Japan PM Shinzo Abe's ruling coalition is set to retain a two-thirds majority in general election.</t>
  </si>
  <si>
    <t xml:space="preserve">Cloudhopper</t>
  </si>
  <si>
    <t xml:space="preserve">Colombo, Sri Lanka</t>
  </si>
  <si>
    <t xml:space="preserve">Fast and Reliable News from Sri Lanka</t>
  </si>
  <si>
    <t xml:space="preserve">@Vikram H Purohit</t>
  </si>
  <si>
    <t xml:space="preserve">Navsari</t>
  </si>
  <si>
    <t xml:space="preserve">Study at indian instituteof company secretary . शिवभक्त, देशभक्त और मोदीभक्त भारत माता की जय,वंदे मातरम्।died heart fan of #@narendra modi.#supporter #BJP4India</t>
  </si>
  <si>
    <t xml:space="preserve">mehul bhavsar #BJP</t>
  </si>
  <si>
    <t xml:space="preserve">social media cell &amp; information technology &amp;website manegment bhartiy janta party asarwa vidhanshabha</t>
  </si>
  <si>
    <t xml:space="preserve">BeyondOurDifferences</t>
  </si>
  <si>
    <t xml:space="preserve">Election Risk Pays Off for Shinzo Abe of Japan as His Party Appears to Win Big https://t.co/kjqlUxgiiw https://t.co/v9Q7vaU4jV</t>
  </si>
  <si>
    <t xml:space="preserve">At the end of the day, we are all just human beings looking for a chance at a better life</t>
  </si>
  <si>
    <t xml:space="preserve">Doomed Hindus</t>
  </si>
  <si>
    <t xml:space="preserve">Hindus in Afghanistan,Pak, B'Desh, Kashmir, Indonesia were in https://t.co/g6xVHZI1GK no 1is left.Still if v dont understand v ll face the fate of kashmiri hindus.</t>
  </si>
  <si>
    <t xml:space="preserve">#Asiabiz</t>
  </si>
  <si>
    <t xml:space="preserve">Japan’s leader just won a resounding election victory, but he’s still unpopular https://t.co/w7axIG9d92 #Asia #Business</t>
  </si>
  <si>
    <t xml:space="preserve">Asian Business</t>
  </si>
  <si>
    <t xml:space="preserve">Asian Business Network : Use the hashtag #Asiabiz to join our Virtual Asian Business Community</t>
  </si>
  <si>
    <t xml:space="preserve">adiscover</t>
  </si>
  <si>
    <t xml:space="preserve">Whencut</t>
  </si>
  <si>
    <t xml:space="preserve">Programmer, Movie Buff, Loves traveling, bikes, cars n photography.</t>
  </si>
  <si>
    <t xml:space="preserve">Advot.Ram K. Dubey</t>
  </si>
  <si>
    <t xml:space="preserve">delhi  india</t>
  </si>
  <si>
    <t xml:space="preserve">A V</t>
  </si>
  <si>
    <t xml:space="preserve">Athlete⛹️Aesthetic💪Fitness lover 🏋️Traveler🏂 Interest in Social|Defence|Politics|Sports|Foreign Policy|Information Technology|Digital India|Data Analyst|AI.</t>
  </si>
  <si>
    <t xml:space="preserve">miro bey</t>
  </si>
  <si>
    <t xml:space="preserve">Aydınların Aydınlatamadığı Halkı Soytarılar Aldatır. ANA HESAP - @bey_miro</t>
  </si>
  <si>
    <t xml:space="preserve">Biedex</t>
  </si>
  <si>
    <t xml:space="preserve">New post (Japan PM Shinzo Abe to remain unpopular even after parliamentary ...) has been published on Trad ... - - https://t.co/x52oIEkaXR</t>
  </si>
  <si>
    <t xml:space="preserve">Tradebudddy.online</t>
  </si>
  <si>
    <t xml:space="preserve">Start trading on the best tradingplatforms and the best tools and signals https://t.co/8wIhrT4kjg #Forex #commodities #eurusd #aex #trading #wallstreet</t>
  </si>
  <si>
    <t xml:space="preserve">Da Chosen 1</t>
  </si>
  <si>
    <t xml:space="preserve">I Am MOOR! A spiritual being in pure natural form. I am a representative of Da Most High! We shall not be forsaken!!!!</t>
  </si>
  <si>
    <t xml:space="preserve">Shankar</t>
  </si>
  <si>
    <t xml:space="preserve">RT does not equal Endorsement</t>
  </si>
  <si>
    <t xml:space="preserve">Satyendra K Pandey</t>
  </si>
  <si>
    <t xml:space="preserve">🚩सनातन धर्म🕉️ और 🇮🇳हिंदू राष्ट्र 🇮🇳सर्वोपरि</t>
  </si>
  <si>
    <t xml:space="preserve">Sampathkumar ஆனந்த்</t>
  </si>
  <si>
    <t xml:space="preserve">sarve bhavanthu sukhina: vasudaiva kutumbakam passionate data professional learning distributed ledger</t>
  </si>
  <si>
    <t xml:space="preserve">🇮🇳 Harish Bakshi</t>
  </si>
  <si>
    <t xml:space="preserve">। भारत माता की जय । #IAmProudBhakat Blind follower of shree Narendra Modi ji. son of bharat mata. RT are not endorsements.</t>
  </si>
  <si>
    <t xml:space="preserve">Dale Freeman</t>
  </si>
  <si>
    <t xml:space="preserve">Auburn, California</t>
  </si>
  <si>
    <t xml:space="preserve">Married 28 yrs 2 great #Veteran. Mom of 3, GMa of 5. We are the 99%, 47%, Poor 15%. #TruthJusticeDemocracy VOTE: https://t.co/W42niuMGy3</t>
  </si>
  <si>
    <t xml:space="preserve">clara</t>
  </si>
  <si>
    <t xml:space="preserve">CTA President Congratulates Japanese PM #ShinzoAbe on National Election Win #japan https://t.co/ArGDXS8i0z</t>
  </si>
  <si>
    <t xml:space="preserve">Hell is really hell Freedom equality democracy livelihood Will there come a time when everyone will be free from the fortress of hell TashiRabten FREE TIBET</t>
  </si>
  <si>
    <t xml:space="preserve">Martin</t>
  </si>
  <si>
    <t xml:space="preserve">Kumbidy, Poovathussery P O, Thrissur District, Kerala State</t>
  </si>
  <si>
    <t xml:space="preserve">kiyomi</t>
  </si>
  <si>
    <t xml:space="preserve">RT @clara111: CTA President Congratulates Japanese PM #ShinzoAbe on National Election Win #japan https://t.co/ArGDXS8i0z</t>
  </si>
  <si>
    <r>
      <rPr>
        <sz val="8"/>
        <rFont val="Noto Sans CJK SC Regular"/>
        <family val="2"/>
      </rPr>
      <t xml:space="preserve">アメリカ在住。日本人です。</t>
    </r>
    <r>
      <rPr>
        <sz val="8"/>
        <rFont val="Droid Sans"/>
        <family val="0"/>
        <charset val="1"/>
      </rPr>
      <t xml:space="preserve">Japanese. live in US.</t>
    </r>
  </si>
  <si>
    <t xml:space="preserve">HOT WORLD DAILY NEWS</t>
  </si>
  <si>
    <t xml:space="preserve">Shinzo abe secures strong mandate in japan's general election: https://t.co/Bf25iUU75N qua @YouTube</t>
  </si>
  <si>
    <t xml:space="preserve">NarasimhamChaturvedi</t>
  </si>
  <si>
    <t xml:space="preserve">Will NAMO follow https://t.co/qcwy8EooWt</t>
  </si>
  <si>
    <t xml:space="preserve">Guntur, Andhra Pradesh</t>
  </si>
  <si>
    <t xml:space="preserve">Ex-Serviceman, Indian Army, General Secretary, The Guntur Ex-Serviceman Coordination Committee</t>
  </si>
  <si>
    <t xml:space="preserve">tomoe_cat</t>
  </si>
  <si>
    <r>
      <rPr>
        <sz val="8"/>
        <rFont val="Noto Sans CJK SC Regular"/>
        <family val="2"/>
      </rPr>
      <t xml:space="preserve">美味しい料理は、正義です♪ 特技は、占い。 ☆美味しい食べ物、レシピ、趣味、時々占いをつぶやいてます。 最近は、</t>
    </r>
    <r>
      <rPr>
        <sz val="8"/>
        <rFont val="Droid Sans"/>
        <family val="0"/>
        <charset val="1"/>
      </rPr>
      <t xml:space="preserve">Instagram</t>
    </r>
    <r>
      <rPr>
        <sz val="8"/>
        <rFont val="Noto Sans CJK SC Regular"/>
        <family val="2"/>
      </rPr>
      <t xml:space="preserve">の横流し半分。 ≪注：巴は、ネコの名前です≫</t>
    </r>
  </si>
  <si>
    <t xml:space="preserve">Manish mehta</t>
  </si>
  <si>
    <t xml:space="preserve">Engineer by profession,cricket buff,for me Nation first.</t>
  </si>
  <si>
    <t xml:space="preserve">むるぬ</t>
  </si>
  <si>
    <t xml:space="preserve">m.A.A.d city</t>
  </si>
  <si>
    <r>
      <rPr>
        <sz val="8"/>
        <rFont val="Droid Sans"/>
        <family val="0"/>
        <charset val="1"/>
      </rPr>
      <t xml:space="preserve">My intuition is telling me there'll be better days /hip hop/sf/</t>
    </r>
    <r>
      <rPr>
        <sz val="8"/>
        <rFont val="Noto Sans CJK SC Regular"/>
        <family val="2"/>
      </rPr>
      <t xml:space="preserve">アニメ</t>
    </r>
  </si>
  <si>
    <t xml:space="preserve">Fred Crow Jr.</t>
  </si>
  <si>
    <t xml:space="preserve">Maple Heights, OH</t>
  </si>
  <si>
    <t xml:space="preserve">Business Rep Trustee and Political Coordinator Teamsters Local 436 Activist Hellraiser Metalhead #1u</t>
  </si>
  <si>
    <t xml:space="preserve">Craig Weissenberger</t>
  </si>
  <si>
    <t xml:space="preserve">Prime Minister Shinzo Abe, buoyed by a huge election win for lawmakers who favor revising Japan's post-war, pacifist constitution, is likel…</t>
  </si>
  <si>
    <t xml:space="preserve">Michigan City, IN</t>
  </si>
  <si>
    <t xml:space="preserve">Gamer. Lover. Gym Rat</t>
  </si>
  <si>
    <t xml:space="preserve">K@NN@N V</t>
  </si>
  <si>
    <t xml:space="preserve">Indian, Believer in Hinduism, Small businessman, Modi fan, Optimistic, Animal Lover, Love 2 C's Cricket &amp; Cinema; Hate 2 C's congress &amp; communist ☺</t>
  </si>
  <si>
    <t xml:space="preserve">Vivek sharma</t>
  </si>
  <si>
    <t xml:space="preserve">gwalior mp.</t>
  </si>
  <si>
    <t xml:space="preserve">false siling contractor I support bjp....... I support @RSSorg..... jai hind jai bharat. ...</t>
  </si>
  <si>
    <t xml:space="preserve">@great Hemant🇮🇳</t>
  </si>
  <si>
    <t xml:space="preserve">Indore--sehore--bhopal, India</t>
  </si>
  <si>
    <t xml:space="preserve">#महाँकाल का लाड़ला,#राष्ट्रवादी,#देशभक्त,विचार विद्रोही,सबसे पहले देश का मान बाकी सब बाद में (RT का मतलब सहमती नहीं है)</t>
  </si>
  <si>
    <t xml:space="preserve">amit</t>
  </si>
  <si>
    <t xml:space="preserve">आवारा हवा का झोंका हूँ आ निकला हूँ पल दो पल के लिए retwets are not endorsement</t>
  </si>
  <si>
    <t xml:space="preserve">Japan PM Shinzo Abe pledges pressure on North Korea after big election win https://t.co/Wf3cUkA2us</t>
  </si>
  <si>
    <t xml:space="preserve">Satyam Singh</t>
  </si>
  <si>
    <t xml:space="preserve">Su San Leong</t>
  </si>
  <si>
    <t xml:space="preserve">Ricochet tweets on biz bites / news / funnies / tech / history / facts making differences in our lives</t>
  </si>
  <si>
    <t xml:space="preserve">Salu purwar</t>
  </si>
  <si>
    <t xml:space="preserve">Madhya Pradesh, India</t>
  </si>
  <si>
    <t xml:space="preserve">TIME START HO CHUKA HA.. JIS DIN VO AGYA USA DIN SUB KUCH KHATAM HONA TAYIIII HA..... DEADMAN COME BACK😈😈😈😈😈😈</t>
  </si>
  <si>
    <t xml:space="preserve">Sadananda Shetty N P</t>
  </si>
  <si>
    <t xml:space="preserve">HR / Placement Consultant, based in Bengaluru. Supporter of PM Modi, believe in the Greatness of Bharath. Tweets are personal. RTs are not an endorsement.</t>
  </si>
  <si>
    <t xml:space="preserve">LOVE</t>
  </si>
  <si>
    <t xml:space="preserve">Delhi </t>
  </si>
  <si>
    <t xml:space="preserve">BE AUTOMOBILE ENGINEER .</t>
  </si>
  <si>
    <t xml:space="preserve">RT motokorich: The morning after the night before: Shinzo Abe is still prime minister. “People have no other choic… https://t.co/lhPS2arKo6</t>
  </si>
  <si>
    <t xml:space="preserve">Renisha</t>
  </si>
  <si>
    <t xml:space="preserve">Ahmedabad, India</t>
  </si>
  <si>
    <t xml:space="preserve">Head - Commodity and Currency Research at Monarch Networth Capital Ltd.</t>
  </si>
  <si>
    <t xml:space="preserve">Tahseen Hussain</t>
  </si>
  <si>
    <t xml:space="preserve">Shael Sharma</t>
  </si>
  <si>
    <t xml:space="preserve">I write so I am. Brand Muffin, Kravmaga Instructor, Yogi, Sailor. Sporadic Defence and Foreign Policy Writer. Social Media Troll.</t>
  </si>
  <si>
    <t xml:space="preserve">Phillip Darling</t>
  </si>
  <si>
    <t xml:space="preserve">Sydney, New South Wales,</t>
  </si>
  <si>
    <t xml:space="preserve">Just a conventional polymath whose only fault is lack of tolerance for fools and/or ideologues.</t>
  </si>
  <si>
    <t xml:space="preserve">Ayako_323</t>
  </si>
  <si>
    <t xml:space="preserve">Japan - USA</t>
  </si>
  <si>
    <r>
      <rPr>
        <sz val="8"/>
        <rFont val="Droid Sans"/>
        <family val="0"/>
        <charset val="1"/>
      </rPr>
      <t xml:space="preserve">Love Music, Sports</t>
    </r>
    <r>
      <rPr>
        <sz val="8"/>
        <rFont val="Noto Sans CJK SC Regular"/>
        <family val="2"/>
      </rPr>
      <t xml:space="preserve">、</t>
    </r>
    <r>
      <rPr>
        <sz val="8"/>
        <rFont val="Droid Sans"/>
        <family val="0"/>
        <charset val="1"/>
      </rPr>
      <t xml:space="preserve">Int'l Relations and Pets. </t>
    </r>
    <r>
      <rPr>
        <sz val="8"/>
        <rFont val="Noto Sans CJK SC Regular"/>
        <family val="2"/>
      </rPr>
      <t xml:space="preserve">音楽、スポーツ、ペットが大好き人間（女性）です。一人で猫の保護活動をしてしています。現在複数の猫が我が家に🐱 最近は政治関係の</t>
    </r>
    <r>
      <rPr>
        <sz val="8"/>
        <rFont val="Droid Sans"/>
        <family val="0"/>
        <charset val="1"/>
      </rPr>
      <t xml:space="preserve">RT</t>
    </r>
    <r>
      <rPr>
        <sz val="8"/>
        <rFont val="Noto Sans CJK SC Regular"/>
        <family val="2"/>
      </rPr>
      <t xml:space="preserve">が多くなってしまいました。浅田真央さんを応援。アメリカは第二の故郷です。</t>
    </r>
  </si>
  <si>
    <t xml:space="preserve">Ken3ore</t>
  </si>
  <si>
    <t xml:space="preserve">Theoretical implementer, technical seeker, workflow configurator, pro track craftsman who studied at berklee college of music with a big dream.</t>
  </si>
  <si>
    <t xml:space="preserve">Jamie Maglietta</t>
  </si>
  <si>
    <t xml:space="preserve">@rosemaryCNN with breaking news @CNN @realDonaldTrump and Shinzo Abe talk ahead of election win announced https://t.co/9MC85mfU00</t>
  </si>
  <si>
    <t xml:space="preserve">@CNN Producer, Mom of two, singer of random songs, boxer (in my mind when I work out), world traveler (although I haven't traveled much lately) &amp; nature lover.</t>
  </si>
  <si>
    <t xml:space="preserve">RT @truthtableJCT: Election Risk Pays Off for Shinzo Abe of Japan as Party Appears to Win Big - The New York Times https://t.co/1LW4U7GfCh</t>
  </si>
  <si>
    <t xml:space="preserve">cyto48</t>
  </si>
  <si>
    <t xml:space="preserve">AbSi</t>
  </si>
  <si>
    <t xml:space="preserve">void</t>
  </si>
  <si>
    <t xml:space="preserve">Mritunjay Sharma</t>
  </si>
  <si>
    <t xml:space="preserve">Future PM of India.</t>
  </si>
  <si>
    <t xml:space="preserve">Dhruval</t>
  </si>
  <si>
    <t xml:space="preserve">Vadodara</t>
  </si>
  <si>
    <t xml:space="preserve">Business, Pharma mfg, Proud Gujarati. नर्मदे सर्वदे।</t>
  </si>
  <si>
    <t xml:space="preserve">itliof</t>
  </si>
  <si>
    <t xml:space="preserve">Abe faces challenges from reining in #Japan's swollen public debt to dealing with ageing workforce &amp; stagnant wages. https://t.co/gNW27nhlYE</t>
  </si>
  <si>
    <t xml:space="preserve">OverTheMoonbat</t>
  </si>
  <si>
    <t xml:space="preserve">#PresidentTrump - #ShinzoAbe #Japan | #KoreanPeninsula CTH analysis of Shinzo Abe's win (&amp; mandate):… https://t.co/AFjhjRRqPo</t>
  </si>
  <si>
    <t xml:space="preserve">Liberty loving conservative, truth-seeking in face of an unholy alliance of big gov / biz / media. Follows not always endorsements (info. gathering). Semper Fi!</t>
  </si>
  <si>
    <t xml:space="preserve">Rahul kumar Jha</t>
  </si>
  <si>
    <t xml:space="preserve">LAYABAD ,DHANBAD,JHARKHAND </t>
  </si>
  <si>
    <t xml:space="preserve">राम राज्य की स्थापना से ही फिर से भारतवर्ष विश्व गुरु बनेगा मर्यादा पुरुषोत्तम श्री राम का सेवक उग्र राष्ट्र वादी हिंदुत्व दर्शन का प्रचारक संघ का प्रवक्ता.....</t>
  </si>
  <si>
    <t xml:space="preserve">Japan's leader just won a resounding election victory, but he's still unpopular https://t.co/Ds7bGMH69J</t>
  </si>
  <si>
    <t xml:space="preserve">TOKYO (Reuters) - Prime Minister Shinzo Abe, buoyed by a huge election win for lawmakers who favour revising Japan… https://t.co/kval86G8Lw</t>
  </si>
  <si>
    <t xml:space="preserve">Shinzo Abe To Push Reform Of Japan's Constitution After Election Win https://t.co/0arzWuT0ez</t>
  </si>
  <si>
    <t xml:space="preserve">shankscule</t>
  </si>
  <si>
    <t xml:space="preserve">Japan's PM Shinzo Abe poised to win snap election https://t.co/DnvbfyIsZU #breakingnews</t>
  </si>
  <si>
    <t xml:space="preserve">Shinzo Abe secures strong mandate in Japan's general #election #northkorea #vote https://t.co/lnDevCA0SO https://t.co/uU8vVuvyJt</t>
  </si>
  <si>
    <t xml:space="preserve">With a landslide win, Shinzo Abe could be ready to rewrite Japan's pacifist constitution https://t.co/9tNZRvu1fp https://t.co/RuCrdsBRsh</t>
  </si>
  <si>
    <t xml:space="preserve">まるこ</t>
  </si>
  <si>
    <t xml:space="preserve">温泉が好き</t>
  </si>
  <si>
    <t xml:space="preserve">Mithun Kumar #D10S</t>
  </si>
  <si>
    <t xml:space="preserve">Bengaluru,Karnataka,India </t>
  </si>
  <si>
    <t xml:space="preserve">Football lover | Sucker for Guitar solos | Cinephile | Spiritual</t>
  </si>
  <si>
    <t xml:space="preserve">TOKYO (Reuters) - Prime Minister Shinzo Abe, buoyed by a huge election win for lawmakers who favor revising… https://t.co/B47dTnMzcv #FB</t>
  </si>
  <si>
    <t xml:space="preserve">Japan Timing</t>
  </si>
  <si>
    <t xml:space="preserve">Shinzo Abe just moved closer to becoming Japan's longest-serving leader - Quartz https://t.co/Uz2EpDC18P</t>
  </si>
  <si>
    <t xml:space="preserve">It is all about Japan.</t>
  </si>
  <si>
    <t xml:space="preserve">Realmotivator</t>
  </si>
  <si>
    <t xml:space="preserve">#HonestyHour Japan's leader just won a resounding election victory, but he's still unpopular… https://t.co/GH1qMhlaU1</t>
  </si>
  <si>
    <t xml:space="preserve">Modest</t>
  </si>
  <si>
    <t xml:space="preserve">伊勢神宮の赤福２</t>
  </si>
  <si>
    <t xml:space="preserve">福岡 篠栗町</t>
  </si>
  <si>
    <r>
      <rPr>
        <sz val="8"/>
        <rFont val="Noto Sans CJK SC Regular"/>
        <family val="2"/>
      </rPr>
      <t xml:space="preserve">旧｢伊勢神宮の赤福</t>
    </r>
    <r>
      <rPr>
        <sz val="8"/>
        <rFont val="Droid Sans"/>
        <family val="0"/>
        <charset val="1"/>
      </rPr>
      <t xml:space="preserve">(@kokusizu)</t>
    </r>
    <r>
      <rPr>
        <sz val="8"/>
        <rFont val="Noto Sans CJK SC Regular"/>
        <family val="2"/>
      </rPr>
      <t xml:space="preserve">｣です。アカウントを乗っ取られたらしいので、以前のアカウントをログアウトして、新たにアカウントを作り直しました。よろしくお願い致します。タバコは大嫌いです。🚭</t>
    </r>
  </si>
  <si>
    <t xml:space="preserve">油断できる日常に戻りたい</t>
  </si>
  <si>
    <r>
      <rPr>
        <sz val="8"/>
        <rFont val="Noto Sans CJK SC Regular"/>
        <family val="2"/>
      </rPr>
      <t xml:space="preserve">福島県</t>
    </r>
    <r>
      <rPr>
        <sz val="8"/>
        <rFont val="Droid Sans"/>
        <family val="0"/>
        <charset val="1"/>
      </rPr>
      <t xml:space="preserve">, </t>
    </r>
    <r>
      <rPr>
        <sz val="8"/>
        <rFont val="Noto Sans CJK SC Regular"/>
        <family val="2"/>
      </rPr>
      <t xml:space="preserve">日本</t>
    </r>
  </si>
  <si>
    <r>
      <rPr>
        <sz val="8"/>
        <rFont val="Droid Sans"/>
        <family val="0"/>
        <charset val="1"/>
      </rPr>
      <t xml:space="preserve">◆60</t>
    </r>
    <r>
      <rPr>
        <sz val="8"/>
        <rFont val="Noto Sans CJK SC Regular"/>
        <family val="2"/>
      </rPr>
      <t xml:space="preserve">代です◆偏向報道～反日民奴擁護報道＝忖度ＴＶ局：電波オーックションを！◆テロ国家擁護はテロ幇助：テロ法対象！◆横暴・倫理貧困民族への容認は人類衰退路線◆軍事弱者の日本の足元をみて反日国の脅威が蔓延る⇐上回る 防衛強化必須！◆犯罪～トラブル：反日民族入国厳格化・断交 ◆自民</t>
    </r>
    <r>
      <rPr>
        <sz val="8"/>
        <rFont val="Droid Sans"/>
        <family val="0"/>
        <charset val="1"/>
      </rPr>
      <t xml:space="preserve">+</t>
    </r>
    <r>
      <rPr>
        <sz val="8"/>
        <rFont val="Noto Sans CJK SC Regular"/>
        <family val="2"/>
      </rPr>
      <t xml:space="preserve">健全野党支持</t>
    </r>
  </si>
  <si>
    <r>
      <rPr>
        <sz val="8"/>
        <rFont val="Noto Sans CJK SC Regular"/>
        <family val="2"/>
      </rPr>
      <t xml:space="preserve">天野 真実 </t>
    </r>
    <r>
      <rPr>
        <sz val="8"/>
        <rFont val="Droid Sans"/>
        <family val="0"/>
        <charset val="1"/>
      </rPr>
      <t xml:space="preserve">/ Mami Amano</t>
    </r>
  </si>
  <si>
    <r>
      <rPr>
        <sz val="8"/>
        <rFont val="Noto Sans CJK SC Regular"/>
        <family val="2"/>
      </rPr>
      <t xml:space="preserve">東京 </t>
    </r>
    <r>
      <rPr>
        <sz val="8"/>
        <rFont val="Droid Sans"/>
        <family val="0"/>
        <charset val="1"/>
      </rPr>
      <t xml:space="preserve">/ Tokyo</t>
    </r>
  </si>
  <si>
    <r>
      <rPr>
        <sz val="8"/>
        <rFont val="Noto Sans CJK SC Regular"/>
        <family val="2"/>
      </rPr>
      <t xml:space="preserve">🎤声優</t>
    </r>
    <r>
      <rPr>
        <sz val="8"/>
        <rFont val="Droid Sans"/>
        <family val="0"/>
        <charset val="1"/>
      </rPr>
      <t xml:space="preserve">(</t>
    </r>
    <r>
      <rPr>
        <sz val="8"/>
        <rFont val="Noto Sans CJK SC Regular"/>
        <family val="2"/>
      </rPr>
      <t xml:space="preserve">ケンユウオフィス</t>
    </r>
    <r>
      <rPr>
        <sz val="8"/>
        <rFont val="Droid Sans"/>
        <family val="0"/>
        <charset val="1"/>
      </rPr>
      <t xml:space="preserve">)</t>
    </r>
    <r>
      <rPr>
        <sz val="8"/>
        <rFont val="Noto Sans CJK SC Regular"/>
        <family val="2"/>
      </rPr>
      <t xml:space="preserve">＆✨神秘家●ゲーム『雷電Ⅴ</t>
    </r>
    <r>
      <rPr>
        <sz val="8"/>
        <rFont val="Droid Sans"/>
        <family val="0"/>
        <charset val="1"/>
      </rPr>
      <t xml:space="preserve">(PS4)</t>
    </r>
    <r>
      <rPr>
        <sz val="8"/>
        <rFont val="Noto Sans CJK SC Regular"/>
        <family val="2"/>
      </rPr>
      <t xml:space="preserve">』ヘルガ姉さん●</t>
    </r>
    <r>
      <rPr>
        <sz val="8"/>
        <rFont val="Droid Sans"/>
        <family val="0"/>
        <charset val="1"/>
      </rPr>
      <t xml:space="preserve">AXN</t>
    </r>
    <r>
      <rPr>
        <sz val="8"/>
        <rFont val="Noto Sans CJK SC Regular"/>
        <family val="2"/>
      </rPr>
      <t xml:space="preserve">ドラマ『シカゴファイア』ケイシーの母、ドナ、他●『バーフバリ』サンガ母ちゃん●『イタズラな</t>
    </r>
    <r>
      <rPr>
        <sz val="8"/>
        <rFont val="Droid Sans"/>
        <family val="0"/>
        <charset val="1"/>
      </rPr>
      <t xml:space="preserve">kiss</t>
    </r>
    <r>
      <rPr>
        <sz val="8"/>
        <rFont val="Noto Sans CJK SC Regular"/>
        <family val="2"/>
      </rPr>
      <t xml:space="preserve">』パンユン母ちゃん🔮カバラ＆鑑定士アカウント </t>
    </r>
    <r>
      <rPr>
        <sz val="8"/>
        <rFont val="Droid Sans"/>
        <family val="0"/>
        <charset val="1"/>
      </rPr>
      <t xml:space="preserve">@MamiAmano_FT</t>
    </r>
  </si>
  <si>
    <t xml:space="preserve">🚩ModiSarkaar🚩</t>
  </si>
  <si>
    <t xml:space="preserve">RT not endorsements</t>
  </si>
  <si>
    <t xml:space="preserve">ध्येयं सदा परिभवघ्नमभीष्टदोहं तीर्थास्पदं शिवविरिञ्चिनुतं शरण्यम्। भृत्यार्तिहं प्रणतपाल भवाब्धिपोतं वन्दे महापुरुष ते चरणारविन्दम्॥</t>
  </si>
  <si>
    <t xml:space="preserve">umesh</t>
  </si>
  <si>
    <t xml:space="preserve">planet earth</t>
  </si>
  <si>
    <t xml:space="preserve">Trisha's father , A runner.</t>
  </si>
  <si>
    <t xml:space="preserve">Baseer Kakar</t>
  </si>
  <si>
    <t xml:space="preserve">Islamabad, Pakistan</t>
  </si>
  <si>
    <t xml:space="preserve">#Quetta'Wal, Man on mission- to live the best life possible come what may. Micro-Blogger | Human Right-Activist | Facebook: @TheBaseerKakar</t>
  </si>
  <si>
    <t xml:space="preserve">Manish Nadir</t>
  </si>
  <si>
    <t xml:space="preserve">Technology | Business | Retail | Consumer Goods | Politics | India | Sports | Science | Tweets r personal &amp; no connection to my employer. RTs≠Endorsements.</t>
  </si>
  <si>
    <t xml:space="preserve">RT @FinancialReview: Abe faces challenges from reining in #Japan's swollen public debt to dealing with ageing workforce &amp; stagnant wages. h…</t>
  </si>
  <si>
    <t xml:space="preserve">raju salla</t>
  </si>
  <si>
    <t xml:space="preserve">believer in rss ideology , proud modi bhakt,firm believer of hindu way of life and against cutter panti and church conversions</t>
  </si>
  <si>
    <t xml:space="preserve">Pramod Gupta</t>
  </si>
  <si>
    <t xml:space="preserve">Guwahati, Assam</t>
  </si>
  <si>
    <t xml:space="preserve">Chemical Engineer. Working at top managerial position in a limited company.</t>
  </si>
  <si>
    <r>
      <rPr>
        <sz val="8"/>
        <rFont val="Noto Sans CJK SC Regular"/>
        <family val="2"/>
      </rPr>
      <t xml:space="preserve">雲 白鳥 鮫 蜘蛛     </t>
    </r>
    <r>
      <rPr>
        <sz val="8"/>
        <rFont val="Droid Sans"/>
        <family val="0"/>
        <charset val="1"/>
      </rPr>
      <t xml:space="preserve">(</t>
    </r>
    <r>
      <rPr>
        <sz val="8"/>
        <rFont val="Noto Sans CJK SC Regular"/>
        <family val="2"/>
      </rPr>
      <t xml:space="preserve">鵬鯤</t>
    </r>
    <r>
      <rPr>
        <sz val="8"/>
        <rFont val="Droid Sans"/>
        <family val="0"/>
        <charset val="1"/>
      </rPr>
      <t xml:space="preserve">)</t>
    </r>
  </si>
  <si>
    <t xml:space="preserve">全世界が幸福に一つの宇宙世界で無く宗教で無く貴方の世界観が広がれば幸せです。私達の一つの宇宙も地球人類として誇りを持てる人に成って下さい！明治維新前後欧米人が日本に来民度が高く天国が日本と言ってましたし地球が滅んでも日本人だけは滅んで欲しく無いです。地球人類以上の文明に地球人類は滅んで欲しく無いと思われるよう希望します</t>
  </si>
  <si>
    <t xml:space="preserve">Japanese prime minister coasts to election win https://t.co/nqBhWYjdF9</t>
  </si>
  <si>
    <t xml:space="preserve">IAM</t>
  </si>
  <si>
    <t xml:space="preserve">RT @globalissuesweb: With a landslide win, Shinzo Abe could be ready to rewrite Japan's pacifist constitution https://t.co/9tNZRvu1fp https…</t>
  </si>
  <si>
    <t xml:space="preserve">Maryland</t>
  </si>
  <si>
    <t xml:space="preserve">IAM OKC is an affiliate of the International Arts Movement based in New York City. http://www.iamny.</t>
  </si>
  <si>
    <t xml:space="preserve">Medha</t>
  </si>
  <si>
    <t xml:space="preserve">Proud Hindu, Love to put a smile on everyone s face, Hobbies-painting n travelling.Interested in #Entrepreneurship #Politics #Spirituality #Analytics #AI #ML</t>
  </si>
  <si>
    <t xml:space="preserve">Tapan Ghosh</t>
  </si>
  <si>
    <t xml:space="preserve">Uncompromising Hindu activist of Bengal. Determined to fight against Islamic aggression &amp; expansion.</t>
  </si>
  <si>
    <t xml:space="preserve">Sunil Kumar</t>
  </si>
  <si>
    <t xml:space="preserve">IITian by education. Sr. Team lead, Android app development. Natively from Jind, Haryana. PM of India, @narendramodi Ji follows me :)</t>
  </si>
  <si>
    <t xml:space="preserve">MAHUA MUKHERJEE</t>
  </si>
  <si>
    <t xml:space="preserve">New Delhi, india</t>
  </si>
  <si>
    <t xml:space="preserve">I tweet I don't tweak. A proud Krsna conscious Hindu who thinks India will rise under Na Mo- the Best PM!</t>
  </si>
  <si>
    <t xml:space="preserve">Luis Puerto</t>
  </si>
  <si>
    <t xml:space="preserve">Seems that Japan want to change from a pacifist country to a "normal" one w/ a regular army. https://t.co/YnGVMHOqUb</t>
  </si>
  <si>
    <t xml:space="preserve">🇪🇺🇪🇸🇫🇮🇸🇪🇺🇸</t>
  </si>
  <si>
    <t xml:space="preserve">Universe explorer. Independence is my happiness... my country is the world and my religion is to do good -Thomas Paine. I'm from here: https://t.co/etZ27RuZ08</t>
  </si>
  <si>
    <t xml:space="preserve">arvind merwade</t>
  </si>
  <si>
    <t xml:space="preserve">Proud Hindu Nationalist to Core, a Tolerant Hindu in Spite of Being Abused for Centuries, proud to be blocked by mamta banerjee</t>
  </si>
  <si>
    <t xml:space="preserve">Japan election exit poll results are in https://t.co/HKxmuVoaSn</t>
  </si>
  <si>
    <t xml:space="preserve">Namit Tiwariᴳˢᴹ 🇮🇳</t>
  </si>
  <si>
    <t xml:space="preserve">Actor,वंदे मातरम्‌ सुजलां सुफलां मलयजशीतलाम्‌ स्यश्यामलां मातरम्‌ । वंदे मातरम् blessed by @vinitgoenka ji @PiyushGoyalOffc &amp; MyFollowers RT not endorsement</t>
  </si>
  <si>
    <t xml:space="preserve">shyam prasad</t>
  </si>
  <si>
    <t xml:space="preserve">Prabhat</t>
  </si>
  <si>
    <t xml:space="preserve">SAP CONSULTANT HINDU NATIONALIST / Swami Vivekananda / Neta Ji Subhash Chandra Bose - My Ideal MY ACTION HERO - NaMo</t>
  </si>
  <si>
    <t xml:space="preserve">Er Sandeep Luthra</t>
  </si>
  <si>
    <t xml:space="preserve">Mohali, India</t>
  </si>
  <si>
    <t xml:space="preserve">A Son, brother,husband, Professional,Coach,Advisor , Enterprenur &amp; A social figure</t>
  </si>
  <si>
    <t xml:space="preserve">Rosemary Church</t>
  </si>
  <si>
    <t xml:space="preserve">RT @JMagsCNN: @rosemaryCNN with breaking news @CNN @realDonaldTrump and Shinzo Abe talk ahead of election win announced https://t.co/9MC85m…</t>
  </si>
  <si>
    <t xml:space="preserve">Atlanta</t>
  </si>
  <si>
    <t xml:space="preserve">Anchor, CNN International Based at CNN HQ in Atlanta</t>
  </si>
  <si>
    <t xml:space="preserve">NYT Tweets Now</t>
  </si>
  <si>
    <t xml:space="preserve">The New York Times Tweets</t>
  </si>
  <si>
    <t xml:space="preserve">Boosbazaar .Com</t>
  </si>
  <si>
    <t xml:space="preserve">Japan PM Shinzo Abe pledges pressure on North Korea after big election win https://t.co/ddn58BriO0 via @dwnews</t>
  </si>
  <si>
    <t xml:space="preserve">Support@boosbazaar.com</t>
  </si>
  <si>
    <t xml:space="preserve">Boosbazaar</t>
  </si>
  <si>
    <t xml:space="preserve">The Indian Express</t>
  </si>
  <si>
    <t xml:space="preserve">Japan election 2017: Shinzo Abe secures majority, says will ‘work humbly’; Nikkei hits 21-year high https://t.co/zMsiXg4W8L</t>
  </si>
  <si>
    <t xml:space="preserve">The Indian Express brings to you latest news from India and the world, breaking round the clock. The 'Journalism of Courage' starts here.</t>
  </si>
  <si>
    <t xml:space="preserve">Anil singh chouhan</t>
  </si>
  <si>
    <t xml:space="preserve">RT @IndianExpress: Japan election 2017: Shinzo Abe secures majority, says will ‘work humbly’; Nikkei hits 21-year high https://t.co/zMsiXg4…</t>
  </si>
  <si>
    <t xml:space="preserve">News Government and Politics</t>
  </si>
  <si>
    <t xml:space="preserve">Vibhash Kumar</t>
  </si>
  <si>
    <t xml:space="preserve">Every battle is won before it is fought.</t>
  </si>
  <si>
    <t xml:space="preserve">Sona</t>
  </si>
  <si>
    <t xml:space="preserve">Shinzo Abe sweeps to resounding victory in Japan election - Livemint https://t.co/IE3oEwBv0X</t>
  </si>
  <si>
    <t xml:space="preserve">Entrepreneur, Traveller, photographer, interested in history, architecture, studying ancient Indian scriptures.. write for https://t.co/0QX0oGw2YG &amp; https://t.co/70OCn9zeJV</t>
  </si>
  <si>
    <t xml:space="preserve">Banna™</t>
  </si>
  <si>
    <t xml:space="preserve">Jodhpur Delhi Jodhpur</t>
  </si>
  <si>
    <t xml:space="preserve">If I want your opinion, I’ll ask you to fill out the necessary forms. Followed by @OfficeofRG. and @POTUS</t>
  </si>
  <si>
    <t xml:space="preserve">Japan Election Vindicates Shinzo Abe as His Party Wins Big https://t.co/EfVImtMwNf</t>
  </si>
  <si>
    <t xml:space="preserve">Japan Election Vindicates Shinzo Abe as His Party Wins Big https://t.co/lluddEt9Wt</t>
  </si>
  <si>
    <t xml:space="preserve">ALLURI DIVAKAR REDDY</t>
  </si>
  <si>
    <t xml:space="preserve">Law Student 👨‍🎓 | Humanist | Interested in Social activities | Proud to be born in a family which feeds the nation(Agricultural family)</t>
  </si>
  <si>
    <t xml:space="preserve">Sprechen Sie Deutsch</t>
  </si>
  <si>
    <t xml:space="preserve">Japanese Prime Minister Shinzo Abe’s ruling coalition is set for a two-thirds majority in… https://t.co/fUWsfO6rhh #Deutsche #Sprache</t>
  </si>
  <si>
    <t xml:space="preserve">schland</t>
  </si>
  <si>
    <t xml:space="preserve">#BRD #Deutschland #Germany</t>
  </si>
  <si>
    <t xml:space="preserve">Japan Election Vindicates Shinzo Abe as His Party Wins Big - New York Times https://t.co/TIihgjXpnm</t>
  </si>
  <si>
    <t xml:space="preserve">Martin D Brown</t>
  </si>
  <si>
    <t xml:space="preserve">Shinzo Abe gains big victory in Japan election https://t.co/3pnFGmyzud via @FT</t>
  </si>
  <si>
    <t xml:space="preserve">London/Tallinn</t>
  </si>
  <si>
    <t xml:space="preserve">Husband, dad, historian and European, with an (un)healthy interest in beverages, cinema and food. No truck with ultracrepidarians. Retweets ≠ endorsements</t>
  </si>
  <si>
    <t xml:space="preserve">desi boy</t>
  </si>
  <si>
    <t xml:space="preserve">India first..</t>
  </si>
  <si>
    <t xml:space="preserve">Doyle Industries</t>
  </si>
  <si>
    <t xml:space="preserve">Japan Election Vindicates Shinzo Abe as His Party Wins Big - New York Times: New York Times Japan Election…… https://t.co/HGLvxOYVz9</t>
  </si>
  <si>
    <t xml:space="preserve">Sydney • 1.0 AU</t>
  </si>
  <si>
    <t xml:space="preserve">A decidedly new kind of industrial enterprise here for a new, and very different world • @Doyle_Media • Engineering @Doyle_Eng • Founder: @TheRichardDoyle</t>
  </si>
  <si>
    <t xml:space="preserve">Japan's Abe to push pacifist constitution reform after strong election win TOKYO (Reuters) - Prime Minister Shinzo Abe, buoyed by a huge...</t>
  </si>
  <si>
    <t xml:space="preserve">Sonia Gandhi</t>
  </si>
  <si>
    <t xml:space="preserve">Pappu ki ammi; Khangress president; Chairman, UPeeA; I abuse at will; Loaded with attitude; Love my pasta, pizza &amp; red wine; Parody account</t>
  </si>
  <si>
    <t xml:space="preserve">いちごおぱんちゅ</t>
  </si>
  <si>
    <t xml:space="preserve">Japan Election Vindicates Shinzo Abe as His Party Wins Big - New York Times https://t.co/jDelQZzBe9</t>
  </si>
  <si>
    <t xml:space="preserve">Chris Stearns</t>
  </si>
  <si>
    <t xml:space="preserve">RT @GGR_Asia: Japan casino hopes rise on Shinzo Abe election win - https://t.co/5DDwRUP9z2 https://t.co/U8L3SL6M0Q</t>
  </si>
  <si>
    <t xml:space="preserve">DC → SEA</t>
  </si>
  <si>
    <t xml:space="preserve">@WAgambling Commissioner. Navajo lawyer defending Native rights w/ @HobbsStraus. Past: Counsel at @NRDems; Indian Affairs Dir. at @Energy; @HumanRights206 Chair</t>
  </si>
  <si>
    <t xml:space="preserve">Japan Election Vindicates Shinzo Abe as His Party Wins Big https://t.co/aKyayQjECj</t>
  </si>
  <si>
    <t xml:space="preserve">DW (Indonesia)</t>
  </si>
  <si>
    <t xml:space="preserve">Bonn, Jerman</t>
  </si>
  <si>
    <t xml:space="preserve">Kami menyajikan laporan tentang peristiwa penting. Dan mengajak Anda untuk menyampaikan pendapat serta berdiskusi.https://t.co/oMbOapMnNW</t>
  </si>
  <si>
    <t xml:space="preserve">Japan election 2017: Shinzo Abe secures majority, says will ‘work humbly’; Nikkei hits 21-year high … https://t.co/Ujto4FqbqX</t>
  </si>
  <si>
    <t xml:space="preserve">Indic</t>
  </si>
  <si>
    <t xml:space="preserve">Bracing for coming Civilization Wars 1 tweet a time ! RT's are not endorsements!</t>
  </si>
  <si>
    <t xml:space="preserve">Joselevy Velásquez</t>
  </si>
  <si>
    <t xml:space="preserve">Fotoperiodista</t>
  </si>
  <si>
    <t xml:space="preserve">André Dragosch</t>
  </si>
  <si>
    <t xml:space="preserve">Shinzo Abe gains big victory in Japan election - https://t.co/p7Uy5E81w1 via @FT</t>
  </si>
  <si>
    <t xml:space="preserve">Frankfurt am Main, Deutschland</t>
  </si>
  <si>
    <t xml:space="preserve">Senior Asset Allocation Analyst @ FERI. Retweet≠Endorsement. Like=Bookmark. Views expressed=my own. No solicitation to trade financial instruments/commodities.</t>
  </si>
  <si>
    <t xml:space="preserve">Japan election 2017: Shinzo Abe secures majority, says will 'work humbly'; Nikkei hits 21-year high… https://t.co/Iwysvn3Z1F</t>
  </si>
  <si>
    <t xml:space="preserve">Shivang Kumar</t>
  </si>
  <si>
    <t xml:space="preserve">Shinzo Abe To Push Reform Of Japan's Constitution After Election Win https://t.co/rbY2bB4as6 https://t.co/dnaOlX7dLR</t>
  </si>
  <si>
    <t xml:space="preserve">Meerut, Uttar Pradesh</t>
  </si>
  <si>
    <t xml:space="preserve">introvert, funny, loving, coder, footballer, gamer, swimmer and sleeps</t>
  </si>
  <si>
    <t xml:space="preserve">gold god INDIA</t>
  </si>
  <si>
    <t xml:space="preserve">Japan election 2017: Shinzo Abe secures majority, says will ‘work humbly’; Nikkei hits 21-year high https://t.co/ceerb0QNw3</t>
  </si>
  <si>
    <t xml:space="preserve">commodity.astro21@gmail.com</t>
  </si>
  <si>
    <t xml:space="preserve">Astrologer+Trainer+Auther+Resercher +medition +SOUL ON 0##AARTA by astrology+ Medition-Trainer.-I am Not #BABA 🙂+919537188865</t>
  </si>
  <si>
    <t xml:space="preserve">Japan Election Vindicates Shinzo Abe as His Party Wins Big https://t.co/2Rs3rFKrFI</t>
  </si>
  <si>
    <t xml:space="preserve">Proud தமிழன் (Tamil</t>
  </si>
  <si>
    <t xml:space="preserve">Proud Bharat,BJP,Modi Bhakt,THIEST.Revere Dr.Ambedkar who saved India. Learning to Love everyone</t>
  </si>
  <si>
    <t xml:space="preserve">Luca Piluso</t>
  </si>
  <si>
    <t xml:space="preserve">Shinzo Abe secures strong mandate in Japan's general election https://t.co/DuDIDGWYay</t>
  </si>
  <si>
    <t xml:space="preserve">Sushant K Jha</t>
  </si>
  <si>
    <t xml:space="preserve">Delhi/Bihar</t>
  </si>
  <si>
    <t xml:space="preserve">India Today TV/Aajtak.Translated Ramachandra Guha's 'India After Gandhi'/'Gandhi Before India'(Penguin) &amp;'India:A Portrait'@ P.French.IIMC. ex-India News, DD</t>
  </si>
  <si>
    <r>
      <rPr>
        <sz val="8"/>
        <rFont val="Noto Sans CJK SC Regular"/>
        <family val="2"/>
      </rPr>
      <t xml:space="preserve">オビ</t>
    </r>
    <r>
      <rPr>
        <sz val="8"/>
        <rFont val="Droid Sans"/>
        <family val="0"/>
        <charset val="1"/>
      </rPr>
      <t xml:space="preserve">=</t>
    </r>
    <r>
      <rPr>
        <sz val="8"/>
        <rFont val="Noto Sans CJK SC Regular"/>
        <family val="2"/>
      </rPr>
      <t xml:space="preserve">ワン</t>
    </r>
  </si>
  <si>
    <t xml:space="preserve">ダラダラ大好きなテツです。あと、韓国・朝鮮人と中国人がキライです。</t>
  </si>
  <si>
    <t xml:space="preserve">Milik Tailor</t>
  </si>
  <si>
    <t xml:space="preserve">RT @indian24news: Japan election 2017: Shinzo Abe secures majority, says will 'work humbly'; Nikkei hits 21-year high https://t.co/zfKmyY1E…</t>
  </si>
  <si>
    <t xml:space="preserve">Traveller, Staunch Narendra Modi Supporter, Avid Reader, Movies enthusiast, Salman Khan's Die-Hard Fan, Internet Freak, Foodoholic, Gadget-Geek ,to be Engineer.</t>
  </si>
  <si>
    <t xml:space="preserve">Alok Shukla</t>
  </si>
  <si>
    <t xml:space="preserve">lucknow </t>
  </si>
  <si>
    <t xml:space="preserve">Nations First ,वन्दे मातरम्। -अकाल मौत उसकी हो जो काम करे चांडाल का । काल उसका क्या करे जो भक्त हो महाकाल का । जय महाकाल।🇮🇳🇮🇳🇮🇳🇮🇳🇮🇳🇮🇳</t>
  </si>
  <si>
    <t xml:space="preserve">India Love</t>
  </si>
  <si>
    <t xml:space="preserve">大学生</t>
  </si>
  <si>
    <t xml:space="preserve">Japan election 2017: Shinzo Abe secures majority, says will ‘work humbly’; Nikkei hits 21-year high.. https://t.co/DJhIQaltbK</t>
  </si>
  <si>
    <t xml:space="preserve">Jolene Kampman</t>
  </si>
  <si>
    <t xml:space="preserve">Abe's focus on North Korea after Japan election win: Japanese Prime Minister Shinzo Abe… https://t.co/qBfVG84Msd</t>
  </si>
  <si>
    <t xml:space="preserve">Japan Election Vindicates Shinzo Abe as His Party Wins Big - New York Times: New York Times… https://t.co/e9Ll7jGx3y https://t.co/8rH7D7B8Ab</t>
  </si>
  <si>
    <t xml:space="preserve">Japan Election Vindicates Shinzo Abe as His Party Wins Big https://t.co/6p2lPv1oBu https://t.co/OyInhZy9kD</t>
  </si>
  <si>
    <t xml:space="preserve">Japan Election Vindicates Shinzo Abe as His Party Wins Big https://t.co/jU6fJ5DnnR https://t.co/q9ZQdT24Pt</t>
  </si>
  <si>
    <t xml:space="preserve">Prashanth KB</t>
  </si>
  <si>
    <t xml:space="preserve">India, Kar - USA, Rockford, IL</t>
  </si>
  <si>
    <t xml:space="preserve">Loves Traveling. . Wildlife Photography. . Software Architect by profession</t>
  </si>
  <si>
    <t xml:space="preserve">R K Gupta</t>
  </si>
  <si>
    <t xml:space="preserve">Taught physics at degree level</t>
  </si>
  <si>
    <t xml:space="preserve">Victoria Venegas</t>
  </si>
  <si>
    <t xml:space="preserve">♔вяyαη™</t>
  </si>
  <si>
    <t xml:space="preserve">Japan Election Vindicates Shinzo Abe as His Party Wins Big - New York Times</t>
  </si>
  <si>
    <t xml:space="preserve">ea✔</t>
  </si>
  <si>
    <t xml:space="preserve">★cнıєfsσsα łαмвσяgнıηı ⛽</t>
  </si>
  <si>
    <t xml:space="preserve">Sonnam Palden✊✊✊</t>
  </si>
  <si>
    <t xml:space="preserve">Free Tibet.</t>
  </si>
  <si>
    <t xml:space="preserve">G M</t>
  </si>
  <si>
    <t xml:space="preserve">Shinzo Abe won a commanding majority for his party, fueling his hopes of revising Japan's pacifist Constitution https://t.co/Bf425pG7Dc</t>
  </si>
  <si>
    <t xml:space="preserve">kickdown</t>
  </si>
  <si>
    <t xml:space="preserve">Japan Election Vindicates Shinzo Abe as His Party Wins Big - New York Times https://t.co/wprijMn9O4</t>
  </si>
  <si>
    <t xml:space="preserve">Photography.Electronik.Musik.DIY. Raspberry.Apple.</t>
  </si>
  <si>
    <t xml:space="preserve">VIJAY RAGHAV SINGH</t>
  </si>
  <si>
    <t xml:space="preserve">RT @nytimes: Shinzo Abe won a commanding majority for his party, fueling his hopes of revising Japan's pacifist Constitution https://t.co/B…</t>
  </si>
  <si>
    <t xml:space="preserve">Sandra Sully</t>
  </si>
  <si>
    <t xml:space="preserve">Japan Election Vindicates Shinzo Abe as His Party Wins Big https://t.co/B3UZZsAjqJ</t>
  </si>
  <si>
    <t xml:space="preserve">📺🎙🗞 Journalist | Senior Editor News @ChannelTenNews | Board @Walkleys @HockeyAustralia | Co-Patron @SpinalCure Ambassador @AdoptionAwareness @MS_Australia</t>
  </si>
  <si>
    <t xml:space="preserve">heauxcus pocus</t>
  </si>
  <si>
    <t xml:space="preserve">vacationing in the ether</t>
  </si>
  <si>
    <t xml:space="preserve">Slytherin with INFJ tendencies, insufferable know-it-all, and future history professor • published @geeksofcolor</t>
  </si>
  <si>
    <t xml:space="preserve">Consulting Engineer. RTs are not endorsements.</t>
  </si>
  <si>
    <t xml:space="preserve">Sonu Yadav</t>
  </si>
  <si>
    <t xml:space="preserve">Ranchi, India</t>
  </si>
  <si>
    <t xml:space="preserve">Proud to be a hindu</t>
  </si>
  <si>
    <t xml:space="preserve">Hamdhy R.</t>
  </si>
  <si>
    <t xml:space="preserve">The Official Twitter Page of Hamdhy Rois - Osing is the unique tribe.</t>
  </si>
  <si>
    <t xml:space="preserve">Practising Hindu, I love my country, hope India becomes the spiritual Guru to the world. RTs are not endorsement. Hate libtards.</t>
  </si>
  <si>
    <t xml:space="preserve">鍋凛</t>
  </si>
  <si>
    <r>
      <rPr>
        <sz val="8"/>
        <rFont val="Droid Sans"/>
        <family val="0"/>
        <charset val="1"/>
      </rPr>
      <t xml:space="preserve">@Pola</t>
    </r>
    <r>
      <rPr>
        <sz val="8"/>
        <rFont val="Noto Sans CJK SC Regular"/>
        <family val="2"/>
      </rPr>
      <t xml:space="preserve">改め</t>
    </r>
    <r>
      <rPr>
        <sz val="8"/>
        <rFont val="Droid Sans"/>
        <family val="0"/>
        <charset val="1"/>
      </rPr>
      <t xml:space="preserve">@Lena</t>
    </r>
    <r>
      <rPr>
        <sz val="8"/>
        <rFont val="Noto Sans CJK SC Regular"/>
        <family val="2"/>
      </rPr>
      <t xml:space="preserve">ちゃん</t>
    </r>
  </si>
  <si>
    <t xml:space="preserve">RT biblewords3: Shinzo Abe won a commanding majority for his party, fueling his hopes of revising Japan's pacifist… https://t.co/T69iCBbTje</t>
  </si>
  <si>
    <t xml:space="preserve">KS India</t>
  </si>
  <si>
    <t xml:space="preserve">Sanatani, Nationalist. RTs ~= endorsements</t>
  </si>
  <si>
    <t xml:space="preserve">Abhishek Kashyap</t>
  </si>
  <si>
    <t xml:space="preserve">Its not the presence of someone that brings meaning to your life but its the way that someone touches your heart which gives your life a beautiful meaning.</t>
  </si>
  <si>
    <t xml:space="preserve">heidi</t>
  </si>
  <si>
    <t xml:space="preserve">Shinzo Abe won a commanding majority for his party, fueling his hopes of revising Japan's pacifist Constitution https://t.co/RQknhvyKfE</t>
  </si>
  <si>
    <t xml:space="preserve">Dapo</t>
  </si>
  <si>
    <t xml:space="preserve">Summer 17 🙌🏾 #Arsenal</t>
  </si>
  <si>
    <t xml:space="preserve">Craig</t>
  </si>
  <si>
    <t xml:space="preserve">Check your politics</t>
  </si>
  <si>
    <t xml:space="preserve">V.</t>
  </si>
  <si>
    <t xml:space="preserve">Proud Baby Boomer and University of Miami grad. Sukyo Mahikari practitioner. 'Canes, Dolphins, Heat. It's 11:11! #TheU #FeeltheBern https://t.co/5NFGowbPBz</t>
  </si>
  <si>
    <t xml:space="preserve">david from college🌹</t>
  </si>
  <si>
    <t xml:space="preserve">dc's only home depot</t>
  </si>
  <si>
    <t xml:space="preserve">James 2:6 (the @ is about how John Quincy Adams tried to - never mind) (he/him/eng/esp)</t>
  </si>
  <si>
    <t xml:space="preserve">yaneYao</t>
  </si>
  <si>
    <t xml:space="preserve">25/ISFJ. Aluninha de mestrado, feminista e rainha do shitposting falando das viadagens.</t>
  </si>
  <si>
    <t xml:space="preserve">Carter M</t>
  </si>
  <si>
    <t xml:space="preserve">Los Angeles California</t>
  </si>
  <si>
    <t xml:space="preserve">Gamer/Collector Leveling up Since 87</t>
  </si>
  <si>
    <t xml:space="preserve">Mz. J.</t>
  </si>
  <si>
    <t xml:space="preserve">Don’t be lazy, RESIST liberalism, think for yourself.</t>
  </si>
  <si>
    <t xml:space="preserve">Midwest Movie Maven©</t>
  </si>
  <si>
    <t xml:space="preserve">Wisconsin, USA</t>
  </si>
  <si>
    <t xml:space="preserve">BTS:ArtWOCPOCDoc+PoliSocJustice&amp;Docs #InclusionInNonfiction Aspie&amp;Empathish #ILiterallyFeelU #DyingInWI #BAboutSumChange #MyAspieBrain2017 #RiteofDissent2017</t>
  </si>
  <si>
    <t xml:space="preserve">Gary Chun</t>
  </si>
  <si>
    <t xml:space="preserve">Honolulu, O‘ahu, Hawai‘i</t>
  </si>
  <si>
    <t xml:space="preserve">Home in the islands, in the middle of the sea. You fascinate me. Photo by Aaron Yoshino and avatar by R. Kikuo Johnson.</t>
  </si>
  <si>
    <t xml:space="preserve">Japan Election Vindicates Shinzo Abe as His Party Wins Big - New York Times https://t.co/NeqyjzdaJq</t>
  </si>
  <si>
    <t xml:space="preserve">rleuty</t>
  </si>
  <si>
    <t xml:space="preserve">Writer. Dad. #DetroitTigers fan. Runner after 7 knee surgeries. Go @EMichiganU. This is a personal account - I take it personally.</t>
  </si>
  <si>
    <t xml:space="preserve">FAKE NEWS! 👉 👉 https://t.co/H2lT8o9Zvv … via redbubble #fakenews Shinzo Abe won a commanding majority for his par… https://t.co/eK0v71iMNx</t>
  </si>
  <si>
    <t xml:space="preserve">Maciej R</t>
  </si>
  <si>
    <t xml:space="preserve">Tech Startup Employee #4. Aerospace / Biotech / Pharma Investor. Masters Finance Baruch College. Westside Highway Cyclist. Community Board Member.</t>
  </si>
  <si>
    <t xml:space="preserve">Robert Andross</t>
  </si>
  <si>
    <t xml:space="preserve">Virgin Islands, USA</t>
  </si>
  <si>
    <t xml:space="preserve">Go Jags!</t>
  </si>
  <si>
    <t xml:space="preserve">ita@san</t>
  </si>
  <si>
    <t xml:space="preserve">旅人。根無し草。根性無。仏教徒。未婚。婚活中、。</t>
  </si>
  <si>
    <t xml:space="preserve">Alberto Aguayo</t>
  </si>
  <si>
    <t xml:space="preserve">Salinas, CA</t>
  </si>
  <si>
    <t xml:space="preserve">TacticalFM</t>
  </si>
  <si>
    <t xml:space="preserve">Shinzo Abe on track for landslide victory, exit polls show #worldnews #actu https://t.co/xj1HFyvlXD https://t.co/Qz6205WapI</t>
  </si>
  <si>
    <t xml:space="preserve">Actualité mondiale et webradio depuis 2007</t>
  </si>
  <si>
    <t xml:space="preserve">#¡REF!</t>
  </si>
  <si>
    <t xml:space="preserve">Tapachula // Cd de México</t>
  </si>
  <si>
    <t xml:space="preserve">Derramando Flow y Talento</t>
  </si>
  <si>
    <t xml:space="preserve">Carolin Roth</t>
  </si>
  <si>
    <t xml:space="preserve">Japan's leader just won a resounding election victory, but he's still unpopular https://t.co/13boW9f6mK</t>
  </si>
  <si>
    <t xml:space="preserve">Anchor for @CNBC based in London, co-anchor of StreetSigns (9-10 am UK) and Swiss correspondent, EU citizen though passport says German</t>
  </si>
  <si>
    <t xml:space="preserve">Ben Bruner</t>
  </si>
  <si>
    <t xml:space="preserve">Jessamine County Kentucky</t>
  </si>
  <si>
    <t xml:space="preserve">https://t.co/HKKJOrlh9H</t>
  </si>
  <si>
    <t xml:space="preserve">Zelda Wynn</t>
  </si>
  <si>
    <t xml:space="preserve">Enjoys photographing Cloudscapes &amp; watching the wind patterns, a weather geek.</t>
  </si>
  <si>
    <t xml:space="preserve">JAMES BUSH</t>
  </si>
  <si>
    <t xml:space="preserve">OREGON</t>
  </si>
  <si>
    <t xml:space="preserve">Trump must be stopped . He is a cancer in the Whitehouse . The Republiçons have fooled voters again . Resist this Dictator</t>
  </si>
  <si>
    <t xml:space="preserve">Jesús Enrique</t>
  </si>
  <si>
    <t xml:space="preserve">Los Teques, Venezuela. </t>
  </si>
  <si>
    <t xml:space="preserve">Conquering the first book. I wish. «Lo bueno de escribir un libro es que puedes soñar mientras estás despierto.» ~Haruki Murakami</t>
  </si>
  <si>
    <t xml:space="preserve">internal emigration✌</t>
  </si>
  <si>
    <t xml:space="preserve">galaxy</t>
  </si>
  <si>
    <t xml:space="preserve">Свобода - это не право. Свобода - это необходимость!</t>
  </si>
  <si>
    <t xml:space="preserve">Shinzo Abe won a commanding majority for his party, fueling his hopes of revising Japan's pacifist Constitution https://t.co/fbosc6X9si</t>
  </si>
  <si>
    <t xml:space="preserve">Japan Election Vindicates Shinzo Abe as His Party Wins Big - New York Times https://t.co/KNSFFfSEBG #now @google ⚡ #topstories</t>
  </si>
  <si>
    <t xml:space="preserve">Shinzo Abe won a commanding majority for his party, fueling his hopes of revising Japan's pacifist Constitution https://t.co/SJMKembz8l</t>
  </si>
  <si>
    <t xml:space="preserve">mikan_chan</t>
  </si>
  <si>
    <t xml:space="preserve">Kaushik Sonar</t>
  </si>
  <si>
    <t xml:space="preserve">massu0922</t>
  </si>
  <si>
    <t xml:space="preserve">Vancouver, British Columbia</t>
  </si>
  <si>
    <t xml:space="preserve">まっすぅです！ バンクーバーに社会人留学しながら、英会話講師として活動し始めました！講師になっても毎日英語を勉強してます☆オシャレも恋も大事だけど、自分に無理なく過ごせるように心がけてます☆あと、野球をこよなく愛しています❤️</t>
  </si>
  <si>
    <t xml:space="preserve">EUTROPHIC ANTIFA</t>
  </si>
  <si>
    <t xml:space="preserve">Republic of Belarus</t>
  </si>
  <si>
    <t xml:space="preserve">Unable to sustain any form of life. #Antifa bash the fash..</t>
  </si>
  <si>
    <t xml:space="preserve">Shinzo Abe won a commanding majority for his party, fueling his hopes of revising Japan's pacifist Constitution https://t.co/3qWzR1MbSa</t>
  </si>
  <si>
    <t xml:space="preserve">Angela P Paige</t>
  </si>
  <si>
    <t xml:space="preserve">Combat Veteran</t>
  </si>
  <si>
    <t xml:space="preserve">Ashwini</t>
  </si>
  <si>
    <t xml:space="preserve">RT @ibtimes_india: Shinzo Abe to push reform of #Japan's pacifist constitution after election win @AbeShinzo https://t.co/pzkLxkttdu</t>
  </si>
  <si>
    <t xml:space="preserve">Alex von Witzleben</t>
  </si>
  <si>
    <t xml:space="preserve">Shinzo Abe gains big victory in Japan election https://t.co/VfTrQGAmO8 via @FT</t>
  </si>
  <si>
    <t xml:space="preserve">Economic historian - follow EU competitiveness, getting out of economic crisis, promote Europe, start-ups, smart and innovative green policies</t>
  </si>
  <si>
    <t xml:space="preserve">Montserrat</t>
  </si>
  <si>
    <t xml:space="preserve">Spain</t>
  </si>
  <si>
    <t xml:space="preserve">Nacida en León. Ciudadana del mundo con parada en Asturias, Cataluña y Texas. Filologa anglo-germana que vive y deja vivir.</t>
  </si>
  <si>
    <t xml:space="preserve">Түмний Нэг</t>
  </si>
  <si>
    <t xml:space="preserve">Ulaanbaatar, Mongolia</t>
  </si>
  <si>
    <t xml:space="preserve">Хуримтлалтай Монголын төлөө! Монгол Улс Үүрд Мандан Бадраг!</t>
  </si>
  <si>
    <t xml:space="preserve">Made Bhasudewa</t>
  </si>
  <si>
    <t xml:space="preserve">Denpasar, Bali</t>
  </si>
  <si>
    <t xml:space="preserve">ad astra per aspera | bocah pinggiran</t>
  </si>
  <si>
    <t xml:space="preserve">Riley Fuller</t>
  </si>
  <si>
    <t xml:space="preserve">Irving, TX</t>
  </si>
  <si>
    <t xml:space="preserve">Hey. My name is Riley, and I'm a junior English major @uofdallas. For all sports and Dallas-related news, Ri-Guy gives all the fives! ⚾️🏀🏈🏒😎</t>
  </si>
  <si>
    <t xml:space="preserve">Radio Nightwatchman</t>
  </si>
  <si>
    <t xml:space="preserve">Japan election 2017: Shinzo Abe secures majority, Nikkei hits 21-year high https://t.co/4nwlP2R6de putem korisnika @IndianExpress</t>
  </si>
  <si>
    <t xml:space="preserve">Zagreb, Croatia</t>
  </si>
  <si>
    <t xml:space="preserve">The News Street</t>
  </si>
  <si>
    <t xml:space="preserve">Sanity, in the world of truth, post-truth and alt-fact world. Say hello: thenewsstreet@gmail.com</t>
  </si>
  <si>
    <t xml:space="preserve">Shinzo Abe won a commanding majority for his party, fueling his hopes of revising Japan's pacifist Constitution https://t.co/qO7tkQ9C01</t>
  </si>
  <si>
    <t xml:space="preserve">Михаил Бенгин</t>
  </si>
  <si>
    <t xml:space="preserve">Mike Lee</t>
  </si>
  <si>
    <t xml:space="preserve">IT/IS Professional, Buddhist, Singer/songwriter,Mac/PC/iOS/Retro Techie &amp; Blogger. My youtube: https://t.co/mtRLkkeiJn</t>
  </si>
  <si>
    <t xml:space="preserve">aqui</t>
  </si>
  <si>
    <t xml:space="preserve">programming/gym/workout/finance/basketball/football/music/book/java/python/shell scripting/english/chinese/japanese</t>
  </si>
  <si>
    <t xml:space="preserve">Shawn Griffin</t>
  </si>
  <si>
    <t xml:space="preserve">Spokane, WA</t>
  </si>
  <si>
    <t xml:space="preserve">News junkie. TV addict. Politically opinionated. Proud homo. Love animals. Spokane native. Pain in the ass. Open minded and UNCENSORED. Follow at your own risk.</t>
  </si>
  <si>
    <t xml:space="preserve">JOHN WILLIAMS</t>
  </si>
  <si>
    <t xml:space="preserve"> West</t>
  </si>
  <si>
    <t xml:space="preserve">Debra L Sharp 🌈🗽</t>
  </si>
  <si>
    <t xml:space="preserve">I'm gay and proud. Married my wife in Province Town. We have been together 30 years. We have two daughters and one grandkid. I'm on the left side of pic.</t>
  </si>
  <si>
    <t xml:space="preserve">Aubriee</t>
  </si>
  <si>
    <t xml:space="preserve">GeneralNews_bot</t>
  </si>
  <si>
    <t xml:space="preserve">https://t.co/25KM9N2VxU (GeneralNews_bot (Version: 1.00) - Coded in NodeJS, powered by https://t.co/Pj87WdVlyQ)</t>
  </si>
  <si>
    <t xml:space="preserve">Hi! I'm a news bot that tweets a news story every 45 minutes. I'm coded in NodeJS and my tweets are powered by https://t.co/rxrh09VCwd.</t>
  </si>
  <si>
    <t xml:space="preserve">Celly_Globalstrategy</t>
  </si>
  <si>
    <t xml:space="preserve">Strategy and International Business Professor</t>
  </si>
  <si>
    <t xml:space="preserve">Election Risk Pays Off for Shinzo Abe of Japan as Party Appears to Win Big - https://t.co/P8VqlZa0cK</t>
  </si>
  <si>
    <t xml:space="preserve">Luis De Luque</t>
  </si>
  <si>
    <t xml:space="preserve">Cartagena, Colombia</t>
  </si>
  <si>
    <t xml:space="preserve">Crítico de la delicada situación política que atraviesa el país. Lo expresado aquí no refleja mi personalidad, solo mis pensamientos mas profundos. 🇨🇴</t>
  </si>
  <si>
    <t xml:space="preserve">Music For Life</t>
  </si>
  <si>
    <t xml:space="preserve">Creating &amp; Incubating Public Diplomacy &amp; Global Social Good Thru Music since 2006. Named after Leonard Bernstein's 1987 #MusicForLife concert at @CarnegieHall.</t>
  </si>
  <si>
    <t xml:space="preserve">Yuko Kato</t>
  </si>
  <si>
    <t xml:space="preserve">usually in Tokyo</t>
  </si>
  <si>
    <r>
      <rPr>
        <sz val="8"/>
        <rFont val="Noto Sans CJK SC Regular"/>
        <family val="2"/>
      </rPr>
      <t xml:space="preserve">加藤祐子 </t>
    </r>
    <r>
      <rPr>
        <sz val="8"/>
        <rFont val="Droid Sans"/>
        <family val="0"/>
        <charset val="1"/>
      </rPr>
      <t xml:space="preserve">BBC News Japanese editor. Have been called 'a lovely weirdo'. Theatre lover, ST, theBeatles, Hamilton, a certain UK actor. </t>
    </r>
    <r>
      <rPr>
        <sz val="8"/>
        <rFont val="Noto Sans CJK SC Regular"/>
        <family val="2"/>
      </rPr>
      <t xml:space="preserve">日舞名取。播磨屋さん贔屓。オタ話は</t>
    </r>
    <r>
      <rPr>
        <sz val="8"/>
        <rFont val="Droid Sans"/>
        <family val="0"/>
        <charset val="1"/>
      </rPr>
      <t xml:space="preserve">@naveltreatment</t>
    </r>
  </si>
  <si>
    <t xml:space="preserve">THE NEW YORK TIMES: Shinzo Abe won a commanding majority for his party, fueling his hopes of revising Japan's paci… https://t.co/wVuPadTJZs</t>
  </si>
  <si>
    <t xml:space="preserve">Planet Watch</t>
  </si>
  <si>
    <t xml:space="preserve">Sharing Important Information from Around the World , Retweeting and Sharing News &amp; Tweets from Various News Sources Worldwide</t>
  </si>
  <si>
    <t xml:space="preserve">Алэсандро И. К. 🇦🇷</t>
  </si>
  <si>
    <t xml:space="preserve">Chaco, Argentina</t>
  </si>
  <si>
    <t xml:space="preserve">Escritor/Futuro Agrónomo/Futuro Productor de Cine</t>
  </si>
  <si>
    <t xml:space="preserve">William Millman</t>
  </si>
  <si>
    <t xml:space="preserve">Abe's focus on North Korea after Japan election win: Japanese Prime Minister Shinzo Abe… https://t.co/4vH1mlznQ9</t>
  </si>
  <si>
    <t xml:space="preserve">Daniel Coulomb</t>
  </si>
  <si>
    <t xml:space="preserve">‘There is this bad threat that’s out there, and you have to trust me because I know how to handle things,’ ... https://t.co/KPDRpMKuQt</t>
  </si>
  <si>
    <t xml:space="preserve">| Director de Evaluación y Control @Imjuvemx | Apasionado de la cultura y la política | Fotógrafo | Eterno caminante|</t>
  </si>
  <si>
    <t xml:space="preserve">KavyaSree</t>
  </si>
  <si>
    <t xml:space="preserve">शिखर ஷிகர் শিখর ಶಿಖರ</t>
  </si>
  <si>
    <t xml:space="preserve">india </t>
  </si>
  <si>
    <t xml:space="preserve">“Until the lions have their own historians, the history of the hunt will always glorify the hunter…” that's why we need a Hindu narrative.</t>
  </si>
  <si>
    <t xml:space="preserve">#Intolerant Rohit</t>
  </si>
  <si>
    <t xml:space="preserve">invertd. . अंध-राष्ट्रभक्त हूँ। सनातनधर्मी हूँ। देश और धर्म से कोई समझौता नहीं ।पूज्य आपिये और कांग्रेसी दूरी बनाये रखें।</t>
  </si>
  <si>
    <t xml:space="preserve">BlackMercy</t>
  </si>
  <si>
    <t xml:space="preserve">Stuttgart, Germany</t>
  </si>
  <si>
    <t xml:space="preserve">AFS Exchange Student, Deutschland #49NH 2010-2011 • SIIT #21 - Computer Science - Thammasat University • Instagram: @BlackMiracle</t>
  </si>
  <si>
    <t xml:space="preserve">Stavros Lazarou</t>
  </si>
  <si>
    <t xml:space="preserve">Shinzo Abe gains big victory in Japan election https://t.co/g3a8DugD9G via @FT</t>
  </si>
  <si>
    <t xml:space="preserve">climate change and human rights advocate</t>
  </si>
  <si>
    <t xml:space="preserve">yukinon</t>
  </si>
  <si>
    <t xml:space="preserve">Munich, Bavaria</t>
  </si>
  <si>
    <r>
      <rPr>
        <sz val="8"/>
        <rFont val="Droid Sans"/>
        <family val="0"/>
        <charset val="1"/>
      </rPr>
      <t xml:space="preserve">From🇯🇵 live in🇩🇪 Mom of 👧🏻👶🏻🐈 /lazy wife/</t>
    </r>
    <r>
      <rPr>
        <sz val="8"/>
        <rFont val="Noto Sans CJK SC Regular"/>
        <family val="2"/>
      </rPr>
      <t xml:space="preserve">主に連絡が取り難い友達用</t>
    </r>
    <r>
      <rPr>
        <sz val="8"/>
        <rFont val="Droid Sans"/>
        <family val="0"/>
        <charset val="1"/>
      </rPr>
      <t xml:space="preserve">/</t>
    </r>
    <r>
      <rPr>
        <sz val="8"/>
        <rFont val="Noto Sans CJK SC Regular"/>
        <family val="2"/>
      </rPr>
      <t xml:space="preserve">京都坊主オフ会にお心当たりある方ぜひご一報を（仏教系集会に非ず</t>
    </r>
  </si>
  <si>
    <t xml:space="preserve">TS Mohan</t>
  </si>
  <si>
    <t xml:space="preserve">Retweets may not be endorsements</t>
  </si>
  <si>
    <t xml:space="preserve">Raji Pillai</t>
  </si>
  <si>
    <t xml:space="preserve">Senior Fellow and Head, Nuclear &amp; Space Policy Initiative, ORF, New Delhi.. interests: Asian security &amp; geopolitics, nuclear &amp; space policy, arms control issues</t>
  </si>
  <si>
    <t xml:space="preserve">Yusuf Ledesma</t>
  </si>
  <si>
    <t xml:space="preserve">Manila</t>
  </si>
  <si>
    <t xml:space="preserve">Father, husband, brother, Muslim, economist, activist, writer</t>
  </si>
  <si>
    <t xml:space="preserve">Gilles Klein</t>
  </si>
  <si>
    <t xml:space="preserve">🇺🇸 Shinzo Abe won commanding majority, fueling his hopes of revising Japan's pacifist Constitution (NY Times) https://t.co/fpOMDOoDco</t>
  </si>
  <si>
    <t xml:space="preserve">Paris Boston</t>
  </si>
  <si>
    <t xml:space="preserve">Print &amp; online journalist Atlantico ex-Arret sur Images ex-ELLE ex-Sipa ex-Libération Ma photo Portland lighthouse (Maine)</t>
  </si>
  <si>
    <t xml:space="preserve">PriyaSingh</t>
  </si>
  <si>
    <t xml:space="preserve">Rajesh</t>
  </si>
  <si>
    <t xml:space="preserve">"Shinzo Abe won a commanding majority for his party, fueling his hopes of revising Japan's pacifist Constitution https://t.co/fXgL55kQ8p"</t>
  </si>
  <si>
    <t xml:space="preserve">nytimes: Shinzo Abe won a commanding majority for his party, fueling his hopes of revising Japan's pacifist Consti… https://t.co/oakBvHu2ED</t>
  </si>
  <si>
    <t xml:space="preserve">Yuang Tang</t>
  </si>
  <si>
    <t xml:space="preserve">Harichandrababu</t>
  </si>
  <si>
    <t xml:space="preserve">Nationalist | sanatani | Problem Solver | Teacher | Linguist | Product Designer | Researcher l BJP primary member</t>
  </si>
  <si>
    <t xml:space="preserve">Edward</t>
  </si>
  <si>
    <t xml:space="preserve">I'm ALIVE!!!!!!</t>
  </si>
  <si>
    <t xml:space="preserve">Chip</t>
  </si>
  <si>
    <r>
      <rPr>
        <sz val="8"/>
        <rFont val="Droid Sans"/>
        <family val="0"/>
        <charset val="1"/>
      </rPr>
      <t xml:space="preserve">StarWars</t>
    </r>
    <r>
      <rPr>
        <sz val="8"/>
        <rFont val="Noto Sans CJK SC Regular"/>
        <family val="2"/>
      </rPr>
      <t xml:space="preserve">をこじらせた</t>
    </r>
    <r>
      <rPr>
        <sz val="8"/>
        <rFont val="Droid Sans"/>
        <family val="0"/>
        <charset val="1"/>
      </rPr>
      <t xml:space="preserve">Hamster</t>
    </r>
    <r>
      <rPr>
        <sz val="8"/>
        <rFont val="Noto Sans CJK SC Regular"/>
        <family val="2"/>
      </rPr>
      <t xml:space="preserve">。とても成人済。</t>
    </r>
    <r>
      <rPr>
        <sz val="8"/>
        <rFont val="Droid Sans"/>
        <family val="0"/>
        <charset val="1"/>
      </rPr>
      <t xml:space="preserve">Likes: MattBomer, ColinFarrell, HarrisonFord, MartinFreeman, ChrisHemsworth, ChrisPratt, MarkRuffalo, ChanningTatum</t>
    </r>
  </si>
  <si>
    <t xml:space="preserve">PM #NarendraModi congratulates dear friend #ShinzoAbe on #Japanelection win https://t.co/vyA4oFfm3c https://t.co/iXwDC2p0N3</t>
  </si>
  <si>
    <t xml:space="preserve">Christiana</t>
  </si>
  <si>
    <t xml:space="preserve">Than Tun Aung</t>
  </si>
  <si>
    <t xml:space="preserve">Japan Election Vindicates Shinzo Abe as His Party Wins Big - New York Times https://t.co/xfk8cRhtFk #news #world</t>
  </si>
  <si>
    <t xml:space="preserve">पंकज चौधरी 🇮🇳</t>
  </si>
  <si>
    <t xml:space="preserve">Modinagar, India</t>
  </si>
  <si>
    <t xml:space="preserve">Yoga is about how to make your very body into a temple.</t>
  </si>
  <si>
    <t xml:space="preserve">Jayrôme C. Robinet</t>
  </si>
  <si>
    <t xml:space="preserve">Writer and poet. Spoken word artist and educator. Foto (c) Barbara Dietl</t>
  </si>
  <si>
    <t xml:space="preserve">Rhonda Lewis</t>
  </si>
  <si>
    <t xml:space="preserve">Imperial Beach, CA</t>
  </si>
  <si>
    <t xml:space="preserve">Closet poet, friendly advice giver, lover of democracy. Music is my peace. My son is my life. #notmypresident #resist #DinkyDigits #DumptRump</t>
  </si>
  <si>
    <t xml:space="preserve">P. Kalikar🇮🇳ॐ</t>
  </si>
  <si>
    <t xml:space="preserve">हिन्दुस्थान</t>
  </si>
  <si>
    <t xml:space="preserve">CISCO Networking Professional. RTs are not endorsement. PM Modijee's RTs, Does Not Need Any Endorsement ! Jai Modijee ! भारतमाता की जय !</t>
  </si>
  <si>
    <t xml:space="preserve">John Hernandez</t>
  </si>
  <si>
    <t xml:space="preserve">B.S. Psychology, amateur litterateur, IT aficionado. Interested in history, philosophy and politics.</t>
  </si>
  <si>
    <t xml:space="preserve">Valdības māja</t>
  </si>
  <si>
    <t xml:space="preserve">Brīvības bulvāris 36, Rīga</t>
  </si>
  <si>
    <t xml:space="preserve">Ministru kabinets / Government of Latvia</t>
  </si>
  <si>
    <t xml:space="preserve">Japan Election Vindicates Shinzo Abe as His Party Wins Big - New York Times https://t.co/vCOqW9mIpl</t>
  </si>
  <si>
    <t xml:space="preserve">francesca</t>
  </si>
  <si>
    <t xml:space="preserve">Rita Edward</t>
  </si>
  <si>
    <t xml:space="preserve">jesie srbukovic</t>
  </si>
  <si>
    <t xml:space="preserve">Japan PM Shinzo Abe pledges pressure on North Korea after big election win: Japanese Prime… https://t.co/LItLU1EeyJ</t>
  </si>
  <si>
    <t xml:space="preserve">Japan Election Vindicates Shinzo Abe as His Party Wins Big - New York Times https://t.co/Zuvaxzxky6</t>
  </si>
  <si>
    <t xml:space="preserve">Leah 🐊🌹</t>
  </si>
  <si>
    <t xml:space="preserve">Carn Monaidh</t>
  </si>
  <si>
    <t xml:space="preserve">That chatty politico/researcher at your service. Current affairs, policy+law with gratuitous commentary. VC @sdlpyouth Sec @SDLPwomen Ambassador @5050Parliament</t>
  </si>
  <si>
    <t xml:space="preserve">Debabrato</t>
  </si>
  <si>
    <t xml:space="preserve">Shinzo Abe To Push Reform Of Japan's Constitution After Election Win https://t.co/Ak5IKTct53 https://t.co/vlxdXAxeTU</t>
  </si>
  <si>
    <t xml:space="preserve">Kolkata</t>
  </si>
  <si>
    <t xml:space="preserve">Always believe in what you know about me and not in what you heard about me.</t>
  </si>
  <si>
    <t xml:space="preserve">chinmoy deka</t>
  </si>
  <si>
    <t xml:space="preserve">Japan election exit poll results are in https://t.co/8HddV7NtfZ</t>
  </si>
  <si>
    <t xml:space="preserve">shillong,  nalbari , India </t>
  </si>
  <si>
    <t xml:space="preserve">I am from Nalbari, Assam , shillong. Member of Congress party, India. Rahul Gandhi is my idol.I am a secular person. long live congress party.</t>
  </si>
  <si>
    <t xml:space="preserve">Brian Annino</t>
  </si>
  <si>
    <t xml:space="preserve">Dad. Attorney. Research Associate at #GeorgiaTech. Former US Senate staffer. Outdoor enthusiast. Writer. Views are my own.</t>
  </si>
  <si>
    <t xml:space="preserve">Vishal Shah ®</t>
  </si>
  <si>
    <t xml:space="preserve">Japan's Shinzo Abe to push pacifist constitution reform after strong election win https://t.co/ywAcF594PK</t>
  </si>
  <si>
    <t xml:space="preserve">Digital Marketing Specialist, Search Engine Optimizer, Social Media Strategist, Fan page Specialist, Web Developer, Music Lover</t>
  </si>
  <si>
    <t xml:space="preserve">Japan election 2017: Shinzo Abe secures majority, says will ‘work humbly’; Nikkei hits 21-year high https://t.co/1lRQ9pwLkI</t>
  </si>
  <si>
    <t xml:space="preserve">badribalaji</t>
  </si>
  <si>
    <t xml:space="preserve">erode</t>
  </si>
  <si>
    <t xml:space="preserve">Astrid</t>
  </si>
  <si>
    <t xml:space="preserve">อ้อนเองจ้า</t>
  </si>
  <si>
    <t xml:space="preserve"> Bkk Thailand </t>
  </si>
  <si>
    <t xml:space="preserve">A secret makes a woman woman ตกเป็นทาสรักพี่นัทที่แท้ทรู 😍🐢 P Natty 😚❤💚 🙆🎤</t>
  </si>
  <si>
    <t xml:space="preserve">AM</t>
  </si>
  <si>
    <t xml:space="preserve">RTs are endorsements and Likes are not!!!</t>
  </si>
  <si>
    <t xml:space="preserve">Vaibhav</t>
  </si>
  <si>
    <t xml:space="preserve">New Delhi, India.</t>
  </si>
  <si>
    <t xml:space="preserve">Tracking geopolitics. Interested in economics, civ/mil nuclear developments and strategic affairs. Eager to learn about things unknown.</t>
  </si>
  <si>
    <t xml:space="preserve">Andres Bonomie</t>
  </si>
  <si>
    <t xml:space="preserve">Trotamundos.....</t>
  </si>
  <si>
    <t xml:space="preserve">#IAmNewIndia</t>
  </si>
  <si>
    <t xml:space="preserve">#NationFirst #ProudHindu.Tolerance &amp; Apathy are the last virtues of a dying nation. Devotee of Bhagavad Gita &amp; RSS. Fan of NaMo. RTs are not endorsement.</t>
  </si>
  <si>
    <t xml:space="preserve">US Press World</t>
  </si>
  <si>
    <t xml:space="preserve">Japan Election Vindicates Shinzo Abe as His Party Wins Big - #NewYork Times https://t.co/FQGJc3KQ1C https://t.co/fPzrhhQyEr</t>
  </si>
  <si>
    <t xml:space="preserve">Tween</t>
  </si>
  <si>
    <t xml:space="preserve">Etats-Unis</t>
  </si>
  <si>
    <t xml:space="preserve">All the US local and national news, #realtime for you. Don't miss anything, follow us!</t>
  </si>
  <si>
    <t xml:space="preserve">Wayne Saunders</t>
  </si>
  <si>
    <t xml:space="preserve">Lover of good coffee and tea, Politics, Royalist. Die for three things, your Mother, your Queen and Liverpool FC. Bristolian. Rugby and Test Cricket.</t>
  </si>
  <si>
    <t xml:space="preserve">Luis</t>
  </si>
  <si>
    <t xml:space="preserve">US</t>
  </si>
  <si>
    <t xml:space="preserve">SYDNEY (Reuters) - Japanese shares jumped on a weaker yen on Monday as an election win for Shinzo Abe's ruling blo… https://t.co/tX0eFOd5h9</t>
  </si>
  <si>
    <t xml:space="preserve">Mohit Verma</t>
  </si>
  <si>
    <t xml:space="preserve">Waterloo, Ontario</t>
  </si>
  <si>
    <t xml:space="preserve">BSIA: Masters of International Public Policy, Class of 2018. Interested in Asian affairs, specifically in Japan and the Koreas. 24/7 fan of the #BlueJays.⚾️</t>
  </si>
  <si>
    <t xml:space="preserve">日本スゲー党</t>
  </si>
  <si>
    <r>
      <rPr>
        <sz val="8"/>
        <rFont val="Noto Sans CJK SC Regular"/>
        <family val="2"/>
      </rPr>
      <t xml:space="preserve">凄い情報・価値ある情報・面白い情報・美しい情報！ 何事にも理解と関心！ 閲覧注意及び あくまでネタが有ります。</t>
    </r>
    <r>
      <rPr>
        <sz val="8"/>
        <rFont val="Droid Sans"/>
        <family val="0"/>
        <charset val="1"/>
      </rPr>
      <t xml:space="preserve">https://t.co/8j4jTwgW0O</t>
    </r>
  </si>
  <si>
    <t xml:space="preserve">Japan PM Shinzo Abe pledges pressure on North Korea after big election win https://t.co/NjWCyqVXCX https://t.co/AmtMWCHssT</t>
  </si>
  <si>
    <t xml:space="preserve">Prateek Agarwal 🇮🇳</t>
  </si>
  <si>
    <t xml:space="preserve">Ms Shits &amp; Giggles🙀</t>
  </si>
  <si>
    <t xml:space="preserve">RT @dwnews: Japan PM Shinzo Abe pledges pressure on North Korea after big election win https://t.co/NjWCyqVXCX https://t.co/AmtMWCHssT</t>
  </si>
  <si>
    <t xml:space="preserve">You're only given a little spark of madness. You mustn't lose it.-Robin Williams. "She wore a Raspberry beret. The kind you find in a second hand store" Prince</t>
  </si>
  <si>
    <t xml:space="preserve">Kathleen Gallo</t>
  </si>
  <si>
    <t xml:space="preserve">Long Island City, Queens, NYC</t>
  </si>
  <si>
    <t xml:space="preserve">Top News (PH)</t>
  </si>
  <si>
    <t xml:space="preserve">Japan Election Vindicates Shinzo Abe as His Party Wins Big - New York Times https://t.co/ljch3obJXZ</t>
  </si>
  <si>
    <t xml:space="preserve">from the Philippine Islands</t>
  </si>
  <si>
    <t xml:space="preserve">Top news about the Philippines and the world.</t>
  </si>
  <si>
    <t xml:space="preserve">Paolo TrombinTG5</t>
  </si>
  <si>
    <t xml:space="preserve">Roma Italia </t>
  </si>
  <si>
    <t xml:space="preserve">Giornalista Mediaset. Esprime opinioni personali. Re tweet does not mean I agree</t>
  </si>
  <si>
    <t xml:space="preserve">BharatAnsh</t>
  </si>
  <si>
    <t xml:space="preserve">भारतीय</t>
  </si>
  <si>
    <t xml:space="preserve">Japan PM Shinzo Abe pledges pressure on North Korea after big election win https://t.co/NS8e83CFC5 https://t.co/DGSZhBMGQY</t>
  </si>
  <si>
    <t xml:space="preserve">Shinzo Abe won a commanding majority for his party, fueling his hopes of revising Japan's pacifist Constitution https://t.co/3t2gg74NxK</t>
  </si>
  <si>
    <t xml:space="preserve">Kirk D'Amico</t>
  </si>
  <si>
    <t xml:space="preserve">President/CEO Myriad Pictures, financing, producing &amp; distributing feature films, television &amp; media. Producer/Director. Proud Democrat. Love my family.</t>
  </si>
  <si>
    <t xml:space="preserve">SEO Service Corp</t>
  </si>
  <si>
    <t xml:space="preserve">Japan Election Vindicates Shinzo Abe as His Party Wins Big - New York Times https://t.co/RgG0JWEyNG #world</t>
  </si>
  <si>
    <t xml:space="preserve">Advantage - Digital Marketing</t>
  </si>
  <si>
    <t xml:space="preserve">سلطَان ✨</t>
  </si>
  <si>
    <t xml:space="preserve">نجد</t>
  </si>
  <si>
    <t xml:space="preserve">wannabe flâneur</t>
  </si>
  <si>
    <t xml:space="preserve">Antigua Guatemala</t>
  </si>
  <si>
    <t xml:space="preserve">Lost. Confused. Hypochondriac. Wanderlust. Fiji 🇫🇯 water enthusiast #UTSA18? https://t.co/tx8tWKLCEF</t>
  </si>
  <si>
    <t xml:space="preserve">nyshka chandran</t>
  </si>
  <si>
    <t xml:space="preserve">Japan's curious election: PM Abe wins landslide victory despite remaining quite unpopular https://t.co/gPhE6uRvPX</t>
  </si>
  <si>
    <t xml:space="preserve">singapore </t>
  </si>
  <si>
    <t xml:space="preserve">asia politics for @CNBCi / in this journey, you're the journal, i'm the journalist, am i eternal, or an eternalist?</t>
  </si>
  <si>
    <t xml:space="preserve">Narendra Modi congratulates Shinzo Abe on re-election in Japan https://t.co/toK9sEXLnk</t>
  </si>
  <si>
    <r>
      <rPr>
        <sz val="8"/>
        <rFont val="Noto Sans CJK SC Regular"/>
        <family val="2"/>
      </rPr>
      <t xml:space="preserve">ニュース</t>
    </r>
    <r>
      <rPr>
        <sz val="8"/>
        <rFont val="Droid Sans"/>
        <family val="0"/>
        <charset val="1"/>
      </rPr>
      <t xml:space="preserve">DE</t>
    </r>
    <r>
      <rPr>
        <sz val="8"/>
        <rFont val="Noto Sans CJK SC Regular"/>
        <family val="2"/>
      </rPr>
      <t xml:space="preserve">英単語</t>
    </r>
  </si>
  <si>
    <t xml:space="preserve">https://t.co/3iQ2CapjRp (LV.9) Japan Election Vindicates Shinzo Abe as His Party Wins Big - The New York Times https://t.co/BP9ofIYqdA</t>
  </si>
  <si>
    <t xml:space="preserve">ez-tango</t>
  </si>
  <si>
    <r>
      <rPr>
        <sz val="8"/>
        <rFont val="Noto Sans CJK SC Regular"/>
        <family val="2"/>
      </rPr>
      <t xml:space="preserve">英単語リスト自動作成</t>
    </r>
    <r>
      <rPr>
        <sz val="8"/>
        <rFont val="Droid Sans"/>
        <family val="0"/>
        <charset val="1"/>
      </rPr>
      <t xml:space="preserve">bot</t>
    </r>
    <r>
      <rPr>
        <sz val="8"/>
        <rFont val="Noto Sans CJK SC Regular"/>
        <family val="2"/>
      </rPr>
      <t xml:space="preserve">です。</t>
    </r>
    <r>
      <rPr>
        <sz val="8"/>
        <rFont val="Droid Sans"/>
        <family val="0"/>
        <charset val="1"/>
      </rPr>
      <t xml:space="preserve">@eztango</t>
    </r>
    <r>
      <rPr>
        <sz val="8"/>
        <rFont val="Noto Sans CJK SC Regular"/>
        <family val="2"/>
      </rPr>
      <t xml:space="preserve">宛に英文記事の</t>
    </r>
    <r>
      <rPr>
        <sz val="8"/>
        <rFont val="Droid Sans"/>
        <family val="0"/>
        <charset val="1"/>
      </rPr>
      <t xml:space="preserve">url</t>
    </r>
    <r>
      <rPr>
        <sz val="8"/>
        <rFont val="Noto Sans CJK SC Regular"/>
        <family val="2"/>
      </rPr>
      <t xml:space="preserve">を送付すると、英単語リストの</t>
    </r>
    <r>
      <rPr>
        <sz val="8"/>
        <rFont val="Droid Sans"/>
        <family val="0"/>
        <charset val="1"/>
      </rPr>
      <t xml:space="preserve">url</t>
    </r>
    <r>
      <rPr>
        <sz val="8"/>
        <rFont val="Noto Sans CJK SC Regular"/>
        <family val="2"/>
      </rPr>
      <t xml:space="preserve">が返ってきます。</t>
    </r>
  </si>
  <si>
    <t xml:space="preserve">El Magnifico</t>
  </si>
  <si>
    <t xml:space="preserve">Vilayat</t>
  </si>
  <si>
    <t xml:space="preserve">Politics - Right of centre, Pro-Modi Work- There are not many problems in Orthopaedics that can't be solved by a bigger hammer</t>
  </si>
  <si>
    <t xml:space="preserve">Mario Ricciardi</t>
  </si>
  <si>
    <t xml:space="preserve">Brideshead</t>
  </si>
  <si>
    <t xml:space="preserve">Professor of Philosophy of Law, @LaStatale. I teach Legal Theory @UniLUISS. @rivistailmulino @24Domenica. RT not endorsement, just worth mentioning.</t>
  </si>
  <si>
    <r>
      <rPr>
        <sz val="8"/>
        <rFont val="Droid Sans"/>
        <family val="0"/>
        <charset val="1"/>
      </rPr>
      <t xml:space="preserve">Alan Mac Ailbhe </t>
    </r>
    <r>
      <rPr>
        <sz val="8"/>
        <rFont val="Noto Sans CJK SC Regular"/>
        <family val="2"/>
      </rPr>
      <t xml:space="preserve">擊殺納粹</t>
    </r>
  </si>
  <si>
    <r>
      <rPr>
        <sz val="8"/>
        <rFont val="Noto Sans CJK SC Regular"/>
        <family val="2"/>
      </rPr>
      <t xml:space="preserve">人類總要重複同樣的錯誤 </t>
    </r>
    <r>
      <rPr>
        <sz val="8"/>
        <rFont val="Droid Sans"/>
        <family val="0"/>
        <charset val="1"/>
      </rPr>
      <t xml:space="preserve">(Humans would always repeat the same mistake) — </t>
    </r>
    <r>
      <rPr>
        <sz val="8"/>
        <rFont val="Noto Sans CJK SC Regular"/>
        <family val="2"/>
      </rPr>
      <t xml:space="preserve">機動戰士</t>
    </r>
    <r>
      <rPr>
        <sz val="8"/>
        <rFont val="Droid Sans"/>
        <family val="0"/>
        <charset val="1"/>
      </rPr>
      <t xml:space="preserve">Gundam </t>
    </r>
    <r>
      <rPr>
        <sz val="8"/>
        <rFont val="Noto Sans CJK SC Regular"/>
        <family val="2"/>
      </rPr>
      <t xml:space="preserve">脫歐者死 親侵者死</t>
    </r>
  </si>
  <si>
    <t xml:space="preserve">varunkelkar</t>
  </si>
  <si>
    <t xml:space="preserve">Pursuing Chartered Accountancy. Hindu Nationalist. History, Politics, Economics, Finance, Sociology.</t>
  </si>
  <si>
    <t xml:space="preserve">TheJournal.ie</t>
  </si>
  <si>
    <t xml:space="preserve">Japan's Abe storms to a landslide "super-majority" in snap elections https://t.co/kq2eJzqmEs</t>
  </si>
  <si>
    <t xml:space="preserve">Sprout Social</t>
  </si>
  <si>
    <t xml:space="preserve">Breaking news and analysis from Ireland's number one online news source</t>
  </si>
  <si>
    <t xml:space="preserve">José Valerio</t>
  </si>
  <si>
    <t xml:space="preserve">#Nashville #Financial Shinzo Abe gains big victory in Japan election https://t.co/b5ErEkVSgn</t>
  </si>
  <si>
    <t xml:space="preserve">Financial Professional, work at #PennMutual in #Nashville TN.</t>
  </si>
  <si>
    <t xml:space="preserve">Srinivas🇮🇳</t>
  </si>
  <si>
    <t xml:space="preserve">This is one election in which India had a huge stake. Abe is a cultural and... https://t.co/LPa2RrOYp2 by #hstapanghosh via @c0nvey</t>
  </si>
  <si>
    <t xml:space="preserve">Convey: Make it post for you</t>
  </si>
  <si>
    <t xml:space="preserve">ॐ पूर्णमदः पूर्णमिदम् पूर्णात् पूर्णमुदच्यते। पूर्णस्य पूर्णमादाय पूर्णमेवावशिष्यते ॥ ॐ शान्तिः शान्तिः शान्तिः ॥</t>
  </si>
  <si>
    <t xml:space="preserve">Quartz India</t>
  </si>
  <si>
    <t xml:space="preserve">Shinzo Abe just moved closer to becoming Japan’s longest-serving leader https://t.co/KBq2pzdyUv https://t.co/2q530Gz50K</t>
  </si>
  <si>
    <t xml:space="preserve">Quartz India is a business news outlet covering India and its place in the world.</t>
  </si>
  <si>
    <t xml:space="preserve">Linda Yueh</t>
  </si>
  <si>
    <t xml:space="preserve">Japan PM Shinzo Abe’s gamble on calling an early election has paid off as he secured a 2/3rds parliamentary “super majority” @ft #Abenomics</t>
  </si>
  <si>
    <t xml:space="preserve">instagram.com/lindayueh</t>
  </si>
  <si>
    <t xml:space="preserve">@UniofOxford @StEdmundHall Econ Fellow, @LBS Adj Prof, @LSEIDEAS Visiting Sr Fellow; New book: The Great Economists: How their ideas can help today @VikingBooks</t>
  </si>
  <si>
    <t xml:space="preserve">The Great Dictator</t>
  </si>
  <si>
    <t xml:space="preserve">Bharath </t>
  </si>
  <si>
    <t xml:space="preserve">Real Rock n Rolla...... Real Nationalist... Congis, Converts and Communists will be Prosecuted. Support free Tibet and free Balochistan #MandirWahiBanayenge</t>
  </si>
  <si>
    <t xml:space="preserve">giovanni fratti</t>
  </si>
  <si>
    <t xml:space="preserve">the world</t>
  </si>
  <si>
    <t xml:space="preserve">giovanni fratti abogado y notario UFM periodista independiente, catedratico, grupo en fb:TODOS VAMOS POR EL NO A LAS REFORMAS CONSTITUCIONALES livefree</t>
  </si>
  <si>
    <t xml:space="preserve">Johnnie harrison</t>
  </si>
  <si>
    <t xml:space="preserve">Covington, KY</t>
  </si>
  <si>
    <t xml:space="preserve">Books Celebrity News Entertainment DIY &amp; Home Entertainment the Resistsnce</t>
  </si>
  <si>
    <t xml:space="preserve">Info Eire</t>
  </si>
  <si>
    <t xml:space="preserve">Japan's Abe storms to 'super-majority' in election, promises to 'deal firmly' with North Korea - https://t.co/5aBh66DaKN</t>
  </si>
  <si>
    <t xml:space="preserve">Keep up to date with Irish News</t>
  </si>
  <si>
    <t xml:space="preserve">☮Kathe Messina☮</t>
  </si>
  <si>
    <t xml:space="preserve">RT @cdeka678: Japan election exit poll results are in https://t.co/8HddV7NtfZ</t>
  </si>
  <si>
    <t xml:space="preserve">☮Debut author: She'll Awaken #memoir ☮ESLTeacher ☮BBA ☮Inductee #DeltaMuDelta #GoldenKey #amwriting 😍HAPPILY MARRIED😍so be careful in DMs, please #NoPerving</t>
  </si>
  <si>
    <t xml:space="preserve">Japan Election Vindicates Shinzo Abe as His Party Wins Big - New York Times https://t.co/jGXzTk9xHW</t>
  </si>
  <si>
    <t xml:space="preserve">Surya Pratap</t>
  </si>
  <si>
    <t xml:space="preserve">Bhubaneshwar, India</t>
  </si>
  <si>
    <t xml:space="preserve">Gina Sanchez</t>
  </si>
  <si>
    <t xml:space="preserve">RT @lindayueh: Japan PM Shinzo Abe’s gamble on calling an early election has paid off as he secured a 2/3rds parliamentary “super majority”…</t>
  </si>
  <si>
    <t xml:space="preserve">CEO of Chantico Global and Contributor on CNBC.</t>
  </si>
  <si>
    <t xml:space="preserve">Spiritof76</t>
  </si>
  <si>
    <t xml:space="preserve">#ShinzoAbe has parliamentary numbers to start a process that would bolster the role of military in #Japan https://t.co/ekGjmOvUft</t>
  </si>
  <si>
    <t xml:space="preserve">Ranjana</t>
  </si>
  <si>
    <t xml:space="preserve">,Senior citizen,House Wife</t>
  </si>
  <si>
    <t xml:space="preserve">Japan's Shinzo Abe to push pacifist constitution reform after strong election win.. https://t.co/cr85n2EYRx</t>
  </si>
  <si>
    <t xml:space="preserve">Abe sweeps to resounding victory in Japan vote.. https://t.co/jRtx2gLFRP</t>
  </si>
  <si>
    <t xml:space="preserve">Manoj Prajapati 🇮🇳</t>
  </si>
  <si>
    <t xml:space="preserve">Ahmedabad, Gujarat, India</t>
  </si>
  <si>
    <t xml:space="preserve">What I admire about me!</t>
  </si>
  <si>
    <t xml:space="preserve">ᏦᎨᏴᎨ</t>
  </si>
  <si>
    <t xml:space="preserve">埼玉</t>
  </si>
  <si>
    <t xml:space="preserve">愛も勇気も金も仲間も知識も優しさも度胸も学歴もコミュ力も人望もない</t>
  </si>
  <si>
    <t xml:space="preserve">Jens Woelk</t>
  </si>
  <si>
    <t xml:space="preserve">Japan Election Vindicates Shinzo Abe as His Party Wins Big - https://t.co/Vmrqh1KHFP https://t.co/p2iNmPan96</t>
  </si>
  <si>
    <t xml:space="preserve">Trento, Italy</t>
  </si>
  <si>
    <t xml:space="preserve">Life, Liberty and the Pursuit of Happiness</t>
  </si>
  <si>
    <t xml:space="preserve">Japan PM Shinzo Abe pledges pressure on North Korea after big election win https://t.co/DpLYGjyC5V</t>
  </si>
  <si>
    <t xml:space="preserve">mark michael dominic</t>
  </si>
  <si>
    <t xml:space="preserve">#israel a castaway soul into Unknown a traveller</t>
  </si>
  <si>
    <t xml:space="preserve">Vipul Dev Mishra</t>
  </si>
  <si>
    <t xml:space="preserve">Japan election 2017: PM Shinzo Abe sweeps to resounding victory in vote https://t.co/Tpg0sRW9TA via @FinancialXpress</t>
  </si>
  <si>
    <t xml:space="preserve">Begusarai, India</t>
  </si>
  <si>
    <t xml:space="preserve">Realistic Vipul !!</t>
  </si>
  <si>
    <t xml:space="preserve">Anton Padmasiri</t>
  </si>
  <si>
    <t xml:space="preserve">Surrey, Colombo</t>
  </si>
  <si>
    <t xml:space="preserve">Awesome dad, Improving husband, Product Manager, Runner and Josh Lyman wannabe. Politics, Innovation, FinTech.</t>
  </si>
  <si>
    <t xml:space="preserve">Matthew LaBarre</t>
  </si>
  <si>
    <t xml:space="preserve">Johnson City, NY</t>
  </si>
  <si>
    <t xml:space="preserve">Alyssa Klink</t>
  </si>
  <si>
    <t xml:space="preserve">Maryland native. Arizona State Cronkite School of Journalism &amp; Mass Communications student. Travel &amp; music fanatic. International politics enthusiast.</t>
  </si>
  <si>
    <t xml:space="preserve">Naveen Patel</t>
  </si>
  <si>
    <t xml:space="preserve">IT Professional | Origin - Patna | A Proud NaMo Bhakt |</t>
  </si>
  <si>
    <t xml:space="preserve">Kidar Nath Babbar</t>
  </si>
  <si>
    <t xml:space="preserve">RT @firstpost: #ShinzoAbe has parliamentary numbers to start a process that would bolster the role of military in #Japan https://t.co/ekGjm…</t>
  </si>
  <si>
    <t xml:space="preserve">self made businessmen pioneer in refrigeration trade supplying turnkey projects for hotel, coffee shops</t>
  </si>
  <si>
    <t xml:space="preserve">Amazon Lucky Bird</t>
  </si>
  <si>
    <t xml:space="preserve">Japan Election Vindicates Shinzo Abe as His Party Wins Big https://t.co/nqUEGA217O</t>
  </si>
  <si>
    <t xml:space="preserve">Dallas, TX</t>
  </si>
  <si>
    <r>
      <rPr>
        <sz val="8"/>
        <rFont val="Droid Sans"/>
        <family val="0"/>
        <charset val="1"/>
      </rPr>
      <t xml:space="preserve">Taro </t>
    </r>
    <r>
      <rPr>
        <sz val="8"/>
        <rFont val="Noto Sans CJK SC Regular"/>
        <family val="2"/>
      </rPr>
      <t xml:space="preserve">たつのこ太郎</t>
    </r>
  </si>
  <si>
    <t xml:space="preserve">Somewhere in East Asia</t>
  </si>
  <si>
    <t xml:space="preserve">Aged Optical Engineer. Street Photographer. Gov. Certified Interpreter Guide. Globe Watcher. Love Arthur Ransome's S&amp;A series, Kyoto, Izu &amp; Hawaii.</t>
  </si>
  <si>
    <t xml:space="preserve">Tt.</t>
  </si>
  <si>
    <t xml:space="preserve">🐥🗽😻🐒🍑🎹🐷👑</t>
  </si>
  <si>
    <t xml:space="preserve">SaintOrSinner</t>
  </si>
  <si>
    <t xml:space="preserve">Open minded with an opinion about everything</t>
  </si>
  <si>
    <t xml:space="preserve">Sminok</t>
  </si>
  <si>
    <t xml:space="preserve">Japan Election Vindicates Shinzo Abe as His Party Wins Big - New York Times https://t.co/ZjycrJzljo</t>
  </si>
  <si>
    <t xml:space="preserve">Ashim Rabha 🇮🇳</t>
  </si>
  <si>
    <t xml:space="preserve">Shillong, Meghalaya, India</t>
  </si>
  <si>
    <t xml:space="preserve">Young Energic Socialist and Love Help Needy People.</t>
  </si>
  <si>
    <t xml:space="preserve">Shinzo Abe won a commanding majority for his party, fueling his hopes of revising Japan's pacifist Constitution https://t.co/2KMY4L7mKp</t>
  </si>
  <si>
    <t xml:space="preserve">Shinzo Abe won a commanding majority for his party, fueling his hopes of revising Japan's pacifist Constitution https://t.co/Jbkv4VgeOE</t>
  </si>
  <si>
    <t xml:space="preserve">เก๋ไก๋ไก๋ไก๋ไก๋</t>
  </si>
  <si>
    <t xml:space="preserve">ขอบหน้าต่างโรงยิมสาม</t>
  </si>
  <si>
    <t xml:space="preserve">Master crisis is now calling... คูมโบบบบบบบบบ</t>
  </si>
  <si>
    <t xml:space="preserve">Jamie Moffat 🏳️‍🌈</t>
  </si>
  <si>
    <t xml:space="preserve">RT @nytimesworld: Shinzo Abe won a commanding majority for his party, fueling his hopes of revising Japan's pacifist Constitution https://t…</t>
  </si>
  <si>
    <t xml:space="preserve">Gay, Child of the Universe, Citizen of the World, Believer of Hope</t>
  </si>
  <si>
    <t xml:space="preserve">KSNV News 3</t>
  </si>
  <si>
    <t xml:space="preserve">#UPDATE @AP Japan's Prime Minister Shinzo Abe says after election win he will pursue "strong diplomacy" to pressure North Korea</t>
  </si>
  <si>
    <t xml:space="preserve">Breaking News, Top Headlines and more. Your NBC affiliate in Las Vegas, Nevada. Facebook: News 3 Las Vegas IG: News3LV</t>
  </si>
  <si>
    <t xml:space="preserve">T. A. Marnegie</t>
  </si>
  <si>
    <t xml:space="preserve">UG(med) in JPN</t>
  </si>
  <si>
    <t xml:space="preserve">Wanna get global competency. Interested in Physiology. Like Bagpipes, Celtic music...etc</t>
  </si>
  <si>
    <t xml:space="preserve">Toni Pascual</t>
  </si>
  <si>
    <t xml:space="preserve">The Valley, Los Angeles County</t>
  </si>
  <si>
    <t xml:space="preserve">A kind gesture, a kind word, a kind look and a kind advise will bring comfort to a burdened feeling. Twitt from @TheOldPathTV</t>
  </si>
  <si>
    <t xml:space="preserve">Mohan Kr. Yadav</t>
  </si>
  <si>
    <t xml:space="preserve">I believe in simple living &amp; high thinking also Truth always triumphs. "Truth is God". I like true patriots.</t>
  </si>
  <si>
    <t xml:space="preserve">Jawa</t>
  </si>
  <si>
    <t xml:space="preserve">#ModiMinistry Japan's Shinzo Abe to push pacifist constitution reform after strong election win https://t.co/kP3at47BCs</t>
  </si>
  <si>
    <t xml:space="preserve">#ModiMinistry Japan election: Shinzo Abe may have won majority but has failed to win hearts of voters, say politic… https://t.co/Gv7hjITnIt</t>
  </si>
  <si>
    <t xml:space="preserve">MonicaOP♥️🌎✝️🌼</t>
  </si>
  <si>
    <t xml:space="preserve">World!!!</t>
  </si>
  <si>
    <t xml:space="preserve">I read, work, care and try to live ;) From GDL to the World Yo leo, trabajo, me ocupo y trato de vivir ;) De GDL para el Mundo</t>
  </si>
  <si>
    <t xml:space="preserve">Adesh Bhatt</t>
  </si>
  <si>
    <t xml:space="preserve">UNPOPULAR IN MEDIA MODI,TRUMP and, now Abe. ABE's election victory, but he's still unpopular https://t.co/aDCuEQojmX</t>
  </si>
  <si>
    <t xml:space="preserve">Varanasi</t>
  </si>
  <si>
    <t xml:space="preserve">Marketing Professional &amp; Life Skills Coach</t>
  </si>
  <si>
    <t xml:space="preserve">planet</t>
  </si>
  <si>
    <t xml:space="preserve">Univ.Acdmc stf mngr</t>
  </si>
  <si>
    <t xml:space="preserve">CBS46</t>
  </si>
  <si>
    <t xml:space="preserve">TOKYO (AP) -- Japan's Prime Minister Shinzo Abe says after election win he will pursue "strong diplomacy" to pressure North Korea.</t>
  </si>
  <si>
    <t xml:space="preserve">Atlanta, Ga.</t>
  </si>
  <si>
    <t xml:space="preserve">Hey #ATL! We're your CBS home. Watch us at 12n, from 4:30-7a, 4-6:30p, 11p and we're always on at https://t.co/7t9dsJp4kp, Instagram: @CBS46, Facebook: CBS46</t>
  </si>
  <si>
    <t xml:space="preserve">Rucola</t>
  </si>
  <si>
    <t xml:space="preserve">Razer</t>
  </si>
  <si>
    <t xml:space="preserve">RAZERMACHINE</t>
  </si>
  <si>
    <t xml:space="preserve">Razer 4 life!!!</t>
  </si>
  <si>
    <t xml:space="preserve">tweetnewsfeeds</t>
  </si>
  <si>
    <t xml:space="preserve">Japan Election Vindicates Shinzo Abe as His Party Wins Big - New York Times https://t.co/m3F5XtjKCB #news</t>
  </si>
  <si>
    <t xml:space="preserve">The most accurate and timely news from around the world</t>
  </si>
  <si>
    <t xml:space="preserve">Vicky Chandhok</t>
  </si>
  <si>
    <t xml:space="preserve">Madras,India</t>
  </si>
  <si>
    <t xml:space="preserve">It is what it is !</t>
  </si>
  <si>
    <t xml:space="preserve">Shinzo Abe sweeps to resounding victory in Japan vote.. https://t.co/jRtx2gLFRP</t>
  </si>
  <si>
    <t xml:space="preserve">🔴Channel 1 Atlanta</t>
  </si>
  <si>
    <t xml:space="preserve">CBS46 reports TOKYO (AP) -- Japan's Prime Minister Shinzo Abe says after election win he will pursue "strong diplomacy" to pressure North K…</t>
  </si>
  <si>
    <t xml:space="preserve">[JUST THE FACTS!] Breaking news for Atlanta, America, and the World! Apart of the 20+ networks of @channel1network!</t>
  </si>
  <si>
    <t xml:space="preserve">veerle de vos</t>
  </si>
  <si>
    <r>
      <rPr>
        <sz val="8"/>
        <rFont val="Droid Sans"/>
        <family val="0"/>
        <charset val="1"/>
      </rPr>
      <t xml:space="preserve">VRT journalist, Brussel, Beijing en elders. Auteur van 'In elke rivier schijnt een maan' of </t>
    </r>
    <r>
      <rPr>
        <sz val="8"/>
        <rFont val="Noto Sans CJK SC Regular"/>
        <family val="2"/>
      </rPr>
      <t xml:space="preserve">千江有水千江月</t>
    </r>
    <r>
      <rPr>
        <sz val="8"/>
        <rFont val="Droid Sans"/>
        <family val="0"/>
        <charset val="1"/>
      </rPr>
      <t xml:space="preserve">.</t>
    </r>
  </si>
  <si>
    <t xml:space="preserve">Swarup</t>
  </si>
  <si>
    <t xml:space="preserve">Piotr Bujak</t>
  </si>
  <si>
    <t xml:space="preserve">Warsaw, Poland</t>
  </si>
  <si>
    <t xml:space="preserve">chief economist at #PKO Bank Polski (ex Nordea Markets, BZ WBK) - father of 3 - views personal - #Poland #economics #FX #PLN #bonds #POLGB</t>
  </si>
  <si>
    <t xml:space="preserve">.@AbeShinzo is on course for victory in Japan's snap election - and has vowed to "deal firmly" with #NorthKorea https://t.co/mdoS1x7kmI</t>
  </si>
  <si>
    <t xml:space="preserve">Japan Election Vindicates Shinzo Abe as His Party Wins Big - New York Times https://t.co/9ZgPY7HW3w</t>
  </si>
  <si>
    <t xml:space="preserve">.AbeShinzo is on course for victory in Japan's snap election - and has vowed to "deal firmly" with #NorthKorea https://t.co/5LhxA4OXce — …</t>
  </si>
  <si>
    <t xml:space="preserve">.AbeShinzo is on course for victory in Japan's snap election - and has vowed to "deal firmly" with #NorthKorea https://t.co/Dfpl9e7EHJ</t>
  </si>
  <si>
    <t xml:space="preserve">たいくん提督</t>
  </si>
  <si>
    <r>
      <rPr>
        <sz val="8"/>
        <rFont val="Noto Sans CJK SC Regular"/>
        <family val="2"/>
      </rPr>
      <t xml:space="preserve">ふらりとダーツやったりする人 </t>
    </r>
    <r>
      <rPr>
        <sz val="8"/>
        <rFont val="Droid Sans"/>
        <family val="0"/>
        <charset val="1"/>
      </rPr>
      <t xml:space="preserve">PSO2(ship4)</t>
    </r>
    <r>
      <rPr>
        <sz val="8"/>
        <rFont val="Noto Sans CJK SC Regular"/>
        <family val="2"/>
      </rPr>
      <t xml:space="preserve">とか艦これ</t>
    </r>
    <r>
      <rPr>
        <sz val="8"/>
        <rFont val="Droid Sans"/>
        <family val="0"/>
        <charset val="1"/>
      </rPr>
      <t xml:space="preserve">(</t>
    </r>
    <r>
      <rPr>
        <sz val="8"/>
        <rFont val="Noto Sans CJK SC Regular"/>
        <family val="2"/>
      </rPr>
      <t xml:space="preserve">大湊警備府</t>
    </r>
    <r>
      <rPr>
        <sz val="8"/>
        <rFont val="Droid Sans"/>
        <family val="0"/>
        <charset val="1"/>
      </rPr>
      <t xml:space="preserve">)</t>
    </r>
    <r>
      <rPr>
        <sz val="8"/>
        <rFont val="Noto Sans CJK SC Regular"/>
        <family val="2"/>
      </rPr>
      <t xml:space="preserve">とか旅行とかいろいろいろいろ アイコンは友達が描いてくれました～</t>
    </r>
  </si>
  <si>
    <t xml:space="preserve">mutiara hati</t>
  </si>
  <si>
    <t xml:space="preserve">jgn pandang dri luaran.. ¤^^peace^^¤</t>
  </si>
  <si>
    <t xml:space="preserve">RT @SkyNews: .@AbeShinzo is on course for victory in Japan's snap election - and has vowed to "deal firmly" with #NorthKorea https://t.co/m…</t>
  </si>
  <si>
    <t xml:space="preserve">John Reynolds</t>
  </si>
  <si>
    <t xml:space="preserve">My posts are unsiloed and unusually ephemeral. Likes &amp; RTs may be controversial, contradictory, humorous, ironic, haphazard, or simply noteworthy.</t>
  </si>
  <si>
    <t xml:space="preserve">Nevin Singh</t>
  </si>
  <si>
    <t xml:space="preserve">Real Estate Agent, LOVER OF ALL THATS GOOD AND HOLY</t>
  </si>
  <si>
    <t xml:space="preserve">Im sure</t>
  </si>
  <si>
    <t xml:space="preserve">RT @News3LV: #UPDATE @AP Japan's Prime Minister Shinzo Abe says after election win he will pursue "strong diplomacy" to pressure North Korea</t>
  </si>
  <si>
    <t xml:space="preserve">VA, USA</t>
  </si>
  <si>
    <t xml:space="preserve">Love to teach. Enjoy family, art, coffee, politics. #TheResistance Donald Trump Redefines USA: #UnderServedAmericans. “This is Not Normal” x 10</t>
  </si>
  <si>
    <t xml:space="preserve">BigOnAnime</t>
  </si>
  <si>
    <t xml:space="preserve">Passionate manga and anime fan since November 2008. Gamer since January 2002. Rants about politics and anime. Jaded and cynical. Alt account: @BigOnAnime94</t>
  </si>
  <si>
    <t xml:space="preserve">Henry Muigai</t>
  </si>
  <si>
    <t xml:space="preserve">Nakuru,Kenya</t>
  </si>
  <si>
    <t xml:space="preserve">I love Jesus Christ,VERY MUCH.|Teetotaller|MUFC|TeaLover|KrestBitterLemon|RedbullEnergyDrink|WildlifeLover|HandsOffOurElephants|PHILIPPIANS 4:13</t>
  </si>
  <si>
    <t xml:space="preserve">Thiyagu</t>
  </si>
  <si>
    <t xml:space="preserve">Seasoned IT professional. I love nature, wildlife, music, talking, reading, physical work and everything else</t>
  </si>
  <si>
    <t xml:space="preserve">Japan Election Vindicates Shinzo Abe as His Party Wins Big - New York Times https://t.co/NbM2SF3nZs</t>
  </si>
  <si>
    <t xml:space="preserve">F3News</t>
  </si>
  <si>
    <t xml:space="preserve">https://t.co/Lt1SZfrt6P #Japan Election Vindicates Shinzo Abe as His Party Wins Big - New York Times #BreakingNews</t>
  </si>
  <si>
    <t xml:space="preserve">Breaking news delivered to your feed, read the same news with S T Y L E on your phone .... app: https://t.co/9xHTgCIbRH | facebook https://t.co/wDxxn7oG6m</t>
  </si>
  <si>
    <t xml:space="preserve">https://t.co/fMybZPaBx6 #Japan election 2017: Shinzo Abe secures majority, says will ‘work humbly’; Nikkei hits 21-year high #Breaking…</t>
  </si>
  <si>
    <t xml:space="preserve">Shinzo Abe's election win in Japan won't make everybody rich https://t.co/ad5tzl314K via @gadfly https://t.co/RARUcUJ4dv</t>
  </si>
  <si>
    <t xml:space="preserve">.AbeShinzo is on course for victory in Japan's snap election - and has vowed to "deal firmly" with #NorthKorea https://t.co/1tPB4R1nP1</t>
  </si>
  <si>
    <t xml:space="preserve">Antoine Larigaudrie</t>
  </si>
  <si>
    <t xml:space="preserve">RT @business: Shinzo Abe's election win in Japan won't make everybody rich https://t.co/ad5tzl314K via @gadfly https://t.co/RARUcUJ4dv</t>
  </si>
  <si>
    <t xml:space="preserve">Là où bat le coeur du #CAC40.</t>
  </si>
  <si>
    <t xml:space="preserve">Embedded reporter #Bourse chez @Euronext_Paris pour @BFMBusiness ! #FinTech observer. Demi de mêlée Pilou-Pilou #TeamRCT. #Mazda #RX8 owner. #AndSoMuchMore.</t>
  </si>
  <si>
    <t xml:space="preserve">NDTV</t>
  </si>
  <si>
    <t xml:space="preserve">Shinzo Abe to push reform of Japan's pacifist constitution after election win https://t.co/VhNpQdQXdl https://t.co/tYx4bbIkQc</t>
  </si>
  <si>
    <t xml:space="preserve">Breaking news alerts from India</t>
  </si>
  <si>
    <t xml:space="preserve">Shinzo Abe gains big victory in Japan election #tech ☄ ⛱ $v #ℑnnovate https://t.co/RsqJYpJP8X</t>
  </si>
  <si>
    <t xml:space="preserve">Real Simple News</t>
  </si>
  <si>
    <t xml:space="preserve">Shinzo Abe gains big victory in Japan election https://t.co/gt8rRTcFNb</t>
  </si>
  <si>
    <t xml:space="preserve">RSN Poster</t>
  </si>
  <si>
    <t xml:space="preserve">You like news📰? we like news, we post all about the news from hundreds of sources. There's a little something here for everyone🧐</t>
  </si>
  <si>
    <t xml:space="preserve">ERIKA SANDOVAL</t>
  </si>
  <si>
    <t xml:space="preserve">Livermore, CA</t>
  </si>
  <si>
    <t xml:space="preserve">I am a lover, a fighter, a Hopeless believer of humanity good faith and I will never give up on You!</t>
  </si>
  <si>
    <t xml:space="preserve">#ThanksObama</t>
  </si>
  <si>
    <t xml:space="preserve">#Resistance #Indivisible #Impeach #NotMyPresident #BlackLivesMatter #RussiaGate #GunSense #PPFA #ItsScienceStupid</t>
  </si>
  <si>
    <t xml:space="preserve">Archie W Simpson</t>
  </si>
  <si>
    <t xml:space="preserve">City of Bath</t>
  </si>
  <si>
    <t xml:space="preserve">Academic with an interest in international relations, small states, politics and teaching. And spies. And football.</t>
  </si>
  <si>
    <t xml:space="preserve">RT @F3nws: https://t.co/fMybZPaBx6 #Japan election 2017: Shinzo Abe secures majority, says will ‘work humbly’; Nikkei hits 21-year high…</t>
  </si>
  <si>
    <t xml:space="preserve">CA.RAMACHANDRAN . K</t>
  </si>
  <si>
    <t xml:space="preserve">Triplet -Chartered Accountant,Cost Accountant ,Company secretary &amp; CMA(US) RTs not endorsement</t>
  </si>
  <si>
    <t xml:space="preserve">RT SkyNews ".AbeShinzo is on course for victory in Japan's snap election - and has vowed to "deal firmly" with #No… https://t.co/OixcZE9ecZ"</t>
  </si>
  <si>
    <t xml:space="preserve">Priya Kulkarni</t>
  </si>
  <si>
    <t xml:space="preserve">Shinzo Abe gains big victory in Japan election https://t.co/WovoesGx9X</t>
  </si>
  <si>
    <t xml:space="preserve">NRI🗽 Libertarian. Video Editor &amp; Analyst Die_Hard_Fan of @narendramodi &amp; @PiyushGoyal Crazy Abt Space,technology, AI, Photography. Followed by @PiyushGoyalOffc</t>
  </si>
  <si>
    <t xml:space="preserve">Thistle</t>
  </si>
  <si>
    <t xml:space="preserve">United Kingdom (hearts)</t>
  </si>
  <si>
    <r>
      <rPr>
        <sz val="8"/>
        <rFont val="Noto Sans CJK SC Regular"/>
        <family val="2"/>
      </rPr>
      <t xml:space="preserve">【</t>
    </r>
    <r>
      <rPr>
        <sz val="8"/>
        <rFont val="Droid Sans"/>
        <family val="0"/>
        <charset val="1"/>
      </rPr>
      <t xml:space="preserve">ECO ISSUES/HISTORY/ART/LITERATURE/MANGA</t>
    </r>
    <r>
      <rPr>
        <sz val="8"/>
        <rFont val="Noto Sans CJK SC Regular"/>
        <family val="2"/>
      </rPr>
      <t xml:space="preserve">】❤️ </t>
    </r>
    <r>
      <rPr>
        <sz val="8"/>
        <rFont val="Droid Sans"/>
        <family val="0"/>
        <charset val="1"/>
      </rPr>
      <t xml:space="preserve">(ENG/ES)</t>
    </r>
  </si>
  <si>
    <r>
      <rPr>
        <sz val="8"/>
        <rFont val="Noto Sans CJK SC Regular"/>
        <family val="2"/>
      </rPr>
      <t xml:space="preserve">ㅅ</t>
    </r>
    <r>
      <rPr>
        <sz val="8"/>
        <rFont val="Droid Sans"/>
        <family val="0"/>
        <charset val="1"/>
      </rPr>
      <t xml:space="preserve">' Softmilk❀10</t>
    </r>
  </si>
  <si>
    <r>
      <rPr>
        <sz val="8"/>
        <rFont val="Droid Sans"/>
        <family val="0"/>
        <charset val="1"/>
      </rPr>
      <t xml:space="preserve">Baekhyun'92♡ 🌨 FEEL IT 🌲 </t>
    </r>
    <r>
      <rPr>
        <sz val="8"/>
        <rFont val="Noto Sans CJK SC Regular"/>
        <family val="2"/>
      </rPr>
      <t xml:space="preserve">九秒 🌿🎋⭐️🌙</t>
    </r>
  </si>
  <si>
    <t xml:space="preserve">Andrew Weedman</t>
  </si>
  <si>
    <t xml:space="preserve">Venice Florida</t>
  </si>
  <si>
    <t xml:space="preserve">I make tattoos</t>
  </si>
  <si>
    <t xml:space="preserve">Mike Burbie</t>
  </si>
  <si>
    <t xml:space="preserve">Navy Veteran. Limited Government Advocate. RT's are NOT endorsements.</t>
  </si>
  <si>
    <t xml:space="preserve">Ashk47</t>
  </si>
  <si>
    <t xml:space="preserve">Airborne on a magic carpet</t>
  </si>
  <si>
    <t xml:space="preserve">Maverick Free Spirit - living on love, free air &amp; Vodka! - Wandering on lazily - Om NAMO Shivaya</t>
  </si>
  <si>
    <t xml:space="preserve">APPRENDRE A TRADER</t>
  </si>
  <si>
    <t xml:space="preserve">RT business: Shinzo Abe's election win in Japan won't make everybody rich https://t.co/msGV0wRazT via gadfly https://t.co/AILtjTv00x ALar…</t>
  </si>
  <si>
    <t xml:space="preserve">.AbeShinzo is on course for victory in Japan's snap election - and has vowed to "deal firmly" with #NorthKorea https://t.co/c0prQYzrvq</t>
  </si>
  <si>
    <t xml:space="preserve">.AbeShinzo is on course for victory in Japan's snap election - and has vowed to "deal firmly" with #NorthKorea https://t.co/wh5QW0iLC9</t>
  </si>
  <si>
    <t xml:space="preserve">Shinzo Abe's election win in Japan won't make everybody rich https://t.co/uqInqKBcme via gadfly https://t.co/Xhhj50ivf9</t>
  </si>
  <si>
    <t xml:space="preserve">Shinzo Abe's election win in Japan won't make everybody rich https://t.co/IGwk40NOwr via gadfly https://t.co/44hYoJfJhk #BSAFunds #Mercha…</t>
  </si>
  <si>
    <t xml:space="preserve">RT TenerifeTommy "RT SkyNews ".AbeShinzo is on course for victory in Japan's snap election - and has vowed to … https://t.co/PCL3cAmWIW""</t>
  </si>
  <si>
    <t xml:space="preserve">Patricia Samyn</t>
  </si>
  <si>
    <t xml:space="preserve">RAKESH</t>
  </si>
  <si>
    <t xml:space="preserve">RT @ndtv: Shinzo Abe to push reform of Japan's pacifist constitution after election win https://t.co/VhNpQdQXdl https://t.co/tYx4bbIkQc</t>
  </si>
  <si>
    <t xml:space="preserve">Amritsar</t>
  </si>
  <si>
    <t xml:space="preserve">common Man with big ambitions</t>
  </si>
  <si>
    <t xml:space="preserve">Abdul kadir</t>
  </si>
  <si>
    <t xml:space="preserve">@narendramodi @ShahnawazBJP @AbeShinzo Shinzo Abe won election by lodhi support and campaign in Japan..tera hi jpbaa h</t>
  </si>
  <si>
    <t xml:space="preserve">badaam khane s behter h k ek baar dhoka khale ..taki dimag tej hojay</t>
  </si>
  <si>
    <t xml:space="preserve">Vanessa Zanabria</t>
  </si>
  <si>
    <t xml:space="preserve">Okc,Oklahoma</t>
  </si>
  <si>
    <t xml:space="preserve">✌❤</t>
  </si>
  <si>
    <t xml:space="preserve">ASHOK SINGH</t>
  </si>
  <si>
    <t xml:space="preserve">Manchester, NH</t>
  </si>
  <si>
    <t xml:space="preserve">A proud Hindu (Sanatani).Against totalitarian beliefs #Noconversion,it destroys indigenous civilization.#GiveUpAMeal RT not endorsement.MF stands 4 my friend😁</t>
  </si>
  <si>
    <r>
      <rPr>
        <sz val="8"/>
        <rFont val="Droid Sans"/>
        <family val="0"/>
        <charset val="1"/>
      </rPr>
      <t xml:space="preserve">$iba</t>
    </r>
    <r>
      <rPr>
        <sz val="8"/>
        <rFont val="Noto Sans CJK SC Regular"/>
        <family val="2"/>
      </rPr>
      <t xml:space="preserve">ちゃん</t>
    </r>
    <r>
      <rPr>
        <sz val="8"/>
        <rFont val="Droid Sans"/>
        <family val="0"/>
        <charset val="1"/>
      </rPr>
      <t xml:space="preserve">_:(´ཀ`</t>
    </r>
    <r>
      <rPr>
        <sz val="8"/>
        <rFont val="Noto Sans CJK SC Regular"/>
        <family val="2"/>
      </rPr>
      <t xml:space="preserve">」 ∠</t>
    </r>
    <r>
      <rPr>
        <sz val="8"/>
        <rFont val="Droid Sans"/>
        <family val="0"/>
        <charset val="1"/>
      </rPr>
      <t xml:space="preserve">):</t>
    </r>
  </si>
  <si>
    <r>
      <rPr>
        <sz val="8"/>
        <rFont val="Droid Sans"/>
        <family val="0"/>
        <charset val="1"/>
      </rPr>
      <t xml:space="preserve">psid→konami1211 </t>
    </r>
    <r>
      <rPr>
        <sz val="8"/>
        <rFont val="Noto Sans CJK SC Regular"/>
        <family val="2"/>
      </rPr>
      <t xml:space="preserve">好きな乗り物</t>
    </r>
    <r>
      <rPr>
        <sz val="8"/>
        <rFont val="Droid Sans"/>
        <family val="0"/>
        <charset val="1"/>
      </rPr>
      <t xml:space="preserve">(</t>
    </r>
    <r>
      <rPr>
        <sz val="8"/>
        <rFont val="Noto Sans CJK SC Regular"/>
        <family val="2"/>
      </rPr>
      <t xml:space="preserve">フォルクスイェーガー</t>
    </r>
    <r>
      <rPr>
        <sz val="8"/>
        <rFont val="Droid Sans"/>
        <family val="0"/>
        <charset val="1"/>
      </rPr>
      <t xml:space="preserve">,IS3)EDM ,</t>
    </r>
    <r>
      <rPr>
        <sz val="8"/>
        <rFont val="Noto Sans CJK SC Regular"/>
        <family val="2"/>
      </rPr>
      <t xml:space="preserve">東方</t>
    </r>
    <r>
      <rPr>
        <sz val="8"/>
        <rFont val="Droid Sans"/>
        <family val="0"/>
        <charset val="1"/>
      </rPr>
      <t xml:space="preserve">,NCS,Nightcore,</t>
    </r>
    <r>
      <rPr>
        <sz val="8"/>
        <rFont val="Noto Sans CJK SC Regular"/>
        <family val="2"/>
      </rPr>
      <t xml:space="preserve">が好き</t>
    </r>
    <r>
      <rPr>
        <sz val="8"/>
        <rFont val="Droid Sans"/>
        <family val="0"/>
        <charset val="1"/>
      </rPr>
      <t xml:space="preserve">. </t>
    </r>
    <r>
      <rPr>
        <sz val="8"/>
        <rFont val="Noto Sans CJK SC Regular"/>
        <family val="2"/>
      </rPr>
      <t xml:space="preserve">あとアニメも大好き💕💕 最近</t>
    </r>
    <r>
      <rPr>
        <sz val="8"/>
        <rFont val="Droid Sans"/>
        <family val="0"/>
        <charset val="1"/>
      </rPr>
      <t xml:space="preserve">WRC</t>
    </r>
    <r>
      <rPr>
        <sz val="8"/>
        <rFont val="Noto Sans CJK SC Regular"/>
        <family val="2"/>
      </rPr>
      <t xml:space="preserve">にハマってます</t>
    </r>
  </si>
  <si>
    <t xml:space="preserve">Edafe Onerhime</t>
  </si>
  <si>
    <t xml:space="preserve">Annotations like this make graphs easier to understand: Shinzo Abe gains big victory in Japan election https://t.co/HkBJP8ZaWh via @FT</t>
  </si>
  <si>
    <t xml:space="preserve">Leeds | UK | International</t>
  </si>
  <si>
    <t xml:space="preserve">Consultant: Data Science &amp; Data Analysis – Making the complex, simple</t>
  </si>
  <si>
    <t xml:space="preserve">JAGDISH ZAZRIA</t>
  </si>
  <si>
    <t xml:space="preserve">RT @priyaakulkarni2: Shinzo Abe gains big victory in Japan election https://t.co/WovoesGx9X</t>
  </si>
  <si>
    <t xml:space="preserve">THANE 400601   india</t>
  </si>
  <si>
    <t xml:space="preserve">i am retired govt.officer। Retweets are not endorsements.</t>
  </si>
  <si>
    <t xml:space="preserve">Pau Ruiz Guix</t>
  </si>
  <si>
    <t xml:space="preserve">Figueres / Barcelona</t>
  </si>
  <si>
    <t xml:space="preserve">Trying to understand the world at Global Studies @UPFBarcelona and several #NGOs. Political Strategy and Communications, Environment and Human Rights.</t>
  </si>
  <si>
    <t xml:space="preserve">Ankush Singh</t>
  </si>
  <si>
    <t xml:space="preserve">Mumbai,India</t>
  </si>
  <si>
    <t xml:space="preserve">How can man die better Than facing fearful odds, For the ashes of his fathers, And the temples of his God's.</t>
  </si>
  <si>
    <t xml:space="preserve">Shinzo Abe's election win in Japan won't make everybody rich https://t.co/SZCpWOqShg via gadfly https://t.co/yTYWuBYlsw</t>
  </si>
  <si>
    <t xml:space="preserve">Kimi.</t>
  </si>
  <si>
    <r>
      <rPr>
        <sz val="8"/>
        <rFont val="Droid Sans"/>
        <family val="0"/>
        <charset val="1"/>
      </rPr>
      <t xml:space="preserve">My mission is to have my own #homesweethome together with </t>
    </r>
    <r>
      <rPr>
        <sz val="8"/>
        <rFont val="Noto Sans CJK SC Regular"/>
        <family val="2"/>
      </rPr>
      <t xml:space="preserve">猫。日本 すきです。</t>
    </r>
  </si>
  <si>
    <t xml:space="preserve">MomagainsttheMachine</t>
  </si>
  <si>
    <t xml:space="preserve">Menifee, California</t>
  </si>
  <si>
    <t xml:space="preserve">News Government &amp; Politics #NASCAR Fan AMERICAN PATRIOT #MAGA I follow back 😂</t>
  </si>
  <si>
    <t xml:space="preserve">SuzieSnoozie</t>
  </si>
  <si>
    <t xml:space="preserve">Pradeep Dandu</t>
  </si>
  <si>
    <t xml:space="preserve">Karma Shard</t>
  </si>
  <si>
    <t xml:space="preserve">Sergei Ardzinba</t>
  </si>
  <si>
    <t xml:space="preserve">Japan Election Vindicates Shinzo Abe as His Party Wins Big https://t.co/xV7K5K86pF #ApsnyNews</t>
  </si>
  <si>
    <t xml:space="preserve">ApsnyNews1</t>
  </si>
  <si>
    <t xml:space="preserve">Abkhazia</t>
  </si>
  <si>
    <t xml:space="preserve">Apsny News</t>
  </si>
  <si>
    <t xml:space="preserve">RT business "Shinzo Abe's election win in Japan won't make everybody rich https://t.co/OoobnpwU1t via gadfly https://t.co/72wJgu4zMG"</t>
  </si>
  <si>
    <t xml:space="preserve">business: Shinzo Abe's election win in Japan won't make everybody rich https://t.co/1qFHGHvA6d via gadfly … https://t.co/qF8JfffIro</t>
  </si>
  <si>
    <t xml:space="preserve">Tibet.net</t>
  </si>
  <si>
    <t xml:space="preserve">Dr. Sangay expressed his gratitude to Japan for their support for Tibet and for always being a gracious host to... https://t.co/SVQNL9NZEM</t>
  </si>
  <si>
    <t xml:space="preserve">https://t.co/DrsHm3UUIH is the official website of the Central Tibetan Administration. News articles posted on https://t.co/l4Q5Ozitbo are tweeted here.</t>
  </si>
  <si>
    <t xml:space="preserve">H.O</t>
  </si>
  <si>
    <t xml:space="preserve">Japan Election Vindicates Shinzo Abe as His Party Wins Big - New York Times https://t.co/0LEBEwqi50 #topstories</t>
  </si>
  <si>
    <t xml:space="preserve">Federal Republic Of Naija.</t>
  </si>
  <si>
    <t xml:space="preserve">@┃Mc Harryboyy⁰♣┃male⁰☂ Lolz ent.⁰+2348125802650 ©Comedian ™Orator ☺Presenter | Praise Singer☃General_event Planner</t>
  </si>
  <si>
    <t xml:space="preserve">Michael D Schmidt</t>
  </si>
  <si>
    <t xml:space="preserve">Shinzo Abe secures strong mandate in Japan's general election https://t.co/wXygfrpK00</t>
  </si>
  <si>
    <t xml:space="preserve">Hurricane, WV</t>
  </si>
  <si>
    <t xml:space="preserve">Either ADAPT &amp; March FORWARD or be crushed under the GEARS of OUTDATED &amp; Negative Thought! - PROGRESSIVE! Not a Political Party but a WAY of LIFE!</t>
  </si>
  <si>
    <t xml:space="preserve">RT @JapanUnmasked: Election Risk Pays Off for Shinzo Abe of Japan as His LDP Appears to Win Big | With two new LDP opposition parties… http…</t>
  </si>
  <si>
    <t xml:space="preserve">guy tamarro</t>
  </si>
  <si>
    <t xml:space="preserve">Japan Election Vindicates Shinzo Abe as His Party Wins Big - New York Times: New York Times… https://t.co/WMm1gSqRAu</t>
  </si>
  <si>
    <t xml:space="preserve">Shinzo Abe secures strong mandate in Japan's general election https://t.co/3XuWbiJ4jp</t>
  </si>
  <si>
    <t xml:space="preserve">Linda Shelton</t>
  </si>
  <si>
    <t xml:space="preserve">Still standing, but barely, while upholding your civil rights in Illinois against government corruption</t>
  </si>
  <si>
    <t xml:space="preserve">StoriesFlow.com</t>
  </si>
  <si>
    <t xml:space="preserve">(CNBC) #Japan's leader just won a resounding election victory, but he's still unpopular : Shinzo Abe's recent.. https://t.co/xfBabJPmxp</t>
  </si>
  <si>
    <t xml:space="preserve">StoriesFlow to Twitter</t>
  </si>
  <si>
    <t xml:space="preserve">https://t.co/M3K6zKhn8Y is a news aggregator, it gathers news from different sources, and continuously monitor breaking news from multiple news websites.</t>
  </si>
  <si>
    <t xml:space="preserve">Ashok Khandelwal</t>
  </si>
  <si>
    <t xml:space="preserve">JUSTIN</t>
  </si>
  <si>
    <t xml:space="preserve">Manila </t>
  </si>
  <si>
    <t xml:space="preserve">snapchat: justinvanom</t>
  </si>
  <si>
    <t xml:space="preserve">fausto a rodriguez</t>
  </si>
  <si>
    <t xml:space="preserve">Japan Election Vindicates Shinzo Abe as His Party Wins Big https://t.co/xJBTqZyqWZ</t>
  </si>
  <si>
    <t xml:space="preserve">Good Harvest Market</t>
  </si>
  <si>
    <t xml:space="preserve">Pewaukee, WI</t>
  </si>
  <si>
    <t xml:space="preserve">Good Harvest Market is Waukesha County's largest natural food store, specializing in organic and gluten free foods. Shop healthy. Shop local. Shop Good Harvest.</t>
  </si>
  <si>
    <t xml:space="preserve">business: Shinzo Abe's election win in Japan won't make everybody rich https://t.co/5SOhfVaQqZ via gadfly https://t.co/vnWvu2JAHN</t>
  </si>
  <si>
    <t xml:space="preserve">Yoana Calleja</t>
  </si>
  <si>
    <t xml:space="preserve">Abe to push reform of Japan's pacifist constitution after election win https://t.co/DlEvdr71hd Japanese Prime Minister Shinzo Abe’s ruling…</t>
  </si>
  <si>
    <t xml:space="preserve">Madrid, Comunidad de Madrid</t>
  </si>
  <si>
    <t xml:space="preserve">Periodista #freelance. Colaboro en @DistritosMadrid @Marca_Madrid_ y @Estrellas_Siete @Gerontes_ | La música es para el alma</t>
  </si>
  <si>
    <t xml:space="preserve">business: Shinzo Abe's election win in Japan won't make everybody rich https://t.co/phiUsTR40y via gadfly https://t.co/t7IWSDnnUr</t>
  </si>
  <si>
    <t xml:space="preserve">Anil Dikshit</t>
  </si>
  <si>
    <t xml:space="preserve">5| Shinzo Abe to push reform of Japan's pacifist constitution after election win https://t.co/f0ThDoqMfH https://t.co/Bmb4R0koNc</t>
  </si>
  <si>
    <t xml:space="preserve">Gwalior India</t>
  </si>
  <si>
    <t xml:space="preserve">B. Tech. IIT BHU 1982 Studied Law, Human Psychology, Political Analysis, Profiling Human Behaviour, Forensics &amp; Sociology/ I TARGET #Seditionists!</t>
  </si>
  <si>
    <t xml:space="preserve">GoaTrance.NET</t>
  </si>
  <si>
    <t xml:space="preserve">Amsterdam, Noord-Holland</t>
  </si>
  <si>
    <t xml:space="preserve">European and Dutch GoaTrance, Party Base Calendar Agenda, free audio mixes and party video site</t>
  </si>
  <si>
    <t xml:space="preserve">Shahil Parmar</t>
  </si>
  <si>
    <t xml:space="preserve">When other leaders like Japan's Shinzo Abe wins an election how jealous is Theresa May &amp; the Tory Party?! A lot I think! #r4today #bbcdp</t>
  </si>
  <si>
    <t xml:space="preserve">MSc Social Policy (Social Policy&amp;Planning) Student at the London School of Economics &amp; Political Science. University of Kent Sociology &amp; Social Policy Graduate.</t>
  </si>
  <si>
    <t xml:space="preserve">kiduo Mgunga</t>
  </si>
  <si>
    <t xml:space="preserve">Dar Es Salaam, Tanzania</t>
  </si>
  <si>
    <t xml:space="preserve">I'm a member @PHAPassociation @UNvolunteers @voicesofyouth @UNVOnline| Judge 2017 Pan - Africans Awards @TweetAmanToFish 🐟 | 2017 @SP_Gateway Ambassador|</t>
  </si>
  <si>
    <t xml:space="preserve">JH</t>
  </si>
  <si>
    <t xml:space="preserve">Views my own.</t>
  </si>
  <si>
    <t xml:space="preserve">TUTUZ</t>
  </si>
  <si>
    <t xml:space="preserve">Japan Election Vindicates Shinzo Abe as His Party Wins Big - Amending the Constitution requires the supp... https://t.co/XEh0pOyfni</t>
  </si>
  <si>
    <t xml:space="preserve">TUTUZ NEWS</t>
  </si>
  <si>
    <t xml:space="preserve">South Carolina USA</t>
  </si>
  <si>
    <t xml:space="preserve">Rahul Banerjee</t>
  </si>
  <si>
    <t xml:space="preserve">Shinzo Abe to push reform of Japan's pacifist constitution after election win https://t.co/5kqaqlcUgk https://t.co/ymqhJ6lSol</t>
  </si>
  <si>
    <t xml:space="preserve">Technology Consultant, Business Advisor, Technology adaptation and automation specialist, Corporate Trainer and personality coaching____Let us have a discussion</t>
  </si>
  <si>
    <t xml:space="preserve">Japan Election Vindicates Shinzo Abe as His Party Wins Big - New York Times https://t.co/5YYoUqtUX6</t>
  </si>
  <si>
    <t xml:space="preserve">Fanua 🗽</t>
  </si>
  <si>
    <t xml:space="preserve">Twidere for Android #7</t>
  </si>
  <si>
    <t xml:space="preserve">Oceania / Pasefika / US territory ✈ Turtle Island</t>
  </si>
  <si>
    <t xml:space="preserve">Cosmopolite. RE: news worldwide, world music, international sports, musings. Polynesian 🐢♒🎶 Diversity in journalism matters. #RISE 🌏🌎🌍 #RESIST The #RESISTANCE</t>
  </si>
  <si>
    <t xml:space="preserve">anitya vava</t>
  </si>
  <si>
    <t xml:space="preserve">Non dobbiamo mai permettere che la nostra mente sia divisa in due da un orizzonte. Amartya Sen</t>
  </si>
  <si>
    <t xml:space="preserve">Seeking Truth</t>
  </si>
  <si>
    <t xml:space="preserve">Fan of Indian Freedom Fighters | Love Music, Sports | Proud Indian | Proud Hindu | Believe in Sanatana Dharma | All lives Matter</t>
  </si>
  <si>
    <t xml:space="preserve">Spokesman</t>
  </si>
  <si>
    <t xml:space="preserve">PM @narendramodi congratulates Japan's Shinzo Abe on re-election. #SpokesmanTweets https://t.co/kSF1BxT3mD</t>
  </si>
  <si>
    <t xml:space="preserve">Mohali,Punjab, India</t>
  </si>
  <si>
    <t xml:space="preserve">Official Twitter account of Spokesman</t>
  </si>
  <si>
    <t xml:space="preserve">.@AbeShinzo is on course for victory in Japan's snap election - and has vowed to "deal firmly" with #NorthKorea https://t.co/zIVkNNEGHx</t>
  </si>
  <si>
    <t xml:space="preserve">Wav¥~~~~~~Anthem®</t>
  </si>
  <si>
    <t xml:space="preserve">Louisville, Ky</t>
  </si>
  <si>
    <t xml:space="preserve">Living in a World ran by the Rich and Beautiful, I might not look the best but I won't be broke forever. Fuck With Me Now not Later.</t>
  </si>
  <si>
    <t xml:space="preserve">エスポ</t>
  </si>
  <si>
    <t xml:space="preserve">Osaka , JPN</t>
  </si>
  <si>
    <t xml:space="preserve">Margot Parker MEP</t>
  </si>
  <si>
    <t xml:space="preserve">Corby &amp; East Northamptonshire</t>
  </si>
  <si>
    <t xml:space="preserve">UKIP MEP for the East Midlands. UKIP Deputy Leader Spokesman on Aid and International Developement</t>
  </si>
  <si>
    <t xml:space="preserve">mark king</t>
  </si>
  <si>
    <t xml:space="preserve">Anthony</t>
  </si>
  <si>
    <t xml:space="preserve">Snapchat: anthony5879 #TVShows #Movies #Music #VideoGames #Technology #News Some things I like</t>
  </si>
  <si>
    <t xml:space="preserve">ElizabethR 🌹</t>
  </si>
  <si>
    <t xml:space="preserve">Somewhere in CANADA</t>
  </si>
  <si>
    <t xml:space="preserve">Canadian/British lass with passionate interest in global politics and issues of social justice. "We are more alike my friends than we are unalike" 🇨🇦♥️🇬🇧</t>
  </si>
  <si>
    <t xml:space="preserve">🌻</t>
  </si>
  <si>
    <t xml:space="preserve">ad maiora natus sum</t>
  </si>
  <si>
    <t xml:space="preserve">@mrpankajsethi @geetv79 @narendramodi @INCIndia @OfficeOfRG @ajaymaken @arunjaitley @sambitswaraj @AmitShah @RSSorg… https://t.co/ppy35wsBT4</t>
  </si>
  <si>
    <t xml:space="preserve">Balakrishnan Iyer</t>
  </si>
  <si>
    <t xml:space="preserve">Tweets are absolutely personal. My opinions on various issues in my country and around the world.</t>
  </si>
  <si>
    <t xml:space="preserve">Lauren Crawford</t>
  </si>
  <si>
    <t xml:space="preserve">Mobile, AL</t>
  </si>
  <si>
    <t xml:space="preserve">Shinzo Abe's election win in Japan won't make everybody rich https://t.co/zlvEAYUcbu via gadfly https://t.co/ng2Iy7NNfI</t>
  </si>
  <si>
    <t xml:space="preserve">A$hWiNi</t>
  </si>
  <si>
    <t xml:space="preserve">National Capital Region</t>
  </si>
  <si>
    <t xml:space="preserve">Independent, intensely political. Neither a bhakt nor a Khangressi but part of the sensible RW.</t>
  </si>
  <si>
    <t xml:space="preserve">ボースイ</t>
  </si>
  <si>
    <t xml:space="preserve">埼玉県三郷市</t>
  </si>
  <si>
    <t xml:space="preserve">家族、映画、読書、雑学が好きな親父です。</t>
  </si>
  <si>
    <t xml:space="preserve">Carcass(aka.cotton)</t>
  </si>
  <si>
    <t xml:space="preserve">Seoul</t>
  </si>
  <si>
    <r>
      <rPr>
        <sz val="8"/>
        <rFont val="Noto Sans CJK SC Regular"/>
        <family val="2"/>
      </rPr>
      <t xml:space="preserve">걍 쓰레기 아니고 존나 쓰레기</t>
    </r>
    <r>
      <rPr>
        <sz val="8"/>
        <rFont val="Droid Sans"/>
        <family val="0"/>
        <charset val="1"/>
      </rPr>
      <t xml:space="preserve">.</t>
    </r>
  </si>
  <si>
    <t xml:space="preserve">prasoon</t>
  </si>
  <si>
    <t xml:space="preserve">rob3knews</t>
  </si>
  <si>
    <t xml:space="preserve">Japan Election Vindicates Shinzo Abe as His Party Wins Big - New York Times: New York Times… https://t.co/5VOPoR0mGP</t>
  </si>
  <si>
    <t xml:space="preserve">bharateeyan</t>
  </si>
  <si>
    <t xml:space="preserve">Simple Humble Bhaarateeyan :)</t>
  </si>
  <si>
    <t xml:space="preserve">jaimeotero_: Shinzo Abe's election win in Japan won't make everybody rich https://t.co/V6DFD5oqk5 via gadfly https://t.co/sR3P0haFvq RT</t>
  </si>
  <si>
    <t xml:space="preserve">David Brent</t>
  </si>
  <si>
    <t xml:space="preserve">#topstory Japan's Abe predicted to win big - Japanese Prime Minister Shinzo Abe has promised to take a firm sta... https://t.co/Ig9C21TsE0</t>
  </si>
  <si>
    <t xml:space="preserve">Bee Lee</t>
  </si>
  <si>
    <t xml:space="preserve">Latest 6 hour News Japan Election Vindicates Shinzo Abe as His Party Wins Big - New York Times https://t.co/GvbPlbcGCN</t>
  </si>
  <si>
    <t xml:space="preserve">Mobile Techno News</t>
  </si>
  <si>
    <t xml:space="preserve">Top Stories: #smartphonemobilenews #mobilenews #news #worldnews #smartphone #googleplay https://t.co/LdN7NlaPEF</t>
  </si>
  <si>
    <t xml:space="preserve">https://t.co/WOuVSePPqQ is social media aggregation platform for India news, world wide news, Lifestyle news, Entertainment news&amp; video news across globe.</t>
  </si>
  <si>
    <t xml:space="preserve">Margo</t>
  </si>
  <si>
    <t xml:space="preserve">Niagara Canada</t>
  </si>
  <si>
    <t xml:space="preserve">manufacturer &amp; formulator luxury natural grooming products for family Mom to two cool dudes, politico, philosopher, financial advisor NO LISTS #HCLDR CANADIAN♡</t>
  </si>
  <si>
    <t xml:space="preserve">HannahDolores™</t>
  </si>
  <si>
    <t xml:space="preserve">Southeast Louisiana</t>
  </si>
  <si>
    <t xml:space="preserve">Husband. Baby. Dog. Life✌️</t>
  </si>
  <si>
    <t xml:space="preserve">Pumpuikun</t>
  </si>
  <si>
    <t xml:space="preserve">お仕事／趣味／好きな食べ物／</t>
  </si>
  <si>
    <t xml:space="preserve">Shinzo Abe's election win in Japan won't make everybody rich https://t.co/LDyqXOL1XK via gadfly https://t.co/fcQyXQZ59e</t>
  </si>
  <si>
    <t xml:space="preserve">A.J. Hellwood 🎃</t>
  </si>
  <si>
    <t xml:space="preserve">21 • Digital Media Student @Deakin • Vegan • Aries • Friend to Felines • Did I mention I'm a Vegan? • Tweets are my own • Doesn't mean they're good</t>
  </si>
  <si>
    <t xml:space="preserve">UPDATE: Japan PM #ShinzoAbe says to work towards fulfilling election promises one by one https://t.co/WCW7ldDoWi… https://t.co/91NSjsXZ5O</t>
  </si>
  <si>
    <t xml:space="preserve">Try Markets</t>
  </si>
  <si>
    <t xml:space="preserve">Landslide election victory for Japan Prime Minister Shinzo Abe https://t.co/cj5ERMTvjl</t>
  </si>
  <si>
    <t xml:space="preserve">Belize</t>
  </si>
  <si>
    <t xml:space="preserve">Next Generation Online Broker #Forex #OnlineTrading #Stocks #Shares #CFDs</t>
  </si>
  <si>
    <t xml:space="preserve">ykamio</t>
  </si>
  <si>
    <t xml:space="preserve">Here's the issue of the moment! Japan Election Vindicates Shinzo Abe as His Party Wins Big - New York Times</t>
  </si>
  <si>
    <r>
      <rPr>
        <sz val="8"/>
        <rFont val="Noto Sans CJK SC Regular"/>
        <family val="2"/>
      </rPr>
      <t xml:space="preserve">空を仰ぐ</t>
    </r>
    <r>
      <rPr>
        <sz val="8"/>
        <rFont val="Droid Sans"/>
        <family val="0"/>
        <charset val="1"/>
      </rPr>
      <t xml:space="preserve">bot</t>
    </r>
  </si>
  <si>
    <t xml:space="preserve">Snehal Bhau Taksande</t>
  </si>
  <si>
    <t xml:space="preserve">Nagpur Maharashtra </t>
  </si>
  <si>
    <t xml:space="preserve">@sanjivbhatt @vidya7281 Shinzo Abe won election by lodhi support and campaign in Japan..</t>
  </si>
  <si>
    <t xml:space="preserve">Japan Election Vindicates Shinzo Abe as His Party Wins Big - New York Times https://t.co/mkt4DRlSBS https://t.co/8rH7D7B8Ab</t>
  </si>
  <si>
    <t xml:space="preserve">park</t>
  </si>
  <si>
    <t xml:space="preserve">srdjan basaric</t>
  </si>
  <si>
    <t xml:space="preserve">Goo News Japan Election Vindicates Shinzo Abe as His Party Wins Big - New York Times: New… https://t.co/rHFtwX18GB</t>
  </si>
  <si>
    <t xml:space="preserve">serbia</t>
  </si>
  <si>
    <t xml:space="preserve">Internet Media Marketing Consultant ::: Social Targeted Advertising ::: We make WWWeb Advertising !</t>
  </si>
  <si>
    <t xml:space="preserve">🇮🇱EJPORG🇮🇱</t>
  </si>
  <si>
    <t xml:space="preserve">🔯🇮🇱Israel🇮🇱🕎</t>
  </si>
  <si>
    <t xml:space="preserve">An Israeli ✡️Orthodox Mizrahi Jewish Org 🕎Saving #Christians &amp; #Yazidis of the Middle East-Conservative - #EJPORG -Admin by @thejewishAri! Shalom✡️</t>
  </si>
  <si>
    <t xml:space="preserve">Frank Langenfeld</t>
  </si>
  <si>
    <t xml:space="preserve">RT @STForeignDesk: UPDATE: Japan PM #ShinzoAbe says to work towards fulfilling election promises one by one https://t.co/WCW7ldDoWi #JapanE…</t>
  </si>
  <si>
    <t xml:space="preserve">The focus of humanistic thoughts is not prejudice and obedience to authority, but action of individuals and personal intuition. ~ Quote: Edward William Said</t>
  </si>
  <si>
    <t xml:space="preserve">UPDATE: Japan PM #ShinzoAbe says to work towards fulfilling election promises one by one https://t.co/o2edKfUFgX… https://t.co/FnEYecXEMk</t>
  </si>
  <si>
    <t xml:space="preserve">Raghu Aiyar</t>
  </si>
  <si>
    <t xml:space="preserve">Los Angeles, Mumbai or London</t>
  </si>
  <si>
    <t xml:space="preserve">CEO, K S Aiyar &amp; Co , FCA, CPA; Mumbai, Los Angeles; pacifist, support what's right, yoga enthu. RT could be endorsements / appreciation</t>
  </si>
  <si>
    <t xml:space="preserve">Trading Stoic</t>
  </si>
  <si>
    <t xml:space="preserve">Daytrading #forex and #CrudeOil. Discovered that #trading is challenging but also very SIMPLE with a right mindset.</t>
  </si>
  <si>
    <t xml:space="preserve">Sunanda Was Suicided</t>
  </si>
  <si>
    <t xml:space="preserve">NWOSU Kingson</t>
  </si>
  <si>
    <t xml:space="preserve">Oculo-Visual Health Institute... The Image Of God...Advocate Of Right Impressions.</t>
  </si>
  <si>
    <t xml:space="preserve">Rajni Sangani</t>
  </si>
  <si>
    <t xml:space="preserve">Good Day Atlanta</t>
  </si>
  <si>
    <t xml:space="preserve">TOKYO (AP) Japan's Prime Minister Shinzo Abe says after election win he will pursue "strong diplomacy" to pressure North Korea.</t>
  </si>
  <si>
    <t xml:space="preserve">Wake up early with us on @FOX5Atlanta! We bring you the latest #news, @SKYFOXTraffic and @FOX5StormTeam updates you need for your day... and we're fun!</t>
  </si>
  <si>
    <t xml:space="preserve">FOX 5 Atlanta</t>
  </si>
  <si>
    <t xml:space="preserve">More local news than any other station in the Atlanta area. Home to @GoodDayAtlanta @FOX5StormTeam @FOX5Sports @SKYFOXTraffic and more! #fox5atl</t>
  </si>
  <si>
    <t xml:space="preserve">KousakuKotani</t>
  </si>
  <si>
    <t xml:space="preserve">Dallas Cowboys 3-3</t>
  </si>
  <si>
    <t xml:space="preserve">RT @FOX5Atlanta: TOKYO (AP) Japan's Prime Minister Shinzo Abe says after election win he will pursue "strong diplomacy" to pressure North K…</t>
  </si>
  <si>
    <t xml:space="preserve">Class of 2017 // Fossil Ridge High school // Future @sportscenter reporter @PFF @kingjames @Cavs I love football. Ridge Nation all the way!! 😉😘</t>
  </si>
  <si>
    <t xml:space="preserve">Suresh Kumar</t>
  </si>
  <si>
    <t xml:space="preserve">Staunch Bharatiya, theophile, philalethist, philomath &amp; xenophilic. Loves to Travel, meet people &amp; learn languages. RT &amp; follows not endorsements necessarily.</t>
  </si>
  <si>
    <t xml:space="preserve">瑠璃</t>
  </si>
  <si>
    <r>
      <rPr>
        <sz val="8"/>
        <rFont val="Noto Sans CJK SC Regular"/>
        <family val="2"/>
      </rPr>
      <t xml:space="preserve">政治、歴史問題、様々な事に関心があります。沖縄、北海道の問題、日米同盟、偏向報道、自分には何が出来るか？ 無言フォロー失礼します。頑張ってる議員さんにエールを送りたいです。日本のメディアがいう自称リベラルはただの極左、反日です。 </t>
    </r>
    <r>
      <rPr>
        <sz val="8"/>
        <rFont val="Droid Sans"/>
        <family val="0"/>
        <charset val="1"/>
      </rPr>
      <t xml:space="preserve">DM</t>
    </r>
    <r>
      <rPr>
        <sz val="8"/>
        <rFont val="Noto Sans CJK SC Regular"/>
        <family val="2"/>
      </rPr>
      <t xml:space="preserve">は最小限にしています。</t>
    </r>
  </si>
  <si>
    <t xml:space="preserve">News JS India</t>
  </si>
  <si>
    <t xml:space="preserve">Japan election: Shinzo Abe may have won majority but has failed to win hearts of voters, say political…… https://t.co/f4ReGfFFPH</t>
  </si>
  <si>
    <t xml:space="preserve">India English</t>
  </si>
  <si>
    <t xml:space="preserve">What is #Japan's Pacifist constitution that #ShinzoAbe wants to reform after strong #election win… https://t.co/rXxFRBUuQf</t>
  </si>
  <si>
    <t xml:space="preserve">NewsJS US</t>
  </si>
  <si>
    <t xml:space="preserve">Japan Election Vindicates Shinzo Abe as His Party Wins Big - New York Times https://t.co/LfYDOc69Ie #news https://t.co/EEvz1peEG8</t>
  </si>
  <si>
    <t xml:space="preserve">U.S. edition News Top Stories</t>
  </si>
  <si>
    <t xml:space="preserve">Bal Krishan Srivasta</t>
  </si>
  <si>
    <t xml:space="preserve">Japan Election Vindicates Shinzo Abe as His Party Wins Big https://t.co/Hp9SMVXfvE</t>
  </si>
  <si>
    <t xml:space="preserve">Dinakaran</t>
  </si>
  <si>
    <t xml:space="preserve">ÜT: 0.0,0.0</t>
  </si>
  <si>
    <t xml:space="preserve">Journalist. Android Fanboy. All tweets personal. Retweets may not mean I endorse them.</t>
  </si>
  <si>
    <t xml:space="preserve">Shivendu Gautam</t>
  </si>
  <si>
    <t xml:space="preserve">Sunder Nagar, Himachal Pradesh</t>
  </si>
  <si>
    <t xml:space="preserve">'In God We Trust''</t>
  </si>
  <si>
    <t xml:space="preserve">Five Arrows Club</t>
  </si>
  <si>
    <t xml:space="preserve">Shinzo Abe gains big victory in Japan election via @FT https://t.co/TkTyBkOIVg</t>
  </si>
  <si>
    <t xml:space="preserve">Waddesdon</t>
  </si>
  <si>
    <t xml:space="preserve">not follow me, I say again NOT FOLLOW ME IF YOU FOLLOW ME , I WILL IMMEDIATELY BLOCK YOU,sorry. Just bookmark me and enjoy</t>
  </si>
  <si>
    <t xml:space="preserve">Ajinkya Susham Bande</t>
  </si>
  <si>
    <t xml:space="preserve">RT @FinancialXpress: What is #Japan's Pacifist constitution that #ShinzoAbe wants to reform after strong #election win https://t.co/vAiw6tX…</t>
  </si>
  <si>
    <t xml:space="preserve">14/11/1992</t>
  </si>
  <si>
    <t xml:space="preserve">What now for Japan after Abe's landslide election victory? https://t.co/f79ihjCOC1 The Guardian World News After Shinzo Abe’s crushing de…</t>
  </si>
  <si>
    <t xml:space="preserve">Japan Election Vindicates Shinzo Abe as His Party Wins Big - New York Times https://t.co/oakM4pU8DI #world</t>
  </si>
  <si>
    <t xml:space="preserve">Japan Election Vindicates Shinzo Abe as His Party Wins Big - New York Times: New York Times… https://t.co/ux2CazdiIr https://t.co/8rH7D7B8Ab</t>
  </si>
  <si>
    <t xml:space="preserve">THE KOOTNEETI</t>
  </si>
  <si>
    <t xml:space="preserve">Indian perspective to the changing Geopolitics and Geoeconomics. Diplomacy | ForeignPolicy | Defence Analysis | Bilateral and Multilateral Dialogues</t>
  </si>
  <si>
    <t xml:space="preserve">Bhavika Kulkarni</t>
  </si>
  <si>
    <t xml:space="preserve">Shinzo Abe To Push Reform Of Japan's Constitution After Election Win https://t.co/NnadU2bmzm | 🚀 by… https://t.co/5iqdwW6xrC</t>
  </si>
  <si>
    <t xml:space="preserve">Haiderabad (Hasanganj), India</t>
  </si>
  <si>
    <t xml:space="preserve">I`m a freelance visual designer with over 7 years of experience in both the corporate and freelance spheres.</t>
  </si>
  <si>
    <t xml:space="preserve">MurderedKing</t>
  </si>
  <si>
    <t xml:space="preserve">Proud Meitei. Loves good food, good music and family. #CFCfamily .Doesn't go to KFCs and McDonald's:) Travels alone .</t>
  </si>
  <si>
    <t xml:space="preserve">Japan’s Prime Minister Shinzo Abe says after election win he will pursue “strong diplomacy” to pressure North ... - https://t.co/rL4GGEvC93</t>
  </si>
  <si>
    <t xml:space="preserve">なぁ</t>
  </si>
  <si>
    <r>
      <rPr>
        <sz val="8"/>
        <rFont val="Droid Sans"/>
        <family val="0"/>
        <charset val="1"/>
      </rPr>
      <t xml:space="preserve">#</t>
    </r>
    <r>
      <rPr>
        <sz val="8"/>
        <rFont val="Noto Sans CJK SC Regular"/>
        <family val="2"/>
      </rPr>
      <t xml:space="preserve">読売ジャイアンツ </t>
    </r>
    <r>
      <rPr>
        <sz val="8"/>
        <rFont val="Droid Sans"/>
        <family val="0"/>
        <charset val="1"/>
      </rPr>
      <t xml:space="preserve">#</t>
    </r>
    <r>
      <rPr>
        <sz val="8"/>
        <rFont val="Noto Sans CJK SC Regular"/>
        <family val="2"/>
      </rPr>
      <t xml:space="preserve">何事も中立にいきたい </t>
    </r>
    <r>
      <rPr>
        <sz val="8"/>
        <rFont val="Droid Sans"/>
        <family val="0"/>
        <charset val="1"/>
      </rPr>
      <t xml:space="preserve">#</t>
    </r>
    <r>
      <rPr>
        <sz val="8"/>
        <rFont val="Noto Sans CJK SC Regular"/>
        <family val="2"/>
      </rPr>
      <t xml:space="preserve">政治 </t>
    </r>
    <r>
      <rPr>
        <sz val="8"/>
        <rFont val="Droid Sans"/>
        <family val="0"/>
        <charset val="1"/>
      </rPr>
      <t xml:space="preserve">#</t>
    </r>
    <r>
      <rPr>
        <sz val="8"/>
        <rFont val="Noto Sans CJK SC Regular"/>
        <family val="2"/>
      </rPr>
      <t xml:space="preserve">居酒屋 熱狂的ジャイアンツファン！！！政治。民進党みたいな政党大っっっっっっっ嫌いです。偏りのあるマスコミ報道も嫌いです。日本が好きです。</t>
    </r>
  </si>
  <si>
    <t xml:space="preserve">Rangarajan</t>
  </si>
  <si>
    <t xml:space="preserve">Serial #entrepreneur, #Start-upArchitect, #HealthcareIT, #GrowthHacker,Views are personal. CTO/COO @iMMiLifeIN Proud to be followed back by @SeanEllis</t>
  </si>
  <si>
    <t xml:space="preserve">Japan Election Vindicates Shinzo Abe as His Party Wins Big - New York Times https://t.co/t7PXMk1Zbz</t>
  </si>
  <si>
    <t xml:space="preserve">Rki</t>
  </si>
  <si>
    <t xml:space="preserve">Dakhla, Royaume du Maroc</t>
  </si>
  <si>
    <t xml:space="preserve">Fortune Once</t>
  </si>
  <si>
    <t xml:space="preserve">Twitter bot retweeting news stories just once. Full source and other feeds available on GitHub page. Not affiliated with Fortune.</t>
  </si>
  <si>
    <t xml:space="preserve">Shinzo Abe secures strong mandate in Japan's general election https://t.co/WTIGuuspCj</t>
  </si>
  <si>
    <t xml:space="preserve">John Simon</t>
  </si>
  <si>
    <t xml:space="preserve">Japan's leader just won a resounding election victory, but he's still unpopular https://t.co/WiICWrkQLM</t>
  </si>
  <si>
    <t xml:space="preserve">Passionate about people and their potential, specialises in Communication, Facilitation and Training using well-defined coaching strategies to assist leader.</t>
  </si>
  <si>
    <r>
      <rPr>
        <sz val="8"/>
        <rFont val="Noto Sans CJK SC Regular"/>
        <family val="2"/>
      </rPr>
      <t xml:space="preserve">元販売代理店勤務</t>
    </r>
    <r>
      <rPr>
        <sz val="8"/>
        <rFont val="Droid Sans"/>
        <family val="0"/>
        <charset val="1"/>
      </rPr>
      <t xml:space="preserve">10</t>
    </r>
    <r>
      <rPr>
        <sz val="8"/>
        <rFont val="Noto Sans CJK SC Regular"/>
        <family val="2"/>
      </rPr>
      <t xml:space="preserve">年ぐらい </t>
    </r>
    <r>
      <rPr>
        <sz val="8"/>
        <rFont val="Droid Sans"/>
        <family val="0"/>
        <charset val="1"/>
      </rPr>
      <t xml:space="preserve">htt</t>
    </r>
    <r>
      <rPr>
        <sz val="8"/>
        <rFont val="Noto Sans CJK SC Regular"/>
        <family val="2"/>
      </rPr>
      <t xml:space="preserve">独占企業嫌い 進行性ﾐｵｸﾛﾇｽてんかん ２４年</t>
    </r>
    <r>
      <rPr>
        <sz val="8"/>
        <rFont val="Droid Sans"/>
        <family val="0"/>
        <charset val="1"/>
      </rPr>
      <t xml:space="preserve">3</t>
    </r>
    <r>
      <rPr>
        <sz val="8"/>
        <rFont val="Noto Sans CJK SC Regular"/>
        <family val="2"/>
      </rPr>
      <t xml:space="preserve">月１０日１０年飼っていた鳥が亡くなりました</t>
    </r>
    <r>
      <rPr>
        <sz val="8"/>
        <rFont val="Droid Sans"/>
        <family val="0"/>
        <charset val="1"/>
      </rPr>
      <t xml:space="preserve">29</t>
    </r>
    <r>
      <rPr>
        <sz val="8"/>
        <rFont val="Noto Sans CJK SC Regular"/>
        <family val="2"/>
      </rPr>
      <t xml:space="preserve">ねん</t>
    </r>
    <r>
      <rPr>
        <sz val="8"/>
        <rFont val="Droid Sans"/>
        <family val="0"/>
        <charset val="1"/>
      </rPr>
      <t xml:space="preserve">2</t>
    </r>
    <r>
      <rPr>
        <sz val="8"/>
        <rFont val="Noto Sans CJK SC Regular"/>
        <family val="2"/>
      </rPr>
      <t xml:space="preserve">月</t>
    </r>
    <r>
      <rPr>
        <sz val="8"/>
        <rFont val="Droid Sans"/>
        <family val="0"/>
        <charset val="1"/>
      </rPr>
      <t xml:space="preserve">2</t>
    </r>
    <r>
      <rPr>
        <sz val="8"/>
        <rFont val="Noto Sans CJK SC Regular"/>
        <family val="2"/>
      </rPr>
      <t xml:space="preserve">日また、小桜インコ 購入 </t>
    </r>
    <r>
      <rPr>
        <sz val="8"/>
        <rFont val="Droid Sans"/>
        <family val="0"/>
        <charset val="1"/>
      </rPr>
      <t xml:space="preserve">2017</t>
    </r>
    <r>
      <rPr>
        <sz val="8"/>
        <rFont val="Noto Sans CJK SC Regular"/>
        <family val="2"/>
      </rPr>
      <t xml:space="preserve">年</t>
    </r>
    <r>
      <rPr>
        <sz val="8"/>
        <rFont val="Droid Sans"/>
        <family val="0"/>
        <charset val="1"/>
      </rPr>
      <t xml:space="preserve">4</t>
    </r>
    <r>
      <rPr>
        <sz val="8"/>
        <rFont val="Noto Sans CJK SC Regular"/>
        <family val="2"/>
      </rPr>
      <t xml:space="preserve">月進行性ミオクロヌスてんかんに、小脳萎縮判明 難病認定、誤字や物忘れおおいです 過去ログ</t>
    </r>
  </si>
  <si>
    <t xml:space="preserve">jirakay</t>
  </si>
  <si>
    <t xml:space="preserve">Japan Election Vindicates Shinzo Abe as His Party Wins Big - New York Times https://t.co/Qc5XrvrFGd</t>
  </si>
  <si>
    <t xml:space="preserve">อุบลราชธานี, ประเทศไทย</t>
  </si>
  <si>
    <t xml:space="preserve">Tatiana Wright</t>
  </si>
  <si>
    <t xml:space="preserve">Tysons Corner, VA</t>
  </si>
  <si>
    <t xml:space="preserve">I am just #Tatiana, #Republican. Proud American.</t>
  </si>
  <si>
    <t xml:space="preserve">BRAIN WITH THOUGHT</t>
  </si>
  <si>
    <t xml:space="preserve">. "The only person you should try to be better than is the person you were yesterday.</t>
  </si>
  <si>
    <t xml:space="preserve">bigbrian</t>
  </si>
  <si>
    <t xml:space="preserve">Shinzo Abe retains supermajority in Japan’s election, may push to amend constitution https://t.co/KGJGjpQZMX</t>
  </si>
  <si>
    <t xml:space="preserve">Evil internet advocate. Social media fanatic. Gamer. Alcohol expert. Tv junkie. Total web maven. Freelance food geek.</t>
  </si>
  <si>
    <t xml:space="preserve">Lionheart</t>
  </si>
  <si>
    <t xml:space="preserve">Japan Election Vindicates Shinzo Abe as His Party Wins Big https://t.co/9uF2v3PZJB</t>
  </si>
  <si>
    <t xml:space="preserve">Feel free to follow us, in fact we positively encourage you too ! BTW goes without saying that anything we tweet can't be used in evidence against us 😇</t>
  </si>
  <si>
    <t xml:space="preserve">अजयसिंह:</t>
  </si>
  <si>
    <t xml:space="preserve">यत्र शरीरं नयति</t>
  </si>
  <si>
    <t xml:space="preserve">Decolonizing the Mind, Transforming the Self यथा दृष्टि: तथा सृष्टि: Samskriti that invasion could not destroy,(hindu) ignorance will</t>
  </si>
  <si>
    <t xml:space="preserve">mohit patil</t>
  </si>
  <si>
    <t xml:space="preserve">Pune,india</t>
  </si>
  <si>
    <t xml:space="preserve">चलो जलाए दीप वहा जहा अभी भी अंधेरा है..</t>
  </si>
  <si>
    <t xml:space="preserve">Japan’s Prime Minister Shinzo Abe says after election win he will pursue “strong diplomacy” to pressure North Korea #worldnews #news</t>
  </si>
  <si>
    <t xml:space="preserve">Reuters Top News</t>
  </si>
  <si>
    <t xml:space="preserve">Prime Minister Shinzo Abe to push for reforms to Japan's post-war pacifist constitution after strong election win.… https://t.co/thgoxbK92F</t>
  </si>
  <si>
    <t xml:space="preserve">Around the world</t>
  </si>
  <si>
    <t xml:space="preserve">Top and breaking news, pictures, and videos from Reuters.</t>
  </si>
  <si>
    <t xml:space="preserve">Atanu Das</t>
  </si>
  <si>
    <t xml:space="preserve">Ganga Sagar</t>
  </si>
  <si>
    <t xml:space="preserve">A science graduate. Believe @narendramodi . Hopeless about WB BJP. Hate communists and pseudo-liberals and pseudo seculars.</t>
  </si>
  <si>
    <t xml:space="preserve">Alfre</t>
  </si>
  <si>
    <t xml:space="preserve">RT @Reuters: Prime Minister Shinzo Abe to push for reforms to Japan's post-war pacifist constitution after strong election win. https://t.c…</t>
  </si>
  <si>
    <t xml:space="preserve">Malasaña &amp; Valladolid</t>
  </si>
  <si>
    <r>
      <rPr>
        <sz val="8"/>
        <rFont val="Noto Sans CJK SC Regular"/>
        <family val="2"/>
      </rPr>
      <t xml:space="preserve">鈴木博喜 </t>
    </r>
    <r>
      <rPr>
        <sz val="8"/>
        <rFont val="Droid Sans"/>
        <family val="0"/>
        <charset val="1"/>
      </rPr>
      <t xml:space="preserve">(</t>
    </r>
    <r>
      <rPr>
        <sz val="8"/>
        <rFont val="Noto Sans CJK SC Regular"/>
        <family val="2"/>
      </rPr>
      <t xml:space="preserve">「民の声新聞」発行人</t>
    </r>
    <r>
      <rPr>
        <sz val="8"/>
        <rFont val="Droid Sans"/>
        <family val="0"/>
        <charset val="1"/>
      </rPr>
      <t xml:space="preserve">)</t>
    </r>
  </si>
  <si>
    <t xml:space="preserve">Yokosuka, Japan</t>
  </si>
  <si>
    <r>
      <rPr>
        <sz val="8"/>
        <rFont val="Droid Sans"/>
        <family val="0"/>
        <charset val="1"/>
      </rPr>
      <t xml:space="preserve">1972</t>
    </r>
    <r>
      <rPr>
        <sz val="8"/>
        <rFont val="Noto Sans CJK SC Regular"/>
        <family val="2"/>
      </rPr>
      <t xml:space="preserve">年</t>
    </r>
    <r>
      <rPr>
        <sz val="8"/>
        <rFont val="Droid Sans"/>
        <family val="0"/>
        <charset val="1"/>
      </rPr>
      <t xml:space="preserve">1</t>
    </r>
    <r>
      <rPr>
        <sz val="8"/>
        <rFont val="Noto Sans CJK SC Regular"/>
        <family val="2"/>
      </rPr>
      <t xml:space="preserve">月</t>
    </r>
    <r>
      <rPr>
        <sz val="8"/>
        <rFont val="Droid Sans"/>
        <family val="0"/>
        <charset val="1"/>
      </rPr>
      <t xml:space="preserve">27</t>
    </r>
    <r>
      <rPr>
        <sz val="8"/>
        <rFont val="Noto Sans CJK SC Regular"/>
        <family val="2"/>
      </rPr>
      <t xml:space="preserve">日生まれ。追浜高校→日大。子どもたちを被曝から救いたい。横須賀に生まれ育つ。【じぶん銀行 あいいろ支店 普通</t>
    </r>
    <r>
      <rPr>
        <sz val="8"/>
        <rFont val="Droid Sans"/>
        <family val="0"/>
        <charset val="1"/>
      </rPr>
      <t xml:space="preserve">2460943</t>
    </r>
    <r>
      <rPr>
        <sz val="8"/>
        <rFont val="Noto Sans CJK SC Regular"/>
        <family val="2"/>
      </rPr>
      <t xml:space="preserve">（銀行コード</t>
    </r>
    <r>
      <rPr>
        <sz val="8"/>
        <rFont val="Droid Sans"/>
        <family val="0"/>
        <charset val="1"/>
      </rPr>
      <t xml:space="preserve">0039 </t>
    </r>
    <r>
      <rPr>
        <sz val="8"/>
        <rFont val="Noto Sans CJK SC Regular"/>
        <family val="2"/>
      </rPr>
      <t xml:space="preserve">支店番号</t>
    </r>
    <r>
      <rPr>
        <sz val="8"/>
        <rFont val="Droid Sans"/>
        <family val="0"/>
        <charset val="1"/>
      </rPr>
      <t xml:space="preserve">106</t>
    </r>
    <r>
      <rPr>
        <sz val="8"/>
        <rFont val="Noto Sans CJK SC Regular"/>
        <family val="2"/>
      </rPr>
      <t xml:space="preserve">）】 </t>
    </r>
    <r>
      <rPr>
        <sz val="8"/>
        <rFont val="Droid Sans"/>
        <family val="0"/>
        <charset val="1"/>
      </rPr>
      <t xml:space="preserve">hirokix39@gmail.com</t>
    </r>
  </si>
  <si>
    <t xml:space="preserve">Anna Loop</t>
  </si>
  <si>
    <t xml:space="preserve">Prime Minister Shinzo Abe to push for reforms to Japan's post-war pacifist constitution after strong election win.… …</t>
  </si>
  <si>
    <t xml:space="preserve">Healing Power of #Mindfulness #Exercise #Nutrition - Retired Bodybuilder/Trainer - #Yoga - #Meditation</t>
  </si>
  <si>
    <t xml:space="preserve">鳳水</t>
  </si>
  <si>
    <t xml:space="preserve">日本 北海道</t>
  </si>
  <si>
    <r>
      <rPr>
        <sz val="8"/>
        <rFont val="Droid Sans"/>
        <family val="0"/>
        <charset val="1"/>
      </rPr>
      <t xml:space="preserve">30</t>
    </r>
    <r>
      <rPr>
        <sz val="8"/>
        <rFont val="Noto Sans CJK SC Regular"/>
        <family val="2"/>
      </rPr>
      <t xml:space="preserve">代 男性 読書好きで、現代文学に親しんでいます。書道を習い、『正師範』の資格があります。高校では生徒会活動に励み、水泳部で三年間活動しました。経済は素人です。政治は、国政、地方自治ともに関心はありますが、発言を控えています。</t>
    </r>
  </si>
  <si>
    <t xml:space="preserve">Prime Minister Shinzo Abe to push for reforms to Japan's post-war pacifist constitution after strong election win.… https://t.co/SI67gkO2Sn</t>
  </si>
  <si>
    <t xml:space="preserve">Michael Michelno</t>
  </si>
  <si>
    <t xml:space="preserve">衡山路</t>
  </si>
  <si>
    <t xml:space="preserve">@Asempa_Onuafm</t>
  </si>
  <si>
    <t xml:space="preserve">Adesawe - Kanda</t>
  </si>
  <si>
    <t xml:space="preserve">Morning Show Host @Onua951fm</t>
  </si>
  <si>
    <t xml:space="preserve">Lorrie Mack</t>
  </si>
  <si>
    <t xml:space="preserve">RT @Anon_Eu: Japan’s Prime Minister Shinzo Abe says after election win he will pursue “strong diplomacy” to pressure North Korea #worldnews…</t>
  </si>
  <si>
    <t xml:space="preserve">U.S.A.</t>
  </si>
  <si>
    <t xml:space="preserve">Political Consultant. #Politics is war! I have scars to prove it. 🇺🇸 🐘Never underestimate the difference you can make in the lives of others✝️</t>
  </si>
  <si>
    <t xml:space="preserve">Khalil A. Hassan</t>
  </si>
  <si>
    <t xml:space="preserve">Corporate Financial Adviser; former Banker, Free-lance writer, analyst &amp; business journalist.</t>
  </si>
  <si>
    <t xml:space="preserve">THEwatchDOG 🇿🇼®</t>
  </si>
  <si>
    <t xml:space="preserve">Bulawayo, Zimbabwe</t>
  </si>
  <si>
    <t xml:space="preserve">JOURNALIST | ONLINE ACTIVIST | #4thESTATE | 🇿🇼#JOURNALISM.#FreedomOFtheMedia | producer |Director |zakesbantwana3@gmail.com | @TheEyeNust |+263782119479🕵️📸🎥📠🎙️</t>
  </si>
  <si>
    <t xml:space="preserve">furuna✨</t>
  </si>
  <si>
    <r>
      <rPr>
        <sz val="8"/>
        <rFont val="Noto Sans CJK SC Regular"/>
        <family val="2"/>
      </rPr>
      <t xml:space="preserve">渋谷区広尾生まれ、射手座の</t>
    </r>
    <r>
      <rPr>
        <sz val="8"/>
        <rFont val="Droid Sans"/>
        <family val="0"/>
        <charset val="1"/>
      </rPr>
      <t xml:space="preserve">O</t>
    </r>
    <r>
      <rPr>
        <sz val="8"/>
        <rFont val="Noto Sans CJK SC Regular"/>
        <family val="2"/>
      </rPr>
      <t xml:space="preserve">型😂</t>
    </r>
  </si>
  <si>
    <r>
      <rPr>
        <sz val="8"/>
        <rFont val="Droid Sans"/>
        <family val="0"/>
        <charset val="1"/>
      </rPr>
      <t xml:space="preserve">silvino </t>
    </r>
    <r>
      <rPr>
        <sz val="8"/>
        <rFont val="Noto Sans CJK SC Regular"/>
        <family val="2"/>
      </rPr>
      <t xml:space="preserve">欢迎</t>
    </r>
  </si>
  <si>
    <t xml:space="preserve">#think:The Election Win of Japanese Prime Minister Shinzo Abe Puts the Nikkei on Track for a Record Rise https://t.co/xaDdJgbP02</t>
  </si>
  <si>
    <t xml:space="preserve">Portugal</t>
  </si>
  <si>
    <t xml:space="preserve">Good stuff really should be sharing, knowledge comes from sharing things, #marketing #networking #strategy #data #services #research #measurement #influence</t>
  </si>
  <si>
    <t xml:space="preserve">silent taker</t>
  </si>
  <si>
    <t xml:space="preserve">Prime Minister Shinzo Abe to push for reforms to Japan's post-war pacifist constitution after strong election win.… https://t.co/mUoNk8ZSQk</t>
  </si>
  <si>
    <t xml:space="preserve">Ishpreet Singh</t>
  </si>
  <si>
    <t xml:space="preserve">San Franscisco</t>
  </si>
  <si>
    <t xml:space="preserve">Head of Global IT, Ex-Splunker &amp; Deloitte. American Sikh, I love all kind technology that’s making an impact to people’s life,#AI,and opinions are my own</t>
  </si>
  <si>
    <t xml:space="preserve">Nora Jean Stone</t>
  </si>
  <si>
    <t xml:space="preserve">San Francisco, CA, USA</t>
  </si>
  <si>
    <t xml:space="preserve">Published author, online polymer clay art teacher, &amp; Astrologer. I am the VP and Dir. of Publicity for @AstrologySocSF</t>
  </si>
  <si>
    <t xml:space="preserve">Christophe BURGOS</t>
  </si>
  <si>
    <t xml:space="preserve">Nouvelle-Calédonie</t>
  </si>
  <si>
    <t xml:space="preserve">Trader pour comptes propres sur FOREX et futures, passionné également de sport et notamment de voile et de parachutisme...</t>
  </si>
  <si>
    <t xml:space="preserve">Pimploy</t>
  </si>
  <si>
    <t xml:space="preserve">Usan, Scotland</t>
  </si>
  <si>
    <t xml:space="preserve">#chronic #disease is #food choice Just imagine how #healthy we would be if #doctors were to believe this #Health #Love #followme</t>
  </si>
  <si>
    <t xml:space="preserve">Prime Minister Shinzo Abe to push for reforms to Japan's post-war pacifist constitution after strong election win.… https://t.co/qUTDq9lb5D</t>
  </si>
  <si>
    <t xml:space="preserve">Dana Křetínska</t>
  </si>
  <si>
    <t xml:space="preserve">K.G.Ajith Menon.</t>
  </si>
  <si>
    <t xml:space="preserve">cochin</t>
  </si>
  <si>
    <t xml:space="preserve">Former HRD executive of Tomco. A short story writer,environmentalist and a freelance journalist.</t>
  </si>
  <si>
    <t xml:space="preserve">Chamsae</t>
  </si>
  <si>
    <t xml:space="preserve">Daniel Ozioma</t>
  </si>
  <si>
    <t xml:space="preserve">Dubai UAE</t>
  </si>
  <si>
    <t xml:space="preserve">still_resisting</t>
  </si>
  <si>
    <t xml:space="preserve">survivor of much;committed to leaving this world better place; Intolerant of stupid; lifelong smart ass w occ potty mouth#indivisible</t>
  </si>
  <si>
    <t xml:space="preserve">Deplorable Earl</t>
  </si>
  <si>
    <t xml:space="preserve">Cornwall</t>
  </si>
  <si>
    <t xml:space="preserve">Deplorable @EarlOfCornwall</t>
  </si>
  <si>
    <t xml:space="preserve">Jay Schneider</t>
  </si>
  <si>
    <t xml:space="preserve">Classical Liberal. Reformed bloodless cosmopolitan. Neo-Virginian. #1A 🇺🇸</t>
  </si>
  <si>
    <t xml:space="preserve">Reuters India</t>
  </si>
  <si>
    <t xml:space="preserve">Prime Minister Shinzo Abe to push for reforms to Japan's post-war pacifist constitution after strong election win.… https://t.co/p5FEGsGoeo</t>
  </si>
  <si>
    <t xml:space="preserve">The latest from India and around the world.</t>
  </si>
  <si>
    <t xml:space="preserve">Japan election: Shinzo Abe may have won majority but has failed to win hearts of… https://t.co/DPjX3iQMNT @iblogbir</t>
  </si>
  <si>
    <t xml:space="preserve">Maqbool Ahmed</t>
  </si>
  <si>
    <t xml:space="preserve">RT @ReutersIndia: Prime Minister Shinzo Abe to push for reforms to Japan's post-war pacifist constitution after strong election win. https:…</t>
  </si>
  <si>
    <t xml:space="preserve">International Relations ,Culture Diplomacy , Democracy , Gender Equality , Animal Rights , UN Objectives</t>
  </si>
  <si>
    <t xml:space="preserve">SaintOfKillers 🇰🇪</t>
  </si>
  <si>
    <t xml:space="preserve">Nyali,Mombasa [Kenya]</t>
  </si>
  <si>
    <t xml:space="preserve">Tv Series enthusiast/Addict</t>
  </si>
  <si>
    <t xml:space="preserve">りみぴょん</t>
  </si>
  <si>
    <t xml:space="preserve">東京都港区六本木３丁目</t>
  </si>
  <si>
    <r>
      <rPr>
        <sz val="8"/>
        <rFont val="Noto Sans CJK SC Regular"/>
        <family val="2"/>
      </rPr>
      <t xml:space="preserve">ﾎﾟｴｼﾞｰな散文日記家．りみい恋日記 </t>
    </r>
    <r>
      <rPr>
        <sz val="8"/>
        <rFont val="Droid Sans"/>
        <family val="0"/>
        <charset val="1"/>
      </rPr>
      <t xml:space="preserve">https://t.co/6SWfCqbA3F… </t>
    </r>
    <r>
      <rPr>
        <sz val="8"/>
        <rFont val="Noto Sans CJK SC Regular"/>
        <family val="2"/>
      </rPr>
      <t xml:space="preserve">ﾒﾙﾍﾝ王国の王様と動物たち </t>
    </r>
    <r>
      <rPr>
        <sz val="8"/>
        <rFont val="Droid Sans"/>
        <family val="0"/>
        <charset val="1"/>
      </rPr>
      <t xml:space="preserve">https://t.co/pr2FY6JpCA… </t>
    </r>
    <r>
      <rPr>
        <sz val="8"/>
        <rFont val="Noto Sans CJK SC Regular"/>
        <family val="2"/>
      </rPr>
      <t xml:space="preserve">【 </t>
    </r>
    <r>
      <rPr>
        <sz val="8"/>
        <rFont val="Droid Sans"/>
        <family val="0"/>
        <charset val="1"/>
      </rPr>
      <t xml:space="preserve">https://t.co/wzMe8a02S7 </t>
    </r>
    <r>
      <rPr>
        <sz val="8"/>
        <rFont val="Noto Sans CJK SC Regular"/>
        <family val="2"/>
      </rPr>
      <t xml:space="preserve">】</t>
    </r>
  </si>
  <si>
    <t xml:space="preserve">Japan Election Vindicates Shinzo Abe as His Party Wins Big https://t.co/kzPbtk8YGd</t>
  </si>
  <si>
    <t xml:space="preserve">Japan Election Vindicates Shinzo Abe as His Party Wins Big - New York Times https://t.co/hcvPWKxeUB</t>
  </si>
  <si>
    <t xml:space="preserve">RT: @reuters :Prime Minister Shinzo Abe to push for reforms to Japan's post-war pacifist constitution after strong election win.… https://t.</t>
  </si>
  <si>
    <t xml:space="preserve">T-Klinik</t>
  </si>
  <si>
    <t xml:space="preserve">Japan Election Vindicates Shinzo Abe as His Party Wins Big - https://t.co/mLnwMjrFST #tklinik</t>
  </si>
  <si>
    <t xml:space="preserve">Cologne, Germany</t>
  </si>
  <si>
    <t xml:space="preserve">Fachklinik für Plastische Chirurgie in Köln. Plastic and aesthetic surgery clinic in cologne. Tweets von @drticlea</t>
  </si>
  <si>
    <t xml:space="preserve">gail simmons</t>
  </si>
  <si>
    <t xml:space="preserve">RT @TomFlowers: Japan Election Vindicates Shinzo Abe as His Party Wins Big - New York Times https://t.co/hcvPWKxeUB</t>
  </si>
  <si>
    <t xml:space="preserve">Southern hemisphere</t>
  </si>
  <si>
    <t xml:space="preserve">Interested in world affairs, communication, education and peace.</t>
  </si>
  <si>
    <t xml:space="preserve">Samweiner</t>
  </si>
  <si>
    <t xml:space="preserve">Politics and Tech geek. HATE ppl who lie for self benefit and Live on ppl misery. No to Dynasty Politics, screw them.</t>
  </si>
  <si>
    <t xml:space="preserve">News Everyone</t>
  </si>
  <si>
    <t xml:space="preserve">Shinzo Abe To Push Reform Of Japan&amp;#039;s Constitution After Election Win #lol https://t.co/GxNVpq4yMR</t>
  </si>
  <si>
    <t xml:space="preserve">nana kwabiah</t>
  </si>
  <si>
    <t xml:space="preserve">Here is where you can find the latest and great news around the world! Enjoy!</t>
  </si>
  <si>
    <t xml:space="preserve">ralph gargaro</t>
  </si>
  <si>
    <t xml:space="preserve">Greater Vancouver, British Columbia</t>
  </si>
  <si>
    <t xml:space="preserve">Solveig Eriksson</t>
  </si>
  <si>
    <t xml:space="preserve">Mi.</t>
  </si>
  <si>
    <t xml:space="preserve">https://t.co/W0pL7gQLng</t>
  </si>
  <si>
    <t xml:space="preserve">Rakesh Tomar</t>
  </si>
  <si>
    <t xml:space="preserve">A retiree: Views are mine.RT's, links not endorsement. 🐾</t>
  </si>
  <si>
    <r>
      <rPr>
        <sz val="8"/>
        <rFont val="Droid Sans"/>
        <family val="0"/>
        <charset val="1"/>
      </rPr>
      <t xml:space="preserve">Choonsik Yoo (</t>
    </r>
    <r>
      <rPr>
        <sz val="8"/>
        <rFont val="Noto Sans CJK SC Regular"/>
        <family val="2"/>
      </rPr>
      <t xml:space="preserve">유춘식</t>
    </r>
    <r>
      <rPr>
        <sz val="8"/>
        <rFont val="Droid Sans"/>
        <family val="0"/>
        <charset val="1"/>
      </rPr>
      <t xml:space="preserve">)</t>
    </r>
  </si>
  <si>
    <r>
      <rPr>
        <sz val="8"/>
        <rFont val="Droid Sans"/>
        <family val="0"/>
        <charset val="1"/>
      </rPr>
      <t xml:space="preserve">📒 #Reuters Korean News Service Editor, #</t>
    </r>
    <r>
      <rPr>
        <sz val="8"/>
        <rFont val="Noto Sans CJK SC Regular"/>
        <family val="2"/>
      </rPr>
      <t xml:space="preserve">로이터통신 🇰🇷한국어뉴스서비스 편집장</t>
    </r>
    <r>
      <rPr>
        <sz val="8"/>
        <rFont val="Droid Sans"/>
        <family val="0"/>
        <charset val="1"/>
      </rPr>
      <t xml:space="preserve">, 📊Economics/Markets, </t>
    </r>
    <r>
      <rPr>
        <sz val="8"/>
        <rFont val="Noto Sans CJK SC Regular"/>
        <family val="2"/>
      </rPr>
      <t xml:space="preserve">트위터 글은 사견임</t>
    </r>
    <r>
      <rPr>
        <sz val="8"/>
        <rFont val="Droid Sans"/>
        <family val="0"/>
        <charset val="1"/>
      </rPr>
      <t xml:space="preserve">, #Korea #SouthKorea #NorthKorea @Reuters</t>
    </r>
  </si>
  <si>
    <t xml:space="preserve">VIPortal INC</t>
  </si>
  <si>
    <t xml:space="preserve">Japan Election Vindicates Shinzo Abe as His Party Wins Big https://t.co/Lull9jjwB7 https://t.co/UUryGPozg3</t>
  </si>
  <si>
    <t xml:space="preserve">The One Stop Portal for Everyone.. Awakening Africa</t>
  </si>
  <si>
    <t xml:space="preserve">rockophobic</t>
  </si>
  <si>
    <t xml:space="preserve">Japan's leader just won a resounding election victory, but he's still unpopular https://t.co/xCIX2Mks19</t>
  </si>
  <si>
    <t xml:space="preserve">13 |</t>
  </si>
  <si>
    <t xml:space="preserve">RT Anon_Eu "Japan’s Prime Minister Shinzo Abe says after election win he will pursue “strong diplomacy” to pressure North Korea #worldnews …</t>
  </si>
  <si>
    <t xml:space="preserve">ゴリ谷</t>
  </si>
  <si>
    <t xml:space="preserve">news on finance</t>
  </si>
  <si>
    <t xml:space="preserve">Italia</t>
  </si>
  <si>
    <t xml:space="preserve">news from Finance commodities politics stocks analysis</t>
  </si>
  <si>
    <t xml:space="preserve">jacqueline looker</t>
  </si>
  <si>
    <t xml:space="preserve">I am a lesbian/vegetarian with a long time wife who we share a home with our 2 beauties,Guinevere &amp; Jett.</t>
  </si>
  <si>
    <t xml:space="preserve">Justine McGuinness</t>
  </si>
  <si>
    <t xml:space="preserve">Dorset</t>
  </si>
  <si>
    <t xml:space="preserve">My own views on Dorset, gardening, politics, gold, etc - sitting on Alberto Fujimori's knee is not an endorsement!</t>
  </si>
  <si>
    <t xml:space="preserve">Stine Buch Jacobsen</t>
  </si>
  <si>
    <t xml:space="preserve">@Reuters journo covering Denmark, Iceland, Faroe Islands, Greenland ▪️Tweets about all things Nordic &amp; energy▪️stine.jacobsen@thomsonreuters.com / DM for mobile</t>
  </si>
  <si>
    <t xml:space="preserve">Gosippy TabLloyd</t>
  </si>
  <si>
    <t xml:space="preserve">Prime Minister Shinzo Abe to push for reforms to Japan's post-war pacifist constitution after strong election win.… https://t.co/jW9OnkomjH</t>
  </si>
  <si>
    <t xml:space="preserve">Las Vegas headliner banished to New England, using my big mouth to work in PR. You look nice today. I like ham. And to stir conversation.</t>
  </si>
  <si>
    <t xml:space="preserve">John Ehrlich</t>
  </si>
  <si>
    <t xml:space="preserve">Chappaqua NY and Redlands CA</t>
  </si>
  <si>
    <t xml:space="preserve">Walking the road from newspapers to tweets we go past your neighborhood. Join us on the journey as we headline world news and the top 100 global stories daily.</t>
  </si>
  <si>
    <t xml:space="preserve">Brij Mishra</t>
  </si>
  <si>
    <t xml:space="preserve">#सबसे पहले भारत 🇮🇳#जय जवान जय किसान 🇮🇳 जिसके दिल में भारत नहीं , वो भारत का नहीं ।। NaMo Fan ।। RTs are not endorsements</t>
  </si>
  <si>
    <t xml:space="preserve">Hans de Vreij</t>
  </si>
  <si>
    <t xml:space="preserve">Dutch journalist | Mainly military &amp; intel stuff | Foreign postings: Brussels, Geneva, Prague, East Berlin | Kогда-то занимался русским языком |</t>
  </si>
  <si>
    <t xml:space="preserve">Bitz News</t>
  </si>
  <si>
    <t xml:space="preserve">Japan Election Vindicates Shinzo Abe as His Party Wins Big - New York Times https://t.co/ObD1yJs939</t>
  </si>
  <si>
    <t xml:space="preserve">Exclusive content and top stories ONLY ON BITZ NEWS</t>
  </si>
  <si>
    <t xml:space="preserve">Jorge Luis Zamudio</t>
  </si>
  <si>
    <t xml:space="preserve">Ensenada, Baja California</t>
  </si>
  <si>
    <t xml:space="preserve">Suniel Kummar</t>
  </si>
  <si>
    <t xml:space="preserve">Loves Photography Travelling Entrepreneur Working on a #Startup Believes in Swachh Bharat Animal Lover Mumbaikar by birth Hyderabadi by choice &amp; an Indian DilSe</t>
  </si>
  <si>
    <t xml:space="preserve">The New York Tribune</t>
  </si>
  <si>
    <t xml:space="preserve">Japan Election Vindicates Shinzo Abe as His Party Wins Big - New York Times https://t.co/nhX4OIquSm</t>
  </si>
  <si>
    <t xml:space="preserve">🇺🇸</t>
  </si>
  <si>
    <t xml:space="preserve">Stay informed on today news.</t>
  </si>
  <si>
    <t xml:space="preserve">Happens In India</t>
  </si>
  <si>
    <t xml:space="preserve">Reuters World</t>
  </si>
  <si>
    <t xml:space="preserve">Prime Minister Shinzo Abe to push for reforms to Japan's post-war pacifist constitution after strong election win.… https://t.co/DyHdBkilQb</t>
  </si>
  <si>
    <t xml:space="preserve">Your source for top international news and analysis.</t>
  </si>
  <si>
    <t xml:space="preserve">KAMOL</t>
  </si>
  <si>
    <t xml:space="preserve">We don't grow when things are easy. We grow when we face challenges. #travel #nature #iOS #BigData #BlackandWhite #Photographer #Wildlife</t>
  </si>
  <si>
    <t xml:space="preserve">Nubian queen</t>
  </si>
  <si>
    <t xml:space="preserve">RT @ReutersWorld: Prime Minister Shinzo Abe to push for reforms to Japan's post-war pacifist constitution after strong election win. https:…</t>
  </si>
  <si>
    <t xml:space="preserve">Loves IT, KNOWLEDGE, WISDOM and TRUTH. Wants the SYSTEM to change!!!🎓👊</t>
  </si>
  <si>
    <t xml:space="preserve">hans oconner</t>
  </si>
  <si>
    <t xml:space="preserve">Birmingham, UK</t>
  </si>
  <si>
    <t xml:space="preserve">News Stories Daily</t>
  </si>
  <si>
    <t xml:space="preserve">Japan Election Vindicates Shinzo Abe as His Party Wins Big - New York Times https://t.co/iH9v2eSCLo</t>
  </si>
  <si>
    <t xml:space="preserve">╔╳═╳╗</t>
  </si>
  <si>
    <t xml:space="preserve">Andáte.</t>
  </si>
  <si>
    <r>
      <rPr>
        <sz val="8"/>
        <rFont val="Droid Sans"/>
        <family val="0"/>
        <charset val="1"/>
      </rPr>
      <t xml:space="preserve">Joshua Levenson </t>
    </r>
    <r>
      <rPr>
        <sz val="8"/>
        <rFont val="Noto Sans CJK SC Regular"/>
        <family val="2"/>
      </rPr>
      <t xml:space="preserve">罗旭</t>
    </r>
  </si>
  <si>
    <t xml:space="preserve">I am a #geopolitical analyst. I am proficient in Mandarin. I graduated with a MA in strategic studies from Australian National University. #politicalrisk #China</t>
  </si>
  <si>
    <t xml:space="preserve">Top News: Japan Election Vindicates Shinzo Abe as His Party Wins Big - New York Times https://t.co/1lr0TMQats</t>
  </si>
  <si>
    <t xml:space="preserve">Luca Pintus</t>
  </si>
  <si>
    <t xml:space="preserve">Sardegna, Italia</t>
  </si>
  <si>
    <t xml:space="preserve">Scrivo di Politica. Studente</t>
  </si>
  <si>
    <r>
      <rPr>
        <sz val="8"/>
        <rFont val="Droid Sans"/>
        <family val="0"/>
        <charset val="1"/>
      </rPr>
      <t xml:space="preserve">นู๋รุ้ง </t>
    </r>
    <r>
      <rPr>
        <sz val="8"/>
        <rFont val="Noto Sans CJK SC Regular"/>
        <family val="2"/>
      </rPr>
      <t xml:space="preserve">무지개</t>
    </r>
  </si>
  <si>
    <t xml:space="preserve">Bangkok Thailand</t>
  </si>
  <si>
    <t xml:space="preserve">Tweet&amp;RT ข่าวทุกประเภท+ส่วนตัว // Thai HOTTEST &amp; 2PM Fan, ซับไทยบ้าน Tamfeels ดูที่ Favorites จ้ะ // ชอบอ่านหนังสือ // https://t.co/uJTts1X7Zs</t>
  </si>
  <si>
    <t xml:space="preserve">Tshepo Selepe</t>
  </si>
  <si>
    <t xml:space="preserve">🇿🇦</t>
  </si>
  <si>
    <t xml:space="preserve">Blah Blah Blah Blah Blah Blah</t>
  </si>
  <si>
    <t xml:space="preserve">News You Need</t>
  </si>
  <si>
    <t xml:space="preserve">Japan Election Vindicates Shinzo Abe as His Party Wins Big - New York Times https://t.co/46zibyY1yC</t>
  </si>
  <si>
    <t xml:space="preserve">Japan’s Prime Minister Shinzo Abe says after election win he will pursue “strong diplomacy” to pressure North Korea</t>
  </si>
  <si>
    <t xml:space="preserve">Emmanuel Cambas</t>
  </si>
  <si>
    <t xml:space="preserve">Berlin Bruxelles Aθηνα London</t>
  </si>
  <si>
    <t xml:space="preserve">Japan PM Shinzo Abe promises to fend off threat from North Korea, 1 day after landslide win in parliament election https://t.co/ny0UGk6iEg</t>
  </si>
  <si>
    <t xml:space="preserve">Independent Press</t>
  </si>
  <si>
    <t xml:space="preserve">Japan Election Vindicates Shinzo Abe as His Party Wins Big - New York Times https://t.co/GfWIqE1yeH</t>
  </si>
  <si>
    <t xml:space="preserve">USA 🇺🇸</t>
  </si>
  <si>
    <t xml:space="preserve">Your independent online news source you rely on for breaking news and news coverage from around the world.</t>
  </si>
  <si>
    <t xml:space="preserve">musmanuttra</t>
  </si>
  <si>
    <t xml:space="preserve">Japan PM Shinzo Abe promises to fend off threat from North Korea, 1 day after landslide win in parliament election https://t.co/eClPI2jeRh</t>
  </si>
  <si>
    <t xml:space="preserve">Pakistan </t>
  </si>
  <si>
    <t xml:space="preserve">USMAN</t>
  </si>
  <si>
    <t xml:space="preserve">RT @DailySabah: Japan PM Shinzo Abe promises to fend off threat from North Korea, 1 day after landslide win in parliament election https:/…</t>
  </si>
  <si>
    <t xml:space="preserve">Japan's leader just won a resounding election victory, but he's still unpopular https://t.co/MrpBDzgmRP</t>
  </si>
  <si>
    <t xml:space="preserve">It's Bizbuz</t>
  </si>
  <si>
    <t xml:space="preserve">Mass RT of news in english about #Atheism &amp; #Religions "No mercy for theocrats".</t>
  </si>
  <si>
    <t xml:space="preserve">#Loudsoliloque</t>
  </si>
  <si>
    <t xml:space="preserve">Kenya</t>
  </si>
  <si>
    <t xml:space="preserve">Medals of humanity</t>
  </si>
  <si>
    <t xml:space="preserve">MoJe AbMa</t>
  </si>
  <si>
    <t xml:space="preserve">(धर्म) vs (Media Cockroaches, Political Termites, JudeoChrislammunist Jihadis, Financial Evangelists, Hindu Commies &amp; Impotents)</t>
  </si>
  <si>
    <t xml:space="preserve">Japan’s Prime Minister Shinzo Abe says after election win he will pursue “strong diplomacy” to pressure North Korea …</t>
  </si>
  <si>
    <t xml:space="preserve">Davsan Bond🇳🇱🇹🇷</t>
  </si>
  <si>
    <t xml:space="preserve">Japan PM Shinzo Abe promises to fend off threat from North Korea, 1 day after landslide win in parliament election https://t.co/vJLirv5XMY…</t>
  </si>
  <si>
    <t xml:space="preserve">De Wereld</t>
  </si>
  <si>
    <t xml:space="preserve">Ik ben Koerd / Turk maar geen Facistische PKK knuffelhond Geboren Getogen In Nederland met Roots in Turkije</t>
  </si>
  <si>
    <t xml:space="preserve">Gerald Peterson</t>
  </si>
  <si>
    <t xml:space="preserve">What Shinzo Abe’s win will mean for China-Japan relations https://t.co/Mt2hvEPgoo via @SCMP_news</t>
  </si>
  <si>
    <t xml:space="preserve">Joelle Dewulf</t>
  </si>
  <si>
    <t xml:space="preserve">Japan Election Vindicates Shinzo Abe as His Party Wins Big - New York Times https://t.co/sneQKB3lzL</t>
  </si>
  <si>
    <t xml:space="preserve">Bruxelles</t>
  </si>
  <si>
    <t xml:space="preserve">Ciudadano Venezolano</t>
  </si>
  <si>
    <t xml:space="preserve">Caracas. Venezuela.</t>
  </si>
  <si>
    <t xml:space="preserve">Ciudadano venezolano trabajando por la paz, la estabilidad y el mejor futuro de mi Nación. RT: No significa acuerdo o aprobación a un Tweet.</t>
  </si>
  <si>
    <t xml:space="preserve">Rikus Mellet</t>
  </si>
  <si>
    <t xml:space="preserve">Japan's leader just won a resounding election victory, but he's still unpopular https://t.co/YxqgjCDDgl</t>
  </si>
  <si>
    <t xml:space="preserve">Pretoria</t>
  </si>
  <si>
    <t xml:space="preserve">Gentleman, JSE investor, ALMI Trader. Tweeting Financial News. Nature and Music Lover. Retweets = not endorsements.</t>
  </si>
  <si>
    <t xml:space="preserve">Japan PM Shinzo Abe promises to fend off threat from North Korea, 1 day after landslide win in parliament election https://t.co/pgcOur4YMM</t>
  </si>
  <si>
    <t xml:space="preserve">Japan PM Shinzo Abe pledges pressure on North Korea after big election win https://t.co/68iv8Exhvf</t>
  </si>
  <si>
    <t xml:space="preserve">Milo Cohen</t>
  </si>
  <si>
    <t xml:space="preserve">Japan PM Shinzo Abe promises to fend off threat from North Korea, 1 day after landslide win in parliament election https://t.co/JESjciZrSt</t>
  </si>
  <si>
    <t xml:space="preserve">Views expressed are my own! RT’s and Likes are not endorsements! Piss acid, might bite! Eat meat! love lord of the rings! play soccer and hate racist pigs!</t>
  </si>
  <si>
    <t xml:space="preserve">Lzo Media</t>
  </si>
  <si>
    <t xml:space="preserve">Japan Election Vindicates Shinzo Abe as His Party Wins Big - New York Times https://t.co/jsx0OiHgt4 #lzomedia… https://t.co/nS6CzBcVD8</t>
  </si>
  <si>
    <t xml:space="preserve">Freelance Laravel Developer</t>
  </si>
  <si>
    <t xml:space="preserve">Joseph Mikaeli</t>
  </si>
  <si>
    <t xml:space="preserve">the manna projects, groundnut tank university</t>
  </si>
  <si>
    <t xml:space="preserve">Anil Agrawat</t>
  </si>
  <si>
    <t xml:space="preserve">Political Right-Centre. My Personal space. Haryanvi to the core. Love my culture &amp; roots. Retweet does not endorsement. :)</t>
  </si>
  <si>
    <t xml:space="preserve">RT @STcom: UPDATE: Japan PM #ShinzoAbe says to work towards fulfilling election promises one by one https://t.co/o2edKfUFgX #JapanElection…</t>
  </si>
  <si>
    <t xml:space="preserve">Bettie Drexhage</t>
  </si>
  <si>
    <t xml:space="preserve">Weet wel iets van staatsrecht en twittert daar soms over. In verleden ambtenaar op ministerie van Binnenlandse Zaken.</t>
  </si>
  <si>
    <t xml:space="preserve">Cicerón</t>
  </si>
  <si>
    <t xml:space="preserve">Spanish Lawyer.Castilian.Minarchist liberal. Antinazi,Anticommunist &amp; Antiislamist.Zionist.Selfdefense. History,Wars,International News. RT/Fav/Follow not agree</t>
  </si>
  <si>
    <t xml:space="preserve">kuldeep tomer</t>
  </si>
  <si>
    <t xml:space="preserve">Software Engineer, Proud Indian,fan of PM Modi,like Defence,Technology,Economy</t>
  </si>
  <si>
    <t xml:space="preserve">Panda Mods &amp; Games</t>
  </si>
  <si>
    <t xml:space="preserve">Bamboo Forest
</t>
  </si>
  <si>
    <t xml:space="preserve">Mod developer and starting game developer. Learning one cookie and coffee at a time.</t>
  </si>
  <si>
    <t xml:space="preserve">sugnana</t>
  </si>
  <si>
    <t xml:space="preserve">pragati mukhopadhyay</t>
  </si>
  <si>
    <t xml:space="preserve">everywhere!</t>
  </si>
  <si>
    <t xml:space="preserve">Physicist scientist (Ph.D. from Chalmers Inst, Sweden) by profession and spiritual by nature ..the quest in on.,</t>
  </si>
  <si>
    <t xml:space="preserve">New post: "Japan's leader just won a resounding election victory, but he's still unpopular" https://t.co/MrpBDzgmRP</t>
  </si>
  <si>
    <t xml:space="preserve">Kevin Schenk</t>
  </si>
  <si>
    <t xml:space="preserve">Frankfurt</t>
  </si>
  <si>
    <t xml:space="preserve">400% done with the world</t>
  </si>
  <si>
    <t xml:space="preserve">Japan’s Prime Minister Shinzo Abe says after election win he will pursue “strong diplomacy” to pressure North… #news</t>
  </si>
  <si>
    <t xml:space="preserve">Prime Minister Shinzo Abe to push for reforms to Japan's post-war pacifist constitution after strong election win. https://t.co/d9JuhUV7UU</t>
  </si>
  <si>
    <t xml:space="preserve">Cave &amp; Sons</t>
  </si>
  <si>
    <t xml:space="preserve">Monday morning newspaper round-up: https://t.co/dnvsjxrICP</t>
  </si>
  <si>
    <t xml:space="preserve">Northampton</t>
  </si>
  <si>
    <t xml:space="preserve">An independent company offering a range of investment management stockbroking, financial planning and wealth management services.</t>
  </si>
  <si>
    <t xml:space="preserve">Latest Politics News</t>
  </si>
  <si>
    <t xml:space="preserve">Japan Election Vindicates Shinzo Abe as His Party Wins Big https://t.co/h1TV951AqF</t>
  </si>
  <si>
    <t xml:space="preserve">Current US Politics, US Political Parties, US Political System, USA Elections, US Political Map, American Political System, USA Elections Result</t>
  </si>
  <si>
    <t xml:space="preserve">News@24</t>
  </si>
  <si>
    <t xml:space="preserve">Japan Election Vindicates Shinzo Abe as His Party Wins Big https://t.co/tPfbjmPOV5</t>
  </si>
  <si>
    <t xml:space="preserve">District of Columbia, USA</t>
  </si>
  <si>
    <t xml:space="preserve">Here you can Latest Politics News, breaking news, world news, donald trump news and much more.</t>
  </si>
  <si>
    <t xml:space="preserve">biphealth</t>
  </si>
  <si>
    <t xml:space="preserve">Japan Election Vindicates Shinzo Abe as His Party Wins Big https://t.co/jOsCIdfU8J</t>
  </si>
  <si>
    <t xml:space="preserve">Find Free Information On Health About Diseases, Search Doctors Details, Office Info, Appointments, Specialties &amp; Hospital Affiliations Etc.</t>
  </si>
  <si>
    <t xml:space="preserve">Einaudi editore</t>
  </si>
  <si>
    <t xml:space="preserve">Torino</t>
  </si>
  <si>
    <t xml:space="preserve">Giulio Einaudi editore. Parla, e sie breve e arguto.</t>
  </si>
  <si>
    <t xml:space="preserve">CHASE ALLEN</t>
  </si>
  <si>
    <t xml:space="preserve">RT @GoodDayAtlanta: TOKYO (AP) Japan's Prime Minister Shinzo Abe says after election win he will pursue "strong diplomacy" to pressure Nort…</t>
  </si>
  <si>
    <t xml:space="preserve">Your friendly, neighborhood assignment editor. Watching over Metro Atlanta while it sleeps for more than a decade now at Fox-5 TV.</t>
  </si>
  <si>
    <t xml:space="preserve">Nilesh Bhandarwar</t>
  </si>
  <si>
    <t xml:space="preserve">BrdCloud News</t>
  </si>
  <si>
    <t xml:space="preserve">Japan Election Vindicates Shinzo Abe as His Party Wins Big - New York Times - https://t.co/JViOC0bJna Amending th... https://t.co/yQJAa14EzL</t>
  </si>
  <si>
    <t xml:space="preserve">BrdCloudNews</t>
  </si>
  <si>
    <t xml:space="preserve">Lioness</t>
  </si>
  <si>
    <t xml:space="preserve">Delightfully retired, proud progressive liberal, #Resist</t>
  </si>
  <si>
    <r>
      <rPr>
        <sz val="8"/>
        <rFont val="Droid Sans"/>
        <family val="0"/>
        <charset val="1"/>
      </rPr>
      <t xml:space="preserve">kom@</t>
    </r>
    <r>
      <rPr>
        <sz val="8"/>
        <rFont val="Noto Sans CJK SC Regular"/>
        <family val="2"/>
      </rPr>
      <t xml:space="preserve">こんな人たち</t>
    </r>
  </si>
  <si>
    <r>
      <rPr>
        <sz val="8"/>
        <rFont val="Noto Sans CJK SC Regular"/>
        <family val="2"/>
      </rPr>
      <t xml:space="preserve">神奈川県（</t>
    </r>
    <r>
      <rPr>
        <sz val="8"/>
        <rFont val="Droid Sans"/>
        <family val="0"/>
        <charset val="1"/>
      </rPr>
      <t xml:space="preserve">Japan)</t>
    </r>
  </si>
  <si>
    <r>
      <rPr>
        <sz val="8"/>
        <rFont val="Noto Sans CJK SC Regular"/>
        <family val="2"/>
      </rPr>
      <t xml:space="preserve">日々、</t>
    </r>
    <r>
      <rPr>
        <sz val="8"/>
        <rFont val="Droid Sans"/>
        <family val="0"/>
        <charset val="1"/>
      </rPr>
      <t xml:space="preserve">2</t>
    </r>
    <r>
      <rPr>
        <sz val="8"/>
        <rFont val="Noto Sans CJK SC Regular"/>
        <family val="2"/>
      </rPr>
      <t xml:space="preserve">人の息子と猫</t>
    </r>
    <r>
      <rPr>
        <sz val="8"/>
        <rFont val="Droid Sans"/>
        <family val="0"/>
        <charset val="1"/>
      </rPr>
      <t xml:space="preserve">1</t>
    </r>
    <r>
      <rPr>
        <sz val="8"/>
        <rFont val="Noto Sans CJK SC Regular"/>
        <family val="2"/>
      </rPr>
      <t xml:space="preserve">匹にふりまわされてる主婦…でしょう、多分。 毎日ではないけど、午前と午後の</t>
    </r>
    <r>
      <rPr>
        <sz val="8"/>
        <rFont val="Droid Sans"/>
        <family val="0"/>
        <charset val="1"/>
      </rPr>
      <t xml:space="preserve">9</t>
    </r>
    <r>
      <rPr>
        <sz val="8"/>
        <rFont val="Noto Sans CJK SC Regular"/>
        <family val="2"/>
      </rPr>
      <t xml:space="preserve">時頃に、</t>
    </r>
    <r>
      <rPr>
        <sz val="8"/>
        <rFont val="Droid Sans"/>
        <family val="0"/>
        <charset val="1"/>
      </rPr>
      <t xml:space="preserve">#</t>
    </r>
    <r>
      <rPr>
        <sz val="8"/>
        <rFont val="Noto Sans CJK SC Regular"/>
        <family val="2"/>
      </rPr>
      <t xml:space="preserve">戦争反対 のタグつけて独り</t>
    </r>
    <r>
      <rPr>
        <sz val="8"/>
        <rFont val="Droid Sans"/>
        <family val="0"/>
        <charset val="1"/>
      </rPr>
      <t xml:space="preserve">twitter</t>
    </r>
    <r>
      <rPr>
        <sz val="8"/>
        <rFont val="Noto Sans CJK SC Regular"/>
        <family val="2"/>
      </rPr>
      <t xml:space="preserve">デモしようかなと画策中。</t>
    </r>
  </si>
  <si>
    <t xml:space="preserve">Diplomacy</t>
  </si>
  <si>
    <t xml:space="preserve">Just Peace</t>
  </si>
  <si>
    <t xml:space="preserve">Simona Pagliarini</t>
  </si>
  <si>
    <t xml:space="preserve">Giornalista e scrittrice</t>
  </si>
  <si>
    <t xml:space="preserve">sahilraina</t>
  </si>
  <si>
    <t xml:space="preserve">New Delhi,India</t>
  </si>
  <si>
    <t xml:space="preserve">Communications/Public Relations/Current Affairs/Engineer/Technology/Football/Liverpool FC/ https://t.co/LmH0T7HcP0</t>
  </si>
  <si>
    <t xml:space="preserve">Daily News Update247</t>
  </si>
  <si>
    <t xml:space="preserve">Japan PM Shinzo Abe pledges pressure on North Korea after big election win: https://t.co/L2rhRrIgC1 qua @YouTube</t>
  </si>
  <si>
    <t xml:space="preserve">Jeff Canoy</t>
  </si>
  <si>
    <t xml:space="preserve">Reporter for @ABSCBNNews &amp; @ANCAlerts covering the National Police, the Philippine Drug War &amp; disasters. @ABSCBNRedAlert, Wednesday nights. Based in Manila.</t>
  </si>
  <si>
    <t xml:space="preserve">SFW_FX</t>
  </si>
  <si>
    <t xml:space="preserve">#SFW: Shinzo Abe gains big victory in Japan election ... FT #ForexSeptember October 23, 2017 at 08:25AM</t>
  </si>
  <si>
    <t xml:space="preserve">City of London</t>
  </si>
  <si>
    <t xml:space="preserve">#forex &amp; #econ news #realtime feeding, 30updates daily(Mon-Fri);financial services since 2004 #interesting #posts #shares for ppl who focus/trade on Macromarket</t>
  </si>
  <si>
    <t xml:space="preserve">Lindsay  Rogers</t>
  </si>
  <si>
    <t xml:space="preserve">Auckland New Zealand</t>
  </si>
  <si>
    <t xml:space="preserve">Eylem</t>
  </si>
  <si>
    <t xml:space="preserve">yohana</t>
  </si>
  <si>
    <t xml:space="preserve">ドイツ・日本</t>
  </si>
  <si>
    <t xml:space="preserve">毎日頑張っている地球人。地球は宇宙に漂う箱舟。毎日に感謝。</t>
  </si>
  <si>
    <t xml:space="preserve">Mandar Sawant</t>
  </si>
  <si>
    <t xml:space="preserve">Indian Marathi Malvani Mumbaikar Borivalite Hindu Maratha.</t>
  </si>
  <si>
    <t xml:space="preserve">LIU HSIN HUNG</t>
  </si>
  <si>
    <r>
      <rPr>
        <sz val="8"/>
        <rFont val="Droid Sans"/>
        <family val="0"/>
        <charset val="1"/>
      </rPr>
      <t xml:space="preserve">Japan Election Vindicates Shinzo Abe as His Party Wins Big - https://t.co/QuUesm4o5u </t>
    </r>
    <r>
      <rPr>
        <sz val="8"/>
        <rFont val="Noto Sans CJK SC Regular"/>
        <family val="2"/>
      </rPr>
      <t xml:space="preserve">轉自： </t>
    </r>
    <r>
      <rPr>
        <sz val="8"/>
        <rFont val="Droid Sans"/>
        <family val="0"/>
        <charset val="1"/>
      </rPr>
      <t xml:space="preserve">https://t.co/7rePPj4QwR</t>
    </r>
  </si>
  <si>
    <t xml:space="preserve">Hari Udupa</t>
  </si>
  <si>
    <t xml:space="preserve">Political enthusiast</t>
  </si>
  <si>
    <t xml:space="preserve">Erika</t>
  </si>
  <si>
    <t xml:space="preserve">Padova, Veneto</t>
  </si>
  <si>
    <t xml:space="preserve">Japan PM Shinzo Abe pledges pressure on North Korea after big election win https://t.co/NjWCyrdz1x https://t.co/K8yzs5jjAW</t>
  </si>
  <si>
    <t xml:space="preserve">🔯K🅰➰♏🅰🔯</t>
  </si>
  <si>
    <t xml:space="preserve">#Nationfirst #swamyarmy #RW #Indianarmy💞</t>
  </si>
  <si>
    <t xml:space="preserve">Starbuck</t>
  </si>
  <si>
    <t xml:space="preserve">The cradle of German football</t>
  </si>
  <si>
    <t xml:space="preserve">Matthew Hanzel</t>
  </si>
  <si>
    <t xml:space="preserve">Jakarta, Indonesia</t>
  </si>
  <si>
    <t xml:space="preserve">@theresiaphang18 | IR, polisci, debate, MUN, choir, writing, technology, banking | Opinions are mine only</t>
  </si>
  <si>
    <t xml:space="preserve">RJ Brassfield</t>
  </si>
  <si>
    <t xml:space="preserve">Wichita, Kansas</t>
  </si>
  <si>
    <t xml:space="preserve">Question authority. Trust yourself.</t>
  </si>
  <si>
    <t xml:space="preserve">Thoton and the News</t>
  </si>
  <si>
    <t xml:space="preserve">RT @dwnews: Japan PM Shinzo Abe pledges pressure on North Korea after big election win https://t.co/NjWCyrdz1x https://t.co/K8yzs5jjAW</t>
  </si>
  <si>
    <t xml:space="preserve">Tokyo, Paris</t>
  </si>
  <si>
    <r>
      <rPr>
        <sz val="8"/>
        <rFont val="Noto Sans CJK SC Regular"/>
        <family val="2"/>
      </rPr>
      <t xml:space="preserve">世界のニュース速報を要約してお届けしています（英中韓仏伊西葡独露語）。国内ニュースは見出しを英訳して発信しています。翻訳は自分一人です。</t>
    </r>
    <r>
      <rPr>
        <sz val="8"/>
        <rFont val="Droid Sans"/>
        <family val="0"/>
        <charset val="1"/>
      </rPr>
      <t xml:space="preserve">(</t>
    </r>
    <r>
      <rPr>
        <sz val="8"/>
        <rFont val="Noto Sans CJK SC Regular"/>
        <family val="2"/>
      </rPr>
      <t xml:space="preserve">株</t>
    </r>
    <r>
      <rPr>
        <sz val="8"/>
        <rFont val="Droid Sans"/>
        <family val="0"/>
        <charset val="1"/>
      </rPr>
      <t xml:space="preserve">)Thoton Global Computing</t>
    </r>
    <r>
      <rPr>
        <sz val="8"/>
        <rFont val="Noto Sans CJK SC Regular"/>
        <family val="2"/>
      </rPr>
      <t xml:space="preserve">の秋元貴之。</t>
    </r>
    <r>
      <rPr>
        <sz val="8"/>
        <rFont val="Droid Sans"/>
        <family val="0"/>
        <charset val="1"/>
      </rPr>
      <t xml:space="preserve">Japanese breaking news with English headlines. Tokyo-based</t>
    </r>
  </si>
  <si>
    <t xml:space="preserve">rajeevkoumar agarwal</t>
  </si>
  <si>
    <t xml:space="preserve">Kanpur India </t>
  </si>
  <si>
    <t xml:space="preserve">Japan Election Vindicates Shinzo Abe as His Party Wins Big - New York Times https://t.co/3yhbPupNw9 #topstories</t>
  </si>
  <si>
    <t xml:space="preserve">Japan Election Vindicates Shinzo Abe as His Party Wins Big - https://t.co/jiXymddDP5, , #World-News https://t.co/jyDBfCtteD</t>
  </si>
  <si>
    <t xml:space="preserve">Japan Election Vindicates Shinzo Abe as His Party Wins Big - New York Times: New York Times… https://t.co/RNL30G52de</t>
  </si>
  <si>
    <t xml:space="preserve">Betsy Robson</t>
  </si>
  <si>
    <t xml:space="preserve">Des Moines, IA</t>
  </si>
  <si>
    <t xml:space="preserve">Been known to: listen to Dylan a lil' too loud, drink my fair share of craft brews, loiter in the Midwest, and try to make a livin' in digital advertising (PM).</t>
  </si>
  <si>
    <t xml:space="preserve">Da Zhu Yiu Jiang</t>
  </si>
  <si>
    <t xml:space="preserve">Pulau Pinang, Malaysia</t>
  </si>
  <si>
    <t xml:space="preserve">リアルなお友達とペナンの人以外はなるべくフォローしないでね。</t>
  </si>
  <si>
    <t xml:space="preserve">Salim Javed Ali Baig</t>
  </si>
  <si>
    <t xml:space="preserve">Proud Indian (Jai Hind Jai Bharat )</t>
  </si>
  <si>
    <t xml:space="preserve">Kate Hawkins</t>
  </si>
  <si>
    <t xml:space="preserve">Strength in unity. Save our Democracy! #resist #UniteBlue #TrumpLeaks #TheResistance #unhackthevote</t>
  </si>
  <si>
    <t xml:space="preserve">太布慎一朗</t>
  </si>
  <si>
    <t xml:space="preserve">RT @FinancialXpress: PM #NarendraModi congratulates dear friend #ShinzoAbe on #Japanelection win https://t.co/vyA4oFfm3c https://t.co/iXwDC…</t>
  </si>
  <si>
    <t xml:space="preserve">Nanae, Japonia</t>
  </si>
  <si>
    <r>
      <rPr>
        <sz val="8"/>
        <rFont val="Droid Sans"/>
        <family val="0"/>
        <charset val="1"/>
      </rPr>
      <t xml:space="preserve">Salve! Ego pipilo. Hello! I twitter. </t>
    </r>
    <r>
      <rPr>
        <sz val="8"/>
        <rFont val="Noto Sans CJK SC Regular"/>
        <family val="2"/>
      </rPr>
      <t xml:space="preserve">我是日本人。我是函館人。こんにちは！どうぞよろしくお願いします＾＾ このツイッターは私個人のつぶやきであり、政治的な 見解などではありませんので、よろしくお願いします。フォローは</t>
    </r>
    <r>
      <rPr>
        <sz val="8"/>
        <rFont val="Droid Sans"/>
        <family val="0"/>
        <charset val="1"/>
      </rPr>
      <t xml:space="preserve">100</t>
    </r>
    <r>
      <rPr>
        <sz val="8"/>
        <rFont val="Noto Sans CJK SC Regular"/>
        <family val="2"/>
      </rPr>
      <t xml:space="preserve">％返しています。</t>
    </r>
  </si>
  <si>
    <t xml:space="preserve">ARUN</t>
  </si>
  <si>
    <t xml:space="preserve">An earthling with interests in spirituality, space, politics, sports, technology &amp; entertainment - not necessarily in that order!</t>
  </si>
  <si>
    <t xml:space="preserve">Shinzo Abe won the snap general election yesterday, putting him on course to be Japan’s longest-serving PM… https://t.co/DvACGMeLkC</t>
  </si>
  <si>
    <t xml:space="preserve">GeoPakistani</t>
  </si>
  <si>
    <t xml:space="preserve">Shinzo Abe sweeps to a comfortable victory in Japan snap election - https://t.co/w5RspA4y0t #news #pakistan #supportpakistan #geopakistani</t>
  </si>
  <si>
    <t xml:space="preserve">GeoPakistaniTV</t>
  </si>
  <si>
    <t xml:space="preserve">Mashfiql Bari</t>
  </si>
  <si>
    <t xml:space="preserve">kuala Lumpur</t>
  </si>
  <si>
    <t xml:space="preserve">Trying to solve the mystery....</t>
  </si>
  <si>
    <t xml:space="preserve">vicky robles</t>
  </si>
  <si>
    <t xml:space="preserve">Shinzo Abe gains big victory in Japan election https://t.co/pXZuQGNEKy via @FT</t>
  </si>
  <si>
    <t xml:space="preserve">Quezon City</t>
  </si>
  <si>
    <r>
      <rPr>
        <sz val="8"/>
        <rFont val="Droid Sans"/>
        <family val="0"/>
        <charset val="1"/>
      </rPr>
      <t xml:space="preserve">YOKO</t>
    </r>
    <r>
      <rPr>
        <sz val="8"/>
        <rFont val="Noto Sans CJK SC Regular"/>
        <family val="2"/>
      </rPr>
      <t xml:space="preserve">（</t>
    </r>
    <r>
      <rPr>
        <sz val="8"/>
        <rFont val="Droid Sans"/>
        <family val="0"/>
        <charset val="1"/>
      </rPr>
      <t xml:space="preserve">Democracia</t>
    </r>
    <r>
      <rPr>
        <sz val="8"/>
        <rFont val="Noto Sans CJK SC Regular"/>
        <family val="2"/>
      </rPr>
      <t xml:space="preserve">！）</t>
    </r>
  </si>
  <si>
    <t xml:space="preserve">Tokyo/Chiba/Osaka //Japan</t>
  </si>
  <si>
    <r>
      <rPr>
        <sz val="8"/>
        <rFont val="Droid Sans"/>
        <family val="0"/>
        <charset val="1"/>
      </rPr>
      <t xml:space="preserve">I want to know what happens in the world really . Hope World PEACE✌︎</t>
    </r>
    <r>
      <rPr>
        <sz val="8"/>
        <rFont val="Noto Sans CJK SC Regular"/>
        <family val="2"/>
      </rPr>
      <t xml:space="preserve">原発、沖縄、中東、ジャーナリズムに関心☆レイプサバイバー☆ 妊娠中期の流産</t>
    </r>
    <r>
      <rPr>
        <sz val="8"/>
        <rFont val="Droid Sans"/>
        <family val="0"/>
        <charset val="1"/>
      </rPr>
      <t xml:space="preserve">3</t>
    </r>
    <r>
      <rPr>
        <sz val="8"/>
        <rFont val="Noto Sans CJK SC Regular"/>
        <family val="2"/>
      </rPr>
      <t xml:space="preserve">回。退職、不育症治療に専念、と思いきや政治がヤバ過ぎることに気づいた</t>
    </r>
    <r>
      <rPr>
        <sz val="8"/>
        <rFont val="Droid Sans"/>
        <family val="0"/>
        <charset val="1"/>
      </rPr>
      <t xml:space="preserve">40</t>
    </r>
    <r>
      <rPr>
        <sz val="8"/>
        <rFont val="Noto Sans CJK SC Regular"/>
        <family val="2"/>
      </rPr>
      <t xml:space="preserve">歳。</t>
    </r>
  </si>
  <si>
    <t xml:space="preserve">rahul jaiswal</t>
  </si>
  <si>
    <t xml:space="preserve">India </t>
  </si>
  <si>
    <t xml:space="preserve">Engineer</t>
  </si>
  <si>
    <t xml:space="preserve">ペルハン</t>
  </si>
  <si>
    <t xml:space="preserve">Dom za vešanje</t>
  </si>
  <si>
    <r>
      <rPr>
        <sz val="8"/>
        <rFont val="Noto Sans CJK SC Regular"/>
        <family val="2"/>
      </rPr>
      <t xml:space="preserve">黒田五十六リフレ艦隊司令長官</t>
    </r>
    <r>
      <rPr>
        <sz val="8"/>
        <rFont val="Droid Sans"/>
        <family val="0"/>
        <charset val="1"/>
      </rPr>
      <t xml:space="preserve">: </t>
    </r>
    <r>
      <rPr>
        <sz val="8"/>
        <rFont val="Noto Sans CJK SC Regular"/>
        <family val="2"/>
      </rPr>
      <t xml:space="preserve">「私にやれと言われれば、１年や１年半は存分に暴れてご覧にいれます。しかし、その先のことはまったく保証できません。」 ＊実在の人物とは無関係です</t>
    </r>
  </si>
  <si>
    <t xml:space="preserve">G Hari Narayanan</t>
  </si>
  <si>
    <t xml:space="preserve">President at OFS Technologies Japan &amp; Owner at MSG Japan Corporation, Govinda's Res Tokyo &amp; MSG Movies Chennai</t>
  </si>
  <si>
    <t xml:space="preserve">shoos4u</t>
  </si>
  <si>
    <t xml:space="preserve">Japan Election Vindicates Shinzo Abe as His Party Wins Big - New York Times https://t.co/JFjFWuZzbW News US</t>
  </si>
  <si>
    <t xml:space="preserve">U.n.c.l.e Lwanga*</t>
  </si>
  <si>
    <t xml:space="preserve">Kampala,Uganda</t>
  </si>
  <si>
    <t xml:space="preserve">Perfection is Key | Old Rocker.. UOT. | Passionate About Music | Dj. | #CFC | Cashion Fashion House.</t>
  </si>
  <si>
    <t xml:space="preserve">Carlos Manzano</t>
  </si>
  <si>
    <t xml:space="preserve">RT @thetimes: Shinzo Abe won the snap general election yesterday, putting him on course to be Japan’s longest-serving PM https://t.co/3O7t7…</t>
  </si>
  <si>
    <t xml:space="preserve">Viladecans (Barcelona)</t>
  </si>
  <si>
    <t xml:space="preserve">Loading</t>
  </si>
  <si>
    <t xml:space="preserve">まま放浪中</t>
  </si>
  <si>
    <t xml:space="preserve">東京から西に移動。こどものご飯・お菓子作りが第一。</t>
  </si>
  <si>
    <t xml:space="preserve">Brian Joseph Ranum</t>
  </si>
  <si>
    <t xml:space="preserve">Portland, Oregon, USA</t>
  </si>
  <si>
    <t xml:space="preserve">#Independent #DayDreamer #News #WorldPeace #HumanRights #BDS #Environment #Solidarity #ows #NoamChomsky &amp; #Art #Banksy &amp; #ThieveryCorporation #BlockTrolls</t>
  </si>
  <si>
    <t xml:space="preserve">Shinzo Abe, the "comeback kid" of Japanese politics- Nikkei Asian Review https://t.co/mzdsrSxgc6</t>
  </si>
  <si>
    <t xml:space="preserve">TurkishBorg</t>
  </si>
  <si>
    <t xml:space="preserve">Japan PM Shinzo Abe promises to fend off threat from North Korea, 1 day after landslide win in parliament election https://t.co/WLWuH5y3op</t>
  </si>
  <si>
    <t xml:space="preserve">Views expressed here reflect the opinion of the hive and is not affiliated to a command structure or any other species. RT's aren't endorsements or approvals</t>
  </si>
  <si>
    <t xml:space="preserve">Stefanos Kouratzis</t>
  </si>
  <si>
    <t xml:space="preserve">Photography is the key to unlock the chains of reality as we know it' S.K. @Philenewscy RT'S not endorsements</t>
  </si>
  <si>
    <t xml:space="preserve">4 things to expect following Shinzo Abe’s landslide victory https://t.co/eOVLVkoZqS</t>
  </si>
  <si>
    <t xml:space="preserve">Shinzo Abe, the "comeback kid" of Japanese politics- Nikkei Asian Review https://t.co/jBOz5jVZZJ</t>
  </si>
  <si>
    <t xml:space="preserve">Deplorable Lafayette</t>
  </si>
  <si>
    <t xml:space="preserve">Deplorable Stinky Cheese made by #BasementDwellers , I endorse #MAGA , not #BADdecisions</t>
  </si>
  <si>
    <t xml:space="preserve">coco</t>
  </si>
  <si>
    <t xml:space="preserve">in the blue sky</t>
  </si>
  <si>
    <t xml:space="preserve">Tweet like angels, shine like stars! </t>
  </si>
  <si>
    <t xml:space="preserve">D and A Binder</t>
  </si>
  <si>
    <t xml:space="preserve">From thetimes : Shinzo Abe won the snap general election yesterday, putting him on course to be Japan’s longest-se… https://t.co/UVzdK7aoz9</t>
  </si>
  <si>
    <t xml:space="preserve">101 Holloway Road, London, N7 </t>
  </si>
  <si>
    <t xml:space="preserve">London's Specialists in Bespoke Haberdashery Cabinets &amp; Antique, Retro and Vintage Furnishings 🔽Visit Our Website Now! 🔽 https://t.co/61H8BDXRon</t>
  </si>
  <si>
    <t xml:space="preserve">Nikki Williams</t>
  </si>
  <si>
    <t xml:space="preserve">NikkiWili App</t>
  </si>
  <si>
    <t xml:space="preserve">Young Harris, GA</t>
  </si>
  <si>
    <t xml:space="preserve">Nikki Minaj I love you !!!!!</t>
  </si>
  <si>
    <t xml:space="preserve">California Cactus</t>
  </si>
  <si>
    <t xml:space="preserve">BaileyWu</t>
  </si>
  <si>
    <t xml:space="preserve">Shares were mixed Monday in Asia, while Japan's benchmark rose on the back of a parliamentary election victory by Prime Minister Shinzo Abe…</t>
  </si>
  <si>
    <t xml:space="preserve">Young Graphic Designer with Heart - Nothing Can't Hold Me Back!</t>
  </si>
  <si>
    <t xml:space="preserve">Anshu Rathore</t>
  </si>
  <si>
    <t xml:space="preserve">Patna, India</t>
  </si>
  <si>
    <t xml:space="preserve">|SEEKER|🕉 | LEARN FROM PAST....LIVE IN PRESENT.... HOPE FOR BETTER FUTURE |😊 |CLASSIC LIBERAL|</t>
  </si>
  <si>
    <t xml:space="preserve">Opinions in Asia : 4 things to expect following Shinzo Abe’s landslide victory https://t.co/32Nb4Dc0f1</t>
  </si>
  <si>
    <t xml:space="preserve">#3Novices : Japan's Abe to push pacifist constitution reform after strong election win https://t.co/zFBV8SsFLE Prime Minister Shinzo Abe, …</t>
  </si>
  <si>
    <t xml:space="preserve">Abe's victory renews speculation over changes to Japan's constitution https://t.co/NdMMIHYGQL via @ABCNews</t>
  </si>
  <si>
    <t xml:space="preserve">Abe's victory renews speculation over changes to Japan's constitution https://t.co/YSOD8y4NDX</t>
  </si>
  <si>
    <t xml:space="preserve">shrikant mhaske</t>
  </si>
  <si>
    <t xml:space="preserve">pune</t>
  </si>
  <si>
    <t xml:space="preserve">Patriotic Indian and true Punekar</t>
  </si>
  <si>
    <t xml:space="preserve">JK Chantler</t>
  </si>
  <si>
    <t xml:space="preserve">Scientist, Emeritus Professor of Virology, Follower of Political Issues</t>
  </si>
  <si>
    <t xml:space="preserve">Linh Lan</t>
  </si>
  <si>
    <t xml:space="preserve">Singapore </t>
  </si>
  <si>
    <t xml:space="preserve">Lawyer</t>
  </si>
  <si>
    <t xml:space="preserve">raghavendra</t>
  </si>
  <si>
    <t xml:space="preserve">Japan Election Vindicates Shinzo Abe as His Party Wins Big - New York Times: New York Times… https://t.co/4PwCDSt9WZ</t>
  </si>
  <si>
    <t xml:space="preserve">Claudio Weissman</t>
  </si>
  <si>
    <t xml:space="preserve">San Antonio, TX</t>
  </si>
  <si>
    <t xml:space="preserve">Views from the Heart.</t>
  </si>
  <si>
    <t xml:space="preserve">On the water side</t>
  </si>
  <si>
    <t xml:space="preserve">Japan Election Vindicates Shinzo Abe as His Party Wins Big</t>
  </si>
  <si>
    <t xml:space="preserve">game😀</t>
  </si>
  <si>
    <t xml:space="preserve">सिंधी सांयी 🇮🇳</t>
  </si>
  <si>
    <t xml:space="preserve">Bangalore,  India</t>
  </si>
  <si>
    <t xml:space="preserve">Indian, Optimist, Blessed with Lovely family, So far Fortunate Engineer ;)</t>
  </si>
  <si>
    <t xml:space="preserve">RPurandare</t>
  </si>
  <si>
    <t xml:space="preserve">Gratitude to all the Soldiers who have sacrificed &amp; serving Bharat Maa so that we citizens are secure.Jai Babaji, Jai Gurudev ! RT's not endorsements !</t>
  </si>
  <si>
    <t xml:space="preserve">Something Spookey</t>
  </si>
  <si>
    <t xml:space="preserve">Ulm</t>
  </si>
  <si>
    <t xml:space="preserve">Fernando | SJW - Sasuke Justice Warrior | Hypothetical Therapist | Bad Hombre | With great confidence come great wonfidence. -Arin Hanson</t>
  </si>
  <si>
    <t xml:space="preserve">InnovativeHindu 🇮🇳</t>
  </si>
  <si>
    <t xml:space="preserve">Bharat </t>
  </si>
  <si>
    <t xml:space="preserve">Consultant..वसुधैव कुटुम्बकम..अहं ब्रह्मास्मि..तत्त्वमसि..Seeker &amp; Believer of Sanatana Dharma....Proud Hindu..Hindu Nationalist..Narendra Modi is MY PM</t>
  </si>
  <si>
    <t xml:space="preserve">Japan Election Vindicates Shinzo Abe as His Party Wins Big - New York Times https://t.co/MbXmFBJDaf https://t.co/8rH7D7B8Ab</t>
  </si>
  <si>
    <t xml:space="preserve">#StarfishPrime</t>
  </si>
  <si>
    <t xml:space="preserve">ornella capecchi</t>
  </si>
  <si>
    <t xml:space="preserve">Siena⇆CastiglionedellaPescaia</t>
  </si>
  <si>
    <t xml:space="preserve">Ever tried. Ever failed. No matter. Try Again. Fail again. Fail better.</t>
  </si>
  <si>
    <t xml:space="preserve">Prez Cannady</t>
  </si>
  <si>
    <t xml:space="preserve">Way to go, Abe! https://t.co/ZyRzP3sNyV</t>
  </si>
  <si>
    <t xml:space="preserve">Yo mama</t>
  </si>
  <si>
    <t xml:space="preserve">Space. It's where our stuff is. Let's go get it. I program and tinker. Views expressed here represent yours, even if you don't know it yet.</t>
  </si>
  <si>
    <t xml:space="preserve">Global Village Space</t>
  </si>
  <si>
    <t xml:space="preserve">Japan | Prime Minister Shinzo Abe had won a clear election victory. https://t.co/7IACTQJesw</t>
  </si>
  <si>
    <t xml:space="preserve">Platform to promote dialogue &amp; present shades of opinion to enhance understanding. We encourage our writers to be respectfully irreverent &amp; readers be tolerant.</t>
  </si>
  <si>
    <t xml:space="preserve">Nour cherli</t>
  </si>
  <si>
    <t xml:space="preserve">Charlotte Wolters</t>
  </si>
  <si>
    <t xml:space="preserve">Public Relations| Founder WLMP | Interests: the arts, business, politics, law &amp; policy stuff, mentorship &amp; the absurd. Retweets Not endorsements.Views my own.</t>
  </si>
  <si>
    <t xml:space="preserve">What Shinzo Abe’s election win will mean for China-Japan relations https://t.co/IzZGNnbhVq</t>
  </si>
  <si>
    <t xml:space="preserve">周防介</t>
  </si>
  <si>
    <t xml:space="preserve">周防山口 築山館➡東京 大田区</t>
  </si>
  <si>
    <r>
      <rPr>
        <sz val="8"/>
        <rFont val="Noto Sans CJK SC Regular"/>
        <family val="2"/>
      </rPr>
      <t xml:space="preserve">外交・軍事・危機管理・医療についての分析・助言等を行っています。 尊敬する人物：ガイウス・ユリウス・カエサル、ティベリウス・センプロニウス・グラックス 座右の銘 以和為貴・</t>
    </r>
    <r>
      <rPr>
        <sz val="8"/>
        <rFont val="Droid Sans"/>
        <family val="0"/>
        <charset val="1"/>
      </rPr>
      <t xml:space="preserve">CLEMENTIA </t>
    </r>
    <r>
      <rPr>
        <sz val="8"/>
        <rFont val="Noto Sans CJK SC Regular"/>
        <family val="2"/>
      </rPr>
      <t xml:space="preserve">・非理法権天</t>
    </r>
  </si>
  <si>
    <t xml:space="preserve">White SK</t>
  </si>
  <si>
    <t xml:space="preserve">everything i like</t>
  </si>
  <si>
    <t xml:space="preserve">EDITOR Press News</t>
  </si>
  <si>
    <t xml:space="preserve">RT @SCMP_News: What Shinzo Abe’s election win will mean for China-Japan relations https://t.co/IzZGNnbhVq</t>
  </si>
  <si>
    <t xml:space="preserve">To follow the world agenda (Fear involves violence) WELCOME</t>
  </si>
  <si>
    <t xml:space="preserve">🥇</t>
  </si>
  <si>
    <t xml:space="preserve">Entrepreneur</t>
  </si>
  <si>
    <r>
      <rPr>
        <sz val="8"/>
        <rFont val="Droid Sans"/>
        <family val="0"/>
        <charset val="1"/>
      </rPr>
      <t xml:space="preserve">mightyguy/</t>
    </r>
    <r>
      <rPr>
        <sz val="8"/>
        <rFont val="Noto Sans CJK SC Regular"/>
        <family val="2"/>
      </rPr>
      <t xml:space="preserve">マイティーガイ</t>
    </r>
  </si>
  <si>
    <t xml:space="preserve">北海道</t>
  </si>
  <si>
    <r>
      <rPr>
        <sz val="8"/>
        <rFont val="Droid Sans"/>
        <family val="0"/>
        <charset val="1"/>
      </rPr>
      <t xml:space="preserve">Tweet</t>
    </r>
    <r>
      <rPr>
        <sz val="8"/>
        <rFont val="Noto Sans CJK SC Regular"/>
        <family val="2"/>
      </rPr>
      <t xml:space="preserve">、</t>
    </r>
    <r>
      <rPr>
        <sz val="8"/>
        <rFont val="Droid Sans"/>
        <family val="0"/>
        <charset val="1"/>
      </rPr>
      <t xml:space="preserve">RT</t>
    </r>
    <r>
      <rPr>
        <sz val="8"/>
        <rFont val="Noto Sans CJK SC Regular"/>
        <family val="2"/>
      </rPr>
      <t xml:space="preserve">で情報共有。 保守派、是々非々で行きます。 </t>
    </r>
    <r>
      <rPr>
        <sz val="8"/>
        <rFont val="Droid Sans"/>
        <family val="0"/>
        <charset val="1"/>
      </rPr>
      <t xml:space="preserve">#hokkaido #F1 #</t>
    </r>
    <r>
      <rPr>
        <sz val="8"/>
        <rFont val="Noto Sans CJK SC Regular"/>
        <family val="2"/>
      </rPr>
      <t xml:space="preserve">巨人 </t>
    </r>
    <r>
      <rPr>
        <sz val="8"/>
        <rFont val="Droid Sans"/>
        <family val="0"/>
        <charset val="1"/>
      </rPr>
      <t xml:space="preserve">#</t>
    </r>
    <r>
      <rPr>
        <sz val="8"/>
        <rFont val="Noto Sans CJK SC Regular"/>
        <family val="2"/>
      </rPr>
      <t xml:space="preserve">ジャイアンツ </t>
    </r>
    <r>
      <rPr>
        <sz val="8"/>
        <rFont val="Droid Sans"/>
        <family val="0"/>
        <charset val="1"/>
      </rPr>
      <t xml:space="preserve">#</t>
    </r>
    <r>
      <rPr>
        <sz val="8"/>
        <rFont val="Noto Sans CJK SC Regular"/>
        <family val="2"/>
      </rPr>
      <t xml:space="preserve">日ハム </t>
    </r>
    <r>
      <rPr>
        <sz val="8"/>
        <rFont val="Droid Sans"/>
        <family val="0"/>
        <charset val="1"/>
      </rPr>
      <t xml:space="preserve">#</t>
    </r>
    <r>
      <rPr>
        <sz val="8"/>
        <rFont val="Noto Sans CJK SC Regular"/>
        <family val="2"/>
      </rPr>
      <t xml:space="preserve">北海道日本ハムファイターズ </t>
    </r>
    <r>
      <rPr>
        <sz val="8"/>
        <rFont val="Droid Sans"/>
        <family val="0"/>
        <charset val="1"/>
      </rPr>
      <t xml:space="preserve">#MLB #</t>
    </r>
    <r>
      <rPr>
        <sz val="8"/>
        <rFont val="Noto Sans CJK SC Regular"/>
        <family val="2"/>
      </rPr>
      <t xml:space="preserve">アメカジ </t>
    </r>
    <r>
      <rPr>
        <sz val="8"/>
        <rFont val="Droid Sans"/>
        <family val="0"/>
        <charset val="1"/>
      </rPr>
      <t xml:space="preserve">#</t>
    </r>
    <r>
      <rPr>
        <sz val="8"/>
        <rFont val="Noto Sans CJK SC Regular"/>
        <family val="2"/>
      </rPr>
      <t xml:space="preserve">ヤフオク </t>
    </r>
    <r>
      <rPr>
        <sz val="8"/>
        <rFont val="Droid Sans"/>
        <family val="0"/>
        <charset val="1"/>
      </rPr>
      <t xml:space="preserve">#</t>
    </r>
    <r>
      <rPr>
        <sz val="8"/>
        <rFont val="Noto Sans CJK SC Regular"/>
        <family val="2"/>
      </rPr>
      <t xml:space="preserve">旭山動物園 </t>
    </r>
    <r>
      <rPr>
        <sz val="8"/>
        <rFont val="Droid Sans"/>
        <family val="0"/>
        <charset val="1"/>
      </rPr>
      <t xml:space="preserve">#</t>
    </r>
    <r>
      <rPr>
        <sz val="8"/>
        <rFont val="Noto Sans CJK SC Regular"/>
        <family val="2"/>
      </rPr>
      <t xml:space="preserve">北海道 </t>
    </r>
    <r>
      <rPr>
        <sz val="8"/>
        <rFont val="Droid Sans"/>
        <family val="0"/>
        <charset val="1"/>
      </rPr>
      <t xml:space="preserve">#</t>
    </r>
    <r>
      <rPr>
        <sz val="8"/>
        <rFont val="Noto Sans CJK SC Regular"/>
        <family val="2"/>
      </rPr>
      <t xml:space="preserve">リーバイス </t>
    </r>
    <r>
      <rPr>
        <sz val="8"/>
        <rFont val="Droid Sans"/>
        <family val="0"/>
        <charset val="1"/>
      </rPr>
      <t xml:space="preserve">#levis</t>
    </r>
  </si>
  <si>
    <t xml:space="preserve">H34GAMER</t>
  </si>
  <si>
    <t xml:space="preserve">Japan election vindicates shinzo abe as his party wins big: https://t.co/VQmxinJqm0 via @YouTube</t>
  </si>
  <si>
    <t xml:space="preserve">H34 GAMER</t>
  </si>
  <si>
    <t xml:space="preserve">Japan PM Shinzo Abe promises to fend off threat from North Korea, 1 day after landslide win in parliament election https://t.co/b9SMABxaRx</t>
  </si>
  <si>
    <t xml:space="preserve">Luly Fernández</t>
  </si>
  <si>
    <t xml:space="preserve">Miami Beach, FL</t>
  </si>
  <si>
    <t xml:space="preserve">Born stateless | Spanish + Cuban by blood | US citizen by choice | Feminist | Political Refugee parents | Recovering journalist. RTs r not endorsements.</t>
  </si>
  <si>
    <t xml:space="preserve">Moni A</t>
  </si>
  <si>
    <t xml:space="preserve">Kisses:)</t>
  </si>
  <si>
    <t xml:space="preserve">Donald Koelper</t>
  </si>
  <si>
    <t xml:space="preserve">Prime Minister Shinzo Abe's LDP coalition scores a decisive and overwhelming victory in Japan's national election. https://t.co/rIdD1N22uK</t>
  </si>
  <si>
    <t xml:space="preserve">Honolulu, HI</t>
  </si>
  <si>
    <t xml:space="preserve">Streaming random thoughts of no particular consequence to no one in general since he first began to talk as a toddler.</t>
  </si>
  <si>
    <t xml:space="preserve">Abhishek Desai</t>
  </si>
  <si>
    <t xml:space="preserve">Ultra nationalist, Revolutionary-Scientific-Marxist socialist, anti-imperialist, Subhashist. jai hind, Vande mataram, inqalab jindabad</t>
  </si>
  <si>
    <t xml:space="preserve">Japan Election Vindicates Shinzo Abe as His Party Wins Big - New York Times: New York Times… https://t.co/ycVPNqjWll https://t.co/8rH7D7B8Ab</t>
  </si>
  <si>
    <t xml:space="preserve">ペトルーシュカ</t>
  </si>
  <si>
    <t xml:space="preserve">もう手遅れかも？そんなことない！民主主義が、やっと始まったかも！</t>
  </si>
  <si>
    <t xml:space="preserve">MARSFURY</t>
  </si>
  <si>
    <t xml:space="preserve">Don't. read. this.</t>
  </si>
  <si>
    <t xml:space="preserve">Asif Iqbal</t>
  </si>
  <si>
    <t xml:space="preserve">Shinzo Abe sweeps to a comfortable victory in Japan snap election https://t.co/Ij1iwjdrSH</t>
  </si>
  <si>
    <t xml:space="preserve">Lahore</t>
  </si>
  <si>
    <t xml:space="preserve">Twice civil servant,a wana-be writter &amp; a Lahori by heart. A restless soul trapped in this world! Interested in Politics,IR,Development,History,ideas &amp; poetry.</t>
  </si>
  <si>
    <t xml:space="preserve">praveen kumar</t>
  </si>
  <si>
    <t xml:space="preserve">Braiden Ray</t>
  </si>
  <si>
    <t xml:space="preserve">Thunder Bay, Ontario</t>
  </si>
  <si>
    <t xml:space="preserve">Canadian nationalist. proud of my Nordic heritage. lover of videogames. hater of minions. pro free speech. my second account is @Edgy_Canadian2</t>
  </si>
  <si>
    <t xml:space="preserve">Sanjay K</t>
  </si>
  <si>
    <t xml:space="preserve">BELOVED BHARAT !!!</t>
  </si>
  <si>
    <t xml:space="preserve">#Proud Hindu!! #Tolerant Indian!! #NaMoBhakt, Hate the SECULARS, HYPOCRITES &amp; PRESSTITUTES</t>
  </si>
  <si>
    <t xml:space="preserve">Japan Election Vindicates Shinzo Abe as His Party Wins Big - New York Times https://t.co/M1OdjBHAFG</t>
  </si>
  <si>
    <t xml:space="preserve">Leila</t>
  </si>
  <si>
    <t xml:space="preserve">#ExitPoll suggest #JapanElection #PM #ShinzoAbe wins #victory in #Sunday's #Election2017 https://t.co/11Jn8r2sJ0</t>
  </si>
  <si>
    <t xml:space="preserve">Content manager at https://t.co/MEEnnLEoyx✍️👩‍💻 Panda🐼, nature🍀 &amp; peace ☮️lover❤️</t>
  </si>
  <si>
    <t xml:space="preserve">Chakradhar</t>
  </si>
  <si>
    <t xml:space="preserve">Books Movies and Cigarettes. 💛</t>
  </si>
  <si>
    <t xml:space="preserve">Daily Star</t>
  </si>
  <si>
    <t xml:space="preserve">Japan vows ‘IMMINENT’ action against North Korea after #ShinzoAbe wins landslide election victory #JapanElection… https://t.co/dtfvsBCoLn</t>
  </si>
  <si>
    <t xml:space="preserve">Your Official Daily Star Twitter Page!</t>
  </si>
  <si>
    <t xml:space="preserve">ReutersNordics</t>
  </si>
  <si>
    <t xml:space="preserve">Reports from Reuters Nordic and Baltic bureaus</t>
  </si>
  <si>
    <t xml:space="preserve">TJ</t>
  </si>
  <si>
    <t xml:space="preserve">India!</t>
  </si>
  <si>
    <t xml:space="preserve">Not into labeling. Tweets speak for themselves. Wake up! Free Speech, Privacy, Democracy.</t>
  </si>
  <si>
    <t xml:space="preserve">Japan Election Vindicates Shinzo Abe as His Party Wins Big - New York Times https://t.co/9oG0TNVqmn</t>
  </si>
  <si>
    <t xml:space="preserve">John Ashcroft</t>
  </si>
  <si>
    <t xml:space="preserve">Japan's leader just won a resounding election victory, but he's still unpopular @CNBC https://t.co/joSR2wpi5V</t>
  </si>
  <si>
    <t xml:space="preserve">Economics, Strategy and Social Media, experience worth sharing! The Saturday Economist, Dimensions of Strategy. Dr John Ashcroft PhD BSc.(Econ) FRSA</t>
  </si>
  <si>
    <t xml:space="preserve">WATCH: Japanese Prime Minister Shinzo Abe's ruling bloc scores big election win https://t.co/bDsHrEU4Zc via… https://t.co/173jPTX5te</t>
  </si>
  <si>
    <t xml:space="preserve">RT: @reuters :WATCH: Japanese Prime Minister Shinzo Abe's ruling bloc scores big election win https://t.co/J0tmtiRE8M via… https://t.co/173j</t>
  </si>
  <si>
    <t xml:space="preserve">Anton Hilft</t>
  </si>
  <si>
    <t xml:space="preserve">Japan: exit polls suggest a landslide general election victory for Shinzo Abe’s coalition https://t.co/lSOGyKcTUn</t>
  </si>
  <si>
    <t xml:space="preserve">http://t.co/MuN1RHEaBX</t>
  </si>
  <si>
    <t xml:space="preserve">Vural Alparslan</t>
  </si>
  <si>
    <t xml:space="preserve">Reuters Once</t>
  </si>
  <si>
    <t xml:space="preserve">RT @Reuters: WATCH: Japanese Prime Minister Shinzo Abe's ruling bloc scores big election win https://t.co/bDsHrEU4Zc via @ReutersTV https:/…</t>
  </si>
  <si>
    <t xml:space="preserve">Twitter bot retweeting news stories just once. Full source and other feeds available on GitHub page. Not affiliated with Reuters.</t>
  </si>
  <si>
    <t xml:space="preserve">Reuters: WATCH: Japanese Prime Minister Shinzo Abe's ruling bloc scores big election win https://t.co/wC9MZOJaWJ … https://t.co/jW576y0Zqj</t>
  </si>
  <si>
    <t xml:space="preserve">WATCH: Japanese Prime Minister Shinzo Abe's ruling bloc scores big election win https://t.co/harv5FCm7f via… https://t.co/6jFQheZhxb (Reu…</t>
  </si>
  <si>
    <t xml:space="preserve">Reuters: WATCH: Japanese Prime Minister Shinzo Abe's ruling bloc scores big election win https://t.co/ZSA5AG4jix … https://t.co/MrZhDypDYN</t>
  </si>
  <si>
    <t xml:space="preserve">Abe to push reform of Japan's pacifist constitution after election win https://t.co/RepKlxrG0g Japanese Prime Minister Shinzo Abe’s ruling…</t>
  </si>
  <si>
    <t xml:space="preserve">Clare Kaye</t>
  </si>
  <si>
    <t xml:space="preserve">Formerly with ABC News in New York. Freelance producer and actor. *Opinions are not an endorsement.</t>
  </si>
  <si>
    <t xml:space="preserve">Adrian Israel H.</t>
  </si>
  <si>
    <t xml:space="preserve">Atestiguando solamente en ciento cuarenta caractéres...</t>
  </si>
  <si>
    <t xml:space="preserve">Reuters: WATCH: Japanese Prime Minister Shinzo Abe's ruling bloc scores big election win https://t.co/VtoVSAU10w … https://t.co/Zjzs0xM0xz</t>
  </si>
  <si>
    <t xml:space="preserve">@---glomerulus---@</t>
  </si>
  <si>
    <t xml:space="preserve">plants, cactus, succulent, wine, beer, white spirit, politics, health, beginning runner, run for depression</t>
  </si>
  <si>
    <t xml:space="preserve">AyveGüneş</t>
  </si>
  <si>
    <t xml:space="preserve">Japan Election Vindicates Shinzo Abe as His Party Wins Big https://t.co/MASnTbOj1J</t>
  </si>
  <si>
    <t xml:space="preserve">Erick Angeles</t>
  </si>
  <si>
    <t xml:space="preserve">Star Wars fanatic,moviegoers,convention goers,love going to universal studios and Disneyland,Stan lee supporters,love meeting celebrities,save our planet</t>
  </si>
  <si>
    <t xml:space="preserve">pasarterpercaya</t>
  </si>
  <si>
    <t xml:space="preserve">4 things to expect following Shinzo Abe’s landslide victory https://t.co/uSblAQLKQ6 https://t.co/ww2vioBNlr</t>
  </si>
  <si>
    <t xml:space="preserve">D.I.Yogyakarta</t>
  </si>
  <si>
    <t xml:space="preserve">Telp : 02746613111 SMS : 089629162999 PIN BB :216575D0</t>
  </si>
  <si>
    <t xml:space="preserve">WATCH: Japanese Prime Minister Shinzo Abe's ruling bloc scores big election win https://t.co/8D4obEWg97 via… https://t.co/ThNOR8ILRU Reut…</t>
  </si>
  <si>
    <t xml:space="preserve">ashokakumarjha</t>
  </si>
  <si>
    <t xml:space="preserve">Balakrishna</t>
  </si>
  <si>
    <t xml:space="preserve">Consultant|Proud Hindu🔷Believe in PM Mr.Narendra modi 🇮🇳🙏Hate Casteism😡Islam🐍 is terrorism☠Support Putin 🇷🇺 Netanyahu 🇮🇱 Abe 🇯🇵 Lepen🇫🇷Wilders🇳🇱</t>
  </si>
  <si>
    <t xml:space="preserve">Wilda V. Heard</t>
  </si>
  <si>
    <t xml:space="preserve">Seatttle</t>
  </si>
  <si>
    <t xml:space="preserve">Dr. Wilda V. Heard, or Dr. Wilda, has a J.D. from Yale Law School and a doctorate in Education Leadership from Seattle University.</t>
  </si>
  <si>
    <t xml:space="preserve">JazOsorio</t>
  </si>
  <si>
    <t xml:space="preserve">RT @jkaonline: Japan's leader just won a resounding election victory, but he's still unpopular @CNBC https://t.co/joSR2wpi5V</t>
  </si>
  <si>
    <t xml:space="preserve">California Born/Living </t>
  </si>
  <si>
    <t xml:space="preserve">intelligent, simple, and love for God Wherever you go, go with all your heart. -♥Jaz:) instagram: @jazminosorio</t>
  </si>
  <si>
    <t xml:space="preserve">MAGA DAY BY DAY</t>
  </si>
  <si>
    <t xml:space="preserve">Houston, TX, United States</t>
  </si>
  <si>
    <t xml:space="preserve">TX Conservative MARRIED- Followed by Cruz , J Woods, L Hendry A King, J Rosen, Barron Trump &amp; more. Moving to #HoustonMetro - I can help #Realtor</t>
  </si>
  <si>
    <t xml:space="preserve">What Shinzo Abe’s election win will mean for China-Japan relations https://t.co/tOLkTLvPQR… https://t.co/V5tilLsc9N</t>
  </si>
  <si>
    <t xml:space="preserve">Brittany Malgeri</t>
  </si>
  <si>
    <t xml:space="preserve">Massachusetts</t>
  </si>
  <si>
    <t xml:space="preserve">REUTERS: WATCH: Japanese Prime Minister Shinzo Abe's ruling bloc scores big election win https://t.co/eiWHoVaNKd … https://t.co/BKt2B0fPoH</t>
  </si>
  <si>
    <t xml:space="preserve">India TV</t>
  </si>
  <si>
    <t xml:space="preserve">.@AbeShinzo got a resounding victory in the snap polls held yesterday https://t.co/4JTRfRmeKn</t>
  </si>
  <si>
    <t xml:space="preserve">India’s most watched Hindi News Channel. Follow for latest/breaking News Alerts from all over the Globe. FB:https://t.co/BUC2bw3ZhL</t>
  </si>
  <si>
    <t xml:space="preserve">walter da riz</t>
  </si>
  <si>
    <t xml:space="preserve">Pranav Patel</t>
  </si>
  <si>
    <t xml:space="preserve">RT @indiatvnews: .@AbeShinzo got a resounding victory in the snap polls held yesterday https://t.co/4JTRfRmeKn</t>
  </si>
  <si>
    <t xml:space="preserve">Proud Indian. Blood Donor. Opinions are personal</t>
  </si>
  <si>
    <t xml:space="preserve">Daniel Domínguez</t>
  </si>
  <si>
    <t xml:space="preserve">Extremadura, España</t>
  </si>
  <si>
    <t xml:space="preserve">La traducción y la política son dos amantes mentirosas: la primera por deber, la segunda por obligación. #KnowledgeIsPower</t>
  </si>
  <si>
    <t xml:space="preserve">皐月七瀬</t>
  </si>
  <si>
    <t xml:space="preserve">北海道とともに、世界へ</t>
  </si>
  <si>
    <t xml:space="preserve">アニメをこよなく愛していた道産子。あまり呟かない予定。ツイートの八割はマンガ・アニメ・ゲームなどのネタとネタへのマジレス（最近政治ネタ増加中）、コンサドーレ札幌を中心としたサッカーの話題です。</t>
  </si>
  <si>
    <t xml:space="preserve">Japan Election Vindicates Shinzo Abe as His Party Wins Big - New York Times https://t.co/Bs0zfVxeF3</t>
  </si>
  <si>
    <t xml:space="preserve">Marjorie Barnes</t>
  </si>
  <si>
    <t xml:space="preserve">USA, Kansas</t>
  </si>
  <si>
    <t xml:space="preserve">Marjorie. 23 . MM. JD. 07&amp;08/11/2011. Trainwreck . Echelon . 28 . Berlin</t>
  </si>
  <si>
    <t xml:space="preserve">parthasarathi</t>
  </si>
  <si>
    <t xml:space="preserve">Secret is a word only and in reality everything is open and naked.</t>
  </si>
  <si>
    <t xml:space="preserve">Rachit Gupta</t>
  </si>
  <si>
    <t xml:space="preserve">Working as a sales manager. Politician by thought and entrepreneur by way of living life. Writer and reading hobby</t>
  </si>
  <si>
    <t xml:space="preserve">小魔豆</t>
  </si>
  <si>
    <t xml:space="preserve">天涯共此时</t>
  </si>
  <si>
    <t xml:space="preserve">Trichi Sivasankaran.</t>
  </si>
  <si>
    <t xml:space="preserve">மற்றவர்கள் சிறப்பாகச் செய்வதை மேலும்சிறப்பாகச் செய்வேன் முதலில் நான் இந்தியன் பிறகுதான் தமிழன். எந்த வேலை செய்தாலும் அதில் எனக்கென்ன லாபம் எனபார்க்க மாட்டேன்.</t>
  </si>
  <si>
    <t xml:space="preserve">sanjay.singh/gulav.s</t>
  </si>
  <si>
    <t xml:space="preserve">मथुरा, भारत</t>
  </si>
  <si>
    <t xml:space="preserve">में और मेरी पत्नी नीमा देवी और तीन वेटियाँ हे न 1 पिंकी न 2 कोमल न 3 रेनू हम दोनों विकलांग हे</t>
  </si>
  <si>
    <t xml:space="preserve">Fazeen (DEAN)🎈</t>
  </si>
  <si>
    <t xml:space="preserve">Reuters: WATCH: Japanese Prime Minister Shinzo Abe's ruling bloc scores big election win https://t.co/lBLvr7f3ED … https://t.co/vC22Uxkh34</t>
  </si>
  <si>
    <t xml:space="preserve">Maldives, Male' City</t>
  </si>
  <si>
    <t xml:space="preserve">Senior Journalist @Raajje_tv and @raajjemv | TV Presenter #MajlisBahus and #Fashaairu</t>
  </si>
  <si>
    <t xml:space="preserve">Dr.med. Bernd Kynast</t>
  </si>
  <si>
    <t xml:space="preserve">Milky way,  I can see aliens !</t>
  </si>
  <si>
    <t xml:space="preserve">Medical Oncology, Molecular Genetics, Medical &amp; Business Consultancy, Commander (Navy, Reserve) § Unfollow=blocked #Passion4America</t>
  </si>
  <si>
    <t xml:space="preserve">World Rumors</t>
  </si>
  <si>
    <t xml:space="preserve">WATCH: Japanese Prime Minister Shinzo Abe's ruling bloc scores big election win https://t.co/QXZUsZ4I7e via… https://t.co/hc6J8t5Wto</t>
  </si>
  <si>
    <t xml:space="preserve">Around The World</t>
  </si>
  <si>
    <t xml:space="preserve">The latest updates and stories from @NewsInTheWorld.</t>
  </si>
  <si>
    <t xml:space="preserve">MG</t>
  </si>
  <si>
    <t xml:space="preserve">ChiemiKondo</t>
  </si>
  <si>
    <t xml:space="preserve">Tokyo &amp; …</t>
  </si>
  <si>
    <t xml:space="preserve">リツイート多めです。時々ぼやいてます。</t>
  </si>
  <si>
    <t xml:space="preserve">India Samvad</t>
  </si>
  <si>
    <t xml:space="preserve">Here's what PM Modi said after re-election of Shinzo Abe as Japan's PM @narendramodi @AbeShinzo @BJPLive https://t.co/L3IWEfJOpt</t>
  </si>
  <si>
    <t xml:space="preserve">For the first time, top broadcast and print journalists from mainstream media have united to redesign and restructure the news business in India.</t>
  </si>
  <si>
    <t xml:space="preserve">PoonamDV</t>
  </si>
  <si>
    <t xml:space="preserve">Reading gives me life &amp; life is s thesis on raindrops.Few words can't express the depth of my thought,don't judge me by my tweets.Luv Bharat bt humanity 1st🇮</t>
  </si>
  <si>
    <t xml:space="preserve">Sabah Maju Jaya</t>
  </si>
  <si>
    <t xml:space="preserve">4 things to expect following Shinzo Abe’s landslide victory https://t.co/mKpD2xiJKx #business #culture #education</t>
  </si>
  <si>
    <t xml:space="preserve">Official Tweets for Sabah Maju Jaya. An independent entity cover anything relates to #Sabah #Malaysia. SabahMajuJaya® - never stop tweeting.</t>
  </si>
  <si>
    <t xml:space="preserve">Matan307</t>
  </si>
  <si>
    <t xml:space="preserve">Lauren Richardson</t>
  </si>
  <si>
    <t xml:space="preserve">Edinburgh, Scotland</t>
  </si>
  <si>
    <t xml:space="preserve">Teaching Fellow in Japanese-Korean Relations @EdinburghUni. I teach on international relations in Northeast Asia.</t>
  </si>
  <si>
    <t xml:space="preserve">Monish Patra</t>
  </si>
  <si>
    <t xml:space="preserve">Odisha,India</t>
  </si>
  <si>
    <t xml:space="preserve">Only ANIME account... Sorry it's reality...</t>
  </si>
  <si>
    <t xml:space="preserve">Vardan Shah</t>
  </si>
  <si>
    <t xml:space="preserve">Sangli, India</t>
  </si>
  <si>
    <t xml:space="preserve">Still single</t>
  </si>
  <si>
    <t xml:space="preserve">Dr.Ing.T.R.VERMA</t>
  </si>
  <si>
    <t xml:space="preserve">Japan Election Vindicates Shinzo Abe as His Party Wins Big - https://t.co/ZEc6ExzGUv via https://t.co/KdCz2XQkcI</t>
  </si>
  <si>
    <t xml:space="preserve">Successful people maintain positive focus in life no matter what is going on around them,stay focused on their past successes rather than their past failures,</t>
  </si>
  <si>
    <t xml:space="preserve">caddybears</t>
  </si>
  <si>
    <t xml:space="preserve">Arlington, Tx</t>
  </si>
  <si>
    <t xml:space="preserve">Marketing Gurus</t>
  </si>
  <si>
    <t xml:space="preserve">Japan's Abe predicted to win big - Japanese Prime Minister Shinzo Abe has promised to take a firm stance on Nor... https://t.co/QhrqpQydv9</t>
  </si>
  <si>
    <t xml:space="preserve">Take your marketing efforts to the next level. SKYPE: MarketingGurus #Sales #SMM #SMO #SM #AI #M2M #BigData #IoT #IoX #IIoT #LogoDesign #ServerManagement</t>
  </si>
  <si>
    <t xml:space="preserve">Smellysgal</t>
  </si>
  <si>
    <t xml:space="preserve">Japan's Abe predicted to win big - Japanese Prime Minister Shinzo Abe has promised to take a firm stance on Nor... https://t.co/nZLiXBgAAA</t>
  </si>
  <si>
    <t xml:space="preserve">Kent,WA</t>
  </si>
  <si>
    <t xml:space="preserve">Pretending to be Army Vet Renee Beth Fournier~parody of @kellysgal Best strangler in the 🌎 @smellysguy</t>
  </si>
  <si>
    <t xml:space="preserve">Hash Poetin</t>
  </si>
  <si>
    <t xml:space="preserve">Ducket$$Ville Tx</t>
  </si>
  <si>
    <t xml:space="preserve">Hash Poetin, #Humble,Anointed,Strong,Hood, I make HISTORY for a livin, An Im Trini2debone Im on Instgram HashPoetinTha1</t>
  </si>
  <si>
    <t xml:space="preserve">AC ADVISORY</t>
  </si>
  <si>
    <t xml:space="preserve">#news Japan Election Vindicates Shinzo Abe as His Party Wins Big</t>
  </si>
  <si>
    <t xml:space="preserve">AC Advisory</t>
  </si>
  <si>
    <t xml:space="preserve">Nationalist , Proud of Sanatan Dharma. Likes/RTs are not endorsement. जय श्रीराम ।। जय श्रीकृष्णा ।।</t>
  </si>
  <si>
    <t xml:space="preserve">Bobbie</t>
  </si>
  <si>
    <t xml:space="preserve">Freelance Photojournalist &amp; passionate photographer. I'm Indian first &amp; support NaMo @ BJP4India</t>
  </si>
  <si>
    <t xml:space="preserve">B H A R A T VANSHI</t>
  </si>
  <si>
    <t xml:space="preserve">Indraprastha</t>
  </si>
  <si>
    <t xml:space="preserve">MeraBHARAT MAHANtha MMS 10yrs Me INDIA SHINING bhi NahiRaha . . . . . . TW-strictly personal RT NOT Endrsmnt . . . . IITD FujitsuICL PerotSys JPMorgan</t>
  </si>
  <si>
    <t xml:space="preserve">Reuters: WATCH: Japanese Prime Minister Shinzo Abe's ruling bloc scores big election win https://t.co/ed3VwTYkdU … https://t.co/a3BVugyWfP</t>
  </si>
  <si>
    <t xml:space="preserve">WATCH: Japanese Prime Minister Shinzo Abe's ruling bloc scores big election win https://t.co/yHAzHujYKp via… https://t.co/T3CZh0EFLT Reut…</t>
  </si>
  <si>
    <t xml:space="preserve">Shinzo Abe’s expected election win will make him Japan's longest-serving prime minister https://t.co/YmKONQpljB</t>
  </si>
  <si>
    <t xml:space="preserve">Hannah Ariel</t>
  </si>
  <si>
    <t xml:space="preserve">Somewhere over the rainbow</t>
  </si>
  <si>
    <t xml:space="preserve">•never growing up•</t>
  </si>
  <si>
    <t xml:space="preserve">RonJo Crisman</t>
  </si>
  <si>
    <t xml:space="preserve">pythonPracticerjc</t>
  </si>
  <si>
    <t xml:space="preserve">LaTanya Robinson</t>
  </si>
  <si>
    <t xml:space="preserve">Michigan</t>
  </si>
  <si>
    <t xml:space="preserve">I'm an Entrepreneur dedicated 2 my work and I also have great interest in Fashion. I'm intelligent &amp; motivated; just call me Ms.Fantabulous:~}</t>
  </si>
  <si>
    <t xml:space="preserve">Wine Dork</t>
  </si>
  <si>
    <t xml:space="preserve">Washington Square, Philadelphia</t>
  </si>
  <si>
    <t xml:space="preserve">https://t.co/8LIaOstn3M Japan Election Vindicates Shinzo Abe as His Party Wins Big: The leader’s… https://t.co/lgsx5clJxn</t>
  </si>
  <si>
    <t xml:space="preserve">Myra D. Sirois</t>
  </si>
  <si>
    <t xml:space="preserve">Western Mass</t>
  </si>
  <si>
    <t xml:space="preserve">Mother, liberal, political junkie...Will not let others tell me What I should be thinking...Authentic...#TheResistance No Bots...No Trolls...Just Covfefe!🏳️‍🌈</t>
  </si>
  <si>
    <t xml:space="preserve">Santosh Kumar</t>
  </si>
  <si>
    <t xml:space="preserve">Walid Said C.</t>
  </si>
  <si>
    <t xml:space="preserve">Triple J Archery and</t>
  </si>
  <si>
    <t xml:space="preserve">We are a Archery and Outdoor Shop committed to our growth through customer satisfaction.</t>
  </si>
  <si>
    <t xml:space="preserve">Karavadi Raghava Rao</t>
  </si>
  <si>
    <t xml:space="preserve">Vijayawada</t>
  </si>
  <si>
    <t xml:space="preserve">A Retire dBank Officer.Now a Literary Authour and commentator on Political na dEconomic Affairs.</t>
  </si>
  <si>
    <t xml:space="preserve">むーぶ</t>
  </si>
  <si>
    <t xml:space="preserve">Abe pledges pressure on North Korea after election win https://t.co/UEAWIole9C</t>
  </si>
  <si>
    <t xml:space="preserve">🐚＜ぶおおおおおおお</t>
  </si>
  <si>
    <t xml:space="preserve">おさないおんなのこ</t>
  </si>
  <si>
    <t xml:space="preserve">Colette</t>
  </si>
  <si>
    <t xml:space="preserve">Savannah, Ga</t>
  </si>
  <si>
    <t xml:space="preserve">Shadier Magnolia</t>
  </si>
  <si>
    <t xml:space="preserve">Southern Democrat and I blame all of this on Alabama and George Wallace, white supremacist, the undereducated and anybody else I can shake a stick at. So there!</t>
  </si>
  <si>
    <t xml:space="preserve">Sitati Wasilwa</t>
  </si>
  <si>
    <t xml:space="preserve">Economist| Partner @SavicLtd| Political Economy| Public Policy| Politics| Blogs~https://t.co/l2wz68ESog &amp; https://t.co/XFooE0TXrZ</t>
  </si>
  <si>
    <t xml:space="preserve">Teofilo Colon Jr</t>
  </si>
  <si>
    <t xml:space="preserve">Hearty Congratulations and Greetings to Japan Prime Minister Abe Shinzo @AbeShinzo on his BIG Election win. https://t.co/4tSjfbchaO</t>
  </si>
  <si>
    <t xml:space="preserve">I'm Teofilo Colon Jr, a Filmmaker, Photographer &amp; a Garifuna-American. RTs and follows dont equal endorsements. EMAIL teo@beinggarifuna.com PHONE (646) 961-3674</t>
  </si>
  <si>
    <t xml:space="preserve">Hayagriva</t>
  </si>
  <si>
    <t xml:space="preserve">Do kind and don't harm to other.</t>
  </si>
  <si>
    <t xml:space="preserve">BRUSSELSDIPLOMATIC</t>
  </si>
  <si>
    <t xml:space="preserve">Prime Minister Shinzo Abe, triumphed in a huge election win for lawmakers who favor revising Japan’s post-war... https://t.co/tXhyX2rAeF</t>
  </si>
  <si>
    <t xml:space="preserve">BRUSSELS</t>
  </si>
  <si>
    <t xml:space="preserve">BRUSSELS DIPLOMATIC, the emagazine for expats, diplomatic affairs, EU affairs and international affairs from Brussels.</t>
  </si>
  <si>
    <t xml:space="preserve">RotSpanier</t>
  </si>
  <si>
    <t xml:space="preserve">4 things to expect following Shinzo Abe’s landslide victory https://t.co/acDK29ufCS</t>
  </si>
  <si>
    <t xml:space="preserve">Noticias de contra-información</t>
  </si>
  <si>
    <t xml:space="preserve">Bot de contrainformación dedicado a los republicanos españoles que lucharon hasta el final de sus vidas en el campo de exterminio nazi en Mauthausen-Gusen.</t>
  </si>
  <si>
    <t xml:space="preserve">Uttara Kejriwal</t>
  </si>
  <si>
    <t xml:space="preserve">NaMo fan ,varied interests...reading, current affairs etc. Not related to #AAP Arvind Kejriwal . Proud Hindu &amp; nationalist. Convenor #IT4Commerce</t>
  </si>
  <si>
    <t xml:space="preserve">Bhaktvatsal</t>
  </si>
  <si>
    <t xml:space="preserve">Nationalist; Hindu; Researcher by profession.</t>
  </si>
  <si>
    <t xml:space="preserve">ごこう</t>
  </si>
  <si>
    <t xml:space="preserve">京都府 京都市 下京区</t>
  </si>
  <si>
    <t xml:space="preserve">ほとんどやらないが、たまにつぶやく。</t>
  </si>
  <si>
    <t xml:space="preserve">Stuti Saxena</t>
  </si>
  <si>
    <t xml:space="preserve">I follow Open Government Data (OGD) as my research theme.</t>
  </si>
  <si>
    <t xml:space="preserve">Ravikanth</t>
  </si>
  <si>
    <t xml:space="preserve">वासुदेव गुरु</t>
  </si>
  <si>
    <t xml:space="preserve">गाजीपुर,भागलपुर ,गया ,मुगेंर</t>
  </si>
  <si>
    <t xml:space="preserve">भारत और हिन्दुओं केलिए हानिकारक) 👉 सावधान हिन्दुओं👈 👉 कांग्रेस ,सपा, बसपा, आप, आरजेडी,टीमसी पाकिस्तान चीनी दोगले हिन्दुओं ,दोगले पत्रकारों से</t>
  </si>
  <si>
    <t xml:space="preserve">Yazmin</t>
  </si>
  <si>
    <t xml:space="preserve">Live, laugh, learn, and love,</t>
  </si>
  <si>
    <t xml:space="preserve">Kottaras</t>
  </si>
  <si>
    <t xml:space="preserve">Japan Election Vindicates Shinzo Abe as His Party Wins Big https://t.co/AOJP06SRoO</t>
  </si>
  <si>
    <t xml:space="preserve">PhD Medical Science. Interested in Medical Education Politics and Economics.</t>
  </si>
  <si>
    <t xml:space="preserve">白水郎</t>
  </si>
  <si>
    <t xml:space="preserve">RT @trtworld: Shinzo Abe’s expected election win will make him Japan's longest-serving prime minister https://t.co/YmKONQpljB</t>
  </si>
  <si>
    <t xml:space="preserve">リツイートは必ずしも贊意を表したものではありません。惡しからず。</t>
  </si>
  <si>
    <t xml:space="preserve">lois lodevik.</t>
  </si>
  <si>
    <t xml:space="preserve">IG : @michellemonicx</t>
  </si>
  <si>
    <t xml:space="preserve">MellyMed🦋</t>
  </si>
  <si>
    <t xml:space="preserve">PDX2UK? MedicalDebtAssistance:</t>
  </si>
  <si>
    <t xml:space="preserve">💙👨‍👨‍👦💙☔️💙🗳💙📘💙👗💙🛌💙🎭Im totally sick2my stom/Im SoSuperHungry</t>
  </si>
  <si>
    <t xml:space="preserve">Japan Election: Shinzo Abe Wins, Secures Two-Thirds Majority | https://t.co/xyrV16Y1FK https://t.co/mpYyLZGR7w</t>
  </si>
  <si>
    <t xml:space="preserve">Bearden Curling</t>
  </si>
  <si>
    <t xml:space="preserve">Knoxville • Pyeonchang 2018</t>
  </si>
  <si>
    <t xml:space="preserve">Official Twitter account of Bearden High School Curling, Tennessee's first and only high school curling team #BeardenCurling</t>
  </si>
  <si>
    <t xml:space="preserve">Metcalf Moat IFA Ltd</t>
  </si>
  <si>
    <t xml:space="preserve">Shinzo Abe is set to double down on economic stimulus and push for a revision of Japan’s pacifist constitution afte… https://t.co/IpMY6DR8pX</t>
  </si>
  <si>
    <t xml:space="preserve">Petts Wood, Kent</t>
  </si>
  <si>
    <t xml:space="preserve">Independent Financial Advisers based in Petts Wood, Kent. Metcalf Moat offer independent advice, in a professional and friendly manner.</t>
  </si>
  <si>
    <t xml:space="preserve">Diwali</t>
  </si>
  <si>
    <t xml:space="preserve">I like cricket,news</t>
  </si>
  <si>
    <t xml:space="preserve">Subrata Mitra</t>
  </si>
  <si>
    <t xml:space="preserve">Gurgaon</t>
  </si>
  <si>
    <t xml:space="preserve">Keen follower of politics and economics. Technology enthusiast. RTs not endorsements.</t>
  </si>
  <si>
    <t xml:space="preserve">richsister45</t>
  </si>
  <si>
    <t xml:space="preserve">Hard worker, Self motivated, Independent, Open minded Individual.</t>
  </si>
  <si>
    <t xml:space="preserve">Vishal Sonara</t>
  </si>
  <si>
    <t xml:space="preserve">.@AbeShinzo won a commanding majority for his party, fueling his hopes of revising Japan's Constitution @nytimes https://t.co/38mKun7Maa</t>
  </si>
  <si>
    <t xml:space="preserve">surendranagar</t>
  </si>
  <si>
    <t xml:space="preserve">Even the fool has a duty to perform, namely, to do his bit if the angel has gone to sleep or is unwilling to proclaim the truth.</t>
  </si>
  <si>
    <t xml:space="preserve">CHARMAINE</t>
  </si>
  <si>
    <t xml:space="preserve">Moscow, Russia</t>
  </si>
  <si>
    <t xml:space="preserve">MLMANDOWARA</t>
  </si>
  <si>
    <t xml:space="preserve">72 Moti Magri Udaipur, India</t>
  </si>
  <si>
    <t xml:space="preserve">I AM RETIRED vice principal of college education RSS &amp; Nationalist ideology follow BJP &amp; follower of Modi but not blind bhakt of any.retweet is not endoresement</t>
  </si>
  <si>
    <t xml:space="preserve">nicholas norton</t>
  </si>
  <si>
    <t xml:space="preserve">Plymouth, MA</t>
  </si>
  <si>
    <t xml:space="preserve">ironic and clever description of myself</t>
  </si>
  <si>
    <t xml:space="preserve">Julian Knight MP</t>
  </si>
  <si>
    <t xml:space="preserve">Congrats to Shinzo Abe on his election win and I hope this will bring Japan closer to playing an even fuller role in collective defence</t>
  </si>
  <si>
    <t xml:space="preserve">Solihull</t>
  </si>
  <si>
    <t xml:space="preserve">Conservative member of parliament for Solihull, working to make our town an even better place to live</t>
  </si>
  <si>
    <t xml:space="preserve">kannan</t>
  </si>
  <si>
    <t xml:space="preserve">Coimbatore, India</t>
  </si>
  <si>
    <t xml:space="preserve">BoxOffice Collection</t>
  </si>
  <si>
    <t xml:space="preserve">Shinzo Abe to push reform of Japan's pacifist constitution a #TISNews Click Link- https://t.co/Ko1xy36UPj https://t.co/Mws4fsPbHr</t>
  </si>
  <si>
    <t xml:space="preserve">INSubcontinentNews</t>
  </si>
  <si>
    <t xml:space="preserve">Follow us to get the Latest TRP News on Movies, Politics, BoxOffice Collection,Movie Reviews NewYork,Delhi,Amsterdam,London</t>
  </si>
  <si>
    <t xml:space="preserve">Katie Markegard</t>
  </si>
  <si>
    <t xml:space="preserve">Beach bummin' in San Diego! </t>
  </si>
  <si>
    <t xml:space="preserve">I want to pursue music and get over my stage fright. There's nothing I want more for myself. :)</t>
  </si>
  <si>
    <t xml:space="preserve">ななし</t>
  </si>
  <si>
    <t xml:space="preserve">Mikatan</t>
  </si>
  <si>
    <t xml:space="preserve">日本 埼玉</t>
  </si>
  <si>
    <r>
      <rPr>
        <sz val="8"/>
        <rFont val="Noto Sans CJK SC Regular"/>
        <family val="2"/>
      </rPr>
      <t xml:space="preserve">こっちではまだまだ初心者です。無言フォロー</t>
    </r>
    <r>
      <rPr>
        <sz val="8"/>
        <rFont val="Droid Sans"/>
        <family val="0"/>
        <charset val="1"/>
      </rPr>
      <t xml:space="preserve">&amp;</t>
    </r>
    <r>
      <rPr>
        <sz val="8"/>
        <rFont val="Noto Sans CJK SC Regular"/>
        <family val="2"/>
      </rPr>
      <t xml:space="preserve">無断リツィートしちゃうかもですが、迷惑がらずにいてやってくださいね</t>
    </r>
    <r>
      <rPr>
        <sz val="8"/>
        <rFont val="Droid Sans"/>
        <family val="0"/>
        <charset val="1"/>
      </rPr>
      <t xml:space="preserve">(</t>
    </r>
    <r>
      <rPr>
        <sz val="8"/>
        <rFont val="Noto Sans CJK SC Regular"/>
        <family val="2"/>
      </rPr>
      <t xml:space="preserve">笑</t>
    </r>
    <r>
      <rPr>
        <sz val="8"/>
        <rFont val="Droid Sans"/>
        <family val="0"/>
        <charset val="1"/>
      </rPr>
      <t xml:space="preserve">) </t>
    </r>
    <r>
      <rPr>
        <sz val="8"/>
        <rFont val="Noto Sans CJK SC Regular"/>
        <family val="2"/>
      </rPr>
      <t xml:space="preserve">無断リツィートも無言フォローも今のところは大歓迎です。情報は分けあいましょうね</t>
    </r>
    <r>
      <rPr>
        <sz val="8"/>
        <rFont val="Droid Sans"/>
        <family val="0"/>
        <charset val="1"/>
      </rPr>
      <t xml:space="preserve">(</t>
    </r>
    <r>
      <rPr>
        <sz val="8"/>
        <rFont val="Noto Sans CJK SC Regular"/>
        <family val="2"/>
      </rPr>
      <t xml:space="preserve">笑</t>
    </r>
    <r>
      <rPr>
        <sz val="8"/>
        <rFont val="Droid Sans"/>
        <family val="0"/>
        <charset val="1"/>
      </rPr>
      <t xml:space="preserve">)</t>
    </r>
  </si>
  <si>
    <t xml:space="preserve">Veronica jackson</t>
  </si>
  <si>
    <t xml:space="preserve">West Covina</t>
  </si>
  <si>
    <t xml:space="preserve">Maybe she will, Maybe she wont......</t>
  </si>
  <si>
    <t xml:space="preserve">sumit</t>
  </si>
  <si>
    <t xml:space="preserve">HINDU: i love my religion and respect it doesn't mean i hate yours. JAI MAA BHARATI 🙏🇮🇳🇮🇳🇮🇳🇮🇳</t>
  </si>
  <si>
    <t xml:space="preserve">Brooks Macdonald</t>
  </si>
  <si>
    <t xml:space="preserve">Following Shinzō Abe’s election victory, we discuss Japan’s economic outlook and the implications for equities… https://t.co/HNaJdTKAwR</t>
  </si>
  <si>
    <t xml:space="preserve">Provider of investment management services. Follow for investment insights &amp; market updates for advisers &amp; paraplanners | Proud sponsor of @Middlesex_CCC</t>
  </si>
  <si>
    <t xml:space="preserve">Ramesh Patibanda</t>
  </si>
  <si>
    <t xml:space="preserve">Proud Bharatwasi. Information seeker. Retweets are not endorsements.</t>
  </si>
  <si>
    <t xml:space="preserve">Japan Election Vindicates Shinzo Abe as His Party Wins Big - New York Times https://t.co/yFeDHdax8S #topstories</t>
  </si>
  <si>
    <t xml:space="preserve">RT @BrooksMacdonald: Following Shinzō Abe’s election victory, we discuss Japan’s economic outlook and the implications for equities https:/…</t>
  </si>
  <si>
    <t xml:space="preserve">K P Ganesh</t>
  </si>
  <si>
    <t xml:space="preserve">Banker, Avid traveler, cynic and a critique. I do share some interesting tweets over and above the noise &amp; twittertainment.</t>
  </si>
  <si>
    <t xml:space="preserve">Emna Longchar </t>
  </si>
  <si>
    <t xml:space="preserve">Another Red devil</t>
  </si>
  <si>
    <t xml:space="preserve">hirakawa noboru</t>
  </si>
  <si>
    <t xml:space="preserve">趣味は星を見ること。家族は二人とわんこ一匹。</t>
  </si>
  <si>
    <t xml:space="preserve">The Standard Digital</t>
  </si>
  <si>
    <t xml:space="preserve">Shinzo Abe sweeps to resounding victory in Japan snap election https://t.co/nhmuLzOCVt https://t.co/XJyrOzducU</t>
  </si>
  <si>
    <t xml:space="preserve">Kenya | Nairobi</t>
  </si>
  <si>
    <t xml:space="preserve">Your Gateway | Related to @KTNKenya @Radiomaisha</t>
  </si>
  <si>
    <t xml:space="preserve">ktn</t>
  </si>
  <si>
    <t xml:space="preserve">Shinzo Abe sweeps to resounding victory in Japan snap election https://t.co/lAseClcFrZ https://t.co/bV3e00liiC</t>
  </si>
  <si>
    <t xml:space="preserve">Bringing you breaking news and stories across the country | http://t.co/1T2bqyK0I4 | https://t.co/YWcUy8fs5h</t>
  </si>
  <si>
    <t xml:space="preserve">Africa Elects</t>
  </si>
  <si>
    <t xml:space="preserve">RT @StandardKenya: Shinzo Abe sweeps to resounding victory in Japan snap election https://t.co/nhmuLzOCVt https://t.co/XJyrOzducU</t>
  </si>
  <si>
    <t xml:space="preserve">Following polls, politics &amp; election results in Africa. Note that we don't own all content posted. Correct us anytime|DM open for content removal request|</t>
  </si>
  <si>
    <t xml:space="preserve">GKostrzewa-ZorbasPhD</t>
  </si>
  <si>
    <t xml:space="preserve">Warszawa, Polska</t>
  </si>
  <si>
    <t xml:space="preserve">Autor artykułu „Biliony dolarów za II wojnę światową”, wSieci 29.9.2014. Były dyrektor w MSZ, MON. PhD, SAIS-Johns Hopkins University; MA, Georgetown University</t>
  </si>
  <si>
    <t xml:space="preserve">CA. Pranav Jain</t>
  </si>
  <si>
    <t xml:space="preserve">Chartered Accountant.</t>
  </si>
  <si>
    <t xml:space="preserve">Simon Hull</t>
  </si>
  <si>
    <t xml:space="preserve">cultural marxist paid by soros</t>
  </si>
  <si>
    <t xml:space="preserve">ツルコケモモ</t>
  </si>
  <si>
    <r>
      <rPr>
        <sz val="8"/>
        <rFont val="Noto Sans CJK SC Regular"/>
        <family val="2"/>
      </rPr>
      <t xml:space="preserve">＃坂東学校 の学生です。 学校長報更新時に概要を呟きます。（でも </t>
    </r>
    <r>
      <rPr>
        <sz val="8"/>
        <rFont val="Droid Sans"/>
        <family val="0"/>
        <charset val="1"/>
      </rPr>
      <t xml:space="preserve">#</t>
    </r>
    <r>
      <rPr>
        <sz val="8"/>
        <rFont val="Noto Sans CJK SC Regular"/>
        <family val="2"/>
      </rPr>
      <t xml:space="preserve">萬葉集 ネタの方が多めです。）</t>
    </r>
  </si>
  <si>
    <t xml:space="preserve">Anti-EU</t>
  </si>
  <si>
    <t xml:space="preserve">Mwakichako</t>
  </si>
  <si>
    <t xml:space="preserve">RT @KTNKenya: Shinzo Abe sweeps to resounding victory in Japan snap election https://t.co/lAseClcFrZ https://t.co/bV3e00liiC</t>
  </si>
  <si>
    <t xml:space="preserve">Nairobi, Nakuru, Narok</t>
  </si>
  <si>
    <t xml:space="preserve">Advocate.</t>
  </si>
  <si>
    <r>
      <rPr>
        <sz val="8"/>
        <rFont val="Droid Sans"/>
        <family val="0"/>
        <charset val="1"/>
      </rPr>
      <t xml:space="preserve">E n n a </t>
    </r>
    <r>
      <rPr>
        <sz val="8"/>
        <rFont val="Noto Sans CJK SC Regular"/>
        <family val="2"/>
      </rPr>
      <t xml:space="preserve">エンナ</t>
    </r>
  </si>
  <si>
    <t xml:space="preserve">Cincinnati, OH</t>
  </si>
  <si>
    <t xml:space="preserve">Interior Designer, Bass Guitarist, NBA Fan, I love Lebron and KLove , I'm a Cancer Survivor ,an Optimist, I believe that Love knows no Gender and Color 💚</t>
  </si>
  <si>
    <t xml:space="preserve">Sammy Aliwa</t>
  </si>
  <si>
    <t xml:space="preserve">Shinzo Abe sweeps to resounding victory in Japan snap election https://t.co/bWsNV19C5c</t>
  </si>
  <si>
    <t xml:space="preserve">Digital Marketing and Cyber Security Enthusiast</t>
  </si>
  <si>
    <t xml:space="preserve">Post Edited: Japan Election Vindicates Shinzo Abe as His Party Wins Big https://t.co/w0vxKYJOYJ</t>
  </si>
  <si>
    <t xml:space="preserve">Invest Diva</t>
  </si>
  <si>
    <t xml:space="preserve">$USDJPY pair opened Monday’s Asian session with a jump to 113.86 as Japan’s Prime Minister Shinzo Abe won. #forex… https://t.co/GGLXMCLeKl</t>
  </si>
  <si>
    <t xml:space="preserve">Online investing education platform for women. We have helped over 5,000 divas grow their wealth. We can help you too.</t>
  </si>
  <si>
    <t xml:space="preserve">hassan fahad</t>
  </si>
  <si>
    <t xml:space="preserve">Shinzo Abe sweeps to resounding victory in Japan snap election https://t.co/H7kqfBgOkV https://t.co/3SsU3aIomu</t>
  </si>
  <si>
    <t xml:space="preserve">nairobi</t>
  </si>
  <si>
    <t xml:space="preserve">Businessman,Entrepreneur:Nobody has a monopoly on knowledge,build upon your knowledge:Retweets are not endorsements.</t>
  </si>
  <si>
    <t xml:space="preserve">BlueDogDemocrats</t>
  </si>
  <si>
    <t xml:space="preserve">https://t.co/7Vt5gVDuig IN JAPAN "no divisive problems involving race and almost no issues surrounding immigration" THEN U BASH BREXIT? WTF</t>
  </si>
  <si>
    <t xml:space="preserve">Longtime Democrat and Proud Supporter of President Trump! ✊🏻✊🏼✊🏿BE PROUD OF YOURSELF 🐻CALI🕊️PEACE🇺🇸AMERICA🏳️‍🌈LGBTRIGHTS🧙‍♂️WIZARDRIGHTS🤔FREE SPEECH🧐HISTORY🔜</t>
  </si>
  <si>
    <t xml:space="preserve">Japan PM Shinzo Abe pledges pressure on North Korea after big election win https://t.co/tTWouDKhAd</t>
  </si>
  <si>
    <t xml:space="preserve">Martha Karua</t>
  </si>
  <si>
    <t xml:space="preserve">Mother of two and granny. Advocate for social justice. Candidate for Governor - Kirinyaga County</t>
  </si>
  <si>
    <t xml:space="preserve">白楽正志</t>
  </si>
  <si>
    <t xml:space="preserve">千葉県市川市</t>
  </si>
  <si>
    <t xml:space="preserve">アスペルガー症候群の息子を持つ科学技術翻訳者です。原発再稼動反対。平和憲法改定反対。</t>
  </si>
  <si>
    <t xml:space="preserve">Japan’s Shinzo Abe Conjures Stunning Election Victory in a Boost for Donald Trump https://t.co/6GwtBHtOzZ</t>
  </si>
  <si>
    <t xml:space="preserve">ROB G</t>
  </si>
  <si>
    <t xml:space="preserve">Dentist and loving it</t>
  </si>
  <si>
    <t xml:space="preserve">valvane</t>
  </si>
  <si>
    <t xml:space="preserve">日本→欧州移住強行中。どこまで出来るか？</t>
  </si>
  <si>
    <t xml:space="preserve">放射能汚染された東京でオリンピック？日本は辞退を！世界各国の選手はボイコットを！「日本が外国から攻撃されるわけがない（自衛隊不要）」と言うのは、「原発が事故を起こすわけがない」というのと同じ、最悪の事態を想定しない考え方。個別的自衛権の行使を。日本は「唯一の被曝国」に非ず。他にも核の被害を蒙った国・地域はあります。</t>
  </si>
  <si>
    <t xml:space="preserve">Bring Rinkle Back</t>
  </si>
  <si>
    <t xml:space="preserve">West Bengal, India</t>
  </si>
  <si>
    <t xml:space="preserve">Leftist in the past, anti-Left at present; Hindu atheist (no, it is NOT an oxymoron)</t>
  </si>
  <si>
    <t xml:space="preserve">Pablo Rodas-Martini</t>
  </si>
  <si>
    <t xml:space="preserve">Passionate about Climate Change and Renewables. President of Gliese Foundation: Climate Change through Art. PhD/MSc, University of London. FIDE Chess Master.</t>
  </si>
  <si>
    <t xml:space="preserve">Sassen van Elsloo</t>
  </si>
  <si>
    <t xml:space="preserve">Disgruntled VNLer, BA, MA, MBA, exHedge Fund adv, PE, eurosceptic, Hayek, Mises, Glocomnet, investor, freelance columnist, Tradeidee.nl tweets in no way advice</t>
  </si>
  <si>
    <t xml:space="preserve">Japan Election Vindicates Shinzo Abe as His Party Wins Big - New York Times: New York Times… https://t.co/fS2bGskA79</t>
  </si>
  <si>
    <t xml:space="preserve">Punto</t>
  </si>
  <si>
    <t xml:space="preserve">Nick D</t>
  </si>
  <si>
    <t xml:space="preserve">The App that does app stuff</t>
  </si>
  <si>
    <t xml:space="preserve">I would love to win some prizes on twitter</t>
  </si>
  <si>
    <t xml:space="preserve">mwenda  evans</t>
  </si>
  <si>
    <t xml:space="preserve">Meru, Kenya</t>
  </si>
  <si>
    <t xml:space="preserve">Ivanevans254 a/c,meru kenya,@mancity fun/Radio fun @........</t>
  </si>
  <si>
    <t xml:space="preserve">Judith Dora Akolo</t>
  </si>
  <si>
    <t xml:space="preserve">RT @TIMEWorld: Japan’s Shinzo Abe Conjures Stunning Election Victory in a Boost for Donald Trump https://t.co/6GwtBHtOzZ</t>
  </si>
  <si>
    <t xml:space="preserve">At the SERENE ever green Emanyulia my Father Agabus Akolo Muluka rests. I can't run away from this painful reality that Dad you are no more. It's a sad reality.</t>
  </si>
  <si>
    <t xml:space="preserve">SPURR</t>
  </si>
  <si>
    <t xml:space="preserve">Helping business people achieve great things through specialist business strategy development and execution.</t>
  </si>
  <si>
    <t xml:space="preserve">No one</t>
  </si>
  <si>
    <t xml:space="preserve">timbuktu</t>
  </si>
  <si>
    <t xml:space="preserve">no one knows better. lists and bots get blocked.</t>
  </si>
  <si>
    <t xml:space="preserve">Biren kumar shroff</t>
  </si>
  <si>
    <t xml:space="preserve">Follow nationalists like modi.India for unity and prosperity the only mantra for every hindustani.</t>
  </si>
  <si>
    <t xml:space="preserve">M.A.X. Bennette</t>
  </si>
  <si>
    <t xml:space="preserve">Japan Election Vindicates Shinzo Abe as His Party Wins Big. https://t.co/kksjuNnzyc</t>
  </si>
  <si>
    <t xml:space="preserve">Published author. Lonely poet. Realist comedian. Enthusiastic eater. Informed socialist. Classic rebel. Intersectional feminist. https://t.co/JKga38Iq6F…?</t>
  </si>
  <si>
    <t xml:space="preserve">k.shino</t>
  </si>
  <si>
    <t xml:space="preserve">Despite tsunami of media smear campaign public chose tangible Shinzo Abe gains big victory in Japan election https://t.co/me90PdcPZl via @FT</t>
  </si>
  <si>
    <t xml:space="preserve">Rationalist Yoda</t>
  </si>
  <si>
    <t xml:space="preserve">Japan's Prime Minister Shinzo Abe says after election win he will pursue "strong diplomacy" to pressure North Korea #TCOT #MAGA http://z</t>
  </si>
  <si>
    <t xml:space="preserve">Zapier.com</t>
  </si>
  <si>
    <t xml:space="preserve">Kansas City Area</t>
  </si>
  <si>
    <t xml:space="preserve">Are you not subscribed to my youtube channel? Go here: https://t.co/NcT0cw7UJU… and hit that subscribe button!</t>
  </si>
  <si>
    <t xml:space="preserve">Gmf</t>
  </si>
  <si>
    <t xml:space="preserve">iCloud</t>
  </si>
  <si>
    <t xml:space="preserve">Elephant herder|Zeitgeist|Seeking Shangri-La |ArsenalFC|Apple™ inc| Gamer| EDM|Aviator|iPods &amp; more ™ | Lone 🐺 | Son</t>
  </si>
  <si>
    <t xml:space="preserve">Japan’s Shinzo Abe Conjures Stunning Election Victory in a Boost for Donald Trump https://t.co/M1L888qDRo</t>
  </si>
  <si>
    <t xml:space="preserve">Japan's Shinzo Abe conjures a stunning election victory in a boost for Trump https://t.co/DCSAvLAL24</t>
  </si>
  <si>
    <t xml:space="preserve">New top story from Time: https://t.co/L2NpuuFEjT In a nod to his nationalist agenda and tough line with rogue state North Korea, Japanes…</t>
  </si>
  <si>
    <t xml:space="preserve">Japan election: Shinzo Abe may have won majority but has fai #TISNews Click Link- https://t.co/yWf6cCfqe4 https://t.co/lXmuZABIu6</t>
  </si>
  <si>
    <t xml:space="preserve">RT TIME "Japan's Shinzo Abe conjures a stunning election victory in a boost for Trump https://t.co/FPpJUQis5R"</t>
  </si>
  <si>
    <t xml:space="preserve">Enfermedad Mental ed</t>
  </si>
  <si>
    <t xml:space="preserve">Japan’s Shinzo Abe Conjures Stunning Election Victory in a Boost for Donald TrumpNew top story from Time:… https://t.co/Ouz9qlcmVW</t>
  </si>
  <si>
    <t xml:space="preserve">Valladolid, España</t>
  </si>
  <si>
    <t xml:space="preserve">Editorial por y para discapacitados y todo tipo de literatura que ayude en mejorar su calidad de vida</t>
  </si>
  <si>
    <t xml:space="preserve">Japan’s Shinzo Abe Conjures Stunning Election Victory in a Boost for Donald Trump https://t.co/gv9BB4HjVc via @TIME</t>
  </si>
  <si>
    <t xml:space="preserve">RT @TIME: Japan's Shinzo Abe conjures a stunning election victory in a boost for Trump https://t.co/DCSAvLAL24</t>
  </si>
  <si>
    <t xml:space="preserve">Japan Election Vindicates Shinzo Abe as His Party Wins Big - New York Times https://t.co/nuglA4plBG https://t.co/8rH7D7B8Ab</t>
  </si>
  <si>
    <t xml:space="preserve">Khalil Charles Penn</t>
  </si>
  <si>
    <t xml:space="preserve">Zoher Abdoolcarim</t>
  </si>
  <si>
    <t xml:space="preserve">Asia Editor, TIME</t>
  </si>
  <si>
    <t xml:space="preserve">:$</t>
  </si>
  <si>
    <t xml:space="preserve">Happily married father of 3 beautiful kids. Finance &amp; Operations guy. Proud American Citizen, proud Irish Citizen. Moving around #DUB #BOS #SFO #PDX</t>
  </si>
  <si>
    <r>
      <rPr>
        <sz val="8"/>
        <rFont val="Droid Sans"/>
        <family val="0"/>
        <charset val="1"/>
      </rPr>
      <t xml:space="preserve">#</t>
    </r>
    <r>
      <rPr>
        <sz val="8"/>
        <rFont val="Noto Sans CJK SC Regular"/>
        <family val="2"/>
      </rPr>
      <t xml:space="preserve">参加賞💓🌎🌍🌏</t>
    </r>
    <r>
      <rPr>
        <sz val="8"/>
        <rFont val="Droid Sans"/>
        <family val="0"/>
        <charset val="1"/>
      </rPr>
      <t xml:space="preserve">.</t>
    </r>
  </si>
  <si>
    <t xml:space="preserve">AB:Leslampes05-17. I:loveletters0716masayo. FB:Masayo Yamashita. DoshishU. Bball. (ACTRESS. MUSICIAN. Model. mfd. UN. MOM.) NPS. A.L.M.😹. #MADONNA❤️❤️.</t>
  </si>
  <si>
    <t xml:space="preserve">Unmei Nihongo Center</t>
  </si>
  <si>
    <t xml:space="preserve">Unmei | News: Japan's Abe hails landslide victory in snap election A decision by Japanese Prime Minister Shinzo... https://t.co/WGal4Kwh2a</t>
  </si>
  <si>
    <t xml:space="preserve">Ortigas Center, Pasig City</t>
  </si>
  <si>
    <t xml:space="preserve">Japanese Language Center in Ortigas Pasig City, Philippines https://t.co/5rd8el7GD5</t>
  </si>
  <si>
    <t xml:space="preserve">lynx55</t>
  </si>
  <si>
    <t xml:space="preserve">Green Bay, WI</t>
  </si>
  <si>
    <t xml:space="preserve">#Resistance #Disabled #UniteBlue #wiunion #wiresist #p2 #prochoice #LegalMJ #lgbtq #ally #Cats #MeToo #TakeAKnee</t>
  </si>
  <si>
    <t xml:space="preserve">中島一成</t>
  </si>
  <si>
    <r>
      <rPr>
        <sz val="8"/>
        <rFont val="Noto Sans CJK SC Regular"/>
        <family val="2"/>
      </rPr>
      <t xml:space="preserve">松阪→</t>
    </r>
    <r>
      <rPr>
        <sz val="8"/>
        <rFont val="Droid Sans"/>
        <family val="0"/>
        <charset val="1"/>
      </rPr>
      <t xml:space="preserve">(</t>
    </r>
    <r>
      <rPr>
        <sz val="8"/>
        <rFont val="Noto Sans CJK SC Regular"/>
        <family val="2"/>
      </rPr>
      <t xml:space="preserve">伊勢</t>
    </r>
    <r>
      <rPr>
        <sz val="8"/>
        <rFont val="Droid Sans"/>
        <family val="0"/>
        <charset val="1"/>
      </rPr>
      <t xml:space="preserve">)→</t>
    </r>
    <r>
      <rPr>
        <sz val="8"/>
        <rFont val="Noto Sans CJK SC Regular"/>
        <family val="2"/>
      </rPr>
      <t xml:space="preserve">秦野・平塚→小田原→松阪→岡崎→</t>
    </r>
    <r>
      <rPr>
        <sz val="8"/>
        <rFont val="Droid Sans"/>
        <family val="0"/>
        <charset val="1"/>
      </rPr>
      <t xml:space="preserve">(</t>
    </r>
    <r>
      <rPr>
        <sz val="8"/>
        <rFont val="Noto Sans CJK SC Regular"/>
        <family val="2"/>
      </rPr>
      <t xml:space="preserve">金山</t>
    </r>
    <r>
      <rPr>
        <sz val="8"/>
        <rFont val="Droid Sans"/>
        <family val="0"/>
        <charset val="1"/>
      </rPr>
      <t xml:space="preserve">)</t>
    </r>
  </si>
  <si>
    <r>
      <rPr>
        <sz val="8"/>
        <rFont val="Noto Sans CJK SC Regular"/>
        <family val="2"/>
      </rPr>
      <t xml:space="preserve">よろしくお願いします。三重県生まれ、</t>
    </r>
    <r>
      <rPr>
        <sz val="8"/>
        <rFont val="Droid Sans"/>
        <family val="0"/>
        <charset val="1"/>
      </rPr>
      <t xml:space="preserve">33</t>
    </r>
    <r>
      <rPr>
        <sz val="8"/>
        <rFont val="Noto Sans CJK SC Regular"/>
        <family val="2"/>
      </rPr>
      <t xml:space="preserve">歳です。十年程神奈川に居た後、東海地方をうろうろと。</t>
    </r>
    <r>
      <rPr>
        <sz val="8"/>
        <rFont val="Droid Sans"/>
        <family val="0"/>
        <charset val="1"/>
      </rPr>
      <t xml:space="preserve">Twitter</t>
    </r>
    <r>
      <rPr>
        <sz val="8"/>
        <rFont val="Noto Sans CJK SC Regular"/>
        <family val="2"/>
      </rPr>
      <t xml:space="preserve">の内容は時事、モータースポーツ、歴史、地域情報、その他諸々で、</t>
    </r>
    <r>
      <rPr>
        <sz val="8"/>
        <rFont val="Droid Sans"/>
        <family val="0"/>
        <charset val="1"/>
      </rPr>
      <t xml:space="preserve">RT</t>
    </r>
    <r>
      <rPr>
        <sz val="8"/>
        <rFont val="Noto Sans CJK SC Regular"/>
        <family val="2"/>
      </rPr>
      <t xml:space="preserve">もいいねも量多め。雑記帳のていでラフです。大きめの独り言です。他ツイを読むのが好きです。</t>
    </r>
  </si>
  <si>
    <t xml:space="preserve">"Japan’s Shinzo Abe Conjures Stunning Election Victory in a Boost for Donald Trump" https://t.co/2PLwXEVQGH #Time</t>
  </si>
  <si>
    <t xml:space="preserve">Mazlan</t>
  </si>
  <si>
    <t xml:space="preserve">at the end of the days, only you that matters.</t>
  </si>
  <si>
    <t xml:space="preserve">Ibrahima Traore</t>
  </si>
  <si>
    <t xml:space="preserve">Ca. USA</t>
  </si>
  <si>
    <t xml:space="preserve">Forgive me for offending you, I'm such a brut. I'll forgive all your offenses because your a gentle Giant. Lets wage peace together, you and me. One Love!!!!!</t>
  </si>
  <si>
    <t xml:space="preserve">Trump Democrat</t>
  </si>
  <si>
    <t xml:space="preserve">Jasmine Estates, FL</t>
  </si>
  <si>
    <r>
      <rPr>
        <sz val="8"/>
        <rFont val="Droid Sans"/>
        <family val="0"/>
        <charset val="1"/>
      </rPr>
      <t xml:space="preserve">Masashi Yuki</t>
    </r>
    <r>
      <rPr>
        <sz val="8"/>
        <rFont val="Noto Sans CJK SC Regular"/>
        <family val="2"/>
      </rPr>
      <t xml:space="preserve">と時間と言葉</t>
    </r>
  </si>
  <si>
    <r>
      <rPr>
        <sz val="8"/>
        <rFont val="Noto Sans CJK SC Regular"/>
        <family val="2"/>
      </rPr>
      <t xml:space="preserve">びわこ～京都～大阪</t>
    </r>
    <r>
      <rPr>
        <sz val="8"/>
        <rFont val="Droid Sans"/>
        <family val="0"/>
        <charset val="1"/>
      </rPr>
      <t xml:space="preserve">/somewhere in Japan</t>
    </r>
  </si>
  <si>
    <r>
      <rPr>
        <sz val="8"/>
        <rFont val="Noto Sans CJK SC Regular"/>
        <family val="2"/>
      </rPr>
      <t xml:space="preserve">男</t>
    </r>
    <r>
      <rPr>
        <sz val="8"/>
        <rFont val="Droid Sans"/>
        <family val="0"/>
        <charset val="1"/>
      </rPr>
      <t xml:space="preserve">/</t>
    </r>
    <r>
      <rPr>
        <sz val="8"/>
        <rFont val="Noto Sans CJK SC Regular"/>
        <family val="2"/>
      </rPr>
      <t xml:space="preserve">発達障害・鬱・不眠・</t>
    </r>
    <r>
      <rPr>
        <sz val="8"/>
        <rFont val="Droid Sans"/>
        <family val="0"/>
        <charset val="1"/>
      </rPr>
      <t xml:space="preserve">ADD/</t>
    </r>
    <r>
      <rPr>
        <sz val="8"/>
        <rFont val="Noto Sans CJK SC Regular"/>
        <family val="2"/>
      </rPr>
      <t xml:space="preserve">びわこ民</t>
    </r>
    <r>
      <rPr>
        <sz val="8"/>
        <rFont val="Droid Sans"/>
        <family val="0"/>
        <charset val="1"/>
      </rPr>
      <t xml:space="preserve">/</t>
    </r>
    <r>
      <rPr>
        <sz val="8"/>
        <rFont val="Noto Sans CJK SC Regular"/>
        <family val="2"/>
      </rPr>
      <t xml:space="preserve">ビジュアルアーツ大阪放送映画学科卒</t>
    </r>
    <r>
      <rPr>
        <sz val="8"/>
        <rFont val="Droid Sans"/>
        <family val="0"/>
        <charset val="1"/>
      </rPr>
      <t xml:space="preserve">&amp;</t>
    </r>
    <r>
      <rPr>
        <sz val="8"/>
        <rFont val="Noto Sans CJK SC Regular"/>
        <family val="2"/>
      </rPr>
      <t xml:space="preserve">アイホール演劇ファクトリー三期</t>
    </r>
    <r>
      <rPr>
        <sz val="8"/>
        <rFont val="Droid Sans"/>
        <family val="0"/>
        <charset val="1"/>
      </rPr>
      <t xml:space="preserve">/</t>
    </r>
    <r>
      <rPr>
        <sz val="8"/>
        <rFont val="Noto Sans CJK SC Regular"/>
        <family val="2"/>
      </rPr>
      <t xml:space="preserve">カワサキ</t>
    </r>
    <r>
      <rPr>
        <sz val="8"/>
        <rFont val="Droid Sans"/>
        <family val="0"/>
        <charset val="1"/>
      </rPr>
      <t xml:space="preserve">Ninja250SL/Prog-rock/F1/</t>
    </r>
    <r>
      <rPr>
        <sz val="8"/>
        <rFont val="Noto Sans CJK SC Regular"/>
        <family val="2"/>
      </rPr>
      <t xml:space="preserve">アクション映画</t>
    </r>
    <r>
      <rPr>
        <sz val="8"/>
        <rFont val="Droid Sans"/>
        <family val="0"/>
        <charset val="1"/>
      </rPr>
      <t xml:space="preserve">/</t>
    </r>
    <r>
      <rPr>
        <sz val="8"/>
        <rFont val="Noto Sans CJK SC Regular"/>
        <family val="2"/>
      </rPr>
      <t xml:space="preserve">刑事ドラマ</t>
    </r>
    <r>
      <rPr>
        <sz val="8"/>
        <rFont val="Droid Sans"/>
        <family val="0"/>
        <charset val="1"/>
      </rPr>
      <t xml:space="preserve">/</t>
    </r>
    <r>
      <rPr>
        <sz val="8"/>
        <rFont val="Noto Sans CJK SC Regular"/>
        <family val="2"/>
      </rPr>
      <t xml:space="preserve">シンセ＆</t>
    </r>
    <r>
      <rPr>
        <sz val="8"/>
        <rFont val="Droid Sans"/>
        <family val="0"/>
        <charset val="1"/>
      </rPr>
      <t xml:space="preserve">DTM/</t>
    </r>
    <r>
      <rPr>
        <sz val="8"/>
        <rFont val="Noto Sans CJK SC Regular"/>
        <family val="2"/>
      </rPr>
      <t xml:space="preserve">アイドル</t>
    </r>
    <r>
      <rPr>
        <sz val="8"/>
        <rFont val="Droid Sans"/>
        <family val="0"/>
        <charset val="1"/>
      </rPr>
      <t xml:space="preserve">/</t>
    </r>
    <r>
      <rPr>
        <sz val="8"/>
        <rFont val="Noto Sans CJK SC Regular"/>
        <family val="2"/>
      </rPr>
      <t xml:space="preserve">トップギア</t>
    </r>
    <r>
      <rPr>
        <sz val="8"/>
        <rFont val="Droid Sans"/>
        <family val="0"/>
        <charset val="1"/>
      </rPr>
      <t xml:space="preserve">/</t>
    </r>
    <r>
      <rPr>
        <sz val="8"/>
        <rFont val="Noto Sans CJK SC Regular"/>
        <family val="2"/>
      </rPr>
      <t xml:space="preserve">アニメ</t>
    </r>
    <r>
      <rPr>
        <sz val="8"/>
        <rFont val="Droid Sans"/>
        <family val="0"/>
        <charset val="1"/>
      </rPr>
      <t xml:space="preserve">/</t>
    </r>
    <r>
      <rPr>
        <sz val="8"/>
        <rFont val="Noto Sans CJK SC Regular"/>
        <family val="2"/>
      </rPr>
      <t xml:space="preserve">演劇</t>
    </r>
    <r>
      <rPr>
        <sz val="8"/>
        <rFont val="Droid Sans"/>
        <family val="0"/>
        <charset val="1"/>
      </rPr>
      <t xml:space="preserve">=MONO</t>
    </r>
    <r>
      <rPr>
        <sz val="8"/>
        <rFont val="Noto Sans CJK SC Regular"/>
        <family val="2"/>
      </rPr>
      <t xml:space="preserve">、桃園会、青年団等</t>
    </r>
    <r>
      <rPr>
        <sz val="8"/>
        <rFont val="Droid Sans"/>
        <family val="0"/>
        <charset val="1"/>
      </rPr>
      <t xml:space="preserve">/</t>
    </r>
    <r>
      <rPr>
        <sz val="8"/>
        <rFont val="Noto Sans CJK SC Regular"/>
        <family val="2"/>
      </rPr>
      <t xml:space="preserve">先生また芝居したりバンドで歌いたいです。</t>
    </r>
  </si>
  <si>
    <t xml:space="preserve">Japan's Shinzo Abe conjures stunning election victory in a boost for Trump https://t.co/UcXRTEJJsR</t>
  </si>
  <si>
    <t xml:space="preserve">Mickey mcguire</t>
  </si>
  <si>
    <t xml:space="preserve">these are my beliefs the UK needs to look after its own before migrants and foreign aid and I wish to get rid of The House of Lords &amp; The so called Honours List</t>
  </si>
  <si>
    <t xml:space="preserve">Abdulla Aljunaid</t>
  </si>
  <si>
    <t xml:space="preserve">Japan's Shinzo Abe conjures stunning election victory in a boost for Trump https://t.co/2dFUcQeTsu</t>
  </si>
  <si>
    <t xml:space="preserve">Bahrain</t>
  </si>
  <si>
    <t xml:space="preserve">‏‏‏‏لنجتهد في البحث عن انسانيتنا دائما ،كاتب مقال في سكاي نيوز عربية https://t.co/gbVqgqS3RO‎‎‎ و صحيفة مكة https://t.co/IYbatCkgof</t>
  </si>
  <si>
    <t xml:space="preserve">varun singh negi</t>
  </si>
  <si>
    <t xml:space="preserve">New Delhi,INDIA</t>
  </si>
  <si>
    <t xml:space="preserve">なす＠さばまま</t>
  </si>
  <si>
    <t xml:space="preserve">urban transport research assistant, born in Kagosihma w/ Amami roots, playing Fl, Sax, living w/ 3 cute cats. love entertainment.</t>
  </si>
  <si>
    <t xml:space="preserve">Admiral General</t>
  </si>
  <si>
    <t xml:space="preserve">gfdrgbvhjuu</t>
  </si>
  <si>
    <r>
      <rPr>
        <sz val="8"/>
        <rFont val="Droid Sans"/>
        <family val="0"/>
        <charset val="1"/>
      </rPr>
      <t xml:space="preserve">Krasnovia, </t>
    </r>
    <r>
      <rPr>
        <sz val="8"/>
        <rFont val="Noto Sans CJK SC Regular"/>
        <family val="2"/>
      </rPr>
      <t xml:space="preserve">︻デ═一 </t>
    </r>
    <r>
      <rPr>
        <sz val="8"/>
        <rFont val="Droid Sans"/>
        <family val="0"/>
        <charset val="1"/>
      </rPr>
      <t xml:space="preserve">Atropia </t>
    </r>
  </si>
  <si>
    <t xml:space="preserve">Ahurastan applauds Iran's compliance w/ international nuclear regulations; reminds inspectors not to look in that closet over there #ShariaLaw #CAIR #IKHWAN #ال</t>
  </si>
  <si>
    <t xml:space="preserve">Ceiça Rocha</t>
  </si>
  <si>
    <t xml:space="preserve">Viciada em leitura, café, artes em geral e viajar. ☕️✈️ ☺️</t>
  </si>
  <si>
    <t xml:space="preserve">Japan's Shinzo Abe conjures stunning election victory in a boost for Trump https://t.co/sbL6WolZng</t>
  </si>
  <si>
    <t xml:space="preserve">RT @NewzBoxOffice: Japan election: Shinzo Abe may have won majority but has fai #TISNews Click Link- https://t.co/yWf6cCfqe4 https://t.co/l…</t>
  </si>
  <si>
    <t xml:space="preserve">Chickenrap</t>
  </si>
  <si>
    <t xml:space="preserve">ᑕᕼIᑕKEᑎᖇᗩᑭ | ᑎᗩKᗷᔕ 101 | 2000 ⓈⓉⒾⓁⓁ ⒺⓍⒾⓈⓉ NEW ACCOUNT ALERT!</t>
  </si>
  <si>
    <t xml:space="preserve">Japan’s Shinzo Abe Conjures Stunning Election Victory in a Boost for Donald Trump https://t.co/BKSUocAXDh</t>
  </si>
  <si>
    <t xml:space="preserve">SeiTomo’z®</t>
  </si>
  <si>
    <t xml:space="preserve">Life is better when you're laughing .</t>
  </si>
  <si>
    <t xml:space="preserve">Ashish kumar singh</t>
  </si>
  <si>
    <t xml:space="preserve">Mau,Varanasi,UP,New Delhi,Indi</t>
  </si>
  <si>
    <t xml:space="preserve">Watching TV,News,Media,Business, Reading Newspapers,Books, Surfing Internet, Contact- 7985635168</t>
  </si>
  <si>
    <t xml:space="preserve">ws2805</t>
  </si>
  <si>
    <t xml:space="preserve">Korea </t>
  </si>
  <si>
    <t xml:space="preserve">SG Breaking News</t>
  </si>
  <si>
    <t xml:space="preserve">Japan’s Shinzo Abe Conjures Stunning Election Victory in a Boost for Donald Trump https://t.co/HKe6JV2m2D… https://t.co/cyZiQkJSMt</t>
  </si>
  <si>
    <t xml:space="preserve">All latest Singapore breaking news, updated to you directly.</t>
  </si>
  <si>
    <t xml:space="preserve">원🌸블리❤️</t>
  </si>
  <si>
    <r>
      <rPr>
        <sz val="8"/>
        <rFont val="Droid Sans"/>
        <family val="0"/>
        <charset val="1"/>
      </rPr>
      <t xml:space="preserve">Dir en grey❤️ </t>
    </r>
    <r>
      <rPr>
        <sz val="8"/>
        <rFont val="Noto Sans CJK SC Regular"/>
        <family val="2"/>
      </rPr>
      <t xml:space="preserve">후쿠오카 자주출몰 ✈️</t>
    </r>
  </si>
  <si>
    <t xml:space="preserve">baatar02</t>
  </si>
  <si>
    <t xml:space="preserve">New world news from Time: https://t.co/L2NpuuFEjT In a nod to his nationalist agenda and tough line with rogue state North Korea, Japane…</t>
  </si>
  <si>
    <t xml:space="preserve">قطاف كتّاب السعودية</t>
  </si>
  <si>
    <t xml:space="preserve">RT @aj_jobs: Japan's Shinzo Abe conjures stunning election victory in a boost for Trump https://t.co/2dFUcQeTsu</t>
  </si>
  <si>
    <t xml:space="preserve">مختارات لبعض من الكتّاب السعوديين والمهتمين بالرأي العام ومقتطفات من الصحافة السعودية</t>
  </si>
  <si>
    <t xml:space="preserve">Yoshifuyu</t>
  </si>
  <si>
    <t xml:space="preserve">Interests: Sports, TV dramas, News, Politics, Movies, Restaurants, Astronomy, Weightlifting, Jogging, Music, Science, History, Medicine, Reading</t>
  </si>
  <si>
    <t xml:space="preserve">Pragnesh Thakkar</t>
  </si>
  <si>
    <t xml:space="preserve">Love is Everywhere</t>
  </si>
  <si>
    <t xml:space="preserve">Sandeep Deo</t>
  </si>
  <si>
    <t xml:space="preserve">Newdelhi</t>
  </si>
  <si>
    <t xml:space="preserve">Best seller Author for Non-fiction category (By Nilson-Dainik Jagran-2017). First Hindi Author for @Bloomsburypub.Written 7 books. Editor https://t.co/j83gFgd4Q8</t>
  </si>
  <si>
    <t xml:space="preserve">بوابة مجتمع السعودية</t>
  </si>
  <si>
    <t xml:space="preserve">بوابة مفتوحة للحوار و النقاش فيما يخص المجتمع السعودي</t>
  </si>
  <si>
    <t xml:space="preserve">Japan’s Shinzo Abe Conjures Stunning Election Victory in a Boost for Donald Trump https://t.co/WpiKr9IlWi</t>
  </si>
  <si>
    <t xml:space="preserve">كتّاب من السعودية</t>
  </si>
  <si>
    <t xml:space="preserve">المملكة العربية السعودية</t>
  </si>
  <si>
    <t xml:space="preserve">مختارات لنخبة وباقة من الكتّاب والمغردين السعوديين, نأمل ونتطلع للتفاعل معهم لإثراء المجتمع السعودي والنهوض به. إعادة التغريدة ليس بالضرورة الموافقة على مضمونها</t>
  </si>
  <si>
    <t xml:space="preserve">cute gal</t>
  </si>
  <si>
    <t xml:space="preserve">Free Spirit</t>
  </si>
  <si>
    <t xml:space="preserve">RT @Lawsonbulk: Japan's Shinzo Abe conjures stunning election victory in a boost for Trump https://t.co/sbL6WolZng</t>
  </si>
  <si>
    <t xml:space="preserve">"Water Is Life" #ImStillWithHer #StrongerTogether #DumpTrump Trump Trolls will be blocked!;</t>
  </si>
  <si>
    <t xml:space="preserve">New world news from Time: https://t.co/mUJy1XPD5p https://t.co/gVApmCAbAN</t>
  </si>
  <si>
    <t xml:space="preserve">Japan’s Shinzo Abe Conjures Stunning Election Victory in a Boost for Donald Trump https://t.co/gv9BB4HjVc via @TIMEPolitics</t>
  </si>
  <si>
    <t xml:space="preserve">石本 啓之</t>
  </si>
  <si>
    <t xml:space="preserve">長崎 川棚町</t>
  </si>
  <si>
    <r>
      <rPr>
        <sz val="8"/>
        <rFont val="Noto Sans CJK SC Regular"/>
        <family val="2"/>
      </rPr>
      <t xml:space="preserve">衆議院議員秘書＊元川棚町議会議員＊</t>
    </r>
    <r>
      <rPr>
        <sz val="8"/>
        <rFont val="Droid Sans"/>
        <family val="0"/>
        <charset val="1"/>
      </rPr>
      <t xml:space="preserve">iPhone X</t>
    </r>
    <r>
      <rPr>
        <sz val="8"/>
        <rFont val="Noto Sans CJK SC Regular"/>
        <family val="2"/>
      </rPr>
      <t xml:space="preserve">所持</t>
    </r>
    <r>
      <rPr>
        <sz val="8"/>
        <rFont val="Droid Sans"/>
        <family val="0"/>
        <charset val="1"/>
      </rPr>
      <t xml:space="preserve">(</t>
    </r>
    <r>
      <rPr>
        <sz val="8"/>
        <rFont val="Noto Sans CJK SC Regular"/>
        <family val="2"/>
      </rPr>
      <t xml:space="preserve">米国で入手</t>
    </r>
    <r>
      <rPr>
        <sz val="8"/>
        <rFont val="Droid Sans"/>
        <family val="0"/>
        <charset val="1"/>
      </rPr>
      <t xml:space="preserve">)</t>
    </r>
    <r>
      <rPr>
        <sz val="8"/>
        <rFont val="Noto Sans CJK SC Regular"/>
        <family val="2"/>
      </rPr>
      <t xml:space="preserve">＊</t>
    </r>
    <r>
      <rPr>
        <sz val="8"/>
        <rFont val="Droid Sans"/>
        <family val="0"/>
        <charset val="1"/>
      </rPr>
      <t xml:space="preserve">(</t>
    </r>
    <r>
      <rPr>
        <sz val="8"/>
        <rFont val="Noto Sans CJK SC Regular"/>
        <family val="2"/>
      </rPr>
      <t xml:space="preserve">広島・長崎を背負う者として</t>
    </r>
    <r>
      <rPr>
        <sz val="8"/>
        <rFont val="Droid Sans"/>
        <family val="0"/>
        <charset val="1"/>
      </rPr>
      <t xml:space="preserve">)</t>
    </r>
    <r>
      <rPr>
        <sz val="8"/>
        <rFont val="Noto Sans CJK SC Regular"/>
        <family val="2"/>
      </rPr>
      <t xml:space="preserve">核兵器は廃絶＊</t>
    </r>
    <r>
      <rPr>
        <sz val="8"/>
        <rFont val="Droid Sans"/>
        <family val="0"/>
        <charset val="1"/>
      </rPr>
      <t xml:space="preserve">LGBT</t>
    </r>
    <r>
      <rPr>
        <sz val="8"/>
        <rFont val="Noto Sans CJK SC Regular"/>
        <family val="2"/>
      </rPr>
      <t xml:space="preserve">容認＊格安海外旅行✈️の達人</t>
    </r>
  </si>
  <si>
    <t xml:space="preserve">J.L. Martin</t>
  </si>
  <si>
    <t xml:space="preserve">lesbian, wife, mother, student, powerlifter, IntersectionalFeminist, Member of The Resistance, Citizen of the World, hold a degree in Sociology&amp;Forensic Psych</t>
  </si>
  <si>
    <t xml:space="preserve">Japan Election Vindicates Shinzo Abe as His Party Wins Big - New York Times: New York Times… https://t.co/ReovuPY46i https://t.co/8rH7D7B8Ab</t>
  </si>
  <si>
    <t xml:space="preserve">Lasse Sviland</t>
  </si>
  <si>
    <t xml:space="preserve">Japan's Shinzo Abe conjures a stunning election victory in a boost for Trump https://t.co/uV6M55lo8x</t>
  </si>
  <si>
    <t xml:space="preserve">testing app scheduler</t>
  </si>
  <si>
    <t xml:space="preserve">Liliana Sánchez 🇦🇷</t>
  </si>
  <si>
    <t xml:space="preserve">RT @thaar: New world news from Time: https://t.co/mUJy1XPD5p https://t.co/gVApmCAbAN</t>
  </si>
  <si>
    <t xml:space="preserve">Argentina</t>
  </si>
  <si>
    <t xml:space="preserve">NO SEAS VENCIDO DE LO MALO, SINO VENCE CON EL BIEN EL MAL. Rom 12:21 ♌️ 👉 NO Mensajes Directos 👈</t>
  </si>
  <si>
    <t xml:space="preserve">Lakshmi Srikanth</t>
  </si>
  <si>
    <t xml:space="preserve">Hussein mohammed</t>
  </si>
  <si>
    <t xml:space="preserve">An ordinary mwananchi who is lucky to have the gift of Islam.</t>
  </si>
  <si>
    <t xml:space="preserve">Sunilal Suku</t>
  </si>
  <si>
    <t xml:space="preserve">Laquita Christian</t>
  </si>
  <si>
    <t xml:space="preserve">Alabama, USA</t>
  </si>
  <si>
    <t xml:space="preserve">Proud veteran, wife, and mother. I have faith in God and also in science. I know we can only move forward with innovation and change from old to new.#RESISTANCE</t>
  </si>
  <si>
    <t xml:space="preserve">Amita Patel</t>
  </si>
  <si>
    <t xml:space="preserve">Kampala-Uganda</t>
  </si>
  <si>
    <t xml:space="preserve">Roshan</t>
  </si>
  <si>
    <t xml:space="preserve">Thane, India</t>
  </si>
  <si>
    <t xml:space="preserve">Nation First👍👍#PseudoLiberals keep distance👊 #Jihadi_Hater😬😬 #Namo_Bhakt🙏🙏 No Compromise ✋✋Jai Hind✌ Bande Matram🚩🚩 Bharat Mata Ki Jay 🚩🙏✌🚩</t>
  </si>
  <si>
    <t xml:space="preserve">Japan Election Vindicates Shinzo Abe as His Party Wins Big - New York Times https://t.co/1Hrji1otsc</t>
  </si>
  <si>
    <t xml:space="preserve">A E John</t>
  </si>
  <si>
    <t xml:space="preserve">ÜT: 18.97557,72.828014</t>
  </si>
  <si>
    <t xml:space="preserve">*business tycoon* *Informed* *Strong willed* *Opinionated* -*shoe fetish* *I laugh at my own jokes .. ALOT*</t>
  </si>
  <si>
    <t xml:space="preserve">Politician</t>
  </si>
  <si>
    <t xml:space="preserve">سمير بن يوسف الشيخ</t>
  </si>
  <si>
    <t xml:space="preserve">Alkhobar - Saudi Arabia</t>
  </si>
  <si>
    <t xml:space="preserve">أحلم أن أكون بطول ظل والدي رحمة الله عليه, التغريد يجعلني أحس بدفئ الحرية A Free Spirit and an Outgoing Soul, Strategic Planning Worst Case Scenario Specialist</t>
  </si>
  <si>
    <t xml:space="preserve">Varga Bence</t>
  </si>
  <si>
    <t xml:space="preserve">Budapest, Hungary</t>
  </si>
  <si>
    <t xml:space="preserve">Überingenieur</t>
  </si>
  <si>
    <t xml:space="preserve">Jai Shri Krishn</t>
  </si>
  <si>
    <t xml:space="preserve">PERIYAKULAM</t>
  </si>
  <si>
    <t xml:space="preserve">தற்கொலைக்கு அங்கீகாரம் வேண்டாம்.</t>
  </si>
  <si>
    <t xml:space="preserve">Japan’s Shinzo Abe Conjures Stunning Election Victory in a Boost for Donald Trump https://t.co/We79CqIPrb</t>
  </si>
  <si>
    <t xml:space="preserve">居残り馬券師</t>
  </si>
  <si>
    <t xml:space="preserve">東京都杉並区</t>
  </si>
  <si>
    <r>
      <rPr>
        <sz val="8"/>
        <rFont val="Noto Sans CJK SC Regular"/>
        <family val="2"/>
      </rPr>
      <t xml:space="preserve">旅行</t>
    </r>
    <r>
      <rPr>
        <sz val="8"/>
        <rFont val="Droid Sans"/>
        <family val="0"/>
        <charset val="1"/>
      </rPr>
      <t xml:space="preserve">(2017</t>
    </r>
    <r>
      <rPr>
        <sz val="8"/>
        <rFont val="Noto Sans CJK SC Regular"/>
        <family val="2"/>
      </rPr>
      <t xml:space="preserve">に</t>
    </r>
    <r>
      <rPr>
        <sz val="8"/>
        <rFont val="Droid Sans"/>
        <family val="0"/>
        <charset val="1"/>
      </rPr>
      <t xml:space="preserve">31</t>
    </r>
    <r>
      <rPr>
        <sz val="8"/>
        <rFont val="Noto Sans CJK SC Regular"/>
        <family val="2"/>
      </rPr>
      <t xml:space="preserve">回目の北海道フリーク！飛騨高山も好き</t>
    </r>
    <r>
      <rPr>
        <sz val="8"/>
        <rFont val="Droid Sans"/>
        <family val="0"/>
        <charset val="1"/>
      </rPr>
      <t xml:space="preserve">)</t>
    </r>
    <r>
      <rPr>
        <sz val="8"/>
        <rFont val="Noto Sans CJK SC Regular"/>
        <family val="2"/>
      </rPr>
      <t xml:space="preserve">温泉、落語、ロック、阪神、競馬。静内の牧場巡りや胃の痛くなるような大勝負もしました。自他共に認めない天才馬券師。運命の馬はスカーレットブーケ。ロングショット倶楽部主宰</t>
    </r>
    <r>
      <rPr>
        <sz val="8"/>
        <rFont val="Droid Sans"/>
        <family val="0"/>
        <charset val="1"/>
      </rPr>
      <t xml:space="preserve">(1</t>
    </r>
    <r>
      <rPr>
        <sz val="8"/>
        <rFont val="Noto Sans CJK SC Regular"/>
        <family val="2"/>
      </rPr>
      <t xml:space="preserve">人だけ</t>
    </r>
    <r>
      <rPr>
        <sz val="8"/>
        <rFont val="Droid Sans"/>
        <family val="0"/>
        <charset val="1"/>
      </rPr>
      <t xml:space="preserve">)</t>
    </r>
    <r>
      <rPr>
        <sz val="8"/>
        <rFont val="Noto Sans CJK SC Regular"/>
        <family val="2"/>
      </rPr>
      <t xml:space="preserve">落語は立川流を中心に何でも聴きます。食べ歩き飲み倒れ。生業は一応出版関係</t>
    </r>
  </si>
  <si>
    <t xml:space="preserve">Celesté Tabora</t>
  </si>
  <si>
    <t xml:space="preserve">RT @YodaCon: Japan's Prime Minister Shinzo Abe says after election win he will pursue "strong diplomacy" to pressure North Korea #TCOT #MAG…</t>
  </si>
  <si>
    <t xml:space="preserve">USA, Georgia</t>
  </si>
  <si>
    <t xml:space="preserve">The CT in @ctandco. Entertainment marketing director for bands/brands/films/events. Former @WarnerBrosEnt films &amp; @DisneyABCtv. Opinions expressed are my own.</t>
  </si>
  <si>
    <t xml:space="preserve">TopStory: Japan’s Shinzo Abe Conjures Stunning Election Victory in a Boost for Donald Trump https://t.co/A6X5roMWIs</t>
  </si>
  <si>
    <t xml:space="preserve">Jade</t>
  </si>
  <si>
    <t xml:space="preserve">Italy</t>
  </si>
  <si>
    <t xml:space="preserve">Random. Jade obsessed. Racing. Languages. Engineering. Science. Love. Music. Ninja. Anime Otaku. Regina Phalange. Wanderlust. Singing. Pokémon. Books. Sarcasm.</t>
  </si>
  <si>
    <t xml:space="preserve">Stephen Njogu</t>
  </si>
  <si>
    <t xml:space="preserve">Stay happy always.</t>
  </si>
  <si>
    <t xml:space="preserve">Japan PM Shinzo Abe to stay unpopular even after parliamentary election victory – Information by Automobilnews.eu https://t.co/8Cf4KGRgbU</t>
  </si>
  <si>
    <t xml:space="preserve">Ajoy Chakraborty</t>
  </si>
  <si>
    <t xml:space="preserve">Dreams of an India with Equal law, Equal opportunity, Emancipated Academics! Socialist at core but scared of coloured media &amp; corrupt left.</t>
  </si>
  <si>
    <t xml:space="preserve">PJ Hernandez</t>
  </si>
  <si>
    <t xml:space="preserve">Meycauayan, Central Luzon</t>
  </si>
  <si>
    <t xml:space="preserve">Guro ng Bayan - ManggagawaNgBukas - Lakbay Bayan - The Traveling Salakot</t>
  </si>
  <si>
    <t xml:space="preserve">#Japan 4 things to expect following Shinzo Abe's landslide victory By @EmmaRichards85 https://t.co/tA3P0UoLbY via @ascorrespondent</t>
  </si>
  <si>
    <t xml:space="preserve">Christina Venard</t>
  </si>
  <si>
    <t xml:space="preserve">Diplômée de @sciencespo #AffairesPubliques après un passage à DC #GWU - Work in progress.</t>
  </si>
  <si>
    <t xml:space="preserve">edristi</t>
  </si>
  <si>
    <t xml:space="preserve">Japanese Prime Minister Shinzo Abe secured a crucial victory in Japan’s parliamentary elections held on October... https://t.co/OGppO3ym1J</t>
  </si>
  <si>
    <t xml:space="preserve">Dinesh Agrawal</t>
  </si>
  <si>
    <t xml:space="preserve">Professor, Scientist, Ex-president of Overseas Friends of BJP</t>
  </si>
  <si>
    <t xml:space="preserve">Shariful Islam</t>
  </si>
  <si>
    <t xml:space="preserve">Japan vows ‘IMMINENT’ action against North Korea after leader's landslide election victory https://t.co/Wf3hYvOEd7</t>
  </si>
  <si>
    <t xml:space="preserve">Narayanganj, Bangladesh</t>
  </si>
  <si>
    <t xml:space="preserve">I Know #SAP #SAPERP #SAPpp #Productivity #ERPSowftwar #DataAnalaysis #DataSecurity</t>
  </si>
  <si>
    <t xml:space="preserve">NNAS</t>
  </si>
  <si>
    <t xml:space="preserve">Orlando, FL ☀️</t>
  </si>
  <si>
    <t xml:space="preserve">Psychology 🔥 Mental Health 🗣 Education 👩‍🏫 Social Science 💎💎💎 "Learn to do good; seek justice, correct oppression..." ~ Isaiah 1:17 🙏</t>
  </si>
  <si>
    <t xml:space="preserve">#ShinzoAbe could remain in power until 2021, becoming #Japan's longest-serving PM https://t.co/HDzX4RJt3O</t>
  </si>
  <si>
    <t xml:space="preserve">Naren</t>
  </si>
  <si>
    <t xml:space="preserve">#ShinzoAbe could remain in power until 2021, becoming #Japan's longest-serving PM https://t.co/MhHBao8tQO</t>
  </si>
  <si>
    <t xml:space="preserve">Insurance and Risk Management Professional</t>
  </si>
  <si>
    <t xml:space="preserve">RT @indiatvnews: #ShinzoAbe could remain in power until 2021, becoming #Japan's longest-serving PM https://t.co/HDzX4RJt3O</t>
  </si>
  <si>
    <t xml:space="preserve">ゆーこ</t>
  </si>
  <si>
    <r>
      <rPr>
        <sz val="8"/>
        <rFont val="Noto Sans CJK SC Regular"/>
        <family val="2"/>
      </rPr>
      <t xml:space="preserve">桜の季節が大好きです。日本が大好きです。</t>
    </r>
    <r>
      <rPr>
        <sz val="8"/>
        <rFont val="Droid Sans"/>
        <family val="0"/>
        <charset val="1"/>
      </rPr>
      <t xml:space="preserve">tweet from Japan!</t>
    </r>
  </si>
  <si>
    <t xml:space="preserve">Top takeaways from Shinzo Abe's election win in Japan https://t.co/P0nE9nJdh4 https://t.co/wizUYZbp1z</t>
  </si>
  <si>
    <t xml:space="preserve">Top takeaways from Shinzo Abe's election win in Japan https://t.co/UsPuxQmakK https://t.co/vo8dUnaaaH</t>
  </si>
  <si>
    <t xml:space="preserve">Top takeaways from Shinzo Abe's election win in Japan https://t.co/F0wVV15Say https://t.co/xIcMTkuHIr #fb #sitifatimah #malaysia</t>
  </si>
  <si>
    <t xml:space="preserve">NewsNumber.Com</t>
  </si>
  <si>
    <t xml:space="preserve">INDIA'S PRIME MINISTER NARENDRA MODI CONGRATULATES SHINZO ABE ON RE-ELECTION IN JAPAN https://t.co/3lz1GP1TJm</t>
  </si>
  <si>
    <t xml:space="preserve">A new era of Social Journalism</t>
  </si>
  <si>
    <t xml:space="preserve">debajit saikia</t>
  </si>
  <si>
    <r>
      <rPr>
        <sz val="8"/>
        <rFont val="Noto Sans CJK SC Regular"/>
        <family val="2"/>
      </rPr>
      <t xml:space="preserve">卐</t>
    </r>
    <r>
      <rPr>
        <sz val="8"/>
        <rFont val="Droid Sans"/>
        <family val="0"/>
        <charset val="1"/>
      </rPr>
      <t xml:space="preserve">ૐ҉ </t>
    </r>
    <r>
      <rPr>
        <sz val="8"/>
        <rFont val="Noto Sans CJK SC Regular"/>
        <family val="2"/>
      </rPr>
      <t xml:space="preserve">卐 </t>
    </r>
    <r>
      <rPr>
        <sz val="8"/>
        <rFont val="Droid Sans"/>
        <family val="0"/>
        <charset val="1"/>
      </rPr>
      <t xml:space="preserve">Proud Indian ★ Nation First ★ Hindu ★ Swayamsevak of RSS</t>
    </r>
  </si>
  <si>
    <t xml:space="preserve">Raghvendra Rai</t>
  </si>
  <si>
    <t xml:space="preserve">प्रधानमंत्री श्री नरेंद्र दामोदरदास मोदी का कट्टर समर्थक हूं</t>
  </si>
  <si>
    <t xml:space="preserve">GMA News Facebook</t>
  </si>
  <si>
    <t xml:space="preserve">Malacañang on Monday congratulated Japanese Prime Minister Shinzo Abe for winning the election that he called a... https://t.co/vQXiwJwP1E</t>
  </si>
  <si>
    <t xml:space="preserve">Sateesh</t>
  </si>
  <si>
    <t xml:space="preserve">Views are personal. RTs just for information &amp; not endorsements! मते व्यक्तिगत. `री-ट्विट` माहितीसाठी; सहमती म्हणून नव्हे!</t>
  </si>
  <si>
    <t xml:space="preserve">RT BloombergTV "Top takeaways from Shinzo Abe's election win in Japan https://t.co/M4qp5eK0J2 https://t.co/sh4tTRGW8n"</t>
  </si>
  <si>
    <t xml:space="preserve">若狹　眞礼城</t>
  </si>
  <si>
    <r>
      <rPr>
        <sz val="8"/>
        <rFont val="Droid Sans"/>
        <family val="0"/>
        <charset val="1"/>
      </rPr>
      <t xml:space="preserve">Japan election: Shinzo Abe's party likely to seize control in lower house | Fox News https://t.co/wG56nbTDHM #</t>
    </r>
    <r>
      <rPr>
        <sz val="8"/>
        <rFont val="Noto Sans CJK SC Regular"/>
        <family val="2"/>
      </rPr>
      <t xml:space="preserve">スマートニュース</t>
    </r>
  </si>
  <si>
    <t xml:space="preserve">秋田県 男鹿市</t>
  </si>
  <si>
    <t xml:space="preserve">秋田県在住の３０代の独身男です。 仕事は木材工場で働いています。比内地鶏の養鶏やドジョウの養殖や貸別荘などもやっています。 どうぞよろしくお願いいたします。</t>
  </si>
  <si>
    <t xml:space="preserve">Munish Handa</t>
  </si>
  <si>
    <t xml:space="preserve">RT BloombergTV "Top takeaways from Shinzo Abe's election win in Japan https://t.co/RLtUwE1V6X https://t.co/pVqRXmtvud"</t>
  </si>
  <si>
    <t xml:space="preserve">Kurir Magazine</t>
  </si>
  <si>
    <t xml:space="preserve">Japanese Prime Minister #ShinzoAbe headed for big win in general election #Japan https://t.co/YmSyre4Are via @kurir_eu</t>
  </si>
  <si>
    <t xml:space="preserve">intolerantEngg.</t>
  </si>
  <si>
    <t xml:space="preserve">An Embedded Engg by profession,spritualist, follower of sanatan dharma, staunch modi bhakat, भारत माता कि जय</t>
  </si>
  <si>
    <t xml:space="preserve">RT TopFiveTraders "RT BloombergTV "Top takeaways from Shinzo Abe's election win in Japan https://t.co/xlAsI2Y6T8 https://t.co/XxkhEm6YUG""</t>
  </si>
  <si>
    <t xml:space="preserve">Kapil Naren</t>
  </si>
  <si>
    <t xml:space="preserve">#BloombergTV ❧ Top takeaways from Shinzo Abe's election win in Japan https://t.co/dyT1L8rEak https://t.co/34TBdwTg65</t>
  </si>
  <si>
    <t xml:space="preserve">Proxy Insight</t>
  </si>
  <si>
    <t xml:space="preserve">Victory for Shinzo Abe in Japan's snap election paves way for Abenomics to continue #CorpGov https://t.co/o9nuL0bD91</t>
  </si>
  <si>
    <t xml:space="preserve">4 Old Park Lane, Mayfair, London W1K 1QW</t>
  </si>
  <si>
    <t xml:space="preserve">The ultimate source for global shareholder voting data</t>
  </si>
  <si>
    <t xml:space="preserve">Japan Election Vindicates Shinzo Abe as His Party Wins Big - https://t.co/rsK7QskvN4 #GoogleAlerts</t>
  </si>
  <si>
    <t xml:space="preserve">A G E POYO</t>
  </si>
  <si>
    <r>
      <rPr>
        <sz val="8"/>
        <rFont val="Noto Sans CJK SC Regular"/>
        <family val="2"/>
      </rPr>
      <t xml:space="preserve">日本国・</t>
    </r>
    <r>
      <rPr>
        <sz val="8"/>
        <rFont val="Droid Sans"/>
        <family val="0"/>
        <charset val="1"/>
      </rPr>
      <t xml:space="preserve">JAPAN</t>
    </r>
  </si>
  <si>
    <r>
      <rPr>
        <sz val="8"/>
        <rFont val="Droid Sans"/>
        <family val="0"/>
        <charset val="1"/>
      </rPr>
      <t xml:space="preserve">my favo </t>
    </r>
    <r>
      <rPr>
        <sz val="8"/>
        <rFont val="Noto Sans CJK SC Regular"/>
        <family val="2"/>
      </rPr>
      <t xml:space="preserve">阪神タイガース スポーツ全般 チアリーディング 小嶋陽菜 </t>
    </r>
    <r>
      <rPr>
        <sz val="8"/>
        <rFont val="Droid Sans"/>
        <family val="0"/>
        <charset val="1"/>
      </rPr>
      <t xml:space="preserve">TMNETWORK SCANDAL</t>
    </r>
    <r>
      <rPr>
        <sz val="8"/>
        <rFont val="Noto Sans CJK SC Regular"/>
        <family val="2"/>
      </rPr>
      <t xml:space="preserve">・</t>
    </r>
    <r>
      <rPr>
        <sz val="8"/>
        <rFont val="Droid Sans"/>
        <family val="0"/>
        <charset val="1"/>
      </rPr>
      <t xml:space="preserve">RINA </t>
    </r>
    <r>
      <rPr>
        <sz val="8"/>
        <rFont val="Noto Sans CJK SC Regular"/>
        <family val="2"/>
      </rPr>
      <t xml:space="preserve">チャゲ</t>
    </r>
    <r>
      <rPr>
        <sz val="8"/>
        <rFont val="Droid Sans"/>
        <family val="0"/>
        <charset val="1"/>
      </rPr>
      <t xml:space="preserve">&amp;</t>
    </r>
    <r>
      <rPr>
        <sz val="8"/>
        <rFont val="Noto Sans CJK SC Regular"/>
        <family val="2"/>
      </rPr>
      <t xml:space="preserve">飛鳥 工藤静香 生田衣梨奈</t>
    </r>
  </si>
  <si>
    <t xml:space="preserve">JK Sharma</t>
  </si>
  <si>
    <t xml:space="preserve">New Delhi India</t>
  </si>
  <si>
    <t xml:space="preserve">Advisor Maruti Suzuki India Ltd.</t>
  </si>
  <si>
    <t xml:space="preserve">Gerard Doran</t>
  </si>
  <si>
    <t xml:space="preserve">Japan Election Vindicates Shinzo Abe as His Party Wins Big https://t.co/7K1IgzBjMB</t>
  </si>
  <si>
    <t xml:space="preserve">Saaym Qureshi</t>
  </si>
  <si>
    <t xml:space="preserve">RT @GVS_News: Japan | Prime Minister Shinzo Abe had won a clear election victory. https://t.co/7IACTQJesw</t>
  </si>
  <si>
    <t xml:space="preserve">Philanthropist | Islamabad, Pakistan. 🇵🇰</t>
  </si>
  <si>
    <t xml:space="preserve">New story on Donnie Two-scoops from Time: https://t.co/cqjVrf3aWV</t>
  </si>
  <si>
    <t xml:space="preserve">Japan election 2017: PM Shinzo Abe sweeps to resounding victory in vote https://t.co/4gjiLtEx02 https://t.co/tXBRC6v91R</t>
  </si>
  <si>
    <t xml:space="preserve">Japan's Shinzo Abe Conjures Stunning Election Victory in a Boost for #DonaldTrump https://t.co/mSERCmZTqC https://t.co/O1icUgb2nG</t>
  </si>
  <si>
    <t xml:space="preserve">time seek</t>
  </si>
  <si>
    <t xml:space="preserve">India / US</t>
  </si>
  <si>
    <t xml:space="preserve">आत्रेय</t>
  </si>
  <si>
    <t xml:space="preserve">Bhagyanagar</t>
  </si>
  <si>
    <t xml:space="preserve">RT TFTCS "RT BloombergTV "Top takeaways from Shinzo Abe's election win in Japan https://t.co/xlAsI2Y6T8 https://t.co/XxkhEm6YUG""</t>
  </si>
  <si>
    <t xml:space="preserve">MARYANNE MAXWELL BRO</t>
  </si>
  <si>
    <t xml:space="preserve">edinburgh</t>
  </si>
  <si>
    <t xml:space="preserve">Fish out of water, loves creating all things beautiful;</t>
  </si>
  <si>
    <t xml:space="preserve">Japan's Shinzo Abe Conjures Stunning Election Victory in a Boost for #DonaldTrump https://t.co/9ORYZuI8AZ https://t.co/HlGjuRe8ux</t>
  </si>
  <si>
    <t xml:space="preserve">Japan’s Shinzo Abe Conjures Stunning Election Victory in a Boost for Donald Trump https://t.co/L81pP926CQ</t>
  </si>
  <si>
    <t xml:space="preserve">RT TFTCS "RT BloombergTV "Top takeaways from Shinzo Abe's election win in Japan https://t.co/M4qp5eK0J2 https://t.co/sh4tTRGW8n""</t>
  </si>
  <si>
    <t xml:space="preserve">KCTV5 News</t>
  </si>
  <si>
    <t xml:space="preserve">Japan's Prime Minister Shinzo Abe says after election win he will pursue "strong diplomacy" to pressure North Korea.</t>
  </si>
  <si>
    <t xml:space="preserve">Kansas City, Mo.</t>
  </si>
  <si>
    <t xml:space="preserve">KCTV5 News Stands for Kansas City. We dig deeper, uncover the truth and tell your stories.</t>
  </si>
  <si>
    <t xml:space="preserve">Japan election results: Shinzo Abe scores major victory for ruling coalition and pledges to… https://t.co/UBJxTrOOLe https://t.co/KmD2i1vl29</t>
  </si>
  <si>
    <t xml:space="preserve">iza mohammad</t>
  </si>
  <si>
    <t xml:space="preserve">#Surfer #Deathstar engineer and pilot #AlternativeMonk. #AlternativeNun THIS ACCOUNT IS MY NEWSPAPER.</t>
  </si>
  <si>
    <t xml:space="preserve">Rimose Arden</t>
  </si>
  <si>
    <t xml:space="preserve">amazing Japan https://t.co/ekG9jOSnCH</t>
  </si>
  <si>
    <t xml:space="preserve">Bel Assis
</t>
  </si>
  <si>
    <t xml:space="preserve">collector of information, second guesser of regulators, cynic. following a world melting into one sometimes looking for the opportunity to make things better</t>
  </si>
  <si>
    <t xml:space="preserve">Results of Monday's snap election are in and @AbeShinzo's #LDP is believed to have secured at least 312 seats https://t.co/WFvvtZkksJ</t>
  </si>
  <si>
    <t xml:space="preserve">muhammadusama86</t>
  </si>
  <si>
    <t xml:space="preserve">New world news from Time: Japan’s Shinzo Abe Conjures Stunning Election Victory in a Boost for Donald Trump https://t.co/3jUoAQKvBa</t>
  </si>
  <si>
    <r>
      <rPr>
        <sz val="8"/>
        <rFont val="Droid Sans"/>
        <family val="0"/>
        <charset val="1"/>
      </rPr>
      <t xml:space="preserve">S</t>
    </r>
    <r>
      <rPr>
        <sz val="8"/>
        <rFont val="Noto Sans CJK SC Regular"/>
        <family val="2"/>
      </rPr>
      <t xml:space="preserve">・</t>
    </r>
    <r>
      <rPr>
        <sz val="8"/>
        <rFont val="Droid Sans"/>
        <family val="0"/>
        <charset val="1"/>
      </rPr>
      <t xml:space="preserve">SASAKI</t>
    </r>
  </si>
  <si>
    <t xml:space="preserve">Japan Election Vindicates Shinzo Abe as His Party Wins Big. https://t.co/FPkkOC8XgA</t>
  </si>
  <si>
    <t xml:space="preserve">I might be doing everything I can. Interested in Drone and Cybersecurity</t>
  </si>
  <si>
    <t xml:space="preserve">RT @firstpost: Results of Monday's snap election are in and @AbeShinzo's #LDP is believed to have secured at least 312 seats https://t.co/W…</t>
  </si>
  <si>
    <t xml:space="preserve">libdem_news</t>
  </si>
  <si>
    <t xml:space="preserve">Japan election results: Shinzo Abe scores major victory for ruling - The Independent https://t.co/36z4fRuCpI</t>
  </si>
  <si>
    <t xml:space="preserve">aggbot_poster</t>
  </si>
  <si>
    <t xml:space="preserve">All the latest Lib Dem news from all major UK news providers. Constantly updated.</t>
  </si>
  <si>
    <r>
      <rPr>
        <sz val="8"/>
        <rFont val="Droid Sans"/>
        <family val="0"/>
        <charset val="1"/>
      </rPr>
      <t xml:space="preserve">Toshi@2018</t>
    </r>
    <r>
      <rPr>
        <sz val="8"/>
        <rFont val="Noto Sans CJK SC Regular"/>
        <family val="2"/>
      </rPr>
      <t xml:space="preserve">東京ドーム</t>
    </r>
    <r>
      <rPr>
        <sz val="8"/>
        <rFont val="Droid Sans"/>
        <family val="0"/>
        <charset val="1"/>
      </rPr>
      <t xml:space="preserve">2Days</t>
    </r>
  </si>
  <si>
    <t xml:space="preserve">千葉県</t>
  </si>
  <si>
    <r>
      <rPr>
        <sz val="8"/>
        <rFont val="Noto Sans CJK SC Regular"/>
        <family val="2"/>
      </rPr>
      <t xml:space="preserve">会社員 </t>
    </r>
    <r>
      <rPr>
        <sz val="8"/>
        <rFont val="Droid Sans"/>
        <family val="0"/>
        <charset val="1"/>
      </rPr>
      <t xml:space="preserve">B'zPARTY&amp;Club Gym</t>
    </r>
    <r>
      <rPr>
        <sz val="8"/>
        <rFont val="Noto Sans CJK SC Regular"/>
        <family val="2"/>
      </rPr>
      <t xml:space="preserve">会員です。</t>
    </r>
    <r>
      <rPr>
        <sz val="8"/>
        <rFont val="Droid Sans"/>
        <family val="0"/>
        <charset val="1"/>
      </rPr>
      <t xml:space="preserve">LIVE-GYM 2018</t>
    </r>
    <r>
      <rPr>
        <sz val="8"/>
        <rFont val="Noto Sans CJK SC Regular"/>
        <family val="2"/>
      </rPr>
      <t xml:space="preserve">年</t>
    </r>
    <r>
      <rPr>
        <sz val="8"/>
        <rFont val="Droid Sans"/>
        <family val="0"/>
        <charset val="1"/>
      </rPr>
      <t xml:space="preserve">1</t>
    </r>
    <r>
      <rPr>
        <sz val="8"/>
        <rFont val="Noto Sans CJK SC Regular"/>
        <family val="2"/>
      </rPr>
      <t xml:space="preserve">月</t>
    </r>
    <r>
      <rPr>
        <sz val="8"/>
        <rFont val="Droid Sans"/>
        <family val="0"/>
        <charset val="1"/>
      </rPr>
      <t xml:space="preserve">7</t>
    </r>
    <r>
      <rPr>
        <sz val="8"/>
        <rFont val="Noto Sans CJK SC Regular"/>
        <family val="2"/>
      </rPr>
      <t xml:space="preserve">日</t>
    </r>
    <r>
      <rPr>
        <sz val="8"/>
        <rFont val="Droid Sans"/>
        <family val="0"/>
        <charset val="1"/>
      </rPr>
      <t xml:space="preserve">&amp;8</t>
    </r>
    <r>
      <rPr>
        <sz val="8"/>
        <rFont val="Noto Sans CJK SC Regular"/>
        <family val="2"/>
      </rPr>
      <t xml:space="preserve">日東京ドーム参戦予定。 好き→</t>
    </r>
    <r>
      <rPr>
        <sz val="8"/>
        <rFont val="Droid Sans"/>
        <family val="0"/>
        <charset val="1"/>
      </rPr>
      <t xml:space="preserve">B'z Bro</t>
    </r>
    <r>
      <rPr>
        <sz val="8"/>
        <rFont val="Noto Sans CJK SC Regular"/>
        <family val="2"/>
      </rPr>
      <t xml:space="preserve">の皆様 ビーイング系 水曜どうでしょう どうでしょう藩士 </t>
    </r>
    <r>
      <rPr>
        <sz val="8"/>
        <rFont val="Droid Sans"/>
        <family val="0"/>
        <charset val="1"/>
      </rPr>
      <t xml:space="preserve">TEAM NACS </t>
    </r>
    <r>
      <rPr>
        <sz val="8"/>
        <rFont val="Noto Sans CJK SC Regular"/>
        <family val="2"/>
      </rPr>
      <t xml:space="preserve">パリーグ党</t>
    </r>
    <r>
      <rPr>
        <sz val="8"/>
        <rFont val="Droid Sans"/>
        <family val="0"/>
        <charset val="1"/>
      </rPr>
      <t xml:space="preserve">(</t>
    </r>
    <r>
      <rPr>
        <sz val="8"/>
        <rFont val="Noto Sans CJK SC Regular"/>
        <family val="2"/>
      </rPr>
      <t xml:space="preserve">福岡ソフトバンクホークス </t>
    </r>
    <r>
      <rPr>
        <sz val="8"/>
        <rFont val="Droid Sans"/>
        <family val="0"/>
        <charset val="1"/>
      </rPr>
      <t xml:space="preserve">3 </t>
    </r>
    <r>
      <rPr>
        <sz val="8"/>
        <rFont val="Noto Sans CJK SC Regular"/>
        <family val="2"/>
      </rPr>
      <t xml:space="preserve">松田宣浩</t>
    </r>
    <r>
      <rPr>
        <sz val="8"/>
        <rFont val="Droid Sans"/>
        <family val="0"/>
        <charset val="1"/>
      </rPr>
      <t xml:space="preserve">) </t>
    </r>
    <r>
      <rPr>
        <sz val="8"/>
        <rFont val="Noto Sans CJK SC Regular"/>
        <family val="2"/>
      </rPr>
      <t xml:space="preserve">競馬 スバル車 ラーメン 猫 嫌い→反日</t>
    </r>
  </si>
  <si>
    <t xml:space="preserve">Shinzo Abe's snap election gamble may have won him the chance to lead Japan through 2021 https://t.co/vu9oY5GLwr https://t.co/4Vjq8pxRUA</t>
  </si>
  <si>
    <t xml:space="preserve">Shinzo Abe's snap election gamble may have won him the chance to lead Japan through 2021 https://t.co/UsPuxQmakK https://t.co/ClG7ivF1mj</t>
  </si>
  <si>
    <t xml:space="preserve">Japan leader Shinzo Abe's big election gamble pays off. Here's how it unfolded https://t.co/64Pl67GyBJ https://t.co/dYH6PNWyOL</t>
  </si>
  <si>
    <t xml:space="preserve">Andrea</t>
  </si>
  <si>
    <t xml:space="preserve">RT @bpolitics: Shinzo Abe's snap election gamble may have won him the chance to lead Japan through 2021 https://t.co/vu9oY5GLwr https://t.c…</t>
  </si>
  <si>
    <t xml:space="preserve">Economics, Aviation, Skydiving, Cinematography.....</t>
  </si>
  <si>
    <t xml:space="preserve">Japan election results: Shinzo Abe scores major victory for ruling coalition and pledges to reform…… https://t.co/GdBmBq39ms</t>
  </si>
  <si>
    <t xml:space="preserve">AIDINDIA</t>
  </si>
  <si>
    <t xml:space="preserve">RT @ProxyInsight: Victory for Shinzo Abe in Japan's snap election paves way for Abenomics to continue #CorpGov https://t.co/o9nuL0bD91</t>
  </si>
  <si>
    <t xml:space="preserve">AIDIndia</t>
  </si>
  <si>
    <t xml:space="preserve">Association of Independent Directors of India's primary objective is to focus on advancing exemplary board leadership&amp;establishing leading boardroom practices.</t>
  </si>
  <si>
    <t xml:space="preserve">Shinzo Abe's snap election gamble may have won him the chance to lead Japan through 2021 https://t.co/P0nE9nJdh4 https://t.co/LQVrXByd85</t>
  </si>
  <si>
    <t xml:space="preserve">Bruno Massami</t>
  </si>
  <si>
    <t xml:space="preserve">Anywhere.</t>
  </si>
  <si>
    <t xml:space="preserve">Reporter, MMA/Fighting News Editor of @gazetaesportiva @mmaplus planetaoctogono@gmail.com IG - @massamimma - FB - Planeta Octógono 🇵🇱 🇧🇷 🇯🇵 🇷🇺</t>
  </si>
  <si>
    <t xml:space="preserve">Japan Election Vindicates Shinzo Abe as His Party Wins Big https://t.co/SU2ByS2IfW</t>
  </si>
  <si>
    <t xml:space="preserve">THE INDIPENDENT - Japan election results: Shinzo Abe scores major victory for ruling coalition and pledges to reform pacifist constitution …</t>
  </si>
  <si>
    <t xml:space="preserve">Japan leader Shinzo Abe's big election gamble pays off. Here's how it unfolded https://t.co/AWdxCGcIog https://t.co/CG120FrNeO #fb #sitif…</t>
  </si>
  <si>
    <t xml:space="preserve">Shinzo Abe's snap election gamble may have won him the chance to lead Japan through 2021 https://t.co/F0wVV15Say https://t.co/GhvEtoJKfj …</t>
  </si>
  <si>
    <t xml:space="preserve">Carlo Giro</t>
  </si>
  <si>
    <t xml:space="preserve">RT @BloombergAsia: Shinzo Abe's snap election gamble may have won him the chance to lead Japan through 2021 https://t.co/P0nE9nJdh4 https:/…</t>
  </si>
  <si>
    <t xml:space="preserve">Communications &amp; external policies trainee @ the Cabinet of EP President Antonio Tajani. Opinions are mine.</t>
  </si>
  <si>
    <t xml:space="preserve">Japan election results: Shinzo Abe scores major victory for ruling coalition and pledges to reform pacifist constitution …</t>
  </si>
  <si>
    <t xml:space="preserve">FM Wealth Management</t>
  </si>
  <si>
    <t xml:space="preserve">RT @BloombergTV: Shinzo Abe's snap election gamble may have won him the chance to lead Japan through 2021 https://t.co/UsPuxQmakK https://t…</t>
  </si>
  <si>
    <t xml:space="preserve">Cayman Islands</t>
  </si>
  <si>
    <t xml:space="preserve">Fitch Matthews Management is a fast growing financial consultancy company. Our organization is committed to the concept of market independence.</t>
  </si>
  <si>
    <t xml:space="preserve">RT BloombergTV "Shinzo Abe's snap election gamble may have won him the chance to lead Japan through 2021 … https://t.co/IVZbJlZ4zE"</t>
  </si>
  <si>
    <t xml:space="preserve">Alan (((Engel)))</t>
  </si>
  <si>
    <t xml:space="preserve">Abe's coalition loses 8 seats in unneeded election. But, OK. Japan Election Vindicates Shinzo Abe as Party Wins Big https://t.co/HfYbMHwO2L</t>
  </si>
  <si>
    <t xml:space="preserve">Globalist grey zoner in Tsukuba, Japan</t>
  </si>
  <si>
    <t xml:space="preserve">John A Hawken</t>
  </si>
  <si>
    <t xml:space="preserve">Akshay Chandorkar</t>
  </si>
  <si>
    <t xml:space="preserve">RT BloombergTV "Shinzo Abe's snap election gamble may have won him the chance to lead Japan through 2021 … https://t.co/7xblwGrmgJ"</t>
  </si>
  <si>
    <t xml:space="preserve">Gesamtkunstwerk</t>
  </si>
  <si>
    <t xml:space="preserve">#Bot #OmniaCausaFiunt #OmTatSat #Quantum #AI #Martian #Simulation #IoT #IoE #WissenistMacht #Crypto #ScientiaPotentiaEst #InveniamViam #BigData #Industry40</t>
  </si>
  <si>
    <t xml:space="preserve">Dr.Alokesh Bagchi</t>
  </si>
  <si>
    <t xml:space="preserve">Al Eidabi,Jizan,KSA.</t>
  </si>
  <si>
    <t xml:space="preserve">I am a Surgeon &amp; a farmer. I work in The MOH, as a Surgical Specialist, in KSA.I produce Carp Fishes,sugarcane &amp; wheat/paddy.</t>
  </si>
  <si>
    <t xml:space="preserve">#USA #TIME MAGAZIN #NEWS broadcast by #EMET_NEWS_PRESS: Japan’s Shinzo Abe Conjures Stunning Election Victory i... https://t.co/e1HpRuJ4VM</t>
  </si>
  <si>
    <t xml:space="preserve">RT @TopFiveTraders: RT BloombergTV "Shinzo Abe's snap election gamble may have won him the chance to lead Japan through 2021 … https://t.co…</t>
  </si>
  <si>
    <t xml:space="preserve">Moeed Pirzada</t>
  </si>
  <si>
    <t xml:space="preserve">TV Anchor, Columnist &amp; Blogger, Editor Strategic Affairs, Dunya News, Dreamer for a EU style South Asia &amp; a better world</t>
  </si>
  <si>
    <t xml:space="preserve">Japan Election Vindicates Shinzo Abe as His Party Wins Big - New York Times https://t.co/bpNJ87BkWE #topstories</t>
  </si>
  <si>
    <t xml:space="preserve">RT TopFiveTraders "RT BloombergTV "Shinzo Abe's snap election gamble may have won him the chance to lead Japan… https://t.co/avwtsBqDmO""</t>
  </si>
  <si>
    <t xml:space="preserve">Evening Standard</t>
  </si>
  <si>
    <t xml:space="preserve">Japan PM Shinzo Abe wins snap election, promises strong 'counter-measures' against North Korea https://t.co/DCxcwFXT9a</t>
  </si>
  <si>
    <t xml:space="preserve">Breaking news and updates on top London stories from the newsdesk of the @EveningStandard. Follow our other accounts at https://t.co/5nrRg0ZT</t>
  </si>
  <si>
    <t xml:space="preserve">MoneyWeek</t>
  </si>
  <si>
    <t xml:space="preserve">Theresa May can only watch &amp; weep as Japanese PM, Shinzo Abe, pulls off his snap election gamble… https://t.co/V9yeGHRyLr</t>
  </si>
  <si>
    <t xml:space="preserve">UK's best-selling financial magazine. Follow for commentary on most important financial stories &amp; how to profit from them. Also follow @MerrynSW &amp; @John_Stepek</t>
  </si>
  <si>
    <t xml:space="preserve">Sandeep MS</t>
  </si>
  <si>
    <t xml:space="preserve">Bangalore, India </t>
  </si>
  <si>
    <t xml:space="preserve">Cule and sports fan</t>
  </si>
  <si>
    <t xml:space="preserve">Папатяа🍃</t>
  </si>
  <si>
    <t xml:space="preserve">Улаанбаатар, Монгол Улс</t>
  </si>
  <si>
    <t xml:space="preserve">Би, гарцан дээр ногоон гэрэл асахад машин нь явган хүндээ биш, явган хүн нь машиндаа зам тавьж өгдөг хотод амьдардаг жирийн нэг иргэн. #ЭвэлинийЦонх 🇲🇳</t>
  </si>
  <si>
    <t xml:space="preserve">RT @standardnews: Japan PM Shinzo Abe wins snap election, promises strong 'counter-measures' against North Korea https://t.co/DCxcwFXT9a</t>
  </si>
  <si>
    <t xml:space="preserve">losriley</t>
  </si>
  <si>
    <t xml:space="preserve">West London</t>
  </si>
  <si>
    <t xml:space="preserve">🌟Chelsea fan since 1970. All views my own.Carefree.19.5.12. In Roman, Conte and Marina I trust. CFC.#KTBFFH ⚽️</t>
  </si>
  <si>
    <t xml:space="preserve">#BloombergTV ❧ Shinzo Abe's snap election gamble may have won him the chance to lead Japan through 2021 … https://t.co/7ivLd1jaTz</t>
  </si>
  <si>
    <t xml:space="preserve">RT TFTCS "RT BloombergTV "Shinzo Abe's snap election gamble may have won him the chance to lead Japan through … https://t.co/IVZbJlZ4zE""</t>
  </si>
  <si>
    <t xml:space="preserve">janardan Prasad</t>
  </si>
  <si>
    <t xml:space="preserve">Entertainment Government and Politics</t>
  </si>
  <si>
    <t xml:space="preserve">AYAZ KHAN</t>
  </si>
  <si>
    <t xml:space="preserve">PESHAWAR PAKISTAN </t>
  </si>
  <si>
    <t xml:space="preserve">STAY HAPPY ;D AND TRY TO BE HONEST WITH YOUR SELF SUPPORT OF IMRAN KHAN NAYA PAKISTAN INSHA-ALLAH #pti https://t.co/eQCGLsvkfw</t>
  </si>
  <si>
    <t xml:space="preserve">RT @BloombergAsia: Japan leader Shinzo Abe's big election gamble pays off. Here's how it unfolded https://t.co/64Pl67GyBJ https://t.co/dYH6…</t>
  </si>
  <si>
    <t xml:space="preserve">Dennis Greene</t>
  </si>
  <si>
    <t xml:space="preserve">World's fattest bullfighter (Retired), lover of motorbikes, the wonderful city of London and anything Spanish. All gibberish expressed is entirely my own.</t>
  </si>
  <si>
    <t xml:space="preserve">Subhash</t>
  </si>
  <si>
    <t xml:space="preserve">Want India to emerge as a strong economy in the world under Namo's premiership..Development for all..Justice to all.. RTs not endorsements.</t>
  </si>
  <si>
    <t xml:space="preserve">Jackhammer3853</t>
  </si>
  <si>
    <t xml:space="preserve">RT @Anon_Eu: Japan election results: Shinzo Abe scores major victory for ruling coalition and pledges to reform… https://t.co/yYPEiG0Gzr #W…</t>
  </si>
  <si>
    <t xml:space="preserve">Indiana</t>
  </si>
  <si>
    <t xml:space="preserve">Loves Sat. Mornin Quarterbackin Politics,A Dem.</t>
  </si>
  <si>
    <t xml:space="preserve">Londonpopbox. 🇬🇧</t>
  </si>
  <si>
    <t xml:space="preserve">The only subscription box for lovers on London UK! A small gift of unique London treasures each month- Ships worldwide direct from the UK.</t>
  </si>
  <si>
    <t xml:space="preserve">Эбо</t>
  </si>
  <si>
    <t xml:space="preserve">Ухаан санаандаа орж ирсэн зүйлийг 2 дахин 3 дахин эргэцүүлэн бодож бай. Феогинд</t>
  </si>
  <si>
    <t xml:space="preserve">Zotac</t>
  </si>
  <si>
    <t xml:space="preserve">zotacc</t>
  </si>
  <si>
    <t xml:space="preserve">Greater London</t>
  </si>
  <si>
    <t xml:space="preserve">Japan PM Shinzo Abe wins snap election, promises strong 'counter-measures' against North Korea https://t.co/wRZatdptqs</t>
  </si>
  <si>
    <t xml:space="preserve">Greater London, UK.</t>
  </si>
  <si>
    <t xml:space="preserve">Tweets from in and around our wonderful city (#GreaterLondon).</t>
  </si>
  <si>
    <t xml:space="preserve">BSurveillance</t>
  </si>
  <si>
    <t xml:space="preserve">Thanks Robert Feldman @MorganStanley Senior Advisor for joining us from #Tokyo on Japan PM Shinzo Abe’s gamble on c… https://t.co/Gte87mnmTi</t>
  </si>
  <si>
    <t xml:space="preserve">Where the conversation on economics, finance, intl. relations &amp; investment begins. @BloombergTV 4-7am ET @BloombergRadio 7-10am ET @tomkeene @flacqua @davidgura</t>
  </si>
  <si>
    <t xml:space="preserve">Japan Election Vindicates Shinzo Abe as His Party Wins Big - https://t.co/rsK7Qs2Uou #GoogleAlerts</t>
  </si>
  <si>
    <t xml:space="preserve">RT Anon_Eu "Japan election results: Shinzo Abe scores major victory for ruling coalition and pledges to reform…… https://t.co/Wp3zj4Jv03"</t>
  </si>
  <si>
    <t xml:space="preserve">RT TFTCS "RT BloombergTV "Shinzo Abe's snap election gamble may have won him the chance to lead Japan through … https://t.co/avwtsBqDmO""</t>
  </si>
  <si>
    <t xml:space="preserve">How Japan leader Shinzo Abe's election gamble paid off https://t.co/cARk264FU1 https://t.co/CU3aq1pYea</t>
  </si>
  <si>
    <t xml:space="preserve">Japan PM Shinzo Abe wins snap election, promises strong 'counter-measures' against North Korea https://t.co/UJ9sEKptCP</t>
  </si>
  <si>
    <t xml:space="preserve">How Japan leader Shinzo Abe's election gamble paid off https://t.co/jLB3lpMC5S https://t.co/ZiLnEWGk8E</t>
  </si>
  <si>
    <t xml:space="preserve">vijay banga</t>
  </si>
  <si>
    <t xml:space="preserve">RT @business: How Japan leader Shinzo Abe's election gamble paid off https://t.co/cARk264FU1 https://t.co/CU3aq1pYea</t>
  </si>
  <si>
    <t xml:space="preserve">bachelor of journalism, economics (Hons) Writer, Journalist, Economist, Business Consultant.Former CE Corp relations for a Group of Colleges</t>
  </si>
  <si>
    <t xml:space="preserve">How Japan leader Shinzo Abe's election gamble paid off https://t.co/g1FMUp3HL8 https://t.co/CQ9frHqH5J</t>
  </si>
  <si>
    <t xml:space="preserve">Jak Wit</t>
  </si>
  <si>
    <t xml:space="preserve">every stage of grief</t>
  </si>
  <si>
    <t xml:space="preserve">Mike</t>
  </si>
  <si>
    <t xml:space="preserve">TheMikeCompBot2</t>
  </si>
  <si>
    <t xml:space="preserve">alokarukha</t>
  </si>
  <si>
    <t xml:space="preserve">universe</t>
  </si>
  <si>
    <t xml:space="preserve">explore the self within</t>
  </si>
  <si>
    <t xml:space="preserve">RT business "How Japan leader Shinzo Abe's election gamble paid off https://t.co/dg8C9SUIwz https://t.co/Xr0uFov2Uk"</t>
  </si>
  <si>
    <t xml:space="preserve">business: How Japan leader Shinzo Abe's election gamble paid off https://t.co/2yJsuQJqoG https://t.co/hkY15nFYZZ</t>
  </si>
  <si>
    <t xml:space="preserve">Aj@Y ®€dd¥</t>
  </si>
  <si>
    <t xml:space="preserve">London .!!!</t>
  </si>
  <si>
    <t xml:space="preserve">Born as a Hindu. Die as a Hindu..!!</t>
  </si>
  <si>
    <t xml:space="preserve">Sallamaari Muhonen</t>
  </si>
  <si>
    <t xml:space="preserve">Helsinki, Suomi</t>
  </si>
  <si>
    <t xml:space="preserve">PR &amp; #comms pro: #speaker, #moderator, senior consultant at @Netprofile. Board pro: @hokelanto @keva_fi Instagram &amp; Snapchat: sallamaarim</t>
  </si>
  <si>
    <t xml:space="preserve">Laura Ballington</t>
  </si>
  <si>
    <t xml:space="preserve">LauraBallington</t>
  </si>
  <si>
    <t xml:space="preserve">jaimeotero_: How Japan leader Shinzo Abe's election gamble paid off https://t.co/p1W6fKVAsx https://t.co/1tfitIyMR6 RT</t>
  </si>
  <si>
    <t xml:space="preserve">abhishek purohit</t>
  </si>
  <si>
    <t xml:space="preserve">jodhpur</t>
  </si>
  <si>
    <t xml:space="preserve">Junkie News</t>
  </si>
  <si>
    <t xml:space="preserve">Bringing You Up-To-Date News From Around The Globe. Also @JunkeNewsSports | @JunkieHealth | @JunkieNewsTech | @JunkieNewsLife |</t>
  </si>
  <si>
    <t xml:space="preserve">How Japan leader Shinzo Abe's election gamble paid off https://t.co/NzjoEFWtEn https://t.co/stY4VvtH6s</t>
  </si>
  <si>
    <t xml:space="preserve">How Japan leader Shinzo Abe's election gamble paid off https://t.co/kGpJwbqdNe https://t.co/ojX9cTB8gf #BSAFunds #MerchantCashAdvance</t>
  </si>
  <si>
    <t xml:space="preserve">Japan Election Vindicates Shinzo Abe as His Party Wins Big - New York Times: New York Times… https://t.co/2lEZiLy5aN</t>
  </si>
  <si>
    <t xml:space="preserve">martisys</t>
  </si>
  <si>
    <t xml:space="preserve">Office 365 Connectors</t>
  </si>
  <si>
    <t xml:space="preserve">Olomouc</t>
  </si>
  <si>
    <t xml:space="preserve">business: How Japan leader Shinzo Abe's election gamble paid off https://t.co/vQcJh7WpcG https://t.co/R6tnQZGpv6</t>
  </si>
  <si>
    <r>
      <rPr>
        <sz val="8"/>
        <rFont val="Droid Sans"/>
        <family val="0"/>
        <charset val="1"/>
      </rPr>
      <t xml:space="preserve">We are </t>
    </r>
    <r>
      <rPr>
        <sz val="8"/>
        <rFont val="Noto Sans CJK SC Regular"/>
        <family val="2"/>
      </rPr>
      <t xml:space="preserve">こんな人たち</t>
    </r>
  </si>
  <si>
    <t xml:space="preserve">秋葉原</t>
  </si>
  <si>
    <t xml:space="preserve">こんな人たち同士仲良くやってまーす</t>
  </si>
  <si>
    <t xml:space="preserve">M E Paradiso</t>
  </si>
  <si>
    <t xml:space="preserve">Augusta</t>
  </si>
  <si>
    <t xml:space="preserve">Fighter for underdog, passionate; work in progress.</t>
  </si>
  <si>
    <t xml:space="preserve">How Japan leader Shinzo Abe's election gamble paid off https://t.co/KIh4E3vd9B https://t.co/0rAafWWh9V</t>
  </si>
  <si>
    <t xml:space="preserve">ShailajaSingh🗻</t>
  </si>
  <si>
    <t xml:space="preserve">Entrepreneur🐒CAO,Co-founder🔍 ,Tree hugger🌲,Pet parent🐕,Born of a mountain, Wing-less gladiator🦁humour&amp;valour✌occasional hiker🐇🐘🐐</t>
  </si>
  <si>
    <t xml:space="preserve">Salman khan</t>
  </si>
  <si>
    <t xml:space="preserve">Book Lover and Cinema Lover.</t>
  </si>
  <si>
    <t xml:space="preserve">Roland L M Lim</t>
  </si>
  <si>
    <t xml:space="preserve">DayAsia Traders</t>
  </si>
  <si>
    <t xml:space="preserve">Central Visayas</t>
  </si>
  <si>
    <t xml:space="preserve">My name is Patrick John Peguit, I'm the Founder of DayAsia Traders Limited. We offered different types of investment accounts suitable to your financial set-up.</t>
  </si>
  <si>
    <t xml:space="preserve">business: How Japan leader Shinzo Abe's election gamble paid off https://t.co/PIXuCFR6zA https://t.co/G70ROtRQq0 https://t.co/rVpmWRP5hY</t>
  </si>
  <si>
    <t xml:space="preserve">Sam @ Delhi</t>
  </si>
  <si>
    <t xml:space="preserve">Orion's Belt </t>
  </si>
  <si>
    <t xml:space="preserve">मै कर्जदार हूं,अपने पुरखों का जिन्होंने 600 वर्ष मुगलो,200वर्ष अंग्रेजो व 60 वर्ष कांग्रेस से लोहा लेते हुये,मुझे हिन्दू बनाये रखा,मुझे गर्व है,कि मैं हिंदू हुँ</t>
  </si>
  <si>
    <t xml:space="preserve">Electrical consultant by profession- Medition-Introvert-My tweets are based on my thinking &amp; assesment-RT is not endorsement-not in the race for followers</t>
  </si>
  <si>
    <t xml:space="preserve">Japan Election Vindicates Shinzo Abe as His Party Wins Big - New York Times https://t.co/Mn7o0m37yO https://t.co/8rH7D7B8Ab</t>
  </si>
  <si>
    <t xml:space="preserve">Dr. Elnora Rowan</t>
  </si>
  <si>
    <t xml:space="preserve">Author, Educator, Bibliophile, Multicultural Consultant, Global Citizen,</t>
  </si>
  <si>
    <t xml:space="preserve">Ronak Shah</t>
  </si>
  <si>
    <t xml:space="preserve">Adventurer, Sports Fan, Poet, Spiritual Seeker, Actor, Writer-Author, Singer, Dancer, Creative Artist, Marketing Geek, Online Media Journalist, Social Activist!</t>
  </si>
  <si>
    <t xml:space="preserve">WMAL DC</t>
  </si>
  <si>
    <t xml:space="preserve">Japanese PM Shinzo Abe hails landslide victory in snap election https://t.co/5zIQrbIQoQ #Japan</t>
  </si>
  <si>
    <t xml:space="preserve">Listen live on 105.9 FM / AM 630. Washington, DC's popular news-talk radio station. #VA #MD #DC</t>
  </si>
  <si>
    <t xml:space="preserve">WMAL News</t>
  </si>
  <si>
    <t xml:space="preserve">Japanese PM Shinzo Abe hails landslide victory in snap election https://t.co/uGESwe577b #Japan</t>
  </si>
  <si>
    <t xml:space="preserve">Stimulating Talk....Breaking News. Where Washington Comes to Talk. Listen live at 105.9 FM &amp; AM 630 or http://t.co/JFTgQmG7Bk.</t>
  </si>
  <si>
    <t xml:space="preserve">Lesego Thinane</t>
  </si>
  <si>
    <t xml:space="preserve">Johannesburg, South Africa</t>
  </si>
  <si>
    <t xml:space="preserve">Hard Working, I Just Lack Privilege.</t>
  </si>
  <si>
    <t xml:space="preserve">Top takeaways from Shinzo Abe's election win in Japan https://t.co/vu9oY5GLwr https://t.co/RoblrHUrUV</t>
  </si>
  <si>
    <t xml:space="preserve">Nino Brodin</t>
  </si>
  <si>
    <t xml:space="preserve">Japan PM Shinzo Abe pledges pressure on North Korea after big election win https://t.co/YfgdwjRAci via @dwnews</t>
  </si>
  <si>
    <t xml:space="preserve">International Relations, Geoeconomics, Geopolitics, WGS: Geography &amp; Geodecy, Econometrics, History of Public Broadcasting.</t>
  </si>
  <si>
    <t xml:space="preserve">Promod Gupta</t>
  </si>
  <si>
    <t xml:space="preserve">Chartered Accountant. Enjoy Social Marketing. Die hard fan of Modi ji. Views personal</t>
  </si>
  <si>
    <t xml:space="preserve">How Japan leader Shinzo Abe's election gamble paid off https://t.co/XbLI9Lx1Ut https://t.co/maf0x3WVeS</t>
  </si>
  <si>
    <t xml:space="preserve">3Novices:Shinzo Abe's Anti-Climatic Victory In Japan: Power Without Popularity https://t.co/VQQjjQUqxP In the end, Japan’s snap election w…</t>
  </si>
  <si>
    <t xml:space="preserve">venkat raman</t>
  </si>
  <si>
    <t xml:space="preserve">Data science enthusiast.Hoping to amass knowledge and share it throughout my life.Statistician with MBA. Analytics Consultant, Sports enthusiast, Rafa Nadal Fan</t>
  </si>
  <si>
    <t xml:space="preserve">Shawn Peirce</t>
  </si>
  <si>
    <t xml:space="preserve">RT @bpolitics: Top takeaways from Shinzo Abe's election win in Japan https://t.co/vu9oY5GLwr https://t.co/RoblrHUrUV</t>
  </si>
  <si>
    <t xml:space="preserve">Occasional Natl. Radio Producer, Freelance Editor, Writer, Graphic Artist, Journalist. Looking for work in or out of media.</t>
  </si>
  <si>
    <t xml:space="preserve">The Last Samurai....</t>
  </si>
  <si>
    <t xml:space="preserve">Gabriel Espana</t>
  </si>
  <si>
    <t xml:space="preserve">New world news from Time: https://t.co/s2Wr9UG44V https://t.co/Mwu4Pkwru1</t>
  </si>
  <si>
    <t xml:space="preserve">Principal at @ifc_org #EmergingMarkets #Investment Professional. Rotary Honorary member. Views are my own &amp; not endorsements</t>
  </si>
  <si>
    <t xml:space="preserve">Japan election results: Shinzo Abe scores major victory for ruling coalition and pledges to… https://t.co/5v9jEsI1gV</t>
  </si>
  <si>
    <t xml:space="preserve">Muzie Buthelezi</t>
  </si>
  <si>
    <t xml:space="preserve">South Africa Durban</t>
  </si>
  <si>
    <t xml:space="preserve">Film&amp;TVGraduate - Was at SABC Durban 2016/7- Freelance 🎬🎥 Camera Operator. My Tweets Are My Own Not Of Those Of My Future Employers muziebuthelezi34@gmail.com</t>
  </si>
  <si>
    <t xml:space="preserve">business: How Japan leader Shinzo Abe's election gamble paid off https://t.co/AtVRgxURmx https://t.co/m1ybz90wUS</t>
  </si>
  <si>
    <t xml:space="preserve">MW - LinkedIn Tutors</t>
  </si>
  <si>
    <t xml:space="preserve">RT @MoneyWeek: Theresa May can only watch &amp; weep as Japanese PM, Shinzo Abe, pulls off his snap election gamble https://t.co/hAxxSQr9Ft htt…</t>
  </si>
  <si>
    <t xml:space="preserve">An independent LinkedIn training agency in London. We help professional services &amp; financial services organisations to use LinkedIn to grow their businesses.</t>
  </si>
  <si>
    <t xml:space="preserve">YIANNIS PATRIKAKIS</t>
  </si>
  <si>
    <t xml:space="preserve">RT @BloombergTV: How Japan leader Shinzo Abe's election gamble paid off https://t.co/XbLI9Lx1Ut https://t.co/maf0x3WVeS</t>
  </si>
  <si>
    <t xml:space="preserve">ATH - NY</t>
  </si>
  <si>
    <t xml:space="preserve">Entrepreneur. Investor. Economist</t>
  </si>
  <si>
    <t xml:space="preserve">NorthKorea Newz</t>
  </si>
  <si>
    <t xml:space="preserve">Japan PM Shinzo Abe wins snap election promising #NorthKorea strategy https://t.co/PxmjgISlmg https://t.co/441sV6SyzE</t>
  </si>
  <si>
    <t xml:space="preserve">The latest news of interest about #NorthKorea in one place!</t>
  </si>
  <si>
    <t xml:space="preserve">Mary Cummings</t>
  </si>
  <si>
    <t xml:space="preserve">Kansas City, Missouri USA</t>
  </si>
  <si>
    <t xml:space="preserve">Wife, Mom, RN. Health nut, optimist, patriot, truth seeker, peace activist, animal lover, tree hugger!</t>
  </si>
  <si>
    <t xml:space="preserve">RT BloombergTV "How Japan leader Shinzo Abe's election gamble paid off https://t.co/9OahVDaig5 https://t.co/GvVRvIk2py"</t>
  </si>
  <si>
    <t xml:space="preserve">Stephen Ritson</t>
  </si>
  <si>
    <t xml:space="preserve">Shinzo Abe's election victory renews speculation over changes to Japan's constitution - https://t.co/0jMw6yncDr #TREToday</t>
  </si>
  <si>
    <t xml:space="preserve">Spain &amp; Germany</t>
  </si>
  <si>
    <t xml:space="preserve">Host of Europe Today, @tretalkisgood's flagship news programme. Talk about the programme on #TREToday or via @Skype to 'livingonair'</t>
  </si>
  <si>
    <t xml:space="preserve">RT BloombergTV "How Japan leader Shinzo Abe's election gamble paid off https://t.co/vJGo8TcbCY https://t.co/W7UkaCyzty"</t>
  </si>
  <si>
    <t xml:space="preserve">SirSitaram</t>
  </si>
  <si>
    <t xml:space="preserve">Shinzo Abe scores major victory in Japanese election https://t.co/0f02NPb9lJ</t>
  </si>
  <si>
    <t xml:space="preserve">KimJongUn</t>
  </si>
  <si>
    <t xml:space="preserve">PyongYong</t>
  </si>
  <si>
    <t xml:space="preserve">Laks Narasimhan</t>
  </si>
  <si>
    <t xml:space="preserve">Proud Indian, track politics, cricket and other useless stuff.</t>
  </si>
  <si>
    <t xml:space="preserve">RT TopFiveTraders "RT BloombergTV "How Japan leader Shinzo Abe's election gamble paid off https://t.co/rSMkeTWpdb https://t.co/vmEWlT475M""</t>
  </si>
  <si>
    <t xml:space="preserve">Georgina Bex</t>
  </si>
  <si>
    <t xml:space="preserve">RT @Independent: Shinzo Abe scores major victory in Japanese election https://t.co/0f02NPb9lJ</t>
  </si>
  <si>
    <t xml:space="preserve">Winethusiast, Daytime Video Producer, Power Jogger and life-lover #life #work #blessed</t>
  </si>
  <si>
    <t xml:space="preserve">Canadians In London</t>
  </si>
  <si>
    <t xml:space="preserve">https://t.co/rqLud3hil2 Helping Canadians find their way and each other. Big brother to https://t.co/hns1ZRPQP3 we hold fun events with Canadian classics</t>
  </si>
  <si>
    <t xml:space="preserve">Japan's Shinzo Abe Conjures Stunning Election Victory in a Boost for Donald Trump - TIME https://t.co/IxS2o22v5T</t>
  </si>
  <si>
    <t xml:space="preserve">#BloombergTV ❧ How Japan leader Shinzo Abe's election gamble paid off https://t.co/l0SRhSxp0W https://t.co/kKk5iwRULf</t>
  </si>
  <si>
    <r>
      <rPr>
        <sz val="8"/>
        <rFont val="Noto Sans CJK SC Regular"/>
        <family val="2"/>
      </rPr>
      <t xml:space="preserve">猫又ニャーコ</t>
    </r>
    <r>
      <rPr>
        <sz val="8"/>
        <rFont val="Droid Sans"/>
        <family val="0"/>
        <charset val="1"/>
      </rPr>
      <t xml:space="preserve">@</t>
    </r>
    <r>
      <rPr>
        <sz val="8"/>
        <rFont val="Noto Sans CJK SC Regular"/>
        <family val="2"/>
      </rPr>
      <t xml:space="preserve">風雲猫又城</t>
    </r>
  </si>
  <si>
    <r>
      <rPr>
        <sz val="8"/>
        <rFont val="Noto Sans CJK SC Regular"/>
        <family val="2"/>
      </rPr>
      <t xml:space="preserve">地球の裏側 </t>
    </r>
    <r>
      <rPr>
        <sz val="8"/>
        <rFont val="Droid Sans"/>
        <family val="0"/>
        <charset val="1"/>
      </rPr>
      <t xml:space="preserve">&amp;Tokyo nyapan</t>
    </r>
  </si>
  <si>
    <r>
      <rPr>
        <sz val="8"/>
        <rFont val="Noto Sans CJK SC Regular"/>
        <family val="2"/>
      </rPr>
      <t xml:space="preserve">子なし主婦ゲーマー❤安倍政権支持派</t>
    </r>
    <r>
      <rPr>
        <sz val="8"/>
        <rFont val="Droid Sans"/>
        <family val="0"/>
        <charset val="1"/>
      </rPr>
      <t xml:space="preserve">freelance writer. I love YoKaiWatch and animal crossing,I love my life I love 🇯🇵 and 🇺🇸I love all friends and my family I love Nintendo🎶</t>
    </r>
  </si>
  <si>
    <t xml:space="preserve">RT TFTCS "RT BloombergTV "How Japan leader Shinzo Abe's election gamble paid off https://t.co/9OahVDaig5 https://t.co/GvVRvIk2py""</t>
  </si>
  <si>
    <t xml:space="preserve">Belinda Gallman</t>
  </si>
  <si>
    <t xml:space="preserve">Belinda Gallm app</t>
  </si>
  <si>
    <t xml:space="preserve">Camden New Jersey</t>
  </si>
  <si>
    <t xml:space="preserve">Historians are like deaf people who go on answering questions that no one has asked them (Tolstoy)</t>
  </si>
  <si>
    <t xml:space="preserve">Michael Hart</t>
  </si>
  <si>
    <t xml:space="preserve">Writer and researcher focusing on civil conflict, maritime security and Southeast Asian politics</t>
  </si>
  <si>
    <t xml:space="preserve">Christina Longfellow</t>
  </si>
  <si>
    <t xml:space="preserve">ChristinaLongfe</t>
  </si>
  <si>
    <t xml:space="preserve">Canterbury UK</t>
  </si>
  <si>
    <t xml:space="preserve">Books have the same enemies as people: fire, humidity, animals, weather, and their own content. Paul Valery (1871 - 1945)</t>
  </si>
  <si>
    <t xml:space="preserve">Crossbridge Capital</t>
  </si>
  <si>
    <t xml:space="preserve">Japanese PM Shinzo Abe's ruling coalition regained a twothirds majority of the seats in Japan's lower house after Sunday's general election</t>
  </si>
  <si>
    <t xml:space="preserve">Independent, tailored, cross-asset investment solutions for entrepreneurs and families. Global Macro and economics comments.</t>
  </si>
  <si>
    <t xml:space="preserve">H.A. Barasa😎</t>
  </si>
  <si>
    <t xml:space="preserve">Changing the world one business at a time</t>
  </si>
  <si>
    <t xml:space="preserve">Shinzo Abe scores major victory in Japanese election https://t.co/9SLJOGZSDV Independent</t>
  </si>
  <si>
    <t xml:space="preserve">New Delhi         </t>
  </si>
  <si>
    <t xml:space="preserve">Proud Hindu. Politically Conservative. Intolerant. @narendramodi @realDonaldTrump supporter. Astronomy lover. F1 fan. RT is not endorsement.</t>
  </si>
  <si>
    <t xml:space="preserve">Elena</t>
  </si>
  <si>
    <t xml:space="preserve">Stupid tw Hey huns ìt s me always on the right side Israel for ever! #MAGA #MIGA #alvotosubito #presidenzialismo #Israel</t>
  </si>
  <si>
    <t xml:space="preserve">amitgarg</t>
  </si>
  <si>
    <t xml:space="preserve">Thecreator</t>
  </si>
  <si>
    <t xml:space="preserve">Worlwide</t>
  </si>
  <si>
    <t xml:space="preserve">A Person Who Tries To Be Liberalist, Cosmopolitan, Environmentalist, Humanist And Rationalist.</t>
  </si>
  <si>
    <t xml:space="preserve">Japan Election Vindicates Shinzo Abe as His Party Wins Big https://t.co/YrPEKggbMw</t>
  </si>
  <si>
    <t xml:space="preserve">Shinzo Abe scores major victory in Japanese election https://t.co/bykph4fDmC</t>
  </si>
  <si>
    <t xml:space="preserve">hinduhomeland</t>
  </si>
  <si>
    <t xml:space="preserve">a hindu asking for a HINDU HOMELAND and recognition of Hindus. reclaim SWASTIKA- http://t.co/8DXifDhxrB i wear my religion on my sleeve. SWASTIKA never killed</t>
  </si>
  <si>
    <t xml:space="preserve">krisna</t>
  </si>
  <si>
    <t xml:space="preserve">worldwide Web </t>
  </si>
  <si>
    <t xml:space="preserve">Rahul Kumar</t>
  </si>
  <si>
    <t xml:space="preserve">Grace wanjish</t>
  </si>
  <si>
    <t xml:space="preserve">Just there but I don't follow the crowd only meditate for guidance to understand and spot michief</t>
  </si>
  <si>
    <t xml:space="preserve">শান্তনুChakravarty🚩</t>
  </si>
  <si>
    <t xml:space="preserve">Nationalist | Engineer | Lawyer | Blogger |ॐ Vedanta Proponent | BharatMataKiJai🇮🇳 | THINK good DO good &amp; FEEL good | Veritas Vincit TRUTH conquers✌</t>
  </si>
  <si>
    <t xml:space="preserve">RT TFTCS "RT BloombergTV "How Japan leader Shinzo Abe's election gamble paid off https://t.co/rSMkeTWpdb https://t.co/vmEWlT475M""</t>
  </si>
  <si>
    <t xml:space="preserve">BoogieFinger</t>
  </si>
  <si>
    <t xml:space="preserve">MN</t>
  </si>
  <si>
    <t xml:space="preserve">http://t.co/2jsNV6Kj8y Blog about the deception by the Left and much more http://t.co/f4o5M4Bxx2 .http://t.co/Q8SybSXaHT http://t.co/1SrqmHFrZ1</t>
  </si>
  <si>
    <r>
      <rPr>
        <sz val="8"/>
        <rFont val="Noto Sans CJK SC Regular"/>
        <family val="2"/>
      </rPr>
      <t xml:space="preserve">冨田麻里（</t>
    </r>
    <r>
      <rPr>
        <sz val="8"/>
        <rFont val="Droid Sans"/>
        <family val="0"/>
        <charset val="1"/>
      </rPr>
      <t xml:space="preserve">7thclouds</t>
    </r>
    <r>
      <rPr>
        <sz val="8"/>
        <rFont val="Noto Sans CJK SC Regular"/>
        <family val="2"/>
      </rPr>
      <t xml:space="preserve">公式ツィート</t>
    </r>
  </si>
  <si>
    <t xml:space="preserve">Higashiyamato-city Tokyo Japan</t>
  </si>
  <si>
    <t xml:space="preserve">JAPANESE/Allfromownthoughts/photos UKSussexUniLLM/MACriminology/NihonUniBAPsy TOEFL620(CBT260)TOIEC950 *AllRightsReserved</t>
  </si>
  <si>
    <t xml:space="preserve">George Jr.</t>
  </si>
  <si>
    <t xml:space="preserve">Japan Election Vindicates Shinzo Abe as His… https://t.co/MK88hyHGFA #Elections #PoliticsandGovernment… https://t.co/cbldiVi2IG</t>
  </si>
  <si>
    <t xml:space="preserve">#Computer Engineer | #Web Developer | Development #Engineer | IoT #Developer | #Tech Specialist | #Sports Fanatic | #Think Positive</t>
  </si>
  <si>
    <t xml:space="preserve">Miu</t>
  </si>
  <si>
    <r>
      <rPr>
        <sz val="8"/>
        <rFont val="Droid Sans"/>
        <family val="0"/>
        <charset val="1"/>
      </rPr>
      <t xml:space="preserve">🎃 I Love Weikie 💜 I Love Helloween 💙 I Love Michael Weikath ❤ ROCK HR/HM etc. </t>
    </r>
    <r>
      <rPr>
        <sz val="8"/>
        <rFont val="Noto Sans CJK SC Regular"/>
        <family val="2"/>
      </rPr>
      <t xml:space="preserve">ライヴ参戦遠征に頑張る＼</t>
    </r>
    <r>
      <rPr>
        <sz val="8"/>
        <rFont val="Droid Sans"/>
        <family val="0"/>
        <charset val="1"/>
      </rPr>
      <t xml:space="preserve">m</t>
    </r>
    <r>
      <rPr>
        <sz val="8"/>
        <rFont val="Noto Sans CJK SC Regular"/>
        <family val="2"/>
      </rPr>
      <t xml:space="preserve">／ 日本人でよかった🔴</t>
    </r>
  </si>
  <si>
    <t xml:space="preserve">Shinzo Abe scores major victory in Japanese election https://t.co/JyA7oXgUqP</t>
  </si>
  <si>
    <t xml:space="preserve">RT @notiven: RT: @reuters :Prime Minister Shinzo Abe to push for reforms to Japan's post-war pacifist constitution after strong election wi…</t>
  </si>
  <si>
    <t xml:space="preserve">RT @bsurveillance: Thanks Robert Feldman @MorganStanley Senior Advisor for joining us from #Tokyo on Japan PM Shinzo Abe’s gamble on callin…</t>
  </si>
  <si>
    <t xml:space="preserve">T.J. Pelletier #UI</t>
  </si>
  <si>
    <t xml:space="preserve">Behind you...</t>
  </si>
  <si>
    <t xml:space="preserve">believe in good...believe in evil... believe if you are not one you are the other..#UI #OpISIS #CtrlSec #SolarCycle #Djinn #OpSaveAnonHunters ❤👸</t>
  </si>
  <si>
    <t xml:space="preserve">New Indian Express</t>
  </si>
  <si>
    <t xml:space="preserve">"Look forward to further strengthen India- Japan relations with him," Modi tweeted. https://t.co/Q3K5GWStSj</t>
  </si>
  <si>
    <t xml:space="preserve">All the tweets for breaking news, views and everything else. Your gateway to India and the world.</t>
  </si>
  <si>
    <t xml:space="preserve">Newcastle, England</t>
  </si>
  <si>
    <t xml:space="preserve">i'm always talking about politics and i bake when i'm bored - type 1 diabetic #insulin4all</t>
  </si>
  <si>
    <t xml:space="preserve">Bülent COŞAR</t>
  </si>
  <si>
    <t xml:space="preserve">mersin Türkiye</t>
  </si>
  <si>
    <t xml:space="preserve">Türkiyemizi ve vatandaşlarımızı seven, Çalışkan, Üretken, Sadık, Araştırmacı, Yardım seven, Kocaman bir aileyiz biz. 90 532 6243629 TB5DBC /TÜRKİYE</t>
  </si>
  <si>
    <t xml:space="preserve">quanzhuo169083</t>
  </si>
  <si>
    <t xml:space="preserve">Jacob Kerr</t>
  </si>
  <si>
    <t xml:space="preserve">Japan election vindicates Prime Minister Shinzo Abe as his party wins big: https://t.co/pKR1B1kHk3</t>
  </si>
  <si>
    <t xml:space="preserve">Ops @wtop. Otherwise, I'm probably watching soccer or TCM. Tomorrow there'll be sunshine and all this darkness passed. #hookem</t>
  </si>
  <si>
    <t xml:space="preserve">KallenCarrick</t>
  </si>
  <si>
    <t xml:space="preserve">Bleh.</t>
  </si>
  <si>
    <t xml:space="preserve">하은빈</t>
  </si>
  <si>
    <t xml:space="preserve">Dr. Mihir Khan</t>
  </si>
  <si>
    <t xml:space="preserve">Yorkshire and The Humber, Engl</t>
  </si>
  <si>
    <t xml:space="preserve">A wandering soul trying to make sense of nonsense called religion</t>
  </si>
  <si>
    <t xml:space="preserve">sheikh anayatullah</t>
  </si>
  <si>
    <t xml:space="preserve">Sandra Ward</t>
  </si>
  <si>
    <t xml:space="preserve">#MAGA #Patriot #YahwehNissi The LORD My Banner</t>
  </si>
  <si>
    <t xml:space="preserve">Election win won't boost unpopular Shinzo Abe's ratings - CNBC https://t.co/slMO8jXvMV</t>
  </si>
  <si>
    <t xml:space="preserve">Politicoscope</t>
  </si>
  <si>
    <t xml:space="preserve">JAPAN POLITICS: Shinzo Abe to Push Pacifist Constitution Reform After Strong Election Win - https://t.co/c5dfSIVILF… https://t.co/9hJZ63pzXY</t>
  </si>
  <si>
    <t xml:space="preserve">Politicoscope official world politics news home. Follow Us On: http://t.co/t37hQJJZ1x, http://t.co/1MAJl9KNQz, https://t.co/Ndr35NKShx</t>
  </si>
  <si>
    <t xml:space="preserve">WATCH OUT NORTH KOREA: Japan election win gives Abe mandate to get tough on Kim - Express… https://t.co/xfFofF7z4T</t>
  </si>
  <si>
    <t xml:space="preserve">Sokodirectory.com</t>
  </si>
  <si>
    <t xml:space="preserve">Shinzo Abe sweeps to resounding victory in Japan election. What does this mean for Africa? #SokoRevamped</t>
  </si>
  <si>
    <t xml:space="preserve">East Africa</t>
  </si>
  <si>
    <t xml:space="preserve">The Official Twitter Account for http://t.co/Jyv5aIAJ. The leading online directory and news platform for the SME industry.</t>
  </si>
  <si>
    <t xml:space="preserve">Beng Creergalang</t>
  </si>
  <si>
    <t xml:space="preserve">Funny girl</t>
  </si>
  <si>
    <t xml:space="preserve">chirag modi</t>
  </si>
  <si>
    <t xml:space="preserve">Loves Hindi music , Chelsea Football Club , Loyal Modi supporter. Nationalist . loves travelling. BHARAT MATA KI JAI.</t>
  </si>
  <si>
    <t xml:space="preserve">🌴Rudy🍺</t>
  </si>
  <si>
    <t xml:space="preserve">Japan's Shinzo Abe Conjures Stunning Election Victory in a Boost for Donald Trump - TIME https://t.co/arVLbm2fnB</t>
  </si>
  <si>
    <t xml:space="preserve">Tampa Palms</t>
  </si>
  <si>
    <t xml:space="preserve">Beer is good</t>
  </si>
  <si>
    <t xml:space="preserve">EASTERN SENTINEL</t>
  </si>
  <si>
    <t xml:space="preserve">Japan’s Shinzo Abe wins big in national election;PM Modi congratulated him &amp; said “Look forward to further strength… https://t.co/bJaXbfq3GK</t>
  </si>
  <si>
    <t xml:space="preserve">Itanagar, Arunachal Pradesh</t>
  </si>
  <si>
    <t xml:space="preserve">Credible, leading English daily published from Itanagar, Arunachal Pradesh.</t>
  </si>
  <si>
    <t xml:space="preserve">News 27/7</t>
  </si>
  <si>
    <t xml:space="preserve">[BREAKING NEWS]Japan election vindicates shinzo abe as his party wins big: https://t.co/F4GNxJBGg4 via @YouTube</t>
  </si>
  <si>
    <t xml:space="preserve">Frans de Quillettes</t>
  </si>
  <si>
    <t xml:space="preserve">Japan's Shinzo Abe Conjures Stunning Election Victory in a Boost for Donald Trump - TIME https://t.co/3A2wMvAzun</t>
  </si>
  <si>
    <t xml:space="preserve">California.</t>
  </si>
  <si>
    <t xml:space="preserve">Following me &amp; get The latest News , Sport, Stock Market updates Rumors and Analysts!''</t>
  </si>
  <si>
    <t xml:space="preserve">राष्ट्र चेतना</t>
  </si>
  <si>
    <t xml:space="preserve">DELHI  INDIA</t>
  </si>
  <si>
    <t xml:space="preserve">Om Namah Shivay Soft skill and behaviour Trainer, NaMo fan , Nationalist views, religious n independent thinker RTs are not endorsement</t>
  </si>
  <si>
    <t xml:space="preserve">Japan election results: Shinzo Abe scores major victory for ruling coalition and pl #WorldNews https://t.co/5oWdJ0NQwK</t>
  </si>
  <si>
    <t xml:space="preserve">ॐ</t>
  </si>
  <si>
    <t xml:space="preserve">Nationalist 1st | जय हिंद |</t>
  </si>
  <si>
    <t xml:space="preserve">Aniruddha Kulkarni</t>
  </si>
  <si>
    <t xml:space="preserve">Balance thinking positive attitude , retweet does not mean agreement</t>
  </si>
  <si>
    <t xml:space="preserve">Dharmaprakash</t>
  </si>
  <si>
    <t xml:space="preserve">Ahmadabad City, India</t>
  </si>
  <si>
    <t xml:space="preserve">pragmatic!!!</t>
  </si>
  <si>
    <t xml:space="preserve">lyndalyndalynda</t>
  </si>
  <si>
    <t xml:space="preserve">Japan Election Vindicates Shinzo Abe as His Party Wins Big via @NYTimes https://t.co/1neyjC3BIm</t>
  </si>
  <si>
    <t xml:space="preserve">Sharing interesting stories, delicious meal, beautiful design and stories, from Tokyo.</t>
  </si>
  <si>
    <t xml:space="preserve">Day Trading Academy</t>
  </si>
  <si>
    <t xml:space="preserve">PM Shinzo Abe,helped by a huge election win for lawmakers pushing to revise Japan’s post-war, pacifist constitution https://t.co/GhV659aEZD</t>
  </si>
  <si>
    <t xml:space="preserve">Official tweets of The Day Trading Academy. Where traders find success, wealth, or freedom through #investing and #trading. Let's Create Your Lifestyle.</t>
  </si>
  <si>
    <t xml:space="preserve">gautam singh</t>
  </si>
  <si>
    <t xml:space="preserve">PROUD TO BE AN INDIAN...the things which gives you both happiness and sadness is one and only #LOVE</t>
  </si>
  <si>
    <t xml:space="preserve">skewedbrain</t>
  </si>
  <si>
    <t xml:space="preserve">Bryan David Kellsey</t>
  </si>
  <si>
    <t xml:space="preserve">Manchester, Connecticut</t>
  </si>
  <si>
    <t xml:space="preserve">I'm a union laborer who is extremely focused on the betterment of humanity and our collective advancement towards space and the unknown</t>
  </si>
  <si>
    <t xml:space="preserve">Jh203</t>
  </si>
  <si>
    <t xml:space="preserve">Akky</t>
  </si>
  <si>
    <t xml:space="preserve">searching</t>
  </si>
  <si>
    <t xml:space="preserve">Hindu. Banker. Equity Investor. Interested in policy and politics</t>
  </si>
  <si>
    <t xml:space="preserve">Venkatesh</t>
  </si>
  <si>
    <t xml:space="preserve">A simple patriotic man..(No media to hype me) love my family and son. Believes in 1st being a good son, a good husband, a good father and then everything else</t>
  </si>
  <si>
    <t xml:space="preserve">iVote🗳</t>
  </si>
  <si>
    <t xml:space="preserve">Making #OnlineVoting a Reality | Using Your Devices for #Voting | Eliminating #VotersFraud | Time To Make Your #Vote Count. Leveraging #CivicTech for our sake</t>
  </si>
  <si>
    <t xml:space="preserve">ShiraKadir</t>
  </si>
  <si>
    <t xml:space="preserve">Take charge, and don't apologize for it.</t>
  </si>
  <si>
    <t xml:space="preserve">William Salvo</t>
  </si>
  <si>
    <t xml:space="preserve">RT @Donald_from_HI: Prime Minister Shinzo Abe's LDP coalition scores a decisive and overwhelming victory in Japan's national election. http…</t>
  </si>
  <si>
    <t xml:space="preserve">Army Vet, #PTSD, #FreePalestine, #MST, respect journalism as a discipline not an authority, Independent.</t>
  </si>
  <si>
    <t xml:space="preserve">Trader Dave</t>
  </si>
  <si>
    <t xml:space="preserve">Japan's leader just won a resounding election victory, but he's still unpopular https://t.co/nEVCCZ6LQb</t>
  </si>
  <si>
    <t xml:space="preserve">Writer,Dr.,Lawyer,Architect,Equities day trader,Race car driver, Actor,Philanthropist,Astronaut,Time traveler,Bull shit artist,The last one is a lie,Trust Me.</t>
  </si>
  <si>
    <t xml:space="preserve">AMIT RANA</t>
  </si>
  <si>
    <t xml:space="preserve">Japan's leader just won a resounding election victory, but he's still unpopular https://t.co/DfIhaCySv8</t>
  </si>
  <si>
    <t xml:space="preserve">André Ferreira</t>
  </si>
  <si>
    <t xml:space="preserve">38° 41′ 0″ N, 9° 25′ 0″ W</t>
  </si>
  <si>
    <t xml:space="preserve">Takes on Foreign Affairs, Politics and Sports, mostly. ⚽🎾📰 Retweets ≠ Endorsement. Views are my own.</t>
  </si>
  <si>
    <t xml:space="preserve">C Clear world</t>
  </si>
  <si>
    <t xml:space="preserve">JAPAN POLITICS: Shinzo Abe to Push Pacifist Constitution Reform After Strong Election Win https://t.co/jjQbv6oUzE</t>
  </si>
  <si>
    <t xml:space="preserve">C https://t.co/74mVmbJRJF is a multi-platform publisher of news and information.</t>
  </si>
  <si>
    <t xml:space="preserve">WATCH OUT KIM: Japan election win gives Abe mandate to get tough on North Korea https://t.co/z8dRXmxZx2 https://t.co/TA7Qf6KS9h</t>
  </si>
  <si>
    <t xml:space="preserve">RT @Daily_Express: WATCH OUT KIM: Japan election win gives Abe mandate to get tough on North Korea https://t.co/z8dRXmxZx2 https://t.co/TA7…</t>
  </si>
  <si>
    <t xml:space="preserve">patrick o'rourke</t>
  </si>
  <si>
    <t xml:space="preserve">Japan's Shinzo Abe scores major victory in national elections https://t.co/TfKBmqmDsg</t>
  </si>
  <si>
    <t xml:space="preserve">Ashford, New South Wales</t>
  </si>
  <si>
    <t xml:space="preserve">dyed in the wool supporter of policies ethics morals of alp, detest abbott and lnp,have very warped sense of the ridiculous</t>
  </si>
  <si>
    <r>
      <rPr>
        <sz val="8"/>
        <rFont val="Droid Sans"/>
        <family val="0"/>
        <charset val="1"/>
      </rPr>
      <t xml:space="preserve">Yulia Yo </t>
    </r>
    <r>
      <rPr>
        <sz val="8"/>
        <rFont val="Noto Sans CJK SC Regular"/>
        <family val="2"/>
      </rPr>
      <t xml:space="preserve">尤</t>
    </r>
  </si>
  <si>
    <t xml:space="preserve">Taipei TAIWAN</t>
  </si>
  <si>
    <r>
      <rPr>
        <sz val="8"/>
        <rFont val="Droid Sans"/>
        <family val="0"/>
        <charset val="1"/>
      </rPr>
      <t xml:space="preserve">Keep Calm and Carry On </t>
    </r>
    <r>
      <rPr>
        <sz val="8"/>
        <rFont val="Noto Sans CJK SC Regular"/>
        <family val="2"/>
      </rPr>
      <t xml:space="preserve">歲月靜好 溫和從容</t>
    </r>
  </si>
  <si>
    <t xml:space="preserve">sayuri</t>
  </si>
  <si>
    <t xml:space="preserve">Navin</t>
  </si>
  <si>
    <t xml:space="preserve">Guwahati, India</t>
  </si>
  <si>
    <t xml:space="preserve">Entrepreneur, Reader, political critic, #NaMo supporter, Dreamer-Vision 2020: A Developed India, #Verified sanghi, #RightWing</t>
  </si>
  <si>
    <t xml:space="preserve">Benjamin Paul</t>
  </si>
  <si>
    <t xml:space="preserve">Tourism, Real Estate &amp; IT Consultant | #travelandtour #news #tech #apps #finance #economy #politics #property #Malaysia</t>
  </si>
  <si>
    <t xml:space="preserve">snake</t>
  </si>
  <si>
    <t xml:space="preserve">puredailynews</t>
  </si>
  <si>
    <t xml:space="preserve">Japan Election Vindicates Shinzo Abe as His Party Wins Big https://t.co/oonKdf9Dnu https://t.co/DcATXXcCSP</t>
  </si>
  <si>
    <t xml:space="preserve">Get latest news on lifestyle, Game predictions, Breaking News, Sports News, politics news, top news stories, Nigeria news</t>
  </si>
  <si>
    <t xml:space="preserve">Inside Story</t>
  </si>
  <si>
    <t xml:space="preserve">A political gamble that paid off. Shinzo Abe's party swept to election victory in Japan</t>
  </si>
  <si>
    <t xml:space="preserve">Dissecting the day's top story - a frank assessment of the latest developments. Watch every day at 17:30 GMT.</t>
  </si>
  <si>
    <t xml:space="preserve">fujiwara june</t>
  </si>
  <si>
    <r>
      <rPr>
        <sz val="8"/>
        <rFont val="Droid Sans"/>
        <family val="0"/>
        <charset val="1"/>
      </rPr>
      <t xml:space="preserve">OSAKA</t>
    </r>
    <r>
      <rPr>
        <sz val="8"/>
        <rFont val="Noto Sans CJK SC Regular"/>
        <family val="2"/>
      </rPr>
      <t xml:space="preserve">、衆院大阪</t>
    </r>
    <r>
      <rPr>
        <sz val="8"/>
        <rFont val="Droid Sans"/>
        <family val="0"/>
        <charset val="1"/>
      </rPr>
      <t xml:space="preserve">9</t>
    </r>
    <r>
      <rPr>
        <sz val="8"/>
        <rFont val="Noto Sans CJK SC Regular"/>
        <family val="2"/>
      </rPr>
      <t xml:space="preserve">区</t>
    </r>
  </si>
  <si>
    <r>
      <rPr>
        <sz val="8"/>
        <rFont val="Droid Sans"/>
        <family val="0"/>
        <charset val="1"/>
      </rPr>
      <t xml:space="preserve">a grad student at the OUJ/ </t>
    </r>
    <r>
      <rPr>
        <sz val="8"/>
        <rFont val="Noto Sans CJK SC Regular"/>
        <family val="2"/>
      </rPr>
      <t xml:space="preserve">大阪府立島本高等学校、近畿大学法学部法律学科卒業</t>
    </r>
    <r>
      <rPr>
        <sz val="8"/>
        <rFont val="Droid Sans"/>
        <family val="0"/>
        <charset val="1"/>
      </rPr>
      <t xml:space="preserve">/ Panasonic Let's note CF-N10, Kindle Fire HDX. iPhone 5S/</t>
    </r>
  </si>
  <si>
    <t xml:space="preserve">Bavz 🇿🇦</t>
  </si>
  <si>
    <t xml:space="preserve">Always on vacation</t>
  </si>
  <si>
    <t xml:space="preserve">TishaCM</t>
  </si>
  <si>
    <t xml:space="preserve">An Accountant. A dreamer, a believer, a lifelong learner. Interests include history, politics, business, travel, nature, culture, arts, music, movies, sports.</t>
  </si>
  <si>
    <t xml:space="preserve">How Japan leader Shinzo Abe's election gamble paid off https://t.co/c6JSPEuoxi https://t.co/o15Klv8Rp0</t>
  </si>
  <si>
    <t xml:space="preserve">Jack Womack</t>
  </si>
  <si>
    <t xml:space="preserve">Author, Papa, Cassandra in perpeteum. I RT as I see fit.</t>
  </si>
  <si>
    <r>
      <rPr>
        <sz val="8"/>
        <rFont val="Noto Sans CJK SC Regular"/>
        <family val="2"/>
      </rPr>
      <t xml:space="preserve">（２）</t>
    </r>
    <r>
      <rPr>
        <sz val="8"/>
        <rFont val="Droid Sans"/>
        <family val="0"/>
        <charset val="1"/>
      </rPr>
      <t xml:space="preserve">From the article of https://t.co/vHpzsQc7KR -Japan’s prime minister, Shinzo Abe, has secured a strong mandate</t>
    </r>
  </si>
  <si>
    <t xml:space="preserve">Sea-Seelam Reddy</t>
  </si>
  <si>
    <t xml:space="preserve">Japan Electis Shinzo Abe as His Party Wins. Very nice to have india Modi China Xi Japan Abe to have stable leaders. https://t.co/quk4gpMWig</t>
  </si>
  <si>
    <t xml:space="preserve">Palo Alto, California USA</t>
  </si>
  <si>
    <t xml:space="preserve">Program manager; Mergers &amp; Acquisitions VMware, Boeing, Hughes, Northrop experience</t>
  </si>
  <si>
    <t xml:space="preserve">Ritobroto Banerjee</t>
  </si>
  <si>
    <t xml:space="preserve">Destroyer of evil..... Right wing extremist. Hard core Hindu. Exaggerated national. Worst nightamre for all others.</t>
  </si>
  <si>
    <t xml:space="preserve">inferiae4542</t>
  </si>
  <si>
    <t xml:space="preserve">Japan's Shinzo Abe conjures stunning election victory in a boost for Donald Trump https://t.co/b1Ckd8ZJFt</t>
  </si>
  <si>
    <t xml:space="preserve">Dakota Territory</t>
  </si>
  <si>
    <t xml:space="preserve">มนุษย์ไร้จุดหมาย</t>
  </si>
  <si>
    <t xml:space="preserve">|Keep5 &amp; 13+2| SuperJunior&amp;TVXQ Kyuhyun Junsu SOJISUB #wonkyu#yoosu</t>
  </si>
  <si>
    <t xml:space="preserve">Ravi Giri</t>
  </si>
  <si>
    <t xml:space="preserve">Interests: Economics, Markets, Law, Agriculture, Current Affairs, History, Sports</t>
  </si>
  <si>
    <t xml:space="preserve">Dee 🎮</t>
  </si>
  <si>
    <t xml:space="preserve">Red Keep</t>
  </si>
  <si>
    <t xml:space="preserve">Application Engineer based overseas with a focus in: #IoT, #M2M, #NFC, #eSIM | Hobbies: #Gaming, #Tech, #Politics | Supports: #PDu30, drug war, PH sovereignty</t>
  </si>
  <si>
    <t xml:space="preserve">What Shinzo Abe’s election win will mean for China-Japan relations https://t.co/WViM5X9mJq</t>
  </si>
  <si>
    <t xml:space="preserve">tipi_1</t>
  </si>
  <si>
    <t xml:space="preserve">RT @BeingGARIFUNA: Hearty Congratulations and Greetings to Japan Prime Minister Abe Shinzo @AbeShinzo on his BIG Election win. https://t.co…</t>
  </si>
  <si>
    <r>
      <rPr>
        <sz val="8"/>
        <rFont val="Droid Sans"/>
        <family val="0"/>
        <charset val="1"/>
      </rPr>
      <t xml:space="preserve">I may murmur English, Swedish or Japanese. Jag pladdrar svenska, engelska eller japanska. </t>
    </r>
    <r>
      <rPr>
        <sz val="8"/>
        <rFont val="Noto Sans CJK SC Regular"/>
        <family val="2"/>
      </rPr>
      <t xml:space="preserve">日本語か英語かスウェーデン語で呟いてます。</t>
    </r>
  </si>
  <si>
    <t xml:space="preserve">Marika Katanuma</t>
  </si>
  <si>
    <t xml:space="preserve">Chiyoda-ku, Tokyo</t>
  </si>
  <si>
    <t xml:space="preserve">@BloombergJapan news editor / Previously @Yahoo_JAPAN_PR &amp; @TOKYObetajp / Opinions are my own</t>
  </si>
  <si>
    <t xml:space="preserve">Adele Momoko Fraser</t>
  </si>
  <si>
    <t xml:space="preserve">22 • Hafu • Intern @SkyNews • MA TV Journalism @CityUniLondon • @BristolUni Bsc Politics&amp;IR Grad • Formerly @EpigramPaper and intern @bbcpointswest</t>
  </si>
  <si>
    <t xml:space="preserve">Japan: exit polls suggest a landslide general election victory for Shinzo Abe’s coalition https://t.co/PlRPR3xRca https://t.co/kT1LkqK9Ja</t>
  </si>
  <si>
    <t xml:space="preserve">IT Jobs Illinois</t>
  </si>
  <si>
    <t xml:space="preserve">Japan Election Vindicates Shinzo Abe as His Party Wins Big - New York Times https://t.co/dJhxWVOuSw https://t.co/NtPF4TTKsS</t>
  </si>
  <si>
    <t xml:space="preserve">✨ New jobs Daily. ✨ Be First to Apply for the very latest Jobs. Tweeting Jobs from ★ http://t.co/nuXGgdViHO ★ #1 Most Popular Tech Job Site. #job #Jobs #hiring</t>
  </si>
  <si>
    <t xml:space="preserve">Asian Correspondent</t>
  </si>
  <si>
    <t xml:space="preserve">Japan: 4 things to expect following Shinzo Abe’s landslide victory https://t.co/zSt9lgfkap @EmmaRichards85… https://t.co/eTrHVZQLdv</t>
  </si>
  <si>
    <t xml:space="preserve">Kuala Lumpur City</t>
  </si>
  <si>
    <t xml:space="preserve">Independent Asia news covering regional Politics, Business, Technology, Environment &amp; Asian Culture issues from the Asia Pacific region. English-language based.</t>
  </si>
  <si>
    <t xml:space="preserve">Viral Snoop</t>
  </si>
  <si>
    <t xml:space="preserve">(JAPAN POLITICS: Shinzo Abe to Push Pacifist Constitution Reform After Strong Election Win) has been published on - https://t.co/tHCWxsJ1gh</t>
  </si>
  <si>
    <t xml:space="preserve">Viral Snoop Auto Posting </t>
  </si>
  <si>
    <t xml:space="preserve">Los a</t>
  </si>
  <si>
    <t xml:space="preserve">Viral Snoop is a news and media agency that brings you the latest and breaking news from around the globe. Follow us today!</t>
  </si>
  <si>
    <t xml:space="preserve">Pere Cantí</t>
  </si>
  <si>
    <t xml:space="preserve">Catalunya</t>
  </si>
  <si>
    <t xml:space="preserve">Abe to push reform of #Japan's pacifist ... - #ClipTrends #VideoTrends #Ne #Abenomics #Prime_Minister #Shinzo_Abe… https://t.co/hf2UWdYKDL</t>
  </si>
  <si>
    <t xml:space="preserve">Forest</t>
  </si>
  <si>
    <t xml:space="preserve">RT @bpolitics: How Japan leader Shinzo Abe's election gamble paid off https://t.co/c6JSPEuoxi https://t.co/o15Klv8Rp0</t>
  </si>
  <si>
    <t xml:space="preserve">AdmiralRoadCapital</t>
  </si>
  <si>
    <t xml:space="preserve">With a landslide win, Shinzo Abe could be ready to rewrite Japan's pacifist constitution https://t.co/oNcuKUJKqN</t>
  </si>
  <si>
    <t xml:space="preserve">Greater NYC</t>
  </si>
  <si>
    <t xml:space="preserve">Husband,Dad,Grandfather, US Navy late 60's early 70's,Vietnam Vet, 38yr Market Investor ,Old Books, Art, 60'sMusic, Beatles, Food, Politics, NYMETS,,,No Regrets</t>
  </si>
  <si>
    <t xml:space="preserve">安倍自民党で国難突破</t>
  </si>
  <si>
    <r>
      <rPr>
        <sz val="8"/>
        <rFont val="Noto Sans CJK SC Regular"/>
        <family val="2"/>
      </rPr>
      <t xml:space="preserve">事実を報道しない偏向メディアは日本の癌だと思います。安倍総理、頑張れ！最近、東北にハマってます。リツイート多めなのは拡散目的。報道しない自由はネットでは通用しないよ。フォローありがとうございます。</t>
    </r>
    <r>
      <rPr>
        <sz val="8"/>
        <rFont val="Droid Sans"/>
        <family val="0"/>
        <charset val="1"/>
      </rPr>
      <t xml:space="preserve">JNSC</t>
    </r>
    <r>
      <rPr>
        <sz val="8"/>
        <rFont val="Noto Sans CJK SC Regular"/>
        <family val="2"/>
      </rPr>
      <t xml:space="preserve">会員。</t>
    </r>
  </si>
  <si>
    <t xml:space="preserve">Zum Oui</t>
  </si>
  <si>
    <t xml:space="preserve">MotherLand</t>
  </si>
  <si>
    <t xml:space="preserve">Now this is not the end. It is not even the beginning of the end. But it is, perhaps, the end of the beginning. #MyTweetWorld #1luv #BeU #I_Care</t>
  </si>
  <si>
    <t xml:space="preserve">Boston NewsChannel</t>
  </si>
  <si>
    <t xml:space="preserve">Boston News Japan's Shinzo Abe conjures stunning election victory in a boost for Donald Trump… https://t.co/4GpnuuzZj6</t>
  </si>
  <si>
    <t xml:space="preserve">Updated Boston news,sports, weather,entertainment,politics and business information.</t>
  </si>
  <si>
    <t xml:space="preserve">brillia</t>
  </si>
  <si>
    <t xml:space="preserve">Kaunas, Lietuva</t>
  </si>
  <si>
    <r>
      <rPr>
        <sz val="8"/>
        <rFont val="Noto Sans CJK SC Regular"/>
        <family val="2"/>
      </rPr>
      <t xml:space="preserve">とにかく音楽が好き</t>
    </r>
    <r>
      <rPr>
        <sz val="8"/>
        <rFont val="Droid Sans"/>
        <family val="0"/>
        <charset val="1"/>
      </rPr>
      <t xml:space="preserve">! CHEMISTRY/Stevie Wonder/MONDO GROSSO/</t>
    </r>
    <r>
      <rPr>
        <sz val="8"/>
        <rFont val="Noto Sans CJK SC Regular"/>
        <family val="2"/>
      </rPr>
      <t xml:space="preserve">作詞</t>
    </r>
    <r>
      <rPr>
        <sz val="8"/>
        <rFont val="Droid Sans"/>
        <family val="0"/>
        <charset val="1"/>
      </rPr>
      <t xml:space="preserve">/</t>
    </r>
    <r>
      <rPr>
        <sz val="8"/>
        <rFont val="Noto Sans CJK SC Regular"/>
        <family val="2"/>
      </rPr>
      <t xml:space="preserve">作曲</t>
    </r>
    <r>
      <rPr>
        <sz val="8"/>
        <rFont val="Droid Sans"/>
        <family val="0"/>
        <charset val="1"/>
      </rPr>
      <t xml:space="preserve">/</t>
    </r>
    <r>
      <rPr>
        <sz val="8"/>
        <rFont val="Noto Sans CJK SC Regular"/>
        <family val="2"/>
      </rPr>
      <t xml:space="preserve">編曲</t>
    </r>
    <r>
      <rPr>
        <sz val="8"/>
        <rFont val="Droid Sans"/>
        <family val="0"/>
        <charset val="1"/>
      </rPr>
      <t xml:space="preserve">/</t>
    </r>
    <r>
      <rPr>
        <sz val="8"/>
        <rFont val="Noto Sans CJK SC Regular"/>
        <family val="2"/>
      </rPr>
      <t xml:space="preserve">リトアニア留学中🇱🇹</t>
    </r>
    <r>
      <rPr>
        <sz val="8"/>
        <rFont val="Droid Sans"/>
        <family val="0"/>
        <charset val="1"/>
      </rPr>
      <t xml:space="preserve">/</t>
    </r>
    <r>
      <rPr>
        <sz val="8"/>
        <rFont val="Noto Sans CJK SC Regular"/>
        <family val="2"/>
      </rPr>
      <t xml:space="preserve">秋田</t>
    </r>
    <r>
      <rPr>
        <sz val="8"/>
        <rFont val="Droid Sans"/>
        <family val="0"/>
        <charset val="1"/>
      </rPr>
      <t xml:space="preserve">/</t>
    </r>
    <r>
      <rPr>
        <sz val="8"/>
        <rFont val="Noto Sans CJK SC Regular"/>
        <family val="2"/>
      </rPr>
      <t xml:space="preserve">国際教養大</t>
    </r>
    <r>
      <rPr>
        <sz val="8"/>
        <rFont val="Droid Sans"/>
        <family val="0"/>
        <charset val="1"/>
      </rPr>
      <t xml:space="preserve">12</t>
    </r>
    <r>
      <rPr>
        <sz val="8"/>
        <rFont val="Noto Sans CJK SC Regular"/>
        <family val="2"/>
      </rPr>
      <t xml:space="preserve">期</t>
    </r>
    <r>
      <rPr>
        <sz val="8"/>
        <rFont val="Droid Sans"/>
        <family val="0"/>
        <charset val="1"/>
      </rPr>
      <t xml:space="preserve">/21</t>
    </r>
    <r>
      <rPr>
        <sz val="8"/>
        <rFont val="Noto Sans CJK SC Regular"/>
        <family val="2"/>
      </rPr>
      <t xml:space="preserve">歳</t>
    </r>
    <r>
      <rPr>
        <sz val="8"/>
        <rFont val="Droid Sans"/>
        <family val="0"/>
        <charset val="1"/>
      </rPr>
      <t xml:space="preserve">/</t>
    </r>
    <r>
      <rPr>
        <sz val="8"/>
        <rFont val="Noto Sans CJK SC Regular"/>
        <family val="2"/>
      </rPr>
      <t xml:space="preserve">燕⚾ ▶️</t>
    </r>
    <r>
      <rPr>
        <sz val="8"/>
        <rFont val="Droid Sans"/>
        <family val="0"/>
        <charset val="1"/>
      </rPr>
      <t xml:space="preserve">https://t.co/ZNPIUlpycM</t>
    </r>
  </si>
  <si>
    <t xml:space="preserve">Royal London AM</t>
  </si>
  <si>
    <t xml:space="preserve">Abe wins Japanese election, setting himself up to become Japan's longest serving PM: Hiroki Hashimoto comments… https://t.co/StrK6clbcC</t>
  </si>
  <si>
    <t xml:space="preserve">55 Gracechurch St, London EC3</t>
  </si>
  <si>
    <t xml:space="preserve">A leading asset manager investing in equities, bonds, property &amp; cash on behalf of institutional &amp; wholesale clients. For investment professionals only.</t>
  </si>
  <si>
    <t xml:space="preserve">Shinzo abe on track for comfortable victory in japan's snap election: https://t.co/2dehTUJ3Rv qua @YouTube</t>
  </si>
  <si>
    <t xml:space="preserve">A vote of confidence by default - https://t.co/Lm0IL2fPcL Prime Minister Shinzo Abe should not take the election outcome as an unqualifie...</t>
  </si>
  <si>
    <t xml:space="preserve">Ajith Kumar</t>
  </si>
  <si>
    <t xml:space="preserve">nimrodog</t>
  </si>
  <si>
    <t xml:space="preserve">European - Pro Democracy - Anti EU International Trader (rtd) Interests: Oil Gas Rare Earth Metal Solar Hydrogen Economy Molten Salts Reactors Coal Bed Methane</t>
  </si>
  <si>
    <t xml:space="preserve">Sriram</t>
  </si>
  <si>
    <t xml:space="preserve">RTs not endorsements</t>
  </si>
  <si>
    <t xml:space="preserve">Valeria Pérez</t>
  </si>
  <si>
    <t xml:space="preserve">David Thomas Sutton</t>
  </si>
  <si>
    <t xml:space="preserve">Monday October 23 - Morning Update: Shinzo Abe’s ruling coalition scored big in Japan’s election Via @globeandmail https://t.co/wX9ipO4t1a</t>
  </si>
  <si>
    <t xml:space="preserve">Born &amp; raised in Sault Ste. Marie, Michigan; graduated from Sault High School; attended Lake Superior State University &amp; Cuyahoga Community College. . .</t>
  </si>
  <si>
    <t xml:space="preserve">राघव</t>
  </si>
  <si>
    <t xml:space="preserve">जयपुर, भारत</t>
  </si>
  <si>
    <t xml:space="preserve">सच्चा भारतीय। watching every sickular n libtard. You Abuse get abused. simple👍</t>
  </si>
  <si>
    <t xml:space="preserve">The Korea Times</t>
  </si>
  <si>
    <t xml:space="preserve">A big victory by Shinzo Abe's Liberal Democratic Party-led coalition in Japan's snap election is casting clouds... https://t.co/5k0K0cVORa</t>
  </si>
  <si>
    <r>
      <rPr>
        <sz val="8"/>
        <rFont val="Noto Sans CJK SC Regular"/>
        <family val="2"/>
      </rPr>
      <t xml:space="preserve">코리아타임스</t>
    </r>
    <r>
      <rPr>
        <sz val="8"/>
        <rFont val="Droid Sans"/>
        <family val="0"/>
        <charset val="1"/>
      </rPr>
      <t xml:space="preserve">- Since 1950 Korea's First English Daily, Korea's Global Daily. Tweeting from KT towers &amp; beyond!</t>
    </r>
  </si>
  <si>
    <t xml:space="preserve">ArjunOndkar</t>
  </si>
  <si>
    <t xml:space="preserve">Only ppl can change POLITICS &amp; COUNTRY. It'll change when WE start politics. Soldier Never Quits Till He Is Dead, I am Hindu but country first.</t>
  </si>
  <si>
    <t xml:space="preserve">Moments UK &amp; Ireland</t>
  </si>
  <si>
    <t xml:space="preserve">The best of what’s happening on Twitter in an instant.</t>
  </si>
  <si>
    <t xml:space="preserve">Moments Australia</t>
  </si>
  <si>
    <t xml:space="preserve">Twitter Moments</t>
  </si>
  <si>
    <t xml:space="preserve">Moments Canada</t>
  </si>
  <si>
    <t xml:space="preserve">भारत माता की जय🇮🇳</t>
  </si>
  <si>
    <t xml:space="preserve">!!! हिदुस्तान !!!</t>
  </si>
  <si>
    <t xml:space="preserve">जय श्री राम</t>
  </si>
  <si>
    <t xml:space="preserve">NiraMaya</t>
  </si>
  <si>
    <t xml:space="preserve">X_Belbar</t>
  </si>
  <si>
    <t xml:space="preserve">Shinzo Abe secures strong mandate in Japan's general election https://t.co/VqzvLsQNgQ</t>
  </si>
  <si>
    <t xml:space="preserve">Androide veterano de la Red Ribbon Army. Si no hay tebeos, no es mi revolución.</t>
  </si>
  <si>
    <t xml:space="preserve">Nikhilesh</t>
  </si>
  <si>
    <t xml:space="preserve">Kenya </t>
  </si>
  <si>
    <t xml:space="preserve">All is well .</t>
  </si>
  <si>
    <t xml:space="preserve">Bam</t>
  </si>
  <si>
    <t xml:space="preserve">RT @FukPOTUS45: Japanese prime minister coasting to election win - TOKYO — Japan’s ruling coalition appeared headed to an impre... https://…</t>
  </si>
  <si>
    <t xml:space="preserve">Human from Earth, female</t>
  </si>
  <si>
    <t xml:space="preserve">Where'd I put my cyanide?</t>
  </si>
  <si>
    <t xml:space="preserve">Turfline/Trading</t>
  </si>
  <si>
    <t xml:space="preserve">England</t>
  </si>
  <si>
    <t xml:space="preserve">B</t>
  </si>
  <si>
    <t xml:space="preserve">Ex-aviator | Ex-Mil-spec std. designer | Adventurer | Foodie | Swifting through data for a living</t>
  </si>
  <si>
    <t xml:space="preserve">Late Night Watch</t>
  </si>
  <si>
    <t xml:space="preserve">Big election win for Japan's Shinzo Abe may mean end of pacifism https://t.co/K55i2cCyLl</t>
  </si>
  <si>
    <t xml:space="preserve">Keeping an eye on the Biblical Prophetic Horizon</t>
  </si>
  <si>
    <t xml:space="preserve">Deepak R. Samal</t>
  </si>
  <si>
    <t xml:space="preserve">Jambudeep, Bharatvarsh</t>
  </si>
  <si>
    <t xml:space="preserve">Follower of Sanatan Dharma. Sanatan i.e. eternal, true at all times. Believe in the teachings of The Vedas, The Upanishads, Shrimad Bhagvad Gita</t>
  </si>
  <si>
    <t xml:space="preserve">Emeka</t>
  </si>
  <si>
    <t xml:space="preserve">A broadcaster and a media buff. I'm a FREE spirit.HUMANISM is my religion. Arsenal FC lover!</t>
  </si>
  <si>
    <t xml:space="preserve">spoopy sierra🦇</t>
  </si>
  <si>
    <t xml:space="preserve">Poonam</t>
  </si>
  <si>
    <t xml:space="preserve">Houston Recruiter</t>
  </si>
  <si>
    <t xml:space="preserve">Japan Election Vindicates Shinzo Abe as His Party Wins Big - New York Times https://t.co/8x6ozpHanh https://t.co/AiKp32is9R</t>
  </si>
  <si>
    <t xml:space="preserve">Hiring, posting job opportunities. Open networker #Recruiter. #Recruitment‬ |#Recruiters‬ | #Headhunter‬ | #Hiring‬ | #Jobs‬ | #IT‬ | #HR‬</t>
  </si>
  <si>
    <t xml:space="preserve">LIBERAL COMEDY: Japan's Abe just won a 2/3 election victory, but according to FAKE NEWS polls he's still unpopular… https://t.co/aBGCelK7Ci</t>
  </si>
  <si>
    <t xml:space="preserve">RAMAN</t>
  </si>
  <si>
    <t xml:space="preserve">Director, Third Way Foundation,Political analyst with nationalist view.</t>
  </si>
  <si>
    <t xml:space="preserve">Gene</t>
  </si>
  <si>
    <t xml:space="preserve">What Shinzo Abe’s election win will mean for China-Japan relations httpst.coWViM5X9mJq Favorite tweet: What Shinz… https://t.co/cAINKmUSZK</t>
  </si>
  <si>
    <t xml:space="preserve">China</t>
  </si>
  <si>
    <t xml:space="preserve">推特看新闻</t>
  </si>
  <si>
    <t xml:space="preserve">Guru ಗುರು गुरु</t>
  </si>
  <si>
    <t xml:space="preserve">Bharata Varshe, Bharata Khande</t>
  </si>
  <si>
    <t xml:space="preserve">RoyalEnfield(Bullet) Rider. Bharatiya, Nationalist, Sanskrit learner, Wannabe Indologist. I Tweet &amp; RT on topics that inspire &amp; move me. RTs != Endorsements.</t>
  </si>
  <si>
    <t xml:space="preserve">RMC Blog</t>
  </si>
  <si>
    <t xml:space="preserve">Japan Election Vindicates Shinzo Abe as His Party Wins Big https://t.co/CoD5s8tCT9</t>
  </si>
  <si>
    <t xml:space="preserve">Jersey Girl via PA via Cali</t>
  </si>
  <si>
    <t xml:space="preserve">Publicist, Educator, Public Relations butterfly. Newsroom &amp; Communications Specialist dabbling in Politics and Entertainment rt not necessarily endorsement</t>
  </si>
  <si>
    <t xml:space="preserve">Frank Gardner</t>
  </si>
  <si>
    <t xml:space="preserve">Maybe the First strike against North Korea will not be the US https://t.co/ZXp5v4P7jj</t>
  </si>
  <si>
    <t xml:space="preserve">I enjoy helping people grow their business, and knowing that I have personally had a part in an individuals success.</t>
  </si>
  <si>
    <t xml:space="preserve">anarcho</t>
  </si>
  <si>
    <t xml:space="preserve">Shinzo Abe secures strong mandate in Japan's general election https://t.co/xC0ZZqUV7s</t>
  </si>
  <si>
    <t xml:space="preserve">People's Advisor</t>
  </si>
  <si>
    <t xml:space="preserve">Vicky Agarwal</t>
  </si>
  <si>
    <t xml:space="preserve">BJP Yuva Morcha Followed by @PiyushGoyaloffc @vijaypalbjp @mp_rekha @davepeck .I support my PM @narendramodi .</t>
  </si>
  <si>
    <t xml:space="preserve">Mr.Comet</t>
  </si>
  <si>
    <t xml:space="preserve">South Asia</t>
  </si>
  <si>
    <t xml:space="preserve">I bookmark tweets with [like]. I retweet and explain to no-one for it. I follow/unfollow anytime with no obligation expected. Hate Missionaries and Jihad cults</t>
  </si>
  <si>
    <t xml:space="preserve">立てよ国民！</t>
  </si>
  <si>
    <t xml:space="preserve">日本が大好き</t>
  </si>
  <si>
    <t xml:space="preserve">Trendr</t>
  </si>
  <si>
    <t xml:space="preserve">Japan’s Shinzo Abe Conjures Stunning Election Victory in a Boost for Donald Trump https://t.co/HFL8yUKzeY</t>
  </si>
  <si>
    <t xml:space="preserve">Just Trending News. Simple 🇺🇸</t>
  </si>
  <si>
    <t xml:space="preserve">Jarpum Gamlin</t>
  </si>
  <si>
    <t xml:space="preserve">RT @EasternSentinel: Japan’s Shinzo Abe wins big in national election;PM Modi congratulated him &amp; said “Look forward to further strengthen…</t>
  </si>
  <si>
    <t xml:space="preserve">Alumnus of #SRCC,Delhi University &amp; #XLRI,Jamshedpur</t>
  </si>
  <si>
    <t xml:space="preserve">Involution</t>
  </si>
  <si>
    <t xml:space="preserve">“@bpolitics: How Japan leader Shinzo Abe's election gamble paid off https://t.co/lgpSCoBsPN https://t.co/kBXFOyFcpQ”</t>
  </si>
  <si>
    <t xml:space="preserve">The Voting News</t>
  </si>
  <si>
    <t xml:space="preserve">Shinzo Abe secures strong mandate in Japan's general election | The Guardian https://t.co/uJgPUcRmNz</t>
  </si>
  <si>
    <t xml:space="preserve">TVNWP2T</t>
  </si>
  <si>
    <t xml:space="preserve">Linking to news about election integrity issues in the US and around the world. We are a service of @VerifiedVoting</t>
  </si>
  <si>
    <t xml:space="preserve">Maureen</t>
  </si>
  <si>
    <t xml:space="preserve">RIVERINA. NSW. AUSTRALIA. </t>
  </si>
  <si>
    <t xml:space="preserve">"Attitude is a little thing that makes a big difference.” Gemini.Conservative Rural.No time fools.Laughter.Sense humour. Family.Recently retired.18yrs insurance</t>
  </si>
  <si>
    <t xml:space="preserve">Daily Mail Online</t>
  </si>
  <si>
    <t xml:space="preserve">Shinzo Abe’s comfortable win in Japan's election lifts shares https://t.co/QnV6UAQk1M</t>
  </si>
  <si>
    <t xml:space="preserve">Top stories from the Daily Mail. We're also on Facebook: https://t.co/hD0PyZHS4Z #seriouslypopular</t>
  </si>
  <si>
    <t xml:space="preserve">momo noki</t>
  </si>
  <si>
    <t xml:space="preserve">原発は「弱者踏みつけ社会」の象徴！ 泥にまみれて遊び、美味しいものを全身で味わう、自然の恵みを安心して受けられる世の中を取り戻したい。子供達の本来の権利である未来と健康と幸せを守りたい。今こそ、大人が覚悟を決めて闘わなくては！</t>
  </si>
  <si>
    <t xml:space="preserve">James Layne 🇬🇧</t>
  </si>
  <si>
    <t xml:space="preserve">RT @MailOnline: Shinzo Abe’s comfortable win in Japan's election lifts shares https://t.co/QnV6UAQk1M</t>
  </si>
  <si>
    <t xml:space="preserve">York, England</t>
  </si>
  <si>
    <t xml:space="preserve">Generation Identity England, York. Britain is dead. We NEED a cultural renaissance. Clean your room, Slay the dragon, Take the treasure. Pro Gun UK #Deplorable</t>
  </si>
  <si>
    <t xml:space="preserve">Abwooli</t>
  </si>
  <si>
    <t xml:space="preserve">Fort Portal, Uganda</t>
  </si>
  <si>
    <t xml:space="preserve">I ride on love and kindness, the world needs it</t>
  </si>
  <si>
    <t xml:space="preserve">Toto</t>
  </si>
  <si>
    <t xml:space="preserve">Tanzania</t>
  </si>
  <si>
    <t xml:space="preserve">Certified FXTrader,Banker. All twits are my own views! (RTs = Read This &amp; Likes are not = to endorsement)</t>
  </si>
  <si>
    <t xml:space="preserve">Cecile Tamura</t>
  </si>
  <si>
    <t xml:space="preserve">Pres. &amp; CEO Okasaki Tech Holdings, Managing Dir Airily Corp., Country Dir MakeItMedia, talks innovation, entrepreneurship, giftedness, tech, food, fashion</t>
  </si>
  <si>
    <t xml:space="preserve">Noa</t>
  </si>
  <si>
    <t xml:space="preserve">Incognito</t>
  </si>
  <si>
    <t xml:space="preserve">I dont endorse websites, only cite sources Pledge Allegiance to Republic of USA not the mess it has become Reinstate Constitution as writen not living doc crap</t>
  </si>
  <si>
    <t xml:space="preserve">After election win, Abe prioritizes North Korea, aging Japan - Chicago Tribune &lt; https://t.co/tTuOFfjRE5</t>
  </si>
  <si>
    <t xml:space="preserve">Will #Japan's PM Shinzo Abe change the pacifist constitution after his decisive election win? @bevvo14 asks… https://t.co/DWp26dA34r</t>
  </si>
  <si>
    <t xml:space="preserve">Stephen Robert Nagy</t>
  </si>
  <si>
    <t xml:space="preserve">RT @abcnews: Will #Japan's PM Shinzo Abe change the pacifist constitution after his decisive election win? @bevvo14 asks @nagystephen1 #ABC…</t>
  </si>
  <si>
    <t xml:space="preserve">Senior Associate Professor,International Christian University, Department of Politics and International Studies</t>
  </si>
  <si>
    <t xml:space="preserve">Mehedi Hasan Heron</t>
  </si>
  <si>
    <t xml:space="preserve">MailOnline : Shinzo Abe’s comfortable win in Japan's election lifts shares https://t.co/XbqSgVcVOz (via Twitter… https://t.co/ghExNAmSMc</t>
  </si>
  <si>
    <t xml:space="preserve">domingo ruiz</t>
  </si>
  <si>
    <t xml:space="preserve">Capridude</t>
  </si>
  <si>
    <t xml:space="preserve">Come lets face the reality.</t>
  </si>
  <si>
    <t xml:space="preserve">Tetsuaki M</t>
  </si>
  <si>
    <t xml:space="preserve">Hawkish Koike split the Democrats and helped hawkish Abe win. But in total the opposition parties also gained seats. https://t.co/vHmzrKIImx</t>
  </si>
  <si>
    <t xml:space="preserve">Yokohama</t>
  </si>
  <si>
    <r>
      <rPr>
        <sz val="8"/>
        <rFont val="Noto Sans CJK SC Regular"/>
        <family val="2"/>
      </rPr>
      <t xml:space="preserve">最近気になるのは </t>
    </r>
    <r>
      <rPr>
        <sz val="8"/>
        <rFont val="Droid Sans"/>
        <family val="0"/>
        <charset val="1"/>
      </rPr>
      <t xml:space="preserve">#</t>
    </r>
    <r>
      <rPr>
        <sz val="8"/>
        <rFont val="Noto Sans CJK SC Regular"/>
        <family val="2"/>
      </rPr>
      <t xml:space="preserve">中学校給食 </t>
    </r>
    <r>
      <rPr>
        <sz val="8"/>
        <rFont val="Droid Sans"/>
        <family val="0"/>
        <charset val="1"/>
      </rPr>
      <t xml:space="preserve">#</t>
    </r>
    <r>
      <rPr>
        <sz val="8"/>
        <rFont val="Noto Sans CJK SC Regular"/>
        <family val="2"/>
      </rPr>
      <t xml:space="preserve">核兵器禁止条約 </t>
    </r>
    <r>
      <rPr>
        <sz val="8"/>
        <rFont val="Droid Sans"/>
        <family val="0"/>
        <charset val="1"/>
      </rPr>
      <t xml:space="preserve">#</t>
    </r>
    <r>
      <rPr>
        <sz val="8"/>
        <rFont val="Noto Sans CJK SC Regular"/>
        <family val="2"/>
      </rPr>
      <t xml:space="preserve">総選挙 </t>
    </r>
    <r>
      <rPr>
        <sz val="8"/>
        <rFont val="Droid Sans"/>
        <family val="0"/>
        <charset val="1"/>
      </rPr>
      <t xml:space="preserve">#</t>
    </r>
    <r>
      <rPr>
        <sz val="8"/>
        <rFont val="Noto Sans CJK SC Regular"/>
        <family val="2"/>
      </rPr>
      <t xml:space="preserve">比例は共産党</t>
    </r>
  </si>
  <si>
    <t xml:space="preserve">luckdragon</t>
  </si>
  <si>
    <t xml:space="preserve">with compliments from the esteemed ancient house of the flying luck pigs</t>
  </si>
  <si>
    <t xml:space="preserve">@monitor_sur #LookingForNews &gt;&amp;gt;&amp;gt; TWITTER MOMENTS How Japan leader Shinzo Abe's election gamble paid off... https://t.co/6dz4RdWGb1</t>
  </si>
  <si>
    <t xml:space="preserve">のしか</t>
  </si>
  <si>
    <t xml:space="preserve">日本海</t>
  </si>
  <si>
    <r>
      <rPr>
        <sz val="8"/>
        <rFont val="Noto Sans CJK SC Regular"/>
        <family val="2"/>
      </rPr>
      <t xml:space="preserve">日本海に住んでます。たま～ぁに色々な島に渡ります。反日企業製品不買運動コツコツ実行中。梨桃蜜柑の国から国へ。資格取得に向け休眠中です。ほぼリツイートのみです。 </t>
    </r>
    <r>
      <rPr>
        <sz val="8"/>
        <rFont val="Droid Sans"/>
        <family val="0"/>
        <charset val="1"/>
      </rPr>
      <t xml:space="preserve">#</t>
    </r>
    <r>
      <rPr>
        <sz val="8"/>
        <rFont val="Noto Sans CJK SC Regular"/>
        <family val="2"/>
      </rPr>
      <t xml:space="preserve">赤尾敏</t>
    </r>
    <r>
      <rPr>
        <sz val="8"/>
        <rFont val="Droid Sans"/>
        <family val="0"/>
        <charset val="1"/>
      </rPr>
      <t xml:space="preserve">#</t>
    </r>
    <r>
      <rPr>
        <sz val="8"/>
        <rFont val="Noto Sans CJK SC Regular"/>
        <family val="2"/>
      </rPr>
      <t xml:space="preserve">憲法改正</t>
    </r>
    <r>
      <rPr>
        <sz val="8"/>
        <rFont val="Droid Sans"/>
        <family val="0"/>
        <charset val="1"/>
      </rPr>
      <t xml:space="preserve">#</t>
    </r>
    <r>
      <rPr>
        <sz val="8"/>
        <rFont val="Noto Sans CJK SC Regular"/>
        <family val="2"/>
      </rPr>
      <t xml:space="preserve">拉致被害者全員奪還</t>
    </r>
    <r>
      <rPr>
        <sz val="8"/>
        <rFont val="Droid Sans"/>
        <family val="0"/>
        <charset val="1"/>
      </rPr>
      <t xml:space="preserve">#</t>
    </r>
    <r>
      <rPr>
        <sz val="8"/>
        <rFont val="Noto Sans CJK SC Regular"/>
        <family val="2"/>
      </rPr>
      <t xml:space="preserve">日韓トンネル絶対反対</t>
    </r>
    <r>
      <rPr>
        <sz val="8"/>
        <rFont val="Droid Sans"/>
        <family val="0"/>
        <charset val="1"/>
      </rPr>
      <t xml:space="preserve">#</t>
    </r>
    <r>
      <rPr>
        <sz val="8"/>
        <rFont val="Noto Sans CJK SC Regular"/>
        <family val="2"/>
      </rPr>
      <t xml:space="preserve">安倍総理応援団</t>
    </r>
    <r>
      <rPr>
        <sz val="8"/>
        <rFont val="Droid Sans"/>
        <family val="0"/>
        <charset val="1"/>
      </rPr>
      <t xml:space="preserve">#</t>
    </r>
    <r>
      <rPr>
        <sz val="8"/>
        <rFont val="Noto Sans CJK SC Regular"/>
        <family val="2"/>
      </rPr>
      <t xml:space="preserve">日本のこころ</t>
    </r>
    <r>
      <rPr>
        <sz val="8"/>
        <rFont val="Droid Sans"/>
        <family val="0"/>
        <charset val="1"/>
      </rPr>
      <t xml:space="preserve">#</t>
    </r>
    <r>
      <rPr>
        <sz val="8"/>
        <rFont val="Noto Sans CJK SC Regular"/>
        <family val="2"/>
      </rPr>
      <t xml:space="preserve">日本第一党</t>
    </r>
    <r>
      <rPr>
        <sz val="8"/>
        <rFont val="Droid Sans"/>
        <family val="0"/>
        <charset val="1"/>
      </rPr>
      <t xml:space="preserve">#</t>
    </r>
    <r>
      <rPr>
        <sz val="8"/>
        <rFont val="Noto Sans CJK SC Regular"/>
        <family val="2"/>
      </rPr>
      <t xml:space="preserve">勢</t>
    </r>
    <r>
      <rPr>
        <sz val="8"/>
        <rFont val="Droid Sans"/>
        <family val="0"/>
        <charset val="1"/>
      </rPr>
      <t xml:space="preserve">#</t>
    </r>
    <r>
      <rPr>
        <sz val="8"/>
        <rFont val="Noto Sans CJK SC Regular"/>
        <family val="2"/>
      </rPr>
      <t xml:space="preserve">錦木</t>
    </r>
  </si>
  <si>
    <t xml:space="preserve">Charlie Hebdo</t>
  </si>
  <si>
    <t xml:space="preserve">;-) RTs are not endorsements.</t>
  </si>
  <si>
    <t xml:space="preserve">Ginny Balfour</t>
  </si>
  <si>
    <t xml:space="preserve">Sit. Feast on your life. Give me the liberty to know to utter &amp; to argue freely according to conscience above all liberties. #Loki #ThorRagnarok #Sens #Retired</t>
  </si>
  <si>
    <t xml:space="preserve">John Brewer</t>
  </si>
  <si>
    <t xml:space="preserve">Japan Election Vindicates Shinzo Abe as His Party Wins Big https://t.co/tAhYSRk450</t>
  </si>
  <si>
    <t xml:space="preserve">Newfane, NY 14108 USA</t>
  </si>
  <si>
    <t xml:space="preserve">Retired Engineer and Manufacturing Manager, Computer Geek, Author, Family Man, Foodie, and All Around Fun Guy.</t>
  </si>
  <si>
    <t xml:space="preserve">RT @SCMP_News: What Shinzo Abe’s election win will mean for China-Japan relations https://t.co/WViM5X9mJq</t>
  </si>
  <si>
    <t xml:space="preserve">abcnews: Will #Japan's PM Shinzo Abe change the pacifist constitution after his decisive election win? bevvo14 ask… https://t.co/MF3Ytf3WpV</t>
  </si>
  <si>
    <t xml:space="preserve">norma</t>
  </si>
  <si>
    <t xml:space="preserve">tokyo japan</t>
  </si>
  <si>
    <r>
      <rPr>
        <sz val="8"/>
        <rFont val="Noto Sans CJK SC Regular"/>
        <family val="2"/>
      </rPr>
      <t xml:space="preserve">不慣れですが宜しくお願いします。保守派の方のみフォロー歓迎しています。 日台友好 </t>
    </r>
    <r>
      <rPr>
        <sz val="8"/>
        <rFont val="Droid Sans"/>
        <family val="0"/>
        <charset val="1"/>
      </rPr>
      <t xml:space="preserve">Free Tibet #</t>
    </r>
    <r>
      <rPr>
        <sz val="8"/>
        <rFont val="Noto Sans CJK SC Regular"/>
        <family val="2"/>
      </rPr>
      <t xml:space="preserve">八重桜の会 Ｊ</t>
    </r>
    <r>
      <rPr>
        <sz val="8"/>
        <rFont val="Droid Sans"/>
        <family val="0"/>
        <charset val="1"/>
      </rPr>
      <t xml:space="preserve">-NSC</t>
    </r>
    <r>
      <rPr>
        <sz val="8"/>
        <rFont val="Noto Sans CJK SC Regular"/>
        <family val="2"/>
      </rPr>
      <t xml:space="preserve">会員</t>
    </r>
  </si>
  <si>
    <t xml:space="preserve">wσfα qwαвєnα 🇬🇭</t>
  </si>
  <si>
    <t xml:space="preserve">Gold Coast Ghana </t>
  </si>
  <si>
    <t xml:space="preserve">It Cost $0 dollars and 0 cents to be 100% Real... Real recognize Real 👤 #RrR #Double_Tap Double ➿ Trouble #BlessUp🙌🙌 #PEACE ✌ #LifeAndLesson</t>
  </si>
  <si>
    <t xml:space="preserve">N'Pal</t>
  </si>
  <si>
    <t xml:space="preserve">Jaipur </t>
  </si>
  <si>
    <t xml:space="preserve">Business Analyst, Writer and Educationist,@tweets r personal opinions, RT are not enforcement or endorsement</t>
  </si>
  <si>
    <t xml:space="preserve">Dhaval Gandhi 🇮🇳</t>
  </si>
  <si>
    <t xml:space="preserve">India, Bombay</t>
  </si>
  <si>
    <t xml:space="preserve">Engineer Director Investor Traveler and Dreamer</t>
  </si>
  <si>
    <t xml:space="preserve">After election win, Abe prioritizes North Korea, aging Japan - Chicago Tribune &lt; https://t.co/0nGNLEmXF8</t>
  </si>
  <si>
    <t xml:space="preserve">OccuWorld ❌</t>
  </si>
  <si>
    <t xml:space="preserve">After election win, Abe prioritizes North Korea, aging Japan – Chicago Tribune https://t.co/h3tKqokoQV</t>
  </si>
  <si>
    <t xml:space="preserve">OccuWorld</t>
  </si>
  <si>
    <t xml:space="preserve">Truth Locating Engine. Non-funded, volunteer, automated. In solidarity with humanity.</t>
  </si>
  <si>
    <t xml:space="preserve">Laser_the_Lone_Wolf</t>
  </si>
  <si>
    <t xml:space="preserve">RT @OccuWorld: After election win, Abe prioritizes North Korea, aging Japan – Chicago Tribune https://t.co/h3tKqokoQV</t>
  </si>
  <si>
    <t xml:space="preserve">Roaming NY, DE, CA, DC or OK </t>
  </si>
  <si>
    <t xml:space="preserve">GSachs is partners wBain Cap., MNAT, SullCrom in racketeering Wall Street frauds; and their guy, Jay Clayton now heads S.E.C. WTF! https://t.co/dONYyyaBM1</t>
  </si>
  <si>
    <t xml:space="preserve">samir gahlaut</t>
  </si>
  <si>
    <t xml:space="preserve">The Naked Truth</t>
  </si>
  <si>
    <t xml:space="preserve">After election win, Abe prioritizes North Korea, aging Japan – Chicago Tribune https://t.co/0VSyIph2eg</t>
  </si>
  <si>
    <t xml:space="preserve">Leland Sandfort</t>
  </si>
  <si>
    <t xml:space="preserve">Central Missouri</t>
  </si>
  <si>
    <t xml:space="preserve">Goals:Wisdom Courage Moderation Justice Fortitude Kindness. Interests:Friction fire in trying circumstances.Kettlebells</t>
  </si>
  <si>
    <t xml:space="preserve">sonia</t>
  </si>
  <si>
    <t xml:space="preserve">CHRISTIAN. CONSERVATIVE, TRUMP 100%. MAGA. PRO ISRAEL. .I BLOCK ALL TROLLS. DO NOT FOLLOW ME IF YOU HATE MEN.</t>
  </si>
  <si>
    <t xml:space="preserve">Emma Richards</t>
  </si>
  <si>
    <t xml:space="preserve">Japan: 4 things to expect following Shinzo Abe's landslide victory https://t.co/ebJ3Cyf9tt via @ascorrespondent</t>
  </si>
  <si>
    <t xml:space="preserve">Journalist for @AsCorrespondent covering Asia Pacific. Talk to me at emma.richards@hybrid.co</t>
  </si>
  <si>
    <t xml:space="preserve">V.M.Guruprasath</t>
  </si>
  <si>
    <t xml:space="preserve">Known is a drop; Unknown is an Ocean</t>
  </si>
  <si>
    <t xml:space="preserve">படகோட்டி</t>
  </si>
  <si>
    <t xml:space="preserve">Thangapandiyanselvam</t>
  </si>
  <si>
    <t xml:space="preserve">🔥ONLY GOD CAN JUDGE ME🔥 Office Administration at United Engineering Projects CO LLC. Studied https://t.co/f34DyraxZa at PMT Colleg</t>
  </si>
  <si>
    <t xml:space="preserve">Jeffrey D. Bean</t>
  </si>
  <si>
    <t xml:space="preserve">Japan PM Shinzo Abe wins decisive victory in early election; LDP retains two-thirds majority in Diet lower house https://t.co/TH8mlF0rl9</t>
  </si>
  <si>
    <t xml:space="preserve">Between DC and Asia </t>
  </si>
  <si>
    <t xml:space="preserve">International relations analyst @CSIS with a twisted wrist shot. I edit the CSIS Asia Policy Blog, cogitASIA. All opinions my own not employer. RT ≠ endorse.</t>
  </si>
  <si>
    <t xml:space="preserve">Daniel Blumenthal</t>
  </si>
  <si>
    <t xml:space="preserve">Japan Election Vindicates Shinzo Abe as His Party Wins Big https://t.co/BhgK6kQfvm</t>
  </si>
  <si>
    <t xml:space="preserve">http://www.linkedin.com/pub/da</t>
  </si>
  <si>
    <t xml:space="preserve">foreign policy, economics, China, Asia Pacific, national security</t>
  </si>
  <si>
    <t xml:space="preserve">Rod Bamberry</t>
  </si>
  <si>
    <t xml:space="preserve">Brisbane</t>
  </si>
  <si>
    <t xml:space="preserve">Cognitive Behavioural Therapist &amp; Counsellor, Life Coach, Lecturer, Trainer &amp; Presenter, Public Speaker...who believes Everyone's Perspective is their Reality!</t>
  </si>
  <si>
    <t xml:space="preserve">むすびもっち</t>
  </si>
  <si>
    <t xml:space="preserve">tweechaPrime4jp</t>
  </si>
  <si>
    <t xml:space="preserve">美しくも儚い憂き世に♪ホンダラ行進曲♪でてなもんやなヒト。</t>
  </si>
  <si>
    <t xml:space="preserve">Shivkant</t>
  </si>
  <si>
    <t xml:space="preserve">Banker, Nationalist, follower of Indian Philosophy- Vashudhaive Kutumbakam, which means- whole world is my Family.</t>
  </si>
  <si>
    <t xml:space="preserve">@Monitor_Sur #LookingForNews&gt;&amp;gt;&amp;gt; DAILY MAIL Shinzo Abe’s comfortable win in Japan's election lifts shares... https://t.co/0b1ZThsiO4</t>
  </si>
  <si>
    <t xml:space="preserve">Rafael 🌟‏</t>
  </si>
  <si>
    <t xml:space="preserve">Lar doce lar Recife, Brasil</t>
  </si>
  <si>
    <t xml:space="preserve">oi</t>
  </si>
  <si>
    <t xml:space="preserve">Cesca's Nest</t>
  </si>
  <si>
    <t xml:space="preserve">Japan's Shinzo Abe Conjures Stunning Election Victory in a Boost for Donald Trump - TIME https://t.co/EdJnljygHg</t>
  </si>
  <si>
    <t xml:space="preserve">Japan's Shinzo Abe conjures stunning election victory in a boost for Trump https://t.co/y7FAtU7fre</t>
  </si>
  <si>
    <t xml:space="preserve">Lesley Edwards</t>
  </si>
  <si>
    <t xml:space="preserve">political junkie,AFL Follower and Grandma</t>
  </si>
  <si>
    <t xml:space="preserve">Arch'd Opinion</t>
  </si>
  <si>
    <t xml:space="preserve">Snigdhadev Dutta</t>
  </si>
  <si>
    <t xml:space="preserve">computer engineer working in a reputed MNC | avid cricket lover | bengali | born and brought up in Kolkata | Modi and BJP fan | proud and passionate Indian</t>
  </si>
  <si>
    <t xml:space="preserve">Japan Election result: Narendra Modi congratulates Shinzo Abe on re-election https://t.co/qxAEaZPnGz</t>
  </si>
  <si>
    <r>
      <rPr>
        <sz val="8"/>
        <rFont val="Droid Sans"/>
        <family val="0"/>
        <charset val="1"/>
      </rPr>
      <t xml:space="preserve">qwf₮ob.%*#;</t>
    </r>
    <r>
      <rPr>
        <sz val="8"/>
        <rFont val="Noto Sans CJK SC Regular"/>
        <family val="2"/>
      </rPr>
      <t xml:space="preserve">㍊㌶㍗</t>
    </r>
  </si>
  <si>
    <r>
      <rPr>
        <sz val="8"/>
        <rFont val="Noto Sans CJK SC Regular"/>
        <family val="2"/>
      </rPr>
      <t xml:space="preserve">共謀罪、成立。ネット詐欺師もリアル</t>
    </r>
    <r>
      <rPr>
        <sz val="8"/>
        <rFont val="Droid Sans"/>
        <family val="0"/>
        <charset val="1"/>
      </rPr>
      <t xml:space="preserve">world</t>
    </r>
    <r>
      <rPr>
        <sz val="8"/>
        <rFont val="Noto Sans CJK SC Regular"/>
        <family val="2"/>
      </rPr>
      <t xml:space="preserve">詐欺師も、悪質医療機関も取り締まりで。ネット覆面警察に期待。</t>
    </r>
  </si>
  <si>
    <t xml:space="preserve">Japan's Shinzo Abe conjures stunning election victory in a boost for Trump https://t.co/S1ZpyGCl3s</t>
  </si>
  <si>
    <t xml:space="preserve">Franklin Lopez</t>
  </si>
  <si>
    <t xml:space="preserve">Japan's Shinzo Abe conjures stunning election victory in a boost for Trump https://t.co/vEV8B5YyqB</t>
  </si>
  <si>
    <t xml:space="preserve">Washington, DC-San Juan, PR</t>
  </si>
  <si>
    <t xml:space="preserve">Journalist, Writer, Broadcaster, Builder, Equality Warrior, Political Prisoner! https://t.co/Pizz0AFLdN</t>
  </si>
  <si>
    <t xml:space="preserve">Patrick Wayne</t>
  </si>
  <si>
    <t xml:space="preserve">Hi There! BU'2019</t>
  </si>
  <si>
    <t xml:space="preserve">Patriot</t>
  </si>
  <si>
    <t xml:space="preserve">Japan PM's ruling bloc scores big election win https://t.co/1413CqFXUG Japanese Prime Minister Shinzo Abe’s ruling bloc scores a big elect…</t>
  </si>
  <si>
    <t xml:space="preserve">cqopoc</t>
  </si>
  <si>
    <r>
      <rPr>
        <sz val="8"/>
        <rFont val="Noto Sans CJK SC Regular"/>
        <family val="2"/>
      </rPr>
      <t xml:space="preserve">老いに鞭打ち日々</t>
    </r>
    <r>
      <rPr>
        <sz val="8"/>
        <rFont val="Droid Sans"/>
        <family val="0"/>
        <charset val="1"/>
      </rPr>
      <t xml:space="preserve">Go! Go! </t>
    </r>
    <r>
      <rPr>
        <sz val="8"/>
        <rFont val="Noto Sans CJK SC Regular"/>
        <family val="2"/>
      </rPr>
      <t xml:space="preserve">しおちゃんに夢中の日々</t>
    </r>
    <r>
      <rPr>
        <sz val="8"/>
        <rFont val="Droid Sans"/>
        <family val="0"/>
        <charset val="1"/>
      </rPr>
      <t xml:space="preserve">Go! Go!</t>
    </r>
  </si>
  <si>
    <t xml:space="preserve">kinseyhaddock</t>
  </si>
  <si>
    <t xml:space="preserve">Japan PM's ruling bloc scores big election win - Japanese Prime Minister Shinzo Abe’s ruling bloc scores a big ... https://t.co/DrTao5m9od</t>
  </si>
  <si>
    <t xml:space="preserve">Someone you know</t>
  </si>
  <si>
    <t xml:space="preserve">Reuters TV</t>
  </si>
  <si>
    <t xml:space="preserve">Shinzo Abe's risky snap election pays off as the Japanese prime minister cruises to victory: https://t.co/pRzHcWx7UN https://t.co/L06WwK0W51</t>
  </si>
  <si>
    <t xml:space="preserve">Straight from the source. Anytime. Anywhere. Available free on iOS, Android, Web, Roku and Apple TV.</t>
  </si>
  <si>
    <t xml:space="preserve">ReutersTV: Shinzo Abe's risky snap election pays off as the Japanese prime minister cruises to victory: https://t.co/g2oDo8MKxw …</t>
  </si>
  <si>
    <t xml:space="preserve">Amol A Girhe</t>
  </si>
  <si>
    <t xml:space="preserve">Japan Election Vindicates Shinzo Abe as His Party Wins Big - New York Times https://t.co/0PzE97SToV</t>
  </si>
  <si>
    <r>
      <rPr>
        <sz val="8"/>
        <rFont val="Noto Sans CJK SC Regular"/>
        <family val="2"/>
      </rPr>
      <t xml:space="preserve">裏アカオレオ</t>
    </r>
    <r>
      <rPr>
        <sz val="8"/>
        <rFont val="Droid Sans"/>
        <family val="0"/>
        <charset val="1"/>
      </rPr>
      <t xml:space="preserve">@</t>
    </r>
    <r>
      <rPr>
        <sz val="8"/>
        <rFont val="Noto Sans CJK SC Regular"/>
        <family val="2"/>
      </rPr>
      <t xml:space="preserve">雑用垢</t>
    </r>
  </si>
  <si>
    <t xml:space="preserve">青学文学部のすみっこぐらし</t>
  </si>
  <si>
    <t xml:space="preserve">世間体を気にしない垢。私にだって意見はある。一般現役で入って２留の私が取れた授業は巷で「神単」と呼ばれる…とか。自己満で突然リプ送り付けます。返事なくても平気</t>
  </si>
  <si>
    <t xml:space="preserve">Chris Day</t>
  </si>
  <si>
    <t xml:space="preserve">Galaxy Hot</t>
  </si>
  <si>
    <t xml:space="preserve">Shanghai</t>
  </si>
  <si>
    <t xml:space="preserve">Screw Android, Long Live Chrome</t>
  </si>
  <si>
    <t xml:space="preserve">Abe claims victory as powerful endorsement, may seek re-election next month - https://t.co/T8mXQ01yR4 Prime Minister Shinzo Abe says the ...</t>
  </si>
  <si>
    <t xml:space="preserve">Abe claims victory as powerful endorsement, may seek re-election next month - https://t.co/kx72TZ8qBe Prime Minister Shinzo Abe says the ...</t>
  </si>
  <si>
    <t xml:space="preserve">Open Outcrier</t>
  </si>
  <si>
    <t xml:space="preserve">Japan Election Vindicates Shinzo Abe as His Party Wins Big - NYT https://t.co/vETiV1UACu</t>
  </si>
  <si>
    <t xml:space="preserve">Real-time stock &amp; option trading headlines, breaking news, rumors and strategy. Nothing we post constitutes investment advice; we may have positions in markets</t>
  </si>
  <si>
    <t xml:space="preserve">John Beitel</t>
  </si>
  <si>
    <t xml:space="preserve">A Galaxy Far Far Away</t>
  </si>
  <si>
    <t xml:space="preserve">I love Android</t>
  </si>
  <si>
    <t xml:space="preserve">Mr. S</t>
  </si>
  <si>
    <t xml:space="preserve">RT @OpenOutcrier: Japan Election Vindicates Shinzo Abe as His Party Wins Big - NYT https://t.co/vETiV1UACu</t>
  </si>
  <si>
    <t xml:space="preserve">I promise to call you on your bullshit in 140 characters or less.</t>
  </si>
  <si>
    <t xml:space="preserve">Shinzo Abe sweeps to resounding victory in Japan snap election https://t.co/tirBlYEkEZ</t>
  </si>
  <si>
    <t xml:space="preserve">kenyan news</t>
  </si>
  <si>
    <t xml:space="preserve">Syndicated News</t>
  </si>
  <si>
    <t xml:space="preserve">mspencer</t>
  </si>
  <si>
    <t xml:space="preserve">Shinzo Abe secures strong mandate in Japan's general election https://t.co/dPYMzNaimL</t>
  </si>
  <si>
    <t xml:space="preserve">somewhere around the world</t>
  </si>
  <si>
    <r>
      <rPr>
        <sz val="8"/>
        <rFont val="Droid Sans"/>
        <family val="0"/>
        <charset val="1"/>
      </rPr>
      <t xml:space="preserve">I AM WHAT I AM. HK/UK/JP Japanese/English. </t>
    </r>
    <r>
      <rPr>
        <sz val="8"/>
        <rFont val="Noto Sans CJK SC Regular"/>
        <family val="2"/>
      </rPr>
      <t xml:space="preserve">英語、旅、演劇、音楽などなどを気ままに。</t>
    </r>
  </si>
  <si>
    <t xml:space="preserve">mo</t>
  </si>
  <si>
    <t xml:space="preserve">David Moon</t>
  </si>
  <si>
    <t xml:space="preserve">RT @CarolinCNBC: Japan's leader just won a resounding election victory, but he's still unpopular https://t.co/13boW9f6mK</t>
  </si>
  <si>
    <t xml:space="preserve">San Francisco, California</t>
  </si>
  <si>
    <t xml:space="preserve">Full-Time Dad &amp; Husband. Attorney. Financial News Junkie. Retweets are not endorsements.</t>
  </si>
  <si>
    <t xml:space="preserve">Car-Los</t>
  </si>
  <si>
    <t xml:space="preserve">Shamballa</t>
  </si>
  <si>
    <t xml:space="preserve">@me all you want I still have the kids, Emily</t>
  </si>
  <si>
    <t xml:space="preserve">Shinzo Abe To Push Reform Of Japan's Constitution After Election Win https://t.co/ktFGihxAQt</t>
  </si>
  <si>
    <t xml:space="preserve">jafarmiya Shaikh</t>
  </si>
  <si>
    <t xml:space="preserve">India for All, 60 + Engineer, widely travelled n worked in 3 continents. Peace lover. Retired but not tired. Retweets r not endorsements.</t>
  </si>
  <si>
    <t xml:space="preserve">Diana Martinez</t>
  </si>
  <si>
    <t xml:space="preserve">RT @DanielCoulomb: ‘There is this bad threat that’s out there, and you have to trust me because I know how to handle things,’ ... https://t…</t>
  </si>
  <si>
    <t xml:space="preserve">Gobierno del Estado de Coahuila</t>
  </si>
  <si>
    <t xml:space="preserve">Anil Paul</t>
  </si>
  <si>
    <t xml:space="preserve">Arpit Gokhroo</t>
  </si>
  <si>
    <t xml:space="preserve">Thinks a lot</t>
  </si>
  <si>
    <t xml:space="preserve">KOREA BONANZA</t>
  </si>
  <si>
    <t xml:space="preserve">Republic of Korea</t>
  </si>
  <si>
    <t xml:space="preserve">🌠💲anjeev ❗🌴</t>
  </si>
  <si>
    <t xml:space="preserve">Traveler, Foodie, Political thinker. Fan of 'Honest' people like Arvind Kejriwal, Ashok Khemka &amp; few others. Also love to watch growth of OLA, OYO, FLIPKART</t>
  </si>
  <si>
    <t xml:space="preserve">WillowGhost</t>
  </si>
  <si>
    <t xml:space="preserve">I'm a writer, writing dusty old tomes about life, the universe and everything. And yes...the meaning of life really is 42. Trust me. Fatal words, I know.</t>
  </si>
  <si>
    <t xml:space="preserve">james brege</t>
  </si>
  <si>
    <t xml:space="preserve">Third Rock from Sol</t>
  </si>
  <si>
    <t xml:space="preserve">Music is Art is Music. Making the world a better place one song at a time. Radio Wizard. Douchewaffle Slayer. Person of Interest. Musical Therapist. Old Soul.</t>
  </si>
  <si>
    <t xml:space="preserve">Yudi Bakshi</t>
  </si>
  <si>
    <t xml:space="preserve">a drop in the ocean of consciousness</t>
  </si>
  <si>
    <t xml:space="preserve">Amanda P</t>
  </si>
  <si>
    <t xml:space="preserve">Sacramento, CA</t>
  </si>
  <si>
    <t xml:space="preserve">Joie de vivre!</t>
  </si>
  <si>
    <t xml:space="preserve">Jim Bailey</t>
  </si>
  <si>
    <t xml:space="preserve">masako fukui</t>
  </si>
  <si>
    <t xml:space="preserve">Japan's Shinzo Abe scores major victory in national elections https://t.co/FWt8MiIT2J via @ABCNews</t>
  </si>
  <si>
    <t xml:space="preserve">freelance writer/producer in sydney, australia</t>
  </si>
  <si>
    <t xml:space="preserve">Jeffrey B. Meyers</t>
  </si>
  <si>
    <t xml:space="preserve">Door open 4 revision of postwar Japanese constitution...prime minister coasts to election win via @POLITICO for iOS… https://t.co/VAx7YVI9zK</t>
  </si>
  <si>
    <t xml:space="preserve">Father, husband, itinerant law prof and citizen. Diet: turmeric and kale. Predictably, I have a man bun. #TRUlaw @mornings983</t>
  </si>
  <si>
    <t xml:space="preserve">arun  bhandarkar</t>
  </si>
  <si>
    <t xml:space="preserve">After election win, Shinzo Abe says his priorities are North Korea and ageing Japan https://t.co/fqmv4SAnWF via @wionews</t>
  </si>
  <si>
    <t xml:space="preserve">Ridder: turn sharing into growth</t>
  </si>
  <si>
    <t xml:space="preserve">Rahul Sahu</t>
  </si>
  <si>
    <t xml:space="preserve">West Karbi Anglong, Assam.</t>
  </si>
  <si>
    <t xml:space="preserve">General Secretary at Hojai District NSUI, Social Media Coordinator of Assam State NSUI, National Students' Union of India l Interested in Literature |</t>
  </si>
  <si>
    <t xml:space="preserve">A.latif Bseth</t>
  </si>
  <si>
    <t xml:space="preserve">David Papp</t>
  </si>
  <si>
    <t xml:space="preserve">Japan's Shinzo Abe Conjures Stunning Election Victory in a Boost for Donald Trump https://t.co/sjPd30ut6B</t>
  </si>
  <si>
    <t xml:space="preserve">Edmonton</t>
  </si>
  <si>
    <t xml:space="preserve">Blogger, Author, Speaker, Trainer, Consultant, Professional Engineer, and Entrepreneur. I share links on technology and social media.</t>
  </si>
  <si>
    <t xml:space="preserve">News In The World</t>
  </si>
  <si>
    <t xml:space="preserve">Shinzo Abe’s comfortable win in Japan's election lifts shares https://t.co/uAhhGtQJZi</t>
  </si>
  <si>
    <t xml:space="preserve">News around the world, what's happening at the world?</t>
  </si>
  <si>
    <t xml:space="preserve">Dimitri François</t>
  </si>
  <si>
    <t xml:space="preserve">"Japan’s Shinzo Abe Conjures Stunning Election Victory in a Boost for Donald Trump" https://t.co/THh1mTZvyZ #presse_etrangère #feedly</t>
  </si>
  <si>
    <t xml:space="preserve">Avranches, Normandie, France</t>
  </si>
  <si>
    <t xml:space="preserve">Sommelier-Conseil, Juré Professionnel de Validation de TP en Commerce, Vente et Distribution - EcoSocialiste - Pro-Féministe - Protestant Libéral</t>
  </si>
  <si>
    <t xml:space="preserve">Xochitl I. Hernández</t>
  </si>
  <si>
    <t xml:space="preserve">San Salvador</t>
  </si>
  <si>
    <t xml:space="preserve">Economista y enamorada de las Ciencias Sociales.</t>
  </si>
  <si>
    <t xml:space="preserve">B.K.Raina</t>
  </si>
  <si>
    <t xml:space="preserve">Kashmiri Hindu Nationalist.Refugee in my own Country.</t>
  </si>
  <si>
    <t xml:space="preserve">Graphic News</t>
  </si>
  <si>
    <t xml:space="preserve">Shinzo Abe secures large majority in Japan election: October 23, 2017 -- Prime Minister Shinzo Abe has…… https://t.co/WBzUeVKCnA</t>
  </si>
  <si>
    <t xml:space="preserve">Top news stories told visually: Who • What • When • Where • Why</t>
  </si>
  <si>
    <t xml:space="preserve">Crystal Glenn</t>
  </si>
  <si>
    <t xml:space="preserve">RT @DavidPapp: Japan's Shinzo Abe Conjures Stunning Election Victory in a Boost for Donald Trump https://t.co/sjPd30ut6B</t>
  </si>
  <si>
    <t xml:space="preserve">Oklahoma </t>
  </si>
  <si>
    <t xml:space="preserve">Nirmal Kumar Raut</t>
  </si>
  <si>
    <t xml:space="preserve">Shinzo Abe likely to continue as PM for the next term. https://t.co/P52ds2Uao3</t>
  </si>
  <si>
    <t xml:space="preserve">PhD in Economics. Assistant Professor at #TribhuvanUniversity. #Nepali soul.</t>
  </si>
  <si>
    <t xml:space="preserve">Franklin Beaty</t>
  </si>
  <si>
    <t xml:space="preserve">cybersecurity</t>
  </si>
  <si>
    <t xml:space="preserve">With a landslide win, Shinzo Abe could be ready to rewrite Japan's pacifist constitution - LA Times https://t.co/PYfJMV6l5h</t>
  </si>
  <si>
    <t xml:space="preserve">Balram Suhane 🇮🇳</t>
  </si>
  <si>
    <t xml:space="preserve">Peter A. Grant</t>
  </si>
  <si>
    <t xml:space="preserve">Denver, Colorado USA</t>
  </si>
  <si>
    <t xml:space="preserve">Market analyst and precious metals dealer, specializing in gold.</t>
  </si>
  <si>
    <t xml:space="preserve">ChezCeleste</t>
  </si>
  <si>
    <t xml:space="preserve">Japan Election Vindicates Shinzo Abe as His Party Wins Big https://t.co/vq51O4eOaD</t>
  </si>
  <si>
    <t xml:space="preserve">Rhonda</t>
  </si>
  <si>
    <t xml:space="preserve">Art Culture Government News Photography</t>
  </si>
  <si>
    <t xml:space="preserve">President of #Tibet congratulates Japanese PM Shinzo Abe on re-election #japan https://t.co/XYbqE1fekE https://t.co/bjAJoJH6ua</t>
  </si>
  <si>
    <t xml:space="preserve">Vikky Mehra</t>
  </si>
  <si>
    <t xml:space="preserve">professional, loves traveling, meeting people. have faith in PM MODI, inspired by PM's believe to change INDIA</t>
  </si>
  <si>
    <t xml:space="preserve">Harold Vásquez</t>
  </si>
  <si>
    <t xml:space="preserve">Santo Domingo, D.R.</t>
  </si>
  <si>
    <t xml:space="preserve">Cristiano, Doctor en Economía, Consultor @BancoCentralRD y Profesor Investigador @intecRD. Editor revista Ciencia, Economía &amp; Negocios. #MarathonRunner</t>
  </si>
  <si>
    <t xml:space="preserve">Japan’s Shinzo Abe Conjures Stunning Election Victory in a Boost for Donald Trump https://t.co/M0YFD3lNND</t>
  </si>
  <si>
    <t xml:space="preserve">Social Media Connect</t>
  </si>
  <si>
    <t xml:space="preserve">Japan PM's ruling bloc scores big election win - Japanese Prime Minister Shinzo Abe’s ruling bloc scores a big ... https://t.co/n5OGy5ajrf</t>
  </si>
  <si>
    <t xml:space="preserve">Social Media Hub connects you with the best and most interesting accounts on social media with a colourful new web platform powered by CMS technology #SMHub</t>
  </si>
  <si>
    <t xml:space="preserve">Sambasiva Reddy S</t>
  </si>
  <si>
    <t xml:space="preserve">Calm, serene and spiritual best describes me. Always feel blessed. Strongly feel that only Sanathan Dharma is word of God.</t>
  </si>
  <si>
    <t xml:space="preserve">Lovely JP369</t>
  </si>
  <si>
    <r>
      <rPr>
        <sz val="8"/>
        <rFont val="Noto Sans CJK SC Regular"/>
        <family val="2"/>
      </rPr>
      <t xml:space="preserve">オプションは生まれながらの共感覚☆★この地球で光と闇をベースに、感動する、遊ぶ、学ぶ、面白さを絶賛味わい中‼️基本ベジタリアン。 猫、うさぎ</t>
    </r>
    <r>
      <rPr>
        <sz val="8"/>
        <rFont val="Droid Sans"/>
        <family val="0"/>
        <charset val="1"/>
      </rPr>
      <t xml:space="preserve">Love💕 </t>
    </r>
    <r>
      <rPr>
        <sz val="8"/>
        <rFont val="Noto Sans CJK SC Regular"/>
        <family val="2"/>
      </rPr>
      <t xml:space="preserve">サロン経営者</t>
    </r>
    <r>
      <rPr>
        <sz val="8"/>
        <rFont val="Droid Sans"/>
        <family val="0"/>
        <charset val="1"/>
      </rPr>
      <t xml:space="preserve">@</t>
    </r>
    <r>
      <rPr>
        <sz val="8"/>
        <rFont val="Noto Sans CJK SC Regular"/>
        <family val="2"/>
      </rPr>
      <t xml:space="preserve">吉祥寺。 まず日本から世界平和へ❗️</t>
    </r>
    <r>
      <rPr>
        <sz val="8"/>
        <rFont val="Droid Sans"/>
        <family val="0"/>
        <charset val="1"/>
      </rPr>
      <t xml:space="preserve">369☆🇯🇵</t>
    </r>
  </si>
  <si>
    <t xml:space="preserve">bizzscout</t>
  </si>
  <si>
    <t xml:space="preserve">#JAPAN: Shinzo Abe’s election victory sparks record 15th straight rise in Nikkei https://t.co/HB8YvGaXtu #NEWS</t>
  </si>
  <si>
    <t xml:space="preserve">THE-YOURLS-awesome</t>
  </si>
  <si>
    <t xml:space="preserve">Business around the world</t>
  </si>
  <si>
    <t xml:space="preserve">SHC Youth Ministries</t>
  </si>
  <si>
    <t xml:space="preserve">Princeton</t>
  </si>
  <si>
    <t xml:space="preserve">Making disciples who follow Christ.</t>
  </si>
  <si>
    <t xml:space="preserve">Amitendu</t>
  </si>
  <si>
    <t xml:space="preserve">Economist working on international trade, development, political economy,China-India &amp; public policies.</t>
  </si>
  <si>
    <t xml:space="preserve">尊皇攘夷の元デリ副店長</t>
  </si>
  <si>
    <t xml:space="preserve">RT @clara111: President of #Tibet congratulates Japanese PM Shinzo Abe on re-election #japan https://t.co/XYbqE1fekE https://t.co/bjAJoJH6…</t>
  </si>
  <si>
    <t xml:space="preserve">蝦夷共和國渡島箱舘管区</t>
  </si>
  <si>
    <r>
      <rPr>
        <sz val="8"/>
        <rFont val="Noto Sans CJK SC Regular"/>
        <family val="2"/>
      </rPr>
      <t xml:space="preserve">函館大学古武術部初代部長</t>
    </r>
    <r>
      <rPr>
        <sz val="8"/>
        <rFont val="Droid Sans"/>
        <family val="0"/>
        <charset val="1"/>
      </rPr>
      <t xml:space="preserve">(</t>
    </r>
    <r>
      <rPr>
        <sz val="8"/>
        <rFont val="Noto Sans CJK SC Regular"/>
        <family val="2"/>
      </rPr>
      <t xml:space="preserve">中退</t>
    </r>
    <r>
      <rPr>
        <sz val="8"/>
        <rFont val="Droid Sans"/>
        <family val="0"/>
        <charset val="1"/>
      </rPr>
      <t xml:space="preserve">)</t>
    </r>
    <r>
      <rPr>
        <sz val="8"/>
        <rFont val="Noto Sans CJK SC Regular"/>
        <family val="2"/>
      </rPr>
      <t xml:space="preserve">、現在は単なる穀潰しの使い走り業 いじめっ子もいじめられっ子もいない社会</t>
    </r>
    <r>
      <rPr>
        <sz val="8"/>
        <rFont val="Droid Sans"/>
        <family val="0"/>
        <charset val="1"/>
      </rPr>
      <t xml:space="preserve">(</t>
    </r>
    <r>
      <rPr>
        <sz val="8"/>
        <rFont val="Noto Sans CJK SC Regular"/>
        <family val="2"/>
      </rPr>
      <t xml:space="preserve">＝反戦したくば国防強化的な</t>
    </r>
    <r>
      <rPr>
        <sz val="8"/>
        <rFont val="Droid Sans"/>
        <family val="0"/>
        <charset val="1"/>
      </rPr>
      <t xml:space="preserve">)</t>
    </r>
    <r>
      <rPr>
        <sz val="8"/>
        <rFont val="Noto Sans CJK SC Regular"/>
        <family val="2"/>
      </rPr>
      <t xml:space="preserve">を実現したくも、ただただ毎日腐ってる今日この頃 ※いちばん輝いていたのはデリヘル時代…笑</t>
    </r>
  </si>
  <si>
    <t xml:space="preserve">Candice</t>
  </si>
  <si>
    <t xml:space="preserve">Michigan </t>
  </si>
  <si>
    <t xml:space="preserve">Yulan Graham</t>
  </si>
  <si>
    <t xml:space="preserve">Sami Childs</t>
  </si>
  <si>
    <t xml:space="preserve">Tucson</t>
  </si>
  <si>
    <t xml:space="preserve">☯️People,Pets,Art,Philosophy, Reading.Proud Mama &amp; Grammy, what goes around comes around &amp; boy is it coming around. Cancer survivor. Be well@</t>
  </si>
  <si>
    <t xml:space="preserve">Abhishek Dalal</t>
  </si>
  <si>
    <t xml:space="preserve">Indian at heart, Global in Spirit 🇮🇳🇺🇸🇦🇷|Views personal, RTs are not endorsements|Unapologetic भक्त</t>
  </si>
  <si>
    <t xml:space="preserve">Murali Krishna G</t>
  </si>
  <si>
    <t xml:space="preserve">hyderabad India</t>
  </si>
  <si>
    <t xml:space="preserve">Promoting Nutrigenomics Technology - for protecting all bio spheres-agriculture,livestock n human-for healthy food-RT's are not necessarily my endorsements</t>
  </si>
  <si>
    <t xml:space="preserve">Rajendra Rajwade</t>
  </si>
  <si>
    <t xml:space="preserve">Love politics &amp; games. RTs not endorsement and tweet are personal.</t>
  </si>
  <si>
    <t xml:space="preserve">Katy Balls</t>
  </si>
  <si>
    <t xml:space="preserve">Shinzo Abe breaks the 2016/17 snap election curse – CC. Malcolm Turnbull, Theresa May https://t.co/1orhBsOXRQ</t>
  </si>
  <si>
    <t xml:space="preserve">@Spectator's Political Correspondent. @theipaper columnist. All views are Balls [kballs@spectator.co.uk]</t>
  </si>
  <si>
    <t xml:space="preserve">Jibé</t>
  </si>
  <si>
    <t xml:space="preserve">informar, share, verbaliser!</t>
  </si>
  <si>
    <t xml:space="preserve">Steven Pieragastini</t>
  </si>
  <si>
    <t xml:space="preserve">RT @PM_Thornton: What a Shinzo Abe win will mean for #China-#Japan relations: China more of a threat than opportunity https://t.co/ERDnA0cl…</t>
  </si>
  <si>
    <t xml:space="preserve">Visiting Assistant Professor, History Department, Boston College</t>
  </si>
  <si>
    <t xml:space="preserve">VitalAnon</t>
  </si>
  <si>
    <t xml:space="preserve">#world: Shinzo Abe retains supermajority in Japan’s election, may push to amend constitution https://t.co/vIBYCUpoO0</t>
  </si>
  <si>
    <t xml:space="preserve">Collective Truth Seekers</t>
  </si>
  <si>
    <t xml:space="preserve">#Anonymous #Science #Technology #Animalrights #ClimateChange #Yemen #Security #Privacy #OpISIS Chat: ProtonMail | XMPP | Viber | Riot | TOR | Wickr | RT≠Endorse</t>
  </si>
  <si>
    <t xml:space="preserve">Srikanth Manchikanti</t>
  </si>
  <si>
    <t xml:space="preserve">Josh Porter</t>
  </si>
  <si>
    <t xml:space="preserve">Sapulpa, Oklahoma, USA</t>
  </si>
  <si>
    <t xml:space="preserve">Christian. Husband. Father. Entrepreneur. Conservative. Musician. Artist. Conspiracy Theorist. Coach. Outdoorsman.</t>
  </si>
  <si>
    <t xml:space="preserve">KNRamesh</t>
  </si>
  <si>
    <t xml:space="preserve">Justin Bertini</t>
  </si>
  <si>
    <t xml:space="preserve">Shinzo Abe just moved closer to becoming Japan’s longest-serving leader https://t.co/VkrOypJgUx via @qz</t>
  </si>
  <si>
    <t xml:space="preserve">Encinitas, CA</t>
  </si>
  <si>
    <t xml:space="preserve">Study CIMA</t>
  </si>
  <si>
    <t xml:space="preserve">Japan election: Shinzo Abe's economy faces huge challenges https://t.co/BwPeitIVzG via drumup.io https://t.co/QHm3K7Sa3A</t>
  </si>
  <si>
    <t xml:space="preserve">#CIMA Online free study resources</t>
  </si>
  <si>
    <t xml:space="preserve">Shinzo Abe sweeps to resounding victory in Japan vote https://t.co/1nhZM2oBuP via @economictimes</t>
  </si>
  <si>
    <t xml:space="preserve">I am New India🇮🇳</t>
  </si>
  <si>
    <t xml:space="preserve">MERA DESH BHARAT</t>
  </si>
  <si>
    <t xml:space="preserve">ॐJAY JAGANNATH ॐ The Nation Builder PM NaMo Transforming BHARAT.</t>
  </si>
  <si>
    <t xml:space="preserve">Balram Vaidya</t>
  </si>
  <si>
    <t xml:space="preserve">Bretton Woods Com</t>
  </si>
  <si>
    <t xml:space="preserve">#BWCom #DailyNews via @ft Shinzo #Abe gains big victory in #Japan #election #globalecon https://t.co/k4ED06xWNA</t>
  </si>
  <si>
    <t xml:space="preserve">Bretton Woods Committee : Network of global citizens working to demonstrate the value of intl econ cooperation &amp; foster effective Bretton Woods Institutions</t>
  </si>
  <si>
    <t xml:space="preserve">koganehakogame</t>
  </si>
  <si>
    <r>
      <rPr>
        <sz val="8"/>
        <rFont val="Droid Sans"/>
        <family val="0"/>
        <charset val="1"/>
      </rPr>
      <t xml:space="preserve">Japan-Nippon</t>
    </r>
    <r>
      <rPr>
        <sz val="8"/>
        <rFont val="Noto Sans CJK SC Regular"/>
        <family val="2"/>
      </rPr>
      <t xml:space="preserve">（日本）</t>
    </r>
  </si>
  <si>
    <r>
      <rPr>
        <sz val="8"/>
        <rFont val="Noto Sans CJK SC Regular"/>
        <family val="2"/>
      </rPr>
      <t xml:space="preserve">「日本の主権を再確立する会」準備委員。受動喫煙防止のための路上・屋内完全禁煙を求めています。日本の国土を守るため外国人及び外国資本による日本国の土地売買の規制強化実施を要望します。外国人への生活保護支給禁止を国と各自治体に要望。憲法第</t>
    </r>
    <r>
      <rPr>
        <sz val="8"/>
        <rFont val="Droid Sans"/>
        <family val="0"/>
        <charset val="1"/>
      </rPr>
      <t xml:space="preserve">9</t>
    </r>
    <r>
      <rPr>
        <sz val="8"/>
        <rFont val="Noto Sans CJK SC Regular"/>
        <family val="2"/>
      </rPr>
      <t xml:space="preserve">条には自衛隊を明記するべきと考えています🇯🇵</t>
    </r>
  </si>
  <si>
    <t xml:space="preserve">Shan Baba</t>
  </si>
  <si>
    <t xml:space="preserve">Inquisitive. दिल मे तूफानों की टोली और नसों में इन्कलाब, दूर रह पाये जो हमसे दम कहाँ मंजिल में है</t>
  </si>
  <si>
    <t xml:space="preserve">Bharat Sachania</t>
  </si>
  <si>
    <t xml:space="preserve">Chicago Bears Fans</t>
  </si>
  <si>
    <t xml:space="preserve">#BearsNation #Bears #ChicagoBears After election win, Abe prioritizes North Korea, aging Japan https://t.co/bcRjE65MeA</t>
  </si>
  <si>
    <t xml:space="preserve">Chicago Bears Fan Page. NOT linked to Official Chicago Bears. #BearsNation #Bears #ChicagoBears #BearDown #DaBears #BearsTalk</t>
  </si>
  <si>
    <t xml:space="preserve">Harish Purohit</t>
  </si>
  <si>
    <t xml:space="preserve">Rt and favorite doesn't mean that I subscribe to the views. Equal rights and equal protection I believe in. Blessed to be followed by Hon'ble PM @narendramodi G</t>
  </si>
  <si>
    <t xml:space="preserve">With a landslide win, Shinzo Abe could be ready to rewrite Japan's pacifist constitution https://t.co/IvvdGzqlsf</t>
  </si>
  <si>
    <t xml:space="preserve">BUSINESS DAILY - Japan's stocks on record winning streak after Abe's election victory https://t.co/CN8ZHrQXzp https://t.co/PxoS3yVDcx</t>
  </si>
  <si>
    <t xml:space="preserve">Subramanyam K.V.</t>
  </si>
  <si>
    <t xml:space="preserve">Hyderabad.</t>
  </si>
  <si>
    <t xml:space="preserve">S/W engineer by profession, blogger by passion. A Toast Master, ardent book reader, book reviewer. Agile enthusiast......http://t.co/BLOyUwLgvR</t>
  </si>
  <si>
    <t xml:space="preserve">#plamedi_kisungu</t>
  </si>
  <si>
    <t xml:space="preserve">RT @France24_en: BUSINESS DAILY - Japan's stocks on record winning streak after Abe's election victory https://t.co/CN8ZHrQXzp https://t.co…</t>
  </si>
  <si>
    <t xml:space="preserve">République Démocratique Du Congo</t>
  </si>
  <si>
    <t xml:space="preserve">je suis plamedi kisungu donc je suis #suis pas encore le meilleur mais prochain sur la liste</t>
  </si>
  <si>
    <t xml:space="preserve">SANTHOSH S NAIR</t>
  </si>
  <si>
    <t xml:space="preserve">Japan’s Shinzo Abe scores impressive election win - National - https://t.co/TSCtixJdYM https://t.co/mJyR9yh1Qd</t>
  </si>
  <si>
    <t xml:space="preserve">Anoop Raghunathan</t>
  </si>
  <si>
    <t xml:space="preserve">#Swayamsevak. Ex NagarKaryavag. Software Engg for Stomach. Hindu for Life. Tweets are personal. Proud Hindu,bProud Bro of Pracharak, @rssorg. @sgurumurthy Fan</t>
  </si>
  <si>
    <t xml:space="preserve">GhettoKnight</t>
  </si>
  <si>
    <t xml:space="preserve">Augusta, GA</t>
  </si>
  <si>
    <t xml:space="preserve">Anna Politkovskaya your vengeance is due. Time for justice</t>
  </si>
  <si>
    <t xml:space="preserve">BUSINESS DAILY - Japan's stocks on record winning streak after Abe's election victory https://t.co/KL1o6XBB3R https://t.co/X1ygrAAM8X</t>
  </si>
  <si>
    <t xml:space="preserve">Ashok K Singh</t>
  </si>
  <si>
    <t xml:space="preserve">evolution is a continuous process .</t>
  </si>
  <si>
    <t xml:space="preserve">Juha Keskinen</t>
  </si>
  <si>
    <t xml:space="preserve">Iltalehden politiikan toimittaja, jolle mikään inhimillinen ei ole vierasta.</t>
  </si>
  <si>
    <t xml:space="preserve">Japan PM's ruling bloc scores big election win - Japanese Prime Minister Shinzo Abe’s ruling bloc scores a big ... https://t.co/dU15qWakNV</t>
  </si>
  <si>
    <t xml:space="preserve">With over a million followers Social Media Hub is one of the fastest growing and most vibrant social media networks on the web #SMHub</t>
  </si>
  <si>
    <t xml:space="preserve">Dylan Hunt #Ω</t>
  </si>
  <si>
    <t xml:space="preserve">The long night has come. Tyranny, fear &amp; hate stalk our land. United, we seek truth &amp; justice. Hope lives in #TheResistance 1SG (Ret) #FBR #VeteransResist</t>
  </si>
  <si>
    <t xml:space="preserve">Social Media Review</t>
  </si>
  <si>
    <t xml:space="preserve">Japan PM's ruling bloc scores big election win - Japanese Prime Minister Shinzo Abe’s ruling bloc scores a big ... https://t.co/fHEQ6cwvod</t>
  </si>
  <si>
    <t xml:space="preserve">With over a million followers Social Media Hub brings out the best from Social Media.</t>
  </si>
  <si>
    <t xml:space="preserve">Japan PM's ruling bloc scores big election win - Japanese Prime Minister Shinzo Abe’s ruling bloc scores a big ... https://t.co/BHQxFJk1Fr</t>
  </si>
  <si>
    <t xml:space="preserve">Presenting social media in a rich and colorful environment #SMHub</t>
  </si>
  <si>
    <t xml:space="preserve">Owen Van Spall</t>
  </si>
  <si>
    <t xml:space="preserve">a "Seinfeld election" - or an election about nothing. https://t.co/i6Y10mzvtA via @smh</t>
  </si>
  <si>
    <t xml:space="preserve">Film Programmer and writer. Journalism &amp; Film MA Grad. Broke &amp; hungry. Tweets own!</t>
  </si>
  <si>
    <t xml:space="preserve">scareable technology</t>
  </si>
  <si>
    <t xml:space="preserve">Japan exit polls: PM Shinzo Abe may win 3rd term with 2/3rds vote allowing amendment of constitution for defense https://t.co/dUKOS8Vmgz</t>
  </si>
  <si>
    <t xml:space="preserve">fastidous</t>
  </si>
  <si>
    <t xml:space="preserve">Japan PM Shinzo Abe pledges pressure on North Korea after big election win https://t.co/SJqyZvApHq</t>
  </si>
  <si>
    <t xml:space="preserve">BouChan</t>
  </si>
  <si>
    <t xml:space="preserve">Japan: Shinzo Abe's Election Victory Is a Boost for Trump | https://t.co/49CJRLIbxm https://t.co/1kMVy1gaXv</t>
  </si>
  <si>
    <t xml:space="preserve">リヒテンシュタイン</t>
  </si>
  <si>
    <r>
      <rPr>
        <sz val="8"/>
        <rFont val="Droid Sans"/>
        <family val="0"/>
        <charset val="1"/>
      </rPr>
      <t xml:space="preserve">Warthunder </t>
    </r>
    <r>
      <rPr>
        <sz val="8"/>
        <rFont val="Noto Sans CJK SC Regular"/>
        <family val="2"/>
      </rPr>
      <t xml:space="preserve">ソ</t>
    </r>
    <r>
      <rPr>
        <sz val="8"/>
        <rFont val="Droid Sans"/>
        <family val="0"/>
        <charset val="1"/>
      </rPr>
      <t xml:space="preserve">/</t>
    </r>
    <r>
      <rPr>
        <sz val="8"/>
        <rFont val="Noto Sans CJK SC Regular"/>
        <family val="2"/>
      </rPr>
      <t xml:space="preserve">独</t>
    </r>
    <r>
      <rPr>
        <sz val="8"/>
        <rFont val="Droid Sans"/>
        <family val="0"/>
        <charset val="1"/>
      </rPr>
      <t xml:space="preserve">(</t>
    </r>
    <r>
      <rPr>
        <sz val="8"/>
        <rFont val="Noto Sans CJK SC Regular"/>
        <family val="2"/>
      </rPr>
      <t xml:space="preserve">陸</t>
    </r>
    <r>
      <rPr>
        <sz val="8"/>
        <rFont val="Droid Sans"/>
        <family val="0"/>
        <charset val="1"/>
      </rPr>
      <t xml:space="preserve">)BR7.3 </t>
    </r>
    <r>
      <rPr>
        <sz val="8"/>
        <rFont val="Noto Sans CJK SC Regular"/>
        <family val="2"/>
      </rPr>
      <t xml:space="preserve">米</t>
    </r>
    <r>
      <rPr>
        <sz val="8"/>
        <rFont val="Droid Sans"/>
        <family val="0"/>
        <charset val="1"/>
      </rPr>
      <t xml:space="preserve">/</t>
    </r>
    <r>
      <rPr>
        <sz val="8"/>
        <rFont val="Noto Sans CJK SC Regular"/>
        <family val="2"/>
      </rPr>
      <t xml:space="preserve">ソ</t>
    </r>
    <r>
      <rPr>
        <sz val="8"/>
        <rFont val="Droid Sans"/>
        <family val="0"/>
        <charset val="1"/>
      </rPr>
      <t xml:space="preserve">(</t>
    </r>
    <r>
      <rPr>
        <sz val="8"/>
        <rFont val="Noto Sans CJK SC Regular"/>
        <family val="2"/>
      </rPr>
      <t xml:space="preserve">空</t>
    </r>
    <r>
      <rPr>
        <sz val="8"/>
        <rFont val="Droid Sans"/>
        <family val="0"/>
        <charset val="1"/>
      </rPr>
      <t xml:space="preserve">)BR6.8 WoWs</t>
    </r>
    <r>
      <rPr>
        <sz val="8"/>
        <rFont val="Noto Sans CJK SC Regular"/>
        <family val="2"/>
      </rPr>
      <t xml:space="preserve">金剛 アニメは基本全部見る</t>
    </r>
    <r>
      <rPr>
        <sz val="8"/>
        <rFont val="Droid Sans"/>
        <family val="0"/>
        <charset val="1"/>
      </rPr>
      <t xml:space="preserve">٩( 'ω' )۶</t>
    </r>
  </si>
  <si>
    <t xml:space="preserve">Lila F.</t>
  </si>
  <si>
    <t xml:space="preserve">Why is our President such an ass</t>
  </si>
  <si>
    <t xml:space="preserve">Cheryl Morgan</t>
  </si>
  <si>
    <t xml:space="preserve">To know what is in my heart- what drives me- it's simple-listen to The Hollies❤️✌🇨🇦 ️https://t.co/qrgLzXSWut</t>
  </si>
  <si>
    <t xml:space="preserve">Max Walden</t>
  </si>
  <si>
    <t xml:space="preserve">RT @EmmaRichards85: Japan: 4 things to expect following Shinzo Abe's landslide victory https://t.co/ebJ3Cyf9tt via @ascorrespondent</t>
  </si>
  <si>
    <t xml:space="preserve">Sydney, Jakarta, Kuala Lumpur</t>
  </si>
  <si>
    <t xml:space="preserve">Covering Southeast Asia for @AsCorrespondent &amp; @more_hybrid. Editing @InsideIndo. Views are my own. Keep me occupied: max@hybrid.co</t>
  </si>
  <si>
    <t xml:space="preserve">Don Roberts</t>
  </si>
  <si>
    <t xml:space="preserve">North Korea fears Japan "invasion" after Shinzo Abe's victory https://t.co/WoM0TIlZu4 https://t.co/oz0wkSjw5r</t>
  </si>
  <si>
    <t xml:space="preserve">Silent Majority</t>
  </si>
  <si>
    <t xml:space="preserve">Stocks • Options • Futures • Forex • Bonds • Equities • Derivatives • Indices•Commodities•Binaries•Currencies•Metals•CFD•ETF• Retweets aren't endorsements</t>
  </si>
  <si>
    <t xml:space="preserve">Woody</t>
  </si>
  <si>
    <t xml:space="preserve">#Japan’s Shinzo Abe hails landslide victory in snap election: Watch Video A… https://t.co/gokJ6Amv3N via @WTKR3</t>
  </si>
  <si>
    <t xml:space="preserve">Va Beach, Virginia</t>
  </si>
  <si>
    <t xml:space="preserve">Love my Family, my Harley, beaches and music! You can never be old and wise if you were never young and crazy! Media tweets not necessarily my opinion.</t>
  </si>
  <si>
    <t xml:space="preserve">STcomSingapore</t>
  </si>
  <si>
    <t xml:space="preserve">Prime Minister Lee congratulates Japan's Shinzo Abe on Lower House election victory https://t.co/2Xd492VCjT</t>
  </si>
  <si>
    <t xml:space="preserve">png</t>
  </si>
  <si>
    <t xml:space="preserve">RT @Newsweek_INT: North Korea fears Japan "invasion" after Shinzo Abe's victory https://t.co/WoM0TIlZu4 https://t.co/oz0wkSjw5r</t>
  </si>
  <si>
    <t xml:space="preserve">Adelaide, South Australia</t>
  </si>
  <si>
    <r>
      <rPr>
        <sz val="8"/>
        <rFont val="Noto Sans CJK SC Regular"/>
        <family val="2"/>
      </rPr>
      <t xml:space="preserve">主に政治、経済等について。 専攻 </t>
    </r>
    <r>
      <rPr>
        <sz val="8"/>
        <rFont val="Droid Sans"/>
        <family val="0"/>
        <charset val="1"/>
      </rPr>
      <t xml:space="preserve">: </t>
    </r>
    <r>
      <rPr>
        <sz val="8"/>
        <rFont val="Noto Sans CJK SC Regular"/>
        <family val="2"/>
      </rPr>
      <t xml:space="preserve">国際政治</t>
    </r>
    <r>
      <rPr>
        <sz val="8"/>
        <rFont val="Droid Sans"/>
        <family val="0"/>
        <charset val="1"/>
      </rPr>
      <t xml:space="preserve">(</t>
    </r>
    <r>
      <rPr>
        <sz val="8"/>
        <rFont val="Noto Sans CJK SC Regular"/>
        <family val="2"/>
      </rPr>
      <t xml:space="preserve">中東情勢、国際テロ</t>
    </r>
    <r>
      <rPr>
        <sz val="8"/>
        <rFont val="Droid Sans"/>
        <family val="0"/>
        <charset val="1"/>
      </rPr>
      <t xml:space="preserve">) </t>
    </r>
    <r>
      <rPr>
        <sz val="8"/>
        <rFont val="Noto Sans CJK SC Regular"/>
        <family val="2"/>
      </rPr>
      <t xml:space="preserve">その他 </t>
    </r>
    <r>
      <rPr>
        <sz val="8"/>
        <rFont val="Droid Sans"/>
        <family val="0"/>
        <charset val="1"/>
      </rPr>
      <t xml:space="preserve">: </t>
    </r>
    <r>
      <rPr>
        <sz val="8"/>
        <rFont val="Noto Sans CJK SC Regular"/>
        <family val="2"/>
      </rPr>
      <t xml:space="preserve">国際法、憲法、経済学</t>
    </r>
    <r>
      <rPr>
        <sz val="8"/>
        <rFont val="Droid Sans"/>
        <family val="0"/>
        <charset val="1"/>
      </rPr>
      <t xml:space="preserve">(</t>
    </r>
    <r>
      <rPr>
        <sz val="8"/>
        <rFont val="Noto Sans CJK SC Regular"/>
        <family val="2"/>
      </rPr>
      <t xml:space="preserve">ミクロ</t>
    </r>
    <r>
      <rPr>
        <sz val="8"/>
        <rFont val="Droid Sans"/>
        <family val="0"/>
        <charset val="1"/>
      </rPr>
      <t xml:space="preserve">/</t>
    </r>
    <r>
      <rPr>
        <sz val="8"/>
        <rFont val="Noto Sans CJK SC Regular"/>
        <family val="2"/>
      </rPr>
      <t xml:space="preserve">マクロ</t>
    </r>
    <r>
      <rPr>
        <sz val="8"/>
        <rFont val="Droid Sans"/>
        <family val="0"/>
        <charset val="1"/>
      </rPr>
      <t xml:space="preserve">/</t>
    </r>
    <r>
      <rPr>
        <sz val="8"/>
        <rFont val="Noto Sans CJK SC Regular"/>
        <family val="2"/>
      </rPr>
      <t xml:space="preserve">国際</t>
    </r>
    <r>
      <rPr>
        <sz val="8"/>
        <rFont val="Droid Sans"/>
        <family val="0"/>
        <charset val="1"/>
      </rPr>
      <t xml:space="preserve">)</t>
    </r>
  </si>
  <si>
    <t xml:space="preserve">Daryl Montgomery</t>
  </si>
  <si>
    <t xml:space="preserve">#Japan 's Shinzo Abe hails landslide victory in snap election https://t.co/wNiOcculsx #Asia</t>
  </si>
  <si>
    <t xml:space="preserve">New York CIty</t>
  </si>
  <si>
    <t xml:space="preserve">#Investing in #Trump #Brexit era. Former professor, expert witness, author 5 books on investing, politics. Run 7500 member investing group #MAGA #DrainTheSwamp</t>
  </si>
  <si>
    <t xml:space="preserve">SingaporeUpdate</t>
  </si>
  <si>
    <t xml:space="preserve">Prime Minister Lee congratulates Japan's Shinzo Abe on Lower House election victory https://t.co/SMrdMdVQKM</t>
  </si>
  <si>
    <t xml:space="preserve">新加坡</t>
  </si>
  <si>
    <t xml:space="preserve">Update information and news on Singapore</t>
  </si>
  <si>
    <t xml:space="preserve">Hillary Han</t>
  </si>
  <si>
    <t xml:space="preserve">Currently watching a reality show called #TrumpRussia</t>
  </si>
  <si>
    <t xml:space="preserve">Shakthikumar Raja GK</t>
  </si>
  <si>
    <t xml:space="preserve">Rajapalayam, Tamilnadu,India</t>
  </si>
  <si>
    <t xml:space="preserve">Textile Technologist having experience of 26 years in manufacturing operations of Textile mills. Currently doing business of SOLAR POWER PROJECTS installer.</t>
  </si>
  <si>
    <t xml:space="preserve">CUI Ling -tinkerbell</t>
  </si>
  <si>
    <t xml:space="preserve">Some people feel the rain, others just get wet...</t>
  </si>
  <si>
    <t xml:space="preserve">Prime Minister Lee congratulates Japan's Shinzo Abe on Lower House election victory https://t.co/CPibhzGHia https://t.co/3vVXFBaPIy</t>
  </si>
  <si>
    <t xml:space="preserve">Prime Minister Lee congratulates Japan's Shinzo Abe on Lower House election victory https://t.co/69Y3XPG7yh https://t.co/GzWz9rh0Gn</t>
  </si>
  <si>
    <t xml:space="preserve">Singapore Informer</t>
  </si>
  <si>
    <t xml:space="preserve">Prime Minister Lee congratulates Japan's Shinzo Abe on Lower House election victory https://t.co/tmjhXQOWIP https://t.co/wAAjUD68DE</t>
  </si>
  <si>
    <t xml:space="preserve">Singapore News from A - Z, that's what you get from us</t>
  </si>
  <si>
    <t xml:space="preserve">Saul of United</t>
  </si>
  <si>
    <t xml:space="preserve">Japan PM Shinzo Abe pledges pressure on North Korea after big election win https://t.co/vrspqgPJgr</t>
  </si>
  <si>
    <t xml:space="preserve">Pyongyang</t>
  </si>
  <si>
    <t xml:space="preserve">Don't hate the player, hate the game : Religion, History and Geopolitics. Questions and Answers. DPRK</t>
  </si>
  <si>
    <t xml:space="preserve">PM Lee Hsien Loong congratulates Japan's Shinzo Abe on Lower House election victory https://t.co/2Xd492VCjT</t>
  </si>
  <si>
    <t xml:space="preserve">HRS</t>
  </si>
  <si>
    <t xml:space="preserve">RT @STcom: Prime Minister Lee congratulates Japan's Shinzo Abe on Lower House election victory https://t.co/CPibhzGHia https://t.co/3vVXFBa…</t>
  </si>
  <si>
    <t xml:space="preserve">Chiba,Japan</t>
  </si>
  <si>
    <r>
      <rPr>
        <sz val="8"/>
        <rFont val="Noto Sans CJK SC Regular"/>
        <family val="2"/>
      </rPr>
      <t xml:space="preserve">怠惰で無能な人のつぶやきです。ご利用は自己責任で。 </t>
    </r>
    <r>
      <rPr>
        <sz val="8"/>
        <rFont val="Droid Sans"/>
        <family val="0"/>
        <charset val="1"/>
      </rPr>
      <t xml:space="preserve">I'm lazy and imbecile.</t>
    </r>
  </si>
  <si>
    <t xml:space="preserve">#Japan: #ShinzoAbe Strikes Hat-trick #Win in Snap #Election https://t.co/jQ5aYrfzDb https://t.co/x2ycywWpTe</t>
  </si>
  <si>
    <t xml:space="preserve">el bajamallo</t>
  </si>
  <si>
    <t xml:space="preserve">Fortaleza</t>
  </si>
  <si>
    <t xml:space="preserve">Where is Michael Caine??? snap: isacbernardo</t>
  </si>
  <si>
    <t xml:space="preserve">HECTOR E .'.</t>
  </si>
  <si>
    <t xml:space="preserve">OAXACA - CDMEX</t>
  </si>
  <si>
    <t xml:space="preserve">@NWOaxaca ASESORIA POLÍTICA, MEDIOS. LRI UNIVAS OAXACA. ORGULLOSAMENTE MIXTECO DE CHALCATONGO</t>
  </si>
  <si>
    <t xml:space="preserve">NeO™</t>
  </si>
  <si>
    <t xml:space="preserve">Ministry of Media</t>
  </si>
  <si>
    <t xml:space="preserve">KnowYourLeakGuy</t>
  </si>
  <si>
    <t xml:space="preserve">Shinzo Abe Wins Japan's Election, Will Focus On North Korea (RT↺ Fav❤️) https://t.co/4u1uP2yVka #Tokyo #Japan #JoshuaBerlin</t>
  </si>
  <si>
    <t xml:space="preserve">Know Your Leak App</t>
  </si>
  <si>
    <t xml:space="preserve">Japan's Shinzo Abe Conjures Stunning Election Victory in a Boost for Donald Trump https://t.co/7AEAEmseuA https://t.co/QQXHCknm29</t>
  </si>
  <si>
    <r>
      <rPr>
        <sz val="8"/>
        <rFont val="Droid Sans"/>
        <family val="0"/>
        <charset val="1"/>
      </rPr>
      <t xml:space="preserve">sakaki (</t>
    </r>
    <r>
      <rPr>
        <sz val="8"/>
        <rFont val="Noto Sans CJK SC Regular"/>
        <family val="2"/>
      </rPr>
      <t xml:space="preserve">あまたつぅー</t>
    </r>
    <r>
      <rPr>
        <sz val="8"/>
        <rFont val="Droid Sans"/>
        <family val="0"/>
        <charset val="1"/>
      </rPr>
      <t xml:space="preserve">)</t>
    </r>
  </si>
  <si>
    <t xml:space="preserve">岡山 鏡野町</t>
  </si>
  <si>
    <r>
      <rPr>
        <sz val="8"/>
        <rFont val="Noto Sans CJK SC Regular"/>
        <family val="2"/>
      </rPr>
      <t xml:space="preserve">神社巡りが、もはや人生の一部。 主に岡山・島根・鳥取の神社をうろうろ。 高須クリニック、神社巡り、銀魂、鷹の爪が大好き。 ･</t>
    </r>
    <r>
      <rPr>
        <sz val="8"/>
        <rFont val="Droid Sans"/>
        <family val="0"/>
        <charset val="1"/>
      </rPr>
      <t xml:space="preserve">:*+.\(( °ω° ))/.:+ </t>
    </r>
    <r>
      <rPr>
        <sz val="8"/>
        <rFont val="Noto Sans CJK SC Regular"/>
        <family val="2"/>
      </rPr>
      <t xml:space="preserve">顔は天達武史と小栗旬とチンパンジーを足して、そこから小栗旬を引いた後に２で割った感じの顔です。 つまり、イケメンで</t>
    </r>
    <r>
      <rPr>
        <sz val="8"/>
        <rFont val="Droid Sans"/>
        <family val="0"/>
        <charset val="1"/>
      </rPr>
      <t xml:space="preserve">s(</t>
    </r>
    <r>
      <rPr>
        <sz val="8"/>
        <rFont val="Noto Sans CJK SC Regular"/>
        <family val="2"/>
      </rPr>
      <t xml:space="preserve">っ･</t>
    </r>
    <r>
      <rPr>
        <sz val="8"/>
        <rFont val="Droid Sans"/>
        <family val="0"/>
        <charset val="1"/>
      </rPr>
      <t xml:space="preserve">д</t>
    </r>
    <r>
      <rPr>
        <sz val="8"/>
        <rFont val="Noto Sans CJK SC Regular"/>
        <family val="2"/>
      </rPr>
      <t xml:space="preserve">･</t>
    </r>
    <r>
      <rPr>
        <sz val="8"/>
        <rFont val="Droid Sans"/>
        <family val="0"/>
        <charset val="1"/>
      </rPr>
      <t xml:space="preserve">)≡⊃)3</t>
    </r>
    <r>
      <rPr>
        <sz val="8"/>
        <rFont val="Noto Sans CJK SC Regular"/>
        <family val="2"/>
      </rPr>
      <t xml:space="preserve">ﾟ</t>
    </r>
    <r>
      <rPr>
        <sz val="8"/>
        <rFont val="Droid Sans"/>
        <family val="0"/>
        <charset val="1"/>
      </rPr>
      <t xml:space="preserve">)∵</t>
    </r>
  </si>
  <si>
    <t xml:space="preserve">25mom-snsn</t>
  </si>
  <si>
    <r>
      <rPr>
        <sz val="8"/>
        <rFont val="Noto Sans CJK SC Regular"/>
        <family val="2"/>
      </rPr>
      <t xml:space="preserve">綺麗な写真や動物の</t>
    </r>
    <r>
      <rPr>
        <sz val="8"/>
        <rFont val="Droid Sans"/>
        <family val="0"/>
        <charset val="1"/>
      </rPr>
      <t xml:space="preserve">RT</t>
    </r>
    <r>
      <rPr>
        <sz val="8"/>
        <rFont val="Noto Sans CJK SC Regular"/>
        <family val="2"/>
      </rPr>
      <t xml:space="preserve">が多めです。 </t>
    </r>
    <r>
      <rPr>
        <sz val="8"/>
        <rFont val="Droid Sans"/>
        <family val="0"/>
        <charset val="1"/>
      </rPr>
      <t xml:space="preserve">#FakeOfNanking #</t>
    </r>
    <r>
      <rPr>
        <sz val="8"/>
        <rFont val="Noto Sans CJK SC Regular"/>
        <family val="2"/>
      </rPr>
      <t xml:space="preserve">移民反対 無言フォロー失礼致します｡ エロ系ブロック、販売関係には興味ありません。</t>
    </r>
    <r>
      <rPr>
        <sz val="8"/>
        <rFont val="Droid Sans"/>
        <family val="0"/>
        <charset val="1"/>
      </rPr>
      <t xml:space="preserve">(DM✖︎. I’m not interested in buying followers. )</t>
    </r>
  </si>
  <si>
    <t xml:space="preserve">Future Toronto</t>
  </si>
  <si>
    <t xml:space="preserve">Japan shares at two-decade top, yen at three-month low on Shinzo Abe win https://t.co/1Zt8HGm27c</t>
  </si>
  <si>
    <t xml:space="preserve">The future is here.. what's on your mind Toronto?</t>
  </si>
  <si>
    <t xml:space="preserve">Thomas Viruvelil</t>
  </si>
  <si>
    <t xml:space="preserve">Cochin,India</t>
  </si>
  <si>
    <t xml:space="preserve">Architect,Poet,House builder,Management Consultant</t>
  </si>
  <si>
    <t xml:space="preserve">Politiquement Mort</t>
  </si>
  <si>
    <t xml:space="preserve">Japan Election Vindicates Shinzo Abe as His Party Wins Big https://t.co/7sIycfIQ0c</t>
  </si>
  <si>
    <t xml:space="preserve">अमरेश आनन्द झा</t>
  </si>
  <si>
    <t xml:space="preserve">Proud Hindu .want each Hindustani to participate in making bharat a country to reckon</t>
  </si>
  <si>
    <t xml:space="preserve">Shinzo Abe just got one step closer to realizing his mandate for Japan. Here’s what it looks like https://t.co/p7yxxlixN7 vía @qz</t>
  </si>
  <si>
    <t xml:space="preserve">Lilo Isenburg</t>
  </si>
  <si>
    <t xml:space="preserve">金子陽一</t>
  </si>
  <si>
    <t xml:space="preserve">PM Lee Hsien Loong congratulates Japan's Shinzo Abe on Lower House election victory https://t.co/fQxePf26xs</t>
  </si>
  <si>
    <r>
      <rPr>
        <sz val="8"/>
        <rFont val="Noto Sans CJK SC Regular"/>
        <family val="2"/>
      </rPr>
      <t xml:space="preserve">シンガポール</t>
    </r>
    <r>
      <rPr>
        <sz val="8"/>
        <rFont val="Droid Sans"/>
        <family val="0"/>
        <charset val="1"/>
      </rPr>
      <t xml:space="preserve">/ Singapore</t>
    </r>
  </si>
  <si>
    <r>
      <rPr>
        <sz val="8"/>
        <rFont val="Noto Sans CJK SC Regular"/>
        <family val="2"/>
      </rPr>
      <t xml:space="preserve">大和魂</t>
    </r>
    <r>
      <rPr>
        <sz val="8"/>
        <rFont val="Droid Sans"/>
        <family val="0"/>
        <charset val="1"/>
      </rPr>
      <t xml:space="preserve">/</t>
    </r>
    <r>
      <rPr>
        <sz val="8"/>
        <rFont val="Noto Sans CJK SC Regular"/>
        <family val="2"/>
      </rPr>
      <t xml:space="preserve">尊王攘夷</t>
    </r>
    <r>
      <rPr>
        <sz val="8"/>
        <rFont val="Droid Sans"/>
        <family val="0"/>
        <charset val="1"/>
      </rPr>
      <t xml:space="preserve">/</t>
    </r>
    <r>
      <rPr>
        <sz val="8"/>
        <rFont val="Noto Sans CJK SC Regular"/>
        <family val="2"/>
      </rPr>
      <t xml:space="preserve">富国強兵 </t>
    </r>
    <r>
      <rPr>
        <sz val="8"/>
        <rFont val="Droid Sans"/>
        <family val="0"/>
        <charset val="1"/>
      </rPr>
      <t xml:space="preserve">classic and japanese litterature. political scientist</t>
    </r>
  </si>
  <si>
    <t xml:space="preserve">Young Justice</t>
  </si>
  <si>
    <t xml:space="preserve">Official twitter for the fan made web series Young Justice: Abduction created by Colin Bass and brought to you by Comic Booked Studios.</t>
  </si>
  <si>
    <t xml:space="preserve">DHIRENDRA@Dhirobhai</t>
  </si>
  <si>
    <t xml:space="preserve">MUZAFFAR NAGAR (U.P.)</t>
  </si>
  <si>
    <t xml:space="preserve">EX. Banker. social activist &amp; free thinker. Lives my own life.</t>
  </si>
  <si>
    <t xml:space="preserve">PUEAA UNAM</t>
  </si>
  <si>
    <t xml:space="preserve">Mario de la Cueva s/n, C.U.</t>
  </si>
  <si>
    <t xml:space="preserve">El Programa Universitario de Estudios sobre Asia y África (PUEAA) tiene la finalidad de propiciar la investigación y los vínculos entre México y esas regiones.</t>
  </si>
  <si>
    <t xml:space="preserve">斉藤大法 （僧侶・精神科医）</t>
  </si>
  <si>
    <r>
      <rPr>
        <sz val="8"/>
        <rFont val="Noto Sans CJK SC Regular"/>
        <family val="2"/>
      </rPr>
      <t xml:space="preserve">埼玉県行田市下忍</t>
    </r>
    <r>
      <rPr>
        <sz val="8"/>
        <rFont val="Droid Sans"/>
        <family val="0"/>
        <charset val="1"/>
      </rPr>
      <t xml:space="preserve">138-1 </t>
    </r>
    <r>
      <rPr>
        <sz val="8"/>
        <rFont val="Noto Sans CJK SC Regular"/>
        <family val="2"/>
      </rPr>
      <t xml:space="preserve">要唱寺（大黒堂）</t>
    </r>
  </si>
  <si>
    <r>
      <rPr>
        <sz val="8"/>
        <rFont val="Noto Sans CJK SC Regular"/>
        <family val="2"/>
      </rPr>
      <t xml:space="preserve">大病をきっかけに医学の道へ進み、その後、仏教の素晴らしさに触れ僧となりました。唱題プラクティスを中心に、医療、経済、環境、平和及び人間の可能性の研究と、</t>
    </r>
    <r>
      <rPr>
        <sz val="8"/>
        <rFont val="Droid Sans"/>
        <family val="0"/>
        <charset val="1"/>
      </rPr>
      <t xml:space="preserve">CEP</t>
    </r>
    <r>
      <rPr>
        <sz val="8"/>
        <rFont val="Noto Sans CJK SC Regular"/>
        <family val="2"/>
      </rPr>
      <t xml:space="preserve">（カンボジア・エンパワーメント・プロジェクト）代表として、国際人道支援活動に取り組んでいます。「</t>
    </r>
    <r>
      <rPr>
        <sz val="8"/>
        <rFont val="Droid Sans"/>
        <family val="0"/>
        <charset val="1"/>
      </rPr>
      <t xml:space="preserve">CEP</t>
    </r>
    <r>
      <rPr>
        <sz val="8"/>
        <rFont val="Noto Sans CJK SC Regular"/>
        <family val="2"/>
      </rPr>
      <t xml:space="preserve">ホームページ」</t>
    </r>
    <r>
      <rPr>
        <sz val="8"/>
        <rFont val="Droid Sans"/>
        <family val="0"/>
        <charset val="1"/>
      </rPr>
      <t xml:space="preserve">https://t.co/Ro2tq9bCgB</t>
    </r>
  </si>
  <si>
    <t xml:space="preserve">OchoggiahA</t>
  </si>
  <si>
    <t xml:space="preserve">General Manager Voice of Teso</t>
  </si>
  <si>
    <t xml:space="preserve">Varma's</t>
  </si>
  <si>
    <t xml:space="preserve">Delhi NCR</t>
  </si>
  <si>
    <t xml:space="preserve">Cosmopolitan,like to learn cultures,humanity,RT likes</t>
  </si>
  <si>
    <t xml:space="preserve">@wochit Shinzo Abe Wins Japan's Election, Will Focus On North Korea https://t.co/hEmsb41GsO</t>
  </si>
  <si>
    <t xml:space="preserve">Sejin Paik</t>
  </si>
  <si>
    <t xml:space="preserve">Associate Editor, @GoogleNewstand 👩🏻‍💻 Stanford Journalism Grad 🌲</t>
  </si>
  <si>
    <t xml:space="preserve">Vincent Menezes</t>
  </si>
  <si>
    <t xml:space="preserve">Doctor~Music~Sciences~Technology. #WalkWithoutFeet~ #FlyWithoutWings~and #ThinkWithoutMind.' ~ ~ ✨Osho✨</t>
  </si>
  <si>
    <t xml:space="preserve">M C GovardhanaRangan</t>
  </si>
  <si>
    <t xml:space="preserve">Finance Editor, The Economic Times, Mumbai Twitter for news &amp; fun. No ideology debates. Vews personal. Retweets no endorsement.</t>
  </si>
  <si>
    <t xml:space="preserve">भारतम भवति परम। तस्य सेवनम हि न: जीवनम।।</t>
  </si>
  <si>
    <t xml:space="preserve">PM Lee Hsien Loong congratulates Japan’s Shinzo Abe on Lower House election victory https://t.co/r44MPgPf0J https://t.co/0RhhFTBNX4</t>
  </si>
  <si>
    <t xml:space="preserve">Coecaine</t>
  </si>
  <si>
    <t xml:space="preserve">West Indianapolis</t>
  </si>
  <si>
    <t xml:space="preserve">paulo sisinno</t>
  </si>
  <si>
    <t xml:space="preserve">Rio de Janeiro - Brazil</t>
  </si>
  <si>
    <t xml:space="preserve">Professor, Tradutor, Radialista. Humanista, Iluminista, Pacifista, Feminista, Progressista, Democrata, Internacionalista, Ecologista, Ecossocialista.</t>
  </si>
  <si>
    <t xml:space="preserve">Caracal Global</t>
  </si>
  <si>
    <t xml:space="preserve">NYT: Japan election vindicates Shinzo Abe as his party wins big WSJ: Japan’s Abe Cements hold on power with election win</t>
  </si>
  <si>
    <t xml:space="preserve">Specializing in Global Business Communications at the Intersection of Politics + Policy + Profits</t>
  </si>
  <si>
    <t xml:space="preserve">check out my new mixtape</t>
  </si>
  <si>
    <t xml:space="preserve">Hrishikesh M</t>
  </si>
  <si>
    <t xml:space="preserve">Hash</t>
  </si>
  <si>
    <t xml:space="preserve">Japanese PM Shinzo Abe eyes hawkish reform to pacifist constitution after landslide election win. #News #Japan… https://t.co/neP8CFg8Cg</t>
  </si>
  <si>
    <t xml:space="preserve">Aggregating popular tweets about the day’s most topical stories, Hash is a simple, visual way for everyone to catch up on global events.</t>
  </si>
  <si>
    <t xml:space="preserve">pkp</t>
  </si>
  <si>
    <t xml:space="preserve">Sucharita Nanivadeka</t>
  </si>
  <si>
    <t xml:space="preserve">Physician. Retired Professor in a Medical College in Mumbai. Authored 100 research papers. At present engaged in artistic pursuits and charity work.</t>
  </si>
  <si>
    <t xml:space="preserve">Arindam</t>
  </si>
  <si>
    <t xml:space="preserve">Bureaucrat/ChasingAWanderingHeart/Daydreamer/AppeasementMakeRouges/TweetsOnPolitics&amp;Nicities/HateHypocrites/AnIndian/LoveWriting&amp;Scotch/CommiesSocietzFoes/ 🎼🌺</t>
  </si>
  <si>
    <t xml:space="preserve">Shinzo Abe’s Japan election win lifts world stocks, dollar</t>
  </si>
  <si>
    <t xml:space="preserve">Shinzo Abe’s Japan election win lifts world stocks, dollar https://t.co/Ot3GvNplMw</t>
  </si>
  <si>
    <t xml:space="preserve">Japan Vote: Abe Wins Convincingly Incumbent Prime Minister Shinzo Abe wins a decisive victory in Japan's snap election. The newly-formed op…</t>
  </si>
  <si>
    <t xml:space="preserve">S.B. Satpathy</t>
  </si>
  <si>
    <t xml:space="preserve">Bhubaneswar, India</t>
  </si>
  <si>
    <t xml:space="preserve">Environment Guru</t>
  </si>
  <si>
    <t xml:space="preserve">Japan&amp;apos s Shinzo Abe Conjures Stunning Election Victory in a Boost for Donald Trump… https://t.co/0zYCVCUV86</t>
  </si>
  <si>
    <t xml:space="preserve">San Francisco, Ca</t>
  </si>
  <si>
    <t xml:space="preserve">Intelligence tools to find #water, #energy, #air, #greenbuilding, #toxic, #sustainability, #waste, #naturalresources including #news, #jobs, #events, and #bids</t>
  </si>
  <si>
    <t xml:space="preserve">Somewhere in North India</t>
  </si>
  <si>
    <t xml:space="preserve">Proud Indian, proud Hindu, ultra-Nationalist, Consultant, having interests in hetrodox economics, public policy,Indian history,Value Investing, Psychology</t>
  </si>
  <si>
    <t xml:space="preserve">#PrimeMinister Lee congratulates #Japan's #ShinzoAbe on Lower #Houseelection victory... https://t.co/zByq8q7JCe https://t.co/WOByoESmsJ</t>
  </si>
  <si>
    <t xml:space="preserve">Srinivas</t>
  </si>
  <si>
    <t xml:space="preserve">Shinzo Abe’s Japan election win lifts world stocks, dollar https://t.co/CsQW93Jy93</t>
  </si>
  <si>
    <t xml:space="preserve">Paulo Roberto</t>
  </si>
  <si>
    <t xml:space="preserve">aman namra</t>
  </si>
  <si>
    <t xml:space="preserve">RT @livemint: Shinzo Abe’s Japan election win lifts world stocks, dollar https://t.co/Ot3GvNplMw</t>
  </si>
  <si>
    <t xml:space="preserve">bhopal</t>
  </si>
  <si>
    <t xml:space="preserve">A Journalist by profession, intrested in real lfe changing stories</t>
  </si>
  <si>
    <t xml:space="preserve">Shinzo Abe’s Japan election win lifts world stocks, dollar https://t.co/rltPuYJPUv</t>
  </si>
  <si>
    <t xml:space="preserve">Shinzo Abe’s Japan election win lifts world stocks, dollar https://t.co/AuQXR3nyDQ https://t.co/gQYsYRLt0F</t>
  </si>
  <si>
    <t xml:space="preserve">Julie Hill</t>
  </si>
  <si>
    <t xml:space="preserve">Denver, CO</t>
  </si>
  <si>
    <t xml:space="preserve">Mother, Wife, Health &amp; Wellness Consultant, Gov Col for Active &amp; Healthy Living, AHA advocate, YMCA board of Trustees, DIG.</t>
  </si>
  <si>
    <t xml:space="preserve">Angelica</t>
  </si>
  <si>
    <t xml:space="preserve">san diego,ca</t>
  </si>
  <si>
    <t xml:space="preserve">#SanDiego🤗 native #mother of two girls.👭 #fitnessjourney 17 to 85 😢🏈🙈 #Padres ⚾️💖</t>
  </si>
  <si>
    <t xml:space="preserve">Shalabh Agarwal</t>
  </si>
  <si>
    <t xml:space="preserve">Senior EDI Consultant - Hyderabad - IBM Certified B2B Sterling Integrator v5.2 Solution Implementor</t>
  </si>
  <si>
    <t xml:space="preserve">ASPI</t>
  </si>
  <si>
    <t xml:space="preserve">Watch: Our @dannyrrussel on the snap election in Japan &amp; what Shinzo Abe's re-election means. https://t.co/TQ8qOXA7if</t>
  </si>
  <si>
    <t xml:space="preserve">New York, NY &amp; Washington, DC</t>
  </si>
  <si>
    <t xml:space="preserve">@AsiaSociety Policy Institute: Think- &amp; do-tank tackling policy challenges confronting the Asia-Pacific in security, prosperity &amp; sustainability. RT≠endorsement</t>
  </si>
  <si>
    <t xml:space="preserve">RT @wearehash: Japanese PM Shinzo Abe eyes hawkish reform to pacifist constitution after landslide election win. #News #Japan https://t.co/…</t>
  </si>
  <si>
    <t xml:space="preserve">Ravi Singh</t>
  </si>
  <si>
    <t xml:space="preserve">Ranchi , Jharkhand</t>
  </si>
  <si>
    <t xml:space="preserve">An ardent admirer of NaMo and his qualities - an engr, fedup with evils prevailing in the system - NaMo is only HOPE</t>
  </si>
  <si>
    <t xml:space="preserve">pandurangan</t>
  </si>
  <si>
    <t xml:space="preserve">Ajathasathru</t>
  </si>
  <si>
    <t xml:space="preserve">Don't be brainwashed by the propaganda and lies."</t>
  </si>
  <si>
    <t xml:space="preserve">美月</t>
  </si>
  <si>
    <r>
      <rPr>
        <sz val="8"/>
        <rFont val="Droid Sans"/>
        <family val="0"/>
        <charset val="1"/>
      </rPr>
      <t xml:space="preserve">★JAPAN Forward</t>
    </r>
    <r>
      <rPr>
        <sz val="8"/>
        <rFont val="Noto Sans CJK SC Regular"/>
        <family val="2"/>
      </rPr>
      <t xml:space="preserve">（産経英字新聞）●</t>
    </r>
    <r>
      <rPr>
        <sz val="8"/>
        <rFont val="Droid Sans"/>
        <family val="0"/>
        <charset val="1"/>
      </rPr>
      <t xml:space="preserve">Fresh From Election Victory, Will Shinzo Abe Get People’s Support for Constitutional Revision? …</t>
    </r>
  </si>
  <si>
    <r>
      <rPr>
        <sz val="8"/>
        <rFont val="Noto Sans CJK SC Regular"/>
        <family val="2"/>
      </rPr>
      <t xml:space="preserve">❤️まとめ・</t>
    </r>
    <r>
      <rPr>
        <sz val="8"/>
        <rFont val="Droid Sans"/>
        <family val="0"/>
        <charset val="1"/>
      </rPr>
      <t xml:space="preserve">news</t>
    </r>
    <r>
      <rPr>
        <sz val="8"/>
        <rFont val="Noto Sans CJK SC Regular"/>
        <family val="2"/>
      </rPr>
      <t xml:space="preserve">の更新お知らせ⭐️雑誌・ブログ→</t>
    </r>
    <r>
      <rPr>
        <sz val="8"/>
        <rFont val="Droid Sans"/>
        <family val="0"/>
        <charset val="1"/>
      </rPr>
      <t xml:space="preserve">@singeki_mizuki2⭐️</t>
    </r>
    <r>
      <rPr>
        <sz val="8"/>
        <rFont val="Noto Sans CJK SC Regular"/>
        <family val="2"/>
      </rPr>
      <t xml:space="preserve">まとめ約</t>
    </r>
    <r>
      <rPr>
        <sz val="8"/>
        <rFont val="Droid Sans"/>
        <family val="0"/>
        <charset val="1"/>
      </rPr>
      <t xml:space="preserve">90</t>
    </r>
    <r>
      <rPr>
        <sz val="8"/>
        <rFont val="Noto Sans CJK SC Regular"/>
        <family val="2"/>
      </rPr>
      <t xml:space="preserve">タイトル</t>
    </r>
    <r>
      <rPr>
        <sz val="8"/>
        <rFont val="Droid Sans"/>
        <family val="0"/>
        <charset val="1"/>
      </rPr>
      <t xml:space="preserve">1000</t>
    </r>
    <r>
      <rPr>
        <sz val="8"/>
        <rFont val="Noto Sans CJK SC Regular"/>
        <family val="2"/>
      </rPr>
      <t xml:space="preserve">記事→</t>
    </r>
    <r>
      <rPr>
        <sz val="8"/>
        <rFont val="Droid Sans"/>
        <family val="0"/>
        <charset val="1"/>
      </rPr>
      <t xml:space="preserve">@kougeki_mizuki⭐️</t>
    </r>
    <r>
      <rPr>
        <sz val="8"/>
        <rFont val="Noto Sans CJK SC Regular"/>
        <family val="2"/>
      </rPr>
      <t xml:space="preserve">各社ニュース約</t>
    </r>
    <r>
      <rPr>
        <sz val="8"/>
        <rFont val="Droid Sans"/>
        <family val="0"/>
        <charset val="1"/>
      </rPr>
      <t xml:space="preserve">2000</t>
    </r>
    <r>
      <rPr>
        <sz val="8"/>
        <rFont val="Noto Sans CJK SC Regular"/>
        <family val="2"/>
      </rPr>
      <t xml:space="preserve">記事→</t>
    </r>
    <r>
      <rPr>
        <sz val="8"/>
        <rFont val="Droid Sans"/>
        <family val="0"/>
        <charset val="1"/>
      </rPr>
      <t xml:space="preserve">@geigeki_mizuki4→</t>
    </r>
    <r>
      <rPr>
        <sz val="8"/>
        <rFont val="Noto Sans CJK SC Regular"/>
        <family val="2"/>
      </rPr>
      <t xml:space="preserve">予備アカ</t>
    </r>
    <r>
      <rPr>
        <sz val="8"/>
        <rFont val="Droid Sans"/>
        <family val="0"/>
        <charset val="1"/>
      </rPr>
      <t xml:space="preserve">@geigeki_mizuki⭐️</t>
    </r>
    <r>
      <rPr>
        <sz val="8"/>
        <rFont val="Noto Sans CJK SC Regular"/>
        <family val="2"/>
      </rPr>
      <t xml:space="preserve">動画約</t>
    </r>
    <r>
      <rPr>
        <sz val="8"/>
        <rFont val="Droid Sans"/>
        <family val="0"/>
        <charset val="1"/>
      </rPr>
      <t xml:space="preserve">100</t>
    </r>
    <r>
      <rPr>
        <sz val="8"/>
        <rFont val="Noto Sans CJK SC Regular"/>
        <family val="2"/>
      </rPr>
      <t xml:space="preserve">タイトル更新→</t>
    </r>
    <r>
      <rPr>
        <sz val="8"/>
        <rFont val="Droid Sans"/>
        <family val="0"/>
        <charset val="1"/>
      </rPr>
      <t xml:space="preserve">@situgeki_mizuki</t>
    </r>
  </si>
  <si>
    <t xml:space="preserve">CanadianPM</t>
  </si>
  <si>
    <t xml:space="preserve">PM Justin Trudeau congratulates Prime Minister Shinzo Abe on his victory in yesterday’s general election in Japan: https://t.co/Zxmm7mtnHb</t>
  </si>
  <si>
    <t xml:space="preserve">Official Twitter account of Justin Trudeau, Prime Minister of Canada – Terms: https://t.co/cVtd0EBoub – Français: @PMcanadien</t>
  </si>
  <si>
    <t xml:space="preserve">Alejo</t>
  </si>
  <si>
    <t xml:space="preserve">RT @CanadianPM: PM Justin Trudeau congratulates Prime Minister Shinzo Abe on his victory in yesterday’s general election in Japan: https://…</t>
  </si>
  <si>
    <t xml:space="preserve">Lima / Bruxelles </t>
  </si>
  <si>
    <t xml:space="preserve">Arquitecto - Urbanista / PUCP - UCLouvain / Perú - Belgique. Me gusta la política. Instagram @anglaigus</t>
  </si>
  <si>
    <t xml:space="preserve">Robert J Molnar</t>
  </si>
  <si>
    <t xml:space="preserve">North Korea fears Japan "invasion" after Shinzo Abe's victory https://t.co/1BGudZrbAz</t>
  </si>
  <si>
    <t xml:space="preserve">Silicon Valley USA</t>
  </si>
  <si>
    <t xml:space="preserve">game theorist and bad poker pro...did campaign politics, worked in government, dabbled in foreign policy...sanctioned Iran once. 3 time tech entrepreneur. #USA</t>
  </si>
  <si>
    <t xml:space="preserve">Vinayak</t>
  </si>
  <si>
    <t xml:space="preserve">Bengaluru, India.</t>
  </si>
  <si>
    <t xml:space="preserve">Made_In_India , from Hubli-Dharawd.</t>
  </si>
  <si>
    <t xml:space="preserve">Srinivasan V</t>
  </si>
  <si>
    <t xml:space="preserve">An Indian, settled @ Perth-Western Australia. Chartered Accountant by choice. Following Positive &amp; Enriching Thoughts, all around. Briefly in Seychelles, now.</t>
  </si>
  <si>
    <t xml:space="preserve">Anlabo Tsong™</t>
  </si>
  <si>
    <t xml:space="preserve">Malacañang on Monday congratulated Japanese Prime Minister Shinzo Abe following his big election victory, saying... https://t.co/x8mSUvxRZ0</t>
  </si>
  <si>
    <t xml:space="preserve">We're everywhere and nowhere.</t>
  </si>
  <si>
    <t xml:space="preserve">In war, you can only be killed once, but in politics, many times. #AyawSaDilaw #UnitedDDS #WeAreDuterte #NagaLeaks #ImpeachLeniRobredo #TindigMarawi #CocoyGate</t>
  </si>
  <si>
    <t xml:space="preserve">Alisyn Gayle</t>
  </si>
  <si>
    <t xml:space="preserve">Marc A. Ross</t>
  </si>
  <si>
    <t xml:space="preserve">Washington, DC + Detroit, MI </t>
  </si>
  <si>
    <t xml:space="preserve">Communications + Content + Commerce 🎯 Politics + Policy + Profits 🎯 Founder @the_brigadoon + @caracalglobal</t>
  </si>
  <si>
    <t xml:space="preserve">José Medina</t>
  </si>
  <si>
    <t xml:space="preserve">Japan Election Vindicates Shinzo Abe as His Party Wins Big https://t.co/jwNbq4DW34 via @nytimesworld</t>
  </si>
  <si>
    <t xml:space="preserve">Mexillenial originally from the desert, who believes in always ordering dessert.</t>
  </si>
  <si>
    <t xml:space="preserve">Jim Crump</t>
  </si>
  <si>
    <t xml:space="preserve">🇨🇦 with American friends and relatives trying to get a grasp of wtf is happening to 🇺🇸and hoping for sanity but losing hope</t>
  </si>
  <si>
    <t xml:space="preserve">Inderjeet Khanna</t>
  </si>
  <si>
    <t xml:space="preserve">RTs are not endorsement. Believer of Gross Happiness over GDP. Inclusivness can only be sustained and become reason of fulfillment and joy.</t>
  </si>
  <si>
    <t xml:space="preserve">Nessie 🚑</t>
  </si>
  <si>
    <t xml:space="preserve">I know I come across as super fancy. I'm not. - Sweet Dee Reynolds.</t>
  </si>
  <si>
    <t xml:space="preserve">Ranjit Swain 🇮🇳</t>
  </si>
  <si>
    <t xml:space="preserve">Obsessed by trains - traveling from 9th day. I don't support any particular party, for me Nation is first. Huge fan of Shri Narendra Modi.Fo by @PiyushGoyalOffc</t>
  </si>
  <si>
    <t xml:space="preserve">Abusidiqu.com</t>
  </si>
  <si>
    <t xml:space="preserve">Trump Congratulates Japan's Prime Minister, Shinzo Abe On Election Victory - https://t.co/WNT6t1Rk1V https://t.co/XDa0QvORwp</t>
  </si>
  <si>
    <t xml:space="preserve">abusidiq blog app</t>
  </si>
  <si>
    <t xml:space="preserve">Official page for http://t.co/2vwSYsZrOY. We amplify your thoughts, News and in-depth analysis on topical issues. E-mail: info@abusidiqu.com</t>
  </si>
  <si>
    <t xml:space="preserve">ZZ</t>
  </si>
  <si>
    <t xml:space="preserve">(Trump Congratulates Japan's Prime Minister, Shinzo Abe On Election Victory) - https://t.co/r5UAb9T2Ok https://t.co/T9wlDoJH1e</t>
  </si>
  <si>
    <t xml:space="preserve">Tweet At Me</t>
  </si>
  <si>
    <t xml:space="preserve">Entrepreneur||PoliticalAnalyst||01582🤘🏼</t>
  </si>
  <si>
    <t xml:space="preserve">Abubakar Sidiq Usman</t>
  </si>
  <si>
    <t xml:space="preserve">Trump Congratulates Japan's Prime Minister, Shinzo Abe On Election Victory - https://t.co/gomAiY9n9b https://t.co/VjWuNghqC2</t>
  </si>
  <si>
    <t xml:space="preserve">mr abusidiq</t>
  </si>
  <si>
    <t xml:space="preserve">Urban Planner | City Manager | Development Expert | Aspiring Politician | Digital Media Strategist | Publisher, https://t.co/UibvzTICHv @Abusidiqublog</t>
  </si>
  <si>
    <t xml:space="preserve">RuralReporters</t>
  </si>
  <si>
    <t xml:space="preserve">Trump Congratulates Japan's Prime Minister, Shinzo Abe On Election Victory - https://t.co/lFlKH1c7fq https://t.co/kOFXusZ9q3</t>
  </si>
  <si>
    <t xml:space="preserve">Lekan</t>
  </si>
  <si>
    <t xml:space="preserve">Founding Team @rural_reporters| Development Journalist|Social Worker</t>
  </si>
  <si>
    <t xml:space="preserve">USMAN, Abbass Babayo</t>
  </si>
  <si>
    <t xml:space="preserve">Trump Congratulates Japan's Prime Minister, Shinzo Abe On Election Victory - https://t.co/MddjV4YfM2 https://t.co/4ApNF3KFhN</t>
  </si>
  <si>
    <t xml:space="preserve">abusidiq blog app shangu</t>
  </si>
  <si>
    <t xml:space="preserve">Official Twitter account of Usman, Abbass Babayo of Nigeria, Tweets are my views (RT, following does not constitute endorsement) | Future sophisticated investor</t>
  </si>
  <si>
    <t xml:space="preserve">News, Fx-rates</t>
  </si>
  <si>
    <t xml:space="preserve">Trump Congratulates Japan's Prime Minister, Shinzo Abe On Election Victory - https://t.co/HGz9XvFYFI https://t.co/WslKA27QBO</t>
  </si>
  <si>
    <t xml:space="preserve">abusidiq blog app nbp</t>
  </si>
  <si>
    <t xml:space="preserve">Abuja, Nigeria.</t>
  </si>
  <si>
    <t xml:space="preserve">Latest news in Nigeria, get FOREX rates of naira against Pounds, Dollar, Euro. Do you have any information for us? Reach us using: nigerianewsdeck@gmail.com</t>
  </si>
  <si>
    <t xml:space="preserve">priya iyer</t>
  </si>
  <si>
    <t xml:space="preserve">Hemant Chaudhary</t>
  </si>
  <si>
    <t xml:space="preserve">Thriving this life !</t>
  </si>
  <si>
    <t xml:space="preserve">Canada Mission UN</t>
  </si>
  <si>
    <t xml:space="preserve">Permanent Mission of Canada to the United Nations FR: @CanadaONU PR: @BlanchardCanada DPR: @CdnAmbUN DPR: @blais_louise https://t.co/YcijzugMJP</t>
  </si>
  <si>
    <t xml:space="preserve">Repeal 93rd</t>
  </si>
  <si>
    <t xml:space="preserve">Crazy, Rebellious, Unpredictable, Love to piss off others...</t>
  </si>
  <si>
    <t xml:space="preserve">Business Review Asia</t>
  </si>
  <si>
    <t xml:space="preserve">Japanese stocks surge as @AbeShinzo is elected Prime Minister of Japan 👔 Read More 👉 https://t.co/t5KukDozWB https://t.co/8raBJ9KxnT</t>
  </si>
  <si>
    <t xml:space="preserve">Digital magazine and news channel focusing on #Asian #business.</t>
  </si>
  <si>
    <t xml:space="preserve">luanquan29425</t>
  </si>
  <si>
    <t xml:space="preserve">What Shinzo Abe’s election win will mean for China-Japan relations https://t.co/ivrXLZVqcN</t>
  </si>
  <si>
    <t xml:space="preserve">Grahame Lucas</t>
  </si>
  <si>
    <t xml:space="preserve">Shinzo Abe secures strong mandate in Japan's general election https://t.co/54LXRFpHWW</t>
  </si>
  <si>
    <t xml:space="preserve">Crowdfire - Go Big</t>
  </si>
  <si>
    <t xml:space="preserve">Citizen of nowhere</t>
  </si>
  <si>
    <t xml:space="preserve">Journalist, lecturer: #FreeRaif, #PressFreedom, #StopBrexit, #HeForShe, #ClimateChange #AbolishTheDeathPenalty. Own views, RTs not endorsement</t>
  </si>
  <si>
    <t xml:space="preserve">Japan's Shinzo Abe aims at N. Korea threat after storming to 'super-majority' election win https://t.co/gnB3pLhdGw https://t.co/hWQtpPc4tp</t>
  </si>
  <si>
    <t xml:space="preserve">https://t.co/nuAY1hJI3u</t>
  </si>
  <si>
    <t xml:space="preserve">Foreign Policy CAN</t>
  </si>
  <si>
    <t xml:space="preserve">Canada’s Foreign Policy activities are led by Global Affairs Canada - Français : @CanadaPE - https://t.co/YcijzugMJP</t>
  </si>
  <si>
    <t xml:space="preserve">Inky Mark</t>
  </si>
  <si>
    <t xml:space="preserve">RT @GrahameLucas: Shinzo Abe secures strong mandate in Japan's general election https://t.co/54LXRFpHWW</t>
  </si>
  <si>
    <t xml:space="preserve">dauphin,manitoba</t>
  </si>
  <si>
    <t xml:space="preserve">Retired MP(1997-2010/ 5 Parties),immigrant(3 gen.) China 1955,hometown Gilbert Plains,MB, teacher,bus,mayor of Dauphin,MB,rebel,wife Lynda Burelle,Roblin,2sons</t>
  </si>
  <si>
    <t xml:space="preserve">प्रवीर</t>
  </si>
  <si>
    <t xml:space="preserve">जय भारत, जय भवानी, हर हर महादेव। RTs किसी के विचारों का अनुमोदन नहीं है।</t>
  </si>
  <si>
    <t xml:space="preserve">News SummedUp Kenya</t>
  </si>
  <si>
    <t xml:space="preserve">Shinzo Abe sweeps to resounding victory in Japan snap election https://t.co/dY1UqdBj3v</t>
  </si>
  <si>
    <t xml:space="preserve">Get yourself covered by News Summed Up! Email us at aprilinnovationslab@gmail.com Download now https://t.co/5vDRNSUuRg</t>
  </si>
  <si>
    <t xml:space="preserve">MAX Security</t>
  </si>
  <si>
    <t xml:space="preserve">Shinzo Abe secures strong mandate in #Japan's general election | World news | The Guardian https://t.co/hTN0ugwnN7</t>
  </si>
  <si>
    <t xml:space="preserve">HubSpot</t>
  </si>
  <si>
    <t xml:space="preserve">Europe,Middle East,Africa,Asia</t>
  </si>
  <si>
    <t xml:space="preserve">Real-time, insightful intelligence combined with on-ground operational capabilities is the synergy that sets us apart. Learn more: https://t.co/TbZ6fVj1Hi</t>
  </si>
  <si>
    <t xml:space="preserve">Rembert Pineda</t>
  </si>
  <si>
    <t xml:space="preserve">RT @AnlaboTsong: Malacañang on Monday congratulated Japanese Prime Minister Shinzo Abe following his big election victory, saying... https:…</t>
  </si>
  <si>
    <t xml:space="preserve">Шiηd Tαℓkεя!</t>
  </si>
  <si>
    <t xml:space="preserve">Anjanaabh</t>
  </si>
  <si>
    <t xml:space="preserve">I Exist Because You Imagine I Do! I Exist In Your Mind! Yeah, I Fucking Am! 😜</t>
  </si>
  <si>
    <t xml:space="preserve">Barry Burden</t>
  </si>
  <si>
    <t xml:space="preserve">Abe's LDP majority appears the biggest since the party was founded. https://t.co/Q42c0Uq35w https://t.co/OdVPiVqlGy</t>
  </si>
  <si>
    <t xml:space="preserve">Madison, WI</t>
  </si>
  <si>
    <t xml:space="preserve">Professor of Political Science. Director of @electionscenter. First gen college grad. Has been known to Tweet irregularly.</t>
  </si>
  <si>
    <t xml:space="preserve">alex gamalinda</t>
  </si>
  <si>
    <t xml:space="preserve">san Diego,california</t>
  </si>
  <si>
    <t xml:space="preserve">"ALWAYS MAKE THE BEST DAY OF ALL TIMES " aircraft maintenance Engineer graduate 1976,work in abroad as Electrical Tech and maint supervisor different countries.</t>
  </si>
  <si>
    <t xml:space="preserve">FPI</t>
  </si>
  <si>
    <t xml:space="preserve">.@motokorich on Japan election results https://t.co/B4alyniAmp https://t.co/WzRxo2aH2w</t>
  </si>
  <si>
    <t xml:space="preserve">Changing the ratio. Amplifying female voices. Interrupting Foreign Policy. Co-founding Interruptors: @EndeavoringE @LaurenBohn Holler: info@fpinterrupted.com</t>
  </si>
  <si>
    <t xml:space="preserve">Omar Vera</t>
  </si>
  <si>
    <t xml:space="preserve">New York, NY, USA </t>
  </si>
  <si>
    <t xml:space="preserve">Official Twitter Profile of Omar Vera, an enthusiastic and very outgoing young person, a fan of subway systems, and advocates for better transit and much more.</t>
  </si>
  <si>
    <t xml:space="preserve">Pepe Fdez-Albertos</t>
  </si>
  <si>
    <t xml:space="preserve">RT @bcburden: Abe's LDP majority appears the biggest since the party was founded. https://t.co/Q42c0Uq35w https://t.co/OdVPiVqlGy</t>
  </si>
  <si>
    <t xml:space="preserve">Soy politólogo, hablo de política y economía, y escribo en el blog Piedras de Papel. https://t.co/lQ0MzP4cmT</t>
  </si>
  <si>
    <t xml:space="preserve">Ask Me a QUESTION</t>
  </si>
  <si>
    <t xml:space="preserve">Lorenzo Bukot2x Village</t>
  </si>
  <si>
    <t xml:space="preserve">Isang Bagay lng gusto ko ay maging bagay tayo! BWAHAHAHAHA!!</t>
  </si>
  <si>
    <t xml:space="preserve">Virgi</t>
  </si>
  <si>
    <t xml:space="preserve">RT @mattakaneko: PM Lee Hsien Loong congratulates Japan's Shinzo Abe on Lower House election victory https://t.co/fQxePf26xs</t>
  </si>
  <si>
    <t xml:space="preserve">Jaén </t>
  </si>
  <si>
    <t xml:space="preserve">Camarera en Cerro Puerta. Seguidora Mr.Donald Tusk</t>
  </si>
  <si>
    <t xml:space="preserve">Prem</t>
  </si>
  <si>
    <t xml:space="preserve">Shinzo Abe’s Japan election win lifts world stocks, dollar https://t.co/LjKKWgICVJ</t>
  </si>
  <si>
    <t xml:space="preserve">R Jagannathan</t>
  </si>
  <si>
    <t xml:space="preserve">Editorial Director of Swarajya. Earlier editor at Firstpost &amp; Forbes India. The views expressed are purely personal. Not all retweets are endorsements.</t>
  </si>
  <si>
    <t xml:space="preserve">Neelesh Jadhav</t>
  </si>
  <si>
    <t xml:space="preserve">Yinan He</t>
  </si>
  <si>
    <t xml:space="preserve">Japan Election Vindicates Shinzo Abe as His Party Wins Big https://t.co/wuel5Z1fWv</t>
  </si>
  <si>
    <t xml:space="preserve">International relations professor at Lehigh University. Author of The Search for Reconciliation: Sino-Japanese and German-Polish Relations since World War II</t>
  </si>
  <si>
    <t xml:space="preserve">Almond</t>
  </si>
  <si>
    <t xml:space="preserve">✴️Asteris✴️</t>
  </si>
  <si>
    <t xml:space="preserve">RT @ReutersTV: Shinzo Abe's risky snap election pays off as the Japanese prime minister cruises to victory: https://t.co/pRzHcWx7UN https:/…</t>
  </si>
  <si>
    <t xml:space="preserve">Tweets are my opinions. Not responsible for tweets received/retweeted. No lists. DON'T FIGHT! UNITE!</t>
  </si>
  <si>
    <t xml:space="preserve">Manthak</t>
  </si>
  <si>
    <t xml:space="preserve">Shinzo Abe’s Japan election win lifts world stocks, dollar https://t.co/VcsvbrCrb7</t>
  </si>
  <si>
    <t xml:space="preserve">Ordinary Human Being..!</t>
  </si>
  <si>
    <t xml:space="preserve">Sagara Lotus</t>
  </si>
  <si>
    <t xml:space="preserve">Fresh From Election Victory, Will Shinzo Abe Get People’s Support for Constitutional Revision? https://t.co/0AhXTHzpad</t>
  </si>
  <si>
    <t xml:space="preserve">読書と歴史が好きなインドア派。 最近、美術館巡りが趣味になってます。</t>
  </si>
  <si>
    <t xml:space="preserve">Asian Studies at GU</t>
  </si>
  <si>
    <t xml:space="preserve">Prof @SheilaSmithCFR quoted in "#Japan Election Vindicates #ShinzoAbe as His Party Wins Big" | New York Times https://t.co/z529qV1sSC</t>
  </si>
  <si>
    <t xml:space="preserve">This is the official account of the @georgetownSFS Asian Studies Program. Follow us to receive updates on Asia, the MASIA degree, and events. RT ≠ Endorsement</t>
  </si>
  <si>
    <t xml:space="preserve">Asif</t>
  </si>
  <si>
    <t xml:space="preserve">#Money Japan Q&amp;A: why Abe’s victory cheers investors - Shinzo Abe’s third election victory by no means solves J... https://t.co/xGZ6C9Lo6E</t>
  </si>
  <si>
    <t xml:space="preserve">MD @PMA_Accountants in Wanstead, East London. Photographer. Supporter of Liverpool FC. Also @ https://t.co/6y05Zg9LeN</t>
  </si>
  <si>
    <t xml:space="preserve">LALIT SHARMA</t>
  </si>
  <si>
    <t xml:space="preserve">Bhakt. Pessimist. Followed by chancellor of USA,President of UK&amp; PM of Germany</t>
  </si>
  <si>
    <t xml:space="preserve">Suresh Sadagopan</t>
  </si>
  <si>
    <t xml:space="preserve">Certified Financial Planner, Columnist, Thinker, Founder - Ladder7 Financial Advisories.</t>
  </si>
  <si>
    <t xml:space="preserve">Madrid Exterior</t>
  </si>
  <si>
    <t xml:space="preserve">PM Justin Trudeau congratulates Prime Minister Shinzo Abe on his victory in yesterday’s general election in Japan: https://t.co/DFslhgjx1M…</t>
  </si>
  <si>
    <t xml:space="preserve">#Noticias e #Información de #Actualidad para #invertir en #Madrid. Director: @fmarin_ES También en @Estrellas_Siete, @InfluyenMadrid y @Marca_Madrid_</t>
  </si>
  <si>
    <t xml:space="preserve">Indian Stocks Update</t>
  </si>
  <si>
    <t xml:space="preserve">Shinzo Abe’s Japan election win lifts world stocks, dollar https://t.co/vcFfvGHY4l</t>
  </si>
  <si>
    <t xml:space="preserve">GoogleScriptToTweet</t>
  </si>
  <si>
    <t xml:space="preserve">Automatically tweeting latest news about Indian Share Market from Google News (This is not a stock broker/advisor) #BSE #NSE #SENSEX #Investing</t>
  </si>
  <si>
    <t xml:space="preserve">ShantiChennai</t>
  </si>
  <si>
    <t xml:space="preserve">Praying for NaMo 2019!</t>
  </si>
  <si>
    <t xml:space="preserve">ILoveIndia</t>
  </si>
  <si>
    <t xml:space="preserve">Indian!!!</t>
  </si>
  <si>
    <t xml:space="preserve">Biju Nair</t>
  </si>
  <si>
    <t xml:space="preserve">I am proud to belong to a religion which has taught the world both tolerance and universal acceptance.</t>
  </si>
  <si>
    <t xml:space="preserve">YYCFLFedLiberal</t>
  </si>
  <si>
    <t xml:space="preserve">The official twitter of The Liberal Party of Canada in Calgary Forest Lawn</t>
  </si>
  <si>
    <t xml:space="preserve">Debesh Majumdar</t>
  </si>
  <si>
    <t xml:space="preserve">Some like them hot. Some like them cold. Some don't like them at all. They are my tweets. Tweets are public but personal. RTs may or may not be endorsements.</t>
  </si>
  <si>
    <t xml:space="preserve">Nobel Mason ∴</t>
  </si>
  <si>
    <t xml:space="preserve">N. America</t>
  </si>
  <si>
    <t xml:space="preserve">- Ph.D. Aviation Security - Masters of Aviation Science - B. Sc. Computer Sc. &amp; Math. - Pilot (ATP) - Black Belt Kyusho Jitsu - Black Belt Hapkido-Brown Ishinr</t>
  </si>
  <si>
    <t xml:space="preserve">Mohit Kabra</t>
  </si>
  <si>
    <t xml:space="preserve">Die-hard cricket fan, IITB alum, wannabe strategy consultant and part time arm chair expert on arm-chairing</t>
  </si>
  <si>
    <t xml:space="preserve">Shinzo Abe’s Japan election win lifts world stocks, dollar https://t.co/lzHaQuUVrP</t>
  </si>
  <si>
    <t xml:space="preserve">I.N.A. 99th Brigade</t>
  </si>
  <si>
    <t xml:space="preserve">Truth is bitter, knowledge is gold learn one to gain the other. Armchair analyst, conspiracy theory nut (specially ufo's), s/w, h/w tech addict &amp; a history buff</t>
  </si>
  <si>
    <t xml:space="preserve">DHINAMUM</t>
  </si>
  <si>
    <t xml:space="preserve">Rajdroh Sardesai</t>
  </si>
  <si>
    <t xml:space="preserve">Constipationoble</t>
  </si>
  <si>
    <t xml:space="preserve">World lightweight boxing champion 2002 Madison Square. Parody account</t>
  </si>
  <si>
    <t xml:space="preserve">Ninja For Hire</t>
  </si>
  <si>
    <t xml:space="preserve">I'm big in Japan</t>
  </si>
  <si>
    <t xml:space="preserve">Shrikant Deshpande</t>
  </si>
  <si>
    <t xml:space="preserve">India first!!! Dreamer &amp; a proud Hindu! love to debate! Punekar to the core! Will appreciate a good argument even if i don't agree :) RT not endorsement</t>
  </si>
  <si>
    <t xml:space="preserve">Jitendra Kumar 🇮🇳</t>
  </si>
  <si>
    <t xml:space="preserve">Sanjaykumar Singh</t>
  </si>
  <si>
    <t xml:space="preserve">Akhand Bharat</t>
  </si>
  <si>
    <t xml:space="preserve">Tweets are personal views, if u r offended thats ur problem. ।। हिन्दू प्रचंड हो ।। भारत अखंड हो ।।</t>
  </si>
  <si>
    <t xml:space="preserve">Japan's Prime Minister Shinzo Abe faces long-term economic challenges now the election is over https://t.co/z3odEm3VWZ</t>
  </si>
  <si>
    <t xml:space="preserve">THE WALL STREET JOURNAL: Japan's Prime Minister Shinzo Abe faces long-term economic challenges now the election is… https://t.co/KKOjK5GDsb</t>
  </si>
  <si>
    <r>
      <rPr>
        <sz val="8"/>
        <rFont val="Noto Sans CJK SC Regular"/>
        <family val="2"/>
      </rPr>
      <t xml:space="preserve">壁の向こうは壁だったヽ</t>
    </r>
    <r>
      <rPr>
        <sz val="8"/>
        <rFont val="Droid Sans"/>
        <family val="0"/>
        <charset val="1"/>
      </rPr>
      <t xml:space="preserve">(´o</t>
    </r>
    <r>
      <rPr>
        <sz val="8"/>
        <rFont val="Noto Sans CJK SC Regular"/>
        <family val="2"/>
      </rPr>
      <t xml:space="preserve">｀；</t>
    </r>
  </si>
  <si>
    <t xml:space="preserve">RT @WSJ: Japan's Prime Minister Shinzo Abe faces long-term economic challenges now the election is over https://t.co/z3odEm3VWZ</t>
  </si>
  <si>
    <t xml:space="preserve">たまにつぶやく。ぶつぶつぶつ…。</t>
  </si>
  <si>
    <t xml:space="preserve">EnLawded.com</t>
  </si>
  <si>
    <t xml:space="preserve">EnLawded API</t>
  </si>
  <si>
    <t xml:space="preserve">#Surely The #Biggest #Unknown #Adidas #Originals #Brand #Celebration of All Time with 54 Countries &amp; #Nations #Honoured : #Peace ! @EnLawded</t>
  </si>
  <si>
    <t xml:space="preserve">WSJ: Japan's Prime Minister Shinzo Abe faces long-term economic challenges now the election is over https://t.co/ITPYLXsB4O</t>
  </si>
  <si>
    <t xml:space="preserve">PMA Accountants</t>
  </si>
  <si>
    <t xml:space="preserve">#Money Japan Q&amp;A: why Abe’s victory cheers investors - Shinzo Abe’s third election victory by no means solves J... https://t.co/E0vFafHT2Y</t>
  </si>
  <si>
    <t xml:space="preserve">Wanstead, London, E11</t>
  </si>
  <si>
    <t xml:space="preserve">Accountants Based In Wanstead, East London - Offering Accounts, Taxation, Business Advisory And Support Services. Free Consultation - Call 0203 189 1736</t>
  </si>
  <si>
    <t xml:space="preserve">meHFT</t>
  </si>
  <si>
    <t xml:space="preserve">Japan's Prime Minister Shinzo Abe faces long-term economic challenges now the election is over #Forex</t>
  </si>
  <si>
    <t xml:space="preserve">FXZoneOfficial</t>
  </si>
  <si>
    <t xml:space="preserve">Live forex financial news in English and Arabic</t>
  </si>
  <si>
    <t xml:space="preserve">J♠️Carter</t>
  </si>
  <si>
    <t xml:space="preserve">Japan's Prime Minister Shinzo Abe faces long-term economic challenges now the election is over https://t.co/YbOsNGKaVZ</t>
  </si>
  <si>
    <t xml:space="preserve">Steven Russolillo</t>
  </si>
  <si>
    <t xml:space="preserve">@WSJ markets reporter in Hong Kong. Ex @GoldmanSachs. MBA at @baruchcollege. @UDelaware Blue Hen. Massapequa/Delaware/Hoboken/NYC/Hong Kong.</t>
  </si>
  <si>
    <t xml:space="preserve">WSJ: Japan's Prime Minister Shinzo Abe faces long-term economic challenges now the election is over https://t.co/ZOEMnAZUiF</t>
  </si>
  <si>
    <t xml:space="preserve">msn</t>
  </si>
  <si>
    <t xml:space="preserve">Free Asian Alliance</t>
  </si>
  <si>
    <t xml:space="preserve">JAPAN,USA,TAIWAN,HONGKONG, INDIA,TIBET,UYGHUR, ENGLAND   ALL ASIA, Avoid the Pig Rude Crime</t>
  </si>
  <si>
    <t xml:space="preserve">#MAGA #AmericaFirst #Japan1st #BritainFirst #SaveHongKong #TaiwanIndependence #GreatIndia #SaveTibet #SaveUyghur #SaveSouthMongolia</t>
  </si>
  <si>
    <t xml:space="preserve">WSJ: Japan's Prime Minister Shinzo Abe faces long-term economic challenges now the election is over … https://t.co/kCLfzUFxzq</t>
  </si>
  <si>
    <t xml:space="preserve">Jordan FHT</t>
  </si>
  <si>
    <t xml:space="preserve">Chelsea, London</t>
  </si>
  <si>
    <t xml:space="preserve">FX and Binary Options trader with #FHT We have vacancies for new traders, if you are interested in joining my team then please DM me to start your free trial.</t>
  </si>
  <si>
    <t xml:space="preserve">The Observer</t>
  </si>
  <si>
    <t xml:space="preserve">Merlin</t>
  </si>
  <si>
    <t xml:space="preserve">Japan's Prime Minister Shinzo Abe faces long-term economic challenges now the election is over https://t.co/r3yh2Xe3K7</t>
  </si>
  <si>
    <t xml:space="preserve">Japan's Prime Minister Shinzo Abe faces long-term economic challenges now the election is over https://t.co/OYlsKe6vBJ</t>
  </si>
  <si>
    <t xml:space="preserve">WSJ: Japan's Prime Minister Shinzo Abe faces long-term economic challenges now the election is over https://t.co/z5jsDOByEO</t>
  </si>
  <si>
    <t xml:space="preserve">WSJ: Japan's Prime Minister Shinzo Abe faces long-term economic challenges now the election is over https://t.co/dAFehxNi3w</t>
  </si>
  <si>
    <t xml:space="preserve">KSP_Libs</t>
  </si>
  <si>
    <t xml:space="preserve">Kildonan-St. Paul Winnipeg MB</t>
  </si>
  <si>
    <t xml:space="preserve">Visit https://t.co/NLc89WwfOM &amp; sign up to become a #LPC supporter, to donate or to become a volunteer. Contact the KSP EDA via Direct Message.</t>
  </si>
  <si>
    <t xml:space="preserve">Saiprasad Bagrecha</t>
  </si>
  <si>
    <t xml:space="preserve">https://t.co/Ldqyvyd5Mr ,Shinzo Abe’s Japan election win lifts world stocks, dollar https://t.co/PMFc8oFRfZ</t>
  </si>
  <si>
    <t xml:space="preserve">IndianTaxHome</t>
  </si>
  <si>
    <t xml:space="preserve">Chartered Accountant by Profession. Updates on Stocks, Personal Finance, Investments, Savings, Income Tax, GST, Value Creation, Law and Technology</t>
  </si>
  <si>
    <t xml:space="preserve">Japan's Prime Minister Shinzo Abe faces long-term economic challenges now the election is over https://t.co/o7d5lnCZhX</t>
  </si>
  <si>
    <t xml:space="preserve">nishiki_e</t>
  </si>
  <si>
    <t xml:space="preserve">Japan Election Vindicates Shinzo Abe as His Party Wins Big https://t.co/IXEgCOzbl1</t>
  </si>
  <si>
    <r>
      <rPr>
        <sz val="8"/>
        <rFont val="Noto Sans CJK SC Regular"/>
        <family val="2"/>
      </rPr>
      <t xml:space="preserve">約</t>
    </r>
    <r>
      <rPr>
        <sz val="8"/>
        <rFont val="Droid Sans"/>
        <family val="0"/>
        <charset val="1"/>
      </rPr>
      <t xml:space="preserve">1600</t>
    </r>
    <r>
      <rPr>
        <sz val="8"/>
        <rFont val="Noto Sans CJK SC Regular"/>
        <family val="2"/>
      </rPr>
      <t xml:space="preserve">年前にどんぶらこと小舟で河内湖</t>
    </r>
    <r>
      <rPr>
        <sz val="8"/>
        <rFont val="Droid Sans"/>
        <family val="0"/>
        <charset val="1"/>
      </rPr>
      <t xml:space="preserve">(</t>
    </r>
    <r>
      <rPr>
        <sz val="8"/>
        <rFont val="Noto Sans CJK SC Regular"/>
        <family val="2"/>
      </rPr>
      <t xml:space="preserve">現・富田林市</t>
    </r>
    <r>
      <rPr>
        <sz val="8"/>
        <rFont val="Droid Sans"/>
        <family val="0"/>
        <charset val="1"/>
      </rPr>
      <t xml:space="preserve">)</t>
    </r>
    <r>
      <rPr>
        <sz val="8"/>
        <rFont val="Noto Sans CJK SC Regular"/>
        <family val="2"/>
      </rPr>
      <t xml:space="preserve">へ流れ着いた百済系機織り集団</t>
    </r>
    <r>
      <rPr>
        <sz val="8"/>
        <rFont val="Droid Sans"/>
        <family val="0"/>
        <charset val="1"/>
      </rPr>
      <t xml:space="preserve">(</t>
    </r>
    <r>
      <rPr>
        <sz val="8"/>
        <rFont val="Noto Sans CJK SC Regular"/>
        <family val="2"/>
      </rPr>
      <t xml:space="preserve">錦織部・にしこりべ</t>
    </r>
    <r>
      <rPr>
        <sz val="8"/>
        <rFont val="Droid Sans"/>
        <family val="0"/>
        <charset val="1"/>
      </rPr>
      <t xml:space="preserve">)</t>
    </r>
    <r>
      <rPr>
        <sz val="8"/>
        <rFont val="Noto Sans CJK SC Regular"/>
        <family val="2"/>
      </rPr>
      <t xml:space="preserve">の末裔。なのに放浪癖のみ受け継ぎ、裁縫など手芸関係が全く出来ぬサボテンも枯らすオナゴ</t>
    </r>
    <r>
      <rPr>
        <sz val="8"/>
        <rFont val="Droid Sans"/>
        <family val="0"/>
        <charset val="1"/>
      </rPr>
      <t xml:space="preserve">w@</t>
    </r>
    <r>
      <rPr>
        <sz val="8"/>
        <rFont val="Noto Sans CJK SC Regular"/>
        <family val="2"/>
      </rPr>
      <t xml:space="preserve">都内在住</t>
    </r>
  </si>
  <si>
    <t xml:space="preserve">Japan's Prime Minister Shinzo Abe faces long-term economic challenges now the election is over https://t.co/IauCiBGlyL</t>
  </si>
  <si>
    <t xml:space="preserve">WSJ: Japan's Prime Minister Shinzo Abe faces long-term economic challenges now the election is over https://t.co/ze1Kg5Yhhk</t>
  </si>
  <si>
    <t xml:space="preserve">Sabri Megueddem</t>
  </si>
  <si>
    <t xml:space="preserve">Paris - New York </t>
  </si>
  <si>
    <t xml:space="preserve">Student at @SciencesPo, @enmarchefr enthusiast, @LesEchos' columnist. Flying liberal.</t>
  </si>
  <si>
    <t xml:space="preserve">Leroy Enrique Arao</t>
  </si>
  <si>
    <t xml:space="preserve">Japan's Prime Minister Shinzo Abe faces long-term economic challenges now the election is over https://t.co/3nQavWEVzj</t>
  </si>
  <si>
    <t xml:space="preserve">RT WSJ: Japan's Prime Minister Shinzo Abe faces long-term economic challenges now the election is over https://t.co/ehoo9SdzXY</t>
  </si>
  <si>
    <t xml:space="preserve">Tarra Run</t>
  </si>
  <si>
    <t xml:space="preserve">Vijaya Kumar</t>
  </si>
  <si>
    <t xml:space="preserve">INDIA. </t>
  </si>
  <si>
    <t xml:space="preserve">Dreaming for ... a Strong, Powerful &amp; Glorious INDIA, in a Beautiful WORLD... 'Vasudhaiva Kutumbakam' !!! ... RTs are Not Endorsements !</t>
  </si>
  <si>
    <t xml:space="preserve">Ghislain Amega</t>
  </si>
  <si>
    <t xml:space="preserve">Quebec - Canada</t>
  </si>
  <si>
    <t xml:space="preserve">Japan's Prime Minister Shinzo Abe faces long-term economic challenges now the election is over https://t.co/YzZzvEDsls</t>
  </si>
  <si>
    <t xml:space="preserve">Japan's Prime Minister Shinzo Abe faces long-term economic challenges now the election is over https://t.co/Lp5zQpOMkl</t>
  </si>
  <si>
    <t xml:space="preserve">NolanDraco</t>
  </si>
  <si>
    <t xml:space="preserve">Shinzo Abe just moved closer to becoming Japan’s longest-serving leader https://t.co/TmYHN71SsJ</t>
  </si>
  <si>
    <t xml:space="preserve">TwitterBernie</t>
  </si>
  <si>
    <t xml:space="preserve">Flatiron, Manhattan</t>
  </si>
  <si>
    <t xml:space="preserve">Serial Tweeter, EDM Junkie,</t>
  </si>
  <si>
    <t xml:space="preserve">RT WSJ "Japan's Prime Minister Shinzo Abe faces long-term economic challenges now the election is over https://t.co/WJzktx9RFR"</t>
  </si>
  <si>
    <t xml:space="preserve">Leading Edge Guides</t>
  </si>
  <si>
    <t xml:space="preserve">Vanessa Polius</t>
  </si>
  <si>
    <t xml:space="preserve">interest include human and world events. I can be contacted at vamessapolius@gmail.com</t>
  </si>
  <si>
    <t xml:space="preserve">Nicolás Mamadera</t>
  </si>
  <si>
    <t xml:space="preserve">"...καὶ γνώσεσθε τὴν ἀλήθειαν, καὶ ἡ ἀλήθεια ἐλευθερώσει ὑμᾶς".</t>
  </si>
  <si>
    <t xml:space="preserve">Gabriel Morales</t>
  </si>
  <si>
    <t xml:space="preserve">Querétaro</t>
  </si>
  <si>
    <t xml:space="preserve">Un buen periódico es una nación hablándose a sí misma: Arthur Miller</t>
  </si>
  <si>
    <t xml:space="preserve">FXDD</t>
  </si>
  <si>
    <t xml:space="preserve">MetaTrader 4 | Currency Trading | Forex Trading Software. Risk Disclosure: http://t.co/aGUfH8WDGj</t>
  </si>
  <si>
    <t xml:space="preserve">charles warren</t>
  </si>
  <si>
    <t xml:space="preserve">martial artist, husband, father, navigator, land economist</t>
  </si>
  <si>
    <t xml:space="preserve">Hemang Palan</t>
  </si>
  <si>
    <t xml:space="preserve">Mumbai wen not globetrotting </t>
  </si>
  <si>
    <t xml:space="preserve">entrepreneur/industrialist,Exporter textiles. proud INDIAN 🇮🇳 RT r RT</t>
  </si>
  <si>
    <t xml:space="preserve">ᗰᗪᑭ ᔕOᖇᑌ 🎈</t>
  </si>
  <si>
    <t xml:space="preserve">RT nytimesworld: Shinzo Abe's party is on the road to a major victory in Japan's elections, early projections show https://t.co/cCAngPson0</t>
  </si>
  <si>
    <t xml:space="preserve">Republic of Maldives</t>
  </si>
  <si>
    <t xml:space="preserve">| Maldivian | | My tweets reflect my personal view | #Amaabunithifarahdiyun</t>
  </si>
  <si>
    <t xml:space="preserve">Piyush Singh</t>
  </si>
  <si>
    <t xml:space="preserve">Junior Research Associate @TakshashilaInst.China.India.Foreign Policy. Law. Tech.</t>
  </si>
  <si>
    <t xml:space="preserve">Dr. Joydeep Banerjee</t>
  </si>
  <si>
    <t xml:space="preserve">India ie Bharat</t>
  </si>
  <si>
    <t xml:space="preserve">Scientist, Discovery Research, #Rationalist, #Nation First, Passion Poetry, RT# Not necessarily Endorsement #Save India 4m Pseudo Secularism</t>
  </si>
  <si>
    <t xml:space="preserve">Ed Mercado</t>
  </si>
  <si>
    <t xml:space="preserve">IMMIGRANT. Sports Fan. Husband and a Father of 2. Desperate CPA Candidate.</t>
  </si>
  <si>
    <t xml:space="preserve">Burqa Butt</t>
  </si>
  <si>
    <t xml:space="preserve">I'm a #Presstitute -oops! Liberal Journo. I like to pull stories out my butt &amp; unknwn srcs &amp; when called out, I like to call thm trolls &amp; shw how abusive they r</t>
  </si>
  <si>
    <t xml:space="preserve">THLleong</t>
  </si>
  <si>
    <t xml:space="preserve">Heaven let your light shine down , chasing own PIPs &amp; TICKs of life , music lover + financial markets player focusing on Time , Price &amp; Pattern !</t>
  </si>
  <si>
    <t xml:space="preserve">Anil Ramesh</t>
  </si>
  <si>
    <t xml:space="preserve">Bangalore, Karnataka, India</t>
  </si>
  <si>
    <t xml:space="preserve">Engineer, Entrepreneur, Photographer. Tech-savvy guy. Blogger, Traveler, Yoga Trainer and Practitioner.</t>
  </si>
  <si>
    <t xml:space="preserve">WSJ: Japan's Prime Minister Shinzo Abe faces long-term economic challenges now the election is over … https://t.co/7iNC9oQ2o6</t>
  </si>
  <si>
    <t xml:space="preserve">David Sinclair</t>
  </si>
  <si>
    <t xml:space="preserve">North Korea and ageing Japan main priorities for PM Abe after big election win https://t.co/q4QT6qEPPe</t>
  </si>
  <si>
    <t xml:space="preserve">Bognor Regis</t>
  </si>
  <si>
    <t xml:space="preserve">Chair, Open Age; Director, ILC-UK; Ageing; Cycling, Policy, Jellyfish, Queen, Wrexham, Wales, Bognor, London, Romania, Bognor and Chichester CTC</t>
  </si>
  <si>
    <t xml:space="preserve">Int Longevity Centre</t>
  </si>
  <si>
    <t xml:space="preserve">North Korea and ageing Japan main priorities for PM Abe after big election win https://t.co/qsfzm8bTKG</t>
  </si>
  <si>
    <t xml:space="preserve">Posts from team @ilcuk. Contributors include David Sinclair (DS), Dave Eaton (DE), Ben Franklin (BE), Dean Hochlaf (DH)</t>
  </si>
  <si>
    <t xml:space="preserve">Tony Daltorio</t>
  </si>
  <si>
    <t xml:space="preserve">Shinzo Abe gains big victory in Japan election https://t.co/sZda2CgHoR via @FT</t>
  </si>
  <si>
    <t xml:space="preserve">Tweets are my personal views</t>
  </si>
  <si>
    <t xml:space="preserve">Financial Markets Expert and Writer</t>
  </si>
  <si>
    <t xml:space="preserve">Greg Johansen</t>
  </si>
  <si>
    <t xml:space="preserve">Calgary #yyc #yyccentre</t>
  </si>
  <si>
    <r>
      <rPr>
        <sz val="8"/>
        <rFont val="Droid Sans"/>
        <family val="0"/>
        <charset val="1"/>
      </rPr>
      <t xml:space="preserve">Green Liberal • Sports fanatic • #LGBTQ2 • #Aspergers • #cdnpoli • tweet from the heart and soul, and usually inappropriately ¯\_(</t>
    </r>
    <r>
      <rPr>
        <sz val="8"/>
        <rFont val="Noto Sans CJK SC Regular"/>
        <family val="2"/>
      </rPr>
      <t xml:space="preserve">ツ</t>
    </r>
    <r>
      <rPr>
        <sz val="8"/>
        <rFont val="Droid Sans"/>
        <family val="0"/>
        <charset val="1"/>
      </rPr>
      <t xml:space="preserve">)_/¯ johansengreg@hotmail.com</t>
    </r>
  </si>
  <si>
    <t xml:space="preserve">AllianzGI Media</t>
  </si>
  <si>
    <t xml:space="preserve">What's Japan-ing? Neil Dwane explains to @FundFanatic what a third win for Shinzo Abe might mean for markets https://t.co/qEPIHlRHYv 🇯🇵</t>
  </si>
  <si>
    <t xml:space="preserve">Global investment news and views from AllianzGI’s Communications teams in London and New York. Intended for media professionals</t>
  </si>
  <si>
    <t xml:space="preserve">Mila</t>
  </si>
  <si>
    <t xml:space="preserve">politics, environment, animals, feminism - RTs &amp; ff ≠ endorsement - Germany</t>
  </si>
  <si>
    <t xml:space="preserve">Nitin Kochhar</t>
  </si>
  <si>
    <t xml:space="preserve">Corporate Laws Consultant (FCS, L. LB.) and heading a team of professionals at NSK (Corporate Advisors). Reweets are not endorsement.</t>
  </si>
  <si>
    <t xml:space="preserve">Francis H. Byrd</t>
  </si>
  <si>
    <t xml:space="preserve">Brooklyn, New York</t>
  </si>
  <si>
    <t xml:space="preserve">I'm a pessimist by nature and a cynic by choice. All opinions expressed herein are solely my own.</t>
  </si>
  <si>
    <t xml:space="preserve">Alastair Fairbrother</t>
  </si>
  <si>
    <t xml:space="preserve">RT @AllianzGI_Media: What's Japan-ing? Neil Dwane explains to @FundFanatic what a third win for Shinzo Abe might mean for markets https://t…</t>
  </si>
  <si>
    <t xml:space="preserve">Head of Corporate and UK Comms @AllianzGI_Media. Saw Lord Sugar in a lift w/ @LSEGplc. @CPFC sufferer. Recovering mint tea addict. Views mine</t>
  </si>
  <si>
    <t xml:space="preserve">Amar Rajpal</t>
  </si>
  <si>
    <t xml:space="preserve">Businessman, Hotelier, Foodie, NAMO fan..RTs not endorsements.</t>
  </si>
  <si>
    <t xml:space="preserve">PM Lee Hsien Loong congratulates Japan's Shinzo Abe on Lower House election victory https://t.co/Fhcw9tNoU0 https://t.co/Lkdpk4R6Hp</t>
  </si>
  <si>
    <t xml:space="preserve">Japan&amp;amp;apos;s Shinzo Abe Conjures Stunning Election Victory in a Boost for Donald Trump #Socialmedia https://t.co/g4n2rhxJQy</t>
  </si>
  <si>
    <t xml:space="preserve">Find your latest Social Media news with just one click. Don't miss out on anything happening in your industry .check</t>
  </si>
  <si>
    <t xml:space="preserve">Vyshaka</t>
  </si>
  <si>
    <t xml:space="preserve">Bharatiya | Kannadiga | Engineer | Entrepreneur | Nationalist Activist | Tweets Personal RTs Not Necessarily Endorsements | Courage In Adversity</t>
  </si>
  <si>
    <t xml:space="preserve">Ddwddick</t>
  </si>
  <si>
    <t xml:space="preserve">PETITE Or plus size Doesn't Matter - If You Mount Up, You Better Be Ready To Ride...</t>
  </si>
  <si>
    <t xml:space="preserve">Activism and M&amp;A</t>
  </si>
  <si>
    <t xml:space="preserve">#FTIConsulting's Activism and M&amp;A Solutions practice is a one-stop shop for consulting on #shareholderactivism engagements and #hostileMnA.</t>
  </si>
  <si>
    <t xml:space="preserve">Joe English</t>
  </si>
  <si>
    <t xml:space="preserve">Bolton, United Kingdom</t>
  </si>
  <si>
    <t xml:space="preserve">I'm a non-binary that use they/them pronouns but still ok with he/him pronouns, pansexual, ESTJ, social-democratic cosmopolitan, create art, music person/furry.</t>
  </si>
  <si>
    <t xml:space="preserve">How Japan leader Shinzo Abe's election gamble paid off https://t.co/64Pl67GyBJ https://t.co/dYH6PNWyOL</t>
  </si>
  <si>
    <t xml:space="preserve">Eddie van der Walt</t>
  </si>
  <si>
    <t xml:space="preserve">RT @BloombergAsia: How Japan leader Shinzo Abe's election gamble paid off https://t.co/64Pl67GyBJ https://t.co/dYH6PNWyOL</t>
  </si>
  <si>
    <t xml:space="preserve">Bloomberg's gold, commodities, macro journalist in London. Views mine, not Bloomberg's. #METL, #OATT, #OOTT, in that order.</t>
  </si>
  <si>
    <t xml:space="preserve">Prime Minister Abe poised for landslide victory in Japan's general election - https://t.co/MLHJjVikdm #GoogleAlerts</t>
  </si>
  <si>
    <t xml:space="preserve">Venkat Subramanian</t>
  </si>
  <si>
    <t xml:space="preserve">Founder &amp; CEO, Surag Instruments</t>
  </si>
  <si>
    <r>
      <rPr>
        <sz val="8"/>
        <rFont val="Noto Sans CJK SC Regular"/>
        <family val="2"/>
      </rPr>
      <t xml:space="preserve">りんどう</t>
    </r>
    <r>
      <rPr>
        <sz val="8"/>
        <rFont val="Droid Sans"/>
        <family val="0"/>
        <charset val="1"/>
      </rPr>
      <t xml:space="preserve">@</t>
    </r>
  </si>
  <si>
    <t xml:space="preserve">近現代史、国際政治、二十一代集、洛中観光、等が一応の関心事。保守反動・修正主義者を自認するものの、何故かいはゆる右派の方々と余り仲良くできぬやうです。大半は備忘のため、時折り徒然に呟きます。もとより非才浅学の身、粗暴不遜の言辞を弄しますが「馬鹿だから反省」は致しません。なほ仮名遣ひは福田≒丸谷の其れに準拠してをります。</t>
  </si>
  <si>
    <t xml:space="preserve">Japan PM Shinzo Abe pledges pressure on #NorthKorea after big election win https://t.co/NZBoiQKKfd</t>
  </si>
  <si>
    <t xml:space="preserve">luckkeyme</t>
  </si>
  <si>
    <t xml:space="preserve">england</t>
  </si>
  <si>
    <t xml:space="preserve">Trust God stop abortion</t>
  </si>
  <si>
    <t xml:space="preserve">Al Fred ♌️.</t>
  </si>
  <si>
    <t xml:space="preserve">Tanzania.</t>
  </si>
  <si>
    <t xml:space="preserve">You gotta love me or leave me alone. I take envy as a badge of honor. Connect with me. Consult with me.</t>
  </si>
  <si>
    <t xml:space="preserve">P..</t>
  </si>
  <si>
    <t xml:space="preserve">Garden of my thoughts 24/7 = Dangerous</t>
  </si>
  <si>
    <t xml:space="preserve">One Year = 365 Opportunities</t>
  </si>
  <si>
    <t xml:space="preserve">Dūcō</t>
  </si>
  <si>
    <t xml:space="preserve">Dūcō is an on-demand marketplace where businesses connect with world-class geopolitical, tech and security experts.</t>
  </si>
  <si>
    <t xml:space="preserve">Anil Sharma</t>
  </si>
  <si>
    <t xml:space="preserve">Love to live and support Hinduism और अपने हिन्दू होने पर गर्व है। चमचा या उल्लू के बनिस्पत भक्त कहलाना पसंद है</t>
  </si>
  <si>
    <t xml:space="preserve">Dr S Himesh</t>
  </si>
  <si>
    <t xml:space="preserve">India ಕರುನಾಡು Karnataka</t>
  </si>
  <si>
    <t xml:space="preserve">Scientist सत्यमेव जयते (Truth Alone Triumphs) #Climate #Environment #Hindu #Nonviolence #Philosophy #Spirituality #Humanity एकभारत श्रेष्ठभारत.</t>
  </si>
  <si>
    <t xml:space="preserve">Krish Sriram</t>
  </si>
  <si>
    <t xml:space="preserve">12.907712,80.152718</t>
  </si>
  <si>
    <t xml:space="preserve">Malang 🇵🇰</t>
  </si>
  <si>
    <t xml:space="preserve">Taxila, Pakistan</t>
  </si>
  <si>
    <t xml:space="preserve">#Proud to Be #Pakistani...! #Proud to Be #Muslim...! The Art of Knowing is Knowing what to Ignore.! #Rumi</t>
  </si>
  <si>
    <t xml:space="preserve">Kishore Kumar</t>
  </si>
  <si>
    <t xml:space="preserve">Proud Hindu Nationalist. Hate Congress &amp; AAP party. Hate terrorist apologists. Hate Presstitutes. Love Modi. Idealize Subramanian Swami &amp; Rajeev Malhotra.</t>
  </si>
  <si>
    <t xml:space="preserve">Japan Election Vindicates Shinzo Abe as His Party Wins Big - New York Times https://t.co/mHVl0DyYxb</t>
  </si>
  <si>
    <t xml:space="preserve">What Shinzo Abe’s election win will mean for China-Japan relations https://t.co/pOopFD8egg</t>
  </si>
  <si>
    <t xml:space="preserve">Deepak Sawhney</t>
  </si>
  <si>
    <t xml:space="preserve">Toddler Treat</t>
  </si>
  <si>
    <t xml:space="preserve">Primary Minister Shinzo Abe’s ruling coalition retained its two-thirds parliamentary vast… https://t.co/bK4DgTCvGI</t>
  </si>
  <si>
    <t xml:space="preserve">Georgetown MSFS</t>
  </si>
  <si>
    <t xml:space="preserve">Snap election in Japan; Prime Minister Shinzo Abe wins big https://t.co/lZu58i05Rr</t>
  </si>
  <si>
    <t xml:space="preserve">A professional Masters preparing people for creative careers in the challenging world of international affairs.</t>
  </si>
  <si>
    <t xml:space="preserve">Ken Gtwo</t>
  </si>
  <si>
    <t xml:space="preserve">North Korea fears Japan "invasion" after Shinzo Abe's victory https://t.co/HdMFCZHo13</t>
  </si>
  <si>
    <t xml:space="preserve">Seattle, Washington, USA</t>
  </si>
  <si>
    <r>
      <rPr>
        <sz val="8"/>
        <rFont val="Droid Sans"/>
        <family val="0"/>
        <charset val="1"/>
      </rPr>
      <t xml:space="preserve">CBD Biz Co. Director - </t>
    </r>
    <r>
      <rPr>
        <sz val="8"/>
        <rFont val="Noto Sans CJK SC Regular"/>
        <family val="2"/>
      </rPr>
      <t xml:space="preserve">日本 </t>
    </r>
    <r>
      <rPr>
        <sz val="8"/>
        <rFont val="Droid Sans"/>
        <family val="0"/>
        <charset val="1"/>
      </rPr>
      <t xml:space="preserve">- </t>
    </r>
    <r>
      <rPr>
        <sz val="8"/>
        <rFont val="Noto Sans CJK SC Regular"/>
        <family val="2"/>
      </rPr>
      <t xml:space="preserve">関東</t>
    </r>
    <r>
      <rPr>
        <sz val="8"/>
        <rFont val="Droid Sans"/>
        <family val="0"/>
        <charset val="1"/>
      </rPr>
      <t xml:space="preserve">1989-95, 2002-14. Let's watch Rome burn together. I DO NOT follow back bots, spammers, or clickbait posters.</t>
    </r>
  </si>
  <si>
    <t xml:space="preserve">Kyoma</t>
  </si>
  <si>
    <t xml:space="preserve">Shinzo Abe scores major victory in Japanese election and pledges to reform pacifist constitution https://t.co/H7T1SFvKuG</t>
  </si>
  <si>
    <t xml:space="preserve">Marche, Italy</t>
  </si>
  <si>
    <t xml:space="preserve">Michele Paoloni, 29 years old // I'm a barman and I like to drink Bourbon whiskey // Steelers forever // F•R•I•E•N•D•S ❤️ // Otaku and Japan lover</t>
  </si>
  <si>
    <t xml:space="preserve">Kohei Kurihara</t>
  </si>
  <si>
    <t xml:space="preserve">Shinzo# Abe Wins By A Landslide https://t.co/rae4k0kFIi #tech #politics #Japan #data #election https://t.co/DZkKkSr6wu</t>
  </si>
  <si>
    <t xml:space="preserve">Founder / Co-founder &amp; CMO @Mangaconnect. Look for cross-border Partner, "Crowdships": https://t.co/RC9uAXfmZp @PUBLIQNetwork, GBA blockchain Tokyo Chapter</t>
  </si>
  <si>
    <t xml:space="preserve">Japan&amp;amp;apos;s Shinzo Abe Conjures Stunning Election Victory in a Boost for Donald Trump #Generalnews https://t.co/WcLulTbxBo</t>
  </si>
  <si>
    <t xml:space="preserve">Bonds Diva </t>
  </si>
  <si>
    <t xml:space="preserve">RT @InvestDiva: $USDJPY pair opened Monday’s Asian session with a jump to 113.86 as Japan’s Prime Minister Shinzo Abe won. #forex https://…</t>
  </si>
  <si>
    <t xml:space="preserve">I am interested in investing and trading bonds. #InvestDiva</t>
  </si>
  <si>
    <t xml:space="preserve">श्रीया</t>
  </si>
  <si>
    <t xml:space="preserve">Businesses Diva </t>
  </si>
  <si>
    <t xml:space="preserve">Women can be amazing in businesses! I'm on my way to learn. Are you? #InvestDiva</t>
  </si>
  <si>
    <t xml:space="preserve">Currencies Diva</t>
  </si>
  <si>
    <t xml:space="preserve">Japan's Shinzo Abe Conjures Stunning Election Victory in a Boost for Donald Trump https://t.co/YQwpHzUwnh</t>
  </si>
  <si>
    <t xml:space="preserve">Productive Moms</t>
  </si>
  <si>
    <t xml:space="preserve">Mom of two. Online investor.</t>
  </si>
  <si>
    <t xml:space="preserve">How Japan leader Shinzo Abe's election gamble paid off https://t.co/AWdxCGcIog https://t.co/CG120FrNeO #fb #sitifatimah #malaysia</t>
  </si>
  <si>
    <t xml:space="preserve">IFES' Election Guide</t>
  </si>
  <si>
    <t xml:space="preserve">#Japan's Liberal Democratic Party won a majority in Sunday's Lower House election https://t.co/MqQbY7yLJF</t>
  </si>
  <si>
    <t xml:space="preserve">Washington, DC, USA</t>
  </si>
  <si>
    <t xml:space="preserve">Tracking election dates, news, and results worldwide. Visit @IFES1987 for more democracy news. RT/MT &amp; Follows are not endorsements.</t>
  </si>
  <si>
    <t xml:space="preserve">Marilyn Taylor</t>
  </si>
  <si>
    <t xml:space="preserve">Stay at home mom with kids in college. A lot o time to kill and looking for new hobbies!</t>
  </si>
  <si>
    <t xml:space="preserve">billy snow</t>
  </si>
  <si>
    <t xml:space="preserve">Japan's Shinzo Abe Conjures Stunning Election Victory in a Boost for Donald Trump https://t.co/tlkYi62Yud https://t.co/nps1GnDypN</t>
  </si>
  <si>
    <t xml:space="preserve">painting</t>
  </si>
  <si>
    <t xml:space="preserve">North Korea fears Japan "invasion" after Shinzo Abe's victory https://t.co/lyLzuIIihX https://t.co/kYujVoLTBn</t>
  </si>
  <si>
    <t xml:space="preserve">Nicole Sales</t>
  </si>
  <si>
    <t xml:space="preserve">Stay-at-home-soon-to-be mom!</t>
  </si>
  <si>
    <t xml:space="preserve">Pratt Knott</t>
  </si>
  <si>
    <t xml:space="preserve">RT @Newsweek: North Korea fears Japan "invasion" after Shinzo Abe's victory https://t.co/lyLzuIIihX https://t.co/kYujVoLTBn</t>
  </si>
  <si>
    <t xml:space="preserve">Bear Flag Republic</t>
  </si>
  <si>
    <t xml:space="preserve">With the good and the nice and the warmth and the nice. Pass the biscuits, Pappy. Proud Whig. Suzy Quatro fan.</t>
  </si>
  <si>
    <t xml:space="preserve">Forex Honey</t>
  </si>
  <si>
    <t xml:space="preserve">Jasmin Lucci</t>
  </si>
  <si>
    <t xml:space="preserve">Cambridge,MA</t>
  </si>
  <si>
    <t xml:space="preserve">Cambridge, MA based Realtor dedicated to the community &amp; to helping people find their way home.</t>
  </si>
  <si>
    <t xml:space="preserve">chikerer</t>
  </si>
  <si>
    <r>
      <rPr>
        <sz val="8"/>
        <rFont val="Droid Sans"/>
        <family val="0"/>
        <charset val="1"/>
      </rPr>
      <t xml:space="preserve">“Yesterday is history, tomorrow is a mystery, today is a gift.” </t>
    </r>
    <r>
      <rPr>
        <sz val="8"/>
        <rFont val="Noto Sans CJK SC Regular"/>
        <family val="2"/>
      </rPr>
      <t xml:space="preserve">今日も一日がんばんべー</t>
    </r>
  </si>
  <si>
    <t xml:space="preserve">The History Master</t>
  </si>
  <si>
    <t xml:space="preserve">Just a historian &amp; political analyst for East Asia with a pretentious twitter handle. Follow the blog below if you're looking for more.</t>
  </si>
  <si>
    <t xml:space="preserve">North Korea fears Japan "invasion" after Shinzo Abe's victory https://t.co/2zUpSMp55B https://t.co/0N3SVsUrl6 — Newsweek (Newsweek) Octo…</t>
  </si>
  <si>
    <r>
      <rPr>
        <sz val="8"/>
        <rFont val="Noto Sans CJK SC Regular"/>
        <family val="2"/>
      </rPr>
      <t xml:space="preserve">殿 </t>
    </r>
    <r>
      <rPr>
        <sz val="8"/>
        <rFont val="Droid Sans"/>
        <family val="0"/>
        <charset val="1"/>
      </rPr>
      <t xml:space="preserve">(</t>
    </r>
    <r>
      <rPr>
        <sz val="8"/>
        <rFont val="Noto Sans CJK SC Regular"/>
        <family val="2"/>
      </rPr>
      <t xml:space="preserve">エキセントリック少年ボウイ</t>
    </r>
    <r>
      <rPr>
        <sz val="8"/>
        <rFont val="Droid Sans"/>
        <family val="0"/>
        <charset val="1"/>
      </rPr>
      <t xml:space="preserve">)</t>
    </r>
  </si>
  <si>
    <r>
      <rPr>
        <sz val="8"/>
        <rFont val="Droid Sans"/>
        <family val="0"/>
        <charset val="1"/>
      </rPr>
      <t xml:space="preserve">Twitter</t>
    </r>
    <r>
      <rPr>
        <sz val="8"/>
        <rFont val="Noto Sans CJK SC Regular"/>
        <family val="2"/>
      </rPr>
      <t xml:space="preserve">府</t>
    </r>
    <r>
      <rPr>
        <sz val="8"/>
        <rFont val="Droid Sans"/>
        <family val="0"/>
        <charset val="1"/>
      </rPr>
      <t xml:space="preserve">Twitter</t>
    </r>
    <r>
      <rPr>
        <sz val="8"/>
        <rFont val="Noto Sans CJK SC Regular"/>
        <family val="2"/>
      </rPr>
      <t xml:space="preserve">市</t>
    </r>
    <r>
      <rPr>
        <sz val="8"/>
        <rFont val="Droid Sans"/>
        <family val="0"/>
        <charset val="1"/>
      </rPr>
      <t xml:space="preserve">Twitter</t>
    </r>
    <r>
      <rPr>
        <sz val="8"/>
        <rFont val="Noto Sans CJK SC Regular"/>
        <family val="2"/>
      </rPr>
      <t xml:space="preserve">区に居るよ</t>
    </r>
  </si>
  <si>
    <r>
      <rPr>
        <sz val="8"/>
        <rFont val="Noto Sans CJK SC Regular"/>
        <family val="2"/>
      </rPr>
      <t xml:space="preserve">尊敬する人</t>
    </r>
    <r>
      <rPr>
        <sz val="8"/>
        <rFont val="Droid Sans"/>
        <family val="0"/>
        <charset val="1"/>
      </rPr>
      <t xml:space="preserve">/</t>
    </r>
    <r>
      <rPr>
        <sz val="8"/>
        <rFont val="Noto Sans CJK SC Regular"/>
        <family val="2"/>
      </rPr>
      <t xml:space="preserve">本郷猛・結城丈二</t>
    </r>
    <r>
      <rPr>
        <sz val="8"/>
        <rFont val="Droid Sans"/>
        <family val="0"/>
        <charset val="1"/>
      </rPr>
      <t xml:space="preserve">/</t>
    </r>
    <r>
      <rPr>
        <sz val="8"/>
        <rFont val="Noto Sans CJK SC Regular"/>
        <family val="2"/>
      </rPr>
      <t xml:space="preserve">キン肉スグル・アタル・ロビン・拉麺男</t>
    </r>
    <r>
      <rPr>
        <sz val="8"/>
        <rFont val="Droid Sans"/>
        <family val="0"/>
        <charset val="1"/>
      </rPr>
      <t xml:space="preserve">/</t>
    </r>
    <r>
      <rPr>
        <sz val="8"/>
        <rFont val="Noto Sans CJK SC Regular"/>
        <family val="2"/>
      </rPr>
      <t xml:space="preserve">前田太尊</t>
    </r>
    <r>
      <rPr>
        <sz val="8"/>
        <rFont val="Droid Sans"/>
        <family val="0"/>
        <charset val="1"/>
      </rPr>
      <t xml:space="preserve">/</t>
    </r>
    <r>
      <rPr>
        <sz val="8"/>
        <rFont val="Noto Sans CJK SC Regular"/>
        <family val="2"/>
      </rPr>
      <t xml:space="preserve">空条承太郎</t>
    </r>
    <r>
      <rPr>
        <sz val="8"/>
        <rFont val="Droid Sans"/>
        <family val="0"/>
        <charset val="1"/>
      </rPr>
      <t xml:space="preserve">/</t>
    </r>
    <r>
      <rPr>
        <sz val="8"/>
        <rFont val="Noto Sans CJK SC Regular"/>
        <family val="2"/>
      </rPr>
      <t xml:space="preserve">剣桃太郎</t>
    </r>
    <r>
      <rPr>
        <sz val="8"/>
        <rFont val="Droid Sans"/>
        <family val="0"/>
        <charset val="1"/>
      </rPr>
      <t xml:space="preserve">/</t>
    </r>
    <r>
      <rPr>
        <sz val="8"/>
        <rFont val="Noto Sans CJK SC Regular"/>
        <family val="2"/>
      </rPr>
      <t xml:space="preserve">両津勘吉</t>
    </r>
    <r>
      <rPr>
        <sz val="8"/>
        <rFont val="Droid Sans"/>
        <family val="0"/>
        <charset val="1"/>
      </rPr>
      <t xml:space="preserve">/</t>
    </r>
    <r>
      <rPr>
        <sz val="8"/>
        <rFont val="Noto Sans CJK SC Regular"/>
        <family val="2"/>
      </rPr>
      <t xml:space="preserve">デューク東郷</t>
    </r>
    <r>
      <rPr>
        <sz val="8"/>
        <rFont val="Droid Sans"/>
        <family val="0"/>
        <charset val="1"/>
      </rPr>
      <t xml:space="preserve">/</t>
    </r>
    <r>
      <rPr>
        <sz val="8"/>
        <rFont val="Noto Sans CJK SC Regular"/>
        <family val="2"/>
      </rPr>
      <t xml:space="preserve">佐倉魔美</t>
    </r>
    <r>
      <rPr>
        <sz val="8"/>
        <rFont val="Droid Sans"/>
        <family val="0"/>
        <charset val="1"/>
      </rPr>
      <t xml:space="preserve">/</t>
    </r>
    <r>
      <rPr>
        <sz val="8"/>
        <rFont val="Noto Sans CJK SC Regular"/>
        <family val="2"/>
      </rPr>
      <t xml:space="preserve">川口浩 好きなモン</t>
    </r>
    <r>
      <rPr>
        <sz val="8"/>
        <rFont val="Droid Sans"/>
        <family val="0"/>
        <charset val="1"/>
      </rPr>
      <t xml:space="preserve">/</t>
    </r>
    <r>
      <rPr>
        <sz val="8"/>
        <rFont val="Noto Sans CJK SC Regular"/>
        <family val="2"/>
      </rPr>
      <t xml:space="preserve">お笑いラメーン野球ボクシング</t>
    </r>
    <r>
      <rPr>
        <sz val="8"/>
        <rFont val="Droid Sans"/>
        <family val="0"/>
        <charset val="1"/>
      </rPr>
      <t xml:space="preserve">JC</t>
    </r>
    <r>
      <rPr>
        <sz val="8"/>
        <rFont val="Noto Sans CJK SC Regular"/>
        <family val="2"/>
      </rPr>
      <t xml:space="preserve">アニメ</t>
    </r>
    <r>
      <rPr>
        <sz val="8"/>
        <rFont val="Droid Sans"/>
        <family val="0"/>
        <charset val="1"/>
      </rPr>
      <t xml:space="preserve">FF</t>
    </r>
    <r>
      <rPr>
        <sz val="8"/>
        <rFont val="Noto Sans CJK SC Regular"/>
        <family val="2"/>
      </rPr>
      <t xml:space="preserve">クワガタ</t>
    </r>
    <r>
      <rPr>
        <sz val="8"/>
        <rFont val="Droid Sans"/>
        <family val="0"/>
        <charset val="1"/>
      </rPr>
      <t xml:space="preserve">GLAY</t>
    </r>
    <r>
      <rPr>
        <sz val="8"/>
        <rFont val="Noto Sans CJK SC Regular"/>
        <family val="2"/>
      </rPr>
      <t xml:space="preserve">オカルト昭ライダ 哀しいかな無名有力有名無力な</t>
    </r>
    <r>
      <rPr>
        <sz val="8"/>
        <rFont val="Droid Sans"/>
        <family val="0"/>
        <charset val="1"/>
      </rPr>
      <t xml:space="preserve">Twitt</t>
    </r>
    <r>
      <rPr>
        <sz val="8"/>
        <rFont val="Noto Sans CJK SC Regular"/>
        <family val="2"/>
      </rPr>
      <t xml:space="preserve">！アホ集団の社会に届かない声を届くよう闘う人が好き</t>
    </r>
  </si>
  <si>
    <t xml:space="preserve">Riyadh AL Rifai</t>
  </si>
  <si>
    <t xml:space="preserve">Benghazi , Libya.</t>
  </si>
  <si>
    <t xml:space="preserve">Anirudh Kumar Pandey</t>
  </si>
  <si>
    <t xml:space="preserve">This is the official twitter account of Mr. Anirudh Kumar Pandey .</t>
  </si>
  <si>
    <t xml:space="preserve">Amit Kumar</t>
  </si>
  <si>
    <t xml:space="preserve">Varanasi, Uttar Pradesh</t>
  </si>
  <si>
    <t xml:space="preserve">You have to grow from the inside out. None can teach you, none can make you spiritual. There is no other teacher but your own soul. -Swami Vivekananda</t>
  </si>
  <si>
    <t xml:space="preserve">S_Galimberti</t>
  </si>
  <si>
    <t xml:space="preserve">Shinzo Abe’s ruling coalition retains two-thirds majority in parliament after big #japanelection win… https://t.co/Uh4pc5yWv7</t>
  </si>
  <si>
    <t xml:space="preserve">Non accontentarti dell’orizzonte. Cerca l’infinito.</t>
  </si>
  <si>
    <t xml:space="preserve">Durgesh Rai</t>
  </si>
  <si>
    <t xml:space="preserve">Amor Shabbi عمر شابي</t>
  </si>
  <si>
    <t xml:space="preserve">Constantine, Algeria.</t>
  </si>
  <si>
    <t xml:space="preserve">Journalist.Reporting on Sahel &amp; MENA. Phone: +(213) 663 580 030. Email: omar.chabbi@gmail.com</t>
  </si>
  <si>
    <t xml:space="preserve">FX Goddess</t>
  </si>
  <si>
    <t xml:space="preserve">Mom of 2, love to make my own money by trading FX from home #SAHM #WAHM</t>
  </si>
  <si>
    <t xml:space="preserve">Michael</t>
  </si>
  <si>
    <t xml:space="preserve">RT @S_Galimberti: Shinzo Abe’s ruling coalition retains two-thirds majority in parliament after big #japanelection win https://t.co/X8qsn2…</t>
  </si>
  <si>
    <t xml:space="preserve">Valladolid, Castilla y León</t>
  </si>
  <si>
    <t xml:space="preserve">Un italo-suizo en España. Hostelero. Enamorado de mi mujer Verónica. Socialista. Política, buenos vinos y buena comida. Viajes, libros, cine y amigos.</t>
  </si>
  <si>
    <t xml:space="preserve">Sridhar Paladugu</t>
  </si>
  <si>
    <t xml:space="preserve">Driven by Truth | Live and Let Live | Follower of Sanathana Dharma</t>
  </si>
  <si>
    <t xml:space="preserve">Лариса Комарова</t>
  </si>
  <si>
    <t xml:space="preserve">Japan's Shinzo Abe Conjures Stunning Election Victory in a Boost for Donald Trump https://t.co/yXTeLs8GIz https://t.co/cH14gjSqZ7</t>
  </si>
  <si>
    <t xml:space="preserve">कुंवर अजयप्रताप सिंह</t>
  </si>
  <si>
    <t xml:space="preserve">Vidisha, India</t>
  </si>
  <si>
    <t xml:space="preserve">Blessed to be followed by PM @narendramodi ji, @amitshah ji &amp; other Cabinet Ministers #Nationlist Active Member BJP, RSS #Hindu #Rajput #CA_Finalist #जय_बालाजी</t>
  </si>
  <si>
    <t xml:space="preserve">Forex Princess</t>
  </si>
  <si>
    <t xml:space="preserve">Pàsha ☦ 🐷</t>
  </si>
  <si>
    <t xml:space="preserve">Pedemontana Veneta</t>
  </si>
  <si>
    <t xml:space="preserve">Veneto is not Italy. Arachesostufo</t>
  </si>
  <si>
    <t xml:space="preserve">F.I.L.I.P</t>
  </si>
  <si>
    <t xml:space="preserve">RT @kuriharan: Shinzo# Abe Wins By A Landslide https://t.co/rae4k0kFIi #tech #politics #Japan #data #election https://t.co/DZkKkSr6wu</t>
  </si>
  <si>
    <t xml:space="preserve">Regno Unito/italia</t>
  </si>
  <si>
    <t xml:space="preserve">https://t.co/xwU4lxby3g… #francmolica @realDonaldTrump @justinbieber https://t.co/Ts22YWOJHQ https://t.co/Y1SM2cI5qr</t>
  </si>
  <si>
    <t xml:space="preserve">Coupons Discounts</t>
  </si>
  <si>
    <t xml:space="preserve">A landslide election success for Japan Primary Minister Shinzo Abe delivered the yen lower… https://t.co/tzvrKuWLNY</t>
  </si>
  <si>
    <t xml:space="preserve">Forex Diva</t>
  </si>
  <si>
    <t xml:space="preserve">Webnauta 5.9 💻📲</t>
  </si>
  <si>
    <t xml:space="preserve">Quello che scrivo è personale!</t>
  </si>
  <si>
    <t xml:space="preserve">Arvee</t>
  </si>
  <si>
    <t xml:space="preserve">Greater Vancouver</t>
  </si>
  <si>
    <t xml:space="preserve">Lifelong learner; loves to connect with others to communicate her message.</t>
  </si>
  <si>
    <t xml:space="preserve">Global citizen</t>
  </si>
  <si>
    <t xml:space="preserve">John Michaels</t>
  </si>
  <si>
    <t xml:space="preserve">North Korea fears Japan "invasion" after Shinzo Abe's victory https://t.co/JNMKwpTRKF</t>
  </si>
  <si>
    <t xml:space="preserve">Denver, Colorado</t>
  </si>
  <si>
    <t xml:space="preserve">I provide daily world news, and sharp sarcastic commentary that shapes our world and free's my mind. #AmericaMike Tweets the World.</t>
  </si>
  <si>
    <t xml:space="preserve">KCAggarwal</t>
  </si>
  <si>
    <t xml:space="preserve">I am devotee of our PM Modi Ji. In next 15 years, he will change the destiny of India. We may be World Leader in all spheres and no poverty in India.</t>
  </si>
  <si>
    <t xml:space="preserve">Tanya😲speak my mind</t>
  </si>
  <si>
    <t xml:space="preserve">Sunshine State</t>
  </si>
  <si>
    <t xml:space="preserve">DEM patriot multiracial #Resist Opinions my own, Facts = truth, ? until I understand, RT part of debate #FollowBackResistance ❤👊 #StrongerTogether #MeToo</t>
  </si>
  <si>
    <t xml:space="preserve">GWTrachtenbergSchool</t>
  </si>
  <si>
    <t xml:space="preserve">Japan's Shinzo Abe wins big in snap election, which means stark N. Korean policy implications. #worldat1 @USATODAY https://t.co/wMD51Zlxu8</t>
  </si>
  <si>
    <t xml:space="preserve">Public policy and public administration education in the heart of Washington, D.C. Doing good and doing it well.</t>
  </si>
  <si>
    <t xml:space="preserve">My blooming life</t>
  </si>
  <si>
    <t xml:space="preserve">Just a poorboy trying to survive.</t>
  </si>
  <si>
    <t xml:space="preserve">Jonathan Luckhurst</t>
  </si>
  <si>
    <t xml:space="preserve">#Abe’s win is important for #China-#Japan relations. Despite security differences, their economic ties are crucial https://t.co/GT0oUky5Qz</t>
  </si>
  <si>
    <t xml:space="preserve">Professor Uni. of Guadalajara. Author: G20 Since the Global Crisis (2016); &amp; The Shifting Global Economic Architecture (2017) (both Palgrave Macmillan)</t>
  </si>
  <si>
    <t xml:space="preserve">Their News</t>
  </si>
  <si>
    <t xml:space="preserve">Newly re-elected Japanese Prime Minister promises free preschool for every child #5for5 https://t.co/wur3brbUC5</t>
  </si>
  <si>
    <t xml:space="preserve">Your source for news on global education issues, child rights and early childhood development - brought to you by @theirworld and the A World at School movement</t>
  </si>
  <si>
    <t xml:space="preserve">Theirworld</t>
  </si>
  <si>
    <t xml:space="preserve">Newly re-elected Japanese Prime Minister promises free preschool for every child #5for5 https://t.co/mFKhIjafzn</t>
  </si>
  <si>
    <t xml:space="preserve">UK charity, working globally</t>
  </si>
  <si>
    <t xml:space="preserve">A brighter future for every child with #5for5, #RewritingTheCode and #SafeSchools. Every child deserves the opportunity to fulfil their potential.</t>
  </si>
  <si>
    <t xml:space="preserve">iluvindia</t>
  </si>
  <si>
    <t xml:space="preserve">David Eaton</t>
  </si>
  <si>
    <t xml:space="preserve">RT @ILCUK: North Korea and ageing Japan main priorities for PM Abe after big election win https://t.co/qsfzm8bTKG</t>
  </si>
  <si>
    <t xml:space="preserve">Policy and Public Affairs Manager at @ILCUK. Labour. Chadsian. Lover of lazy Sundays. All views my own.</t>
  </si>
  <si>
    <t xml:space="preserve">Bisakha</t>
  </si>
  <si>
    <t xml:space="preserve">Once a hack always a hack. Media and worldwatcher</t>
  </si>
  <si>
    <t xml:space="preserve">Md. Ibrahim Hossain</t>
  </si>
  <si>
    <t xml:space="preserve">Japan’s ruling coalition retains a supermajority in snap election https://t.co/Se0bDHK0Zt Facebook https://t.co/r8MR0DZToW Google+ …</t>
  </si>
  <si>
    <t xml:space="preserve">I am a #DigitalMarketer, #OnlineMarketer, #InternetMarketer, #SEO, #Facebook, #Twitter, #YouTube, #Linkedin, #Google+, #Instagram, #Pinterest expert</t>
  </si>
  <si>
    <t xml:space="preserve">Amy</t>
  </si>
  <si>
    <t xml:space="preserve">Japanese prime minister coasts to election win - POLITICO https://t.co/A88F3iynMo</t>
  </si>
  <si>
    <t xml:space="preserve">EARTH ☮</t>
  </si>
  <si>
    <t xml:space="preserve">REGISTER TO VOTE NOW•FLIP THE HOUSE TO DEMS•NOV 6, 2018 •VOLUNTEER•DONATE•MAKE A DIFFERENCE••❌LISTS•ADS •PORN•Assholes</t>
  </si>
  <si>
    <t xml:space="preserve">Abhimanyu</t>
  </si>
  <si>
    <t xml:space="preserve">RTs are not endorsement always. Sincere Hindu. Fervent Indian. Knack for heuristics!</t>
  </si>
  <si>
    <t xml:space="preserve">Didier Delmer 🇬🇧</t>
  </si>
  <si>
    <t xml:space="preserve">London, Los Angeles</t>
  </si>
  <si>
    <t xml:space="preserve">Think Global &amp; Act Local | Serial Founder | Top 50 #AI M2M Individuals | Top 100 #SEO Experts '17 | Agile #DigitalMarketing | Expat | Fluent in 5 EU Languages</t>
  </si>
  <si>
    <t xml:space="preserve">Teacher Wanjiku™</t>
  </si>
  <si>
    <t xml:space="preserve">RT @theirworld: Newly re-elected Japanese Prime Minister promises free preschool for every child #5for5 https://t.co/mFKhIjafzn</t>
  </si>
  <si>
    <t xml:space="preserve">artist, creative, comedian by choice, business woman, wife, mother I am a woman of all trades. diooooo</t>
  </si>
  <si>
    <t xml:space="preserve">Kaushik j</t>
  </si>
  <si>
    <t xml:space="preserve">Australia Trends</t>
  </si>
  <si>
    <t xml:space="preserve">Japan's Shinzo Abe headed to impressive election win: projections https://t.co/x5Or1xVK98 https://t.co/OqIoGCRrry</t>
  </si>
  <si>
    <t xml:space="preserve">Trending Australia news as collected by Trendolizer</t>
  </si>
  <si>
    <t xml:space="preserve">Varun Kumar Kataria</t>
  </si>
  <si>
    <t xml:space="preserve">BEING HAPPY IS A CHOICE &amp; NOT THE CHANCE...</t>
  </si>
  <si>
    <t xml:space="preserve">Shinzo Abe vows to seek consensus on Japan Constitution after election win https://t.co/ZpnUlMENAT</t>
  </si>
  <si>
    <t xml:space="preserve">संदीप</t>
  </si>
  <si>
    <t xml:space="preserve">बाजु वाली गली</t>
  </si>
  <si>
    <t xml:space="preserve">Bio Nahi Maths Liya tha Maths</t>
  </si>
  <si>
    <t xml:space="preserve">Shinzo Abe vows to seek consensus on Japan Constitution after election win https://t.co/i4vHX0yMAn</t>
  </si>
  <si>
    <t xml:space="preserve">ɥʇıɹɐz</t>
  </si>
  <si>
    <t xml:space="preserve">95</t>
  </si>
  <si>
    <t xml:space="preserve">RT @livemint: Shinzo Abe vows to seek consensus on Japan Constitution after election win https://t.co/i4vHX0yMAn</t>
  </si>
  <si>
    <t xml:space="preserve">Anton La Guardia</t>
  </si>
  <si>
    <t xml:space="preserve">Japan’s ruling coalition retains a supermajority in snap election https://t.co/LS3dIfGPXj</t>
  </si>
  <si>
    <t xml:space="preserve">Deputy Foreign Editor at The Economist. Formerly Middle East &amp; Africa Editor, and Charlemagne columnist. RT≠endorsement.</t>
  </si>
  <si>
    <t xml:space="preserve">Shinzo Abe vows to seek consensus on Japan Constitution after election win</t>
  </si>
  <si>
    <t xml:space="preserve">ジョン幸之助</t>
  </si>
  <si>
    <t xml:space="preserve">東京生まれだぴょーん！</t>
  </si>
  <si>
    <t xml:space="preserve">Murangira</t>
  </si>
  <si>
    <t xml:space="preserve">RT @theirnews: Newly re-elected Japanese Prime Minister promises free preschool for every child #5for5 https://t.co/wur3brbUC5</t>
  </si>
  <si>
    <t xml:space="preserve">Pearl of Africa </t>
  </si>
  <si>
    <t xml:space="preserve">Africa | Data Science | Human Security | People | Culture | Saved by Grace</t>
  </si>
  <si>
    <t xml:space="preserve">Gabby Ogbechie</t>
  </si>
  <si>
    <t xml:space="preserve">Japan PM Shinzo Abe pledges pressure on North Korea after big election win https://t.co/PYo2DKUQrd</t>
  </si>
  <si>
    <t xml:space="preserve">Author, Pastor, Development and Valuation Surveyor, CEO LandAssets Consult Ltd., Publisher, http://t.co/TY4r1nyMmg, http://t.co/Gn6DATRgiH</t>
  </si>
  <si>
    <t xml:space="preserve">SAQI_KAUSAR</t>
  </si>
  <si>
    <t xml:space="preserve">BUSINESS DAILY - Japan's stocks on record winning streak after Abe's election victory https://t.co/WxJkRqfjhm https://t.co/UimdEHI7WF</t>
  </si>
  <si>
    <t xml:space="preserve">Shinzo Abe’s Japan election win lifts world stocks, dollar https://t.co/kY69F71RsO</t>
  </si>
  <si>
    <t xml:space="preserve">Shinzo Abe vows to seek consensus on Japan Constitution after election win https://t.co/JmXvpWMwTc</t>
  </si>
  <si>
    <t xml:space="preserve">KELOLAND News</t>
  </si>
  <si>
    <t xml:space="preserve">President Donald Trump is congratulating Japanese Prime Minister Shinzo Abe on his election win. https://t.co/SNCxkgt26l</t>
  </si>
  <si>
    <t xml:space="preserve">Sioux Falls</t>
  </si>
  <si>
    <t xml:space="preserve">KELO-TV: News updates from http://t.co/ZT3Kfra0bh</t>
  </si>
  <si>
    <t xml:space="preserve">Jennifer Kwon</t>
  </si>
  <si>
    <t xml:space="preserve">all around</t>
  </si>
  <si>
    <t xml:space="preserve">words, stories and places</t>
  </si>
  <si>
    <t xml:space="preserve">ilkay Gülsün</t>
  </si>
  <si>
    <t xml:space="preserve">Astral traveller| Sports addicted| Listener| Hiker</t>
  </si>
  <si>
    <t xml:space="preserve">Krishna Kulkarni</t>
  </si>
  <si>
    <t xml:space="preserve">Smriti Irani Fan || Progressive || PM Modi Fan || Uniform Civil Code || Karyakarta @BJP4India</t>
  </si>
  <si>
    <t xml:space="preserve">Mary Frances Bennett</t>
  </si>
  <si>
    <t xml:space="preserve">Japan’s ruling coalition retains a supermajority in snap election https://t.co/k1rpZxa2JL</t>
  </si>
  <si>
    <t xml:space="preserve">Economy World</t>
  </si>
  <si>
    <t xml:space="preserve">Japan’s ruling coalition retains a supermajority in snap election https://t.co/ndVjHtHzvO</t>
  </si>
  <si>
    <t xml:space="preserve">All the news about #economy and #jobs, realtime on this account. Follow us!</t>
  </si>
  <si>
    <t xml:space="preserve">OurKid</t>
  </si>
  <si>
    <t xml:space="preserve">CityInTheSun☼USAmerica ®-Kid™</t>
  </si>
  <si>
    <t xml:space="preserve">But I say unto you which hear, Love your enemies, do good to them which hate you, https://t.co/MyGMh4UTHe</t>
  </si>
  <si>
    <t xml:space="preserve">GRACM</t>
  </si>
  <si>
    <t xml:space="preserve">#JapanElection Vindicates #ShinzoAbe as His Party Wins Big https://t.co/iDgqV6WYAm</t>
  </si>
  <si>
    <t xml:space="preserve">Brussel, België</t>
  </si>
  <si>
    <t xml:space="preserve">Official Account - Exec Training in Global Risk Analysis &amp; Crisis Management @VECO_Brussels. Tweets on #Risk, #CrisisManagement, #Politics. RTs ≠ endorsements</t>
  </si>
  <si>
    <t xml:space="preserve">anodyne</t>
  </si>
  <si>
    <t xml:space="preserve">Susheelendra</t>
  </si>
  <si>
    <t xml:space="preserve">Dream of rebuilding Bharat as Vishwa Guru under the able &amp; strong leadership of Modi ji. RT ≠ Endorsement. Blocked by @MamataOfficial &amp; @quizderek</t>
  </si>
  <si>
    <t xml:space="preserve">Jim Henry</t>
  </si>
  <si>
    <t xml:space="preserve">BAZINGA is a word used to help break the tension of a serious conversation.</t>
  </si>
  <si>
    <t xml:space="preserve">Saurabh Joshi</t>
  </si>
  <si>
    <t xml:space="preserve">Winning big : Japan’s ruling coalition retains a supermajority in snap election https://t.co/2wpCVgctnj via @TheEconomist</t>
  </si>
  <si>
    <t xml:space="preserve">Editor, @StratPost &amp; @DelhiDurbar. Sciency. Lapsed lawyer. Fascinated by flight. Lucky. Not normally a nice guy. Tweets are mine. Retweets are somebody else's.</t>
  </si>
  <si>
    <t xml:space="preserve">RT @SaurabhJoshi: Winning big : Japan’s ruling coalition retains a supermajority in snap election https://t.co/2wpCVgctnj via @TheEconomist</t>
  </si>
  <si>
    <t xml:space="preserve">RANA TABASSUM</t>
  </si>
  <si>
    <t xml:space="preserve">Japan Election Vindicates Shinzo Abe as His Party Wins Big https://t.co/onvhYcAfRU</t>
  </si>
  <si>
    <t xml:space="preserve"> 77000 Melun - FRANCE</t>
  </si>
  <si>
    <t xml:space="preserve">JOURNALISTE EX.Assistant editor Catholic Naqib Lahore Pakistan Self Employement SARL MARC PARIS FRANCE- RAISING PUBLIC CONSCIOUNESS AND FOR PROMOTING VALUES</t>
  </si>
  <si>
    <t xml:space="preserve">Randhir Borkar</t>
  </si>
  <si>
    <t xml:space="preserve">journalism is passion ! loves economics, politics &amp; philosophy ! &amp; aware in all social sciences ! but presently, in 4(4-1) yrs imprisonment of engineering !!</t>
  </si>
  <si>
    <t xml:space="preserve">Darren Sissons</t>
  </si>
  <si>
    <t xml:space="preserve">NKorea issues likely to alter Japan's post WWII military status. #Rising #Tensions. Abe's big Japanese election win. https://t.co/uty1TEa3DB</t>
  </si>
  <si>
    <t xml:space="preserve">Global Equities &amp; Tech Investor (Developed &amp; Emerging Markets), Kiwi &amp; All Blacks Supporter. Re - tweets not an endorsement. Email: dsissons@clrim.com</t>
  </si>
  <si>
    <t xml:space="preserve">The Economist</t>
  </si>
  <si>
    <t xml:space="preserve">Japan’s ruling coalition retains a supermajority in snap election https://t.co/FEFKDCSTfc</t>
  </si>
  <si>
    <t xml:space="preserve">News and analysis with a global perspective. Subscribe here: https://t.co/owztJzwlmm</t>
  </si>
  <si>
    <t xml:space="preserve">candangacasique</t>
  </si>
  <si>
    <t xml:space="preserve">TheEconomist: Japan’s ruling coalition retains a supermajority in snap election https://t.co/lDXGO0fwKU Japan’s ruling coalition retains …</t>
  </si>
  <si>
    <t xml:space="preserve">Mérida, Venezuela</t>
  </si>
  <si>
    <t xml:space="preserve">#Economy #Finance and #politics. #Economía #Finanzas y #Política #Mérida #Caracas #Venezuela</t>
  </si>
  <si>
    <t xml:space="preserve">EssayLords</t>
  </si>
  <si>
    <t xml:space="preserve">RT TheEconomist "Japan’s ruling coalition retains a supermajority in snap election https://t.co/S8XSdiG3KE"</t>
  </si>
  <si>
    <t xml:space="preserve">We offer academic help services for all students. We are not limited to essays only but we help in Lab Reports too. Tel: +1(267) 696-7251 #Academichelp</t>
  </si>
  <si>
    <t xml:space="preserve">♈Aries♈The "Ram"</t>
  </si>
  <si>
    <t xml:space="preserve">RT @TheEconomist: Japan’s ruling coalition retains a supermajority in snap election https://t.co/FEFKDCSTfc</t>
  </si>
  <si>
    <t xml:space="preserve">Future Superpower..INDIA.</t>
  </si>
  <si>
    <t xml:space="preserve">♈Aries♈Male,Ruler-MARS/Elem-FIRE/Mod-CARDINAL,F1,Astrology/Numerology,"POLITICS", "BJP",Space,Def,Strat.Affairs,Economy,Stocks,Travel,Wildlife,Fashion/Lifestyle</t>
  </si>
  <si>
    <t xml:space="preserve">9TH WONDER</t>
  </si>
  <si>
    <t xml:space="preserve">social reality. Be Heard!</t>
  </si>
  <si>
    <t xml:space="preserve">TheEconomist Deduped</t>
  </si>
  <si>
    <t xml:space="preserve">De-duped Economist</t>
  </si>
  <si>
    <t xml:space="preserve">libertynews</t>
  </si>
  <si>
    <t xml:space="preserve">AllLibertyNews2</t>
  </si>
  <si>
    <t xml:space="preserve">London/Sussex </t>
  </si>
  <si>
    <t xml:space="preserve">19, politics undergrad</t>
  </si>
  <si>
    <t xml:space="preserve">Bart, not Barth</t>
  </si>
  <si>
    <t xml:space="preserve">In a time of universal deceit, telling the truth becomes a revolutionary act. George Orwell</t>
  </si>
  <si>
    <t xml:space="preserve">TheEconomist: Japan’s ruling coalition retains a supermajority in snap election https://t.co/GpcytqVVPB</t>
  </si>
  <si>
    <t xml:space="preserve">kasworld</t>
  </si>
  <si>
    <t xml:space="preserve">Go to our website for full view: Japan’s ruling coalition retains a supermajority in snap election https://t.co/8U0c6jSpPR</t>
  </si>
  <si>
    <t xml:space="preserve">Anywhere</t>
  </si>
  <si>
    <t xml:space="preserve">Funny Post, Romantic Post, love Post, jokes</t>
  </si>
  <si>
    <t xml:space="preserve">Shivakumar Rajendran</t>
  </si>
  <si>
    <t xml:space="preserve">Celebrating Life - Grateful to @SriSri</t>
  </si>
  <si>
    <t xml:space="preserve">Becky</t>
  </si>
  <si>
    <t xml:space="preserve">#loopylawless #altitudeattitude #35000ftsonicboom #lovingdemocracy #freedomnotrepression #equalrightsunequalwrongs #ageofaquarius</t>
  </si>
  <si>
    <t xml:space="preserve">Parimal M. Rohit</t>
  </si>
  <si>
    <t xml:space="preserve">Journalist. Editor, The Log Newspaper. Annenberg Fellow, RK Mellon Fellow. Top beats: maritime, environment. UCLA &amp; U of San Fran. Alum. Opinions = my own.</t>
  </si>
  <si>
    <t xml:space="preserve">Olivia Marie</t>
  </si>
  <si>
    <t xml:space="preserve">Cincinnati</t>
  </si>
  <si>
    <t xml:space="preserve">Oli♑a</t>
  </si>
  <si>
    <t xml:space="preserve">Ricardo Jimenez</t>
  </si>
  <si>
    <t xml:space="preserve">Japan’s ruling coalition retains a supermajority in snap election https://t.co/Q0e1FXY2ca</t>
  </si>
  <si>
    <t xml:space="preserve">Burgues de finanzas amante de los desayunos en el Cardenal, miercoles de Au Pied y viernes de Capri. Sudamericano por adopción, capitalista por elección.</t>
  </si>
  <si>
    <t xml:space="preserve">Joyce Aluda</t>
  </si>
  <si>
    <t xml:space="preserve">KrinvantoVishwamArym</t>
  </si>
  <si>
    <t xml:space="preserve">Agripreneur, Loves &amp; Lives Research, Eternal Learner, Rashtrawadi, APOLITICAL Tweets r personal. JAI HIND.</t>
  </si>
  <si>
    <t xml:space="preserve">Economist Once</t>
  </si>
  <si>
    <t xml:space="preserve">Twitter bot retweeting news stories just once. Full source and other feeds available on GitHub page. Not affiliated with The Economist.</t>
  </si>
  <si>
    <t xml:space="preserve">Dr William Allchorn</t>
  </si>
  <si>
    <t xml:space="preserve">Japan’s ruling coalition retains a supermajority in snap election https://t.co/q8IYZ4ZFVx</t>
  </si>
  <si>
    <t xml:space="preserve">Postdoc Alum @POLISatLeeds, researching political, policing, and policy response to the UK far right. Also, Research Associate at CFAPS: https://t.co/AaitNm6PuW</t>
  </si>
  <si>
    <t xml:space="preserve">JamesRoy</t>
  </si>
  <si>
    <t xml:space="preserve">TheEconomist: Japan’s ruling coalition retains a supermajority in snap election https://t.co/ZAN3TZfxYO</t>
  </si>
  <si>
    <t xml:space="preserve">Redcar, Cleveland, NE England </t>
  </si>
  <si>
    <t xml:space="preserve">#education #learning #Brazil its #language, its #food #travel Work @OpenUniversity #leadership #edtech Believe @MhairiCalveyAct will win an #Oscar 1 day</t>
  </si>
  <si>
    <t xml:space="preserve">RT TheEconomist "Japan’s ruling coalition retains a supermajority in snap election https://t.co/5cugJGWYQE"</t>
  </si>
  <si>
    <t xml:space="preserve">Poch</t>
  </si>
  <si>
    <t xml:space="preserve">third</t>
  </si>
  <si>
    <t xml:space="preserve">never ako nagkalat don, men</t>
  </si>
  <si>
    <t xml:space="preserve">Sameer</t>
  </si>
  <si>
    <t xml:space="preserve">BJP personifies EVIL like NAZIS. It ought to be annihilated, vanquished, neutralised, obliterated. No respite for our civilisation unless it is decimated.</t>
  </si>
  <si>
    <t xml:space="preserve">Aнгел Атанасов</t>
  </si>
  <si>
    <t xml:space="preserve">Горе да ги имаме срцата</t>
  </si>
  <si>
    <t xml:space="preserve">Marco A. Navarro L.</t>
  </si>
  <si>
    <t xml:space="preserve">Arteaga, Coahuila de Zaragoza</t>
  </si>
  <si>
    <t xml:space="preserve">Sacerdote Católico, teólogo y comunicador especialista en el Diálogo Intercultural.</t>
  </si>
  <si>
    <t xml:space="preserve">Kim Scott hopkins</t>
  </si>
  <si>
    <t xml:space="preserve">louisiana</t>
  </si>
  <si>
    <t xml:space="preserve">I love FIFA and CoD and many more and the person I love is Lauren3. The brothers; Callum, Brandon, Nigel, Adam and many more xD</t>
  </si>
  <si>
    <t xml:space="preserve">Jose Sueiro</t>
  </si>
  <si>
    <t xml:space="preserve">washington dc</t>
  </si>
  <si>
    <t xml:space="preserve">http://t.co/BR7jQ9Ar; Politics, life &amp; culture in DC chronicling how Latino &amp; immigrant communities grow &amp; become integrated in an international urban center.</t>
  </si>
  <si>
    <t xml:space="preserve">L.C.N.</t>
  </si>
  <si>
    <t xml:space="preserve">Bahia, Brasil.</t>
  </si>
  <si>
    <t xml:space="preserve">I read it not (stilll) but feel this most famous book was (also for me), now: 'The Book of the Perplexed' !!! Warning most posts in brazilian portuguese.</t>
  </si>
  <si>
    <t xml:space="preserve">la vida es bella</t>
  </si>
  <si>
    <t xml:space="preserve">Caracas, venezuela</t>
  </si>
  <si>
    <t xml:space="preserve">Deseo, por ende existo</t>
  </si>
  <si>
    <t xml:space="preserve">KalvinFX</t>
  </si>
  <si>
    <t xml:space="preserve">FX Trader</t>
  </si>
  <si>
    <t xml:space="preserve">eloquentdaily-bot</t>
  </si>
  <si>
    <t xml:space="preserve">#TheEconomist Japan’s ruling coalition retains a supermajority in snap eating contest https://t.co/qARyKffVva</t>
  </si>
  <si>
    <t xml:space="preserve">eloquentdaily_bot</t>
  </si>
  <si>
    <t xml:space="preserve">Fake news.</t>
  </si>
  <si>
    <t xml:space="preserve">BuzzFree News</t>
  </si>
  <si>
    <t xml:space="preserve">Shinzo Abe vows to seek consensus on Japan Constitution after election win https://t.co/o3yuqUb6v9 https://t.co/ow8v9l3Kz0 #trending #soc…</t>
  </si>
  <si>
    <t xml:space="preserve">Gwalior, Madhya pradesh</t>
  </si>
  <si>
    <t xml:space="preserve">Buzz Free News Your Online News Updater.</t>
  </si>
  <si>
    <t xml:space="preserve">回転翼機紙幣</t>
  </si>
  <si>
    <r>
      <rPr>
        <sz val="8"/>
        <rFont val="Droid Sans"/>
        <family val="0"/>
        <charset val="1"/>
      </rPr>
      <t xml:space="preserve">Nominal Gross Domestic Product Level Target (</t>
    </r>
    <r>
      <rPr>
        <sz val="8"/>
        <rFont val="Noto Sans CJK SC Regular"/>
        <family val="2"/>
      </rPr>
      <t xml:space="preserve">小難しい話はいいから皆の所得水準上げたら良いさ</t>
    </r>
    <r>
      <rPr>
        <sz val="8"/>
        <rFont val="Droid Sans"/>
        <family val="0"/>
        <charset val="1"/>
      </rPr>
      <t xml:space="preserve">) </t>
    </r>
    <r>
      <rPr>
        <sz val="8"/>
        <rFont val="Noto Sans CJK SC Regular"/>
        <family val="2"/>
      </rPr>
      <t xml:space="preserve">ヘリコプターマネーで物価調整も良いけど所得増加も目指してみてはいかがでしょう？ </t>
    </r>
    <r>
      <rPr>
        <sz val="8"/>
        <rFont val="Droid Sans"/>
        <family val="0"/>
        <charset val="1"/>
      </rPr>
      <t xml:space="preserve">Monaco,Malaga,Lazio</t>
    </r>
    <r>
      <rPr>
        <sz val="8"/>
        <rFont val="Noto Sans CJK SC Regular"/>
        <family val="2"/>
      </rPr>
      <t xml:space="preserve">の呟きは→</t>
    </r>
    <r>
      <rPr>
        <sz val="8"/>
        <rFont val="Droid Sans"/>
        <family val="0"/>
        <charset val="1"/>
      </rPr>
      <t xml:space="preserve">@asemiste05</t>
    </r>
  </si>
  <si>
    <t xml:space="preserve">Berry Loveday</t>
  </si>
  <si>
    <t xml:space="preserve">North East UK</t>
  </si>
  <si>
    <t xml:space="preserve">art photography PEACE and future generations...</t>
  </si>
  <si>
    <t xml:space="preserve">Francesco Conigliaro</t>
  </si>
  <si>
    <t xml:space="preserve">The DREAMER</t>
  </si>
  <si>
    <t xml:space="preserve">The most insightful and entertaining political, pop culture and boxing analysis on the web! Go to https://t.co/Ki8vfkk6p9 to get boxing analysis!</t>
  </si>
  <si>
    <t xml:space="preserve">ozawa</t>
  </si>
  <si>
    <t xml:space="preserve">Shivram</t>
  </si>
  <si>
    <t xml:space="preserve">Just Breeze Thru Ur Life ! Thanks to Sanatan Kriya, Dhyan Foundation &amp; Yogi Ashwini Ji !!</t>
  </si>
  <si>
    <t xml:space="preserve">X-Skell Coder</t>
  </si>
  <si>
    <t xml:space="preserve">An observant,cheerful fellow with a zeal for science; wields an artisans touch. Explore curiosities accelerating our desire for insight ~Show me thy'n reason~</t>
  </si>
  <si>
    <t xml:space="preserve">AVullamparthi#HDL</t>
  </si>
  <si>
    <t xml:space="preserve">Madison Heights, VA</t>
  </si>
  <si>
    <r>
      <rPr>
        <sz val="8"/>
        <rFont val="Noto Sans CJK SC Regular"/>
        <family val="2"/>
      </rPr>
      <t xml:space="preserve">コロッケっ子</t>
    </r>
    <r>
      <rPr>
        <sz val="8"/>
        <rFont val="Droid Sans"/>
        <family val="0"/>
        <charset val="1"/>
      </rPr>
      <t xml:space="preserve">@</t>
    </r>
    <r>
      <rPr>
        <sz val="8"/>
        <rFont val="Noto Sans CJK SC Regular"/>
        <family val="2"/>
      </rPr>
      <t xml:space="preserve">白鳥沢</t>
    </r>
  </si>
  <si>
    <t xml:space="preserve">白鳥沢学園高校女子学生寮</t>
  </si>
  <si>
    <r>
      <rPr>
        <sz val="8"/>
        <rFont val="Noto Sans CJK SC Regular"/>
        <family val="2"/>
      </rPr>
      <t xml:space="preserve">大学生。</t>
    </r>
    <r>
      <rPr>
        <sz val="8"/>
        <rFont val="Droid Sans"/>
        <family val="0"/>
        <charset val="1"/>
      </rPr>
      <t xml:space="preserve">Tumblr</t>
    </r>
    <r>
      <rPr>
        <sz val="8"/>
        <rFont val="Noto Sans CJK SC Regular"/>
        <family val="2"/>
      </rPr>
      <t xml:space="preserve">で役割演技者。鬱病。飯・</t>
    </r>
    <r>
      <rPr>
        <sz val="8"/>
        <rFont val="Droid Sans"/>
        <family val="0"/>
        <charset val="1"/>
      </rPr>
      <t xml:space="preserve">HQ</t>
    </r>
    <r>
      <rPr>
        <sz val="8"/>
        <rFont val="Noto Sans CJK SC Regular"/>
        <family val="2"/>
      </rPr>
      <t xml:space="preserve">・</t>
    </r>
    <r>
      <rPr>
        <sz val="8"/>
        <rFont val="Droid Sans"/>
        <family val="0"/>
        <charset val="1"/>
      </rPr>
      <t xml:space="preserve">MHA</t>
    </r>
    <r>
      <rPr>
        <sz val="8"/>
        <rFont val="Noto Sans CJK SC Regular"/>
        <family val="2"/>
      </rPr>
      <t xml:space="preserve">。主にドイツ語と英語で呟く。日本語おｋ。</t>
    </r>
    <r>
      <rPr>
        <sz val="8"/>
        <rFont val="Droid Sans"/>
        <family val="0"/>
        <charset val="1"/>
      </rPr>
      <t xml:space="preserve">RT</t>
    </r>
    <r>
      <rPr>
        <sz val="8"/>
        <rFont val="Noto Sans CJK SC Regular"/>
        <family val="2"/>
      </rPr>
      <t xml:space="preserve">多い。時々歌う：</t>
    </r>
    <r>
      <rPr>
        <sz val="8"/>
        <rFont val="Droid Sans"/>
        <family val="0"/>
        <charset val="1"/>
      </rPr>
      <t xml:space="preserve">https://t.co/Adfsxyi9gs</t>
    </r>
    <r>
      <rPr>
        <sz val="8"/>
        <rFont val="Noto Sans CJK SC Regular"/>
        <family val="2"/>
      </rPr>
      <t xml:space="preserve">・</t>
    </r>
    <r>
      <rPr>
        <sz val="8"/>
        <rFont val="Droid Sans"/>
        <family val="0"/>
        <charset val="1"/>
      </rPr>
      <t xml:space="preserve">https://t.co/SmNekVj5MU </t>
    </r>
    <r>
      <rPr>
        <sz val="8"/>
        <rFont val="Noto Sans CJK SC Regular"/>
        <family val="2"/>
      </rPr>
      <t xml:space="preserve">アイコン→ </t>
    </r>
    <r>
      <rPr>
        <sz val="8"/>
        <rFont val="Droid Sans"/>
        <family val="0"/>
        <charset val="1"/>
      </rPr>
      <t xml:space="preserve">@cdvdgh </t>
    </r>
    <r>
      <rPr>
        <sz val="8"/>
        <rFont val="Noto Sans CJK SC Regular"/>
        <family val="2"/>
      </rPr>
      <t xml:space="preserve">様 ヘダー→ </t>
    </r>
    <r>
      <rPr>
        <sz val="8"/>
        <rFont val="Droid Sans"/>
        <family val="0"/>
        <charset val="1"/>
      </rPr>
      <t xml:space="preserve">@thgml938 </t>
    </r>
    <r>
      <rPr>
        <sz val="8"/>
        <rFont val="Noto Sans CJK SC Regular"/>
        <family val="2"/>
      </rPr>
      <t xml:space="preserve">様（使用許可あり）</t>
    </r>
  </si>
  <si>
    <t xml:space="preserve">Japan’s ruling coalition retains a supermajority in snap election https://t.co/olES8eeu91</t>
  </si>
  <si>
    <t xml:space="preserve">Gin [#re: sister]</t>
  </si>
  <si>
    <t xml:space="preserve">Dover, NH</t>
  </si>
  <si>
    <t xml:space="preserve">Download the mystery, Severed, A Novel, now $2.99 on Amazon.</t>
  </si>
  <si>
    <t xml:space="preserve">EssentiallyFinancial</t>
  </si>
  <si>
    <t xml:space="preserve">Japan Q&amp;A: why Abe’s victory cheers investors - Shinzo Abe’s third election victory by no means solves Japan’s ... https://t.co/nKEQZGrUky</t>
  </si>
  <si>
    <t xml:space="preserve">Pinner, Middlesex, UK</t>
  </si>
  <si>
    <t xml:space="preserve">On journeys, we plan our route from A to B. That’s what financial planning is. Finding a route &amp; knowing what to do if something unforeseen throws us off course</t>
  </si>
  <si>
    <t xml:space="preserve">Alternate Skiffy</t>
  </si>
  <si>
    <t xml:space="preserve">Winning big : Japan’s ruling coalition retains a supermajority in snap election https://t.co/Dze39KEapj via @TheEconomist</t>
  </si>
  <si>
    <t xml:space="preserve">Crimea, Russia</t>
  </si>
  <si>
    <t xml:space="preserve">Subversive anthropologist</t>
  </si>
  <si>
    <t xml:space="preserve">Daily Water Cooler</t>
  </si>
  <si>
    <t xml:space="preserve">Dodgers vs. Astros in World Series Shinzo Abe wins support in Japan election https://t.co/sFO4lcNn4U https://t.co/elmf9VWZO4</t>
  </si>
  <si>
    <t xml:space="preserve">Curated news and viral content for you every weekday morning, summarized into bite-sized portions. Can also be witty and amusing at times. Editor: @p_ngu</t>
  </si>
  <si>
    <t xml:space="preserve">TopNews: Shinzo Abe vows to seek consensus on Japan Constitution after election win - Livemint https://t.co/6x5M6vPOyJ</t>
  </si>
  <si>
    <t xml:space="preserve">Sacchidanand</t>
  </si>
  <si>
    <t xml:space="preserve">MP RAJ (यादव)</t>
  </si>
  <si>
    <t xml:space="preserve">I m in Patna</t>
  </si>
  <si>
    <t xml:space="preserve">Okolie Ifeyinwa</t>
  </si>
  <si>
    <t xml:space="preserve">Accountant || Auditor || Aspiring Financial Analyst || Daughter of Zion || God's very own.....</t>
  </si>
  <si>
    <t xml:space="preserve">Breaking News India</t>
  </si>
  <si>
    <t xml:space="preserve">Shinzo Abe vows to seek consensus on Japan Constitution after election win - Livemint https://t.co/P9VyWld0my #India #News</t>
  </si>
  <si>
    <t xml:space="preserve">Bringing you the latest, breaking news from all over India</t>
  </si>
  <si>
    <t xml:space="preserve">TuuBol News Opinion</t>
  </si>
  <si>
    <t xml:space="preserve">Shinzo Abe vows to seek consensus on Japan Constitution after election win - Livemint https://t.co/ZIML6ifOmi #IndiaNews</t>
  </si>
  <si>
    <t xml:space="preserve">http://t.co/ahiVprVIFf Technology | Business | Politics | Web | Sports | Motivation | Blogging | News</t>
  </si>
  <si>
    <t xml:space="preserve">North Korea fears Japan "invasion" after Shinzo Abe's victory. #realnews #livenews #breakingnews #latestnews #news… https://t.co/n1FnofVAXF</t>
  </si>
  <si>
    <t xml:space="preserve">Shinzo Abe vows to seek consensus on Japan Constitution after election win - Livemint https://t.co/QW1pGMSa7G</t>
  </si>
  <si>
    <t xml:space="preserve">Ritva Semi</t>
  </si>
  <si>
    <t xml:space="preserve">Varhaiskasvatuksen ja kehitysyhteistyöpolitiikan asiantuntija joka työskentelee OAJ:ssä.</t>
  </si>
  <si>
    <t xml:space="preserve">Emma Lewis</t>
  </si>
  <si>
    <t xml:space="preserve">Japan Election Vindicates Shinzo Abe as His Party Wins Big https://t.co/XPFQkhULGj</t>
  </si>
  <si>
    <t xml:space="preserve">29 years in Jamaica. Blogger. Writer. Earth lover. Advocate. Argumentative Gooner. RT's NOT necessarily endorsements!</t>
  </si>
  <si>
    <t xml:space="preserve">Shinzo Abe vows to seek consensus on Japan Constitution after election win - Livemint https://t.co/QxmHki3MWf</t>
  </si>
  <si>
    <t xml:space="preserve">Sandeep rachepalli</t>
  </si>
  <si>
    <t xml:space="preserve">Naveen rampal</t>
  </si>
  <si>
    <t xml:space="preserve">newS@ire</t>
  </si>
  <si>
    <t xml:space="preserve">Shinzo Abe vows to seek consensus on Japan Constitution after election win https://t.co/MDxhamzhiQ</t>
  </si>
  <si>
    <t xml:space="preserve">newsatire</t>
  </si>
  <si>
    <t xml:space="preserve">News at ire, News satire; Will tweet breaking news</t>
  </si>
  <si>
    <t xml:space="preserve">Ashuthosh Babu</t>
  </si>
  <si>
    <t xml:space="preserve">Truman Blood Drive!</t>
  </si>
  <si>
    <t xml:space="preserve">Truman State; Kirksville, MO</t>
  </si>
  <si>
    <t xml:space="preserve">Official Twitter for Alpha Phi Omega Epsilon's Blood Drive at Truman State University!</t>
  </si>
  <si>
    <t xml:space="preserve">Japan’s ruling coalition retains a supermajority in snap election https://t.co/gIET5DLgya</t>
  </si>
  <si>
    <t xml:space="preserve">Tariq</t>
  </si>
  <si>
    <t xml:space="preserve">Winning big : Japan’s ruling coalition retains a supermajority in snap election https://t.co/e3jRzbOLpf via @TheEconomist</t>
  </si>
  <si>
    <t xml:space="preserve">Earth </t>
  </si>
  <si>
    <t xml:space="preserve">Teach me...</t>
  </si>
  <si>
    <t xml:space="preserve">Japan PM Shinzo Abe pledges pressure on North Korea after big election win https://t.co/SSsvqs1elF https://t.co/DwkbFz8zZ1</t>
  </si>
  <si>
    <t xml:space="preserve">@thepropertygazette</t>
  </si>
  <si>
    <t xml:space="preserve">Japan PM Shinzo Abe pledges pressure on North Korea after big election win https://t.co/axnzcTp12N https://t.co/uXi5NbCnsO</t>
  </si>
  <si>
    <t xml:space="preserve">demandbetter</t>
  </si>
  <si>
    <t xml:space="preserve">RT @flwrpwr1969: Japanese prime minister coasts to election win - POLITICO https://t.co/A88F3iynMo</t>
  </si>
  <si>
    <t xml:space="preserve">Almost Heaven, West Virginia</t>
  </si>
  <si>
    <t xml:space="preserve">Retired Paramedic, HRC supporter, pragmatic democrat.</t>
  </si>
  <si>
    <t xml:space="preserve">APF Canada</t>
  </si>
  <si>
    <t xml:space="preserve">The Asia Pacific Foundation of Canada is an independent, not-for-profit think-tank on Canada's relations with Asia, providing up-to-date news &amp; analysis</t>
  </si>
  <si>
    <t xml:space="preserve">Remy Mauduit</t>
  </si>
  <si>
    <t xml:space="preserve">Japan’s ruling coalition retains a supermajority in snap election https://t.co/bmN14RxiDO</t>
  </si>
  <si>
    <t xml:space="preserve">TERRORISM &amp; COUNTER-TERRORISM, INTERNATIONAL SECuRITY, PUBLISHING</t>
  </si>
  <si>
    <t xml:space="preserve">Sharon Charboneau</t>
  </si>
  <si>
    <t xml:space="preserve">Sunshine Coast, British Columbia</t>
  </si>
  <si>
    <t xml:space="preserve">Enjoying retirement on Sunshine Coast of BC🙃</t>
  </si>
  <si>
    <t xml:space="preserve">OptionsTip</t>
  </si>
  <si>
    <t xml:space="preserve">New post: Shinzo Abe’s Japan election win lifts world stocks, dollar https://t.co/axGIIuCY4x</t>
  </si>
  <si>
    <t xml:space="preserve">optionstipblog</t>
  </si>
  <si>
    <t xml:space="preserve">Porter  J  Leaman</t>
  </si>
  <si>
    <t xml:space="preserve">Winning big : Japan’s ruling coalition retains a supermajority in snap election https://t.co/nSKDtcAQFa via @TheEconomist</t>
  </si>
  <si>
    <t xml:space="preserve">Titusville Pa 16354</t>
  </si>
  <si>
    <t xml:space="preserve">Shamik patel</t>
  </si>
  <si>
    <t xml:space="preserve">Makgale Gwangwa</t>
  </si>
  <si>
    <t xml:space="preserve">Shinzo Abe gains big victory in Japan election https://t.co/fSYArY3Y6q</t>
  </si>
  <si>
    <t xml:space="preserve">BCCN</t>
  </si>
  <si>
    <t xml:space="preserve">Henderson, NV</t>
  </si>
  <si>
    <t xml:space="preserve">News Updates</t>
  </si>
  <si>
    <t xml:space="preserve">#news Shinzo Abe’s Japan election win lifts world stocks, dollar https://t.co/Xv7iiOzSbh</t>
  </si>
  <si>
    <t xml:space="preserve">Indian News and latest updates</t>
  </si>
  <si>
    <t xml:space="preserve">Kamal Hossain</t>
  </si>
  <si>
    <t xml:space="preserve">vishal</t>
  </si>
  <si>
    <t xml:space="preserve">No more 'secular' and 'tolerant'. These terms have been hijacked by corrupt with blood money. Every time they stole money, an INDIAN died somewhere.</t>
  </si>
  <si>
    <t xml:space="preserve">What does Shinzo Abe&amp;apos;s election win mean for Japan? https://t.co/O5GjS2erRG https://t.co/lRoA0D4Bll</t>
  </si>
  <si>
    <t xml:space="preserve">Вероника</t>
  </si>
  <si>
    <t xml:space="preserve">Barcelona, Catalunya</t>
  </si>
  <si>
    <t xml:space="preserve">More</t>
  </si>
  <si>
    <t xml:space="preserve">#ShinzoAbe : #constitutionalreform and #US support after his re-election .@ABCMundial https://t.co/8lyRBeOSmo #Japan #Trump #NorthKorea</t>
  </si>
  <si>
    <t xml:space="preserve">Cap Fed.- Argentina</t>
  </si>
  <si>
    <t xml:space="preserve">Periodista/ Journalist Política, espectáculos &amp; música. Se el cambio que quieres ver en el mundo. @moreira_enzo #Instagram more_enzo https://t.co/4LFynO8vPP</t>
  </si>
  <si>
    <t xml:space="preserve">Nicola Doyle</t>
  </si>
  <si>
    <t xml:space="preserve">Johannesburg </t>
  </si>
  <si>
    <t xml:space="preserve">Feminist, social justice advocate, lover of coffee, books, and cats (classic). Machel-Mandela Fellow @BrenthurstF</t>
  </si>
  <si>
    <t xml:space="preserve">TMS-TrueSourceMedia</t>
  </si>
  <si>
    <t xml:space="preserve">Shinzo Abe vows to seek consensus on Japan Constitution after election win https://t.co/I3Zbm6CEJd</t>
  </si>
  <si>
    <t xml:space="preserve">Digital e-news paper.</t>
  </si>
  <si>
    <t xml:space="preserve">What does Shinzo Abe's election win mean for Japan? https://t.co/91xOZzZPAv #breakingnews #news</t>
  </si>
  <si>
    <t xml:space="preserve">THE INDIPENDENT - What does Shinzo Abe's election win mean for Japan? https://t.co/JGovBFfLJZ #PaginaNuova #Press</t>
  </si>
  <si>
    <t xml:space="preserve">What does Shinzo Abe's election win mean for Japan? https://t.co/ct45fY90Xx #WorldNews #News https://t.co/3dQCEZn83i</t>
  </si>
  <si>
    <t xml:space="preserve">What does Shinzo Abe's election win mean for Japan? https://t.co/y12HIfHyho #NewslyTweet</t>
  </si>
  <si>
    <t xml:space="preserve">Wealocity</t>
  </si>
  <si>
    <t xml:space="preserve">Wealth Management</t>
  </si>
  <si>
    <t xml:space="preserve">What does Shinzo Abe's election win mean for Japan? https://t.co/jYLa4hGaF6</t>
  </si>
  <si>
    <t xml:space="preserve">RT Anon_Eu "What does Shinzo Abe's election win mean for Japan? https://t.co/3cCOtDj6zD #WorldNews #News https://t.co/gqXK6gFIXW"</t>
  </si>
  <si>
    <t xml:space="preserve">RT @Independent: What does Shinzo Abe's election win mean for Japan? https://t.co/jYLa4hGaF6</t>
  </si>
  <si>
    <t xml:space="preserve">Digital Journalist</t>
  </si>
  <si>
    <t xml:space="preserve">Journalist</t>
  </si>
  <si>
    <t xml:space="preserve">What does Shinzo Abe's election win mean for Japan? https://t.co/2enh4BszFK</t>
  </si>
  <si>
    <t xml:space="preserve">burattino</t>
  </si>
  <si>
    <t xml:space="preserve">RT not necess. endorsement</t>
  </si>
  <si>
    <t xml:space="preserve">Per gli Stati Uniti d'Europa! Contro le sciocchezze di populisti, demagoghi ed euroscettici di tutte le risme.</t>
  </si>
  <si>
    <t xml:space="preserve">Feyza Basar Gulersen</t>
  </si>
  <si>
    <t xml:space="preserve">What does Shinzo Abe's election win mean for Japan? https://t.co/yVA7av1ztB</t>
  </si>
  <si>
    <t xml:space="preserve">President of Club Alpbach Turkey/ Assistant Professor /Lawyer feyzabasar@avrupaforumu.org.tr</t>
  </si>
  <si>
    <t xml:space="preserve">What does Shinzo Abe's election win mean for Japan? https://t.co/ixvCZulArH</t>
  </si>
  <si>
    <t xml:space="preserve">BlackRobb</t>
  </si>
  <si>
    <t xml:space="preserve">SitaravammaputrSamba</t>
  </si>
  <si>
    <t xml:space="preserve">Bhagya Nagaram</t>
  </si>
  <si>
    <t xml:space="preserve">Patriotic Indian. Proud Hindu. Interested in Politics,Economy,Stock analysis. Supporter of AP.Want 2 know more about mevisit my blog https://t.co/KVkQQyDVDU</t>
  </si>
  <si>
    <t xml:space="preserve">What does Shinzo Abe's election win mean for Japan? https://t.co/oRTsJ18rxi Independent</t>
  </si>
  <si>
    <t xml:space="preserve">Shinzo Abe vows to seek consensus on Japan Constitution after election win - Livemint https://t.co/eHembuxE8r #topstories</t>
  </si>
  <si>
    <t xml:space="preserve">जय श्री राधे</t>
  </si>
  <si>
    <t xml:space="preserve">What does Shinzo Abe's election win mean for Japan? https://t.co/13qgcTglox</t>
  </si>
  <si>
    <t xml:space="preserve">Rohini,Delhi, ,India.</t>
  </si>
  <si>
    <t xml:space="preserve">Shivam G</t>
  </si>
  <si>
    <t xml:space="preserve">Japan's Shinzo Abe Conjures Stunning Election Victory in a Boost for Donald Trump https://t.co/jYRpJfIq0b https://t.co/16al8Nc6m1</t>
  </si>
  <si>
    <t xml:space="preserve">Excellence is not a skill. It is an attitude.</t>
  </si>
  <si>
    <t xml:space="preserve">ChristopherRayOliver</t>
  </si>
  <si>
    <t xml:space="preserve">South Puget Sound</t>
  </si>
  <si>
    <t xml:space="preserve">#StopLabelingAndBe ⓢⓔⓔⓚ ⓣⓡⓤⓣⓗ ⓣⓞ ⓖⓐⓘⓝ ⓤⓝⓓⓔⓡⓢⓣⓐⓝⓓⓘⓝⓖ #AlternativeEnergy #LegalizeCannabis #SinglePayerHealthcare #Equality ⓔⓛⓔⓒⓣⓞⓡⓐⓣⓔ ⓦⓐⓝⓣⓢ ⓣⓡⓤⓣⓗ #OurRevolution</t>
  </si>
  <si>
    <t xml:space="preserve">Gio</t>
  </si>
  <si>
    <t xml:space="preserve">Origin, Religion, Gender, Age, Disability &amp; Sexual Orientation doesn't matter. To be or not to be an idiot counts! ✊️✊🏻✊🏼✊🏽✊🏾✊🏿#RésistanceUnited ☮️</t>
  </si>
  <si>
    <t xml:space="preserve">North Korea fears Japan "invasion" after Shinzo Abe's victory https://t.co/kQQLN0voUq #worldnews #news #breakingnews</t>
  </si>
  <si>
    <t xml:space="preserve">bilal mansoor</t>
  </si>
  <si>
    <t xml:space="preserve">Director S.R.K Group of Industries, S.V.President(Y.P), S.V.Chairman Entrepreneurship-FPCCI, S.Advisor Youth Affair DMC-CDGK ,S.V.P Pakistan Academic Consortium</t>
  </si>
  <si>
    <t xml:space="preserve">CNN Philippines</t>
  </si>
  <si>
    <t xml:space="preserve">Japan's Shinzo Abe hails landslide victory in snap election https://t.co/UGMr9mryQy</t>
  </si>
  <si>
    <t xml:space="preserve">We tell the story of the Filipino.</t>
  </si>
  <si>
    <t xml:space="preserve">shashikant</t>
  </si>
  <si>
    <t xml:space="preserve">The difference between stupidity( read AAP &amp; congress) and genius is that genius has its limits.RT's not endorsement</t>
  </si>
  <si>
    <t xml:space="preserve">MODERN SIKH</t>
  </si>
  <si>
    <t xml:space="preserve">Riel Rider PH</t>
  </si>
  <si>
    <t xml:space="preserve">RT cnnphilippines "Japan's Shinzo Abe hails landslide victory in snap election https://t.co/Zvts6Bb00d"</t>
  </si>
  <si>
    <t xml:space="preserve">Pedram Moallemian</t>
  </si>
  <si>
    <t xml:space="preserve">Japan's Shinzo Abe Conjures Stunning Election Victory in a Boost for Donald Trump | https://t.co/uf0xjbS8zH | #Iran</t>
  </si>
  <si>
    <t xml:space="preserve">Iranian-Canadian-American from Toronto. Social Activist, Coach, Artist, Photographer, Writer, Expert on Iran &amp; Middle East. Tweeted links are not an endorsement</t>
  </si>
  <si>
    <t xml:space="preserve">What does Shinzo Abe's election win mean for Japan? https://t.co/tzM2Dnlzqn</t>
  </si>
  <si>
    <t xml:space="preserve">Alexander Nerdski</t>
  </si>
  <si>
    <t xml:space="preserve">Shambhala, Earth-Moon L5</t>
  </si>
  <si>
    <t xml:space="preserve">I admit it. I am addicted to Twitter. Twelve steps is too many for me. Does someone have a 5 step program? Something in 140 characters?</t>
  </si>
  <si>
    <t xml:space="preserve">Ai</t>
  </si>
  <si>
    <t xml:space="preserve">RT @cnnphilippines: Japan's Shinzo Abe hails landslide victory in snap election https://t.co/UGMr9mryQy</t>
  </si>
  <si>
    <t xml:space="preserve">Kim Soohyun/Park Hyungsik❤Park Boyoung</t>
  </si>
  <si>
    <t xml:space="preserve">Dennis Futoryan</t>
  </si>
  <si>
    <t xml:space="preserve">Prime Minister Shinzo Abe's party claimed sweeping victory in a snap election on Sunday, with media tallies... https://t.co/ukGLSv6d40</t>
  </si>
  <si>
    <t xml:space="preserve">“I know simply that the sky will last longer than I.” — Albert Camus. I wonder about everything and anything.</t>
  </si>
  <si>
    <t xml:space="preserve">Raid</t>
  </si>
  <si>
    <t xml:space="preserve">What does Shinzo Abe's election win mean for Japan? Read More - https://t.co/tDDBD657Tf https://t.co/8MrwKQ7PF5</t>
  </si>
  <si>
    <t xml:space="preserve">Raida Gist</t>
  </si>
  <si>
    <t xml:space="preserve">Info Gist Network</t>
  </si>
  <si>
    <r>
      <rPr>
        <sz val="8"/>
        <rFont val="Droid Sans"/>
        <family val="0"/>
        <charset val="1"/>
      </rPr>
      <t xml:space="preserve">uetake ritsu</t>
    </r>
    <r>
      <rPr>
        <sz val="8"/>
        <rFont val="Noto Sans CJK SC Regular"/>
        <family val="2"/>
      </rPr>
      <t xml:space="preserve">（脱原発に一票）</t>
    </r>
  </si>
  <si>
    <r>
      <rPr>
        <sz val="8"/>
        <rFont val="Noto Sans CJK SC Regular"/>
        <family val="2"/>
      </rPr>
      <t xml:space="preserve">【好きなもの／支持するもの：脱原発、平和、自由、音楽、映画】 【嫌いなもの／支持しないもの：利権構造、原発新設・再稼働、</t>
    </r>
    <r>
      <rPr>
        <sz val="8"/>
        <rFont val="Droid Sans"/>
        <family val="0"/>
        <charset val="1"/>
      </rPr>
      <t xml:space="preserve">TPP/ACTA</t>
    </r>
    <r>
      <rPr>
        <sz val="8"/>
        <rFont val="Noto Sans CJK SC Regular"/>
        <family val="2"/>
      </rPr>
      <t xml:space="preserve">、憲法改悪】オリンピック招致より真の安全を。東京在住。</t>
    </r>
  </si>
  <si>
    <t xml:space="preserve">sadhuvaad</t>
  </si>
  <si>
    <t xml:space="preserve">i m myself with no pretentions इमारत तो झूठ की बनती है, सच की तो नींव ही काफी है..</t>
  </si>
  <si>
    <t xml:space="preserve">grandted 212.</t>
  </si>
  <si>
    <t xml:space="preserve">What does Shinzo Abe's election win mean for Japan? https://t.co/53iepKl4ng</t>
  </si>
  <si>
    <t xml:space="preserve">Derrick Walker @ the end. grandted 212 YouTube producer https://t.co/BdDiOr6jrx</t>
  </si>
  <si>
    <t xml:space="preserve">Technology, Innovation, Startups, Circular Economy. Working as a Junior Risk Analyst in the Financial Services.</t>
  </si>
  <si>
    <t xml:space="preserve">rick</t>
  </si>
  <si>
    <t xml:space="preserve">Japan's Shinzo Abe hails landslide victory in snap election https://t.co/p1XlgRPtRb — CNN Philippines (cnnphilippines) October 23, 2017</t>
  </si>
  <si>
    <t xml:space="preserve">The Lion of Judah</t>
  </si>
  <si>
    <t xml:space="preserve">自転車が好きです。</t>
  </si>
  <si>
    <t xml:space="preserve">「希望もなく絶望もなく私は毎日少しずつ書きます。」アイザック・ディネーセン</t>
  </si>
  <si>
    <t xml:space="preserve">Michael Albert I</t>
  </si>
  <si>
    <t xml:space="preserve">King of Canada M.S.C. Tweets represent Government of Canada from the Twitter Web Host. Our COURTSHIP is legal.</t>
  </si>
  <si>
    <t xml:space="preserve">Suraj Gupta</t>
  </si>
  <si>
    <t xml:space="preserve">Kolkata , India</t>
  </si>
  <si>
    <t xml:space="preserve">Civil servant, some knowledge of Economics, this much to say: have had enough of socialism, pro-justice, Nationalist, IITK Alum, Calcuttan</t>
  </si>
  <si>
    <t xml:space="preserve">Sarah Brown</t>
  </si>
  <si>
    <t xml:space="preserve">mum, campaigner, writer, 21st Century podcaster, President @Theirworld, Chair, @gbceducation Believe we can make the impossible probable with education for all.</t>
  </si>
  <si>
    <t xml:space="preserve">MandarV</t>
  </si>
  <si>
    <t xml:space="preserve">Hindus Have Been Tolerant for too long..Look around in the Global KURUKSHETRA..Now or NEVER</t>
  </si>
  <si>
    <t xml:space="preserve">Japan's Shinzo Abe Conjures Stunning Election Victory in a Boost for Donald Trump https://t.co/82XDXsI1yx</t>
  </si>
  <si>
    <t xml:space="preserve">jdilipjain</t>
  </si>
  <si>
    <t xml:space="preserve">ॐ सत्य वचन ॐ</t>
  </si>
  <si>
    <t xml:space="preserve">भारत माता की जय। I'm down 2earth, sober natured guy. Emotional yet practical. #Nationalist 👍 GOOD THINGS DOES NOT ELATES ME &amp; BAD THINGS DOES NOT DEFLATES ME!</t>
  </si>
  <si>
    <t xml:space="preserve">"https://t.co/QOKBMkhNIw"Japan's Shinzo Abe Conjures Stunning Election Victory in a Boost for Donald Trump #Ειδήσε… https://t.co/Hd9iA8pJjp</t>
  </si>
  <si>
    <t xml:space="preserve">Prime Minister Shinzo Abe of Japan announces the country will "invest boldly in the next generation" https://t.co/mFKhIiSEaN #5for5</t>
  </si>
  <si>
    <t xml:space="preserve">Prime Minister Shinzo Abe of Japan announces the country will "invest boldly in the next generation" https://t.co/wur3bqUjKx #5for5</t>
  </si>
  <si>
    <t xml:space="preserve">THE WORLD NOW</t>
  </si>
  <si>
    <t xml:space="preserve">Japan's Shinzo Abe Conjures Stunning Election Victory in a Boost for Donald Trump https://t.co/FWiqo9aCFQ via Yahoo!</t>
  </si>
  <si>
    <t xml:space="preserve">Latest news &amp; headlines around the world from different news &amp; media organizations.</t>
  </si>
  <si>
    <t xml:space="preserve">What does Shinzo Abe's election win mean for Japan? - The Independent https://t.co/R7dIbnntGt</t>
  </si>
  <si>
    <t xml:space="preserve">Japan's Shinzo Abe Conjures Stunning Election Victory in a Boost for Donald Trump https://t.co/rrNQHnA7A5</t>
  </si>
  <si>
    <t xml:space="preserve">The Independent: What does Shinzo Abe’s election win mean for Japan? https://t.co/kvTwxmOJbE… https://t.co/ILtVBgJiia</t>
  </si>
  <si>
    <t xml:space="preserve">SpreadHedger</t>
  </si>
  <si>
    <t xml:space="preserve">Ftrader</t>
  </si>
  <si>
    <t xml:space="preserve">Peter Stewart</t>
  </si>
  <si>
    <t xml:space="preserve">London or the Alps</t>
  </si>
  <si>
    <t xml:space="preserve">Digital marketing in financial services. Skiing, languages, the beautiful game &amp; the odd other interest. All play | No work</t>
  </si>
  <si>
    <t xml:space="preserve">Hamassenger.com</t>
  </si>
  <si>
    <t xml:space="preserve">Japan&amp;apos;s Shinzo Abe Conjures Stunning Election Victory in a Boost for Donald Trump https://t.co/vLDWBGI7bB</t>
  </si>
  <si>
    <t xml:space="preserve">Your messenger on Hamas in Peace</t>
  </si>
  <si>
    <t xml:space="preserve">Sumathi</t>
  </si>
  <si>
    <t xml:space="preserve">On twitter to gain right perspective.</t>
  </si>
  <si>
    <t xml:space="preserve">GSFS - Georgetown</t>
  </si>
  <si>
    <t xml:space="preserve">RT @asianstudiesgu: Prof @SheilaSmithCFR quoted in "#Japan Election Vindicates #ShinzoAbe as His Party Wins Big" | New York Times https://t…</t>
  </si>
  <si>
    <t xml:space="preserve">The Edmund A. Walsh School of Foreign Service, founded in 1919, is a premier school of international affairs offering 8 master's degrees.</t>
  </si>
  <si>
    <t xml:space="preserve">Mike_Bennett</t>
  </si>
  <si>
    <t xml:space="preserve">Winning big : Japan’s ruling coalition retains a supermajority in snap election https://t.co/pv9Xxde0cW via @TheEconomist</t>
  </si>
  <si>
    <t xml:space="preserve">Allen, Texas</t>
  </si>
  <si>
    <t xml:space="preserve">Bible believer. News watcher. Life, Hope &amp; Truth website, Discern magazine, blogs, etc. Editorial content manager for Church of God, a Worldwide Association.</t>
  </si>
  <si>
    <t xml:space="preserve">Shinzo Abe secures strong mandate in Japan's general election https://t.co/DinG93ZHZE</t>
  </si>
  <si>
    <t xml:space="preserve">Juan Manuel Solana M</t>
  </si>
  <si>
    <t xml:space="preserve">Economista interesado en el mundo.</t>
  </si>
  <si>
    <t xml:space="preserve">Rajeev dixit</t>
  </si>
  <si>
    <t xml:space="preserve">@mariuskarma</t>
  </si>
  <si>
    <t xml:space="preserve">Duisburg, Deutschland</t>
  </si>
  <si>
    <t xml:space="preserve">Technology improve the world! Use efficiently #Cloud #MachineLearning #BigData #AI #Analytics #Business Intelligence #Raspberry_PI #Python #Ether</t>
  </si>
  <si>
    <t xml:space="preserve">Everiting</t>
  </si>
  <si>
    <t xml:space="preserve">Japan's Shinzo Abe Conjures Stunning Election Victory in a Boost for Donald Trump https://t.co/lxm14qvHq7 #news</t>
  </si>
  <si>
    <t xml:space="preserve">Technology blog founded in 2009. This twitter is made by feeds. Do you want to advertise here? Send me a reply ✏️ PT-EN</t>
  </si>
  <si>
    <t xml:space="preserve">Redking</t>
  </si>
  <si>
    <t xml:space="preserve">I am just a British guy from England, who have a thing about politics and Alternate History.</t>
  </si>
  <si>
    <t xml:space="preserve">The election win of Japanese Prime Minister Shinzo Abe Puts the Nikkei on track for a record rise https://t.co/8UgYSCXxJk</t>
  </si>
  <si>
    <t xml:space="preserve">Google News US</t>
  </si>
  <si>
    <t xml:space="preserve">Japan's Shinzo Abe Conjures Stunning Election Victory in a Boost for Donald Trump https://t.co/RCbEgdW8zN</t>
  </si>
  <si>
    <t xml:space="preserve">Mountain View, CA</t>
  </si>
  <si>
    <t xml:space="preserve">The election win of Japanese Prime Minister Shinzo Abe Puts the Nikkei on track for a record rise https://t.co/16vUDdd8nP — Fortune (Fort…</t>
  </si>
  <si>
    <t xml:space="preserve">RT @FortuneMagazine: The election win of Japanese Prime Minister Shinzo Abe Puts the Nikkei on track for a record rise https://t.co/8UgYSCX…</t>
  </si>
  <si>
    <t xml:space="preserve">Fresh News, technology, All News since Jan23rd 2012.</t>
  </si>
  <si>
    <t xml:space="preserve">#NavyCapital : The election win of Japanese Prime Minister Shinzo Abe Puts the Nikkei on track for a record rise https://t.co/DNyJhJC09Y</t>
  </si>
  <si>
    <t xml:space="preserve">RT FortuneMagazine "The election win of Japanese Prime Minister Shinzo Abe Puts the Nikkei on track for a record r… https://t.co/byVex7mZTy"</t>
  </si>
  <si>
    <t xml:space="preserve">PoliticsoftheWorld</t>
  </si>
  <si>
    <t xml:space="preserve">What does Shinzo Abe's election win mean for Japan? - https://t.co/1x6HNIl087</t>
  </si>
  <si>
    <t xml:space="preserve">A site with links,posts,comments,etc,for people interested in what's happening in the world and what we can change about it.</t>
  </si>
  <si>
    <t xml:space="preserve">Ailean Beaton</t>
  </si>
  <si>
    <t xml:space="preserve">Columbia, MO</t>
  </si>
  <si>
    <t xml:space="preserve">Reporter @KBIA | Assistant producer @globaljourn. Edinburgh/Isle of Skye/Missouri. Previous- https://t.co/C1b9it57Y7</t>
  </si>
  <si>
    <t xml:space="preserve">Andreas Billock</t>
  </si>
  <si>
    <t xml:space="preserve">Åmål, Sweden</t>
  </si>
  <si>
    <t xml:space="preserve">Tax lawyer, sports, interested in politics, finance, international relations and history. Svensk politik.</t>
  </si>
  <si>
    <t xml:space="preserve">Courtney Manning</t>
  </si>
  <si>
    <t xml:space="preserve">@Mizzou Convergence Journalism '18. Assistant Producer at @GlobalJourn. Former intern at @IndexCensorship and @WMA. Be a voice for the voiceless 🌵🐾</t>
  </si>
  <si>
    <t xml:space="preserve">Yair Wolff</t>
  </si>
  <si>
    <t xml:space="preserve">God's Nephew</t>
  </si>
  <si>
    <t xml:space="preserve">Mayagüez, Puerto Rico</t>
  </si>
  <si>
    <t xml:space="preserve">Peñolano | Boricua de Pura Sepa | Proud #802 #SangreVerde | Entre cervezas y cigarrillos también se aprende | I allways want coffee | Recicle, Reuse, Reduce</t>
  </si>
  <si>
    <t xml:space="preserve">Rod Paez Davison</t>
  </si>
  <si>
    <t xml:space="preserve">Ecuador | New York | London</t>
  </si>
  <si>
    <t xml:space="preserve">Sustainable Development . Resilience Environmental solutions . Clean Energy Investment Adviser . UN-REDD</t>
  </si>
  <si>
    <t xml:space="preserve">2b 🦁</t>
  </si>
  <si>
    <t xml:space="preserve">Japan Election Vindicates Shinzo Abe as His Party Wins Big https://t.co/InghhajqdY</t>
  </si>
  <si>
    <t xml:space="preserve">Américas</t>
  </si>
  <si>
    <t xml:space="preserve">Tena stelin 🌍 ; willingness of heart &amp; potent dedication, fulfills the demand of this 'iration'. #CHANNEL4RADIO #LEVELUP #STAYWOKE #savedsinner #yorkist #getfit</t>
  </si>
  <si>
    <t xml:space="preserve">Babuji</t>
  </si>
  <si>
    <t xml:space="preserve">Mostly in US</t>
  </si>
  <si>
    <t xml:space="preserve">An Indian awaiting since ages, for our 'sone ki chiriya' Which is caged in Swiss Bank. And bribed every moment to convert into Muslim or Christianity.</t>
  </si>
  <si>
    <t xml:space="preserve">ICYMI: Election Risk Pays Off for Shinzo Abe of Japan as His Party Appears to Win Big – The New York Times https://t.co/xOjRFB04q3</t>
  </si>
  <si>
    <t xml:space="preserve">Townhall Review</t>
  </si>
  <si>
    <t xml:space="preserve">Japanese PM Shinzo #Abe’s big win in Sunday’s election bolsters his push to revise the #pacifist constitution.… https://t.co/XVMuU7hZNc</t>
  </si>
  <si>
    <t xml:space="preserve">CoSchedule</t>
  </si>
  <si>
    <t xml:space="preserve">Townhall Review brings together political commentary and analysis from leading conservative talk-radio hosts you can trust.</t>
  </si>
  <si>
    <t xml:space="preserve">Robert Battey</t>
  </si>
  <si>
    <t xml:space="preserve">Teacher, School administrator, Colleague. #lifelonglearningisfun</t>
  </si>
  <si>
    <t xml:space="preserve">Mr Slot</t>
  </si>
  <si>
    <t xml:space="preserve">Abe Election Win May Improve Odds of Casinos for Japan: https://t.co/qCju8QenAp Japanese Prime Minister Shinzo A… https://t.co/xt5ZeGdYf8</t>
  </si>
  <si>
    <t xml:space="preserve">Gambling and gaming news, views, tips and tricks. Please, always gamble responsibly. Never gamble anything you can't afford to lose.</t>
  </si>
  <si>
    <t xml:space="preserve">Phil Resch</t>
  </si>
  <si>
    <t xml:space="preserve">Japan's Shinzo Abe Conjures Stunning Election Victory in a Boost for Donald Trump https://t.co/YbxKeLjF1m #information</t>
  </si>
  <si>
    <t xml:space="preserve">ElectronicSheepForInsomniacs</t>
  </si>
  <si>
    <t xml:space="preserve">The Rosen Association</t>
  </si>
  <si>
    <t xml:space="preserve">Indian Advocate</t>
  </si>
  <si>
    <t xml:space="preserve">Japan's leader just won a resounding election victory, but he's still unpopular https://t.co/oMuJkL8Sfh</t>
  </si>
  <si>
    <t xml:space="preserve">PineBridge</t>
  </si>
  <si>
    <t xml:space="preserve">An electoral landslide empowers Japan's Shinzo Abe and his economic policies. https://t.co/UnHc1xo8bf #japan #shinzoabe</t>
  </si>
  <si>
    <t xml:space="preserve">PineBridge Investments is a global asset manager with US$85.5 billion in assets under management as of 30 June 2017</t>
  </si>
  <si>
    <t xml:space="preserve">Andrea Aquaro</t>
  </si>
  <si>
    <t xml:space="preserve">Money Manager At https://t.co/wELIZHIUCa | Financial Chart Analyst | Urban Adventurer | Traveler And Photographer | I Love My Dog Pepper | rainmarket@yahoo.it</t>
  </si>
  <si>
    <t xml:space="preserve">Shinzo Abe, Japan's prime minister, will probably remain four more years at the country’s helm https://t.co/zom9nIsuI3</t>
  </si>
  <si>
    <t xml:space="preserve">RT @TheEconomist: Shinzo Abe, Japan's prime minister, will probably remain four more years at the country’s helm https://t.co/zom9nIsuI3</t>
  </si>
  <si>
    <t xml:space="preserve">RT TheEconomist "Shinzo Abe, Japan's prime minister, will probably remain four more years at the country’s helm https://t.co/dU1Rx7m1KT"</t>
  </si>
  <si>
    <t xml:space="preserve">Nyovest_</t>
  </si>
  <si>
    <t xml:space="preserve">🔶 LIFE BEFORE SOCIAL MEDIA WAS.. https://t.co/fpcKiwp4Y8</t>
  </si>
  <si>
    <t xml:space="preserve">Grzegorz Jakubowski</t>
  </si>
  <si>
    <t xml:space="preserve">Warszawa</t>
  </si>
  <si>
    <t xml:space="preserve">Redaktor naczelny @InterpressPAI | Szef działu śledczego @GazetaFinansowa | g.jakubowski@interpresspai.pl | g.jakubowski@gazetafinansowa.pl</t>
  </si>
  <si>
    <t xml:space="preserve">TheEconomist: Shinzo Abe, Japan's prime minister, will probably remain four more years at the country’s helm https://t.co/tSCxChCYkn</t>
  </si>
  <si>
    <t xml:space="preserve">TheEconomist: Shinzo Abe, Japan's prime minister, will probably remain four more years at the country’s helm https://t.co/fUi6YKMR8y</t>
  </si>
  <si>
    <t xml:space="preserve">NBR</t>
  </si>
  <si>
    <t xml:space="preserve">Abe lays out priorities, incl NKorea, aging population, tax hike &amp; Abenomics, following election win, @STcom reports https://t.co/dl6k0wQr0D</t>
  </si>
  <si>
    <t xml:space="preserve">Seattle &amp; Washington, DC</t>
  </si>
  <si>
    <t xml:space="preserve">The National Bureau of Asian Research (NBR) is a nonpartisan think tank committed to informing US-Asia policy.</t>
  </si>
  <si>
    <t xml:space="preserve">Witcher</t>
  </si>
  <si>
    <t xml:space="preserve">People should always pray and not give up!!!!! #Gaming #Motivation</t>
  </si>
  <si>
    <t xml:space="preserve">Go to our website for full view: Shinzo Abe, Japan's prime minister, will probably remain four more years at the c… https://t.co/sMZfQqXugS</t>
  </si>
  <si>
    <t xml:space="preserve">AndersonMdwayi</t>
  </si>
  <si>
    <t xml:space="preserve">Mthatha, South Africa</t>
  </si>
  <si>
    <t xml:space="preserve">Together moving South Africa forward through Radical Economic Transformation..Amaaaaaaaaandla! ngawoMzantsi Africa</t>
  </si>
  <si>
    <t xml:space="preserve">Luca Pintavalle</t>
  </si>
  <si>
    <t xml:space="preserve">Como, Sutera (CL) - Italy</t>
  </si>
  <si>
    <t xml:space="preserve">Sound &amp; Computer Engineer addicted to Classical Music, Photographer, ImageProcessing, Videomaker, Rally, MotoGP, F1, Travel IG: @LucaPintavalle</t>
  </si>
  <si>
    <t xml:space="preserve">Janusz Piechociński</t>
  </si>
  <si>
    <t xml:space="preserve">janusz@piechocinski.pl, https://t.co/E64acCVJ3j</t>
  </si>
  <si>
    <t xml:space="preserve">野戦情報隊</t>
  </si>
  <si>
    <t xml:space="preserve">Shinzo Abe, Japan's prime minister, will probably remain four more years at the country’s helm https://t.co/jtLHwih7Rh</t>
  </si>
  <si>
    <t xml:space="preserve">Core Exercise</t>
  </si>
  <si>
    <t xml:space="preserve">Japan&amp;apos;s Shinzo Abe Conjures Stunning Election Victory in a Boost for Donald Trump https://t.co/VDHvQmp55q</t>
  </si>
  <si>
    <t xml:space="preserve">Ndayambaje Diane</t>
  </si>
  <si>
    <t xml:space="preserve">Aitor Liébana</t>
  </si>
  <si>
    <t xml:space="preserve">FX Specialist @Kantox. BBA graduate at UPF. Curious about many topics. Views expressed here are my own.</t>
  </si>
  <si>
    <t xml:space="preserve">Natalie Mauchline</t>
  </si>
  <si>
    <t xml:space="preserve">Arkansas, USA</t>
  </si>
  <si>
    <t xml:space="preserve">Graduate student studying Politics and International Relations at @UArkansas. Originally from Edinburgh, Scotland.</t>
  </si>
  <si>
    <t xml:space="preserve">TheEconomist: Shinzo Abe, Japan's prime minister, will probably remain four more years at the country’s helm https://t.co/IT1JOfaOaH</t>
  </si>
  <si>
    <t xml:space="preserve">Shinzo Abe, Japan's prime minister, will probably remain four more years at the country’s helm https://t.co/aIpbUiGB7B</t>
  </si>
  <si>
    <t xml:space="preserve">Shinzo Abe, Japan's prime minister, will probably remain four more years at the country’s helm https://t.co/AIWqgcB1hm</t>
  </si>
  <si>
    <t xml:space="preserve">TheEconomist: Shinzo Abe, Japan's prime minister, will probably remain four more years at the country’s helm https://t.co/bZyrXvW3lT Shin…</t>
  </si>
  <si>
    <t xml:space="preserve">Otto Mansilla</t>
  </si>
  <si>
    <t xml:space="preserve">Mexicano | 24 | Entrepreneur | Grupo GAOM | Librepensador.</t>
  </si>
  <si>
    <t xml:space="preserve">Trump Congratulates Japan’s Prime Minister, Shinzo Abe On Election Victory https://t.co/As7SLwf3IL</t>
  </si>
  <si>
    <t xml:space="preserve">Trump Congratulates Japan’s Prime Minister, Shinzo Abe On Election Victory https://t.co/fNPNuIAog7</t>
  </si>
  <si>
    <t xml:space="preserve">The Real Truth</t>
  </si>
  <si>
    <t xml:space="preserve">World News Desk: "After Election Win, Shinzo Abe Prioritizes North Korea and Aging Japan" https://t.co/9zvG1yLtJe https://t.co/kQKqWJYUAz</t>
  </si>
  <si>
    <t xml:space="preserve">Michael Zaladonis</t>
  </si>
  <si>
    <t xml:space="preserve">Running With Devil</t>
  </si>
  <si>
    <t xml:space="preserve">Lehigh Valley, NJ/PA</t>
  </si>
  <si>
    <t xml:space="preserve">Founder of @imagoApps and Vascular Technologist - obsessions: medicine | app development | singularity | cycling | adventure | travel | fitness | hiking | AI</t>
  </si>
  <si>
    <t xml:space="preserve">Japan's Shinzo Abe Conjures Stunning Election Victory in a Boost for Donald Trump https://t.co/FWiqo9sdxo via Yahoo!</t>
  </si>
  <si>
    <t xml:space="preserve">Monika Hoff</t>
  </si>
  <si>
    <t xml:space="preserve">Köln, Deutschland</t>
  </si>
  <si>
    <t xml:space="preserve">Journalistin for ever</t>
  </si>
  <si>
    <t xml:space="preserve">Jim Carlson</t>
  </si>
  <si>
    <t xml:space="preserve">Japan's Shinzo Abe Conjures Stunning Election Victory in a Boost for Donald Trump https://t.co/rrNQHnRIrD</t>
  </si>
  <si>
    <t xml:space="preserve">Manuel</t>
  </si>
  <si>
    <t xml:space="preserve">Tres Cantos, España</t>
  </si>
  <si>
    <t xml:space="preserve">Alicantino por tierras madrileñas</t>
  </si>
  <si>
    <t xml:space="preserve">RT TheEconomist "Shinzo Abe, Japan's prime minister, will probably remain four more years at the country’s helm https://t.co/NTKQV51eeh"</t>
  </si>
  <si>
    <t xml:space="preserve">justin</t>
  </si>
  <si>
    <t xml:space="preserve">I advocate peaceful non-violence. We are a nation that believes in the rule of law. We can talk civilly, use courts, or legislation, to advance our choices.</t>
  </si>
  <si>
    <t xml:space="preserve">Japan's Shinzo Abe Conjures Stunning Election Victory in a Boost for Donald Trump https://t.co/5SefPCs4Fz</t>
  </si>
  <si>
    <t xml:space="preserve">Japan's Shinzo Abe Conjures Stunning Election Victory in a Boost for Donald Trump https://t.co/RCbEgedJrl</t>
  </si>
  <si>
    <t xml:space="preserve">INTER ALIA</t>
  </si>
  <si>
    <t xml:space="preserve">Election Risk Pays Off for Shinzo Abe of Japan as His Party Appears to Win Big - The New York Times https://t.co/2QMtChRE5h</t>
  </si>
  <si>
    <t xml:space="preserve">International politics. UN news. Outer Space developments. Russia today. I am also a learning photographer. All originally posted photos are my work.</t>
  </si>
  <si>
    <t xml:space="preserve">Rosangela Santos</t>
  </si>
  <si>
    <t xml:space="preserve">Nordestina,Leonina,Democrata,Cinéfila, Cozinheira...Estudante de Inglês e apaixonada por Direito e pela Literatura do meu País chamado BR@SIL;</t>
  </si>
  <si>
    <t xml:space="preserve">chetan raj chauhan</t>
  </si>
  <si>
    <t xml:space="preserve">WTKR News 3</t>
  </si>
  <si>
    <t xml:space="preserve">Japan's Shinzo Abe hails landslide victory in snap election https://t.co/60sMM68CJ0 https://t.co/rRJmVF3BXq</t>
  </si>
  <si>
    <t xml:space="preserve">Hampton Roads, Virginia</t>
  </si>
  <si>
    <t xml:space="preserve">Visit us online: https://t.co/O7Be1q7QDa. Like us on Facebook: https://t.co/eQkKUQdE0K. Follow us on Instagram: https://t.co/uonHdcjouf.</t>
  </si>
  <si>
    <t xml:space="preserve">Shinzo Abe scores major victory for ruling coalition in Japan election https://t.co/XlV2BEEEV0</t>
  </si>
  <si>
    <t xml:space="preserve">What does Shinzo Abe's election win mean for Japan? https://t.co/InuuMI0I2x</t>
  </si>
  <si>
    <t xml:space="preserve">MohammadYaaseenEdoo</t>
  </si>
  <si>
    <t xml:space="preserve">Mauritius</t>
  </si>
  <si>
    <t xml:space="preserve">Queen's Young Leader | Associate Fellow @TheRCSLondon | Global Youth Ambassador @theirnews | Disability Activist @LeonardCheshire |Member @GPcwd @UNICEF</t>
  </si>
  <si>
    <t xml:space="preserve">imichel</t>
  </si>
  <si>
    <t xml:space="preserve">Trump Congratulates Japan’s Prime Minister, Shinzo Abe On Election Victory https://t.co/xHBp4dRfWM</t>
  </si>
  <si>
    <t xml:space="preserve">Trump Congratulates Japan’s Prime Minister, Shinzo Abe On Election Victory https://t.co/mwzfLYM7ay</t>
  </si>
  <si>
    <t xml:space="preserve">TUUMAZAN</t>
  </si>
  <si>
    <t xml:space="preserve">Japan's Shinzo Abe Conjures Stunning Election Victory in a Boost for Donald Trump https://t.co/CyLSCrEfuB https://t.co/ZVQ5WN3LRE</t>
  </si>
  <si>
    <t xml:space="preserve">Ankit Khera</t>
  </si>
  <si>
    <t xml:space="preserve">Dilli</t>
  </si>
  <si>
    <t xml:space="preserve">Firm believer in Sanatan Dharma . I mock people who believe in Aasmani Kitab(The Book of Hate).My ancestors ruled Pakistan till 1846.Allah is fake God.</t>
  </si>
  <si>
    <t xml:space="preserve">Samuel T. Alhassan</t>
  </si>
  <si>
    <t xml:space="preserve">GOD First || Entrepreneur || Investor || Innovator || Technology || Success || Wealth || Law Soon || Fitness || Football Fanatic || #FCBarcelona</t>
  </si>
  <si>
    <t xml:space="preserve">TODAY</t>
  </si>
  <si>
    <t xml:space="preserve">Donald Trump congratulates Japan’s Shinzo Abe on election victory https://t.co/TBpZ3dHgep</t>
  </si>
  <si>
    <t xml:space="preserve">Latest news, trends, photos and videos from around Nigeria and world.</t>
  </si>
  <si>
    <t xml:space="preserve">Nigeria Newsdesk</t>
  </si>
  <si>
    <t xml:space="preserve">Donald Trump congratulates Japan’s Shinzo Abe on election victory https://t.co/OgEZSnUWHS via @todayng</t>
  </si>
  <si>
    <t xml:space="preserve">Breaking news and current events from around Nigeria and abroad.</t>
  </si>
  <si>
    <t xml:space="preserve">nineteen forty two</t>
  </si>
  <si>
    <t xml:space="preserve">RT @NigeriaNewsdesk: Donald Trump congratulates Japan’s Shinzo Abe on election victory https://t.co/OgEZSnUWHS via @todayng</t>
  </si>
  <si>
    <t xml:space="preserve">somewhere reminiscing </t>
  </si>
  <si>
    <t xml:space="preserve">RT @todayng: Donald Trump congratulates Japan’s Shinzo Abe on election victory https://t.co/TBpZ3dHgep</t>
  </si>
  <si>
    <t xml:space="preserve">V &amp; F</t>
  </si>
  <si>
    <t xml:space="preserve">Nigeria </t>
  </si>
  <si>
    <t xml:space="preserve">V &amp; F News • News, Entertainment, Music, Sports, TV • inquiries to vandfnews@gmail.com</t>
  </si>
  <si>
    <t xml:space="preserve">akinsowon olusegun</t>
  </si>
  <si>
    <t xml:space="preserve">Donald Trump congratulates Japan’s Shinzo Abe on election victory https://t.co/VisJnd60uf via todayng</t>
  </si>
  <si>
    <t xml:space="preserve">ilorin Nigeria</t>
  </si>
  <si>
    <t xml:space="preserve">I am an anaesthetist. I try to make surgical operation safe, comfortable and make the outcome acceptable to my patients. Follow me for all the latest happenings</t>
  </si>
  <si>
    <t xml:space="preserve">Somjeeta</t>
  </si>
  <si>
    <t xml:space="preserve">Benson Joshua</t>
  </si>
  <si>
    <t xml:space="preserve">Environmental Health And Safety Professional With keen interest in Media Technology ,Environment and Public Health Safety</t>
  </si>
  <si>
    <t xml:space="preserve">Bee Bello</t>
  </si>
  <si>
    <t xml:space="preserve">NigeriaNewsdesk: Donald Trump congratulates Japan’s Shinzo Abe on election victory https://t.co/F6QL14s7UG via todayng</t>
  </si>
  <si>
    <t xml:space="preserve">Kano Nigeria </t>
  </si>
  <si>
    <t xml:space="preserve">Instagram*snapchat:Bbello2015. Civil Engineer</t>
  </si>
  <si>
    <t xml:space="preserve">たかひろ</t>
  </si>
  <si>
    <r>
      <rPr>
        <sz val="8"/>
        <rFont val="Noto Sans CJK SC Regular"/>
        <family val="2"/>
      </rPr>
      <t xml:space="preserve">古本屋。転竜会会長。スプラトゥーン</t>
    </r>
    <r>
      <rPr>
        <sz val="8"/>
        <rFont val="Droid Sans"/>
        <family val="0"/>
        <charset val="1"/>
      </rPr>
      <t xml:space="preserve">2</t>
    </r>
    <r>
      <rPr>
        <sz val="8"/>
        <rFont val="Noto Sans CJK SC Regular"/>
        <family val="2"/>
      </rPr>
      <t xml:space="preserve">やってます。</t>
    </r>
  </si>
  <si>
    <t xml:space="preserve">Afuzi Lotanna</t>
  </si>
  <si>
    <t xml:space="preserve">Cool-headed &amp; Easy-going #CFC #TrueBlue</t>
  </si>
  <si>
    <t xml:space="preserve">Adebayo Segun Emmy</t>
  </si>
  <si>
    <t xml:space="preserve">Cool,calm and calculative.</t>
  </si>
  <si>
    <t xml:space="preserve">Mister Green</t>
  </si>
  <si>
    <t xml:space="preserve">Nomad</t>
  </si>
  <si>
    <t xml:space="preserve">newslocker_analyst</t>
  </si>
  <si>
    <t xml:space="preserve">Japan&amp;amp;apos;s Shinzo Abe Conjures Stunning Election Victory in a Boost for Donald Trump #Analyst https://t.co/6cUHk9VVcU</t>
  </si>
  <si>
    <t xml:space="preserve">Stay on top of the latest Analyst news. Be up to date in your profession or interest. check http://t.co/gRqKAO6BaT</t>
  </si>
  <si>
    <t xml:space="preserve">Abubakar Bin Aliyu</t>
  </si>
  <si>
    <t xml:space="preserve">Father, Husband, Teacher, Youth Empowerment Advocate, Grassrootstitian, ICTist, Global Villager.</t>
  </si>
  <si>
    <t xml:space="preserve">Retweeted Nigeria Newsdesk (@NigeriaNewsdesk): Donald Trump congratulates Japan’s Shinzo Abe on election victory... https://t.co/kFWO3y13QP</t>
  </si>
  <si>
    <t xml:space="preserve">Tracey wilson</t>
  </si>
  <si>
    <t xml:space="preserve">Opinionated , Scottish , passionate , detest the right wing. Blond , fearsome and determined to rid the world of fascism !</t>
  </si>
  <si>
    <t xml:space="preserve">Japan’s ruling coalition retains a supermajority in snap election https://t.co/EMfvLGx9v3 https://t.co/V59xopw67q</t>
  </si>
  <si>
    <t xml:space="preserve">Jeremy Farrar</t>
  </si>
  <si>
    <t xml:space="preserve">Director of the Wellcome Trust (@WellcomeTrust).</t>
  </si>
  <si>
    <t xml:space="preserve">Claudia Patricia</t>
  </si>
  <si>
    <t xml:space="preserve">Activist, Researcher, Indignada</t>
  </si>
  <si>
    <t xml:space="preserve">Samuel Carver</t>
  </si>
  <si>
    <t xml:space="preserve">Going to do better than Shigeru Yoshida at this rate. https://t.co/5o5WzaZl33</t>
  </si>
  <si>
    <t xml:space="preserve">The Accident Man. Lover of #thrillernovels, #guns #ChelseaFC #geopolitics and #PersonOfInterest. still prefer #Android...for now</t>
  </si>
  <si>
    <t xml:space="preserve">お悩み相談＠相互フォロー</t>
  </si>
  <si>
    <t xml:space="preserve">Japan Election Vindicates Shinzo Abe as His Party Wins Big - New York Times https://t.co/xWI98F2WtI https://t.co/0oyL3CgHJJ</t>
  </si>
  <si>
    <t xml:space="preserve">奈良 奈良市</t>
  </si>
  <si>
    <t xml:space="preserve">日本全国お悩み相談・お悩み解決。 家庭・職場・育児・恋愛・学校・身体・友人関係。。 様々な悩み相談プラットフォーム構築を目指します。</t>
  </si>
  <si>
    <t xml:space="preserve">John McCain</t>
  </si>
  <si>
    <t xml:space="preserve">Congratulations to Japanese PM Shinzo Abe &amp; the LDP on their election victory. #Japan remains an indispensable ally to the United States.</t>
  </si>
  <si>
    <t xml:space="preserve">Phoenix, AZ / Washington, DC</t>
  </si>
  <si>
    <t xml:space="preserve">U.S. Senator John McCain (R-AZ), Chairman of Senate Armed Services Committee</t>
  </si>
  <si>
    <t xml:space="preserve">Congressional Tweets</t>
  </si>
  <si>
    <t xml:space="preserve">RT @SenJohnMcCain: Congratulations to Japanese PM Shinzo Abe &amp; the LDP on their election victory. #Japan remains an indispensable ally to t…</t>
  </si>
  <si>
    <t xml:space="preserve">CongressRTBot</t>
  </si>
  <si>
    <t xml:space="preserve">Retweeting members of congress</t>
  </si>
  <si>
    <t xml:space="preserve">all100Senators</t>
  </si>
  <si>
    <t xml:space="preserve">Collecting and retweeting tweets by all members of the US Senate. Archived at: https://t.co/rMtoBj8Fez</t>
  </si>
  <si>
    <t xml:space="preserve">Χάρων</t>
  </si>
  <si>
    <t xml:space="preserve">Private profile. Related to: https://t.co/dW7aR34B2M, https://t.co/r2FnGX4S8O RT doesn't mean support of T</t>
  </si>
  <si>
    <t xml:space="preserve">JOSE BAHAMONDE</t>
  </si>
  <si>
    <t xml:space="preserve">Quito - Ecuador</t>
  </si>
  <si>
    <t xml:space="preserve">Ben Anderson</t>
  </si>
  <si>
    <t xml:space="preserve">Duke football season ticket holder.. For better or for worse, that pretty much tells you everything about me.</t>
  </si>
  <si>
    <t xml:space="preserve">Chris Kieser</t>
  </si>
  <si>
    <t xml:space="preserve">South Bend, IN</t>
  </si>
  <si>
    <t xml:space="preserve">Notre Dame '10/'13</t>
  </si>
  <si>
    <t xml:space="preserve">SC Nanci 4 Trump🇺🇸</t>
  </si>
  <si>
    <t xml:space="preserve">#draintheswamp no lists I will block.yuge trump supporter. widow. #draintheswamp🇺🇸</t>
  </si>
  <si>
    <t xml:space="preserve">Jason Collie Hill</t>
  </si>
  <si>
    <t xml:space="preserve">Showman Artist Sportsman Enviromentalist</t>
  </si>
  <si>
    <t xml:space="preserve">Scott Buckner</t>
  </si>
  <si>
    <t xml:space="preserve">#Humanitarian/ I stand with #Israel/#Addiction/Digital Activist for @GOP/#Recovery/#MentalHealth/#Mentor/ Family Advocate for @pimaarizona #MAGA 🇮🇱🇺🇸</t>
  </si>
  <si>
    <t xml:space="preserve">Rita Nance Palomo</t>
  </si>
  <si>
    <t xml:space="preserve">Florissant, MO</t>
  </si>
  <si>
    <t xml:space="preserve">Lisa</t>
  </si>
  <si>
    <t xml:space="preserve">Loving heart, healing hands, emotionally honest, strong language. Progressive as fuck. Never give up! Never surrender! #Resist #TheResistance</t>
  </si>
  <si>
    <t xml:space="preserve">U.S Veteran &amp; Love</t>
  </si>
  <si>
    <t xml:space="preserve">Nothing to hide Nothing to Fear Don't know about them they not me. If you Fear what you Love rethink what your loving.</t>
  </si>
  <si>
    <t xml:space="preserve">Andrew Shiels</t>
  </si>
  <si>
    <t xml:space="preserve">Kindness is free. Irish writer, composer and disappointed observer of contemporary politics.</t>
  </si>
  <si>
    <t xml:space="preserve">Willy</t>
  </si>
  <si>
    <t xml:space="preserve">We fought &amp; won throughout the 60's &amp; 70's. Guess it's time again! Seems like every 50 years a revolution is required. #impeachtrump #imprisontrump</t>
  </si>
  <si>
    <t xml:space="preserve">Lynn</t>
  </si>
  <si>
    <t xml:space="preserve">Average, non-wealthy (seriously, no money), mature, liberal woman. Furious about what is being done to our fine country. #TheResistance #Resist</t>
  </si>
  <si>
    <t xml:space="preserve">bishop dean</t>
  </si>
  <si>
    <t xml:space="preserve">Agent Layo</t>
  </si>
  <si>
    <t xml:space="preserve">Agent that will break the law just to uphold the law..so Be careful... #teamliverpool #teamAlpha #teampisces #teambasketball</t>
  </si>
  <si>
    <t xml:space="preserve">Strange Times</t>
  </si>
  <si>
    <t xml:space="preserve">ÜT: 41.869156,-71.520342</t>
  </si>
  <si>
    <t xml:space="preserve">Fact Checker, interested in current events &amp; politics, NE Pats fan,dog lover, posting news articles, tired of Russians, Fake Christians &amp; hypocrites!</t>
  </si>
  <si>
    <t xml:space="preserve">Jblk</t>
  </si>
  <si>
    <t xml:space="preserve">Austin </t>
  </si>
  <si>
    <t xml:space="preserve">Marketing genius, a writer, teacher, wife, mother and a great friend. Dreams transpire to reality when you have desire, know-how and actions!</t>
  </si>
  <si>
    <t xml:space="preserve">페코</t>
  </si>
  <si>
    <t xml:space="preserve">プランゼットは自殺だ</t>
  </si>
  <si>
    <t xml:space="preserve">당신은 고통받기 위해 태어난 사람</t>
  </si>
  <si>
    <t xml:space="preserve">Janet Heinsler</t>
  </si>
  <si>
    <t xml:space="preserve">RMA</t>
  </si>
  <si>
    <t xml:space="preserve">Common sense advocate with political commentary. Premier League, La Liga, Bundesliga, Ligue 1 and Serie A &amp; Formula 1.</t>
  </si>
  <si>
    <t xml:space="preserve">rcarr</t>
  </si>
  <si>
    <t xml:space="preserve">Greater New Orleans Area</t>
  </si>
  <si>
    <t xml:space="preserve">#Democrat living down on the bayou waiting for #Louisiana to turn Blue again. #UniteBlue The life you save will be your own. No lists. #resist</t>
  </si>
  <si>
    <t xml:space="preserve">Short T</t>
  </si>
  <si>
    <t xml:space="preserve">I can't imagine why this is relevant. But, I was a smartass, once. OK, maybe more than once. Is that a deal breaker?</t>
  </si>
  <si>
    <t xml:space="preserve">tzanidauer</t>
  </si>
  <si>
    <t xml:space="preserve">truthseeker</t>
  </si>
  <si>
    <t xml:space="preserve">Union electrician local 728, logical leftist liberal and all around truthseeker.AF Veteran. Like a nascar driver,I can only go left!</t>
  </si>
  <si>
    <t xml:space="preserve">#Blame Game Again</t>
  </si>
  <si>
    <t xml:space="preserve">nothing but the truth #MAGA #Trump Train #POTUS #AmericaStrong#NRA Christian conservative,#Nascar</t>
  </si>
  <si>
    <t xml:space="preserve">Areopagitica</t>
  </si>
  <si>
    <t xml:space="preserve">#Resistance</t>
  </si>
  <si>
    <t xml:space="preserve">Kathy Zinn</t>
  </si>
  <si>
    <t xml:space="preserve">Phoenix</t>
  </si>
  <si>
    <t xml:space="preserve">Stephanie Renee</t>
  </si>
  <si>
    <t xml:space="preserve">Fighting to get Donald out of the Presidency. Give facts, get nasty, &amp; attempt some humor. Married, love God, my dog Bitzie, &amp; Fitness. #TheResistance #PIMPOTUS</t>
  </si>
  <si>
    <t xml:space="preserve">Lisa Amaral</t>
  </si>
  <si>
    <t xml:space="preserve">Born and raised in DC now living in FL! I am a Mom, Wife, Sister, Daughter, Realtor at Clear Point Realty, Kid Actor's Mom, Spiritual Seeker of Peace &amp; Love!</t>
  </si>
  <si>
    <t xml:space="preserve">joan sommers</t>
  </si>
  <si>
    <t xml:space="preserve">News. senior, wife, grandma, Yenta, and Mom... loves the theater and New York and Denver</t>
  </si>
  <si>
    <t xml:space="preserve">Mutineer 🐘</t>
  </si>
  <si>
    <t xml:space="preserve">Kansas City, MO</t>
  </si>
  <si>
    <t xml:space="preserve">My diary in Spanglish. From a rich port. Self- taught.</t>
  </si>
  <si>
    <t xml:space="preserve">Nancy S lopez</t>
  </si>
  <si>
    <t xml:space="preserve">Worcester ma</t>
  </si>
  <si>
    <t xml:space="preserve">live life to its fullest!! 😊😊😊</t>
  </si>
  <si>
    <t xml:space="preserve">Chakri</t>
  </si>
  <si>
    <t xml:space="preserve">Cristi Wolfram</t>
  </si>
  <si>
    <t xml:space="preserve">Stay at home mom, Beachbody Coach, fitness fanatic</t>
  </si>
  <si>
    <t xml:space="preserve">Lynne Colcombe</t>
  </si>
  <si>
    <t xml:space="preserve">Sylvia Greier</t>
  </si>
  <si>
    <t xml:space="preserve">a beautiful island in BC</t>
  </si>
  <si>
    <t xml:space="preserve">healthcare aide 4 seniors, political junkie, concerned citizen of the world, democratic socialist, NDP, Fair trade, No pipelines, loves animals more than people</t>
  </si>
  <si>
    <t xml:space="preserve">josemiguel</t>
  </si>
  <si>
    <t xml:space="preserve">Anchorage, Alaska</t>
  </si>
  <si>
    <t xml:space="preserve">Father, uncle, grandfather, professional civil engineer, environmental &amp; engineering consultant, educator, mentor, shining a bright blue light in a sea of red</t>
  </si>
  <si>
    <t xml:space="preserve">Kiki Falalala</t>
  </si>
  <si>
    <t xml:space="preserve">Wife, mom &amp; nana...passionate Political Science /History major and Navy Brat!! Pre-Existing &amp; Resisting!!! Granddaughter of Ragnar Loðbrok.🇮🇸🇬🇧</t>
  </si>
  <si>
    <t xml:space="preserve">Julia V Lawson</t>
  </si>
  <si>
    <t xml:space="preserve">Red State</t>
  </si>
  <si>
    <t xml:space="preserve">Politics US News World News Government &amp; Politics #Election2016</t>
  </si>
  <si>
    <t xml:space="preserve">Susan Stamp</t>
  </si>
  <si>
    <t xml:space="preserve">Connecticut</t>
  </si>
  <si>
    <t xml:space="preserve">Marine https://t.co/XLJqySEN5l Football,my cats &amp; dog,Glambert. Cake decorator Married, 2 kids, 3 grandchildren. I won't apologize 4 my sarcasm or disliking 45.</t>
  </si>
  <si>
    <t xml:space="preserve">PT_US_Congress</t>
  </si>
  <si>
    <t xml:space="preserve">PT_US_Congress [Broadcaster]</t>
  </si>
  <si>
    <t xml:space="preserve">The voice of a nation! A ParroTweet mirror of the United States Congress (104 actively serving, verified Twitter members).</t>
  </si>
  <si>
    <t xml:space="preserve">Felixgumana</t>
  </si>
  <si>
    <t xml:space="preserve">Cmaiola</t>
  </si>
  <si>
    <t xml:space="preserve">Koi pond lover, humanitarian, Dog lover, empath, loner, strength in #'s. Spiritual Advisor</t>
  </si>
  <si>
    <t xml:space="preserve">A. E.  Bojorquez</t>
  </si>
  <si>
    <t xml:space="preserve">TrumpIsDeranged</t>
  </si>
  <si>
    <t xml:space="preserve">I watch 3 soaps, YR, BnB, and GH. Favs r Chick, Philly, Brill and Killon ..... Hey hey, ho ho, Donald Trump has got to go!! #TheResistance</t>
  </si>
  <si>
    <t xml:space="preserve">no</t>
  </si>
  <si>
    <t xml:space="preserve">#Japan #ShinzoAbe | #KoreanPeninsula JJ_Xenakis: Big Election Win for Japan’s Shinzo Abe May Mean End of Pacifism https://t.co/cSBQSkaUDf</t>
  </si>
  <si>
    <t xml:space="preserve">GRAY</t>
  </si>
  <si>
    <t xml:space="preserve"> Tropical SE Palm Beach Co FL</t>
  </si>
  <si>
    <t xml:space="preserve">I champion Healthy, Functioning Ecosystems: Water&amp;Land:NEVER MORE AT RISK.As are ALL species who depend upon them. #Resist!</t>
  </si>
  <si>
    <t xml:space="preserve">🎃 Boojamin Leon 🎃</t>
  </si>
  <si>
    <t xml:space="preserve">Supports #Israel, a Free #Kurdistan, and a #FreeIran. Has Neoconservative Tendencies. #Atheist #AltCenter #StopEnslavingSaudiWomen</t>
  </si>
  <si>
    <t xml:space="preserve">P. Gabriel Olivares</t>
  </si>
  <si>
    <t xml:space="preserve">Colonia, Alemania</t>
  </si>
  <si>
    <t xml:space="preserve">🇩🇪🇪🇸🏳️‍🌈🇮🇨Momentos de analizar y contar lo q sucede en Germany. Observando la política. I want to start a Revolution.Are you with me? Las Palmas de GC</t>
  </si>
  <si>
    <t xml:space="preserve">MD Wiblitzhouser</t>
  </si>
  <si>
    <t xml:space="preserve">Advocate for #gunsense #Resistance</t>
  </si>
  <si>
    <t xml:space="preserve">Missing Tripod, Inc.</t>
  </si>
  <si>
    <t xml:space="preserve">Live Entertainment Digital Video Production</t>
  </si>
  <si>
    <t xml:space="preserve">Elizabeth</t>
  </si>
  <si>
    <t xml:space="preserve">Designer, Animal lover, Classic film devotee, I'm Pro Humanity, a Futurist And Dreamer....</t>
  </si>
  <si>
    <t xml:space="preserve">Игорь Броварской</t>
  </si>
  <si>
    <t xml:space="preserve">Народная Республика Бровары</t>
  </si>
  <si>
    <t xml:space="preserve">Nazdi Mimo</t>
  </si>
  <si>
    <t xml:space="preserve">there is only one me,who is replaced by myself 😉😎😏</t>
  </si>
  <si>
    <t xml:space="preserve">A.Pappas</t>
  </si>
  <si>
    <t xml:space="preserve">Father, Grandfather, Citizen, Patriot, Concerned American, #resist #impeach #TheResistance</t>
  </si>
  <si>
    <t xml:space="preserve">musician</t>
  </si>
  <si>
    <t xml:space="preserve">Japan PM's ruling bloc scores big election win https://t.co/DfiNBfUDaw Japanese Prime Minister Shinzo Abe’s</t>
  </si>
  <si>
    <t xml:space="preserve">Nate Taylor</t>
  </si>
  <si>
    <t xml:space="preserve">A born again Christian .... A Constitutional Conservative with a love for this great country. Liberty and freedom will always be worth fighting for.</t>
  </si>
  <si>
    <t xml:space="preserve">Ann Street</t>
  </si>
  <si>
    <t xml:space="preserve">Black Diamond, WA</t>
  </si>
  <si>
    <t xml:space="preserve">I'm fiesty, funny, cool, and caring. I did Hospice and loved it! I want Dumb Donald to disappear! I'm going to miss Barack big time!</t>
  </si>
  <si>
    <t xml:space="preserve">Raghidahaddad</t>
  </si>
  <si>
    <t xml:space="preserve"> New York</t>
  </si>
  <si>
    <t xml:space="preserve">international Public Relations Consultant. Embrace the Universe! Don't complain, Register &amp; Vote! Get involved! Be informed and be kind.</t>
  </si>
  <si>
    <t xml:space="preserve">Sudsie M schmidt</t>
  </si>
  <si>
    <t xml:space="preserve">opinionated ="knowledgeable ". you couldn't silence me then or now. how that working for u?😘 no lists and I block all Nazis</t>
  </si>
  <si>
    <t xml:space="preserve">Sharon Mattingly</t>
  </si>
  <si>
    <t xml:space="preserve">Reston, VA</t>
  </si>
  <si>
    <t xml:space="preserve">Nancy Skartveit</t>
  </si>
  <si>
    <t xml:space="preserve">Montana, USA</t>
  </si>
  <si>
    <t xml:space="preserve">Valerie Ann</t>
  </si>
  <si>
    <t xml:space="preserve">Chris Walton</t>
  </si>
  <si>
    <t xml:space="preserve">Milwaukee, WI</t>
  </si>
  <si>
    <t xml:space="preserve">Political Director for MKE County Dems Fmr. Southeast Regional for the DPW. #GoPackGo💚💛🏈💛💚 #YoungPolitico #20something🚶🏾🌈 #MSUAlumni🎓🐶🐾</t>
  </si>
  <si>
    <t xml:space="preserve">James Slate 🇺🇸</t>
  </si>
  <si>
    <t xml:space="preserve">Empire of Liberty</t>
  </si>
  <si>
    <t xml:space="preserve">An Neoconservative Who Believes in Free Enterprise,Limited Government,Individual Freedom,Federalism and a Foreign Policy of Spreading American Ideals</t>
  </si>
  <si>
    <t xml:space="preserve">Syed Mahmood</t>
  </si>
  <si>
    <t xml:space="preserve">Congratulations to Shinzo Abe on election victory. #Japan remains great ally to UK.</t>
  </si>
  <si>
    <t xml:space="preserve">City of London, London</t>
  </si>
  <si>
    <t xml:space="preserve">Business, International Trade &amp; Development. Director of Global Success Partnership. British.</t>
  </si>
  <si>
    <t xml:space="preserve">Maureen McIntyre</t>
  </si>
  <si>
    <t xml:space="preserve">I am an angry 53 yr old woman who is sick and tired of being taken advantage of! Let us bitch together oh yeah...Against EVERYTHING Trump! #Resist</t>
  </si>
  <si>
    <t xml:space="preserve">JOHN OROURKE</t>
  </si>
  <si>
    <t xml:space="preserve">Mack 🇺🇸</t>
  </si>
  <si>
    <t xml:space="preserve">@realdonaldtrump Proud to be apart of the Trump Presidency 🇺🇸#TrumpPence🇺🇸🍀Bill O’R🍀 “The light only shines through the people who have cracked.” Mickey</t>
  </si>
  <si>
    <t xml:space="preserve">QuakerRabbi</t>
  </si>
  <si>
    <r>
      <rPr>
        <sz val="8"/>
        <rFont val="Noto Sans CJK SC Regular"/>
        <family val="2"/>
      </rPr>
      <t xml:space="preserve">オランジュ♪</t>
    </r>
    <r>
      <rPr>
        <sz val="8"/>
        <rFont val="Droid Sans"/>
        <family val="0"/>
        <charset val="1"/>
      </rPr>
      <t xml:space="preserve">:*°</t>
    </r>
  </si>
  <si>
    <r>
      <rPr>
        <sz val="8"/>
        <rFont val="Noto Sans CJK SC Regular"/>
        <family val="2"/>
      </rPr>
      <t xml:space="preserve">日本を愛する日本人 </t>
    </r>
    <r>
      <rPr>
        <sz val="8"/>
        <rFont val="Droid Sans"/>
        <family val="0"/>
        <charset val="1"/>
      </rPr>
      <t xml:space="preserve">I am Japanese. </t>
    </r>
    <r>
      <rPr>
        <sz val="8"/>
        <rFont val="Noto Sans CJK SC Regular"/>
        <family val="2"/>
      </rPr>
      <t xml:space="preserve">差別はしませんが区別はします。尊敬する人マザー・テレサ 政治、大学、美術、料理、</t>
    </r>
    <r>
      <rPr>
        <sz val="8"/>
        <rFont val="Droid Sans"/>
        <family val="0"/>
        <charset val="1"/>
      </rPr>
      <t xml:space="preserve">soundcloud</t>
    </r>
    <r>
      <rPr>
        <sz val="8"/>
        <rFont val="Noto Sans CJK SC Regular"/>
        <family val="2"/>
      </rPr>
      <t xml:space="preserve">、映画、ガーデニング、旅行、投資、ダンス、ジョギング、ストレッチ、美容、ボランティア 母親 主人は</t>
    </r>
    <r>
      <rPr>
        <sz val="8"/>
        <rFont val="Droid Sans"/>
        <family val="0"/>
        <charset val="1"/>
      </rPr>
      <t xml:space="preserve">Wikipedia</t>
    </r>
    <r>
      <rPr>
        <sz val="8"/>
        <rFont val="Noto Sans CJK SC Regular"/>
        <family val="2"/>
      </rPr>
      <t xml:space="preserve">にいます。 韓国大統領府からフォローされています</t>
    </r>
  </si>
  <si>
    <t xml:space="preserve">MsSsHussain</t>
  </si>
  <si>
    <t xml:space="preserve">1 world ♥️♥️</t>
  </si>
  <si>
    <t xml:space="preserve">Forever Sports Lover! Arts, Poetry, Literature, Research, Business, MEd. BA Honors Psychology, BEd. H/S Social Sciences &amp; English, Mentor. Committed To Love™</t>
  </si>
  <si>
    <t xml:space="preserve">Paula Baker</t>
  </si>
  <si>
    <t xml:space="preserve">Shreveport</t>
  </si>
  <si>
    <t xml:space="preserve">Franklin Lee</t>
  </si>
  <si>
    <t xml:space="preserve">Tennessee, USA</t>
  </si>
  <si>
    <t xml:space="preserve">Against all things Trump and the Republican Party Agenda, for The Constitution and equal treatment under the law. Married, Progressive, BBA Logistics</t>
  </si>
  <si>
    <t xml:space="preserve">Laurence Daziano</t>
  </si>
  <si>
    <t xml:space="preserve">Economist, writer, columnist, speaker @SciencesPo @Fondapol @SNCF</t>
  </si>
  <si>
    <t xml:space="preserve">Japan's Shinzo Abe Conjures Stunning Election Victory in a Boost for Donald Trump https://t.co/5SefPCJG49</t>
  </si>
  <si>
    <t xml:space="preserve">What does Shinzo Abe's election win mean for Japan? https://t.co/M0sIF4jTtU</t>
  </si>
  <si>
    <t xml:space="preserve">Maria Barros</t>
  </si>
  <si>
    <t xml:space="preserve">Pierre C.</t>
  </si>
  <si>
    <t xml:space="preserve">Japan’s ruling coalition retains a supermajority in snap election https://t.co/oZNvF69mPn</t>
  </si>
  <si>
    <t xml:space="preserve">iOS</t>
  </si>
  <si>
    <t xml:space="preserve">La vie en rose : don't worry - be happy! :) If u think u can save the World, please give it a try😊. Surprenant ce qu'un seul individu peut faire..Imagine👪✌</t>
  </si>
  <si>
    <t xml:space="preserve">Bruce Bader</t>
  </si>
  <si>
    <t xml:space="preserve">Long Island, New York</t>
  </si>
  <si>
    <t xml:space="preserve">looseboots</t>
  </si>
  <si>
    <t xml:space="preserve">Wales, United Kingdom</t>
  </si>
  <si>
    <t xml:space="preserve">Hi I'm Ruth 👾 Line Dance Instructor 💃 @ Self Employed 💃 #Hashtagger 🦋</t>
  </si>
  <si>
    <t xml:space="preserve">Marcy Renfrow</t>
  </si>
  <si>
    <t xml:space="preserve">Jay Allen</t>
  </si>
  <si>
    <t xml:space="preserve">Elaina McCartney</t>
  </si>
  <si>
    <t xml:space="preserve">Photographer, human</t>
  </si>
  <si>
    <t xml:space="preserve">Mary Kay Goettsch</t>
  </si>
  <si>
    <t xml:space="preserve">Rio Pinar, FL</t>
  </si>
  <si>
    <t xml:space="preserve">Retired Chief Nursing Officer, Registered Independent, Feminist, voted for HRC. Mother and Grandmother. Detests Trump.</t>
  </si>
  <si>
    <t xml:space="preserve">Judith Harper</t>
  </si>
  <si>
    <t xml:space="preserve">#Takeaknee</t>
  </si>
  <si>
    <t xml:space="preserve">Carrie T</t>
  </si>
  <si>
    <t xml:space="preserve">Joy Roehnert</t>
  </si>
  <si>
    <t xml:space="preserve">Christian, Ex-GOP 35 years 'til Christie threw NJ under the bus, Wife,Mom &amp; GrandMom of the cutest, happiest baby,ex-AF Nurse/Penn Nurse</t>
  </si>
  <si>
    <t xml:space="preserve">Allegra VH Green</t>
  </si>
  <si>
    <t xml:space="preserve">Stamford, CT</t>
  </si>
  <si>
    <t xml:space="preserve">Allegra VH Green likes sports travel and music.</t>
  </si>
  <si>
    <t xml:space="preserve">Beth Parton</t>
  </si>
  <si>
    <t xml:space="preserve">College Counselor, Love to dance, Love music. Dislike antagonism, life is short, Live it daily. Cat Lover🐾🐾! I enjoy a glass of wine with my friends.</t>
  </si>
  <si>
    <t xml:space="preserve">Roberto Pretell</t>
  </si>
  <si>
    <t xml:space="preserve">Perú</t>
  </si>
  <si>
    <t xml:space="preserve">Interesado en los desastres (política) y la atención hospitalaria. Mirar los hechos desde otra perspectiva, con sentido común y enfoque económico.</t>
  </si>
  <si>
    <t xml:space="preserve">CatDski</t>
  </si>
  <si>
    <t xml:space="preserve">San Francisco Bay Area</t>
  </si>
  <si>
    <t xml:space="preserve">Small Biz Owner, Love Dogs &amp; All Animals &amp; Earth, Praying for our Country 🇺🇸&amp; All Military including Intel Community, #Resist #ButShePersisted</t>
  </si>
  <si>
    <t xml:space="preserve">perception</t>
  </si>
  <si>
    <t xml:space="preserve">Oregon, USA</t>
  </si>
  <si>
    <t xml:space="preserve">mortality</t>
  </si>
  <si>
    <t xml:space="preserve">Penny Lane</t>
  </si>
  <si>
    <t xml:space="preserve">Não existe diálogo com fascista.</t>
  </si>
  <si>
    <t xml:space="preserve">Michael Damico</t>
  </si>
  <si>
    <t xml:space="preserve">Chester, Virginia</t>
  </si>
  <si>
    <t xml:space="preserve">30 year retired Army Sergeant Major 2 War Vet, retired Civil Servant</t>
  </si>
  <si>
    <t xml:space="preserve">Merri Younce</t>
  </si>
  <si>
    <t xml:space="preserve">Blocked by General John F Kelly Unabashed social liberal and atheist. Despise all things Orange #TheResistance #trumprussia #ImpeachTrump Trumpanzees blocked!</t>
  </si>
  <si>
    <t xml:space="preserve">Alison Coon</t>
  </si>
  <si>
    <t xml:space="preserve">Linda Slay</t>
  </si>
  <si>
    <t xml:space="preserve">Retired, and...loving Life</t>
  </si>
  <si>
    <t xml:space="preserve">Mike the Saint</t>
  </si>
  <si>
    <t xml:space="preserve">Liberal Socialistic Democrat; Father; Artist; Retired and ready to move to Canada - If you're offended by foul language, don't follow #TheResistance #Resist</t>
  </si>
  <si>
    <t xml:space="preserve">Jan.3 ♑</t>
  </si>
  <si>
    <t xml:space="preserve">Tameka R.</t>
  </si>
  <si>
    <t xml:space="preserve">Tim</t>
  </si>
  <si>
    <t xml:space="preserve"> Hudson Valley NY </t>
  </si>
  <si>
    <t xml:space="preserve">Arts &amp; Culture Design &amp; Architecture News History Politics #FBR. hark now hear the sailors cry let our souls and spirits fly as we sail into the mystic</t>
  </si>
  <si>
    <t xml:space="preserve">Cloud SDN</t>
  </si>
  <si>
    <t xml:space="preserve">Japan Election Vindicates Shinzo Abe as His Party Wins Big - https://t.co/aH5XfG336G #SDN #IaaS</t>
  </si>
  <si>
    <t xml:space="preserve">Twitter iphone7 App</t>
  </si>
  <si>
    <t xml:space="preserve">Regensburg</t>
  </si>
  <si>
    <t xml:space="preserve">Software define Network, IaaS</t>
  </si>
  <si>
    <t xml:space="preserve">Sandie Kelly</t>
  </si>
  <si>
    <t xml:space="preserve">"Courage is rightly esteemed first of human qualities because it has been said, it is the quality which guarantees all other." W.C.</t>
  </si>
  <si>
    <t xml:space="preserve">Juan Pablo Benavente</t>
  </si>
  <si>
    <t xml:space="preserve">Católico y conservador. Anticomunista, y opositor a todas las formas que ha adoptado el socialismo. Pinochetista. #VotaKast2 #MAGA</t>
  </si>
  <si>
    <t xml:space="preserve">NaMo Namah</t>
  </si>
  <si>
    <t xml:space="preserve">🇺🇸🌿🕊🌿🌍</t>
  </si>
  <si>
    <t xml:space="preserve">making things complicated is simple. making things simple is complicated! The Blue/Green Owl ❤</t>
  </si>
  <si>
    <t xml:space="preserve">Libby</t>
  </si>
  <si>
    <t xml:space="preserve">Lafayette, IN</t>
  </si>
  <si>
    <t xml:space="preserve">DEMOCRAT bleeding heart union supporting college educated technically-challenged baby boomer. Retired accountant, mother of three, grandmother of one.</t>
  </si>
  <si>
    <t xml:space="preserve">rose slater✡</t>
  </si>
  <si>
    <t xml:space="preserve">Carona del Mar, CA</t>
  </si>
  <si>
    <t xml:space="preserve">Thankful for all I have! Love my Crazy Family! Love the Pacific Ocean! SDSU Grad. #RESISTANCE djt is a HORROR! #ImpeachTrump</t>
  </si>
  <si>
    <t xml:space="preserve">mara zare</t>
  </si>
  <si>
    <t xml:space="preserve">Marie Boyd</t>
  </si>
  <si>
    <t xml:space="preserve">Peter S. Kahrmann</t>
  </si>
  <si>
    <t xml:space="preserve">Human rights activist, writer, writes the Kahrmann Blog.</t>
  </si>
  <si>
    <t xml:space="preserve">James Cunningham</t>
  </si>
  <si>
    <t xml:space="preserve">Lover not a fighter ❤️😘</t>
  </si>
  <si>
    <t xml:space="preserve">Liberal Hawk</t>
  </si>
  <si>
    <t xml:space="preserve">An idealist without illusions. A liberal mugged by reality. 🦉🦅🗽🇺🇸</t>
  </si>
  <si>
    <t xml:space="preserve">Heather Young</t>
  </si>
  <si>
    <t xml:space="preserve">I believe in the human race. Just discouraged that doesn't currently include the POTUS &amp; co.</t>
  </si>
  <si>
    <t xml:space="preserve">Resking</t>
  </si>
  <si>
    <t xml:space="preserve">Teacher, guitar player, Husky fan.</t>
  </si>
  <si>
    <t xml:space="preserve">Cheryl kim</t>
  </si>
  <si>
    <t xml:space="preserve">Satan</t>
  </si>
  <si>
    <t xml:space="preserve">United States of Hell</t>
  </si>
  <si>
    <t xml:space="preserve">Dip Dip Potato Chip</t>
  </si>
  <si>
    <t xml:space="preserve">dgosse</t>
  </si>
  <si>
    <t xml:space="preserve">Proud Catholic. Conservative. loves to cook, especially Peruvian cuisine. Supporter of Marco Rubio! Loves dogs, especially German shepherds!</t>
  </si>
  <si>
    <t xml:space="preserve">NeeVA</t>
  </si>
  <si>
    <t xml:space="preserve">DMV</t>
  </si>
  <si>
    <t xml:space="preserve">Veteran. Inclusive. likes &amp; RT sharing info. I vote 🇺🇸 interests 1st! BoSox, Patriots, Celtics, Bruins! Gives infinite # of second chances. PMP</t>
  </si>
  <si>
    <t xml:space="preserve">Mary Minniear</t>
  </si>
  <si>
    <t xml:space="preserve">Marili Cancio</t>
  </si>
  <si>
    <t xml:space="preserve">Proud American sworn to defend US Constitution #Florida #TV #Radio #Brazil #Cuba #Venezuela #Education #Politics #MAGA #LetsKeepWorking #IA1A Español Português</t>
  </si>
  <si>
    <t xml:space="preserve">Anthony Clark Arend</t>
  </si>
  <si>
    <t xml:space="preserve">Senior Associate Dean &amp; Professor, Walsh School of Foreign Service at GeorgetownUniversity, @GUPolitics Faculty Liaison</t>
  </si>
  <si>
    <t xml:space="preserve">eqtr8er</t>
  </si>
  <si>
    <t xml:space="preserve">equities/futures trader/real estate #TheResistance #StrongerTogether #NoFacistUSA I retweet alot and tweet an occasional expletive to express my outrage.</t>
  </si>
  <si>
    <t xml:space="preserve">Japan's Shinzo Abe Conjures Stunning Election Victory in a Boost for Donald Trump | https://t.co/uf0xjbAxb7 | #Iran</t>
  </si>
  <si>
    <t xml:space="preserve">James Thompson</t>
  </si>
  <si>
    <t xml:space="preserve">Wildomar California</t>
  </si>
  <si>
    <t xml:space="preserve">Laker fan since 1962, SF Giants/SF49ers/Sooner fan since 1968. Retired US Postal Service Mgr, US Vietnam Era Disabled Navy Veteran.</t>
  </si>
  <si>
    <t xml:space="preserve">Rick</t>
  </si>
  <si>
    <t xml:space="preserve">Flint, MI</t>
  </si>
  <si>
    <t xml:space="preserve">I study I learn for my self if you believe everything you hear they have you hook line and sinker I grew up the hard way my mom and dad were share cropers</t>
  </si>
  <si>
    <t xml:space="preserve">"https://t.co/QOKBMk0cjW"Japan's Shinzo Abe Conjures Stunning Election Victory in a Boost for Donald Trump #Ειδήσε… https://t.co/Hd9iA8HkaX</t>
  </si>
  <si>
    <t xml:space="preserve">Nancy JC</t>
  </si>
  <si>
    <t xml:space="preserve">Veteran</t>
  </si>
  <si>
    <t xml:space="preserve">peacock</t>
  </si>
  <si>
    <t xml:space="preserve">Business real estate politics</t>
  </si>
  <si>
    <t xml:space="preserve">Alice-Sofia Savitsky</t>
  </si>
  <si>
    <t xml:space="preserve">https://t.co/6Fbm3SVY72 @Japan is back:began road to becoming main power@ Pacific region.1st-Nkorea: no more missiles@ Japan sky!Good luck!</t>
  </si>
  <si>
    <t xml:space="preserve">Christian. American. Independent. Website “Christian’s Mind&amp;the World”: https://t.co/yleCZgqJUq Hobby: https://t.co/s5njK4TxKu</t>
  </si>
  <si>
    <t xml:space="preserve">Soul Food</t>
  </si>
  <si>
    <t xml:space="preserve">Japan's leader just won a resounding election victory, but he's still unpopular https://t.co/mi0e10p0Iw</t>
  </si>
  <si>
    <t xml:space="preserve">SparklingColors</t>
  </si>
  <si>
    <t xml:space="preserve">Eat well and be happy</t>
  </si>
  <si>
    <t xml:space="preserve">बिन्दु व्यास</t>
  </si>
  <si>
    <t xml:space="preserve">Professor of #IBECOM. Educating self and students to be #BAWSE, #PALS, to get Back to Basic #BtB, feels that many things get #lostintranslation</t>
  </si>
  <si>
    <t xml:space="preserve">ryu hyo bong</t>
  </si>
  <si>
    <t xml:space="preserve">CEO at noridan Inc. We Play, Imagine and Create. Rediscovery the value changes our lives. Connecting Youth,Community and the World through the Arts &amp; Culture.</t>
  </si>
  <si>
    <t xml:space="preserve">(((Jim 🥐 Prall)))</t>
  </si>
  <si>
    <t xml:space="preserve">Toronto, Canada</t>
  </si>
  <si>
    <t xml:space="preserve">Ines Emera</t>
  </si>
  <si>
    <t xml:space="preserve">Congratulations to His excellency Minister Shinzo Abe san https://t.co/0fDM6FrciM</t>
  </si>
  <si>
    <t xml:space="preserve">Daughter of the Almighty God,Techy geek and Inna.</t>
  </si>
  <si>
    <t xml:space="preserve">John Teets</t>
  </si>
  <si>
    <t xml:space="preserve">Ruling bloc to focus on constitution reform after election win - https://t.co/pxoRKVcfgY Prime Minister Shinzo Abe, buoyed by a huge elec...</t>
  </si>
  <si>
    <t xml:space="preserve">Jonas Ortiz Lopez</t>
  </si>
  <si>
    <t xml:space="preserve">Cayey</t>
  </si>
  <si>
    <t xml:space="preserve">Christian, Real Estate Broker and Entrepenuer.</t>
  </si>
  <si>
    <t xml:space="preserve">Diana Scott</t>
  </si>
  <si>
    <t xml:space="preserve">Shinzo Abe’s expected election win will make him Japan's longest-serving prime minister https://t.co/BlT0UJnB8e</t>
  </si>
  <si>
    <t xml:space="preserve">CasinoOrg</t>
  </si>
  <si>
    <t xml:space="preserve">#ShinzoAbe Election Win May Improve Odds of #Casinos for #Japan https://t.co/GLHsvn2fsM https://t.co/Ni0cxEthHy</t>
  </si>
  <si>
    <t xml:space="preserve">The world's premier guide for online gambling enthusiasts. Visit our facebook page https://t.co/YWJUmbjw9U and our website:</t>
  </si>
  <si>
    <t xml:space="preserve">Sam Shaw</t>
  </si>
  <si>
    <t xml:space="preserve">Chase Weston Tobin</t>
  </si>
  <si>
    <t xml:space="preserve">TOKYO (Reuters) - Prime Minister Shinzo Abe, buoyed by a huge election win for lawmakers who favor revising... https://t.co/qNk3igPlGS</t>
  </si>
  <si>
    <t xml:space="preserve">SGT, USMC VET. @MilMuscleInc ATHLETE. @SLR_Nutrition Ambassador. DISCOUNT CODE: ⚡️SUPERHEROESAREREAL ⚡️ Motivational Speaker (LINK BELOW)</t>
  </si>
  <si>
    <t xml:space="preserve">rosa</t>
  </si>
  <si>
    <t xml:space="preserve">{ RP }</t>
  </si>
  <si>
    <t xml:space="preserve">okay so i'm a little dumb.</t>
  </si>
  <si>
    <t xml:space="preserve">oh no</t>
  </si>
  <si>
    <t xml:space="preserve">+666</t>
  </si>
  <si>
    <t xml:space="preserve">At ebb tide I wrote a line upon the sand, gave it all my heart and soul. At flood tide I returned to read what I had inscribed and found my ignorance.</t>
  </si>
  <si>
    <t xml:space="preserve">jane doe</t>
  </si>
  <si>
    <t xml:space="preserve">Passionate with many voices, wounded healer. Believer and skeptic. Poet and artist. My personal content is copyrighted. 🌱</t>
  </si>
  <si>
    <t xml:space="preserve">Jade Dragon</t>
  </si>
  <si>
    <t xml:space="preserve">Regular person</t>
  </si>
  <si>
    <t xml:space="preserve">WGMurph</t>
  </si>
  <si>
    <t xml:space="preserve">Former political agnostic, current freedom fighter, slayer of Orange Skinned Buffoonery #TheResistance</t>
  </si>
  <si>
    <t xml:space="preserve">Blaine Bershad</t>
  </si>
  <si>
    <t xml:space="preserve">architect, charmed 2nd act, critical thinker, bee keeper, vegetarian, farmer: Think of those coming next: ALL human constructs eventually fail. Embrace Change.</t>
  </si>
  <si>
    <t xml:space="preserve">H.O.N.</t>
  </si>
  <si>
    <t xml:space="preserve">RT @trtworld: Shinzo Abe’s expected election win will make him Japan's longest-serving prime minister https://t.co/BlT0UJnB8e</t>
  </si>
  <si>
    <t xml:space="preserve">Europe | Middle East | Africa</t>
  </si>
  <si>
    <t xml:space="preserve">Cool, calm and collected.</t>
  </si>
  <si>
    <t xml:space="preserve">Troy Blackwell jr.</t>
  </si>
  <si>
    <t xml:space="preserve">NYC | DC</t>
  </si>
  <si>
    <t xml:space="preserve">Proud @ObamaWhiteHouse Alum via comms for @HillaryClinton, PB for @NYCCouncil, Edu Cmmtte @PRparadeNYC. Digital Strategist. Borinqueño 🇵🇷. Views are mine.</t>
  </si>
  <si>
    <t xml:space="preserve">Doreen Devaney</t>
  </si>
  <si>
    <r>
      <rPr>
        <sz val="8"/>
        <rFont val="Droid Sans"/>
        <family val="0"/>
        <charset val="1"/>
      </rPr>
      <t xml:space="preserve">Woodgreen</t>
    </r>
    <r>
      <rPr>
        <sz val="8"/>
        <rFont val="Noto Sans CJK SC Regular"/>
        <family val="2"/>
      </rPr>
      <t xml:space="preserve">秋色に染まる</t>
    </r>
  </si>
  <si>
    <r>
      <rPr>
        <sz val="8"/>
        <rFont val="Droid Sans"/>
        <family val="0"/>
        <charset val="1"/>
      </rPr>
      <t xml:space="preserve">Japan🇯🇵garden🌺trains🚃cat🐈UK🇬🇧 </t>
    </r>
    <r>
      <rPr>
        <sz val="8"/>
        <rFont val="Noto Sans CJK SC Regular"/>
        <family val="2"/>
      </rPr>
      <t xml:space="preserve">ジムで筋肉を育てているよ☺️</t>
    </r>
  </si>
  <si>
    <t xml:space="preserve">Evelyn Kissinger</t>
  </si>
  <si>
    <t xml:space="preserve">John Kelley</t>
  </si>
  <si>
    <t xml:space="preserve">Japan Election Vindicates Shinzo Abe as His Party Wins Big via @NYTimes https://t.co/u1brgj7jat</t>
  </si>
  <si>
    <t xml:space="preserve">Followings, retweets, and postings from news sources are neither indications of agreement nor endorsements.</t>
  </si>
  <si>
    <t xml:space="preserve">shizuko_okita</t>
  </si>
  <si>
    <r>
      <rPr>
        <sz val="8"/>
        <rFont val="Noto Sans CJK SC Regular"/>
        <family val="2"/>
      </rPr>
      <t xml:space="preserve">ついっぷる </t>
    </r>
    <r>
      <rPr>
        <sz val="8"/>
        <rFont val="Droid Sans"/>
        <family val="0"/>
        <charset val="1"/>
      </rPr>
      <t xml:space="preserve">for iPhone</t>
    </r>
  </si>
  <si>
    <t xml:space="preserve">神奈川</t>
  </si>
  <si>
    <t xml:space="preserve">秋田県大仙市（旧大曲市）出身。 趣味は手芸全般。ちまちまと、しかし根詰めて、縫ったり編んだりするのが大好き。</t>
  </si>
  <si>
    <t xml:space="preserve">kathryn Lannom</t>
  </si>
  <si>
    <t xml:space="preserve">constitutionalist, retired hr professional, grandmom, freedom lover</t>
  </si>
  <si>
    <t xml:space="preserve">indy aliconsina</t>
  </si>
  <si>
    <t xml:space="preserve">Rajaram M</t>
  </si>
  <si>
    <t xml:space="preserve">Avid Follower of Defence and Strategic Affairs, Insurance Expert, Entreprenuer</t>
  </si>
  <si>
    <t xml:space="preserve">Spencer Rathus</t>
  </si>
  <si>
    <t xml:space="preserve">Nancy Roman</t>
  </si>
  <si>
    <t xml:space="preserve">Marcel Caron</t>
  </si>
  <si>
    <t xml:space="preserve">Lee Martin 🏳️‍🌈</t>
  </si>
  <si>
    <t xml:space="preserve">Linwood, Scotland</t>
  </si>
  <si>
    <t xml:space="preserve">LGBT rights advocate. SNP Member. Executive Member for Mental Health at @WelfareScotland. Support #Paisley2021</t>
  </si>
  <si>
    <t xml:space="preserve">NORTHERN LIGHTS</t>
  </si>
  <si>
    <t xml:space="preserve">Rohit Singh</t>
  </si>
  <si>
    <t xml:space="preserve">Japan's Shinzo Abe Conjures Stunning Election Victory in a Boost for Donald Trump https://t.co/oLYfZDGX3y https://t.co/fViQ99zgiZ</t>
  </si>
  <si>
    <t xml:space="preserve">DwTrick Mainly Focus On Free 3G Internet, Free Recharge, Tech World, How To Guide, Adroid, iOS, Windows Tricks and much more....</t>
  </si>
  <si>
    <t xml:space="preserve">Joe Gray</t>
  </si>
  <si>
    <t xml:space="preserve">Shifting Asia Power | https://t.co/NcqF6MRunU</t>
  </si>
  <si>
    <t xml:space="preserve">Malden</t>
  </si>
  <si>
    <t xml:space="preserve">Noelle</t>
  </si>
  <si>
    <t xml:space="preserve">@AmericanUAlum, Fordham Law '20, focus on gendered violence, using domestic &amp; intl law to fight it. RT/Fav don't =endorsements. love travel, music, my dogs!</t>
  </si>
  <si>
    <t xml:space="preserve">Cranston, RI</t>
  </si>
  <si>
    <t xml:space="preserve">gail</t>
  </si>
  <si>
    <t xml:space="preserve">Bob Bigelow</t>
  </si>
  <si>
    <t xml:space="preserve">Athens, Ga</t>
  </si>
  <si>
    <t xml:space="preserve">Still haven't found what I'm looking for~U2 #followback:::Absurdity of trolls may be explored:::Parody Account</t>
  </si>
  <si>
    <t xml:space="preserve">Shinzo Abe secures strong mandate in Japan's general election #Generalnews https://t.co/j7umxWmN9S</t>
  </si>
  <si>
    <t xml:space="preserve">Xandro Marcos</t>
  </si>
  <si>
    <t xml:space="preserve">I bet Theresa May wishes she had the kind of election the LDP and Shinzo Abe just had in Japan haha</t>
  </si>
  <si>
    <t xml:space="preserve">Manila x London</t>
  </si>
  <si>
    <t xml:space="preserve">The evil twin</t>
  </si>
  <si>
    <t xml:space="preserve">Rob W</t>
  </si>
  <si>
    <t xml:space="preserve">RTing news: politics, sci/tech, pop culture. Devil's Advocate, moderate, radical 1A defender. Time/NPR main sources. Check Likes 4 thought-provoking links</t>
  </si>
  <si>
    <t xml:space="preserve">What does Shinzo Abe&amp;amp;apos;s election win mean for Japan? #WorldNews https://t.co/Ifvgrpfxb6</t>
  </si>
  <si>
    <t xml:space="preserve">Animals</t>
  </si>
  <si>
    <t xml:space="preserve">Japan&amp;amp;apos;s Shinzo Abe Conjures Stunning Election Victory in a Boost for Donald Trump #AnimalsNews https://t.co/RqDAGyWmhX</t>
  </si>
  <si>
    <t xml:space="preserve">Stay on top of the latest Animal news. Be up to date in your profession or interest. check http://t.co/rxDFaZAVNH</t>
  </si>
  <si>
    <t xml:space="preserve">ChristopherHatton</t>
  </si>
  <si>
    <t xml:space="preserve">Interested in my country and politics. Also writing, real estate, music. Have written songs, short stories, genetic Genealogy articles and children's stories.</t>
  </si>
  <si>
    <t xml:space="preserve">ICRT News</t>
  </si>
  <si>
    <t xml:space="preserve">President Tsai Ing-wen has sent a congratulatory message to Japan's Prime Minister Shinzo Abe on his victory in Sunday's election.</t>
  </si>
  <si>
    <t xml:space="preserve">Burli Newsroom System</t>
  </si>
  <si>
    <t xml:space="preserve">Taipei, Taiwan</t>
  </si>
  <si>
    <t xml:space="preserve">Taiwan news and headlines from the news team at ICRT, Taiwan's only English radio station. Follow @ICRT100 for station tweets.</t>
  </si>
  <si>
    <t xml:space="preserve">Maisel's Weisse</t>
  </si>
  <si>
    <r>
      <rPr>
        <sz val="8"/>
        <rFont val="Droid Sans"/>
        <family val="0"/>
        <charset val="1"/>
      </rPr>
      <t xml:space="preserve">CMA </t>
    </r>
    <r>
      <rPr>
        <sz val="8"/>
        <rFont val="Noto Sans CJK SC Regular"/>
        <family val="2"/>
      </rPr>
      <t xml:space="preserve">その他雑多な思いつき、</t>
    </r>
    <r>
      <rPr>
        <sz val="8"/>
        <rFont val="Droid Sans"/>
        <family val="0"/>
        <charset val="1"/>
      </rPr>
      <t xml:space="preserve">ML</t>
    </r>
    <r>
      <rPr>
        <sz val="8"/>
        <rFont val="Noto Sans CJK SC Regular"/>
        <family val="2"/>
      </rPr>
      <t xml:space="preserve">等の没ネタ→</t>
    </r>
    <r>
      <rPr>
        <sz val="8"/>
        <rFont val="Droid Sans"/>
        <family val="0"/>
        <charset val="1"/>
      </rPr>
      <t xml:space="preserve">twitter </t>
    </r>
    <r>
      <rPr>
        <sz val="8"/>
        <rFont val="Noto Sans CJK SC Regular"/>
        <family val="2"/>
      </rPr>
      <t xml:space="preserve">ギャンブル、インチキ投資、関連のフォロワーは一方的にスパム報告します。</t>
    </r>
    <r>
      <rPr>
        <sz val="8"/>
        <rFont val="Droid Sans"/>
        <family val="0"/>
        <charset val="1"/>
      </rPr>
      <t xml:space="preserve">Member of Wagner Geselschaft Japan, Tokyo/ HN is from my most fav bier of Bayreuth as Festgast</t>
    </r>
  </si>
  <si>
    <t xml:space="preserve">ks</t>
  </si>
  <si>
    <t xml:space="preserve">Jason Staiert</t>
  </si>
  <si>
    <t xml:space="preserve">North Korea and 3 other things to expect following Japan's PM Shinzo Abe's landslide victory… https://t.co/ejQ1kjIqvm</t>
  </si>
  <si>
    <t xml:space="preserve">hwingo</t>
  </si>
  <si>
    <t xml:space="preserve">Winning big : #Japan’s ruling coalition retains a supermajority in snap election https://t.co/iPbtsDgeKZ via @TheEconomist #ShinzoAbe</t>
  </si>
  <si>
    <t xml:space="preserve">#cybersecurity #smartgrid #IoT #privacy #infosec #riskmanagement #SmartCity #EdTech #AI #gbl (posts = personal views; RTs ≠ endorsement)</t>
  </si>
  <si>
    <t xml:space="preserve">Shinzo Abe’s Japan election win lifts world stocks, dollar https://t.co/HlhKBxaSw3</t>
  </si>
  <si>
    <t xml:space="preserve">Neith</t>
  </si>
  <si>
    <t xml:space="preserve">North Korea fears Japan "invasion" after Shinzo Abe's victory https://t.co/oRWIEOcF0Q</t>
  </si>
  <si>
    <t xml:space="preserve">In my nightmare</t>
  </si>
  <si>
    <t xml:space="preserve">Don't be alone. Go to the bar and be really alone with great music. It's better.</t>
  </si>
  <si>
    <t xml:space="preserve">Patricia</t>
  </si>
  <si>
    <t xml:space="preserve">RT @AsCorrespondent: North Korea and 3 other things to expect following Japan's PM Shinzo Abe's landslide victory https://t.co/zSt9lfXJiR #…</t>
  </si>
  <si>
    <t xml:space="preserve">Doctors treat but God heals</t>
  </si>
  <si>
    <t xml:space="preserve">K Lowgren</t>
  </si>
  <si>
    <t xml:space="preserve">Author/Screenwriter. Won Gold Remi Award for Corrupt @ WorldFest Houston Internt'l Film Festival 2014. Trying to sell bk &amp; screen rights</t>
  </si>
  <si>
    <t xml:space="preserve">ΕΘΟΣ</t>
  </si>
  <si>
    <t xml:space="preserve">東京都中央区東日本橋</t>
  </si>
  <si>
    <r>
      <rPr>
        <sz val="8"/>
        <rFont val="Noto Sans CJK SC Regular"/>
        <family val="2"/>
      </rPr>
      <t xml:space="preserve">東京在住の会社員。都会の遊民。アニメ好き。歴史好き。クラシック音楽好き。特技</t>
    </r>
    <r>
      <rPr>
        <sz val="8"/>
        <rFont val="Droid Sans"/>
        <family val="0"/>
        <charset val="1"/>
      </rPr>
      <t xml:space="preserve">:</t>
    </r>
    <r>
      <rPr>
        <sz val="8"/>
        <rFont val="Noto Sans CJK SC Regular"/>
        <family val="2"/>
      </rPr>
      <t xml:space="preserve">衝動買い、大人買い。</t>
    </r>
    <r>
      <rPr>
        <sz val="8"/>
        <rFont val="Droid Sans"/>
        <family val="0"/>
        <charset val="1"/>
      </rPr>
      <t xml:space="preserve">RT</t>
    </r>
    <r>
      <rPr>
        <sz val="8"/>
        <rFont val="Noto Sans CJK SC Regular"/>
        <family val="2"/>
      </rPr>
      <t xml:space="preserve">は備忘録的役割もあり、自身の見解意見とは限りません。 </t>
    </r>
    <r>
      <rPr>
        <sz val="8"/>
        <rFont val="Droid Sans"/>
        <family val="0"/>
        <charset val="1"/>
      </rPr>
      <t xml:space="preserve">https://t.co/G4LLQYsqv7</t>
    </r>
  </si>
  <si>
    <t xml:space="preserve">Joana Dallarte</t>
  </si>
  <si>
    <t xml:space="preserve">Metro Manila, Philippines</t>
  </si>
  <si>
    <t xml:space="preserve">HAPPINESS IS NOT A DESTINATION....IT'S A JOURNEY THAT IS MADE SPECIAL BY THE PEOPLE THAT WE MEET ALONG THE WAY. I m me! Simple and Happy!</t>
  </si>
  <si>
    <t xml:space="preserve">RT @xxstallonexxx: Shinzo Abe secures strong mandate in Japan's general election https://t.co/EazDIsVEzP</t>
  </si>
  <si>
    <t xml:space="preserve">Robin Horton</t>
  </si>
  <si>
    <t xml:space="preserve">VetEric Manuel Ortiz</t>
  </si>
  <si>
    <t xml:space="preserve">Far Rockaway Beach, NY 11691</t>
  </si>
  <si>
    <t xml:space="preserve">((( Vet Eric Manuel Ortiz ))) Says, please, Support a Disable Social Media Vetrepreneur to encourage success, inspiration, financial independence &amp; empowerment.</t>
  </si>
  <si>
    <t xml:space="preserve">Spaceman Spiff</t>
  </si>
  <si>
    <t xml:space="preserve">Queens, NY</t>
  </si>
  <si>
    <t xml:space="preserve">Computer Science Engineer and a proud HINDU. I do not care about being Politically Correct. Big fan of Calvin &amp; Hobbes. Hate commies. RT is not an endorsement.</t>
  </si>
  <si>
    <r>
      <rPr>
        <sz val="8"/>
        <rFont val="Droid Sans"/>
        <family val="0"/>
        <charset val="1"/>
      </rPr>
      <t xml:space="preserve">(</t>
    </r>
    <r>
      <rPr>
        <sz val="8"/>
        <rFont val="Noto Sans CJK SC Regular"/>
        <family val="2"/>
      </rPr>
      <t xml:space="preserve">주</t>
    </r>
    <r>
      <rPr>
        <sz val="8"/>
        <rFont val="Droid Sans"/>
        <family val="0"/>
        <charset val="1"/>
      </rPr>
      <t xml:space="preserve">)</t>
    </r>
    <r>
      <rPr>
        <sz val="8"/>
        <rFont val="Noto Sans CJK SC Regular"/>
        <family val="2"/>
      </rPr>
      <t xml:space="preserve">오렌지디지트코리아</t>
    </r>
  </si>
  <si>
    <t xml:space="preserve">A big victory by Shinzo Abe’s Liberal Democratic Party-led coalition in Japan’s snap election is casting a cloud over relations between S...</t>
  </si>
  <si>
    <t xml:space="preserve">BIGSpacer.com</t>
  </si>
  <si>
    <r>
      <rPr>
        <sz val="8"/>
        <rFont val="Noto Sans CJK SC Regular"/>
        <family val="2"/>
      </rPr>
      <t xml:space="preserve">가산동</t>
    </r>
    <r>
      <rPr>
        <sz val="8"/>
        <rFont val="Droid Sans"/>
        <family val="0"/>
        <charset val="1"/>
      </rPr>
      <t xml:space="preserve">, </t>
    </r>
    <r>
      <rPr>
        <sz val="8"/>
        <rFont val="Noto Sans CJK SC Regular"/>
        <family val="2"/>
      </rPr>
      <t xml:space="preserve">서울</t>
    </r>
  </si>
  <si>
    <r>
      <rPr>
        <sz val="8"/>
        <rFont val="Droid Sans"/>
        <family val="0"/>
        <charset val="1"/>
      </rPr>
      <t xml:space="preserve">Build You Story! (</t>
    </r>
    <r>
      <rPr>
        <sz val="8"/>
        <rFont val="Noto Sans CJK SC Regular"/>
        <family val="2"/>
      </rPr>
      <t xml:space="preserve">주</t>
    </r>
    <r>
      <rPr>
        <sz val="8"/>
        <rFont val="Droid Sans"/>
        <family val="0"/>
        <charset val="1"/>
      </rPr>
      <t xml:space="preserve">)</t>
    </r>
    <r>
      <rPr>
        <sz val="8"/>
        <rFont val="Noto Sans CJK SC Regular"/>
        <family val="2"/>
      </rPr>
      <t xml:space="preserve">오렌지디지트가 전자출판을 도와드립니다</t>
    </r>
    <r>
      <rPr>
        <sz val="8"/>
        <rFont val="Droid Sans"/>
        <family val="0"/>
        <charset val="1"/>
      </rPr>
      <t xml:space="preserve">. EPUB3 </t>
    </r>
    <r>
      <rPr>
        <sz val="8"/>
        <rFont val="Noto Sans CJK SC Regular"/>
        <family val="2"/>
      </rPr>
      <t xml:space="preserve">인터랙티브 그래픽을 활용한 쌍방향 이북의 시대가 열립니다</t>
    </r>
    <r>
      <rPr>
        <sz val="8"/>
        <rFont val="Droid Sans"/>
        <family val="0"/>
        <charset val="1"/>
      </rPr>
      <t xml:space="preserve">. </t>
    </r>
    <r>
      <rPr>
        <sz val="8"/>
        <rFont val="Noto Sans CJK SC Regular"/>
        <family val="2"/>
      </rPr>
      <t xml:space="preserve">또한 빅스페이서 데이터분석랩에서는 다양한 데이터를 자동으로 소셜 미디어에 송출하는 서비스를 운영하고 있습니다</t>
    </r>
    <r>
      <rPr>
        <sz val="8"/>
        <rFont val="Droid Sans"/>
        <family val="0"/>
        <charset val="1"/>
      </rPr>
      <t xml:space="preserve">.</t>
    </r>
  </si>
  <si>
    <t xml:space="preserve">Japan’s ruling coalition retains a supermajority in snap election https://t.co/oHkXj3BrS8</t>
  </si>
  <si>
    <t xml:space="preserve">Wyononia Carter</t>
  </si>
  <si>
    <t xml:space="preserve">Japan&amp;apos;s Shinzo Abe Conjures Stunning Election Victory in a Boost for Donald Trump https://t.co/9MguohKAR2</t>
  </si>
  <si>
    <r>
      <rPr>
        <sz val="8"/>
        <rFont val="Noto Sans CJK SC Regular"/>
        <family val="2"/>
      </rPr>
      <t xml:space="preserve">✪ ティーナ</t>
    </r>
    <r>
      <rPr>
        <sz val="8"/>
        <rFont val="Droid Sans"/>
        <family val="0"/>
        <charset val="1"/>
      </rPr>
      <t xml:space="preserve">48◢ ✪</t>
    </r>
  </si>
  <si>
    <t xml:space="preserve">Somewhere in SEA</t>
  </si>
  <si>
    <r>
      <rPr>
        <sz val="8"/>
        <rFont val="Droid Sans"/>
        <family val="0"/>
        <charset val="1"/>
      </rPr>
      <t xml:space="preserve">Volleyball ADMU💙DLSU💚UST💛 🏐 ●GoT/Gossip Girl/Riverdale● </t>
    </r>
    <r>
      <rPr>
        <sz val="8"/>
        <rFont val="Noto Sans CJK SC Regular"/>
        <family val="2"/>
      </rPr>
      <t xml:space="preserve">『</t>
    </r>
    <r>
      <rPr>
        <sz val="8"/>
        <rFont val="Droid Sans"/>
        <family val="0"/>
        <charset val="1"/>
      </rPr>
      <t xml:space="preserve">WEIRD</t>
    </r>
    <r>
      <rPr>
        <sz val="8"/>
        <rFont val="Noto Sans CJK SC Regular"/>
        <family val="2"/>
      </rPr>
      <t xml:space="preserve">』 </t>
    </r>
    <r>
      <rPr>
        <sz val="8"/>
        <rFont val="Droid Sans"/>
        <family val="0"/>
        <charset val="1"/>
      </rPr>
      <t xml:space="preserve">TWEETS ANYTHING </t>
    </r>
    <r>
      <rPr>
        <sz val="8"/>
        <rFont val="Noto Sans CJK SC Regular"/>
        <family val="2"/>
      </rPr>
      <t xml:space="preserve">《</t>
    </r>
    <r>
      <rPr>
        <sz val="8"/>
        <rFont val="Droid Sans"/>
        <family val="0"/>
        <charset val="1"/>
      </rPr>
      <t xml:space="preserve">Aiming to be a Director/ PAS Student </t>
    </r>
    <r>
      <rPr>
        <sz val="8"/>
        <rFont val="Noto Sans CJK SC Regular"/>
        <family val="2"/>
      </rPr>
      <t xml:space="preserve">》 </t>
    </r>
    <r>
      <rPr>
        <sz val="8"/>
        <rFont val="Droid Sans"/>
        <family val="0"/>
        <charset val="1"/>
      </rPr>
      <t xml:space="preserve">48/46g/someKPOP</t>
    </r>
  </si>
  <si>
    <t xml:space="preserve">Clora Faith Howard</t>
  </si>
  <si>
    <t xml:space="preserve">Paintsville ky </t>
  </si>
  <si>
    <t xml:space="preserve">“I was once weak, I was always afraid, I hidden my tears, but I kept on going, I kept on believing, I followed my heart, I found my courage, and I realised if I</t>
  </si>
  <si>
    <t xml:space="preserve">CfeBooks</t>
  </si>
  <si>
    <t xml:space="preserve">Japan's Shinzo Abe Conjures Stunning Election Victory in a Boost for Donald Trump https://t.co/WgKHYDgfBB</t>
  </si>
  <si>
    <t xml:space="preserve">Skerkro</t>
  </si>
  <si>
    <t xml:space="preserve">I am a Skerkro hanging around all year! Friend of crows and all creatures great and small!</t>
  </si>
  <si>
    <t xml:space="preserve">D Keeler</t>
  </si>
  <si>
    <t xml:space="preserve">Calgary Alberta Canada</t>
  </si>
  <si>
    <t xml:space="preserve">Moderate concerned that humanity is not doing what's in it's best long term interest. Exercise critical thinking. Promote humility &amp; caring for others.</t>
  </si>
  <si>
    <t xml:space="preserve">The Economist, Once</t>
  </si>
  <si>
    <t xml:space="preserve">Japan’s ruling coalition retains a supermajority in snap election https://t.co/ybDXBROisR https://t.co/Etg5gjF5IT</t>
  </si>
  <si>
    <t xml:space="preserve">中道つもり</t>
  </si>
  <si>
    <t xml:space="preserve">Will PM Abe Get People's Support for Constitutional Revision? | JAPAN Forward https://t.co/HdTWvtywSo</t>
  </si>
  <si>
    <t xml:space="preserve">大阪民国の何処か</t>
  </si>
  <si>
    <r>
      <rPr>
        <sz val="8"/>
        <rFont val="Noto Sans CJK SC Regular"/>
        <family val="2"/>
      </rPr>
      <t xml:space="preserve">降り懸かる火の粉は拂はねばならぬ。放置（約一月）［</t>
    </r>
    <r>
      <rPr>
        <sz val="8"/>
        <rFont val="Droid Sans"/>
        <family val="0"/>
        <charset val="1"/>
      </rPr>
      <t xml:space="preserve">bot</t>
    </r>
    <r>
      <rPr>
        <sz val="8"/>
        <rFont val="Noto Sans CJK SC Regular"/>
        <family val="2"/>
      </rPr>
      <t xml:space="preserve">・ </t>
    </r>
    <r>
      <rPr>
        <sz val="8"/>
        <rFont val="Droid Sans"/>
        <family val="0"/>
        <charset val="1"/>
      </rPr>
      <t xml:space="preserve">RT</t>
    </r>
    <r>
      <rPr>
        <sz val="8"/>
        <rFont val="Noto Sans CJK SC Regular"/>
        <family val="2"/>
      </rPr>
      <t xml:space="preserve">・</t>
    </r>
    <r>
      <rPr>
        <sz val="8"/>
        <rFont val="Droid Sans"/>
        <family val="0"/>
        <charset val="1"/>
      </rPr>
      <t xml:space="preserve">YTb</t>
    </r>
    <r>
      <rPr>
        <sz val="8"/>
        <rFont val="Noto Sans CJK SC Regular"/>
        <family val="2"/>
      </rPr>
      <t xml:space="preserve">］強制リムする場合があります。鍵・無</t>
    </r>
    <r>
      <rPr>
        <sz val="8"/>
        <rFont val="Droid Sans"/>
        <family val="0"/>
        <charset val="1"/>
      </rPr>
      <t xml:space="preserve">Icon</t>
    </r>
    <r>
      <rPr>
        <sz val="8"/>
        <rFont val="Noto Sans CJK SC Regular"/>
        <family val="2"/>
      </rPr>
      <t xml:space="preserve">・</t>
    </r>
    <r>
      <rPr>
        <sz val="8"/>
        <rFont val="Droid Sans"/>
        <family val="0"/>
        <charset val="1"/>
      </rPr>
      <t xml:space="preserve">Line</t>
    </r>
    <r>
      <rPr>
        <sz val="8"/>
        <rFont val="Noto Sans CJK SC Regular"/>
        <family val="2"/>
      </rPr>
      <t xml:space="preserve">垢は</t>
    </r>
    <r>
      <rPr>
        <sz val="8"/>
        <rFont val="Droid Sans"/>
        <family val="0"/>
        <charset val="1"/>
      </rPr>
      <t xml:space="preserve">Fb</t>
    </r>
    <r>
      <rPr>
        <sz val="8"/>
        <rFont val="Noto Sans CJK SC Regular"/>
        <family val="2"/>
      </rPr>
      <t xml:space="preserve">していません。メールは不使用、私宛は</t>
    </r>
    <r>
      <rPr>
        <sz val="8"/>
        <rFont val="Droid Sans"/>
        <family val="0"/>
        <charset val="1"/>
      </rPr>
      <t xml:space="preserve">TL</t>
    </r>
    <r>
      <rPr>
        <sz val="8"/>
        <rFont val="Noto Sans CJK SC Regular"/>
        <family val="2"/>
      </rPr>
      <t xml:space="preserve">にどうぞ。 多投稿に付</t>
    </r>
    <r>
      <rPr>
        <sz val="8"/>
        <rFont val="Droid Sans"/>
        <family val="0"/>
        <charset val="1"/>
      </rPr>
      <t xml:space="preserve">F</t>
    </r>
    <r>
      <rPr>
        <sz val="8"/>
        <rFont val="Noto Sans CJK SC Regular"/>
        <family val="2"/>
      </rPr>
      <t xml:space="preserve">自粛中⁉️</t>
    </r>
  </si>
  <si>
    <t xml:space="preserve">RgCh</t>
  </si>
  <si>
    <t xml:space="preserve">RT @EconomistOnce: Japan’s ruling coalition retains a supermajority in snap election https://t.co/ybDXBROisR https://t.co/Etg5gjF5IT</t>
  </si>
  <si>
    <t xml:space="preserve">España, Alemania, Europa.</t>
  </si>
  <si>
    <t xml:space="preserve">«It's a principle innate and co-natural to every man to have an insatiable inclination to the truth, and to seek for it as for hid treasure» Aikenhead, 1697.</t>
  </si>
  <si>
    <t xml:space="preserve">Keep Resisting 🛐</t>
  </si>
  <si>
    <t xml:space="preserve">Time to end horrific #DogMeatTrade! #hres401 Proud Democrat. Traitor Trump is #NotMyPresident #TheResistance #TrumpRussia #Resist #ImpeachTrump</t>
  </si>
  <si>
    <t xml:space="preserve">(((Danny Boy)))</t>
  </si>
  <si>
    <t xml:space="preserve">Yorkshire, United Kingdom</t>
  </si>
  <si>
    <t xml:space="preserve">Tory, Unionist &amp; monarchist | Zionist | History, politics &amp; ecology | Cartophile &amp; vexillophile | Cricket &amp; rugby fan. 🇬🇧 🇺🇸 🇮🇱 🇳🇿 🇨🇦 🇦🇺</t>
  </si>
  <si>
    <t xml:space="preserve">Margo Young</t>
  </si>
  <si>
    <t xml:space="preserve">After Election Win, Shinzo Abe Prioritizes North Korea and Aging Japan https://t.co/3CaTKqYDXX</t>
  </si>
  <si>
    <t xml:space="preserve">Orangeville/Caledon/Dufferin</t>
  </si>
  <si>
    <t xml:space="preserve">Margo Young,owner of Orangeville business GENESIS SPACE CREATIONS DECORATING &amp; DESIGN creates unique livingspaces.Residential,commercial,marine.</t>
  </si>
  <si>
    <t xml:space="preserve">Daniel Yilung Huang</t>
  </si>
  <si>
    <t xml:space="preserve">RT @ICRTNews: President Tsai Ing-wen has sent a congratulatory message to Japan's Prime Minister Shinzo Abe on his victory in Sunday's elec…</t>
  </si>
  <si>
    <t xml:space="preserve">DC</t>
  </si>
  <si>
    <t xml:space="preserve">Snr. Officer, Press Div., TECRO. basketball, food lover. Tweets r my own. RTs ≠ endorsements.</t>
  </si>
  <si>
    <t xml:space="preserve">Ravi Shankar</t>
  </si>
  <si>
    <t xml:space="preserve">New York, NY, USA</t>
  </si>
  <si>
    <t xml:space="preserve">जिज्ञासु यायावर प्रवासी</t>
  </si>
  <si>
    <t xml:space="preserve">Emmanuel Akpabio</t>
  </si>
  <si>
    <t xml:space="preserve">PANUN KASHMIR</t>
  </si>
  <si>
    <t xml:space="preserve">Exiled from kashmir my homeland,Now a refugee in home country for last 27 years. Mera Bharat Maahan. Vice Chairman . PANUN KASHMIR.</t>
  </si>
  <si>
    <t xml:space="preserve">らもん</t>
  </si>
  <si>
    <t xml:space="preserve">富山県</t>
  </si>
  <si>
    <t xml:space="preserve">長男が拾ってきた猫が中心の我が家。原発、戦争、小さな幸せを大切に感じて一所懸命に生きている人を不幸にする事は絶対に反対。肉球新党党員🙆 勝手にリツイート、フォロー申し訳ありません。でも応援したいのです。</t>
  </si>
  <si>
    <t xml:space="preserve">Dr.P.Kanagasabapathi</t>
  </si>
  <si>
    <t xml:space="preserve">Professor involved in India-centric studies; Author/ Writer; Spokesperson, BJP, Tamil Nadu</t>
  </si>
  <si>
    <t xml:space="preserve">zmq007</t>
  </si>
  <si>
    <r>
      <rPr>
        <sz val="8"/>
        <rFont val="Noto Sans CJK SC Regular"/>
        <family val="2"/>
      </rPr>
      <t xml:space="preserve">愛國愛黨愛人民 人民才是國家的王</t>
    </r>
    <r>
      <rPr>
        <sz val="8"/>
        <rFont val="Droid Sans"/>
        <family val="0"/>
        <charset val="1"/>
      </rPr>
      <t xml:space="preserve">The people are the king of the state.</t>
    </r>
  </si>
  <si>
    <t xml:space="preserve">LLOYD WALLACE</t>
  </si>
  <si>
    <t xml:space="preserve">Nancie McCormick</t>
  </si>
  <si>
    <t xml:space="preserve">Abe to push reform of Japan's pacifist constitution after election win https://t.co/95G3SieNI9 Japanese Prime Minister Shinzo Abe’s</t>
  </si>
  <si>
    <t xml:space="preserve">YU HAO YU</t>
  </si>
  <si>
    <r>
      <rPr>
        <sz val="8"/>
        <rFont val="Droid Sans"/>
        <family val="0"/>
        <charset val="1"/>
      </rPr>
      <t xml:space="preserve">Japan election: Shinzo Abe's economy faces huge challenges https://t.co/WaZa4fub6u </t>
    </r>
    <r>
      <rPr>
        <sz val="8"/>
        <rFont val="Noto Sans CJK SC Regular"/>
        <family val="2"/>
      </rPr>
      <t xml:space="preserve">來自 </t>
    </r>
    <r>
      <rPr>
        <sz val="8"/>
        <rFont val="Droid Sans"/>
        <family val="0"/>
        <charset val="1"/>
      </rPr>
      <t xml:space="preserve">@CNNMoney</t>
    </r>
  </si>
  <si>
    <t xml:space="preserve">newsAnglr World</t>
  </si>
  <si>
    <t xml:space="preserve">What does #Shinzo #Abe&amp;apos;s election win mean for Japan? https://t.co/UWaHehd8YQ https://t.co/0PnybTv0gw</t>
  </si>
  <si>
    <t xml:space="preserve">Newsanglr bot World</t>
  </si>
  <si>
    <t xml:space="preserve">Tracks all major world related news sources in the world and tweets the most important world topics of the moment</t>
  </si>
  <si>
    <t xml:space="preserve">Abe to push reform of Japan's pacifist constitution after election win https://t.co/kDHme30aGM Japanese Prime Minister Shinzo Abe’s</t>
  </si>
  <si>
    <t xml:space="preserve">Edom Kassaye</t>
  </si>
  <si>
    <t xml:space="preserve">#Japan PM Abe succeed a snap election, what about revising nations constitution? tune @globaljourn this Thursday https://t.co/H8SV8LRqkA</t>
  </si>
  <si>
    <t xml:space="preserve">የማርያም መንገድ</t>
  </si>
  <si>
    <t xml:space="preserve">Assistant Producer @globaljourn Now coding. . .</t>
  </si>
  <si>
    <t xml:space="preserve">Shinzo Abe vows to seek consensus on Japan Constitution after election win.. https://t.co/kHawIu0fxy</t>
  </si>
  <si>
    <t xml:space="preserve">Voted for @POTUS @RealDonaldTrump and he's one of the greatest Presidents in History that I'll ever vote for!! #MAGA #POTUS #Trump</t>
  </si>
  <si>
    <t xml:space="preserve">newsAnglr</t>
  </si>
  <si>
    <t xml:space="preserve">RT @worldanglr: What does #Shinzo #Abe&amp;apos;s election win mean for Japan? https://t.co/UWaHehd8YQ https://t.co/0PnybTv0gw</t>
  </si>
  <si>
    <t xml:space="preserve">NewsAnglr</t>
  </si>
  <si>
    <t xml:space="preserve">Official newsanglr Twitter account</t>
  </si>
  <si>
    <t xml:space="preserve">Ryan Kotrch</t>
  </si>
  <si>
    <t xml:space="preserve">Intern for Del. Helsel (R) 91st District. Political Commentator #VCU19. VCU Teachers Assistant. Political Science Major. Future Teacher. Pharmacy Technician</t>
  </si>
  <si>
    <t xml:space="preserve">NJ77</t>
  </si>
  <si>
    <t xml:space="preserve">Loves : Technology, F1, Beer, Cats! Hates: Economic Global Meltdowns &amp; Wars! Interested in: Green Tech., Enterpreneur-stuff!</t>
  </si>
  <si>
    <t xml:space="preserve">Shinzo Abe vows to seek consensus on Japan Constitution after election win https://t.co/l4GQRfXeIf https://t.co/ZEkyg3WPxr</t>
  </si>
  <si>
    <t xml:space="preserve">yukamama</t>
  </si>
  <si>
    <t xml:space="preserve">Shinzo Abe secures strong mandate in Japan's general election https://t.co/zHsFrNSsHx</t>
  </si>
  <si>
    <t xml:space="preserve">new york</t>
  </si>
  <si>
    <t xml:space="preserve">We are ONE. Peace on Earth.</t>
  </si>
  <si>
    <t xml:space="preserve">Jon Sukarangsan</t>
  </si>
  <si>
    <t xml:space="preserve">Digital, Brand Strategy, Fashion. Sometimes artist. Consultant. Group Program Director @CriticalMass</t>
  </si>
  <si>
    <t xml:space="preserve">Kae</t>
  </si>
  <si>
    <t xml:space="preserve">Shinzo Abe, the "comeback kid" of Japanese politics- Nikkei Asian Review https://t.co/mzdsrSfFky</t>
  </si>
  <si>
    <t xml:space="preserve">Shinzo Abe vows to seek consensus on Japan Constitution after election win https://t.co/LmZewRAmKr</t>
  </si>
  <si>
    <t xml:space="preserve">2400battleworldneeku</t>
  </si>
  <si>
    <t xml:space="preserve">Taliban</t>
  </si>
  <si>
    <t xml:space="preserve">🏴 yall suck glizzy inna club https://t.co/UQrGTd7mQG</t>
  </si>
  <si>
    <t xml:space="preserve">Japan Q&amp;A: why Abe’s victory cheers investors - Shinzo Abe’s third election victory by no means solves Japan’s ... https://t.co/2FMvcIioD2</t>
  </si>
  <si>
    <t xml:space="preserve">With a landslide win, Shinzo Abe could be ready to rewrite Japan's pacifist constitution https://t.co/91RglRk1J8</t>
  </si>
  <si>
    <t xml:space="preserve">Security</t>
  </si>
  <si>
    <t xml:space="preserve">Japan&amp;amp;apos;s Shinzo Abe Conjures Stunning Election Victory in a Boost for Donald Trump #SecurityNews https://t.co/oVWwekkIOa</t>
  </si>
  <si>
    <t xml:space="preserve">Stay on top of the latest political news. Be up to date in your profession or interest. check http://t.co/B5J9oGruCW</t>
  </si>
  <si>
    <t xml:space="preserve">Japan's leader just won a resounding election victory, but he's still unpopular https://t.co/EwUQ2QlceL</t>
  </si>
  <si>
    <t xml:space="preserve">Japan's leader just won a resounding election victory, but he's still unpopular https://t.co/EwUQ2Q3Bnd</t>
  </si>
  <si>
    <t xml:space="preserve">M Harrison</t>
  </si>
  <si>
    <t xml:space="preserve">Here And Now</t>
  </si>
  <si>
    <t xml:space="preserve">**** KEEP CALM AND CARRY ON ***** #Mindfulness #Animals #Climate #Art #Politics No DM! I usually #FollowBack</t>
  </si>
  <si>
    <t xml:space="preserve">Trendler News</t>
  </si>
  <si>
    <t xml:space="preserve">Japan Election Vindicates Shinzo Abe as His Party Wins Big https://t.co/V14pOVOtPZ</t>
  </si>
  <si>
    <t xml:space="preserve">Trendler searches the world for the most interesting stories in News, Sports, Politics, Business, Entertainment, Technology, Lifestyle and Food.</t>
  </si>
  <si>
    <t xml:space="preserve">John Dauer</t>
  </si>
  <si>
    <t xml:space="preserve">CPO at Londonderry, LLC</t>
  </si>
  <si>
    <t xml:space="preserve">Daniel</t>
  </si>
  <si>
    <t xml:space="preserve">Christian Dussault</t>
  </si>
  <si>
    <t xml:space="preserve">Shinzo Abe secures strong mandate in Japan's general election https://t.co/wB42piL3tO</t>
  </si>
  <si>
    <t xml:space="preserve">PARIS, MTL, NEW-YORK, LONDON</t>
  </si>
  <si>
    <t xml:space="preserve">OPINIONS, NOUVELLES, SANS CENSURE. OPINIONS, NEWS, UNCENSORED. OPINIONES , NOTICIAS, SIN CENSURA.</t>
  </si>
  <si>
    <t xml:space="preserve">tuzzi</t>
  </si>
  <si>
    <t xml:space="preserve">Japan&amp;#39;s Shinzo Abe Conjures Stunning Election Victory in a Boost for Donald Trump | The Japanese prime ... |… https://t.co/CRgrWLIsG0</t>
  </si>
  <si>
    <t xml:space="preserve">JRM</t>
  </si>
  <si>
    <t xml:space="preserve">Sports fan, avid reader and gardener, animal and art lover, environmentalist. Registered Independent.</t>
  </si>
  <si>
    <t xml:space="preserve">Becca Tauscher</t>
  </si>
  <si>
    <t xml:space="preserve">RT @TrendlerNews: Japan Election Vindicates Shinzo Abe as His Party Wins Big https://t.co/V14pOVOtPZ</t>
  </si>
  <si>
    <t xml:space="preserve">Brooklyn</t>
  </si>
  <si>
    <t xml:space="preserve">Living the dream in the big city with the most amazing friends a girl could ask for | 20 | Actor | Model | NYC | NYCDA</t>
  </si>
  <si>
    <t xml:space="preserve">Rincon International</t>
  </si>
  <si>
    <t xml:space="preserve">(Japan election: Shinzo Abe's economy faces huge challenges) - https://t.co/k6uIjyyh8I https://t.co/E70ADYdhpj</t>
  </si>
  <si>
    <t xml:space="preserve">Intl News</t>
  </si>
  <si>
    <t xml:space="preserve">News headlines from around the world!</t>
  </si>
  <si>
    <t xml:space="preserve">T</t>
  </si>
  <si>
    <t xml:space="preserve">Cori</t>
  </si>
  <si>
    <t xml:space="preserve">Japan election: Shinzo Abe set for record tenure https://t.co/aRsosHSrFk</t>
  </si>
  <si>
    <t xml:space="preserve">Looking for inspiration as a biophysicist.</t>
  </si>
  <si>
    <t xml:space="preserve">aaron bauer</t>
  </si>
  <si>
    <t xml:space="preserve">Shinzo Abe is the big winner in the #Japan legislative election, at the expense of #Tokyo governor Koike: https://t.co/59eeOYEhqu #Tokyo2020</t>
  </si>
  <si>
    <t xml:space="preserve">Atlanta based Olympics reporter for @aroundtherings. #RBNY stuff for @SNYtv. One time, I was there when the mets increased payroll. aaron.bauer4@gmail.com</t>
  </si>
  <si>
    <t xml:space="preserve">Around the Rings</t>
  </si>
  <si>
    <t xml:space="preserve">Shinzo Abe is the big winner in the #Japan legislative election, at the expense of #Tokyo governor Koike: https://t.co/8e5tlghhov #Tokyo2020</t>
  </si>
  <si>
    <t xml:space="preserve">WORLDWIDE</t>
  </si>
  <si>
    <t xml:space="preserve">Leading the WORLD with the latest Olympic news: Rio 2016, IOC, PyeongChang 2018, Federations, NOCs, Olympic Business, Doping, Scandals, more...</t>
  </si>
  <si>
    <t xml:space="preserve">Peter Konnecke</t>
  </si>
  <si>
    <t xml:space="preserve">RT AroundTheRings "Shinzo Abe is the big winner in the #Japan legislative election, at the expense of #Tokyo governor Koike: …</t>
  </si>
  <si>
    <t xml:space="preserve">These are my own thoughts, and Tweets with Retweets of those in the Public Domain. Not necessarily. endorsed by employer, clients, the IOC or IPC or any OCOG.</t>
  </si>
  <si>
    <t xml:space="preserve">Examining Religion</t>
  </si>
  <si>
    <t xml:space="preserve">Taking a critical look at the sacred texts of Christianity and Islam, and examining the influence of religious dogma on politics and society.</t>
  </si>
  <si>
    <t xml:space="preserve">Japan Election Vindicates Shinzo Abe as His Party Wins Big https://t.co/pbHdlAJlTA</t>
  </si>
  <si>
    <t xml:space="preserve">Japan Election Vindicates Shinzo Abe as His Party Wins Big https://t.co/JwK54x8ZZn</t>
  </si>
  <si>
    <t xml:space="preserve">Jojo Prescott</t>
  </si>
  <si>
    <t xml:space="preserve">Congratulation Mr. Abe! https://t.co/bAKldocml6</t>
  </si>
  <si>
    <t xml:space="preserve">North Borneo</t>
  </si>
  <si>
    <t xml:space="preserve">Freelance Graphic &amp; Web design. An IT geek, a rebellious mind, a social activist, a political outsider and a free thinker.</t>
  </si>
  <si>
    <t xml:space="preserve">Marina Medina</t>
  </si>
  <si>
    <t xml:space="preserve">Winning big : Japan’s ruling coalition retains a supermajority in snap election https://t.co/OvfOWFYaRg via @TheEconomist</t>
  </si>
  <si>
    <t xml:space="preserve">Minneapolis</t>
  </si>
  <si>
    <t xml:space="preserve">Mica Soellner</t>
  </si>
  <si>
    <t xml:space="preserve">Political Reporter at @CoMissourian | words in @Independent @NovaraMedia @theipaper @spikedonline and featured on @BBCAsianNetwork radio</t>
  </si>
  <si>
    <t xml:space="preserve">BeSunHappy 🇺🇸</t>
  </si>
  <si>
    <t xml:space="preserve">#Resist tyranny, fight for #Democracy "if you're not outraged, you're not paying attention." Heather Heyer last words on FB #Chatlottesville</t>
  </si>
  <si>
    <t xml:space="preserve">Canada in Japan</t>
  </si>
  <si>
    <r>
      <rPr>
        <sz val="8"/>
        <rFont val="Droid Sans"/>
        <family val="0"/>
        <charset val="1"/>
      </rPr>
      <t xml:space="preserve">Embassy of Canada to Japan - Français: @AmbCanJapon / </t>
    </r>
    <r>
      <rPr>
        <sz val="8"/>
        <rFont val="Noto Sans CJK SC Regular"/>
        <family val="2"/>
      </rPr>
      <t xml:space="preserve">日本語</t>
    </r>
    <r>
      <rPr>
        <sz val="8"/>
        <rFont val="Droid Sans"/>
        <family val="0"/>
        <charset val="1"/>
      </rPr>
      <t xml:space="preserve">: @CanadaNihon - http://t.co/pc5bCwITYL</t>
    </r>
  </si>
  <si>
    <t xml:space="preserve">Andrea Cattaneo</t>
  </si>
  <si>
    <t xml:space="preserve">Como, Lecco. Lombardia</t>
  </si>
  <si>
    <t xml:space="preserve">Andrea Cattaneo. Lettura, musica, politica, sport i maggiori interessi. Montagna la grande passione.</t>
  </si>
  <si>
    <t xml:space="preserve">donsw</t>
  </si>
  <si>
    <t xml:space="preserve">Director of Engineering .</t>
  </si>
  <si>
    <t xml:space="preserve">nobuyuki matsumoto</t>
  </si>
  <si>
    <t xml:space="preserve">Japan's Shinzo Abe hails landslide victory in snap election(https://t.co/FrUEfzhWeb) via @cnn_co_jp</t>
  </si>
  <si>
    <t xml:space="preserve">CNN iOS Application</t>
  </si>
  <si>
    <t xml:space="preserve">Steven Victor Austi</t>
  </si>
  <si>
    <t xml:space="preserve">Pittsburg, CA</t>
  </si>
  <si>
    <t xml:space="preserve">Kimberly Myers-Schuh</t>
  </si>
  <si>
    <t xml:space="preserve">MM19</t>
  </si>
  <si>
    <t xml:space="preserve">Your beliefs don't make you a better person, your behavior does. ~Sukhraj S. Dhillon *RT/Follow ≠ endorsement...except in silly hashtag games* #MeToo</t>
  </si>
  <si>
    <r>
      <rPr>
        <sz val="8"/>
        <rFont val="Noto Sans CJK SC Regular"/>
        <family val="2"/>
      </rPr>
      <t xml:space="preserve">柴田ありさ</t>
    </r>
    <r>
      <rPr>
        <sz val="8"/>
        <rFont val="Droid Sans"/>
        <family val="0"/>
        <charset val="1"/>
      </rPr>
      <t xml:space="preserve">(Arisa Shibata)</t>
    </r>
  </si>
  <si>
    <t xml:space="preserve">Yamanashi, Japan</t>
  </si>
  <si>
    <r>
      <rPr>
        <sz val="8"/>
        <rFont val="Noto Sans CJK SC Regular"/>
        <family val="2"/>
      </rPr>
      <t xml:space="preserve">投資家</t>
    </r>
    <r>
      <rPr>
        <sz val="8"/>
        <rFont val="Droid Sans"/>
        <family val="0"/>
        <charset val="1"/>
      </rPr>
      <t xml:space="preserve">/</t>
    </r>
    <r>
      <rPr>
        <sz val="8"/>
        <rFont val="Noto Sans CJK SC Regular"/>
        <family val="2"/>
      </rPr>
      <t xml:space="preserve">東京出身山梨在住</t>
    </r>
    <r>
      <rPr>
        <sz val="8"/>
        <rFont val="Droid Sans"/>
        <family val="0"/>
        <charset val="1"/>
      </rPr>
      <t xml:space="preserve">/</t>
    </r>
    <r>
      <rPr>
        <sz val="8"/>
        <rFont val="Noto Sans CJK SC Regular"/>
        <family val="2"/>
      </rPr>
      <t xml:space="preserve">法学</t>
    </r>
    <r>
      <rPr>
        <sz val="8"/>
        <rFont val="Droid Sans"/>
        <family val="0"/>
        <charset val="1"/>
      </rPr>
      <t xml:space="preserve">/</t>
    </r>
    <r>
      <rPr>
        <sz val="8"/>
        <rFont val="Noto Sans CJK SC Regular"/>
        <family val="2"/>
      </rPr>
      <t xml:space="preserve">会計学</t>
    </r>
    <r>
      <rPr>
        <sz val="8"/>
        <rFont val="Droid Sans"/>
        <family val="0"/>
        <charset val="1"/>
      </rPr>
      <t xml:space="preserve">/</t>
    </r>
    <r>
      <rPr>
        <sz val="8"/>
        <rFont val="Noto Sans CJK SC Regular"/>
        <family val="2"/>
      </rPr>
      <t xml:space="preserve">数学</t>
    </r>
    <r>
      <rPr>
        <sz val="8"/>
        <rFont val="Droid Sans"/>
        <family val="0"/>
        <charset val="1"/>
      </rPr>
      <t xml:space="preserve">/</t>
    </r>
    <r>
      <rPr>
        <sz val="8"/>
        <rFont val="Noto Sans CJK SC Regular"/>
        <family val="2"/>
      </rPr>
      <t xml:space="preserve">コンピューター</t>
    </r>
    <r>
      <rPr>
        <sz val="8"/>
        <rFont val="Droid Sans"/>
        <family val="0"/>
        <charset val="1"/>
      </rPr>
      <t xml:space="preserve">/</t>
    </r>
    <r>
      <rPr>
        <sz val="8"/>
        <rFont val="Noto Sans CJK SC Regular"/>
        <family val="2"/>
      </rPr>
      <t xml:space="preserve">既婚</t>
    </r>
    <r>
      <rPr>
        <sz val="8"/>
        <rFont val="Droid Sans"/>
        <family val="0"/>
        <charset val="1"/>
      </rPr>
      <t xml:space="preserve">/</t>
    </r>
    <r>
      <rPr>
        <sz val="8"/>
        <rFont val="Noto Sans CJK SC Regular"/>
        <family val="2"/>
      </rPr>
      <t xml:space="preserve">不治の神経疾患から奇跡的に快癒後、独立起業し</t>
    </r>
    <r>
      <rPr>
        <sz val="8"/>
        <rFont val="Droid Sans"/>
        <family val="0"/>
        <charset val="1"/>
      </rPr>
      <t xml:space="preserve">5</t>
    </r>
    <r>
      <rPr>
        <sz val="8"/>
        <rFont val="Noto Sans CJK SC Regular"/>
        <family val="2"/>
      </rPr>
      <t xml:space="preserve">年</t>
    </r>
    <r>
      <rPr>
        <sz val="8"/>
        <rFont val="Droid Sans"/>
        <family val="0"/>
        <charset val="1"/>
      </rPr>
      <t xml:space="preserve">/365</t>
    </r>
    <r>
      <rPr>
        <sz val="8"/>
        <rFont val="Noto Sans CJK SC Regular"/>
        <family val="2"/>
      </rPr>
      <t xml:space="preserve">日自由生活</t>
    </r>
    <r>
      <rPr>
        <sz val="8"/>
        <rFont val="Droid Sans"/>
        <family val="0"/>
        <charset val="1"/>
      </rPr>
      <t xml:space="preserve">/→</t>
    </r>
    <r>
      <rPr>
        <sz val="8"/>
        <rFont val="Noto Sans CJK SC Regular"/>
        <family val="2"/>
      </rPr>
      <t xml:space="preserve">自由が欲しいかたは是非</t>
    </r>
    <r>
      <rPr>
        <sz val="8"/>
        <rFont val="Droid Sans"/>
        <family val="0"/>
        <charset val="1"/>
      </rPr>
      <t xml:space="preserve">LINE@</t>
    </r>
    <r>
      <rPr>
        <sz val="8"/>
        <rFont val="Noto Sans CJK SC Regular"/>
        <family val="2"/>
      </rPr>
      <t xml:space="preserve">ご登録を！→</t>
    </r>
    <r>
      <rPr>
        <sz val="8"/>
        <rFont val="Droid Sans"/>
        <family val="0"/>
        <charset val="1"/>
      </rPr>
      <t xml:space="preserve">ID</t>
    </r>
    <r>
      <rPr>
        <sz val="8"/>
        <rFont val="Noto Sans CJK SC Regular"/>
        <family val="2"/>
      </rPr>
      <t xml:space="preserve">検索 </t>
    </r>
    <r>
      <rPr>
        <sz val="8"/>
        <rFont val="Droid Sans"/>
        <family val="0"/>
        <charset val="1"/>
      </rPr>
      <t xml:space="preserve">@ arisa.shibata</t>
    </r>
  </si>
  <si>
    <t xml:space="preserve">Retweeted Bloomberg (@business): How Japan leader Shinzo Abe's election gamble paid off https://t.co/OPufIrrMXl... https://t.co/wysTk89xLC</t>
  </si>
  <si>
    <t xml:space="preserve">Valerie McLaughlin</t>
  </si>
  <si>
    <t xml:space="preserve">Burak Can Baser</t>
  </si>
  <si>
    <t xml:space="preserve">Father/Husband/Businessman/Business management &amp; Economics/ World Traveler/Galatasaray💛❤️..Self help is the best help..!</t>
  </si>
  <si>
    <t xml:space="preserve">עמנו אל</t>
  </si>
  <si>
    <t xml:space="preserve">Tagaytay City, Philippines</t>
  </si>
  <si>
    <t xml:space="preserve">Interested in the NBA.</t>
  </si>
  <si>
    <t xml:space="preserve">BananaRepublicans </t>
  </si>
  <si>
    <t xml:space="preserve">ONUS is upon decent Republicans to root out the #Corruption, starting with @SenateMajLdr. Also, #STOPGerrymandering Current #GOPUnfitToServe</t>
  </si>
  <si>
    <t xml:space="preserve">Jeff Gauvin</t>
  </si>
  <si>
    <t xml:space="preserve">Điện Biên Phu</t>
  </si>
  <si>
    <t xml:space="preserve">Political Aficionado &amp; Malfaisant. Art of War Wonk. Red Wine Bon Vivant. Investing, Polls, Econometric Data, Elections. #Impeach🍷🍷</t>
  </si>
  <si>
    <t xml:space="preserve">Gloria Minott</t>
  </si>
  <si>
    <t xml:space="preserve">Journalist, Radio Personality, Parent, Foreign Places &amp; Foods, Lover of Arts, Culture, and Justice.</t>
  </si>
  <si>
    <t xml:space="preserve">business: How Japan leader Shinzo Abe's election gamble paid off https://t.co/PIXuCFR6zA https://t.co/G70ROtRQq0 https://t.co/h7xqLDCV7X</t>
  </si>
  <si>
    <t xml:space="preserve">This is how Shinzo Abe's election gamble paid off https://t.co/c6JSPEuoxi https://t.co/o15Klv8Rp0</t>
  </si>
  <si>
    <t xml:space="preserve">कुಮಾರवाಣಿ</t>
  </si>
  <si>
    <t xml:space="preserve">देवभाषाವಿದ್ಯಾರ್ಥಿ | शिल्पकलाಸಕ್ತ | ಪ್ರಸಕ್ತविद्यमानानि | राजಕೀಯ | कर्णाटದೇಶವಾಸಿ | https://t.co/1qgGQu6ho7</t>
  </si>
  <si>
    <t xml:space="preserve">RunningAndCycling</t>
  </si>
  <si>
    <t xml:space="preserve">Fla. U.S.</t>
  </si>
  <si>
    <t xml:space="preserve">Running and Cycling coach, targeting and improving your speed and technique...</t>
  </si>
  <si>
    <t xml:space="preserve">MacKnowledge</t>
  </si>
  <si>
    <t xml:space="preserve">RT @bpolitics: This is how Shinzo Abe's election gamble paid off https://t.co/c6JSPEuoxi https://t.co/o15Klv8Rp0</t>
  </si>
  <si>
    <t xml:space="preserve">I Love The Lord. God, Bless the USA. AMERICA is the most Powerful Nation on The Planet. Land of the Free &amp; HOME of the Brave. Semper Fi. Ooh Rah. USMC. 1973</t>
  </si>
  <si>
    <t xml:space="preserve">burongmangga</t>
  </si>
  <si>
    <t xml:space="preserve">@rjgeller thanks! I googled my own story https://t.co/WSeKs6jaOZ</t>
  </si>
  <si>
    <t xml:space="preserve">Japan's ruling coalition retains a supermajority in snap election - The Economist https://t.co/weATXu2TrB https://t.co/qvsRMcbyHg</t>
  </si>
  <si>
    <t xml:space="preserve">Yukinari Igita</t>
  </si>
  <si>
    <t xml:space="preserve">Japan's ruling coalition retains a supermajority in snap election - The Economist ☄ #vrai777 ⛱ $v ℅ Economist $ https://t.co/iipnELoiie</t>
  </si>
  <si>
    <t xml:space="preserve">Chantal</t>
  </si>
  <si>
    <t xml:space="preserve">• Boston •</t>
  </si>
  <si>
    <t xml:space="preserve">Proverbs 4:23</t>
  </si>
  <si>
    <t xml:space="preserve">kitokunohito</t>
  </si>
  <si>
    <r>
      <rPr>
        <sz val="8"/>
        <rFont val="Noto Sans CJK SC Regular"/>
        <family val="2"/>
      </rPr>
      <t xml:space="preserve">ネコウヨになりますた。</t>
    </r>
    <r>
      <rPr>
        <sz val="8"/>
        <rFont val="Droid Sans"/>
        <family val="0"/>
        <charset val="1"/>
      </rPr>
      <t xml:space="preserve">RT</t>
    </r>
    <r>
      <rPr>
        <sz val="8"/>
        <rFont val="Noto Sans CJK SC Regular"/>
        <family val="2"/>
      </rPr>
      <t xml:space="preserve">中心ですが、たま～につぶやきます。</t>
    </r>
  </si>
  <si>
    <t xml:space="preserve">sifebook US</t>
  </si>
  <si>
    <t xml:space="preserve">صاحب مدونات جميع صفحات sifebook + عبدالرحمن ابوسيف on facebook &amp; tweeter</t>
  </si>
  <si>
    <t xml:space="preserve">Vaivasvat Venkat</t>
  </si>
  <si>
    <t xml:space="preserve">Working as a Principal Correspondent with TOI , having a keen interest in business, Politics, Social issues and crime reporting......</t>
  </si>
  <si>
    <t xml:space="preserve">Clara</t>
  </si>
  <si>
    <t xml:space="preserve">CTA President Congratulates Japanese PM #ShinzoAbe on National Election Win #japan https://t.co/TcGph3RRW0</t>
  </si>
  <si>
    <t xml:space="preserve">Everywhere Anywhere</t>
  </si>
  <si>
    <t xml:space="preserve">གངས་སེང་གེ་ support #Tibetan’s national resistance to Chinese military occupation.</t>
  </si>
  <si>
    <t xml:space="preserve">Japan's ruling coalition retains a supermajority in snap election - The Economist ☄ #vrai777 ⛱ $v ℅ Economist $ https://t.co/53Q2REASy4</t>
  </si>
  <si>
    <t xml:space="preserve">RMHS Contemp History</t>
  </si>
  <si>
    <t xml:space="preserve">Prime Minister Shinzo Abe’s Liberal Democratic Party wins majority in Japan's national election https://t.co/bk77PslgG5</t>
  </si>
  <si>
    <t xml:space="preserve">South Burlington, VT</t>
  </si>
  <si>
    <t xml:space="preserve">In Honors Contemporary History, students understand today's world by exploring the recent past.</t>
  </si>
  <si>
    <t xml:space="preserve">North Korea fears Japan "invasion" after Shinzo Abe's victory https://t.co/znyBM8HELA https://t.co/xg8Wo7FK9f</t>
  </si>
  <si>
    <t xml:space="preserve">Indhira</t>
  </si>
  <si>
    <t xml:space="preserve">RTs r not endorsements. Like means I am yet to read and understand the implications of the tweet.</t>
  </si>
  <si>
    <t xml:space="preserve">RT @Newsweek: North Korea fears Japan "invasion" after Shinzo Abe's victory https://t.co/znyBM8HELA https://t.co/xg8Wo7FK9f</t>
  </si>
  <si>
    <t xml:space="preserve">チンドン屋・ササキタイキ【公式】</t>
  </si>
  <si>
    <t xml:space="preserve">Setagaya ward</t>
  </si>
  <si>
    <r>
      <rPr>
        <sz val="8"/>
        <rFont val="Droid Sans"/>
        <family val="0"/>
        <charset val="1"/>
      </rPr>
      <t xml:space="preserve">11</t>
    </r>
    <r>
      <rPr>
        <sz val="8"/>
        <rFont val="Noto Sans CJK SC Regular"/>
        <family val="2"/>
      </rPr>
      <t xml:space="preserve">月上旬までクソ忙しい状態です </t>
    </r>
    <r>
      <rPr>
        <sz val="8"/>
        <rFont val="Droid Sans"/>
        <family val="0"/>
        <charset val="1"/>
      </rPr>
      <t xml:space="preserve">Team Ching-Dong ID 001</t>
    </r>
  </si>
  <si>
    <t xml:space="preserve">Maria D. Garcia</t>
  </si>
  <si>
    <t xml:space="preserve">Murrells Inlet, SC USA</t>
  </si>
  <si>
    <t xml:space="preserve">DEDICATED DOCTORS</t>
  </si>
  <si>
    <t xml:space="preserve">MBBS.DRS.online only</t>
  </si>
  <si>
    <t xml:space="preserve">24/7-available to serve humanity -immigrants or locals-sms or call/refugees also anywhere in the world 😊</t>
  </si>
  <si>
    <t xml:space="preserve">North Korea fears Japan "invasion" after Shinzo Abe's victory https://t.co/bTiMZw97Wy https://t.co/DKZgjpC1OA — Newsweek (Newsweek) Octo…</t>
  </si>
  <si>
    <t xml:space="preserve">ZoominKorea</t>
  </si>
  <si>
    <t xml:space="preserve">[Analysis by Tim Beal] Abe Shinzo’s victory in the election will only propel Japan down the dead end road of... https://t.co/G67OEKLny6</t>
  </si>
  <si>
    <t xml:space="preserve">Japan's ruling coalition retains a supermajority in snap election - The Economist https://t.co/jywHrqU23y</t>
  </si>
  <si>
    <t xml:space="preserve">Claudia</t>
  </si>
  <si>
    <t xml:space="preserve">NW AR</t>
  </si>
  <si>
    <t xml:space="preserve">Life is like a road trip. Enjoy each day, and don’t carry too much baggage ❤ ☮ &amp; #kindness</t>
  </si>
  <si>
    <t xml:space="preserve">Sherry Lee Campbell</t>
  </si>
  <si>
    <t xml:space="preserve">DeLand, Ormond, Daytona Beach</t>
  </si>
  <si>
    <t xml:space="preserve">Luxemark Realty, Inc. - Volusia Branch - Waterfront &amp; Luxury Property Specialist - Like My Facebook Page ❤️❤️ A retweet an endorsement does not make...</t>
  </si>
  <si>
    <t xml:space="preserve">Jos Hendriks - IUS</t>
  </si>
  <si>
    <t xml:space="preserve">The Breeding Swan </t>
  </si>
  <si>
    <t xml:space="preserve">AQUARIUS ZEEHAVEN - TCS Fund - FAMILIA MAXIMA - IUS International University for Sustainability @30miljardnl</t>
  </si>
  <si>
    <t xml:space="preserve">Mafcomp</t>
  </si>
  <si>
    <r>
      <rPr>
        <sz val="8"/>
        <rFont val="Droid Sans"/>
        <family val="0"/>
        <charset val="1"/>
      </rPr>
      <t xml:space="preserve">Bean (</t>
    </r>
    <r>
      <rPr>
        <sz val="8"/>
        <rFont val="Noto Sans CJK SC Regular"/>
        <family val="2"/>
      </rPr>
      <t xml:space="preserve">빈</t>
    </r>
    <r>
      <rPr>
        <sz val="8"/>
        <rFont val="Droid Sans"/>
        <family val="0"/>
        <charset val="1"/>
      </rPr>
      <t xml:space="preserve">)</t>
    </r>
  </si>
  <si>
    <t xml:space="preserve">RT @zoominkorea1: [Analysis by Tim Beal] Abe Shinzo’s victory in the election will only propel Japan down the dead end road of... https://t…</t>
  </si>
  <si>
    <t xml:space="preserve">i die everyday for my bnha children | infj | IR &amp; EAS | ENG/KOR | header by @kooricoo | icon by @Takane_tan</t>
  </si>
  <si>
    <t xml:space="preserve">Jim Cunneen</t>
  </si>
  <si>
    <t xml:space="preserve">Jim Cunneen is Principal w/California Strategies, a bipartisan public affairs firm. Former Assemblyman, high-tech exec, CEO SJSV Chamber of Commerce</t>
  </si>
  <si>
    <t xml:space="preserve">#BadlaLo🇮🇳</t>
  </si>
  <si>
    <t xml:space="preserve">Political critic, Patriot, A Proud Hindu Nationalist, Sanghi / Bhakth, Die Hard Modi Fan, Hate Congis/AAPians/Liberals/Seculars/Presstitutes/Commies.</t>
  </si>
  <si>
    <t xml:space="preserve">Nicole d. Scott</t>
  </si>
  <si>
    <t xml:space="preserve">Vitor Santos</t>
  </si>
  <si>
    <t xml:space="preserve">VITOR SANTOS é jornalista,escritor, consultor, pesquisador, e autor de vários artigos Facebook https://t.co/TQI9IDjOVi</t>
  </si>
  <si>
    <t xml:space="preserve">Linda Lee King</t>
  </si>
  <si>
    <t xml:space="preserve">I'm an artist! Got to do my own thing! No one is safe from inhumanity, so be f!!king kind! PTSD forever yours. lindaleeking1950@gmail.com</t>
  </si>
  <si>
    <t xml:space="preserve">Peggy</t>
  </si>
  <si>
    <t xml:space="preserve">Womens Rights, #MeToo</t>
  </si>
  <si>
    <t xml:space="preserve">#Resist #Truth will prevail</t>
  </si>
  <si>
    <r>
      <rPr>
        <sz val="8"/>
        <rFont val="Noto Sans CJK SC Regular"/>
        <family val="2"/>
      </rPr>
      <t xml:space="preserve">アライグマ</t>
    </r>
    <r>
      <rPr>
        <sz val="8"/>
        <rFont val="Droid Sans"/>
        <family val="0"/>
        <charset val="1"/>
      </rPr>
      <t xml:space="preserve">/Raccoon</t>
    </r>
  </si>
  <si>
    <t xml:space="preserve">Next to North Korea</t>
  </si>
  <si>
    <t xml:space="preserve">政治経済の情報収集、呟きをこのアカウントに移動しました。 政治経済等の情報収集目的のアカウントです。</t>
  </si>
  <si>
    <t xml:space="preserve">Stanford SAPARC</t>
  </si>
  <si>
    <t xml:space="preserve">Abe's big win in Japan a result of an appeal to the electorate's "vague fears," says APARC's Daniel Sneider https://t.co/cri4ui8x7K</t>
  </si>
  <si>
    <t xml:space="preserve">Stanford University, Global</t>
  </si>
  <si>
    <t xml:space="preserve">Shorenstein APARC is a unique Stanford University institution focused on the interdisciplinary study of contemporary Asia. RT ≠ endorsement.</t>
  </si>
  <si>
    <t xml:space="preserve">RT @StanfordSAPARC: Abe's big win in Japan a result of an appeal to the electorate's "vague fears," says APARC's Daniel Sneider https://t.c…</t>
  </si>
  <si>
    <t xml:space="preserve">"How Japan leader Shinzo Abe's election gamble paid off https://t.co/GuXv1JYBhB https://t.co/Vju7VJWA3J"https://t.co/3vzpgTB5p5</t>
  </si>
  <si>
    <t xml:space="preserve">Jesse McCormick</t>
  </si>
  <si>
    <t xml:space="preserve">Lands, rights and environment - Director of Policy and Indigenous Relations for @ec_minister. Tweets are mine.</t>
  </si>
  <si>
    <r>
      <rPr>
        <sz val="8"/>
        <rFont val="Droid Sans"/>
        <family val="0"/>
        <charset val="1"/>
      </rPr>
      <t xml:space="preserve">Calista D. A. (</t>
    </r>
    <r>
      <rPr>
        <sz val="8"/>
        <rFont val="Noto Sans CJK SC Regular"/>
        <family val="2"/>
      </rPr>
      <t xml:space="preserve">カリスタ）</t>
    </r>
  </si>
  <si>
    <t xml:space="preserve">Living in Space.</t>
  </si>
  <si>
    <t xml:space="preserve">The lack of female candidates in Japan's election is bad news for Shinzo Abe's goal of empowering women. https://t.co/4Yr66B5rvJ</t>
  </si>
  <si>
    <t xml:space="preserve">Ayush Jha</t>
  </si>
  <si>
    <t xml:space="preserve">True nationalist hoñesty is the best against excess use of freedom of speech</t>
  </si>
  <si>
    <t xml:space="preserve">RT TopFiveTraders "RT TFTCS "RT BloombergTV "How Japan leader Shinzo Abe's election gamble paid off … https://t.co/vmEWlT475M"""</t>
  </si>
  <si>
    <t xml:space="preserve">Serving only half of this new term would make Shinzo Abe modern Japan’s longest-serving prime minister https://t.co/Np0ocNuxqR</t>
  </si>
  <si>
    <t xml:space="preserve">Norton Edwards</t>
  </si>
  <si>
    <t xml:space="preserve">RT @TheEconomist: Serving only half of this new term would make Shinzo Abe modern Japan’s longest-serving prime minister https://t.co/Np0oc…</t>
  </si>
  <si>
    <t xml:space="preserve">On the train</t>
  </si>
  <si>
    <t xml:space="preserve">The most interesting man, in New Jersey</t>
  </si>
  <si>
    <t xml:space="preserve">Go to our website for full view: Serving only half of this new term would make Shinzo Abe modern Japan’s longest-s… https://t.co/SSTv1kkUZE</t>
  </si>
  <si>
    <t xml:space="preserve">Gigabyte Magazine</t>
  </si>
  <si>
    <t xml:space="preserve">Founder of Gigabyte Magazine, Geek,Techie,Social entrepreneur, father and husband.</t>
  </si>
  <si>
    <t xml:space="preserve">The ZOGGS</t>
  </si>
  <si>
    <t xml:space="preserve">Switzerland</t>
  </si>
  <si>
    <t xml:space="preserve">Be yourself, everyone else is already taken</t>
  </si>
  <si>
    <t xml:space="preserve">Renee Orefice</t>
  </si>
  <si>
    <t xml:space="preserve">Vice President, Svorinich Companies, Public Affairs, Governmental Relations, Political Consulting, Community Advocate and more</t>
  </si>
  <si>
    <t xml:space="preserve">Bonface Nyangla</t>
  </si>
  <si>
    <t xml:space="preserve">Serving only half of this new term would make @AbeShinzo modern Japan’s longest-serving prime minister https://t.co/m6PIlh8Lsb</t>
  </si>
  <si>
    <t xml:space="preserve">Views,like any drink I order,all mine. Writing at the intersection of media and politics. Flying under the radar,having the time of my life.</t>
  </si>
  <si>
    <t xml:space="preserve">Santiago Escamilla C</t>
  </si>
  <si>
    <t xml:space="preserve">Serving only half of this new term would make Shinzo Abe modern Japan’s longest-serving prime minister https://t.co/BsGS8NUPVa</t>
  </si>
  <si>
    <t xml:space="preserve">Leantros Belisarios</t>
  </si>
  <si>
    <t xml:space="preserve">Esten polis</t>
  </si>
  <si>
    <t xml:space="preserve">Le chute dans le temps-Cioran</t>
  </si>
  <si>
    <t xml:space="preserve">Sports, Racing, Politics, News, Celebrity, XXX</t>
  </si>
  <si>
    <t xml:space="preserve">Jay Normandin</t>
  </si>
  <si>
    <t xml:space="preserve">TheEconomist: Serving only half of this new term would make Shinzo Abe modern Japan’s longest-serving prime minist… https://t.co/mhRjEzBd8k</t>
  </si>
  <si>
    <t xml:space="preserve">夏光时评</t>
  </si>
  <si>
    <t xml:space="preserve">hubei</t>
  </si>
  <si>
    <t xml:space="preserve">郭文贵，强奸犯</t>
  </si>
  <si>
    <t xml:space="preserve">Cal Consult</t>
  </si>
  <si>
    <t xml:space="preserve">Zazi Ridge,Lukenya</t>
  </si>
  <si>
    <t xml:space="preserve">Distinguished Banker (rtd),Neomarxist, writer, avid reader,social commentator.Economist ,Analyst and Trainer. Cal Consult Ltd</t>
  </si>
  <si>
    <t xml:space="preserve">paul@dodgerman</t>
  </si>
  <si>
    <t xml:space="preserve">always naked for hot girl#sandgang</t>
  </si>
  <si>
    <t xml:space="preserve">Serving only half of this new term would make Shinzo Abe modern Japan’s longest-serving prime minister https://t.co/DzmRZbldye</t>
  </si>
  <si>
    <t xml:space="preserve">TheEconomist: Serving only half of this new term would make Shinzo Abe modern Japan’s longest-serving prime minist… https://t.co/zvhWXJb3xw</t>
  </si>
  <si>
    <t xml:space="preserve">Winston Wells</t>
  </si>
  <si>
    <t xml:space="preserve">Winning big : Japan’s ruling coalition retains a supermajority in snap election https://t.co/5FaKnfcWL4 via @TheEconomist</t>
  </si>
  <si>
    <t xml:space="preserve">Illinois College, Jacksonville, IL</t>
  </si>
  <si>
    <t xml:space="preserve">Findley Family Professor of International Affairs. Stuff about Comp. Politics, IR, Int. Studies, and African Studies. UCLA Ph.D. All opinions mine.</t>
  </si>
  <si>
    <t xml:space="preserve">TheEconomist: Serving only half of this new term would make Shinzo Abe modern Japan’s longest-serving prime minist… https://t.co/hZ1d6869ud</t>
  </si>
  <si>
    <t xml:space="preserve">the goat maive 🇮🇹</t>
  </si>
  <si>
    <t xml:space="preserve">civil rights for all, we shall rise again Resist Trump, love different cultures 🇮🇹🇮🇪🇩🇪🇵🇱 justice for all ✊🏻🌈 no justice no peace ✌️</t>
  </si>
  <si>
    <t xml:space="preserve">Dr. SHYAM CHATURVEDI</t>
  </si>
  <si>
    <t xml:space="preserve">Former U.N. Official/ Professor/Friend/ RTs not endorsements.</t>
  </si>
  <si>
    <t xml:space="preserve">RT TheEconomist "Serving only half of this new term would make Shinzo Abe modern Japan’s longest-serving prime min… https://t.co/z7GDbHlWqH"</t>
  </si>
  <si>
    <t xml:space="preserve">RT TheEconomist "Serving only half of this new term would make Shinzo Abe modern Japan’s longest-serving prime min… https://t.co/lgc6xkDIJO"</t>
  </si>
  <si>
    <t xml:space="preserve">NYendurance</t>
  </si>
  <si>
    <t xml:space="preserve">Serving only half of this new term would make Shinzo Abe modern Japan’s longest-serving prime minister https://t.co/UayhSJHpoR</t>
  </si>
  <si>
    <t xml:space="preserve">Jarosław Szmyt</t>
  </si>
  <si>
    <t xml:space="preserve">ZacharyJordan  Stern</t>
  </si>
  <si>
    <t xml:space="preserve">Former Collegiate Athlete and Montana State Alumnus, Production Assistant on Will and Grace at NBC Universal</t>
  </si>
  <si>
    <t xml:space="preserve">VIJAY</t>
  </si>
  <si>
    <t xml:space="preserve">A philosopher,nature lover,achiever,dreamer,creator,maker in the end a human being ::(A)</t>
  </si>
  <si>
    <t xml:space="preserve">小山宗祐</t>
  </si>
  <si>
    <r>
      <rPr>
        <sz val="8"/>
        <rFont val="Noto Sans CJK SC Regular"/>
        <family val="2"/>
      </rPr>
      <t xml:space="preserve">職業グラフィッカー＆イラストレーター。家庭用ゲームからＰＣゲーム、一般書籍から男性向け女性向けまで広く受付。 </t>
    </r>
    <r>
      <rPr>
        <sz val="8"/>
        <rFont val="Droid Sans"/>
        <family val="0"/>
        <charset val="1"/>
      </rPr>
      <t xml:space="preserve">ma-teqgml-411885 </t>
    </r>
    <r>
      <rPr>
        <sz val="8"/>
        <rFont val="Noto Sans CJK SC Regular"/>
        <family val="2"/>
      </rPr>
      <t xml:space="preserve">ｱｯﾄﾏｰｯｸ</t>
    </r>
    <r>
      <rPr>
        <sz val="8"/>
        <rFont val="Droid Sans"/>
        <family val="0"/>
        <charset val="1"/>
      </rPr>
      <t xml:space="preserve">! dream.jp</t>
    </r>
  </si>
  <si>
    <t xml:space="preserve">🌞Shailendra🌞</t>
  </si>
  <si>
    <t xml:space="preserve">Mind wanders so do I</t>
  </si>
  <si>
    <t xml:space="preserve">Proud that PM🌞 @narendramodi ji🌞 follows me. I tweet on anything under sun. जो मन में आये, बकता हूँ। शरारत है , मस्ती है Some copy+paste. RTs not endorsement</t>
  </si>
  <si>
    <t xml:space="preserve">Purplegarter</t>
  </si>
  <si>
    <r>
      <rPr>
        <sz val="8"/>
        <rFont val="Droid Sans"/>
        <family val="0"/>
        <charset val="1"/>
      </rPr>
      <t xml:space="preserve">Capab/</t>
    </r>
    <r>
      <rPr>
        <sz val="8"/>
        <rFont val="Noto Sans CJK SC Regular"/>
        <family val="2"/>
      </rPr>
      <t xml:space="preserve">生活矯正中</t>
    </r>
  </si>
  <si>
    <t xml:space="preserve">福島 会津若松市</t>
  </si>
  <si>
    <r>
      <rPr>
        <sz val="8"/>
        <rFont val="Noto Sans CJK SC Regular"/>
        <family val="2"/>
      </rPr>
      <t xml:space="preserve">「もう一度根っこから考え直そう、もう一度」 無能</t>
    </r>
    <r>
      <rPr>
        <sz val="8"/>
        <rFont val="Droid Sans"/>
        <family val="0"/>
        <charset val="1"/>
      </rPr>
      <t xml:space="preserve">/</t>
    </r>
    <r>
      <rPr>
        <sz val="8"/>
        <rFont val="Noto Sans CJK SC Regular"/>
        <family val="2"/>
      </rPr>
      <t xml:space="preserve">社会不適合者</t>
    </r>
    <r>
      <rPr>
        <sz val="8"/>
        <rFont val="Droid Sans"/>
        <family val="0"/>
        <charset val="1"/>
      </rPr>
      <t xml:space="preserve">/</t>
    </r>
    <r>
      <rPr>
        <sz val="8"/>
        <rFont val="Noto Sans CJK SC Regular"/>
        <family val="2"/>
      </rPr>
      <t xml:space="preserve">バーンアウト 私をフォローしてもろくなものは出ませんよ？</t>
    </r>
    <r>
      <rPr>
        <sz val="8"/>
        <rFont val="Droid Sans"/>
        <family val="0"/>
        <charset val="1"/>
      </rPr>
      <t xml:space="preserve">(</t>
    </r>
    <r>
      <rPr>
        <sz val="8"/>
        <rFont val="Noto Sans CJK SC Regular"/>
        <family val="2"/>
      </rPr>
      <t xml:space="preserve">｡･</t>
    </r>
    <r>
      <rPr>
        <sz val="8"/>
        <rFont val="Droid Sans"/>
        <family val="0"/>
        <charset val="1"/>
      </rPr>
      <t xml:space="preserve">_</t>
    </r>
    <r>
      <rPr>
        <sz val="8"/>
        <rFont val="Noto Sans CJK SC Regular"/>
        <family val="2"/>
      </rPr>
      <t xml:space="preserve">･｡</t>
    </r>
    <r>
      <rPr>
        <sz val="8"/>
        <rFont val="Droid Sans"/>
        <family val="0"/>
        <charset val="1"/>
      </rPr>
      <t xml:space="preserve">) </t>
    </r>
    <r>
      <rPr>
        <sz val="8"/>
        <rFont val="Noto Sans CJK SC Regular"/>
        <family val="2"/>
      </rPr>
      <t xml:space="preserve">アイコンこちらです→</t>
    </r>
    <r>
      <rPr>
        <sz val="8"/>
        <rFont val="Droid Sans"/>
        <family val="0"/>
        <charset val="1"/>
      </rPr>
      <t xml:space="preserve">https://t.co/N1CLmB93f1…</t>
    </r>
  </si>
  <si>
    <t xml:space="preserve">Saad Abbasi</t>
  </si>
  <si>
    <t xml:space="preserve">Proud to be Muslim &amp; Pakistani, studying Business Administration, Cricket lover</t>
  </si>
  <si>
    <t xml:space="preserve">Michele Dotson</t>
  </si>
  <si>
    <t xml:space="preserve">“The power of the ballot we need in sheer defense, else what shall save us from a second slavery?” -- W.E.B. DuBois</t>
  </si>
  <si>
    <t xml:space="preserve">Amit Mohan</t>
  </si>
  <si>
    <t xml:space="preserve">Husband and father. Politics, health , domestic and foreign policy junkie. Views are my own. Standing up for Pluralistic society and against Trump &amp; KKK.</t>
  </si>
  <si>
    <t xml:space="preserve">Captain Kevo</t>
  </si>
  <si>
    <t xml:space="preserve">New Yorker living in Philly</t>
  </si>
  <si>
    <t xml:space="preserve">NYC is my only true love (Opinions are my own)*</t>
  </si>
  <si>
    <t xml:space="preserve">こうの</t>
  </si>
  <si>
    <t xml:space="preserve">feather for iOS</t>
  </si>
  <si>
    <t xml:space="preserve">海の中</t>
  </si>
  <si>
    <r>
      <rPr>
        <sz val="8"/>
        <rFont val="Noto Sans CJK SC Regular"/>
        <family val="2"/>
      </rPr>
      <t xml:space="preserve">腐。オタク。雑多主に</t>
    </r>
    <r>
      <rPr>
        <sz val="8"/>
        <rFont val="Droid Sans"/>
        <family val="0"/>
        <charset val="1"/>
      </rPr>
      <t xml:space="preserve">US,UK,JP</t>
    </r>
    <r>
      <rPr>
        <sz val="8"/>
        <rFont val="Noto Sans CJK SC Regular"/>
        <family val="2"/>
      </rPr>
      <t xml:space="preserve">の映画やドラマの話をします。今は疫病神脳。</t>
    </r>
    <r>
      <rPr>
        <sz val="8"/>
        <rFont val="Droid Sans"/>
        <family val="0"/>
        <charset val="1"/>
      </rPr>
      <t xml:space="preserve">FR</t>
    </r>
    <r>
      <rPr>
        <sz val="8"/>
        <rFont val="Noto Sans CJK SC Regular"/>
        <family val="2"/>
      </rPr>
      <t xml:space="preserve">ご自由に。たまに長文感想とか考察とかでやかましい。 最近見た劇場作品は</t>
    </r>
    <r>
      <rPr>
        <sz val="8"/>
        <rFont val="Droid Sans"/>
        <family val="0"/>
        <charset val="1"/>
      </rPr>
      <t xml:space="preserve">SING</t>
    </r>
    <r>
      <rPr>
        <sz val="8"/>
        <rFont val="Noto Sans CJK SC Regular"/>
        <family val="2"/>
      </rPr>
      <t xml:space="preserve">で、 今一番好きなのはウロボロスコンビと疫病神コンビ。</t>
    </r>
  </si>
  <si>
    <t xml:space="preserve">HAL</t>
  </si>
  <si>
    <t xml:space="preserve">EYE</t>
  </si>
  <si>
    <t xml:space="preserve">Kobe Matthew Brown</t>
  </si>
  <si>
    <t xml:space="preserve">hope to change the world for the best one day. Great passion for history and sleep. Anti Fascist Down with racism. College student</t>
  </si>
  <si>
    <t xml:space="preserve">江夏朋子：脱原発に一票</t>
  </si>
  <si>
    <t xml:space="preserve">神奈川→鹿児島</t>
  </si>
  <si>
    <r>
      <rPr>
        <sz val="8"/>
        <rFont val="Droid Sans"/>
        <family val="0"/>
        <charset val="1"/>
      </rPr>
      <t xml:space="preserve">2012</t>
    </r>
    <r>
      <rPr>
        <sz val="8"/>
        <rFont val="Noto Sans CJK SC Regular"/>
        <family val="2"/>
      </rPr>
      <t xml:space="preserve">年</t>
    </r>
    <r>
      <rPr>
        <sz val="8"/>
        <rFont val="Droid Sans"/>
        <family val="0"/>
        <charset val="1"/>
      </rPr>
      <t xml:space="preserve">4</t>
    </r>
    <r>
      <rPr>
        <sz val="8"/>
        <rFont val="Noto Sans CJK SC Regular"/>
        <family val="2"/>
      </rPr>
      <t xml:space="preserve">月に関東脱出。一児</t>
    </r>
    <r>
      <rPr>
        <sz val="8"/>
        <rFont val="Droid Sans"/>
        <family val="0"/>
        <charset val="1"/>
      </rPr>
      <t xml:space="preserve">(9</t>
    </r>
    <r>
      <rPr>
        <sz val="8"/>
        <rFont val="Noto Sans CJK SC Regular"/>
        <family val="2"/>
      </rPr>
      <t xml:space="preserve">才♂</t>
    </r>
    <r>
      <rPr>
        <sz val="8"/>
        <rFont val="Droid Sans"/>
        <family val="0"/>
        <charset val="1"/>
      </rPr>
      <t xml:space="preserve">)</t>
    </r>
  </si>
  <si>
    <t xml:space="preserve">m___stein</t>
  </si>
  <si>
    <t xml:space="preserve">Nippon Ishin, which holds sway in Osaka, Japan’s third-largest city. What city is second-largest??? #Economist https://t.co/h1KBkg2Pkk</t>
  </si>
  <si>
    <t xml:space="preserve">A patent application rejected</t>
  </si>
  <si>
    <t xml:space="preserve">shomari hatibu</t>
  </si>
  <si>
    <t xml:space="preserve">canada</t>
  </si>
  <si>
    <t xml:space="preserve">Jacks sparrow</t>
  </si>
  <si>
    <t xml:space="preserve">ahmedabad, india</t>
  </si>
  <si>
    <t xml:space="preserve">every moment of our life is an experience,enjoy it,learn it,share it,but don't waste it!!</t>
  </si>
  <si>
    <t xml:space="preserve">Southern Slayers</t>
  </si>
  <si>
    <t xml:space="preserve">Tn</t>
  </si>
  <si>
    <t xml:space="preserve">A competitive gaming team. We scrim and compete on gamebattles. SouthernSlayers@gmail.com</t>
  </si>
  <si>
    <t xml:space="preserve">Pavlov'sdog</t>
  </si>
  <si>
    <t xml:space="preserve">劇場公開時に「王の男」を観てイ・ジュンギさんのファンになりました。コンギルとイルジメのような対極的にも見えるキャラをどちらも完璧に演じきれる俳優が実際にいるなんて夢にも思いませんでした。役の上だけでなく現実でも波瀾万丈で心配の種も尽きませんが、信じて後について行き甲斐のある人だと思っています。</t>
  </si>
  <si>
    <t xml:space="preserve">Erin McCarthy</t>
  </si>
  <si>
    <t xml:space="preserve">ask and you'll find out.</t>
  </si>
  <si>
    <t xml:space="preserve">Ravindra Purohit</t>
  </si>
  <si>
    <t xml:space="preserve">Jodhpur, Rajasthan</t>
  </si>
  <si>
    <t xml:space="preserve">Lawyer, 25, Chelsea fan, liberal rightist, Entrepreneur &amp; consultant looking for people with creative ways of doing business in India, Sports enthusiast, foody.</t>
  </si>
  <si>
    <t xml:space="preserve">MiamiBici</t>
  </si>
  <si>
    <t xml:space="preserve">Miami Florida </t>
  </si>
  <si>
    <t xml:space="preserve">Sagar Mitkary</t>
  </si>
  <si>
    <t xml:space="preserve">CA. Consultant. Peaceful Warrior. Economics, Defence, Finance, Foreign Policy, Jainism, Politics. Usual caveats apply</t>
  </si>
  <si>
    <t xml:space="preserve">jambudweepan</t>
  </si>
  <si>
    <t xml:space="preserve">Does not take life too seriously</t>
  </si>
  <si>
    <t xml:space="preserve">Linda Dixon</t>
  </si>
  <si>
    <t xml:space="preserve">kelvinmagrethmaisa</t>
  </si>
  <si>
    <t xml:space="preserve">MWANZA |TANZANIA|</t>
  </si>
  <si>
    <t xml:space="preserve">Hip Hop #KendrickLamar #NikkiMbishi</t>
  </si>
  <si>
    <t xml:space="preserve">Susie Nielsen</t>
  </si>
  <si>
    <t xml:space="preserve">astrojog</t>
  </si>
  <si>
    <t xml:space="preserve">RT @NewsyVideos: The lack of female candidates in Japan's election is bad news for Shinzo Abe's goal of empowering women. https://t.co/4Yr6…</t>
  </si>
  <si>
    <t xml:space="preserve">Interest in science, planetary stuff, political things and technology</t>
  </si>
  <si>
    <t xml:space="preserve">Kalaamandy Acceentee</t>
  </si>
  <si>
    <t xml:space="preserve">さ～</t>
  </si>
  <si>
    <r>
      <rPr>
        <sz val="8"/>
        <rFont val="Noto Sans CJK SC Regular"/>
        <family val="2"/>
      </rPr>
      <t xml:space="preserve">とっくに成人済の腐れ女。ジャンルは雑多にいろんなものが好き。</t>
    </r>
    <r>
      <rPr>
        <sz val="8"/>
        <rFont val="Droid Sans"/>
        <family val="0"/>
        <charset val="1"/>
      </rPr>
      <t xml:space="preserve">RT</t>
    </r>
    <r>
      <rPr>
        <sz val="8"/>
        <rFont val="Noto Sans CJK SC Regular"/>
        <family val="2"/>
      </rPr>
      <t xml:space="preserve">は多めで無言ﾌｫﾛｰもするのですみません。 国母みつるが好きです。</t>
    </r>
  </si>
  <si>
    <t xml:space="preserve">Tamra E. Raven</t>
  </si>
  <si>
    <t xml:space="preserve">The Big River, Missouri</t>
  </si>
  <si>
    <t xml:space="preserve">Plant ecologist: 10km3x2 ECOPLAY=unique:recognizable: complex:predictable:patterning ECOTONE ECOLOGICALRESTORATION endemic plant species:VEGETATION CONNECTIVITY</t>
  </si>
  <si>
    <t xml:space="preserve">Batzul Gerelsaikhan</t>
  </si>
  <si>
    <t xml:space="preserve">Mongolia | Denmark | Hong Kong</t>
  </si>
  <si>
    <t xml:space="preserve">In real estate &amp; PR, alumna of @Uni_Copenhagen, #2017Forbes #30under30. All tweets are mine. RTs are not endorsements.</t>
  </si>
  <si>
    <t xml:space="preserve">＠東京城市東端部</t>
  </si>
  <si>
    <t xml:space="preserve">東京 江戸川区</t>
  </si>
  <si>
    <t xml:space="preserve">えどがわくの新住民です。</t>
  </si>
  <si>
    <t xml:space="preserve">Azzhure</t>
  </si>
  <si>
    <t xml:space="preserve">Gakaru</t>
  </si>
  <si>
    <t xml:space="preserve">Belarus'</t>
  </si>
  <si>
    <t xml:space="preserve">|Neo-classical |IR|</t>
  </si>
  <si>
    <t xml:space="preserve">Wrangler</t>
  </si>
  <si>
    <t xml:space="preserve">Rebornization Spoken English Academy</t>
  </si>
  <si>
    <t xml:space="preserve">Evil Bardock</t>
  </si>
  <si>
    <t xml:space="preserve">Planet Vegeta/earth</t>
  </si>
  <si>
    <t xml:space="preserve">Father of Kakarot and Raditz. Saiyan. [DBZRP] [Uncanon] (DM me if you want to add me on steam)</t>
  </si>
  <si>
    <t xml:space="preserve">Gramps</t>
  </si>
  <si>
    <t xml:space="preserve">Japan election: Shinzo Abe's economy faces huge challenges https://t.co/lZFCd8Xh93 via @CNNMoney "Massive debt pile" .....Bwahahahaha!</t>
  </si>
  <si>
    <t xml:space="preserve">Ret USN. CVA59, CVA62, DD446, DD945, 33X$60 1967-1969, MSO464, SSBN616, SSBN617, SSN571. Been there, done that; often twice...</t>
  </si>
  <si>
    <t xml:space="preserve">Donald Trump congratulates Japan’s Shinzo Abe on election victory https://t.co/3G4c52N19J</t>
  </si>
  <si>
    <t xml:space="preserve">Donald Trump congratulates Japan’s Shinzo Abe on election victory https://t.co/DxGm426bss via @todayng</t>
  </si>
  <si>
    <t xml:space="preserve">jesús riera</t>
  </si>
  <si>
    <t xml:space="preserve">here</t>
  </si>
  <si>
    <t xml:space="preserve">i like: good food, sports, finance, politics, dogs🇺🇸🇻🇪🇪🇺 #human</t>
  </si>
  <si>
    <t xml:space="preserve">noza8ouji</t>
  </si>
  <si>
    <r>
      <rPr>
        <sz val="8"/>
        <rFont val="Droid Sans"/>
        <family val="0"/>
        <charset val="1"/>
      </rPr>
      <t xml:space="preserve">Tokyo,</t>
    </r>
    <r>
      <rPr>
        <sz val="8"/>
        <rFont val="Noto Sans CJK SC Regular"/>
        <family val="2"/>
      </rPr>
      <t xml:space="preserve">三鷹</t>
    </r>
  </si>
  <si>
    <r>
      <rPr>
        <sz val="8"/>
        <rFont val="Noto Sans CJK SC Regular"/>
        <family val="2"/>
      </rPr>
      <t xml:space="preserve">姫路育ちの八王子→</t>
    </r>
    <r>
      <rPr>
        <sz val="8"/>
        <rFont val="Droid Sans"/>
        <family val="0"/>
        <charset val="1"/>
      </rPr>
      <t xml:space="preserve">2014.3</t>
    </r>
    <r>
      <rPr>
        <sz val="8"/>
        <rFont val="Noto Sans CJK SC Regular"/>
        <family val="2"/>
      </rPr>
      <t xml:space="preserve">～三鷹住み</t>
    </r>
  </si>
  <si>
    <t xml:space="preserve">Donald Trump congratulates Japan’s Shinzo Abe on election victory https://t.co/y8npu9gAQN via todayng</t>
  </si>
  <si>
    <t xml:space="preserve">NigeriaNewsdesk: Donald Trump congratulates Japan’s Shinzo Abe on election victory https://t.co/HYs2qbh20T via todayng</t>
  </si>
  <si>
    <t xml:space="preserve">英傑の無限軌道</t>
  </si>
  <si>
    <t xml:space="preserve">大日本帝国</t>
  </si>
  <si>
    <r>
      <rPr>
        <sz val="8"/>
        <rFont val="Droid Sans"/>
        <family val="0"/>
        <charset val="1"/>
      </rPr>
      <t xml:space="preserve">Nintendoswitch</t>
    </r>
    <r>
      <rPr>
        <sz val="8"/>
        <rFont val="Noto Sans CJK SC Regular"/>
        <family val="2"/>
      </rPr>
      <t xml:space="preserve">欲しい</t>
    </r>
  </si>
  <si>
    <t xml:space="preserve">Paul Martin Stillman</t>
  </si>
  <si>
    <t xml:space="preserve">Bucks County, Pennsylvania, US</t>
  </si>
  <si>
    <t xml:space="preserve">"For every action, there is an equal and opposite reaction."-Newton's Third Law of Motion</t>
  </si>
  <si>
    <t xml:space="preserve">What will #Japan's Shinzo Abe do next? we have experts coming up Thursday @globaljourn https://t.co/irRsuR6Pe5 via @TheEconomist</t>
  </si>
  <si>
    <t xml:space="preserve">Bharat Iyer</t>
  </si>
  <si>
    <t xml:space="preserve">Faculty and Director - The Art of Living. Living is my hobby. Service is my work. I like to share learnings, share insights, meditate and sing.</t>
  </si>
  <si>
    <t xml:space="preserve">Games</t>
  </si>
  <si>
    <t xml:space="preserve">Japan&amp;amp;apos;s Shinzo Abe Conjures Stunning Election Victory in a Boost for Donald Trump #Games https://t.co/W54SXxpgAu</t>
  </si>
  <si>
    <t xml:space="preserve">Find your latest games news with just one click. Don't miss out on anything happening!</t>
  </si>
  <si>
    <t xml:space="preserve">Carlos Gonzalez</t>
  </si>
  <si>
    <t xml:space="preserve">Manchester, NH. </t>
  </si>
  <si>
    <t xml:space="preserve">Hon. Carlos Gonzalez, Selectman &amp; NH State Representative of the city of Manchester, New Hampshire.</t>
  </si>
  <si>
    <t xml:space="preserve">Shinzo Abe’s expected election win will make him Japan's longest-serving prime minister https://t.co/SluT7z8IW7</t>
  </si>
  <si>
    <t xml:space="preserve">jaliya senavirathna</t>
  </si>
  <si>
    <t xml:space="preserve">NIGERIANBUSINESPAGES</t>
  </si>
  <si>
    <t xml:space="preserve">Lagos Nigeria</t>
  </si>
  <si>
    <t xml:space="preserve">Nigerian Business Pages aims to provide Multi-sided Platform and Media Enterprise Convergence Services to all Nigerian Businesses throughout the World.</t>
  </si>
  <si>
    <t xml:space="preserve">Jim Morgensen</t>
  </si>
  <si>
    <t xml:space="preserve">Herrin, IL</t>
  </si>
  <si>
    <t xml:space="preserve">Veracious</t>
  </si>
  <si>
    <t xml:space="preserve">Trump is acting like a Russian mole! trying to discredit all our institutions and sow distrust in our entire system of government! and that is Treason to me!</t>
  </si>
  <si>
    <t xml:space="preserve">✞The Watchmans Post✞</t>
  </si>
  <si>
    <t xml:space="preserve">Spiritual, Front Line</t>
  </si>
  <si>
    <t xml:space="preserve">#Proverbs27v18 Whoso keepeth the fig tree shall eat the fruit thereof: so he that waiteth on his master shall be honoured.</t>
  </si>
  <si>
    <t xml:space="preserve">Abhinav Rai</t>
  </si>
  <si>
    <t xml:space="preserve">AAPtimistic, IITian ,Love to help the needy ,Teacher by Passion ,Great Lover and keeen watcher of Politics ,Gandhian and Cricket Fan</t>
  </si>
  <si>
    <t xml:space="preserve">Koh Nagao</t>
  </si>
  <si>
    <t xml:space="preserve">Ichikawa-shi, Chiba Japan</t>
  </si>
  <si>
    <t xml:space="preserve">一般人</t>
  </si>
  <si>
    <t xml:space="preserve">Kartik Mishra</t>
  </si>
  <si>
    <t xml:space="preserve">kartik mishra</t>
  </si>
  <si>
    <t xml:space="preserve">patrick</t>
  </si>
  <si>
    <t xml:space="preserve">I liked a @YouTube video https://t.co/5GzBowIff5 Japan's PM Shinzo Abe poised to win snap election</t>
  </si>
  <si>
    <t xml:space="preserve">Omaha, Neb</t>
  </si>
  <si>
    <t xml:space="preserve">Slave to Whole Foods!</t>
  </si>
  <si>
    <t xml:space="preserve">Anna Fifield</t>
  </si>
  <si>
    <t xml:space="preserve">anna.fifield@washpost.com</t>
  </si>
  <si>
    <t xml:space="preserve">Tokyo bureau chief for the @WashingtonPost, focusing on Japan and the Koreas. 🥝</t>
  </si>
  <si>
    <t xml:space="preserve">Satish Eknath Jadhav</t>
  </si>
  <si>
    <r>
      <rPr>
        <sz val="8"/>
        <rFont val="Droid Sans"/>
        <family val="0"/>
        <charset val="1"/>
      </rPr>
      <t xml:space="preserve">supermajority </t>
    </r>
    <r>
      <rPr>
        <sz val="8"/>
        <rFont val="Noto Sans CJK SC Regular"/>
        <family val="2"/>
      </rPr>
      <t xml:space="preserve">＝ 圧倒的多数 </t>
    </r>
    <r>
      <rPr>
        <sz val="8"/>
        <rFont val="Droid Sans"/>
        <family val="0"/>
        <charset val="1"/>
      </rPr>
      <t xml:space="preserve">Winning big : Japan’s ruling coalition retains a supermajority in snap election https://t.co/pcpXo4cFyn</t>
    </r>
  </si>
  <si>
    <t xml:space="preserve">RT @trtworld: Shinzo Abe’s expected election win will make him Japan's longest-serving prime minister https://t.co/SluT7z8IW7</t>
  </si>
  <si>
    <t xml:space="preserve">kuu</t>
  </si>
  <si>
    <t xml:space="preserve">Lorenzo Aguilar</t>
  </si>
  <si>
    <t xml:space="preserve">What does Shinzo Abe's election win mean for Japan? https://t.co/CE0Og0DWXQ</t>
  </si>
  <si>
    <t xml:space="preserve">Kayleen Rachelle</t>
  </si>
  <si>
    <t xml:space="preserve">Stanton, Michigan</t>
  </si>
  <si>
    <t xml:space="preserve">Love talking to new people but hate fake asses. If you wanna talk be straight up. I don't got time to play games.</t>
  </si>
  <si>
    <t xml:space="preserve">Eileen</t>
  </si>
  <si>
    <t xml:space="preserve">prolifer Catholic Love Jesus proud mom of Iraq war veteran avid supporter of our military avid animal lover addicted to reruns of Monk he is so funny Mr. Monk.</t>
  </si>
  <si>
    <t xml:space="preserve">Cloud Newsman</t>
  </si>
  <si>
    <t xml:space="preserve">Japan Election Vindicates Shinzo Abe as His Party Wins Big - https://t.co/2E1NZST4pF #cloudnetwork</t>
  </si>
  <si>
    <t xml:space="preserve">iphone7 Twitter App</t>
  </si>
  <si>
    <t xml:space="preserve">Augsburg</t>
  </si>
  <si>
    <t xml:space="preserve">Cloud News, Cloud Computing, Cloud Storage, Cloud Hosting, Cloud Provider</t>
  </si>
  <si>
    <t xml:space="preserve">Cloud Expert</t>
  </si>
  <si>
    <t xml:space="preserve">Japan Election Vindicates Shinzo Abe as His Party Wins Big - https://t.co/dicQ4kLnvo #cloudnetwork</t>
  </si>
  <si>
    <t xml:space="preserve">10 years of experience in the #Cloud - Happy to share the wisdom Personal tweets</t>
  </si>
  <si>
    <t xml:space="preserve">SkiMasktheCloutGod</t>
  </si>
  <si>
    <t xml:space="preserve">🥀⚔️ Tip Jar: 3DYRte4iDyGhk4RqVGW35wzPbkVrApjSYg</t>
  </si>
  <si>
    <t xml:space="preserve">Shinzo Abe vows to seek consensus on Japan Constitution after election win https://t.co/CBtcUSoghj https://t.co/ot6ZsTnEoO</t>
  </si>
  <si>
    <t xml:space="preserve">SivaPrasad</t>
  </si>
  <si>
    <t xml:space="preserve">Coimbatore, Tamil Nadu</t>
  </si>
  <si>
    <t xml:space="preserve">Entrepreneur,Urban Farmer,Dreams to See India as Super Power&amp;Worlds Spiritual Capital, Rts r not endorsments!....</t>
  </si>
  <si>
    <t xml:space="preserve">Bharat A Patel</t>
  </si>
  <si>
    <t xml:space="preserve">@narendramodi177 @narendramodi @AbeShinzo We must congratulate to Mr. Abe Shinzo for winning election on Japan. It'… https://t.co/0XhLrVSDBN</t>
  </si>
  <si>
    <t xml:space="preserve">New Laxmipura, Palanpur, Guj.</t>
  </si>
  <si>
    <t xml:space="preserve">Mila Agirre</t>
  </si>
  <si>
    <t xml:space="preserve">Winning big : Japan’s ruling coalition retains a supermajority in snap election https://t.co/hzKlWVXjjq vía @TheEconomist</t>
  </si>
  <si>
    <t xml:space="preserve">Bilbao (Basque Country)</t>
  </si>
  <si>
    <t xml:space="preserve">Basque, lawyer, photographer and passionate about other cultures</t>
  </si>
  <si>
    <t xml:space="preserve">Michael A Price</t>
  </si>
  <si>
    <t xml:space="preserve">Follow after requesting, please.</t>
  </si>
  <si>
    <t xml:space="preserve">GadgetsUK</t>
  </si>
  <si>
    <t xml:space="preserve">Japan&amp;amp;apos;s Shinzo Abe Conjures Stunning Election Victory in a Boost for Donald Trump #Gadgets https://t.co/z3mfhXGmjA</t>
  </si>
  <si>
    <t xml:space="preserve">Find your latest Gadgets news with just one click. Don't miss out on anything happening!</t>
  </si>
  <si>
    <t xml:space="preserve">Jennifer Gilbert</t>
  </si>
  <si>
    <t xml:space="preserve">Death and black metal post-op transsexual aspiring poet. #NotMyPresident #TheResistance</t>
  </si>
  <si>
    <r>
      <rPr>
        <sz val="8"/>
        <rFont val="Droid Sans"/>
        <family val="0"/>
        <charset val="1"/>
      </rPr>
      <t xml:space="preserve">Blackcat</t>
    </r>
    <r>
      <rPr>
        <sz val="8"/>
        <rFont val="Noto Sans CJK SC Regular"/>
        <family val="2"/>
      </rPr>
      <t xml:space="preserve">（くろねこ）🇯🇵</t>
    </r>
  </si>
  <si>
    <t xml:space="preserve">Canada 🇨🇦</t>
  </si>
  <si>
    <r>
      <rPr>
        <sz val="8"/>
        <rFont val="Droid Sans"/>
        <family val="0"/>
        <charset val="1"/>
      </rPr>
      <t xml:space="preserve">(ΦωΦ) </t>
    </r>
    <r>
      <rPr>
        <sz val="8"/>
        <rFont val="Noto Sans CJK SC Regular"/>
        <family val="2"/>
      </rPr>
      <t xml:space="preserve">モフぬこ・アニメ・バイク♥️★</t>
    </r>
    <r>
      <rPr>
        <sz val="8"/>
        <rFont val="Droid Sans"/>
        <family val="0"/>
        <charset val="1"/>
      </rPr>
      <t xml:space="preserve">your own Tweet</t>
    </r>
    <r>
      <rPr>
        <sz val="8"/>
        <rFont val="Noto Sans CJK SC Regular"/>
        <family val="2"/>
      </rPr>
      <t xml:space="preserve">に共感するとこっそり無言フォロー</t>
    </r>
    <r>
      <rPr>
        <sz val="8"/>
        <rFont val="Droid Sans"/>
        <family val="0"/>
        <charset val="1"/>
      </rPr>
      <t xml:space="preserve">(*´</t>
    </r>
    <r>
      <rPr>
        <sz val="8"/>
        <rFont val="Noto Sans CJK SC Regular"/>
        <family val="2"/>
      </rPr>
      <t xml:space="preserve">ｪ</t>
    </r>
    <r>
      <rPr>
        <sz val="8"/>
        <rFont val="Droid Sans"/>
        <family val="0"/>
        <charset val="1"/>
      </rPr>
      <t xml:space="preserve">`*)★</t>
    </r>
    <r>
      <rPr>
        <sz val="8"/>
        <rFont val="Noto Sans CJK SC Regular"/>
        <family val="2"/>
      </rPr>
      <t xml:space="preserve">ご本人のツイをじっくり読みたいので</t>
    </r>
    <r>
      <rPr>
        <sz val="8"/>
        <rFont val="Droid Sans"/>
        <family val="0"/>
        <charset val="1"/>
      </rPr>
      <t xml:space="preserve">RT</t>
    </r>
    <r>
      <rPr>
        <sz val="8"/>
        <rFont val="Noto Sans CJK SC Regular"/>
        <family val="2"/>
      </rPr>
      <t xml:space="preserve">ばかりのアカは敬遠がち…ごめんなさい★安倍政権支持。改憲派。戦後レジーム脱却支持★海外で暗躍する反日工作員を監視中★日本の復活を海の向こうから応援★青山繁晴氏支持★</t>
    </r>
  </si>
  <si>
    <t xml:space="preserve">だいちゃん</t>
  </si>
  <si>
    <t xml:space="preserve">Lenora Walter</t>
  </si>
  <si>
    <t xml:space="preserve">RT @GboruM: Japan's Abe on track for landslide victory: Japanese Prime Minister Shinzo Abe appears on… https://t.co/N36OGTwXur https://t.co…</t>
  </si>
  <si>
    <t xml:space="preserve">The level of our success is limited only by our imagination and no act of kindness, however small, is ever wasted @AppzVenture</t>
  </si>
  <si>
    <t xml:space="preserve">BonyRabbit</t>
  </si>
  <si>
    <t xml:space="preserve">Ericssen</t>
  </si>
  <si>
    <t xml:space="preserve">Winning big : Japan’s ruling coalition retains a supermajority in snap election https://t.co/38Py4IXyM3 via @TheEconomist</t>
  </si>
  <si>
    <t xml:space="preserve">Political Writer, Journalist and Analyst | American Politics | Indonesian Politics | Electoral Politics | Views personal</t>
  </si>
  <si>
    <t xml:space="preserve">novella calligaris</t>
  </si>
  <si>
    <t xml:space="preserve">RT @AroundTheRings: Shinzo Abe is the big winner in the #Japan legislative election, at the expense of #Tokyo governor Koike: https://t.co/…</t>
  </si>
  <si>
    <t xml:space="preserve">italia</t>
  </si>
  <si>
    <t xml:space="preserve">I come from sport,some medals and records at OG and SWC.Today journalist and marketing manager.Follow all sport,sport politics,art, cooking</t>
  </si>
  <si>
    <t xml:space="preserve">Inam</t>
  </si>
  <si>
    <t xml:space="preserve">Itanagar, India</t>
  </si>
  <si>
    <t xml:space="preserve">Random journalist•Retired gardener•Tweets are personal do not reflect views of @Beyonce</t>
  </si>
  <si>
    <t xml:space="preserve">nah</t>
  </si>
  <si>
    <t xml:space="preserve">Strong, independent, elevated woman and loving mother. I am fighting for a more evolved and loving planet. We are One!! #Resistance #ImpeachTrumpNow</t>
  </si>
  <si>
    <t xml:space="preserve">himanshu tambe</t>
  </si>
  <si>
    <t xml:space="preserve">Jack Davies</t>
  </si>
  <si>
    <t xml:space="preserve">Japan Election Vindicates Shinzo Abe as His Party Wins Big https://t.co/z9KTJcZyeS</t>
  </si>
  <si>
    <t xml:space="preserve">Brampton, Ontario</t>
  </si>
  <si>
    <t xml:space="preserve">Retired police officer.</t>
  </si>
  <si>
    <t xml:space="preserve">Japan PM Shinzo Abe pledges pressure on North Korea after big election win https://t.co/7qsIxnClYi via @GabbyOgbechie1TPGazette</t>
  </si>
  <si>
    <t xml:space="preserve">Japanese PM Shinzo Abe isn't as popular as you might think https://t.co/8XumjocaVy https://t.co/1Cn5ZFtdP1</t>
  </si>
  <si>
    <t xml:space="preserve">business: Japanese PM Shinzo Abe isn't as popular as you might think https://t.co/JKDSMypsOJ https://t.co/Pyg0g8m4YO</t>
  </si>
  <si>
    <t xml:space="preserve">Airoumon</t>
  </si>
  <si>
    <t xml:space="preserve">RT @business: Japanese PM Shinzo Abe isn't as popular as you might think https://t.co/8XumjocaVy https://t.co/1Cn5ZFtdP1</t>
  </si>
  <si>
    <t xml:space="preserve">Petaling Jaya</t>
  </si>
  <si>
    <t xml:space="preserve">iOS-convert. TouchWiz-loyalist. OSX-newbie. Rossoneri. Neutral Good.</t>
  </si>
  <si>
    <t xml:space="preserve">RT business "Japanese PM Shinzo Abe isn't as popular as you might think https://t.co/PUljbqxeAs https://t.co/W1ay3yWeFL"</t>
  </si>
  <si>
    <t xml:space="preserve">business: Japanese PM Shinzo Abe isn't as popular as you might think https://t.co/1rn2nvYmx9 … https://t.co/j8qJfBZspe</t>
  </si>
  <si>
    <t xml:space="preserve">Harris Yo</t>
  </si>
  <si>
    <t xml:space="preserve">Kuala Lumpur, Jakarta, Seoul</t>
  </si>
  <si>
    <t xml:space="preserve">The libran that looking for a better place to put his legs</t>
  </si>
  <si>
    <t xml:space="preserve">business: Japanese PM Shinzo Abe isn't as popular as you might think https://t.co/mRjg5ySQpR https://t.co/VqHh9ZMCA8</t>
  </si>
  <si>
    <t xml:space="preserve">Astrid Meurer</t>
  </si>
  <si>
    <t xml:space="preserve">Preston, Melbourne</t>
  </si>
  <si>
    <t xml:space="preserve">Love music and love to sing</t>
  </si>
  <si>
    <t xml:space="preserve">Vitor Hugo Ribeiro</t>
  </si>
  <si>
    <t xml:space="preserve">Belém, Brasil</t>
  </si>
  <si>
    <t xml:space="preserve">Paysandu Sport Club 💙 Shalom! ❤ Historiador de futebol, amante de história e artes ⚽🏆🍺 📷: vituhpr 👻: vituhpr facebook: Vitor Hugo Ribeiro</t>
  </si>
  <si>
    <t xml:space="preserve">々</t>
  </si>
  <si>
    <t xml:space="preserve">Hokkaido, Japan</t>
  </si>
  <si>
    <t xml:space="preserve">こんにちは。個人的なクラウドメモです。ライクもリツイートも自分の記憶補助のためにします。</t>
  </si>
  <si>
    <t xml:space="preserve">Ferjo</t>
  </si>
  <si>
    <t xml:space="preserve">Cusco, Peru</t>
  </si>
  <si>
    <t xml:space="preserve">Periodista | Apasionado por los viajes y los temas internacionales | Amante de la fotografía | Cabin Crew | Soy ese yo soy | Agradecido de por vida ✈️</t>
  </si>
  <si>
    <t xml:space="preserve">SWA</t>
  </si>
  <si>
    <t xml:space="preserve">Fareham, England</t>
  </si>
  <si>
    <t xml:space="preserve">Southern Wealth Associates are a Chartered Financial Planning and Wealth Management firm based in the south of England.</t>
  </si>
  <si>
    <t xml:space="preserve">Japanese PM Shinzo Abe isn't as popular as you might think https://t.co/N08qEK5r8N https://t.co/3UsjCwViEM</t>
  </si>
  <si>
    <t xml:space="preserve">Berik Balgabaev</t>
  </si>
  <si>
    <t xml:space="preserve">everywhere around the world</t>
  </si>
  <si>
    <t xml:space="preserve">Assistant to the FIDE President, директор представительства ФИДЕ в РФ</t>
  </si>
  <si>
    <t xml:space="preserve">Japanese PM Shinzo Abe isn't as popular as you might think https://t.co/6AX3a19mou https://t.co/6VTXazYQhh</t>
  </si>
  <si>
    <t xml:space="preserve">Japanese PM Shinzo Abe isn't as popular as you might think https://t.co/H54rYqH0En https://t.co/f4Lzmc6Ln8</t>
  </si>
  <si>
    <t xml:space="preserve">business: Japanese PM Shinzo Abe isn't as popular as you might think https://t.co/9CW6asZyyg https://t.co/1Hlx39bM0E</t>
  </si>
  <si>
    <t xml:space="preserve">ぐりん</t>
  </si>
  <si>
    <t xml:space="preserve">ダイレクトメッセージにはお答えできません。😔</t>
  </si>
  <si>
    <t xml:space="preserve">storyTeller</t>
  </si>
  <si>
    <t xml:space="preserve">astra inclinant, sed non obligant. -the stars incline us, they do not bind us✨</t>
  </si>
  <si>
    <t xml:space="preserve">Eugine Goldstein</t>
  </si>
  <si>
    <t xml:space="preserve">What does Shinzo Abe's election win mean for Japan? https://t.co/PX7hB3NVF4</t>
  </si>
  <si>
    <t xml:space="preserve">londonuk</t>
  </si>
  <si>
    <t xml:space="preserve">Japan PM Shinzo Abe wins snap election, promises strong &amp;amp;apos;counter-measures&amp;amp;amp #London https://t.co/ZU3mO8EVOT</t>
  </si>
  <si>
    <t xml:space="preserve">Find your latest news about London with just one click. Don’t miss out on anything happening in your profession .check http://t.co/OcTfqAB6Pu</t>
  </si>
  <si>
    <t xml:space="preserve">Japanese PM Shinzo Abe isn't as popular as you might think https://t.co/k64JpPfPwW https://t.co/dBTPA5PVov</t>
  </si>
  <si>
    <t xml:space="preserve">jaimeotero_: Japanese PM Shinzo Abe isn't as popular as you might think https://t.co/B6V3YDXWlS https://t.co/kQD7nGl6BJ RT</t>
  </si>
  <si>
    <t xml:space="preserve">Japan's Shinzo Abe isn't as popular as you might think https://t.co/dsvSYJyqlK https://t.co/F2K91uWLhh</t>
  </si>
  <si>
    <t xml:space="preserve">Japanese PM Shinzo Abe isn't as popular as you might think https://t.co/dnGG57hz2i https://t.co/ifkGAjldMB</t>
  </si>
  <si>
    <t xml:space="preserve">Lauro Nogueira </t>
  </si>
  <si>
    <t xml:space="preserve">RT @BloombergTV: Japanese PM Shinzo Abe isn't as popular as you might think https://t.co/dnGG57hz2i https://t.co/ifkGAjldMB</t>
  </si>
  <si>
    <t xml:space="preserve">Mathematician, Engineer, Programmer, Writer, Poet...</t>
  </si>
  <si>
    <t xml:space="preserve">#BloombergTV ❧ Japanese PM Shinzo Abe isn't as popular as you might think https://t.co/atFr9LGAQF https://t.co/2XArlfDJ4R</t>
  </si>
  <si>
    <t xml:space="preserve">Topgoal Media TV</t>
  </si>
  <si>
    <t xml:space="preserve">RT @Casino_Org: #ShinzoAbe Election Win May Improve Odds of #Casinos for #Japan https://t.co/GLHsvn2fsM https://t.co/Ni0cxEthHy</t>
  </si>
  <si>
    <t xml:space="preserve">Topgoal Media B.V. is a dynamical and flexible Multimedia Company and we specialize in egaming, games for the online/offline Casino and Sports-books industry.</t>
  </si>
  <si>
    <t xml:space="preserve">Japanese PM Shinzo Abe isn't as popular as you might think https://t.co/dlzegmawKS https://t.co/2n3CxccuLo</t>
  </si>
  <si>
    <t xml:space="preserve">RT BloombergTV "Japanese PM Shinzo Abe isn't as popular as you might think https://t.co/PCrNSEIPPI https://t.co/nPRIo7utQR"</t>
  </si>
  <si>
    <t xml:space="preserve">RT @bpolitics: Japan's Shinzo Abe isn't as popular as you might think https://t.co/dsvSYJyqlK https://t.co/F2K91uWLhh</t>
  </si>
  <si>
    <t xml:space="preserve">RT @BloombergAsia: Japanese PM Shinzo Abe isn't as popular as you might think https://t.co/dlzegmawKS https://t.co/2n3CxccuLo</t>
  </si>
  <si>
    <t xml:space="preserve">Berlin gegen Krieg</t>
  </si>
  <si>
    <t xml:space="preserve">North Korea blasts Japan for using election to ‘pave groundwork’ for invasion – About Kishi Nobusuke, the… https://t.co/TinoPfNKmF</t>
  </si>
  <si>
    <t xml:space="preserve">Künstler, Läden, Cafes, Klubs und politisch Aktive: NIE WIEDER KRIEG</t>
  </si>
  <si>
    <t xml:space="preserve">Japanese PM Shinzo Abe isn't as popular as you might think https://t.co/F7RnwQRvVZ https://t.co/jaSDbr93uF #fb #sitifatimah #malaysia</t>
  </si>
  <si>
    <t xml:space="preserve">EX- REDTARD</t>
  </si>
  <si>
    <t xml:space="preserve">Nationalist Journalist...against ... Presstitutes, FIBRALS, Commies देश जले मैं कुछ ना बोलूं...मैं ऐंसा गद्दार नहीं...RTs r nt endorsements..</t>
  </si>
  <si>
    <t xml:space="preserve">Yily foote</t>
  </si>
  <si>
    <t xml:space="preserve">Worldcitizen</t>
  </si>
  <si>
    <t xml:space="preserve">jai</t>
  </si>
  <si>
    <t xml:space="preserve">RT TFTCS "RT BloombergTV "Japanese PM Shinzo Abe isn't as popular as you might think https://t.co/v28fqsmELg https://t.co/ZpX4smiz3i""</t>
  </si>
  <si>
    <t xml:space="preserve">IAPDefenseForum</t>
  </si>
  <si>
    <t xml:space="preserve">Japan: 4 things to expect following Shinzo Abe’s landslide victory https://t.co/50cWyTwLCX #IndoAsiaPac</t>
  </si>
  <si>
    <t xml:space="preserve">蔚蓝色大海</t>
  </si>
  <si>
    <t xml:space="preserve">RT TFTCS "RT BloombergTV "Japanese PM Shinzo Abe isn't as popular as you might think https://t.co/i962YPuaEG https://t.co/hoPRFRBETz""</t>
  </si>
  <si>
    <t xml:space="preserve">Manoj Garg</t>
  </si>
  <si>
    <t xml:space="preserve">Entrepreneur having interest in Computers/IT, Psychology, Philosophy, Ethics, Indian and World Politics, #Dharmism. RTs ≠ Endorsement</t>
  </si>
  <si>
    <t xml:space="preserve">KRTpro News</t>
  </si>
  <si>
    <t xml:space="preserve">📢 Donald Trump congratulates Japan’s Shinzo Abe on election victory https://t.co/i3EeUc3mdu #KRTpro #Trump @AbeShinzo #Japan</t>
  </si>
  <si>
    <t xml:space="preserve">The latest news stories from around the world. News also supplied to @KRTpro_Music and @ASN_Sportsnews</t>
  </si>
  <si>
    <t xml:space="preserve">FXStreet Reports</t>
  </si>
  <si>
    <t xml:space="preserve">Japan: Big win for Shinzo Abe at parliamentary election https://t.co/BOsI0kr4MK #USDJPY</t>
  </si>
  <si>
    <t xml:space="preserve">FXstreet.com Reports</t>
  </si>
  <si>
    <t xml:space="preserve">24/5 real-time forex research</t>
  </si>
  <si>
    <t xml:space="preserve">Hiroyuki Onishi</t>
  </si>
  <si>
    <t xml:space="preserve">神戸市中央区北野町</t>
  </si>
  <si>
    <r>
      <rPr>
        <sz val="8"/>
        <rFont val="Noto Sans CJK SC Regular"/>
        <family val="2"/>
      </rPr>
      <t xml:space="preserve">チャリテインメント（</t>
    </r>
    <r>
      <rPr>
        <sz val="8"/>
        <rFont val="Droid Sans"/>
        <family val="0"/>
        <charset val="1"/>
      </rPr>
      <t xml:space="preserve">charitainment</t>
    </r>
    <r>
      <rPr>
        <sz val="8"/>
        <rFont val="Noto Sans CJK SC Regular"/>
        <family val="2"/>
      </rPr>
      <t xml:space="preserve">）をコンセプトに①募金箱②寄付③決済を三位一体でイノベーション。寄付体験をアップデートする「表現したい♥ワタシ」時代の社会貢献スタイルを考案（特許出願済／</t>
    </r>
    <r>
      <rPr>
        <sz val="8"/>
        <rFont val="Droid Sans"/>
        <family val="0"/>
        <charset val="1"/>
      </rPr>
      <t xml:space="preserve">2014</t>
    </r>
    <r>
      <rPr>
        <sz val="8"/>
        <rFont val="Noto Sans CJK SC Regular"/>
        <family val="2"/>
      </rPr>
      <t xml:space="preserve">、</t>
    </r>
    <r>
      <rPr>
        <sz val="8"/>
        <rFont val="Droid Sans"/>
        <family val="0"/>
        <charset val="1"/>
      </rPr>
      <t xml:space="preserve">2016</t>
    </r>
    <r>
      <rPr>
        <sz val="8"/>
        <rFont val="Noto Sans CJK SC Regular"/>
        <family val="2"/>
      </rPr>
      <t xml:space="preserve">）、事業化へ。募金箱を</t>
    </r>
    <r>
      <rPr>
        <sz val="8"/>
        <rFont val="Droid Sans"/>
        <family val="0"/>
        <charset val="1"/>
      </rPr>
      <t xml:space="preserve">emoji</t>
    </r>
    <r>
      <rPr>
        <sz val="8"/>
        <rFont val="Noto Sans CJK SC Regular"/>
        <family val="2"/>
      </rPr>
      <t xml:space="preserve">に変える！プロジェクト好評展開中。個人が社会貢献をデザインする社会に…</t>
    </r>
  </si>
  <si>
    <t xml:space="preserve">Indian Politics</t>
  </si>
  <si>
    <t xml:space="preserve">RT @truesourcemedia: Shinzo Abe vows to seek consensus on Japan Constitution after election win https://t.co/I3Zbm6CEJd</t>
  </si>
  <si>
    <r>
      <rPr>
        <sz val="8"/>
        <rFont val="Noto Sans CJK SC Regular"/>
        <family val="2"/>
      </rPr>
      <t xml:space="preserve">⬅️・ェ・➡️⚡️</t>
    </r>
    <r>
      <rPr>
        <sz val="8"/>
        <rFont val="Droid Sans"/>
        <family val="0"/>
        <charset val="1"/>
      </rPr>
      <t xml:space="preserve">dopeness</t>
    </r>
  </si>
  <si>
    <t xml:space="preserve">すべてがペッカーに染まるまで</t>
  </si>
  <si>
    <r>
      <rPr>
        <sz val="8"/>
        <rFont val="Noto Sans CJK SC Regular"/>
        <family val="2"/>
      </rPr>
      <t xml:space="preserve">劈頭言 「お前はサイドに張ってろ↔️」モンテネグロの滾る情熱でオランダスタイルの稠密な戦術を操る希代の名将ゼリコ・ペトロヴィッチを崇拝す。 </t>
    </r>
    <r>
      <rPr>
        <sz val="8"/>
        <rFont val="Droid Sans"/>
        <family val="0"/>
        <charset val="1"/>
      </rPr>
      <t xml:space="preserve">Many before have hailed the end of the history, none have been right…</t>
    </r>
  </si>
  <si>
    <r>
      <rPr>
        <sz val="8"/>
        <rFont val="Noto Sans CJK SC Regular"/>
        <family val="2"/>
      </rPr>
      <t xml:space="preserve">恐怖政治・革命</t>
    </r>
    <r>
      <rPr>
        <sz val="8"/>
        <rFont val="Droid Sans"/>
        <family val="0"/>
        <charset val="1"/>
      </rPr>
      <t xml:space="preserve">bot</t>
    </r>
  </si>
  <si>
    <t xml:space="preserve">馬鹿げている。銃殺なしでどうやって革命をやろうというのかね ――レーニン</t>
  </si>
  <si>
    <t xml:space="preserve">Asia-Pacific News</t>
  </si>
  <si>
    <t xml:space="preserve">Winning big : Japan’s ruling coalition retains a supermajority in snap election https://t.co/Dsu3Sj1p9u via @TheEconomist</t>
  </si>
  <si>
    <t xml:space="preserve">Stay informed with the latest news and commentary on essential political and economic developments in the Asia-Pacific.</t>
  </si>
  <si>
    <t xml:space="preserve">RG</t>
  </si>
  <si>
    <t xml:space="preserve">Great people person! Love sports and doing fun stuff! Life is an adventure worth discovering, always!</t>
  </si>
  <si>
    <t xml:space="preserve">What you can expect from Shinzo Abe's government in Japan after his election win https://t.co/jtYzdID3aF https://t.co/hNV6u5DCek</t>
  </si>
  <si>
    <t xml:space="preserve">What you can expect from Shinzo Abe's government in Japan after his election win https://t.co/GfHuyMMAh0 https://t.co/veJyYJxkwQ</t>
  </si>
  <si>
    <t xml:space="preserve">しゅほ</t>
  </si>
  <si>
    <t xml:space="preserve">What you can expect from Shinzo Abe's government in Japan after his election win https://t.co/tTtmjEH9SN https://t.co/zir8p5RI7I #fb #sit…</t>
  </si>
  <si>
    <t xml:space="preserve">JoeTrudeau</t>
  </si>
  <si>
    <t xml:space="preserve">RT @bpolitics: What you can expect from Shinzo Abe's government in Japan after his election win https://t.co/GfHuyMMAh0 https://t.co/veJyYJ…</t>
  </si>
  <si>
    <t xml:space="preserve">Joe Trudeau aka me, Never #Trump.</t>
  </si>
  <si>
    <t xml:space="preserve">Nili Majumder</t>
  </si>
  <si>
    <t xml:space="preserve">Advocacy 4 Global Fund for Women's initiatives-Women Empowerment,Gender Equality.Spreading the messages of UN &amp; UNVolunteering initiatives.Former VSO vol.</t>
  </si>
  <si>
    <t xml:space="preserve">Hayley Doss</t>
  </si>
  <si>
    <t xml:space="preserve">Chattanooga </t>
  </si>
  <si>
    <t xml:space="preserve">Master's Degree of Social Work · Marriage, Family and Child Counseling</t>
  </si>
  <si>
    <t xml:space="preserve">Sofia Visconti</t>
  </si>
  <si>
    <t xml:space="preserve">山梨県</t>
  </si>
  <si>
    <t xml:space="preserve">車で３０分ほどのところに無農薬有機栽培のブドウ園があります。 そこの葡萄が美味しすぎてまた一つ智慧の悲しみを背負ってしまった</t>
  </si>
  <si>
    <t xml:space="preserve">David Kemp</t>
  </si>
  <si>
    <t xml:space="preserve">Detroit, MI</t>
  </si>
  <si>
    <t xml:space="preserve">Working hard at Compuware to solve customer issues for 15 years!</t>
  </si>
  <si>
    <t xml:space="preserve">Joshua Chung</t>
  </si>
  <si>
    <t xml:space="preserve">Varun Vijay</t>
  </si>
  <si>
    <t xml:space="preserve">Software Engineer Patriot Philosopher Political-Analyst Historian Counselor Spiritual-Guru Polymath. RTs not endorsements.</t>
  </si>
  <si>
    <t xml:space="preserve">Barclay</t>
  </si>
  <si>
    <t xml:space="preserve">Camp'n, SCUBAdiv'n, Freedive'n, Bike'n Hippy that is a Manager at a major MSP in the Eastern Business Corridor.</t>
  </si>
  <si>
    <t xml:space="preserve">Laily Floyd</t>
  </si>
  <si>
    <t xml:space="preserve">Cherokee, Ga</t>
  </si>
  <si>
    <t xml:space="preserve">I love hanging out w my friends &amp; having fun! Im a true Barb for life! I love Nicki Minaj! My fiance is my world! ILOVEYOU so much honey boo! @coleman2394</t>
  </si>
  <si>
    <t xml:space="preserve">Bronka</t>
  </si>
  <si>
    <t xml:space="preserve">And life goes on.</t>
  </si>
  <si>
    <t xml:space="preserve">Kiko Medina</t>
  </si>
  <si>
    <t xml:space="preserve">Bronx</t>
  </si>
  <si>
    <t xml:space="preserve">Grind Squad - http://t.co/rcL8AsJW1B http://t.co/rBvlCxBBZ4 http://t.co/bs9mtYuhss</t>
  </si>
  <si>
    <t xml:space="preserve">colin hyman</t>
  </si>
  <si>
    <t xml:space="preserve">Shinzo Abe secures strong mandate in Japan's general election https://t.co/I5NUSQsm0z</t>
  </si>
  <si>
    <t xml:space="preserve">Bournemouth in UK</t>
  </si>
  <si>
    <t xml:space="preserve">Colin Hyman was born in Dover in 1951 in the Year of the Rabbit.</t>
  </si>
  <si>
    <t xml:space="preserve">O S Kempawad</t>
  </si>
  <si>
    <t xml:space="preserve">One Minute Manager, A Simple human being who believes in Motivational Management, Live &amp; Let others Live, Work is Worship philosophy. ಕನ್ನಡಿಗ, ಭಾರತಾಂಬೆಯ ಸುಪುತ್ರ</t>
  </si>
  <si>
    <t xml:space="preserve">My thoughts on Sunday's election in Japan and next steps for Abe Shinzo https://t.co/VdfLdbJipa via @prospect_uk</t>
  </si>
  <si>
    <t xml:space="preserve">Hikosaemon</t>
  </si>
  <si>
    <t xml:space="preserve">Winning big: Japan’s ruling coalition retains a supermajority in snap election https://t.co/5c2qroiRGr (Japan)</t>
  </si>
  <si>
    <r>
      <rPr>
        <sz val="8"/>
        <rFont val="Droid Sans"/>
        <family val="0"/>
        <charset val="1"/>
      </rPr>
      <t xml:space="preserve">Tokyo based YouTuber &amp; bilingual news geek </t>
    </r>
    <r>
      <rPr>
        <sz val="8"/>
        <rFont val="Noto Sans CJK SC Regular"/>
        <family val="2"/>
      </rPr>
      <t xml:space="preserve">東京在住外国人ブロガーです♪ </t>
    </r>
    <r>
      <rPr>
        <sz val="8"/>
        <rFont val="Droid Sans"/>
        <family val="0"/>
        <charset val="1"/>
      </rPr>
      <t xml:space="preserve">https://t.co/tWEI7n3zaK http://t.co/Pl2OYGDkD9</t>
    </r>
  </si>
  <si>
    <t xml:space="preserve">Wendy</t>
  </si>
  <si>
    <t xml:space="preserve">Photography fan, vegetarian-wannabee, wife and mom. Lover of memoirs and thrillers.</t>
  </si>
  <si>
    <t xml:space="preserve">Ирина Сергеева</t>
  </si>
  <si>
    <t xml:space="preserve">What you can expect from Shinzo Abe's government in Japan after his election win https://t.co/eWEUoxzEuo https://t.co/IyUXADJqmF</t>
  </si>
  <si>
    <t xml:space="preserve">What you can expect from Shinzo Abe's government in Japan after his election win https://t.co/mlXtHOJoJ1 https://t.co/l6oiIokUBB</t>
  </si>
  <si>
    <t xml:space="preserve">business: What you can expect from Shinzo Abe's government in Japan after his election win https://t.co/3AvMlBMuVl https://t.co/whvSopXbeW</t>
  </si>
  <si>
    <t xml:space="preserve">AP</t>
  </si>
  <si>
    <t xml:space="preserve">RT @business: What you can expect from Shinzo Abe's government in Japan after his election win https://t.co/eWEUoxzEuo https://t.co/IyUXADJ…</t>
  </si>
  <si>
    <t xml:space="preserve">Segunda cuenta oficial. Estudiante de Economía.</t>
  </si>
  <si>
    <t xml:space="preserve">What you can expect from Shinzo Abe's government in Japan after his election win https://t.co/7o1iL8Enas https://t.co/niewRJllXF</t>
  </si>
  <si>
    <t xml:space="preserve">Karen Keith</t>
  </si>
  <si>
    <t xml:space="preserve">Broadcast Journalist. Macau-Hong Kong-Manila</t>
  </si>
  <si>
    <t xml:space="preserve">Yuri Maria</t>
  </si>
  <si>
    <t xml:space="preserve">RT @jaimeotero_: What you can expect from Shinzo Abe's government in Japan after his election win https://t.co/7o1iL8Enas https://t.co/niew…</t>
  </si>
  <si>
    <t xml:space="preserve">Sueño con un mundo mejor me gusta andar en bici y patinar.España</t>
  </si>
  <si>
    <t xml:space="preserve">M.Jones</t>
  </si>
  <si>
    <t xml:space="preserve">This is no longer "left v right." The #Resistance is now a pro-democracy movement against a would-be Trump authoritarian regime. -Van Jones</t>
  </si>
  <si>
    <t xml:space="preserve">business: What you can expect from Shinzo Abe's government in Japan after his election win https://t.co/5T6K0ZavWm https://t.co/5r4qa2wWaU</t>
  </si>
  <si>
    <t xml:space="preserve">business: What you can expect from Shinzo Abe's government in Japan after his election win … https://t.co/qfq3O4dMoe</t>
  </si>
  <si>
    <t xml:space="preserve">What you can expect from Shinzo Abe's government in Japan after his election win https://t.co/hiM8Wl5t2Y https://t.co/PuRK3E5RPI</t>
  </si>
  <si>
    <t xml:space="preserve">business: What you can expect from Shinzo Abe's government in Japan after his election win https://t.co/XpVuWqSe7q https://t.co/NANW18u7sO</t>
  </si>
  <si>
    <t xml:space="preserve">Japan's main index $NIKKEI hit another record high as investors cheered Prime Minister Shinzo Abe's election victory https://t.co/GhV659aEZD</t>
  </si>
  <si>
    <t xml:space="preserve">RT business "What you can expect from Shinzo Abe's government in Japan after his election win … https://t.co/JPDoIdTrQ5"</t>
  </si>
  <si>
    <t xml:space="preserve">What you can expect from Shinzo Abe's government in Japan after his election win https://t.co/MVtMpmSKga https://t.co/C3exnQ04YS #BSAFund…</t>
  </si>
  <si>
    <t xml:space="preserve">jaimeotero_: What you can expect from Shinzo Abe's government in Japan after his election win https://t.co/S7lG2zQCeG …</t>
  </si>
  <si>
    <t xml:space="preserve">What you can expect from Shinzo Abe's government in Japan after his election win https://t.co/rqkBdYeBuS https://t.co/jKuJOFj6em</t>
  </si>
  <si>
    <t xml:space="preserve">Prospect Magazine</t>
  </si>
  <si>
    <t xml:space="preserve">Shinzo Abe has won the election—what next for Japan?https://t.co/lCVfYN3GES</t>
  </si>
  <si>
    <t xml:space="preserve">The leading magazine of ideas. Sign up now for the latest in politics, culture, philosophy and world affairs: https://t.co/89OwpNHzVM</t>
  </si>
  <si>
    <t xml:space="preserve">Japan's Shinzo Abe won by a landside, but he isn't as popular as you might think https://t.co/SfvHcWtJUz https://t.co/dUZGIs6yqC</t>
  </si>
  <si>
    <t xml:space="preserve">Harish Patil</t>
  </si>
  <si>
    <t xml:space="preserve">Hubli / Bangalore</t>
  </si>
  <si>
    <t xml:space="preserve">Nationalist and a Proud Hindu</t>
  </si>
  <si>
    <t xml:space="preserve">Nadeem Haque</t>
  </si>
  <si>
    <t xml:space="preserve">RT @prospect_uk: Shinzo Abe has won the election—what next for Japan?https://t.co/lCVfYN3GES</t>
  </si>
  <si>
    <t xml:space="preserve">Former Deputy Chairman Planning Commission Economist with long career in IMF author of 'looking back' available book stores and Amazon</t>
  </si>
  <si>
    <t xml:space="preserve">RT @BloombergTV: Japan's Shinzo Abe won by a landside, but he isn't as popular as you might think https://t.co/SfvHcWtJUz https://t.co/dUZG…</t>
  </si>
  <si>
    <t xml:space="preserve">IFA Magazine</t>
  </si>
  <si>
    <t xml:space="preserve">Japanese general election: “Japan’s politicians shy away from answering the big questions” https://t.co/gwxxsfvDGx… https://t.co/wgC1oL1ETX</t>
  </si>
  <si>
    <t xml:space="preserve">For today's discerning financial and investment professionals.</t>
  </si>
  <si>
    <t xml:space="preserve">ChennaiUngalKaiyil</t>
  </si>
  <si>
    <t xml:space="preserve">Indian Prime Minister Narendra Modi has conveyed his wishes to Shinzō Abe for his victory in President Election of… https://t.co/YCeWDv0mJ3</t>
  </si>
  <si>
    <t xml:space="preserve">The Chennai Ungal Kaiyil is working to create a high standard of excellence for the most effective Web sites and advertising on the Internet today.</t>
  </si>
  <si>
    <t xml:space="preserve">What you can expect from Shinzo Abe's government in Japan after his election win https://t.co/hJtMa7zfCX https://t.co/LbxQ1tBJAW</t>
  </si>
  <si>
    <t xml:space="preserve">MoneyMarketingSA</t>
  </si>
  <si>
    <t xml:space="preserve">RT @BloombergTV: What you can expect from Shinzo Abe's government in Japan after his election win https://t.co/hJtMa7zfCX https://t.co/LbxQ…</t>
  </si>
  <si>
    <t xml:space="preserve">MoneyMarketing Magazine South Africa, personal finance, investing, financial planning and advice http://t.co/xOOX9iVXPc</t>
  </si>
  <si>
    <t xml:space="preserve">時田憲一（本人）</t>
  </si>
  <si>
    <r>
      <rPr>
        <sz val="8"/>
        <rFont val="Droid Sans"/>
        <family val="0"/>
        <charset val="1"/>
      </rPr>
      <t xml:space="preserve">Japan </t>
    </r>
    <r>
      <rPr>
        <sz val="8"/>
        <rFont val="Noto Sans CJK SC Regular"/>
        <family val="2"/>
      </rPr>
      <t xml:space="preserve">岐阜県 </t>
    </r>
    <r>
      <rPr>
        <sz val="8"/>
        <rFont val="Droid Sans"/>
        <family val="0"/>
        <charset val="1"/>
      </rPr>
      <t xml:space="preserve">/ </t>
    </r>
    <r>
      <rPr>
        <sz val="8"/>
        <rFont val="Noto Sans CJK SC Regular"/>
        <family val="2"/>
      </rPr>
      <t xml:space="preserve">名古屋大学</t>
    </r>
  </si>
  <si>
    <r>
      <rPr>
        <sz val="8"/>
        <rFont val="Noto Sans CJK SC Regular"/>
        <family val="2"/>
      </rPr>
      <t xml:space="preserve">心理学者</t>
    </r>
    <r>
      <rPr>
        <sz val="8"/>
        <rFont val="Droid Sans"/>
        <family val="0"/>
        <charset val="1"/>
      </rPr>
      <t xml:space="preserve">/</t>
    </r>
    <r>
      <rPr>
        <sz val="8"/>
        <rFont val="Noto Sans CJK SC Regular"/>
        <family val="2"/>
      </rPr>
      <t xml:space="preserve">カウンセラー。</t>
    </r>
    <r>
      <rPr>
        <sz val="8"/>
        <rFont val="Droid Sans"/>
        <family val="0"/>
        <charset val="1"/>
      </rPr>
      <t xml:space="preserve">https://t.co/8YLXeRlc4x ←</t>
    </r>
    <r>
      <rPr>
        <sz val="8"/>
        <rFont val="Noto Sans CJK SC Regular"/>
        <family val="2"/>
      </rPr>
      <t xml:space="preserve">ホームページ 名古屋大学</t>
    </r>
    <r>
      <rPr>
        <sz val="8"/>
        <rFont val="Droid Sans"/>
        <family val="0"/>
        <charset val="1"/>
      </rPr>
      <t xml:space="preserve">/</t>
    </r>
    <r>
      <rPr>
        <sz val="8"/>
        <rFont val="Noto Sans CJK SC Regular"/>
        <family val="2"/>
      </rPr>
      <t xml:space="preserve">教育学部</t>
    </r>
    <r>
      <rPr>
        <sz val="8"/>
        <rFont val="Droid Sans"/>
        <family val="0"/>
        <charset val="1"/>
      </rPr>
      <t xml:space="preserve">/</t>
    </r>
    <r>
      <rPr>
        <sz val="8"/>
        <rFont val="Noto Sans CJK SC Regular"/>
        <family val="2"/>
      </rPr>
      <t xml:space="preserve">心理発達科学。看護師ほか社会福祉士・医療</t>
    </r>
    <r>
      <rPr>
        <sz val="8"/>
        <rFont val="Droid Sans"/>
        <family val="0"/>
        <charset val="1"/>
      </rPr>
      <t xml:space="preserve">SW(</t>
    </r>
    <r>
      <rPr>
        <sz val="8"/>
        <rFont val="Noto Sans CJK SC Regular"/>
        <family val="2"/>
      </rPr>
      <t xml:space="preserve">見込</t>
    </r>
    <r>
      <rPr>
        <sz val="8"/>
        <rFont val="Droid Sans"/>
        <family val="0"/>
        <charset val="1"/>
      </rPr>
      <t xml:space="preserve">)</t>
    </r>
    <r>
      <rPr>
        <sz val="8"/>
        <rFont val="Noto Sans CJK SC Regular"/>
        <family val="2"/>
      </rPr>
      <t xml:space="preserve">取得。自己愛人格研究</t>
    </r>
    <r>
      <rPr>
        <sz val="8"/>
        <rFont val="Droid Sans"/>
        <family val="0"/>
        <charset val="1"/>
      </rPr>
      <t xml:space="preserve">/</t>
    </r>
    <r>
      <rPr>
        <sz val="8"/>
        <rFont val="Noto Sans CJK SC Regular"/>
        <family val="2"/>
      </rPr>
      <t xml:space="preserve">データサイエンス数理統計が主。病院勤務。読書</t>
    </r>
    <r>
      <rPr>
        <sz val="8"/>
        <rFont val="Droid Sans"/>
        <family val="0"/>
        <charset val="1"/>
      </rPr>
      <t xml:space="preserve">/</t>
    </r>
    <r>
      <rPr>
        <sz val="8"/>
        <rFont val="Noto Sans CJK SC Regular"/>
        <family val="2"/>
      </rPr>
      <t xml:space="preserve">投資</t>
    </r>
    <r>
      <rPr>
        <sz val="8"/>
        <rFont val="Droid Sans"/>
        <family val="0"/>
        <charset val="1"/>
      </rPr>
      <t xml:space="preserve">/</t>
    </r>
    <r>
      <rPr>
        <sz val="8"/>
        <rFont val="Noto Sans CJK SC Regular"/>
        <family val="2"/>
      </rPr>
      <t xml:space="preserve">自作</t>
    </r>
    <r>
      <rPr>
        <sz val="8"/>
        <rFont val="Droid Sans"/>
        <family val="0"/>
        <charset val="1"/>
      </rPr>
      <t xml:space="preserve">PC</t>
    </r>
    <r>
      <rPr>
        <sz val="8"/>
        <rFont val="Noto Sans CJK SC Regular"/>
        <family val="2"/>
      </rPr>
      <t xml:space="preserve">が趣味。中道リバータリアンの愛郷ポピュリスト。清和天皇系の子孫。禅宗。</t>
    </r>
  </si>
  <si>
    <t xml:space="preserve">RT BloombergTV "What you can expect from Shinzo Abe's government in Japan after his election win … https://t.co/Ko7SSIvhYX"</t>
  </si>
  <si>
    <t xml:space="preserve">Jake Fradkin</t>
  </si>
  <si>
    <t xml:space="preserve">Manalapan, NJ</t>
  </si>
  <si>
    <t xml:space="preserve">🇺🇸 Hun '20</t>
  </si>
  <si>
    <t xml:space="preserve">RT BloombergTV "What you can expect from Shinzo Abe's government in Japan after his election win … https://t.co/9nsWD4zQTJ"</t>
  </si>
  <si>
    <t xml:space="preserve">David McNeill</t>
  </si>
  <si>
    <t xml:space="preserve">"Mr Abe has won a big victory but he has a weak mandate." The Economist's wrap of Japan's general election results: https://t.co/HBZIZWPFXP</t>
  </si>
  <si>
    <t xml:space="preserve">Journalist with The Irish Times and The Economist; author 'Strong in the Rain;' editor 'Japan Focus;' lecturer at Sophia Uni; frustrated dad. All views my own.</t>
  </si>
  <si>
    <t xml:space="preserve">Japan's Shinzo Abe won by a landside, but he isn't as popular as you might think https://t.co/szh34Wopzp https://t.co/EOHRfXg00R</t>
  </si>
  <si>
    <t xml:space="preserve">#BloombergTV ❧ What you can expect from Shinzo Abe's government in Japan after his election win … https://t.co/GpCbEU2X0M</t>
  </si>
  <si>
    <t xml:space="preserve">RT TFTCS "RT BloombergTV "What you can expect from Shinzo Abe's government in Japan after his election win … https://t.co/Ko7SSIvhYX""</t>
  </si>
  <si>
    <t xml:space="preserve">Auto World Mag</t>
  </si>
  <si>
    <t xml:space="preserve">RT @BloombergAsia: Japan's Shinzo Abe won by a landside, but he isn't as popular as you might think https://t.co/szh34Wopzp https://t.co/EO…</t>
  </si>
  <si>
    <t xml:space="preserve">Car lover, Bangalorean!</t>
  </si>
  <si>
    <t xml:space="preserve">Sharesinside</t>
  </si>
  <si>
    <t xml:space="preserve">RT @TopFiveTraders: RT TFTCS "RT BloombergTV "What you can expect from Shinzo Abe's government in Japan after his election win … https://t.…</t>
  </si>
  <si>
    <t xml:space="preserve">Zurich, Switzerland</t>
  </si>
  <si>
    <t xml:space="preserve">Cut out Fake News and Noise while researching investment opportunities with the pure convenience of a mobile app</t>
  </si>
  <si>
    <t xml:space="preserve">Kévin AUDIGIER</t>
  </si>
  <si>
    <t xml:space="preserve">#natation #courseapied; actualités dans le monde #banque #finance #assurance #i4Emploi #i4emploiR et passionné de #beautifulcars.</t>
  </si>
  <si>
    <t xml:space="preserve">RT TFTCS "RT BloombergTV "What you can expect from Shinzo Abe's government in Japan after his election win … https://t.co/OyuU9r7GC9""</t>
  </si>
  <si>
    <t xml:space="preserve">Japan's Shinzo Abe won by a landside, but he isn't as popular as you might think https://t.co/1OKCypU9vj https://t.co/D2csVMv6j8 #fb #sit…</t>
  </si>
  <si>
    <t xml:space="preserve">Devaki Khanna</t>
  </si>
  <si>
    <t xml:space="preserve">Japan’s ruling coalition retains a supermajority in snap election https://t.co/F3DzKp9Jp9</t>
  </si>
  <si>
    <t xml:space="preserve">Freelance editor and writer living in New Delhi, India. Enjoys reading and web-surfing.</t>
  </si>
  <si>
    <t xml:space="preserve">Japan's Shinzo Abe won by a landside, but he isn't as popular as you might think https://t.co/Oh9Zf1piuA https://t.co/3rkdtPCpud</t>
  </si>
  <si>
    <t xml:space="preserve">Japan's Shinzo Abe won by a landside, but he isn't as popular as you might think https://t.co/KPYm34v70e https://t.co/2n1z7DQtTg</t>
  </si>
  <si>
    <t xml:space="preserve">RT @business: Japan's Shinzo Abe won by a landside, but he isn't as popular as you might think https://t.co/Oh9Zf1piuA https://t.co/3rkdtPC…</t>
  </si>
  <si>
    <t xml:space="preserve">Japonca Dersi</t>
  </si>
  <si>
    <t xml:space="preserve">BBC News - Japan election: Shinzo Abe set for record tenure https://t.co/0YQZWc63NY</t>
  </si>
  <si>
    <t xml:space="preserve">Bostancı, İstanbul</t>
  </si>
  <si>
    <t xml:space="preserve">Japonca Öğretmenliği mezunu, Pedagojik Formasyon Eğitim Sertifikali, #Japonca ve #İngilizce #özel #ders almak isteyenler iletişime geçebilirler. ATATÜRKÇÜ ❤👏</t>
  </si>
  <si>
    <t xml:space="preserve">business: Japan's Shinzo Abe won by a landside, but he isn't as popular as you might think https://t.co/NMpBJox3no https://t.co/J4zmOsTutx</t>
  </si>
  <si>
    <t xml:space="preserve">M Bohl</t>
  </si>
  <si>
    <t xml:space="preserve">Waterloo region, Ontario - economic development; gardening, lighthouses; wine, beer, local food, rural; photography; cycling, hockey; travel and music</t>
  </si>
  <si>
    <t xml:space="preserve">Japan's Shinzo Abe won by a landside, but he isn't as popular as you might think https://t.co/iyJaRIXwdA https://t.co/6XSNMyxRK0</t>
  </si>
  <si>
    <t xml:space="preserve">jaimeotero_: Japan's Shinzo Abe won by a landside, but he isn't as popular as you might think https://t.co/r3VKPuLOtk …</t>
  </si>
  <si>
    <t xml:space="preserve">Flying</t>
  </si>
  <si>
    <t xml:space="preserve">loveUSA</t>
  </si>
  <si>
    <t xml:space="preserve">#MAGA #strongMilitary #Conservative #NRA #Israel #Christian #BlueLine #2A #VetsBeforeIllegals #Trump2020 #BuildTheWall #ProudDeplorable</t>
  </si>
  <si>
    <t xml:space="preserve">business: Japan's Shinzo Abe won by a landside, but he isn't as popular as you might think https://t.co/o6ubgoXtg0 https://t.co/RL6sEXR728</t>
  </si>
  <si>
    <t xml:space="preserve">Japan's Shinzo Abe won by a landside, but he isn't as popular as you might think https://t.co/OoT88Rlhgw https://t.co/QMVciuPzhm</t>
  </si>
  <si>
    <t xml:space="preserve">F.Ludgmy</t>
  </si>
  <si>
    <t xml:space="preserve">Japan's Shinzo Abe won by a landside, but he isn't as popular as you might think https://t.co/EEmSD1ZolT https://t.co/xwJX2SXDI9</t>
  </si>
  <si>
    <t xml:space="preserve">Deb Schulte MP</t>
  </si>
  <si>
    <t xml:space="preserve">Vaughan, Ontario</t>
  </si>
  <si>
    <t xml:space="preserve">MP for #KingTownship—#Vaughan, Chair of the House Standing Committee on the Environment &amp; Sustainable Development, &amp; former Regional Councillor for Vaughan.</t>
  </si>
  <si>
    <t xml:space="preserve">business: Japan's Shinzo Abe won by a landside, but he isn't as popular as you might think https://t.co/IoTgcAHcuD https://t.co/y9nOqf41wZ</t>
  </si>
  <si>
    <t xml:space="preserve">sabarinadh munagala</t>
  </si>
  <si>
    <t xml:space="preserve">Tuko Pamoja</t>
  </si>
  <si>
    <t xml:space="preserve">Shinzo Abe sweeps to resounding victory in Japan snap election https://t.co/f55f1p2zRF</t>
  </si>
  <si>
    <t xml:space="preserve">Today you are the cock of the walk,tomorrow a feather duster!</t>
  </si>
  <si>
    <t xml:space="preserve">Shinzo Abe sweeps to resounding victory in Japan snap election https://t.co/ohXSCCsmBa</t>
  </si>
  <si>
    <r>
      <rPr>
        <sz val="8"/>
        <rFont val="Noto Sans CJK SC Regular"/>
        <family val="2"/>
      </rPr>
      <t xml:space="preserve">かるろす♪</t>
    </r>
    <r>
      <rPr>
        <sz val="8"/>
        <rFont val="Droid Sans"/>
        <family val="0"/>
        <charset val="1"/>
      </rPr>
      <t xml:space="preserve">(´ε</t>
    </r>
    <r>
      <rPr>
        <sz val="8"/>
        <rFont val="Noto Sans CJK SC Regular"/>
        <family val="2"/>
      </rPr>
      <t xml:space="preserve">｀ </t>
    </r>
    <r>
      <rPr>
        <sz val="8"/>
        <rFont val="Droid Sans"/>
        <family val="0"/>
        <charset val="1"/>
      </rPr>
      <t xml:space="preserve">)</t>
    </r>
  </si>
  <si>
    <t xml:space="preserve">峨眉山</t>
  </si>
  <si>
    <r>
      <rPr>
        <sz val="8"/>
        <rFont val="Droid Sans"/>
        <family val="0"/>
        <charset val="1"/>
      </rPr>
      <t xml:space="preserve">♪\(´ω` )/ </t>
    </r>
    <r>
      <rPr>
        <sz val="8"/>
        <rFont val="Noto Sans CJK SC Regular"/>
        <family val="2"/>
      </rPr>
      <t xml:space="preserve">徒然なるままに、日暮らし、</t>
    </r>
    <r>
      <rPr>
        <sz val="8"/>
        <rFont val="Droid Sans"/>
        <family val="0"/>
        <charset val="1"/>
      </rPr>
      <t xml:space="preserve">Dis</t>
    </r>
    <r>
      <rPr>
        <sz val="8"/>
        <rFont val="Noto Sans CJK SC Regular"/>
        <family val="2"/>
      </rPr>
      <t xml:space="preserve">る。 </t>
    </r>
    <r>
      <rPr>
        <sz val="8"/>
        <rFont val="Droid Sans"/>
        <family val="0"/>
        <charset val="1"/>
      </rPr>
      <t xml:space="preserve">\( ´ω`)/♪ </t>
    </r>
    <r>
      <rPr>
        <sz val="8"/>
        <rFont val="Noto Sans CJK SC Regular"/>
        <family val="2"/>
      </rPr>
      <t xml:space="preserve">「お墓に布団は掛けられない／人とこの世界」という行動原理に基づいて</t>
    </r>
    <r>
      <rPr>
        <sz val="8"/>
        <rFont val="Droid Sans"/>
        <family val="0"/>
        <charset val="1"/>
      </rPr>
      <t xml:space="preserve">ALL</t>
    </r>
    <r>
      <rPr>
        <sz val="8"/>
        <rFont val="Noto Sans CJK SC Regular"/>
        <family val="2"/>
      </rPr>
      <t xml:space="preserve">。怒声と罵声は子守唄♪</t>
    </r>
    <r>
      <rPr>
        <sz val="8"/>
        <rFont val="Droid Sans"/>
        <family val="0"/>
        <charset val="1"/>
      </rPr>
      <t xml:space="preserve">( ˘ω˘)</t>
    </r>
    <r>
      <rPr>
        <sz val="8"/>
        <rFont val="Noto Sans CJK SC Regular"/>
        <family val="2"/>
      </rPr>
      <t xml:space="preserve">ｽﾔｧ…</t>
    </r>
    <r>
      <rPr>
        <sz val="8"/>
        <rFont val="Droid Sans"/>
        <family val="0"/>
        <charset val="1"/>
      </rPr>
      <t xml:space="preserve">Zzzz...</t>
    </r>
  </si>
  <si>
    <t xml:space="preserve">Bmaque</t>
  </si>
  <si>
    <t xml:space="preserve">RT @DavidMcNeill3: "Mr Abe has won a big victory but he has a weak mandate." The Economist's wrap of Japan's general election results: http…</t>
  </si>
  <si>
    <t xml:space="preserve">无语</t>
  </si>
  <si>
    <t xml:space="preserve">Japan's ruling coalition retains a supermajority in snap election - The Economist https://t.co/Li8IkFd7di https://t.co/S9Qjq9HBXH</t>
  </si>
  <si>
    <t xml:space="preserve">佐渡島、ああ佐渡島。</t>
  </si>
  <si>
    <t xml:space="preserve">石川県です</t>
  </si>
  <si>
    <r>
      <rPr>
        <sz val="8"/>
        <rFont val="Noto Sans CJK SC Regular"/>
        <family val="2"/>
      </rPr>
      <t xml:space="preserve">佐渡島三郎です。本人です。証券会社東京勤務後、ロンドンで日本株営業。その後、英生保で</t>
    </r>
    <r>
      <rPr>
        <sz val="8"/>
        <rFont val="Droid Sans"/>
        <family val="0"/>
        <charset val="1"/>
      </rPr>
      <t xml:space="preserve">10</t>
    </r>
    <r>
      <rPr>
        <sz val="8"/>
        <rFont val="Noto Sans CJK SC Regular"/>
        <family val="2"/>
      </rPr>
      <t xml:space="preserve">年間、</t>
    </r>
    <r>
      <rPr>
        <sz val="8"/>
        <rFont val="Droid Sans"/>
        <family val="0"/>
        <charset val="1"/>
      </rPr>
      <t xml:space="preserve">3000</t>
    </r>
    <r>
      <rPr>
        <sz val="8"/>
        <rFont val="Noto Sans CJK SC Regular"/>
        <family val="2"/>
      </rPr>
      <t xml:space="preserve">億円の日本株ファンドで</t>
    </r>
    <r>
      <rPr>
        <sz val="8"/>
        <rFont val="Droid Sans"/>
        <family val="0"/>
        <charset val="1"/>
      </rPr>
      <t xml:space="preserve">Investment Manager</t>
    </r>
    <r>
      <rPr>
        <sz val="8"/>
        <rFont val="Noto Sans CJK SC Regular"/>
        <family val="2"/>
      </rPr>
      <t xml:space="preserve">。英滞在は</t>
    </r>
    <r>
      <rPr>
        <sz val="8"/>
        <rFont val="Droid Sans"/>
        <family val="0"/>
        <charset val="1"/>
      </rPr>
      <t xml:space="preserve">20</t>
    </r>
    <r>
      <rPr>
        <sz val="8"/>
        <rFont val="Noto Sans CJK SC Regular"/>
        <family val="2"/>
      </rPr>
      <t xml:space="preserve">年。いつものツイッターサイトがパスワードドジって使用不可の状態。しばらくはここでツィートしていきます。</t>
    </r>
  </si>
  <si>
    <t xml:space="preserve">Is It 2🎃2🎃 Yet 👻</t>
  </si>
  <si>
    <t xml:space="preserve">A Constitutional Conservative. God Bless America! #NeverTrump ✌🏻🇺🇸</t>
  </si>
  <si>
    <t xml:space="preserve">Julia Stain</t>
  </si>
  <si>
    <t xml:space="preserve">Mohamed Sadek</t>
  </si>
  <si>
    <t xml:space="preserve">Mas Shaari</t>
  </si>
  <si>
    <t xml:space="preserve">RT @AsCorrespondent: Japan: 4 things to expect following Shinzo Abe’s landslide victory https://t.co/zSt9lgfkap @EmmaRichards85 #JapanElect…</t>
  </si>
  <si>
    <t xml:space="preserve">Social media editor @more_hybrid | Tweeting from @AsCorrespondent, @TechWireAsia, @TravelWireAsia @Study_INTNL | Personal account - thoughts are of my own</t>
  </si>
  <si>
    <t xml:space="preserve">Kessy</t>
  </si>
  <si>
    <t xml:space="preserve">Mansion Key</t>
  </si>
  <si>
    <t xml:space="preserve">Mansions, Yachts, Jets, and Exotic Cars</t>
  </si>
  <si>
    <t xml:space="preserve">Mikemikelol</t>
  </si>
  <si>
    <t xml:space="preserve">Slimslim22</t>
  </si>
  <si>
    <t xml:space="preserve">Slim</t>
  </si>
  <si>
    <t xml:space="preserve">Bob</t>
  </si>
  <si>
    <t xml:space="preserve">Nicopass</t>
  </si>
  <si>
    <t xml:space="preserve">shonda</t>
  </si>
  <si>
    <t xml:space="preserve">kona</t>
  </si>
  <si>
    <t xml:space="preserve">billy</t>
  </si>
  <si>
    <t xml:space="preserve">Kyle or Kyoooolzz</t>
  </si>
  <si>
    <t xml:space="preserve">lovland colorado</t>
  </si>
  <si>
    <t xml:space="preserve">trickshoter or feeder</t>
  </si>
  <si>
    <t xml:space="preserve">jokey</t>
  </si>
  <si>
    <t xml:space="preserve">killy</t>
  </si>
  <si>
    <t xml:space="preserve">Kyle Cheever</t>
  </si>
  <si>
    <t xml:space="preserve">josh</t>
  </si>
  <si>
    <t xml:space="preserve">Samia</t>
  </si>
  <si>
    <t xml:space="preserve">cuopons</t>
  </si>
  <si>
    <t xml:space="preserve">نورة</t>
  </si>
  <si>
    <t xml:space="preserve">الجهراء, دولة الكويت</t>
  </si>
  <si>
    <t xml:space="preserve">Yahya</t>
  </si>
  <si>
    <t xml:space="preserve">مكة المكرمة, المملكة العربية السعودية</t>
  </si>
  <si>
    <t xml:space="preserve">فنانون ومشاهير</t>
  </si>
  <si>
    <t xml:space="preserve">Monte</t>
  </si>
  <si>
    <t xml:space="preserve">Lora</t>
  </si>
  <si>
    <t xml:space="preserve">Saudi arabia</t>
  </si>
  <si>
    <t xml:space="preserve">l</t>
  </si>
  <si>
    <t xml:space="preserve">Lamia</t>
  </si>
  <si>
    <t xml:space="preserve">Bassam</t>
  </si>
  <si>
    <t xml:space="preserve">الكوميديا الموسيقى</t>
  </si>
  <si>
    <t xml:space="preserve">Salim</t>
  </si>
  <si>
    <t xml:space="preserve">Majeed</t>
  </si>
  <si>
    <t xml:space="preserve">A man who doesn't care anymore</t>
  </si>
  <si>
    <t xml:space="preserve">نوال</t>
  </si>
  <si>
    <t xml:space="preserve">الرياض, المملكة العربية السعودية</t>
  </si>
  <si>
    <t xml:space="preserve">Hasan</t>
  </si>
  <si>
    <t xml:space="preserve">لا اله الا الله محمد رسول الله</t>
  </si>
  <si>
    <t xml:space="preserve">Liam</t>
  </si>
  <si>
    <t xml:space="preserve">سامي</t>
  </si>
  <si>
    <t xml:space="preserve">Salma</t>
  </si>
  <si>
    <t xml:space="preserve">جدة, المملكة العربية السعودية</t>
  </si>
  <si>
    <t xml:space="preserve">الرياضة</t>
  </si>
  <si>
    <t xml:space="preserve">Nora</t>
  </si>
  <si>
    <t xml:space="preserve">Mars </t>
  </si>
  <si>
    <t xml:space="preserve">مٌنيره</t>
  </si>
  <si>
    <t xml:space="preserve">دبي, الامارات العربية المتحدة</t>
  </si>
  <si>
    <t xml:space="preserve">I'm the only one</t>
  </si>
  <si>
    <t xml:space="preserve">Nasir</t>
  </si>
  <si>
    <t xml:space="preserve">صالح العنزي</t>
  </si>
  <si>
    <t xml:space="preserve">استغفر الله واتوب اليه</t>
  </si>
  <si>
    <t xml:space="preserve">hatim</t>
  </si>
  <si>
    <t xml:space="preserve">Palma</t>
  </si>
  <si>
    <t xml:space="preserve">Ksa</t>
  </si>
  <si>
    <t xml:space="preserve">ساره</t>
  </si>
  <si>
    <t xml:space="preserve">خالد</t>
  </si>
  <si>
    <t xml:space="preserve">Jacob Taylie</t>
  </si>
  <si>
    <t xml:space="preserve">John Cenna</t>
  </si>
  <si>
    <t xml:space="preserve">Nanda Corraay</t>
  </si>
  <si>
    <t xml:space="preserve">ŚBK</t>
  </si>
  <si>
    <t xml:space="preserve">Herry Seinfeild</t>
  </si>
  <si>
    <t xml:space="preserve">Dixie</t>
  </si>
  <si>
    <t xml:space="preserve">Anaheim, CA</t>
  </si>
  <si>
    <t xml:space="preserve">Rana G Wrong</t>
  </si>
  <si>
    <t xml:space="preserve">Wrong hain rana Ge</t>
  </si>
  <si>
    <t xml:space="preserve">Sinner_girl</t>
  </si>
  <si>
    <t xml:space="preserve">South West, England</t>
  </si>
  <si>
    <t xml:space="preserve">ĻάĻ</t>
  </si>
  <si>
    <t xml:space="preserve">Sanam Blouch</t>
  </si>
  <si>
    <t xml:space="preserve">Kabi nhi</t>
  </si>
  <si>
    <t xml:space="preserve">Love ❤️ PML-N</t>
  </si>
  <si>
    <t xml:space="preserve">Girldontlie69</t>
  </si>
  <si>
    <t xml:space="preserve">Gg</t>
  </si>
  <si>
    <t xml:space="preserve">Fun for everyone</t>
  </si>
  <si>
    <t xml:space="preserve">Girldontlie97</t>
  </si>
  <si>
    <t xml:space="preserve">Uruguay</t>
  </si>
  <si>
    <t xml:space="preserve">Liar 🤥</t>
  </si>
  <si>
    <t xml:space="preserve">Khan Zadi</t>
  </si>
  <si>
    <t xml:space="preserve">Imran Khan Heart</t>
  </si>
  <si>
    <t xml:space="preserve">We drifted apart and now we have a long term silence....</t>
  </si>
  <si>
    <t xml:space="preserve">Shama</t>
  </si>
  <si>
    <t xml:space="preserve">Love yourself first &amp; everything else falls into line. You really have to love yourself to get anything done in this world</t>
  </si>
  <si>
    <t xml:space="preserve">Sheza Naaz</t>
  </si>
  <si>
    <t xml:space="preserve">karachi</t>
  </si>
  <si>
    <t xml:space="preserve">We love Pakistan</t>
  </si>
  <si>
    <t xml:space="preserve">Nanamama42069</t>
  </si>
  <si>
    <t xml:space="preserve">Pagak, Indonesia</t>
  </si>
  <si>
    <t xml:space="preserve">!!!!!!!!!!!!</t>
  </si>
  <si>
    <t xml:space="preserve">عجب دوست</t>
  </si>
  <si>
    <t xml:space="preserve">ssar_khan</t>
  </si>
  <si>
    <t xml:space="preserve">Hashemite Kingdom of Jordan</t>
  </si>
  <si>
    <t xml:space="preserve">enjoy</t>
  </si>
  <si>
    <t xml:space="preserve">Iceymelty</t>
  </si>
  <si>
    <t xml:space="preserve">Blah blah blah</t>
  </si>
  <si>
    <t xml:space="preserve">Fida Shah</t>
  </si>
  <si>
    <t xml:space="preserve">Punjab, Pakistan</t>
  </si>
  <si>
    <t xml:space="preserve">No DM</t>
  </si>
  <si>
    <t xml:space="preserve">ROOH AFZA GIRL</t>
  </si>
  <si>
    <t xml:space="preserve">pakistan</t>
  </si>
  <si>
    <t xml:space="preserve">RT MY LIFE</t>
  </si>
  <si>
    <t xml:space="preserve">Lovelyass</t>
  </si>
  <si>
    <t xml:space="preserve">Paddington, London</t>
  </si>
  <si>
    <t xml:space="preserve">Hahahaha Looser India</t>
  </si>
  <si>
    <t xml:space="preserve">Girldontlie0</t>
  </si>
  <si>
    <t xml:space="preserve">Linjigd</t>
  </si>
  <si>
    <t xml:space="preserve">Real Paki</t>
  </si>
  <si>
    <t xml:space="preserve">Nadia shahied</t>
  </si>
  <si>
    <t xml:space="preserve">Zenat Sheikh</t>
  </si>
  <si>
    <t xml:space="preserve">آواز نیچے 👇🏿</t>
  </si>
  <si>
    <t xml:space="preserve">Making Great Photos</t>
  </si>
  <si>
    <t xml:space="preserve">Capturing memories! 📸</t>
  </si>
  <si>
    <t xml:space="preserve">Eddyy</t>
  </si>
  <si>
    <t xml:space="preserve">Rupesh</t>
  </si>
  <si>
    <t xml:space="preserve">Dipesh</t>
  </si>
  <si>
    <t xml:space="preserve">Deeraj</t>
  </si>
  <si>
    <t xml:space="preserve">Retweet</t>
  </si>
  <si>
    <t xml:space="preserve">Retwetet</t>
  </si>
  <si>
    <t xml:space="preserve">Retweeter</t>
  </si>
  <si>
    <t xml:space="preserve">Retweeter2</t>
  </si>
  <si>
    <t xml:space="preserve">ه</t>
  </si>
  <si>
    <t xml:space="preserve">ذربه اليامي</t>
  </si>
  <si>
    <t xml:space="preserve">الدمام, المملكة العربية السعودية</t>
  </si>
  <si>
    <t xml:space="preserve">نور بنت عبدالله</t>
  </si>
  <si>
    <t xml:space="preserve">مجرد غيابك عن عيوني اضما</t>
  </si>
  <si>
    <t xml:space="preserve">اقتباسات ذوق</t>
  </si>
  <si>
    <t xml:space="preserve">ضرماء, المملكة العربية السعودية</t>
  </si>
  <si>
    <t xml:space="preserve">مضـيم</t>
  </si>
  <si>
    <t xml:space="preserve">كل يوم يموت ف الانسان حاجه لين يوصل لأخره ويوموت كله</t>
  </si>
  <si>
    <t xml:space="preserve">رتويت قصايد</t>
  </si>
  <si>
    <t xml:space="preserve">الجازي</t>
  </si>
  <si>
    <t xml:space="preserve">الرياض</t>
  </si>
  <si>
    <t xml:space="preserve">كان بقربي ذاك الحبيب ✍🏻</t>
  </si>
  <si>
    <t xml:space="preserve">نويران 🍂</t>
  </si>
  <si>
    <t xml:space="preserve">الطائف, المملكة العربية السعودية</t>
  </si>
  <si>
    <t xml:space="preserve">اكتب مايهوا لي 💭</t>
  </si>
  <si>
    <t xml:space="preserve">فجله</t>
  </si>
  <si>
    <t xml:space="preserve">تربة, المملكة العربية السعودية</t>
  </si>
  <si>
    <t xml:space="preserve">متوفر</t>
  </si>
  <si>
    <t xml:space="preserve">ديني وثم وطني ..</t>
  </si>
  <si>
    <t xml:space="preserve">Haresh Mirchandani</t>
  </si>
  <si>
    <t xml:space="preserve">Carlos Gutierrez,Jr</t>
  </si>
  <si>
    <t xml:space="preserve">CEO @highlinepoint| Managing Dir. @goldenseeds| Alumn: @uMich @msbgu @GeorgetownLaw|Contributor: @huffingtonpost @timesofisrael @asiatimesonline @jerusalem_post</t>
  </si>
  <si>
    <t xml:space="preserve">佐渡島三郎</t>
  </si>
  <si>
    <t xml:space="preserve">石川県</t>
  </si>
  <si>
    <r>
      <rPr>
        <sz val="8"/>
        <rFont val="Noto Sans CJK SC Regular"/>
        <family val="2"/>
      </rPr>
      <t xml:space="preserve">証券会社の国際部勤務後。ロンドンで日本株営業。その後、英生保で</t>
    </r>
    <r>
      <rPr>
        <sz val="8"/>
        <rFont val="Droid Sans"/>
        <family val="0"/>
        <charset val="1"/>
      </rPr>
      <t xml:space="preserve">10</t>
    </r>
    <r>
      <rPr>
        <sz val="8"/>
        <rFont val="Noto Sans CJK SC Regular"/>
        <family val="2"/>
      </rPr>
      <t xml:space="preserve">年間、</t>
    </r>
    <r>
      <rPr>
        <sz val="8"/>
        <rFont val="Droid Sans"/>
        <family val="0"/>
        <charset val="1"/>
      </rPr>
      <t xml:space="preserve">3000</t>
    </r>
    <r>
      <rPr>
        <sz val="8"/>
        <rFont val="Noto Sans CJK SC Regular"/>
        <family val="2"/>
      </rPr>
      <t xml:space="preserve">億円の日本株ファンドで</t>
    </r>
    <r>
      <rPr>
        <sz val="8"/>
        <rFont val="Droid Sans"/>
        <family val="0"/>
        <charset val="1"/>
      </rPr>
      <t xml:space="preserve">Investment Manager</t>
    </r>
    <r>
      <rPr>
        <sz val="8"/>
        <rFont val="Noto Sans CJK SC Regular"/>
        <family val="2"/>
      </rPr>
      <t xml:space="preserve">。マードックの</t>
    </r>
    <r>
      <rPr>
        <sz val="8"/>
        <rFont val="Droid Sans"/>
        <family val="0"/>
        <charset val="1"/>
      </rPr>
      <t xml:space="preserve">News Corp, GKN, JC Bamford</t>
    </r>
    <r>
      <rPr>
        <sz val="8"/>
        <rFont val="Noto Sans CJK SC Regular"/>
        <family val="2"/>
      </rPr>
      <t xml:space="preserve">など企業年金担当。</t>
    </r>
    <r>
      <rPr>
        <sz val="8"/>
        <rFont val="Droid Sans"/>
        <family val="0"/>
        <charset val="1"/>
      </rPr>
      <t xml:space="preserve">1995</t>
    </r>
    <r>
      <rPr>
        <sz val="8"/>
        <rFont val="Noto Sans CJK SC Regular"/>
        <family val="2"/>
      </rPr>
      <t xml:space="preserve">年上半期</t>
    </r>
    <r>
      <rPr>
        <sz val="8"/>
        <rFont val="Droid Sans"/>
        <family val="0"/>
        <charset val="1"/>
      </rPr>
      <t xml:space="preserve">, </t>
    </r>
    <r>
      <rPr>
        <sz val="8"/>
        <rFont val="Noto Sans CJK SC Regular"/>
        <family val="2"/>
      </rPr>
      <t xml:space="preserve">英投信でトップに立つ。</t>
    </r>
    <r>
      <rPr>
        <sz val="8"/>
        <rFont val="Droid Sans"/>
        <family val="0"/>
        <charset val="1"/>
      </rPr>
      <t xml:space="preserve">1995-2000</t>
    </r>
    <r>
      <rPr>
        <sz val="8"/>
        <rFont val="Noto Sans CJK SC Regular"/>
        <family val="2"/>
      </rPr>
      <t xml:space="preserve">年トップクォーター</t>
    </r>
    <r>
      <rPr>
        <sz val="8"/>
        <rFont val="Droid Sans"/>
        <family val="0"/>
        <charset val="1"/>
      </rPr>
      <t xml:space="preserve">(</t>
    </r>
    <r>
      <rPr>
        <sz val="8"/>
        <rFont val="Noto Sans CJK SC Regular"/>
        <family val="2"/>
      </rPr>
      <t xml:space="preserve">上位</t>
    </r>
    <r>
      <rPr>
        <sz val="8"/>
        <rFont val="Droid Sans"/>
        <family val="0"/>
        <charset val="1"/>
      </rPr>
      <t xml:space="preserve">25%)</t>
    </r>
    <r>
      <rPr>
        <sz val="8"/>
        <rFont val="Noto Sans CJK SC Regular"/>
        <family val="2"/>
      </rPr>
      <t xml:space="preserve">維持。</t>
    </r>
  </si>
  <si>
    <t xml:space="preserve">Amwal Al Ghad</t>
  </si>
  <si>
    <t xml:space="preserve">#AmwalAlGhadEN |Shinzo Abe wins landslide in Japan re-election https://t.co/xgZP8mwqKH https://t.co/XXFUd3ZYG2</t>
  </si>
  <si>
    <t xml:space="preserve">Egypt</t>
  </si>
  <si>
    <t xml:space="preserve">Amwal Al Ghad / English Portal</t>
  </si>
  <si>
    <t xml:space="preserve">Pedro Vera</t>
  </si>
  <si>
    <t xml:space="preserve">N.Y.C</t>
  </si>
  <si>
    <t xml:space="preserve">Asesor internacional de Negocios. Colombo americano .Defensor de: la Democracia y Libertad, no a la esclavitud.</t>
  </si>
  <si>
    <t xml:space="preserve">Paul Reveal</t>
  </si>
  <si>
    <t xml:space="preserve">Russell Calkins</t>
  </si>
  <si>
    <t xml:space="preserve">After Election Win, Shinzo Abe Prioritizes North Korea and Aging Japan https://t.co/AxRiv4IT2h</t>
  </si>
  <si>
    <t xml:space="preserve">RUSSELL CALKINS IS THE VERY FIRST WORLD CHAMPION SKY SURFING DEMO TITLE HOLDER IN HISTORY 1992. ESPN SHOW SKYBLAZIN AIRED IN 1993.</t>
  </si>
  <si>
    <t xml:space="preserve">Srinath Lakshmipathy</t>
  </si>
  <si>
    <t xml:space="preserve">Smile can hide all your feelings and make you to feel better. Keep smiling :)</t>
  </si>
  <si>
    <r>
      <rPr>
        <sz val="8"/>
        <rFont val="Noto Sans CJK SC Regular"/>
        <family val="2"/>
      </rPr>
      <t xml:space="preserve">ブーリー ＠次はインドネシア</t>
    </r>
    <r>
      <rPr>
        <sz val="8"/>
        <rFont val="Droid Sans"/>
        <family val="0"/>
        <charset val="1"/>
      </rPr>
      <t xml:space="preserve">(</t>
    </r>
    <r>
      <rPr>
        <sz val="8"/>
        <rFont val="Noto Sans CJK SC Regular"/>
        <family val="2"/>
      </rPr>
      <t xml:space="preserve">たぶん</t>
    </r>
    <r>
      <rPr>
        <sz val="8"/>
        <rFont val="Droid Sans"/>
        <family val="0"/>
        <charset val="1"/>
      </rPr>
      <t xml:space="preserve">)</t>
    </r>
  </si>
  <si>
    <r>
      <rPr>
        <sz val="8"/>
        <rFont val="Noto Sans CJK SC Regular"/>
        <family val="2"/>
      </rPr>
      <t xml:space="preserve">トーキョー</t>
    </r>
    <r>
      <rPr>
        <sz val="8"/>
        <rFont val="Droid Sans"/>
        <family val="0"/>
        <charset val="1"/>
      </rPr>
      <t xml:space="preserve">Tokyo /</t>
    </r>
    <r>
      <rPr>
        <sz val="8"/>
        <rFont val="Noto Sans CJK SC Regular"/>
        <family val="2"/>
      </rPr>
      <t xml:space="preserve">東南アジア</t>
    </r>
    <r>
      <rPr>
        <sz val="8"/>
        <rFont val="Droid Sans"/>
        <family val="0"/>
        <charset val="1"/>
      </rPr>
      <t xml:space="preserve">SoutheastAsia</t>
    </r>
  </si>
  <si>
    <r>
      <rPr>
        <sz val="8"/>
        <rFont val="Noto Sans CJK SC Regular"/>
        <family val="2"/>
      </rPr>
      <t xml:space="preserve">夕飯おかわり大盛の可否を問う！ 好奇心旺盛ちょとエロいけど根は真面目 飛行機</t>
    </r>
    <r>
      <rPr>
        <sz val="8"/>
        <rFont val="Droid Sans"/>
        <family val="0"/>
        <charset val="1"/>
      </rPr>
      <t xml:space="preserve">&amp;</t>
    </r>
    <r>
      <rPr>
        <sz val="8"/>
        <rFont val="Noto Sans CJK SC Regular"/>
        <family val="2"/>
      </rPr>
      <t xml:space="preserve">空港萌え アジアご飯探訪ラオスタイミャンマーベトナムカンボジア中国香港マカオマレーシアシンガポールインドネシア他 </t>
    </r>
    <r>
      <rPr>
        <sz val="8"/>
        <rFont val="Droid Sans"/>
        <family val="0"/>
        <charset val="1"/>
      </rPr>
      <t xml:space="preserve">WRC</t>
    </r>
    <r>
      <rPr>
        <sz val="8"/>
        <rFont val="Noto Sans CJK SC Regular"/>
        <family val="2"/>
      </rPr>
      <t xml:space="preserve">＆モータースポーツ大好物 </t>
    </r>
    <r>
      <rPr>
        <sz val="8"/>
        <rFont val="Droid Sans"/>
        <family val="0"/>
        <charset val="1"/>
      </rPr>
      <t xml:space="preserve">FC3S RX-7 </t>
    </r>
    <r>
      <rPr>
        <sz val="8"/>
        <rFont val="Noto Sans CJK SC Regular"/>
        <family val="2"/>
      </rPr>
      <t xml:space="preserve">映画全般</t>
    </r>
    <r>
      <rPr>
        <sz val="8"/>
        <rFont val="Droid Sans"/>
        <family val="0"/>
        <charset val="1"/>
      </rPr>
      <t xml:space="preserve">&amp;</t>
    </r>
    <r>
      <rPr>
        <sz val="8"/>
        <rFont val="Noto Sans CJK SC Regular"/>
        <family val="2"/>
      </rPr>
      <t xml:space="preserve">特撮</t>
    </r>
    <r>
      <rPr>
        <sz val="8"/>
        <rFont val="Droid Sans"/>
        <family val="0"/>
        <charset val="1"/>
      </rPr>
      <t xml:space="preserve">&amp;</t>
    </r>
    <r>
      <rPr>
        <sz val="8"/>
        <rFont val="Noto Sans CJK SC Regular"/>
        <family val="2"/>
      </rPr>
      <t xml:space="preserve">アニメ 平成ライダー 宇宙</t>
    </r>
    <r>
      <rPr>
        <sz val="8"/>
        <rFont val="Droid Sans"/>
        <family val="0"/>
        <charset val="1"/>
      </rPr>
      <t xml:space="preserve">JAXA </t>
    </r>
    <r>
      <rPr>
        <sz val="8"/>
        <rFont val="Noto Sans CJK SC Regular"/>
        <family val="2"/>
      </rPr>
      <t xml:space="preserve">沖縄ダイビング</t>
    </r>
  </si>
  <si>
    <t xml:space="preserve">Toni Pedecine</t>
  </si>
  <si>
    <t xml:space="preserve">Music, books, art, photographs, dogs, music, music, music. All things creative, based in Tokyo.</t>
  </si>
  <si>
    <t xml:space="preserve">José Onofre</t>
  </si>
  <si>
    <t xml:space="preserve">Proyectista civil. Actualidad y deporte. Mercadeo. Construcción y diseño. Momentos. Personas.</t>
  </si>
  <si>
    <t xml:space="preserve">RT @BloombergAsia: What you can expect from Shinzo Abe's government in Japan after his election win https://t.co/jtYzdID3aF https://t.co/hN…</t>
  </si>
  <si>
    <t xml:space="preserve">Asutosh Biswal</t>
  </si>
  <si>
    <t xml:space="preserve">Japan’s snap election on Sunday revealed broad support for Prime Minister Shinzo Abe’s approach to dealing with... https://t.co/5gqGihmNTi</t>
  </si>
  <si>
    <t xml:space="preserve">Baripada</t>
  </si>
  <si>
    <t xml:space="preserve">"Life is for learning our lessons". Virtues are at the heart of lifelong learning.</t>
  </si>
  <si>
    <t xml:space="preserve">Why Japan's Shinzo Abe sees constitutional change as his legacy https://t.co/lCVfYMM5Nk</t>
  </si>
  <si>
    <t xml:space="preserve">IWPR</t>
  </si>
  <si>
    <t xml:space="preserve">RT @prospect_uk: Why Japan's Shinzo Abe sees constitutional change as his legacy https://t.co/lCVfYMM5Nk</t>
  </si>
  <si>
    <t xml:space="preserve">IWPR gives voice to people at the frontlines of conflict, crisis and change.</t>
  </si>
  <si>
    <t xml:space="preserve">Michael Berard</t>
  </si>
  <si>
    <t xml:space="preserve">Operational Art of War #AfPak #Afghanistan Op.@ResoluteSupport #Iraq #Syria to #Libya @CJTFOIR @Coalition Op.#InherentResolve Op.#Chammal Op.#Barkhane @djulz_dj</t>
  </si>
  <si>
    <t xml:space="preserve">HASSAN RIAZ</t>
  </si>
  <si>
    <t xml:space="preserve">Currently working in GVS with main focus on Pakistan's Foreign Policy towards Eurasia, South East Asia, South Asia, Middle East and West Asia.</t>
  </si>
  <si>
    <t xml:space="preserve">Tintin</t>
  </si>
  <si>
    <t xml:space="preserve">The world 👞🌎</t>
  </si>
  <si>
    <t xml:space="preserve">I'm a Jounalist whom chases unique stories ,a Detective whom solves international crime , a Buddy Boy to everyone , and a Confudent to anyone who needs -JDBBC</t>
  </si>
  <si>
    <t xml:space="preserve">Ashutosh kumar dubey</t>
  </si>
  <si>
    <t xml:space="preserve">🇺🇸🏳️‍🌈</t>
  </si>
  <si>
    <t xml:space="preserve">The backwards South</t>
  </si>
  <si>
    <t xml:space="preserve">You get what you give. IF you love America. VOTE! I block faceless cowards. Proudly blocked by @MarkDice! #TheResistance #ImpeachTrump #DemForce</t>
  </si>
  <si>
    <t xml:space="preserve">Josep Casaus</t>
  </si>
  <si>
    <t xml:space="preserve">Periodista. Director de Comunicación en Casa Asia</t>
  </si>
  <si>
    <t xml:space="preserve">vivek purohit</t>
  </si>
  <si>
    <t xml:space="preserve">Bhopal M.P.</t>
  </si>
  <si>
    <t xml:space="preserve">Nationlist by soul.Loco pilot at IR.</t>
  </si>
  <si>
    <t xml:space="preserve">urakaze sayaka</t>
  </si>
  <si>
    <t xml:space="preserve">京都⇔各地⇔各国メリーゴーランド</t>
  </si>
  <si>
    <r>
      <rPr>
        <sz val="8"/>
        <rFont val="Noto Sans CJK SC Regular"/>
        <family val="2"/>
      </rPr>
      <t xml:space="preserve">名乗るも意味無きその他大勢なり。近くに仰ぐ醍醐山。たまに登るも 膝持たず電池切れ。スタスタ追い越すお年寄りの笑み眩し。千年も行き交う「巧み人」大勢に 暫し縦覧。 ＃脱原発 </t>
    </r>
    <r>
      <rPr>
        <sz val="8"/>
        <rFont val="Droid Sans"/>
        <family val="0"/>
        <charset val="1"/>
      </rPr>
      <t xml:space="preserve">#</t>
    </r>
    <r>
      <rPr>
        <sz val="8"/>
        <rFont val="Noto Sans CJK SC Regular"/>
        <family val="2"/>
      </rPr>
      <t xml:space="preserve">戦争反対</t>
    </r>
  </si>
  <si>
    <t xml:space="preserve">K. Alexander Ashe</t>
  </si>
  <si>
    <t xml:space="preserve">Japan's ruling coalition retains a supermajority in snap election https://t.co/a20104giyR via @TheEconomist</t>
  </si>
  <si>
    <t xml:space="preserve">GoRossella</t>
  </si>
  <si>
    <t xml:space="preserve">Entrepreneur, Engineer, Writer, @FAMU_1887 alum, @Columbia alum</t>
  </si>
  <si>
    <t xml:space="preserve">darien progenyz</t>
  </si>
  <si>
    <t xml:space="preserve">Winning big : Japan’s ruling coalition retains a supermajority in snap election https://t.co/EqzNaPDsS6 via @TheEconomist</t>
  </si>
  <si>
    <t xml:space="preserve">NONPARTISAN. Proactive energy, inclusion, clear-thinking. Live as individuals, not labels. Transparency. Wellness. Privacy. Equal Justice. Reform. 🙌BE FREE.</t>
  </si>
  <si>
    <t xml:space="preserve">Mary Lavoie</t>
  </si>
  <si>
    <t xml:space="preserve">Vikings fan, Mount Holyoke alumna,Great Pyrenees dog lover &amp; seeker of wisdom..." Country Over Party, #TeamPatriot, American Democracy must endure.... NO DRAMA</t>
  </si>
  <si>
    <t xml:space="preserve">nyagonyago</t>
  </si>
  <si>
    <t xml:space="preserve">杜の都　 仙台市</t>
  </si>
  <si>
    <r>
      <rPr>
        <sz val="8"/>
        <rFont val="Noto Sans CJK SC Regular"/>
        <family val="2"/>
      </rPr>
      <t xml:space="preserve">先の震災では全国の皆様に多大なるご支援を賜りありがとうございました。震災＆日本復興願って時々ニッコリ毒吐きます</t>
    </r>
    <r>
      <rPr>
        <sz val="8"/>
        <rFont val="Droid Sans"/>
        <family val="0"/>
        <charset val="1"/>
      </rPr>
      <t xml:space="preserve">(</t>
    </r>
    <r>
      <rPr>
        <sz val="8"/>
        <rFont val="Noto Sans CJK SC Regular"/>
        <family val="2"/>
      </rPr>
      <t xml:space="preserve">〃･</t>
    </r>
    <r>
      <rPr>
        <sz val="8"/>
        <rFont val="Droid Sans"/>
        <family val="0"/>
        <charset val="1"/>
      </rPr>
      <t xml:space="preserve">ω</t>
    </r>
    <r>
      <rPr>
        <sz val="8"/>
        <rFont val="Noto Sans CJK SC Regular"/>
        <family val="2"/>
      </rPr>
      <t xml:space="preserve">･〃</t>
    </r>
    <r>
      <rPr>
        <sz val="8"/>
        <rFont val="Droid Sans"/>
        <family val="0"/>
        <charset val="1"/>
      </rPr>
      <t xml:space="preserve">) </t>
    </r>
    <r>
      <rPr>
        <sz val="8"/>
        <rFont val="Noto Sans CJK SC Regular"/>
        <family val="2"/>
      </rPr>
      <t xml:space="preserve">ﾉ</t>
    </r>
  </si>
  <si>
    <t xml:space="preserve">chiriac octavian mar</t>
  </si>
  <si>
    <t xml:space="preserve">canada, quebec</t>
  </si>
  <si>
    <t xml:space="preserve">I Created The State Jesus Christ. Is done. Is mine than, and nothing cans disagree. thestatejesuschrist on facebook. What about you?</t>
  </si>
  <si>
    <t xml:space="preserve">Britnie Lynn</t>
  </si>
  <si>
    <t xml:space="preserve">RT @progenyzero: Winning big : Japan’s ruling coalition retains a supermajority in snap election https://t.co/EqzNaPDsS6 via @TheEconomist</t>
  </si>
  <si>
    <t xml:space="preserve">VA</t>
  </si>
  <si>
    <t xml:space="preserve">I'm 23. Jesus is my #1. Panda Obsessed. Anime Freak. Music = My Addiction. When it rains, I look for rainbows. When it's dark, I look for stars. 3</t>
  </si>
  <si>
    <t xml:space="preserve">RT @JNilssonWright: My thoughts on Sunday's election in Japan and next steps for Abe Shinzo https://t.co/VdfLdbJipa via @prospect_uk</t>
  </si>
  <si>
    <t xml:space="preserve">Stephine Browning</t>
  </si>
  <si>
    <t xml:space="preserve">Lawton OK</t>
  </si>
  <si>
    <t xml:space="preserve">Im 17, Country. A Senior at IKE. Have a good job. Life cant get much better for me.</t>
  </si>
  <si>
    <t xml:space="preserve">Athar</t>
  </si>
  <si>
    <t xml:space="preserve">KSA .. From Madinah, live in jeddah</t>
  </si>
  <si>
    <t xml:space="preserve">ひこうき雲</t>
  </si>
  <si>
    <r>
      <rPr>
        <sz val="8"/>
        <rFont val="Noto Sans CJK SC Regular"/>
        <family val="2"/>
      </rPr>
      <t xml:space="preserve">政権交代が可能な政治体制を切望し新生党から小沢一郎氏を支持。最近の関心はメディアや技術革新。一応、</t>
    </r>
    <r>
      <rPr>
        <sz val="8"/>
        <rFont val="Droid Sans"/>
        <family val="0"/>
        <charset val="1"/>
      </rPr>
      <t xml:space="preserve">IT</t>
    </r>
    <r>
      <rPr>
        <sz val="8"/>
        <rFont val="Noto Sans CJK SC Regular"/>
        <family val="2"/>
      </rPr>
      <t xml:space="preserve">系の仕事をしています。</t>
    </r>
    <r>
      <rPr>
        <sz val="8"/>
        <rFont val="Droid Sans"/>
        <family val="0"/>
        <charset val="1"/>
      </rPr>
      <t xml:space="preserve">Mac</t>
    </r>
    <r>
      <rPr>
        <sz val="8"/>
        <rFont val="Noto Sans CJK SC Regular"/>
        <family val="2"/>
      </rPr>
      <t xml:space="preserve">、</t>
    </r>
    <r>
      <rPr>
        <sz val="8"/>
        <rFont val="Droid Sans"/>
        <family val="0"/>
        <charset val="1"/>
      </rPr>
      <t xml:space="preserve">iPhone</t>
    </r>
    <r>
      <rPr>
        <sz val="8"/>
        <rFont val="Noto Sans CJK SC Regular"/>
        <family val="2"/>
      </rPr>
      <t xml:space="preserve">、写真が好き♪ なお、</t>
    </r>
    <r>
      <rPr>
        <sz val="8"/>
        <rFont val="Droid Sans"/>
        <family val="0"/>
        <charset val="1"/>
      </rPr>
      <t xml:space="preserve">RT</t>
    </r>
    <r>
      <rPr>
        <sz val="8"/>
        <rFont val="Noto Sans CJK SC Regular"/>
        <family val="2"/>
      </rPr>
      <t xml:space="preserve">やリンクは賛意を示しているとは限りません。</t>
    </r>
  </si>
  <si>
    <t xml:space="preserve">anmelos</t>
  </si>
  <si>
    <t xml:space="preserve">Think</t>
  </si>
  <si>
    <t xml:space="preserve">The Pursuit of Happyness :</t>
  </si>
  <si>
    <t xml:space="preserve">wendy jones</t>
  </si>
  <si>
    <t xml:space="preserve">GrammieO</t>
  </si>
  <si>
    <t xml:space="preserve">golfing granny,conservative,peace loving</t>
  </si>
  <si>
    <t xml:space="preserve">進撃の狂人</t>
  </si>
  <si>
    <r>
      <rPr>
        <sz val="8"/>
        <rFont val="Noto Sans CJK SC Regular"/>
        <family val="2"/>
      </rPr>
      <t xml:space="preserve">私が「リベラル教徒」と呼んだ陣営を、超辛口のチェスタトンは狂人と命名した──潮匤人『日本人として読んでおきたい保守の名著』（</t>
    </r>
    <r>
      <rPr>
        <sz val="8"/>
        <rFont val="Droid Sans"/>
        <family val="0"/>
        <charset val="1"/>
      </rPr>
      <t xml:space="preserve">PHP</t>
    </r>
    <r>
      <rPr>
        <sz val="8"/>
        <rFont val="Noto Sans CJK SC Regular"/>
        <family val="2"/>
      </rPr>
      <t xml:space="preserve">新書）より。大絶賛発売中。</t>
    </r>
    <r>
      <rPr>
        <sz val="8"/>
        <rFont val="Droid Sans"/>
        <family val="0"/>
        <charset val="1"/>
      </rPr>
      <t xml:space="preserve">/ A native Japanese. </t>
    </r>
    <r>
      <rPr>
        <sz val="8"/>
        <rFont val="Noto Sans CJK SC Regular"/>
        <family val="2"/>
      </rPr>
      <t xml:space="preserve">そろそろ保護区が必要か？</t>
    </r>
  </si>
  <si>
    <t xml:space="preserve">Patrick Pato</t>
  </si>
  <si>
    <t xml:space="preserve">Alexandria, KY</t>
  </si>
  <si>
    <t xml:space="preserve">Life made easy, twitter is my voice ,Follow me for followback.. RT. ain't always endorsements! negative multiplied by negative equals positive.</t>
  </si>
  <si>
    <t xml:space="preserve">Japan’s Election Warning to China: How Kim and Xi helped Shinzo Abe keep his supermajority - WSJ https://t.co/Ob853xMmEG</t>
  </si>
  <si>
    <t xml:space="preserve">Googlemystyle.com</t>
  </si>
  <si>
    <t xml:space="preserve">The Woodlands, TX</t>
  </si>
  <si>
    <t xml:space="preserve">Entertainment , Sports and More #TexasSouthernUniversity</t>
  </si>
  <si>
    <t xml:space="preserve">RT @DrMarkPBarry: Japan’s Election Warning to China: How Kim and Xi helped Shinzo Abe keep his supermajority - WSJ https://t.co/Ob853xMmEG</t>
  </si>
  <si>
    <t xml:space="preserve">Masood</t>
  </si>
  <si>
    <t xml:space="preserve">U.S.A</t>
  </si>
  <si>
    <t xml:space="preserve">بیائیم و با هم دنیای بهتری بسازیم. Let's make a better World! you and me, us. Electrical Engineer, politics and human rights activist.</t>
  </si>
  <si>
    <t xml:space="preserve">Just a guy with a lot of time on his hands and a lot of love for Senator John McCain.</t>
  </si>
  <si>
    <t xml:space="preserve">Holly Hodkinson</t>
  </si>
  <si>
    <t xml:space="preserve">Lifetime Buckeye &amp; Buckeye fan; used to be Republican (nt my POTUS); Mother of two amazing adult children &amp; two pups; foster dogs in need; #TeamMueller fan</t>
  </si>
  <si>
    <t xml:space="preserve">Shinzo Abe's Japan election victory delights investors as #Trump comes calling https://t.co/bGgomkxvZV #investing #equities #JapanElections</t>
  </si>
  <si>
    <t xml:space="preserve">RT @The_Oilholic: Shinzo Abe's Japan election victory delights investors as #Trump comes calling https://t.co/bGgomkxvZV #investing #equiti…</t>
  </si>
  <si>
    <t xml:space="preserve">Shinzo Abe's Japan election victory delights investors as Donald Trump comes calling https://t.co/x2yOk2x9WV #Investing #DonaldTrump #Nikkei</t>
  </si>
  <si>
    <t xml:space="preserve">Vikas Yadav</t>
  </si>
  <si>
    <t xml:space="preserve">Concerned Citizen</t>
  </si>
  <si>
    <t xml:space="preserve">Shinzo Abe's Japan election victory delights investors as Donald Trump comes calling https://t.co/xA6FxMQO6y</t>
  </si>
  <si>
    <t xml:space="preserve">Prasanna Viswanathan</t>
  </si>
  <si>
    <t xml:space="preserve">Bangalore,India</t>
  </si>
  <si>
    <t xml:space="preserve">CEO,Swarajyamag (views personal)</t>
  </si>
  <si>
    <t xml:space="preserve">Vidya</t>
  </si>
  <si>
    <t xml:space="preserve">#karnataka </t>
  </si>
  <si>
    <t xml:space="preserve">Proud Hindu | #Thala devotee | #indianArmy, Thalaivar, Nayanthara, ARR &amp; Dada | No DM &amp; Personal Questions plsss |</t>
  </si>
  <si>
    <t xml:space="preserve">prasannavenkatesh</t>
  </si>
  <si>
    <t xml:space="preserve">Love to connect the dots ✌ Burning ambition to make a difference #startup #books #AI #MachineLearning #Robotics Believe I've a incredible destiny, Steve jobs ❤</t>
  </si>
  <si>
    <t xml:space="preserve">Namrata</t>
  </si>
  <si>
    <t xml:space="preserve">Twitteristan</t>
  </si>
  <si>
    <t xml:space="preserve">Liberal in blocking. Intolerant to slightest of abuse. Don't intend to please anyone. Unfollow rather than telling me what (not) to tweet.</t>
  </si>
  <si>
    <t xml:space="preserve">ObbaKannadiga</t>
  </si>
  <si>
    <t xml:space="preserve">St Whimsy 🇮🇳</t>
  </si>
  <si>
    <t xml:space="preserve">I have the courage to stand up for what I really believe in .....do you???</t>
  </si>
  <si>
    <t xml:space="preserve">WeGlitter</t>
  </si>
  <si>
    <t xml:space="preserve">निरीश्वरवाद</t>
  </si>
  <si>
    <t xml:space="preserve">unknown</t>
  </si>
  <si>
    <t xml:space="preserve">Waiting for Godot</t>
  </si>
  <si>
    <t xml:space="preserve">Cozumel, MX</t>
  </si>
  <si>
    <t xml:space="preserve">Retired U.S. Navy (Submarines)</t>
  </si>
  <si>
    <t xml:space="preserve">Raj</t>
  </si>
  <si>
    <t xml:space="preserve">Personal Account</t>
  </si>
  <si>
    <t xml:space="preserve">Wanderer</t>
  </si>
  <si>
    <t xml:space="preserve">Here, Now</t>
  </si>
  <si>
    <t xml:space="preserve">Seeker of Truth</t>
  </si>
  <si>
    <t xml:space="preserve">Anand Lunia</t>
  </si>
  <si>
    <t xml:space="preserve">#India</t>
  </si>
  <si>
    <t xml:space="preserve">Indian. VC. Believes entrepreneur is the king. Not the VC. IndiaQuotient</t>
  </si>
  <si>
    <t xml:space="preserve">A split opposition puts Shinzo Abe on track to victory in Japan, early projections show https://t.co/dpny5rVHRS</t>
  </si>
  <si>
    <t xml:space="preserve">K A Y C E E</t>
  </si>
  <si>
    <t xml:space="preserve">RT @nytimesworld: A split opposition puts Shinzo Abe on track to victory in Japan, early projections show https://t.co/dpny5rVHRS</t>
  </si>
  <si>
    <t xml:space="preserve">People fascinate me. Their stories. Their worries. RT means I found it interesting, not that I agree.</t>
  </si>
  <si>
    <t xml:space="preserve">Sage</t>
  </si>
  <si>
    <t xml:space="preserve">Love most animals;Honest,love unconditionally &amp; have no "agenda". Do enjoy others opinion &amp; always have one.</t>
  </si>
  <si>
    <r>
      <rPr>
        <sz val="8"/>
        <rFont val="Noto Sans CJK SC Regular"/>
        <family val="2"/>
      </rPr>
      <t xml:space="preserve">がっつ</t>
    </r>
    <r>
      <rPr>
        <sz val="8"/>
        <rFont val="Droid Sans"/>
        <family val="0"/>
        <charset val="1"/>
      </rPr>
      <t xml:space="preserve">@</t>
    </r>
    <r>
      <rPr>
        <sz val="8"/>
        <rFont val="Noto Sans CJK SC Regular"/>
        <family val="2"/>
      </rPr>
      <t xml:space="preserve">強いぞ！日本！</t>
    </r>
  </si>
  <si>
    <t xml:space="preserve">nytimesworld: A split opposition puts Shinzo Abe on track to victory in Japan, early projections show https://t.co/wQWXktJjXd #arrobin</t>
  </si>
  <si>
    <t xml:space="preserve">Japan's Shinzo Abe won by a landside, but he isn't as popular as you might think https://t.co/ymg8zaUNNN https://t.co/D59z0Mp242</t>
  </si>
  <si>
    <t xml:space="preserve">Japan and the World</t>
  </si>
  <si>
    <t xml:space="preserve">Cambridge, United Kingdom</t>
  </si>
  <si>
    <r>
      <rPr>
        <sz val="8"/>
        <rFont val="Droid Sans"/>
        <family val="0"/>
        <charset val="1"/>
      </rPr>
      <t xml:space="preserve">Follow us on Twitter for updates about exciting events such as the Japan and the World Seminar Series at the University of Cambridge! </t>
    </r>
    <r>
      <rPr>
        <sz val="8"/>
        <rFont val="Noto Sans CJK SC Regular"/>
        <family val="2"/>
      </rPr>
      <t xml:space="preserve">よろしくお願いします。</t>
    </r>
  </si>
  <si>
    <t xml:space="preserve">Japan's Shinzo Abe won by a landside, but he isn't as popular as you might think https://t.co/L7EMgMpS3k https://t.co/VBmAmS8MFK #fb #sit…</t>
  </si>
  <si>
    <t xml:space="preserve">RT: @nytimesworld :A split opposition puts Shinzo Abe on track to victory in Japan, early projections show https://t.co/FwNhgM1ycP</t>
  </si>
  <si>
    <t xml:space="preserve">めけめけ</t>
  </si>
  <si>
    <t xml:space="preserve">息子二人の育児と格闘中。ローカル・ニュース、日常雑感、愚痴などなどをつぶやいています。ちなみにアイコンは羊。ヤギじゃないよ。</t>
  </si>
  <si>
    <t xml:space="preserve">Travis Arrhenius</t>
  </si>
  <si>
    <t xml:space="preserve">Rec Artist,Singer/Songwriter @HIPGOS rec💎🎼 contact:arrheniuslover37@gmail.com fB:Travis Kwabena Arrhenius IG:Arrhenius_t</t>
  </si>
  <si>
    <t xml:space="preserve">Cam Arts&amp;Humanities</t>
  </si>
  <si>
    <t xml:space="preserve">What does Shinzo Abe's election win mean for Japan? @JNilssonWright from AMES @Cambridge_Uni explains https://t.co/2N62t8U0c2 #JapanElection</t>
  </si>
  <si>
    <t xml:space="preserve">Cambridge, England</t>
  </si>
  <si>
    <t xml:space="preserve">News, research and events from @Cambridge_Uni Arts and Humanities.</t>
  </si>
  <si>
    <t xml:space="preserve">Shawn Doe</t>
  </si>
  <si>
    <t xml:space="preserve">Japan election: Shinzo Abe's economy faces huge challenges https://t.co/7Prp67aGs3 via @CNNMoney</t>
  </si>
  <si>
    <t xml:space="preserve">London, Ontario</t>
  </si>
  <si>
    <t xml:space="preserve">Buy Physical Gold and Silver!!!</t>
  </si>
  <si>
    <t xml:space="preserve">Korn Ferry</t>
  </si>
  <si>
    <t xml:space="preserve">Shinzo Abe's re-election proves once again that "it's the economy, stupid" still holds up https://t.co/LHKoybpR0P</t>
  </si>
  <si>
    <t xml:space="preserve">Korn Ferry (NYSE: KFY) is the preeminent global people and organizational advisory firm.</t>
  </si>
  <si>
    <r>
      <rPr>
        <sz val="8"/>
        <rFont val="Noto Sans CJK SC Regular"/>
        <family val="2"/>
      </rPr>
      <t xml:space="preserve">衆院選</t>
    </r>
    <r>
      <rPr>
        <sz val="8"/>
        <rFont val="Droid Sans"/>
        <family val="0"/>
        <charset val="1"/>
      </rPr>
      <t xml:space="preserve">2017</t>
    </r>
  </si>
  <si>
    <t xml:space="preserve">Japan's Shinzo Abe won by a landside, but he isn't as popular as you might think https://t.co/zBFScWxh6R https://t.co/SFxqkgF2gG</t>
  </si>
  <si>
    <t xml:space="preserve">RT @JPnewsinEng: Japan's ruling coalition retains a supermajority in snap election - The Economist https://t.co/weATXu2TrB https://t.co/qvs…</t>
  </si>
  <si>
    <t xml:space="preserve">Japan's Shinzo Abe won by a landside, but he isn't as popular as you might think https://t.co/HysTh5V7rx https://t.co/Fri1SNcTTA</t>
  </si>
  <si>
    <t xml:space="preserve">RT @business: Japan's Shinzo Abe won by a landside, but he isn't as popular as you might think https://t.co/zBFScWxh6R https://t.co/SFxqkgF…</t>
  </si>
  <si>
    <t xml:space="preserve">BB</t>
  </si>
  <si>
    <t xml:space="preserve">Монгол Улсын иргэн - Civis Mongolia sum 🇲🇳Солгой - Left handed 👍</t>
  </si>
  <si>
    <t xml:space="preserve">Lillys News</t>
  </si>
  <si>
    <t xml:space="preserve">Election Risk Pays Off for Shinzo Abe of Japan as His Party Appears to Win Big - The New York Times https://t.co/iD46VM8sBg</t>
  </si>
  <si>
    <t xml:space="preserve">❤️Trump supporter day 1. Trump is far from perfect but HILLARY is a criminal,getting worse daily, that’s why she lost! TRUMP has common sense. HILLARY does not.</t>
  </si>
  <si>
    <t xml:space="preserve">Japan's Shinzo Abe won by a landside, but he isn't as popular as you might think https://t.co/Gr2H7bnsS4 https://t.co/V5r8mw53Wu</t>
  </si>
  <si>
    <t xml:space="preserve">TRUMP =HITLER</t>
  </si>
  <si>
    <t xml:space="preserve">...Double standards rats back Off... #BlueToTheBones #Witch #seer WE'RE NOT THE OPPOSITION BUT THE RESISTANCE, KEEP THAT IN MIND.</t>
  </si>
  <si>
    <t xml:space="preserve">currency trader</t>
  </si>
  <si>
    <t xml:space="preserve">Ashish Singh</t>
  </si>
  <si>
    <t xml:space="preserve">Tried tweeting, didn't work. Here only as read-only user. No courtesy follow back.</t>
  </si>
  <si>
    <t xml:space="preserve">Anand Tiwari</t>
  </si>
  <si>
    <t xml:space="preserve">business: Japan's Shinzo Abe won by a landside, but he isn't as popular as you might think https://t.co/AlTq66wr1g https://t.co/pqFOVPrqqJ</t>
  </si>
  <si>
    <t xml:space="preserve">business: Japan's Shinzo Abe won by a landside, but he isn't as popular as you might think https://t.co/shRwausLdK https://t.co/WaPjJwt1Uv</t>
  </si>
  <si>
    <t xml:space="preserve">Brett S. Morris</t>
  </si>
  <si>
    <t xml:space="preserve">Shinzo Abe's victory is not as impressive as it seems, as I write for @Medium https://t.co/rPhL4dan8M #JapanElection #Japan #Politics</t>
  </si>
  <si>
    <t xml:space="preserve">Writer and globetrotter covering politics and US foreign policy. Contributor to @Medium's Partner Program, @Jacobinmag, and elsewhere.</t>
  </si>
  <si>
    <t xml:space="preserve">business: Japan's Shinzo Abe won by a landside, but he isn't as popular as you might think https://t.co/6rUqY5184d https://t.co/LrqWyer631</t>
  </si>
  <si>
    <t xml:space="preserve">Awrytro Chatterjee</t>
  </si>
  <si>
    <t xml:space="preserve">Calcutta | Bangalore</t>
  </si>
  <si>
    <t xml:space="preserve">Dilettante. Bengali .Football, economics, politics and theatre.</t>
  </si>
  <si>
    <t xml:space="preserve">Japan's Shinzo Abe won by a landside, but he isn't as popular as you might think https://t.co/cSQFOGGddY https://t.co/xGZEY5PxHi</t>
  </si>
  <si>
    <t xml:space="preserve">Japan's Shinzo Abe won by a landside, but he isn't as popular as you might think https://t.co/1HEd4c3JBh https://t.co/U3F7YN2J9b</t>
  </si>
  <si>
    <t xml:space="preserve">Shinzo Abe's Japan election victory delights investors as Donald Trump comes calling https://t.co/u2jTSUcC7A</t>
  </si>
  <si>
    <t xml:space="preserve">jaimeotero_: Japan's Shinzo Abe won by a landside, but he isn't as popular as you might think https://t.co/2XlnBSRluK …</t>
  </si>
  <si>
    <t xml:space="preserve">joshua</t>
  </si>
  <si>
    <t xml:space="preserve">i love Josh , deal with it</t>
  </si>
  <si>
    <t xml:space="preserve">Japanese Prime Minister Shinzo Abe will host U.S. President Donald Trump in Tokyo next month. https://t.co/DudqOKTi1C</t>
  </si>
  <si>
    <t xml:space="preserve">He</t>
  </si>
  <si>
    <t xml:space="preserve">Japan Election Vindicates Shinzo Abe as His Party Wins Big https://t.co/0lHwhWt1lq</t>
  </si>
  <si>
    <t xml:space="preserve">Limited Government Low Taxes #teaparty #GeauxTigers! #IStandWithIsrael NoFacebook. #CCOT NODMs. #MUFC I don't buy followers. RT ≠ Endorsement</t>
  </si>
  <si>
    <t xml:space="preserve">Michael Forbus</t>
  </si>
  <si>
    <t xml:space="preserve">South Florida Coast</t>
  </si>
  <si>
    <t xml:space="preserve">Paintographer, graphic design, organic farmer, cross cultural chef, Buddhist, Taoist, Fun and A writer for 30 years, an artist for 40 years. AUTISM ADVOCATE</t>
  </si>
  <si>
    <t xml:space="preserve">RT @BloombergAsia: Japan's Shinzo Abe won by a landside, but he isn't as popular as you might think https://t.co/ymg8zaUNNN https://t.co/D5…</t>
  </si>
  <si>
    <t xml:space="preserve">Jive Cambridge</t>
  </si>
  <si>
    <t xml:space="preserve">independent: 'What does Shinzo Abe's election win mean for Japan?' https://t.co/fhKRS4ZhTG</t>
  </si>
  <si>
    <t xml:space="preserve">JiveCambridge</t>
  </si>
  <si>
    <t xml:space="preserve">Follow us for the best of what's happening around Cambridge.</t>
  </si>
  <si>
    <t xml:space="preserve">Christian Gallegos</t>
  </si>
  <si>
    <t xml:space="preserve">Leftist. Educator. Writer. Proud Hispanic. Vegas Native. Grad Student.</t>
  </si>
  <si>
    <t xml:space="preserve">Shinzo Abe's Japan election victory delights investors as Donald Trump comes calling https://t.co/xrFVTW6llR</t>
  </si>
  <si>
    <t xml:space="preserve">Nine News Australia</t>
  </si>
  <si>
    <t xml:space="preserve">Prime Minister @TurnbullMalcolm has personally congratulated Shinzo Abe on his election victory. #9News https://t.co/qjccfkxJbF</t>
  </si>
  <si>
    <t xml:space="preserve">Australia's No.1: Follow @9NewsSyd | @9NewsMelb | @9NewsQueensland | @9NewsGoldCoast | @9NewsAdel | @9NewsDarwin | @9NewsPerth</t>
  </si>
  <si>
    <t xml:space="preserve">Australia/Oz/DownUn</t>
  </si>
  <si>
    <t xml:space="preserve">Prime Minister TurnbullMalcolm has personally congratulated Shinzo Abe on his election victory. #9News https://t.co/AGFkpBviZw</t>
  </si>
  <si>
    <t xml:space="preserve">All Things Australia!</t>
  </si>
  <si>
    <t xml:space="preserve">Nine News Adelaide</t>
  </si>
  <si>
    <t xml:space="preserve">RT @9NewsAUS: Prime Minister @TurnbullMalcolm has personally congratulated Shinzo Abe on his election victory. #9News https://t.co/qjccfkxJ…</t>
  </si>
  <si>
    <t xml:space="preserve">Adelaide, Australia</t>
  </si>
  <si>
    <t xml:space="preserve">Adelaide's Nine News with @KateCollins9 and @BrentonRagless, nightly at 6.00pm on @Channel9. Community Guidelines: http://t.co/h3hABkSNCP</t>
  </si>
  <si>
    <t xml:space="preserve">Nine News Gold Coast</t>
  </si>
  <si>
    <t xml:space="preserve">Surfers Paradise, Gold Coast</t>
  </si>
  <si>
    <t xml:space="preserve">Gold Coast's Number 1 Television News. Email stories to goldcoastnews@nine.com.au or call (07) 5579 1900. Community Guidelines: https://t.co/h3hABkSNCP</t>
  </si>
  <si>
    <t xml:space="preserve">Nine News Melbourne</t>
  </si>
  <si>
    <t xml:space="preserve">@PHitchener9 and @AliciaLoxley present Melbourne’s #9News on @Channel9 at 6.00pm. Simulcast on @LightFM899. Community Guidelines: http://t.co/h3hABkSNCP</t>
  </si>
  <si>
    <t xml:space="preserve">Nine News Queensland</t>
  </si>
  <si>
    <t xml:space="preserve">Brisbane, Australia </t>
  </si>
  <si>
    <t xml:space="preserve">Queensland's nightly 6.00pm news with @Loftea and @9MelissaDownes. Simulcast on River 94.9FM.</t>
  </si>
  <si>
    <t xml:space="preserve">Nine News Sydney</t>
  </si>
  <si>
    <t xml:space="preserve">Sydney's No.1 News with @PeterOverton, @GeorgieG and @Deborah_Knight. Nightly at 6.00pm on @Channel9.</t>
  </si>
  <si>
    <t xml:space="preserve">Rob Graham</t>
  </si>
  <si>
    <t xml:space="preserve">RT @Mark3Ds: #ShinzoAbe secures strong mandate in #Japan's general election-#NorthKorea #JSDF https://t.co/l4mFPRt9qE</t>
  </si>
  <si>
    <t xml:space="preserve">The Healing Kingdom. </t>
  </si>
  <si>
    <t xml:space="preserve">International business development professional. Now retired old fart. Former Canadian Foreign Service Officer.</t>
  </si>
  <si>
    <t xml:space="preserve">Véronique JEROME</t>
  </si>
  <si>
    <t xml:space="preserve">PhD in economics, political-economist, ELECTIONSCOPE®, APSA member, scanning political message, #Style &amp; #Politics, #Communication, #Marketing, #Forecasting.</t>
  </si>
  <si>
    <t xml:space="preserve">aki</t>
  </si>
  <si>
    <t xml:space="preserve">The Japanese does not go for election https://t.co/YBX239FqXa</t>
  </si>
  <si>
    <t xml:space="preserve">japan</t>
  </si>
  <si>
    <t xml:space="preserve">I'm living in Japan's Nagoya City. I love football and takoyaki. Thank U!</t>
  </si>
  <si>
    <t xml:space="preserve">Daniel Brown</t>
  </si>
  <si>
    <t xml:space="preserve">Keith Thompson</t>
  </si>
  <si>
    <t xml:space="preserve">Coopersburg, PA</t>
  </si>
  <si>
    <t xml:space="preserve">Luca Tentoni</t>
  </si>
  <si>
    <t xml:space="preserve">Analista politico, editorialista, romanista. Sopravvissuto alla Prima, alla Seconda e (forse) persino alla Terza Repubblica</t>
  </si>
  <si>
    <t xml:space="preserve">A split opposition puts Shinzo Abe on track to victory in Japan, early projections show https://t.co/NIwE2v3q9z #Internacionales</t>
  </si>
  <si>
    <t xml:space="preserve">Tabetha Taylor</t>
  </si>
  <si>
    <t xml:space="preserve">💙 Real Christian w Sailors 👄 ALL 🤗Religions/🎨Colors/🌈Sexual Pref Welcome 🚫Trump Cults/Bots #Resist 💙 #SwearHerIn Follow me also @CallahanCoDems</t>
  </si>
  <si>
    <t xml:space="preserve">Lingesh</t>
  </si>
  <si>
    <t xml:space="preserve">Mera Bharat Mahaan</t>
  </si>
  <si>
    <t xml:space="preserve">CMDClub</t>
  </si>
  <si>
    <t xml:space="preserve">The #JapanElection shows again that the #JapaneseGP govt remains #impotent https://t.co/ajdvnjNfr5</t>
  </si>
  <si>
    <t xml:space="preserve">Costa Mesa, CA</t>
  </si>
  <si>
    <t xml:space="preserve">Be heard. Make a change. Celebrate our differences.</t>
  </si>
  <si>
    <t xml:space="preserve">HRC OC LB PS</t>
  </si>
  <si>
    <t xml:space="preserve">Well #JapanElection brings no change again #impotent https://t.co/03itpN5OpH</t>
  </si>
  <si>
    <t xml:space="preserve">Orange County CA</t>
  </si>
  <si>
    <t xml:space="preserve">Human Rights Campaign - Orange County/Long Beach/Palm Springs</t>
  </si>
  <si>
    <t xml:space="preserve">Japan’s ruling coalition retains a supermajority in snap election https://t.co/oUqFJOrqFB #neoliberalism</t>
  </si>
  <si>
    <t xml:space="preserve">Meredith Y Sowers</t>
  </si>
  <si>
    <t xml:space="preserve">Alessandra</t>
  </si>
  <si>
    <t xml:space="preserve">RT @dnsteamrj: "Japan election: Shinzo Abe's party likely to seize control in lower house" via FOX NEWS #timbeta #betaajudabeta #timbetalab</t>
  </si>
  <si>
    <t xml:space="preserve">Moeda, Brasil</t>
  </si>
  <si>
    <t xml:space="preserve">Tim beta</t>
  </si>
  <si>
    <t xml:space="preserve">FSI Stanford</t>
  </si>
  <si>
    <t xml:space="preserve">Stanford, CA</t>
  </si>
  <si>
    <t xml:space="preserve">The Freeman Spogli Institute for International Studies is Stanford's research institute for global affairs. Faculty opinions are their own; RTs ≠ endorsements.</t>
  </si>
  <si>
    <t xml:space="preserve">Cynthia</t>
  </si>
  <si>
    <t xml:space="preserve">Marina del Rey, CA</t>
  </si>
  <si>
    <t xml:space="preserve">Medical Aesthetician Volunteer Proud Nasty Yogi Momma of Rescue Pussy^^s~ Who rescued Who? #Strongertogether #Resistance #HRCDem *Pls NoLMers</t>
  </si>
  <si>
    <t xml:space="preserve">pongodhall</t>
  </si>
  <si>
    <t xml:space="preserve">Japan's Abe storms to 'super-majority', promises to 'deal firmly' with North Korea thejournal_ie)stop killing whales https://t.co/czh4dikgeo</t>
  </si>
  <si>
    <t xml:space="preserve">west cork</t>
  </si>
  <si>
    <t xml:space="preserve">interested in current affairs - world over,planetary change, politics, economics, sociology, art, vegan gf food, and quirkiness that makes me laugh,</t>
  </si>
  <si>
    <t xml:space="preserve">imagine654321</t>
  </si>
  <si>
    <t xml:space="preserve">Shinzo Abe's Japan election victory delights investors as Donald Trump comes calling. won by, but he isn't as popul… https://t.co/4qiqpPdeWL</t>
  </si>
  <si>
    <t xml:space="preserve">Clive Anthony Boyce</t>
  </si>
  <si>
    <t xml:space="preserve">RT @pongodhall: Japan's Abe storms to 'super-majority', promises to 'deal firmly' with North Korea thejournal_ie)stop killing whales https:…</t>
  </si>
  <si>
    <t xml:space="preserve">Leicester England UK</t>
  </si>
  <si>
    <t xml:space="preserve">46 Male &amp; single. Big Leicester City FC and Kasabian fan. look after bed ridden ill mum. love playing Elite Dangerous Horizons on my PC</t>
  </si>
  <si>
    <t xml:space="preserve">Bertha Marie Tamez</t>
  </si>
  <si>
    <t xml:space="preserve">ICYMI: Shinzo Abe's Japan election victory delights investors as Donald Trump comes calling https://t.co/u2jTSUcC7A</t>
  </si>
  <si>
    <t xml:space="preserve">Ajaat Jamwal</t>
  </si>
  <si>
    <t xml:space="preserve">Activist, Journalist. Interests J&amp;K, Politics, Terrorism, History. Blocked by RaMadhavBJP</t>
  </si>
  <si>
    <t xml:space="preserve">Asia Active</t>
  </si>
  <si>
    <t xml:space="preserve">Infomation Service Provider43</t>
  </si>
  <si>
    <t xml:space="preserve">Promoting the best articles and retweets about Asia economy. Prosperity and wealth is in your hands. Tweets are sponsored by https://t.co/lB80QVd1N4</t>
  </si>
  <si>
    <t xml:space="preserve">WSJ Editorial Page</t>
  </si>
  <si>
    <t xml:space="preserve">How Kim and Xi helped Shinzo Abe keep his supermajority in Japan: https://t.co/GHjevd6L53</t>
  </si>
  <si>
    <t xml:space="preserve">Opinion &amp; Commentary from The Wall Street Journal.</t>
  </si>
  <si>
    <t xml:space="preserve">Teri Saunders</t>
  </si>
  <si>
    <t xml:space="preserve">RT @WSJopinion: How Kim and Xi helped Shinzo Abe keep his supermajority in Japan: https://t.co/GHjevd6L53</t>
  </si>
  <si>
    <t xml:space="preserve">Scottish by blood, Canadian by birth, American by choice</t>
  </si>
  <si>
    <t xml:space="preserve">Kevin</t>
  </si>
  <si>
    <t xml:space="preserve">Lawyer, Father, Husband, Cavs fan and geopolitics junky. Conservatives and Liberals are equally annoying</t>
  </si>
  <si>
    <t xml:space="preserve">Andrienne Hubbard</t>
  </si>
  <si>
    <t xml:space="preserve">Yoshie Furuhashi</t>
  </si>
  <si>
    <t xml:space="preserve">Yoshie Furuhashi, Founder, Movement Translation Service</t>
  </si>
  <si>
    <t xml:space="preserve">Charlotte Selton</t>
  </si>
  <si>
    <t xml:space="preserve">Japan Election Vindicates Shinzo Abe as His Party Wins Big https://t.co/NtmgoKGCky #cpol120 @pols120ta</t>
  </si>
  <si>
    <t xml:space="preserve">Husain Haqqani</t>
  </si>
  <si>
    <t xml:space="preserve">Director (South &amp; Central Asia) Hudson Institute. Pakistan ambassador to US 2008-2011. Author of 'Pakistan Between Mosque &amp; Military' &amp; 'Magnificent Delusions'</t>
  </si>
  <si>
    <t xml:space="preserve">- F ®™</t>
  </si>
  <si>
    <t xml:space="preserve">Oslo, Norway</t>
  </si>
  <si>
    <t xml:space="preserve">If #Pakistan succeeds - I succeed. #PakistanZindabad - Unity - Faith - Discipline - Quaids Pillars #Technologist #Humorist #AgainstTerrorism #AgainstInhumanity</t>
  </si>
  <si>
    <t xml:space="preserve">Rishwat-UL-Ebad</t>
  </si>
  <si>
    <t xml:space="preserve">RT WSJopinion: How Kim and Xi helped Shinzo Abe keep his supermajority in Japan: https://t.co/TGaV12ENuL</t>
  </si>
  <si>
    <t xml:space="preserve">Rishwat Ul Ebad former Politican from Sindh Province</t>
  </si>
  <si>
    <t xml:space="preserve">Jennifer Jacobs</t>
  </si>
  <si>
    <t xml:space="preserve">Japan’s Shinzo Abe has pulled off a landslide -- but he's not as popular as you might think. https://t.co/R0iksef7CX</t>
  </si>
  <si>
    <t xml:space="preserve">White House reporter for Bloomberg News. Email me at jjacobs68@bloomberg.net. 💕Iowa.</t>
  </si>
  <si>
    <t xml:space="preserve">FJ Newman</t>
  </si>
  <si>
    <t xml:space="preserve">RT @JenniferJJacobs: Japan’s Shinzo Abe has pulled off a landslide -- but he's not as popular as you might think. https://t.co/R0iksef7CX</t>
  </si>
  <si>
    <t xml:space="preserve">Hyattsville, MD</t>
  </si>
  <si>
    <t xml:space="preserve">A world within walking distance. I sometimes wished I didn’t know the things I know. I wish I didn't know now what I didn't know then.</t>
  </si>
  <si>
    <t xml:space="preserve">Morvjn</t>
  </si>
  <si>
    <t xml:space="preserve">-.-</t>
  </si>
  <si>
    <t xml:space="preserve">Bill Postmus</t>
  </si>
  <si>
    <t xml:space="preserve">California &amp; Idaho</t>
  </si>
  <si>
    <t xml:space="preserve">Fmr elected official &amp; GOP chair. Musings on world, nat'l &amp; state politics. Supporter of @Israel, @JesusShow , &amp; Friend of Bill W. RT's are not endorsements🇺🇸</t>
  </si>
  <si>
    <t xml:space="preserve">Connor Daley</t>
  </si>
  <si>
    <t xml:space="preserve">Multi-gen Vermonter. Exec search &amp; strategy consultant for philanthropy for cross-sector change, but I pretty much only tweet about constitutional monarchy.</t>
  </si>
  <si>
    <t xml:space="preserve">Gary Nelson</t>
  </si>
  <si>
    <t xml:space="preserve">Family person, Mr Mom (highly recommend), two kids, MSU Grad, and at U of Findley. Divorce, but close friends. Extreme Dem, liberal Follow; Wings, Tribe, Dolfan</t>
  </si>
  <si>
    <t xml:space="preserve">Vicki Locke</t>
  </si>
  <si>
    <t xml:space="preserve">Alyssa McDonald</t>
  </si>
  <si>
    <t xml:space="preserve">Digital news editor at https://t.co/DK7t9jm8OF. Opinions my own.</t>
  </si>
  <si>
    <t xml:space="preserve">Kevin Brady</t>
  </si>
  <si>
    <t xml:space="preserve">Long Island &amp; Brooklyn</t>
  </si>
  <si>
    <t xml:space="preserve">"A proud Gay," politics nerd, film lover: 2nd gen American, #UnionStrong, #NYPD son + #Feminist. @CUNYLaw '20. ♥️@myfriendJase👸🏿 Irish 🇮🇪Italian🇮🇹+more🌈</t>
  </si>
  <si>
    <t xml:space="preserve">Matthew Waymack</t>
  </si>
  <si>
    <t xml:space="preserve">Fayetteville, AR</t>
  </si>
  <si>
    <t xml:space="preserve">Retweets are retweets.</t>
  </si>
  <si>
    <t xml:space="preserve">Larry Backer</t>
  </si>
  <si>
    <t xml:space="preserve">Jeff M. Smith</t>
  </si>
  <si>
    <t xml:space="preserve">Research Fellow, South Asia-Heritage Foundation. Author of "Cold Peace: China-India Rivalry" (2014) &amp; "Asia's Quest for Balance" (2018). NYT, WSJ, Economist, FP</t>
  </si>
  <si>
    <t xml:space="preserve">Aparna Pande</t>
  </si>
  <si>
    <t xml:space="preserve">Director India Initiative, Hudson Institute; PhD Poli Sci #BU; Stephanian, Delhiite; Bostonian Red Sox Fan</t>
  </si>
  <si>
    <t xml:space="preserve">Opinion: How Kim and Xi helped Shinzo Abe keep his supermajority in Japan https://t.co/kCkqC7YGB9</t>
  </si>
  <si>
    <t xml:space="preserve">hé alors</t>
  </si>
  <si>
    <t xml:space="preserve">RT @WSJ: Opinion: How Kim and Xi helped Shinzo Abe keep his supermajority in Japan https://t.co/kCkqC7YGB9</t>
  </si>
  <si>
    <t xml:space="preserve">Opinion: How Kim and Xi helped Shinzo Abe keep his supermajority in Japan https://t.co/xUP9A6XABJ</t>
  </si>
  <si>
    <t xml:space="preserve">jeremy dee</t>
  </si>
  <si>
    <t xml:space="preserve">Created LMF Video,Manager of Canon Montana,Writer-ish, #FlyTheL #CatLivesMatter WhiteSox Season Tickets,Blackhawks,Bulls,Bears,Icehogs, #FromMyColdDeadHands</t>
  </si>
  <si>
    <t xml:space="preserve">Opinion: How Kim and Xi helped Shinzo Abe keep his supermajority in Japan https://t.co/JrqtL97Ais</t>
  </si>
  <si>
    <t xml:space="preserve">Michele Tarroni</t>
  </si>
  <si>
    <t xml:space="preserve">Rome, Italy</t>
  </si>
  <si>
    <t xml:space="preserve">Art Broker &amp; Event Manager</t>
  </si>
  <si>
    <t xml:space="preserve">Hello World</t>
  </si>
  <si>
    <t xml:space="preserve">USA (love my USA)</t>
  </si>
  <si>
    <t xml:space="preserve">Love to read about happenings all over the World</t>
  </si>
  <si>
    <t xml:space="preserve">MissSastra</t>
  </si>
  <si>
    <t xml:space="preserve">Ahmet Yavuz</t>
  </si>
  <si>
    <t xml:space="preserve">Kocaeli-Ankara-İstanbul</t>
  </si>
  <si>
    <t xml:space="preserve">Gazi University-Lisans Kocaeli University/YL The New World Order</t>
  </si>
  <si>
    <t xml:space="preserve">WSJ: Opinion: How Kim and Xi helped Shinzo Abe keep his supermajority in Japan https://t.co/J4JpsViaZS</t>
  </si>
  <si>
    <t xml:space="preserve">WSJ: Opinion: How Kim and Xi helped Shinzo Abe keep his supermajority in Japan https://t.co/uRXebI3jNT</t>
  </si>
  <si>
    <t xml:space="preserve">THE WALL STREET JOURNAL: Opinion: How Kim and Xi helped Shinzo Abe keep his supermajority in Japan https://t.co/K9BLPfF33k</t>
  </si>
  <si>
    <t xml:space="preserve">WSJ: Opinion: How Kim and Xi helped Shinzo Abe keep his supermajority in Japan https://t.co/8AdaIeEeKS https://t.co/sIlIVMMCCB</t>
  </si>
  <si>
    <t xml:space="preserve">Opinion: How Kim and Xi helped Shinzo Abe keep his supermajority in Japan https://t.co/o9jMr5rBgI</t>
  </si>
  <si>
    <t xml:space="preserve">WSJ: Opinion: How Kim and Xi helped Shinzo Abe keep his supermajority in Japan https://t.co/D5W9JD2ag2</t>
  </si>
  <si>
    <t xml:space="preserve">Roberto Bonaldi</t>
  </si>
  <si>
    <t xml:space="preserve">WSJ: Opinion: How Kim and Xi helped Shinzo Abe keep his supermajority in Japan https://t.co/dK3bBIZCWl</t>
  </si>
  <si>
    <t xml:space="preserve">K2Global ThinkTank:)</t>
  </si>
  <si>
    <t xml:space="preserve">JFK LAX SFO HKG SIN DXB :)</t>
  </si>
  <si>
    <t xml:space="preserve">Savvy capital markets technician/trader. On $TWTR if I hurt😞 ur feelings I’m truly sorry 😐! Veteran USAF. ❤️🇺🇸MyHome ! Cheers🍷2UR GR8 Life : )</t>
  </si>
  <si>
    <t xml:space="preserve">Collette Brown</t>
  </si>
  <si>
    <t xml:space="preserve">A big dreamer, believer, action oriented feminist, people builder &amp; achiever</t>
  </si>
  <si>
    <t xml:space="preserve">Japan PM Shinzo Abe's ruling bloc on track for big win in election: TV exit polls - https://t.co/f1LzgZV9fh</t>
  </si>
  <si>
    <t xml:space="preserve">Prospects of Japan's PM Abe Amending Constitution After Landslide Election Win https://t.co/UHeWu5XGAO</t>
  </si>
  <si>
    <t xml:space="preserve">ugirej</t>
  </si>
  <si>
    <t xml:space="preserve">M.O.B.B</t>
  </si>
  <si>
    <t xml:space="preserve">Around the Corner.....</t>
  </si>
  <si>
    <t xml:space="preserve">Kamal Silva</t>
  </si>
  <si>
    <t xml:space="preserve">Peace Train </t>
  </si>
  <si>
    <t xml:space="preserve">Life Enthusiast || Avid Reader || Soccer Buff. Indefatigable fan of Milan &amp; Newcastle United. RT's ≠ Endorsements. ❤ ≠ Like.</t>
  </si>
  <si>
    <t xml:space="preserve">RT WSJ: Opinion: How Kim and Xi helped Shinzo Abe keep his supermajority in Japan https://t.co/V2G7Kl90N0</t>
  </si>
  <si>
    <t xml:space="preserve">Carolus³</t>
  </si>
  <si>
    <t xml:space="preserve">Japan’s ruling coalition retains a supermajority in snap election https://t.co/y0Dsj06HmI</t>
  </si>
  <si>
    <t xml:space="preserve">CyborgIntelligentsia</t>
  </si>
  <si>
    <t xml:space="preserve">♣ Between BID and ASK ♣</t>
  </si>
  <si>
    <t xml:space="preserve">♦#Débrouillard ♠ #FuturesTrader ♥ #ProudSpeculator ♣ #CryptoPunk ♦#JörmungandrSlayer ♠ The greatest enemy will hide in the last place you would ever look. ♥</t>
  </si>
  <si>
    <t xml:space="preserve">习梦思</t>
  </si>
  <si>
    <r>
      <rPr>
        <sz val="8"/>
        <rFont val="Droid Sans"/>
        <family val="0"/>
        <charset val="1"/>
      </rPr>
      <t xml:space="preserve">fart people;</t>
    </r>
    <r>
      <rPr>
        <sz val="8"/>
        <rFont val="Noto Sans CJK SC Regular"/>
        <family val="2"/>
      </rPr>
      <t xml:space="preserve">四股势力赶快合流；中岛 みゆき </t>
    </r>
    <r>
      <rPr>
        <sz val="8"/>
        <rFont val="Droid Sans"/>
        <family val="0"/>
        <charset val="1"/>
      </rPr>
      <t xml:space="preserve">is my goddess;</t>
    </r>
    <r>
      <rPr>
        <sz val="8"/>
        <rFont val="Noto Sans CJK SC Regular"/>
        <family val="2"/>
      </rPr>
      <t xml:space="preserve">最爱吃新疆烤包子；神州不灭，大义永存！巭孬嫑夯肏，我会被傻屄屏蔽，同样的，我也会屏蔽傻屄</t>
    </r>
  </si>
  <si>
    <t xml:space="preserve">NORM MARVEL</t>
  </si>
  <si>
    <t xml:space="preserve">Lee's Summt MO</t>
  </si>
  <si>
    <t xml:space="preserve">#SaveZahidBaloch</t>
  </si>
  <si>
    <t xml:space="preserve">زمین </t>
  </si>
  <si>
    <t xml:space="preserve">نہ علم ءِ شوق، نہ قوم ءِ دوستی، نہ سُدھ دنیا ءِ، چُشیں بے جوہر ءُ جان دُز ءُ سُستیں نوجواناں سوچ</t>
  </si>
  <si>
    <t xml:space="preserve">Digital Resistance</t>
  </si>
  <si>
    <t xml:space="preserve">Analysis: Prospects of Japan's PM Abe Amending Constitution After Landslide Election Win https://t.co/27XtOX81dE</t>
  </si>
  <si>
    <t xml:space="preserve">Resistance is Freedom</t>
  </si>
  <si>
    <t xml:space="preserve">Curating global political news and providing insights and in-depth analysis in one place to give you the stories that matter. #No2ISIS #FreePalestine</t>
  </si>
  <si>
    <t xml:space="preserve">aromsy ameh</t>
  </si>
  <si>
    <t xml:space="preserve">A Nigeria with high spirit of patriotism to serve her mother land.</t>
  </si>
  <si>
    <t xml:space="preserve">Rob C</t>
  </si>
  <si>
    <t xml:space="preserve">Max Yu</t>
  </si>
  <si>
    <r>
      <rPr>
        <sz val="8"/>
        <rFont val="Noto Sans CJK SC Regular"/>
        <family val="2"/>
      </rPr>
      <t xml:space="preserve">東區</t>
    </r>
    <r>
      <rPr>
        <sz val="8"/>
        <rFont val="Droid Sans"/>
        <family val="0"/>
        <charset val="1"/>
      </rPr>
      <t xml:space="preserve">, </t>
    </r>
    <r>
      <rPr>
        <sz val="8"/>
        <rFont val="Noto Sans CJK SC Regular"/>
        <family val="2"/>
      </rPr>
      <t xml:space="preserve">香港</t>
    </r>
  </si>
  <si>
    <t xml:space="preserve">Japan's Shinzo Abe won by a landside, but he isn't as popular as you might think https://t.co/81F1PBHgGP https://t.co/UDfvYT5Bzy</t>
  </si>
  <si>
    <t xml:space="preserve">Japan's Shinzo Abe won by a landside, but he isn't as popular as you might think https://t.co/mDDZOVs5hE https://t.co/i09xticATe</t>
  </si>
  <si>
    <t xml:space="preserve">Japan's Shinzo Abe won by a landside, but he isn't as popular as you might think https://t.co/3WgsadYscj https://t.co/v8N2jackLr</t>
  </si>
  <si>
    <t xml:space="preserve">business: Japan's Shinzo Abe won by a landside, but he isn't as popular as you might think https://t.co/OFayJBPI1X https://t.co/IgW72RCPXb</t>
  </si>
  <si>
    <t xml:space="preserve">Dr.Ahmad Almaa'</t>
  </si>
  <si>
    <t xml:space="preserve">RT @business: Japan's Shinzo Abe won by a landside, but he isn't as popular as you might think https://t.co/mDDZOVs5hE https://t.co/i09xtic…</t>
  </si>
  <si>
    <t xml:space="preserve">I believe in science</t>
  </si>
  <si>
    <t xml:space="preserve">Victoria Australia</t>
  </si>
  <si>
    <t xml:space="preserve">Feminist, musician, linguist, actor. #heforshe #HelpMeAmanda</t>
  </si>
  <si>
    <t xml:space="preserve">business: Japan's Shinzo Abe won by a landside, but he isn't as popular as you might think https://t.co/p4xf1eTHCC https://t.co/tgj94rhD6r</t>
  </si>
  <si>
    <t xml:space="preserve">Kold dayZ</t>
  </si>
  <si>
    <r>
      <rPr>
        <sz val="8"/>
        <rFont val="Noto Sans CJK SC Regular"/>
        <family val="2"/>
      </rPr>
      <t xml:space="preserve">ツイッターするやつ</t>
    </r>
    <r>
      <rPr>
        <sz val="8"/>
        <rFont val="Droid Sans"/>
        <family val="0"/>
        <charset val="1"/>
      </rPr>
      <t xml:space="preserve">γ pro</t>
    </r>
  </si>
  <si>
    <t xml:space="preserve">Konikksberk</t>
  </si>
  <si>
    <r>
      <rPr>
        <sz val="8"/>
        <rFont val="Droid Sans"/>
        <family val="0"/>
        <charset val="1"/>
      </rPr>
      <t xml:space="preserve">KO/JP/EN/im@s/</t>
    </r>
    <r>
      <rPr>
        <sz val="8"/>
        <rFont val="Noto Sans CJK SC Regular"/>
        <family val="2"/>
      </rPr>
      <t xml:space="preserve">スクスト</t>
    </r>
    <r>
      <rPr>
        <sz val="8"/>
        <rFont val="Droid Sans"/>
        <family val="0"/>
        <charset val="1"/>
      </rPr>
      <t xml:space="preserve">/Assassin's creed/Pumpkin scissors/</t>
    </r>
    <r>
      <rPr>
        <sz val="8"/>
        <rFont val="Noto Sans CJK SC Regular"/>
        <family val="2"/>
      </rPr>
      <t xml:space="preserve">폴아웃</t>
    </r>
    <r>
      <rPr>
        <sz val="8"/>
        <rFont val="Droid Sans"/>
        <family val="0"/>
        <charset val="1"/>
      </rPr>
      <t xml:space="preserve">/WoW -</t>
    </r>
    <r>
      <rPr>
        <sz val="8"/>
        <rFont val="Noto Sans CJK SC Regular"/>
        <family val="2"/>
      </rPr>
      <t xml:space="preserve">아즈샤라 호드</t>
    </r>
    <r>
      <rPr>
        <sz val="8"/>
        <rFont val="Droid Sans"/>
        <family val="0"/>
        <charset val="1"/>
      </rPr>
      <t xml:space="preserve">/</t>
    </r>
    <r>
      <rPr>
        <sz val="8"/>
        <rFont val="Noto Sans CJK SC Regular"/>
        <family val="2"/>
      </rPr>
      <t xml:space="preserve">모르는 분 블락할 때가 있읍니다</t>
    </r>
    <r>
      <rPr>
        <sz val="8"/>
        <rFont val="Droid Sans"/>
        <family val="0"/>
        <charset val="1"/>
      </rPr>
      <t xml:space="preserve">/</t>
    </r>
    <r>
      <rPr>
        <sz val="8"/>
        <rFont val="Noto Sans CJK SC Regular"/>
        <family val="2"/>
      </rPr>
      <t xml:space="preserve">천봉 </t>
    </r>
    <r>
      <rPr>
        <sz val="8"/>
        <rFont val="Droid Sans"/>
        <family val="0"/>
        <charset val="1"/>
      </rPr>
      <t xml:space="preserve">: KILO6</t>
    </r>
  </si>
  <si>
    <t xml:space="preserve">Japan's Shinzo Abe won by a landside, but he isn't as popular as you might think https://t.co/E5WD3jkJzR https://t.co/Gbd8bwxJ7b</t>
  </si>
  <si>
    <t xml:space="preserve">jaimeotero_: Japan's Shinzo Abe won by a landside, but he isn't as popular as you might think https://t.co/F9BHSHYMyg …</t>
  </si>
  <si>
    <t xml:space="preserve">nathalie richard</t>
  </si>
  <si>
    <t xml:space="preserve">Human history becomes more and more a race between education and catastrophe. H.G. Wells 1866-1946</t>
  </si>
  <si>
    <t xml:space="preserve">Japan's Shinzo Abe won by a landside, but he isn't as popular as you might think https://t.co/N6hJMWYnlT https://t.co/vpaZJKtbgH</t>
  </si>
  <si>
    <t xml:space="preserve">Japan's Shinzo Abe won by a landside, but he isn't as popular as you might think https://t.co/G6SJ7zAA3x https://t.co/GcGIM7t7wG</t>
  </si>
  <si>
    <t xml:space="preserve">Japan's Shinzo Abe won by a landside, but he isn't as popular as you might think https://t.co/lMAdKOEdUD https://t.co/0nqeKM4HDZ</t>
  </si>
  <si>
    <t xml:space="preserve">Lewis Roz</t>
  </si>
  <si>
    <t xml:space="preserve">RT @BloombergTV: Japan's Shinzo Abe won by a landside, but he isn't as popular as you might think https://t.co/lMAdKOEdUD https://t.co/0nqe…</t>
  </si>
  <si>
    <t xml:space="preserve">I'm a trusted real estate agent and a father of two. I graduated from the University of Texas at Arlington.</t>
  </si>
  <si>
    <t xml:space="preserve">L H Brok</t>
  </si>
  <si>
    <t xml:space="preserve">WSJ: #Japan’s ELECTION Warning to #China https://t.co/O5fgZlG91w via @WSJOpinion *HOW Kim &amp; Xi helped Shinzo Abe keep his supermajority.</t>
  </si>
  <si>
    <t xml:space="preserve">Interests: US &amp; International Events; History, Language &amp; Culture; Health &amp; Hilarity</t>
  </si>
  <si>
    <t xml:space="preserve">Victor</t>
  </si>
  <si>
    <t xml:space="preserve">眠る羊</t>
  </si>
  <si>
    <t xml:space="preserve">四国の辺境</t>
  </si>
  <si>
    <r>
      <rPr>
        <sz val="8"/>
        <rFont val="Noto Sans CJK SC Regular"/>
        <family val="2"/>
      </rPr>
      <t xml:space="preserve">四国の人。 リンガ泊の羊。 更新停止中のブログ→</t>
    </r>
    <r>
      <rPr>
        <sz val="8"/>
        <rFont val="Droid Sans"/>
        <family val="0"/>
        <charset val="1"/>
      </rPr>
      <t xml:space="preserve">https://t.co/Zslv0yraQZ</t>
    </r>
  </si>
  <si>
    <t xml:space="preserve">黎明迷</t>
  </si>
  <si>
    <t xml:space="preserve">What can you do now for #Japan and the #Japanese people?</t>
  </si>
  <si>
    <t xml:space="preserve">Michel kabongo</t>
  </si>
  <si>
    <t xml:space="preserve">Software Engineer - Network &amp; Database Administrator CEO at GLAAIF IT SOLUTIONS</t>
  </si>
  <si>
    <t xml:space="preserve">David Volodzko</t>
  </si>
  <si>
    <t xml:space="preserve">National editor @JoongAngDaily. Contributor @SCMP_News, @Diplomat_APAC, @GlobalPost, @munchies. China, Korea, Japan, politics, culture, food. volodzko@gmail.com</t>
  </si>
  <si>
    <t xml:space="preserve">Desmond N. Doulatram</t>
  </si>
  <si>
    <t xml:space="preserve">Angela Rae Jones</t>
  </si>
  <si>
    <t xml:space="preserve">Rockford, IL USA</t>
  </si>
  <si>
    <t xml:space="preserve">Environmentalist/Owner-GreenTone Enviro Design-Sustainability Planner/Designer Renewable Energy Expert/Feng Shui Practitioner Think Green...Be Green.</t>
  </si>
  <si>
    <t xml:space="preserve">Lucy</t>
  </si>
  <si>
    <t xml:space="preserve">Prospects of Japan's PM Abe Amending Constitution After Landslide Election Win: https://t.co/nOMWHyuOO6 via @SputnikInt</t>
  </si>
  <si>
    <t xml:space="preserve">krishnan v</t>
  </si>
  <si>
    <t xml:space="preserve">summer🐈</t>
  </si>
  <si>
    <t xml:space="preserve">雑食。国内も海外も。無断フォロー失礼します。</t>
  </si>
  <si>
    <t xml:space="preserve">Take a look at the numbers behind Shinzo Abe's landslide victory https://t.co/1XQHYP7528 https://t.co/FDfzkgNehd</t>
  </si>
  <si>
    <t xml:space="preserve">Take a look at the numbers behind Shinzo Abe's landslide victory https://t.co/zYqQVgsXbj https://t.co/x4x4MHPNyI #fb #sitifatimah #malays…</t>
  </si>
  <si>
    <t xml:space="preserve">Paulieborg</t>
  </si>
  <si>
    <t xml:space="preserve">Aarón</t>
  </si>
  <si>
    <t xml:space="preserve">RT @BloombergAsia: Take a look at the numbers behind Shinzo Abe's landslide victory https://t.co/1XQHYP7528 https://t.co/FDfzkgNehd</t>
  </si>
  <si>
    <t xml:space="preserve">chilangolandia</t>
  </si>
  <si>
    <t xml:space="preserve">Anda.</t>
  </si>
  <si>
    <t xml:space="preserve">金沢京子・銀座系</t>
  </si>
  <si>
    <r>
      <rPr>
        <sz val="8"/>
        <rFont val="Noto Sans CJK SC Regular"/>
        <family val="2"/>
      </rPr>
      <t xml:space="preserve">千葉県　</t>
    </r>
    <r>
      <rPr>
        <sz val="8"/>
        <rFont val="Droid Sans"/>
        <family val="0"/>
        <charset val="1"/>
      </rPr>
      <t xml:space="preserve">japan</t>
    </r>
  </si>
  <si>
    <r>
      <rPr>
        <sz val="8"/>
        <rFont val="Noto Sans CJK SC Regular"/>
        <family val="2"/>
      </rPr>
      <t xml:space="preserve">一応、文筆家です。「１００円</t>
    </r>
    <r>
      <rPr>
        <sz val="8"/>
        <rFont val="Droid Sans"/>
        <family val="0"/>
        <charset val="1"/>
      </rPr>
      <t xml:space="preserve">de</t>
    </r>
    <r>
      <rPr>
        <sz val="8"/>
        <rFont val="Noto Sans CJK SC Regular"/>
        <family val="2"/>
      </rPr>
      <t xml:space="preserve">監視要請」銀座の読み物が売れる平和で好景気な世の中にしたい！</t>
    </r>
  </si>
  <si>
    <t xml:space="preserve">Take a look at the numbers behind Shinzo Abe's landslide victory https://t.co/pWDSStOjcZ https://t.co/rykAl6US9R</t>
  </si>
  <si>
    <t xml:space="preserve">Mike Kose</t>
  </si>
  <si>
    <t xml:space="preserve">RT @business: Take a look at the numbers behind Shinzo Abe's landslide victory https://t.co/pWDSStOjcZ https://t.co/rykAl6US9R</t>
  </si>
  <si>
    <t xml:space="preserve">“No man ever steps in the same river twice, for it's not the same river and he's not the same man.” ― Heraclitus</t>
  </si>
  <si>
    <t xml:space="preserve">Agustín Menéndez</t>
  </si>
  <si>
    <t xml:space="preserve">Belgrano.</t>
  </si>
  <si>
    <t xml:space="preserve">Corea. Estudiantes de La Plata. "We have been born into this land, charged with the historic mission of regenerating the nation." Park Chung-hee</t>
  </si>
  <si>
    <t xml:space="preserve">早   智敬</t>
  </si>
  <si>
    <t xml:space="preserve">京都市</t>
  </si>
  <si>
    <r>
      <rPr>
        <sz val="8"/>
        <rFont val="Droid Sans"/>
        <family val="0"/>
        <charset val="1"/>
      </rPr>
      <t xml:space="preserve">1974.3.13</t>
    </r>
    <r>
      <rPr>
        <sz val="8"/>
        <rFont val="Noto Sans CJK SC Regular"/>
        <family val="2"/>
      </rPr>
      <t xml:space="preserve">若狭国遠敷郡に生まれる。相模国高座郡に於いて育ち、山城国宇治郡山科を経て同郡醍醐に寓す／平素の職業</t>
    </r>
    <r>
      <rPr>
        <sz val="8"/>
        <rFont val="Droid Sans"/>
        <family val="0"/>
        <charset val="1"/>
      </rPr>
      <t xml:space="preserve">:</t>
    </r>
    <r>
      <rPr>
        <sz val="8"/>
        <rFont val="Noto Sans CJK SC Regular"/>
        <family val="2"/>
      </rPr>
      <t xml:space="preserve">行政書士（京都会所属</t>
    </r>
    <r>
      <rPr>
        <sz val="8"/>
        <rFont val="Droid Sans"/>
        <family val="0"/>
        <charset val="1"/>
      </rPr>
      <t xml:space="preserve">:</t>
    </r>
    <r>
      <rPr>
        <sz val="8"/>
        <rFont val="Noto Sans CJK SC Regular"/>
        <family val="2"/>
      </rPr>
      <t xml:space="preserve">日行連登録</t>
    </r>
    <r>
      <rPr>
        <sz val="8"/>
        <rFont val="Droid Sans"/>
        <family val="0"/>
        <charset val="1"/>
      </rPr>
      <t xml:space="preserve">15272270</t>
    </r>
    <r>
      <rPr>
        <sz val="8"/>
        <rFont val="Noto Sans CJK SC Regular"/>
        <family val="2"/>
      </rPr>
      <t xml:space="preserve">）</t>
    </r>
  </si>
  <si>
    <t xml:space="preserve">Take a look at the numbers behind Shinzo Abe's landslide victory https://t.co/ACcXUxZZTG https://t.co/0muZoxwWT3</t>
  </si>
  <si>
    <t xml:space="preserve">Japan Election Vindicates Shinzo Abe as His Party Wins Big https://t.co/RqDETEy7vb</t>
  </si>
  <si>
    <t xml:space="preserve">Karren Ericson</t>
  </si>
  <si>
    <t xml:space="preserve">Human</t>
  </si>
  <si>
    <t xml:space="preserve">Ameenusnasidi</t>
  </si>
  <si>
    <t xml:space="preserve">business: Take a look at the numbers behind Shinzo Abe's landslide victory https://t.co/m1zu1K14B5 … https://t.co/PZNx2jvZJx</t>
  </si>
  <si>
    <t xml:space="preserve">RT business "Take a look at the numbers behind Shinzo Abe's landslide victory https://t.co/njgI6znWr9 https://t.co/Gkr71Xhkyr"</t>
  </si>
  <si>
    <t xml:space="preserve">business: Take a look at the numbers behind Shinzo Abe's landslide victory https://t.co/8t1s5zPsl3 https://t.co/2cetGErxOu</t>
  </si>
  <si>
    <t xml:space="preserve">Take a look at the numbers behind Shinzo Abe's landslide victory https://t.co/9P02zzg4k4 https://t.co/pXLbski9bK</t>
  </si>
  <si>
    <t xml:space="preserve">Take a look at the numbers behind Shinzo Abe's landslide victory https://t.co/2FuLy1FcFN https://t.co/4kFZt65Y8V</t>
  </si>
  <si>
    <t xml:space="preserve">G.de Cristofaro</t>
  </si>
  <si>
    <t xml:space="preserve">Profilo Unico Ufficiale Twitter</t>
  </si>
  <si>
    <t xml:space="preserve">https://t.co/MRaI8meu0l https://t.co/QHKaExZqrq https://t.co/igLOGCU1Bh https://t.co/cHePMsFmMu https://t.co/2ft45Ef8Vt</t>
  </si>
  <si>
    <t xml:space="preserve">business: Take a look at the numbers behind Shinzo Abe's landslide victory https://t.co/yu4JEzV4VU https://t.co/zP3HNgUCgp</t>
  </si>
  <si>
    <t xml:space="preserve">jaimeotero_: Take a look at the numbers behind Shinzo Abe's landslide victory https://t.co/T85w9nR81Z https://t.co/BJnxx2CFAu RT</t>
  </si>
  <si>
    <t xml:space="preserve">Take a look at the numbers behind Shinzo Abe's landslide victory https://t.co/U5qBrBPrB2 https://t.co/ORGn01EZqd</t>
  </si>
  <si>
    <t xml:space="preserve">Anne Kae</t>
  </si>
  <si>
    <t xml:space="preserve">Hamilton, ON</t>
  </si>
  <si>
    <t xml:space="preserve">Making a love life of nature, music, and beauty</t>
  </si>
  <si>
    <t xml:space="preserve">Miriam Romainville</t>
  </si>
  <si>
    <t xml:space="preserve">Peru</t>
  </si>
  <si>
    <t xml:space="preserve">La #UNMSM es mi alma máter y el #periodismo es mi vocación. #Página https://t.co/0F3dw8Xj1s</t>
  </si>
  <si>
    <t xml:space="preserve">Take a look at the numbers behind Shinzo Abe's landslide victory https://t.co/Qcj4wqpL3p https://t.co/TODtfrexFI</t>
  </si>
  <si>
    <t xml:space="preserve">RT @BloombergTV: Take a look at the numbers behind Shinzo Abe's landslide victory https://t.co/Qcj4wqpL3p https://t.co/TODtfrexFI</t>
  </si>
  <si>
    <t xml:space="preserve">Ч. Раднаа</t>
  </si>
  <si>
    <t xml:space="preserve">Ulaanbaatar</t>
  </si>
  <si>
    <t xml:space="preserve">БНМАУ-д төрсөн.</t>
  </si>
  <si>
    <t xml:space="preserve">*Karlita*</t>
  </si>
  <si>
    <t xml:space="preserve">Who is batmansdaughter0@gmail? 👽👀</t>
  </si>
  <si>
    <t xml:space="preserve">George</t>
  </si>
  <si>
    <r>
      <rPr>
        <sz val="8"/>
        <rFont val="Noto Sans CJK SC Regular"/>
        <family val="2"/>
      </rPr>
      <t xml:space="preserve">资深</t>
    </r>
    <r>
      <rPr>
        <sz val="8"/>
        <rFont val="Droid Sans"/>
        <family val="0"/>
        <charset val="1"/>
      </rPr>
      <t xml:space="preserve">70</t>
    </r>
    <r>
      <rPr>
        <sz val="8"/>
        <rFont val="Noto Sans CJK SC Regular"/>
        <family val="2"/>
      </rPr>
      <t xml:space="preserve">后，打过工，经过商，混过高校。现外贸业者，热爱自由人士。</t>
    </r>
  </si>
  <si>
    <t xml:space="preserve">SicSemperTyrannis</t>
  </si>
  <si>
    <t xml:space="preserve">Over the rainbow</t>
  </si>
  <si>
    <t xml:space="preserve">Principiis obsta, finem respice—‘Resist the beginnings, Consider the end' #LestWeForget #NeverAgain #1A #2A #NAP #ProLife #Peace #Liberty #Prosperity #Justice</t>
  </si>
  <si>
    <t xml:space="preserve">#BloombergTV ❧ Take a look at the numbers behind Shinzo Abe's landslide victory https://t.co/jIO0OXDtDZ https://t.co/rcd41VnMjx</t>
  </si>
  <si>
    <t xml:space="preserve">RT BloombergTV "Take a look at the numbers behind Shinzo Abe's landslide victory https://t.co/TGUaxvLe7G https://t.co/4JLR9aSx9b"</t>
  </si>
  <si>
    <t xml:space="preserve">RT BloombergTV "Take a look at the numbers behind Shinzo Abe's landslide victory https://t.co/aSxcEffFSU https://t.co/Kw3QU1oGDI"</t>
  </si>
  <si>
    <t xml:space="preserve">RT TFTCS "RT BloombergTV "Take a look at the numbers behind Shinzo Abe's landslide victory https://t.co/aSxcEffFSU https://t.co/Kw3QU1oGDI""</t>
  </si>
  <si>
    <t xml:space="preserve">Japan's Shinzo Abe Conjures Stunning Election Victory in a Boost for Donald Trump https://t.co/9eAy8YujWp</t>
  </si>
  <si>
    <t xml:space="preserve">RT TFTCS "RT BloombergTV "Take a look at the numbers behind Shinzo Abe's landslide victory https://t.co/TjkH2HEXif https://t.co/MWxUyrGZpf""</t>
  </si>
  <si>
    <t xml:space="preserve">business: Take a look at the numbers behind Shinzo Abe's landslide victory https://t.co/bPEaFwvTWv https://t.co/undsvjdRCe</t>
  </si>
  <si>
    <t xml:space="preserve">Shinzo Abe isn't as popular as you might think https://t.co/3k7d58MzUk https://t.co/BGI10Dn5tu</t>
  </si>
  <si>
    <t xml:space="preserve">🕸️JBOOhn🕷️SCREECHan🦇</t>
  </si>
  <si>
    <t xml:space="preserve">RT @DavidPapp: Japan's Shinzo Abe Conjures Stunning Election Victory in a Boost for Donald Trump https://t.co/9eAy8YujWp</t>
  </si>
  <si>
    <t xml:space="preserve">Chicago Native - Deep Dish - Johnnies Beef - Ketsup Is For Fries - Videographer - Social Activist - Ad Me To Lists Earns You A BLOCK</t>
  </si>
  <si>
    <t xml:space="preserve">Prospects of Japan's PM Abe Amending Constitution After Landslide Election Win https://t.co/Zub6Ye2pCO</t>
  </si>
  <si>
    <t xml:space="preserve">@lalauraru777</t>
  </si>
  <si>
    <t xml:space="preserve">Passionate advocate for plight of elephants, pro-conservation. 100% TRUMP-PENCE, fiscally conservative. Lover of beautiful things &amp; places.Don't put me on list,</t>
  </si>
  <si>
    <t xml:space="preserve">EY EY EY</t>
  </si>
  <si>
    <t xml:space="preserve">Shinzo Abe gains big victory in Japan election https://t.co/tGjV97NMsR https://t.co/HMu4k1Nyz9</t>
  </si>
  <si>
    <t xml:space="preserve">guacamole</t>
  </si>
  <si>
    <t xml:space="preserve">RT @bpolitics: Shinzo Abe isn't as popular as you might think https://t.co/3k7d58MzUk https://t.co/BGI10Dn5tu</t>
  </si>
  <si>
    <t xml:space="preserve">Tokio, Japón</t>
  </si>
  <si>
    <r>
      <rPr>
        <sz val="8"/>
        <rFont val="Droid Sans"/>
        <family val="0"/>
        <charset val="1"/>
      </rPr>
      <t xml:space="preserve">2017</t>
    </r>
    <r>
      <rPr>
        <sz val="8"/>
        <rFont val="Noto Sans CJK SC Regular"/>
        <family val="2"/>
      </rPr>
      <t xml:space="preserve">年</t>
    </r>
    <r>
      <rPr>
        <sz val="8"/>
        <rFont val="Droid Sans"/>
        <family val="0"/>
        <charset val="1"/>
      </rPr>
      <t xml:space="preserve">1</t>
    </r>
    <r>
      <rPr>
        <sz val="8"/>
        <rFont val="Noto Sans CJK SC Regular"/>
        <family val="2"/>
      </rPr>
      <t xml:space="preserve">月まで</t>
    </r>
    <r>
      <rPr>
        <sz val="8"/>
        <rFont val="Droid Sans"/>
        <family val="0"/>
        <charset val="1"/>
      </rPr>
      <t xml:space="preserve">2</t>
    </r>
    <r>
      <rPr>
        <sz val="8"/>
        <rFont val="Noto Sans CJK SC Regular"/>
        <family val="2"/>
      </rPr>
      <t xml:space="preserve">年間エクアドル暮らし。好</t>
    </r>
    <r>
      <rPr>
        <sz val="8"/>
        <rFont val="Droid Sans"/>
        <family val="0"/>
        <charset val="1"/>
      </rPr>
      <t xml:space="preserve">:FineArt/</t>
    </r>
    <r>
      <rPr>
        <sz val="8"/>
        <rFont val="Noto Sans CJK SC Regular"/>
        <family val="2"/>
      </rPr>
      <t xml:space="preserve">着物</t>
    </r>
    <r>
      <rPr>
        <sz val="8"/>
        <rFont val="Droid Sans"/>
        <family val="0"/>
        <charset val="1"/>
      </rPr>
      <t xml:space="preserve">/</t>
    </r>
    <r>
      <rPr>
        <sz val="8"/>
        <rFont val="Noto Sans CJK SC Regular"/>
        <family val="2"/>
      </rPr>
      <t xml:space="preserve">西語。嫌</t>
    </r>
    <r>
      <rPr>
        <sz val="8"/>
        <rFont val="Droid Sans"/>
        <family val="0"/>
        <charset val="1"/>
      </rPr>
      <t xml:space="preserve">:</t>
    </r>
    <r>
      <rPr>
        <sz val="8"/>
        <rFont val="Noto Sans CJK SC Regular"/>
        <family val="2"/>
      </rPr>
      <t xml:space="preserve">マカロン</t>
    </r>
    <r>
      <rPr>
        <sz val="8"/>
        <rFont val="Droid Sans"/>
        <family val="0"/>
        <charset val="1"/>
      </rPr>
      <t xml:space="preserve">/</t>
    </r>
    <r>
      <rPr>
        <sz val="8"/>
        <rFont val="Noto Sans CJK SC Regular"/>
        <family val="2"/>
      </rPr>
      <t xml:space="preserve">ビール</t>
    </r>
    <r>
      <rPr>
        <sz val="8"/>
        <rFont val="Droid Sans"/>
        <family val="0"/>
        <charset val="1"/>
      </rPr>
      <t xml:space="preserve">/</t>
    </r>
    <r>
      <rPr>
        <sz val="8"/>
        <rFont val="Noto Sans CJK SC Regular"/>
        <family val="2"/>
      </rPr>
      <t xml:space="preserve">タバコ。文章とイラストの依頼は</t>
    </r>
    <r>
      <rPr>
        <sz val="8"/>
        <rFont val="Droid Sans"/>
        <family val="0"/>
        <charset val="1"/>
      </rPr>
      <t xml:space="preserve">DM</t>
    </r>
    <r>
      <rPr>
        <sz val="8"/>
        <rFont val="Noto Sans CJK SC Regular"/>
        <family val="2"/>
      </rPr>
      <t xml:space="preserve">へお願いします。</t>
    </r>
    <r>
      <rPr>
        <sz val="8"/>
        <rFont val="Droid Sans"/>
        <family val="0"/>
        <charset val="1"/>
      </rPr>
      <t xml:space="preserve">Soy una japonesa, he vivido en Cuenca, Ecuador durante 2 años.</t>
    </r>
  </si>
  <si>
    <t xml:space="preserve">Andrew Zuniga</t>
  </si>
  <si>
    <t xml:space="preserve">Kansas CIty</t>
  </si>
  <si>
    <t xml:space="preserve">SnapChat - Zuniga93 Epic_Gaming Leader GT- XxKCTAKENOTESxX One Team, One Dream</t>
  </si>
  <si>
    <t xml:space="preserve">Maria Rivera</t>
  </si>
  <si>
    <t xml:space="preserve">Born-again, Spirit-filled Christian. People &amp;Animal protection. Humans rights. I stand with Israel. Beautiful things. Funny &amp; interesting things. Conservative.</t>
  </si>
  <si>
    <t xml:space="preserve">SANGAMESH</t>
  </si>
  <si>
    <t xml:space="preserve">BANGALORE</t>
  </si>
  <si>
    <t xml:space="preserve">son, brother , kannadiga, HINDU indian , MODI Putin Benjamin netanyahu and Shinzo Abe follower</t>
  </si>
  <si>
    <t xml:space="preserve">SATYAJIT MAHALIK</t>
  </si>
  <si>
    <t xml:space="preserve">RT @BloombergAsia: Japan's Shinzo Abe won by a landside, but he isn't as popular as you might think https://t.co/81F1PBHgGP https://t.co/UD…</t>
  </si>
  <si>
    <t xml:space="preserve">Central Region, Singapore</t>
  </si>
  <si>
    <t xml:space="preserve">LoiShua Angels</t>
  </si>
  <si>
    <t xml:space="preserve">Sa Puso Ni Loisa At Joshua</t>
  </si>
  <si>
    <t xml:space="preserve">We Are The LoiShua Angels .We Love Loisa And Joshua Forever❤❤❤ #TeamLoiShua ❤❤</t>
  </si>
  <si>
    <t xml:space="preserve">Laura Lee</t>
  </si>
  <si>
    <t xml:space="preserve">Casimira Mace</t>
  </si>
  <si>
    <t xml:space="preserve">USA, Oklahoma</t>
  </si>
  <si>
    <t xml:space="preserve">Tech, strength training, sports, #BlackBerry , iPhone , MBA , Social network , Search engine optimization, link building and internet marketing</t>
  </si>
  <si>
    <t xml:space="preserve">"Take a look at the numbers behind Shinzo Abe's landslide victory https://t.co/FSGKoGDhyM https://t.co/f6x3WG9Uob"https://t.co/X2gJSwOzcZ</t>
  </si>
  <si>
    <t xml:space="preserve">Mr Rafiq Islam Rocky</t>
  </si>
  <si>
    <t xml:space="preserve">Japan election: Shinzo Abe's-- Excellences victoriously. Election Win --Shinzo Abe's Political forethoughts's Refl… https://t.co/wefInIHMp4</t>
  </si>
  <si>
    <t xml:space="preserve">Gonzalo Barría Pérez</t>
  </si>
  <si>
    <t xml:space="preserve">Puerto Montt - Santiago, Chile</t>
  </si>
  <si>
    <t xml:space="preserve">Data Science nerd. Political Science @ucatolica Trabajo en @El_Puclitico, @brkeconomy y @CecipUC. Por siempre de @involucrate_uc</t>
  </si>
  <si>
    <t xml:space="preserve">kaorumikeko</t>
  </si>
  <si>
    <t xml:space="preserve">フォローするも外すもブロックするもご自由にどうぞ。</t>
  </si>
  <si>
    <t xml:space="preserve">Japan's Abe may have won election, but many don't want him as PM https://t.co/xEtPgjSFc3 TOKYO (Reuters) - Japan's Prime Minister Shinzo A…</t>
  </si>
  <si>
    <t xml:space="preserve">Taro</t>
  </si>
  <si>
    <r>
      <rPr>
        <sz val="8"/>
        <rFont val="Noto Sans CJK SC Regular"/>
        <family val="2"/>
      </rPr>
      <t xml:space="preserve">ついにツイッター童貞卒業🤗先ずは友達</t>
    </r>
    <r>
      <rPr>
        <sz val="8"/>
        <rFont val="Droid Sans"/>
        <family val="0"/>
        <charset val="1"/>
      </rPr>
      <t xml:space="preserve">100</t>
    </r>
    <r>
      <rPr>
        <sz val="8"/>
        <rFont val="Noto Sans CJK SC Regular"/>
        <family val="2"/>
      </rPr>
      <t xml:space="preserve">人目指して頑張るー</t>
    </r>
  </si>
  <si>
    <t xml:space="preserve">Japan's Abe may have won election, but many don't want him as PM TOKYO (Reuters) - Japan's Prime Minister Shinzo A… https://t.co/BuaMnspiYK</t>
  </si>
  <si>
    <t xml:space="preserve">TOKYO (Reuters) - Japan's Prime Minister Shinzo Abe may have won a major election victory on Sunday, but half the... https://t.co/VIMTny2n79</t>
  </si>
  <si>
    <t xml:space="preserve">tara oke</t>
  </si>
  <si>
    <t xml:space="preserve">#ShinzoAbe may have won election, but many in #Japan don't want him as PM: Poll https://t.co/bq9XAHhqm0 https://t.co/hvOHovssN8</t>
  </si>
  <si>
    <t xml:space="preserve">TOKYO (Reuters) - Japan's Prime Minister Shinzo Abe may have won a major election victory on Sunday, but half the … https://t.co/joPhekDYF7</t>
  </si>
  <si>
    <t xml:space="preserve">#ShinzoAbe may have won election, but many in #Japan don't want him as PM: Poll https://t.co/Hd7ZokhZ8n https://t.co/dzAkTH2Ds8</t>
  </si>
  <si>
    <t xml:space="preserve">Henri-Jean BARDON</t>
  </si>
  <si>
    <t xml:space="preserve">RT @STcom: #ShinzoAbe may have won election, but many in #Japan don't want him as PM: Poll https://t.co/bq9XAHhqm0 https://t.co/hvOHovssN8</t>
  </si>
  <si>
    <t xml:space="preserve">Memphis, TN</t>
  </si>
  <si>
    <t xml:space="preserve">Commodity trader with 25+ years experience with a passion for renewables. Recently acquired a 40 Mil Gal biodiesel plant in Helena, AR</t>
  </si>
  <si>
    <r>
      <rPr>
        <sz val="8"/>
        <rFont val="Droid Sans"/>
        <family val="0"/>
        <charset val="1"/>
      </rPr>
      <t xml:space="preserve">Peaceful </t>
    </r>
    <r>
      <rPr>
        <sz val="8"/>
        <rFont val="Noto Sans CJK SC Regular"/>
        <family val="2"/>
      </rPr>
      <t xml:space="preserve">蝦夷</t>
    </r>
  </si>
  <si>
    <t xml:space="preserve">仙台市</t>
  </si>
  <si>
    <r>
      <rPr>
        <sz val="8"/>
        <rFont val="Noto Sans CJK SC Regular"/>
        <family val="2"/>
      </rPr>
      <t xml:space="preserve">ロック好きサラリーマン時々農家。ポンコツ。地震予知に興味。反グローバル、反全体主義。自分の為、未来の為にできることをやる。追加被ばくは御免。</t>
    </r>
    <r>
      <rPr>
        <sz val="8"/>
        <rFont val="Droid Sans"/>
        <family val="0"/>
        <charset val="1"/>
      </rPr>
      <t xml:space="preserve">SL</t>
    </r>
    <r>
      <rPr>
        <sz val="8"/>
        <rFont val="Noto Sans CJK SC Regular"/>
        <family val="2"/>
      </rPr>
      <t xml:space="preserve">銀河に触発されカメラを始める。</t>
    </r>
    <r>
      <rPr>
        <sz val="8"/>
        <rFont val="Droid Sans"/>
        <family val="0"/>
        <charset val="1"/>
      </rPr>
      <t xml:space="preserve">OLYMPUS OM-D E-M1</t>
    </r>
    <r>
      <rPr>
        <sz val="8"/>
        <rFont val="Noto Sans CJK SC Regular"/>
        <family val="2"/>
      </rPr>
      <t xml:space="preserve">･</t>
    </r>
    <r>
      <rPr>
        <sz val="8"/>
        <rFont val="Droid Sans"/>
        <family val="0"/>
        <charset val="1"/>
      </rPr>
      <t xml:space="preserve">M5MK2</t>
    </r>
    <r>
      <rPr>
        <sz val="8"/>
        <rFont val="Noto Sans CJK SC Regular"/>
        <family val="2"/>
      </rPr>
      <t xml:space="preserve">。 仙台</t>
    </r>
    <r>
      <rPr>
        <sz val="8"/>
        <rFont val="Droid Sans"/>
        <family val="0"/>
        <charset val="1"/>
      </rPr>
      <t xml:space="preserve">.</t>
    </r>
    <r>
      <rPr>
        <sz val="8"/>
        <rFont val="Noto Sans CJK SC Regular"/>
        <family val="2"/>
      </rPr>
      <t xml:space="preserve">東京</t>
    </r>
    <r>
      <rPr>
        <sz val="8"/>
        <rFont val="Droid Sans"/>
        <family val="0"/>
        <charset val="1"/>
      </rPr>
      <t xml:space="preserve">.</t>
    </r>
    <r>
      <rPr>
        <sz val="8"/>
        <rFont val="Noto Sans CJK SC Regular"/>
        <family val="2"/>
      </rPr>
      <t xml:space="preserve">奥州</t>
    </r>
  </si>
  <si>
    <t xml:space="preserve">Shinzo Abe may have won election, but many in Japan don't want him as PM: Poll https://t.co/0aUsdFwJ6x</t>
  </si>
  <si>
    <t xml:space="preserve">TOKYO (Reuters) - Japan's Prime Minister Shinzo Abe may have won a major election victory on Sunday, but half… https://t.co/FZiA91rmlX #FB</t>
  </si>
  <si>
    <t xml:space="preserve">P. M of Japan --Popularly Liberal Democrat leader Shinzo Abe- Election" excellences victoriously." Highest… https://t.co/CQZ70JIf0j</t>
  </si>
  <si>
    <t xml:space="preserve">市民⚪️ケイン⚫️</t>
  </si>
  <si>
    <t xml:space="preserve">Sizuoka Pref., JAPAN</t>
  </si>
  <si>
    <r>
      <rPr>
        <sz val="8"/>
        <rFont val="Noto Sans CJK SC Regular"/>
        <family val="2"/>
      </rPr>
      <t xml:space="preserve">昭和生まれの純日本人のオバハンです。大和民族として日本に生を受け日本人として育った『普通の市民』</t>
    </r>
    <r>
      <rPr>
        <sz val="8"/>
        <rFont val="Droid Sans"/>
        <family val="0"/>
        <charset val="1"/>
      </rPr>
      <t xml:space="preserve">(⬅︎</t>
    </r>
    <r>
      <rPr>
        <sz val="8"/>
        <rFont val="Noto Sans CJK SC Regular"/>
        <family val="2"/>
      </rPr>
      <t xml:space="preserve">ここポイントね😉</t>
    </r>
    <r>
      <rPr>
        <sz val="8"/>
        <rFont val="Droid Sans"/>
        <family val="0"/>
        <charset val="1"/>
      </rPr>
      <t xml:space="preserve">)</t>
    </r>
    <r>
      <rPr>
        <sz val="8"/>
        <rFont val="Noto Sans CJK SC Regular"/>
        <family val="2"/>
      </rPr>
      <t xml:space="preserve">です。右翼、極右とは無縁ですが、ネトウヨ呼ばわり大いに結構。二千六百年以上続く日本の國體を護持したいだけです。あとミネカイズカ著の「雪は湿っていた」「夜の花ざかりまたは小説」が好き。</t>
    </r>
  </si>
  <si>
    <t xml:space="preserve">Ishan Tewari</t>
  </si>
  <si>
    <t xml:space="preserve">Lawyer based in New Delhi. BJP Member. Interested in Global and Strategic Affairs/International Relations. My idols @husainhaqqani and @fispahani</t>
  </si>
  <si>
    <t xml:space="preserve">Nancy</t>
  </si>
  <si>
    <t xml:space="preserve">RT @LSUJEFF: Japan Election Vindicates Shinzo Abe as His Party Wins Big https://t.co/0lHwhWt1lq</t>
  </si>
  <si>
    <t xml:space="preserve">Peoria,illinois</t>
  </si>
  <si>
    <t xml:space="preserve">I belong to The Lord Christ Jesus,bought with Blood. Looking for the Light to overcome the Darkness! #MAGA Find TRUTH &amp; never let it go.</t>
  </si>
  <si>
    <t xml:space="preserve">OneNewsPage UK</t>
  </si>
  <si>
    <t xml:space="preserve">Japan's Abe may have won election, but many don't want him as PM: TOKYO (Reuters) - Japan's Prime Minister Shinzo.. https://t.co/mKmIT5PlEL</t>
  </si>
  <si>
    <t xml:space="preserve">One News Page (United Kingdom)</t>
  </si>
  <si>
    <t xml:space="preserve">Latest news headlines in the UK</t>
  </si>
  <si>
    <t xml:space="preserve">Japan election: Shinzo Abe's-- Excellences victoriously. Election win--Shinzo Abe's political forethoughts,s Refle… https://t.co/ubHShqm8Od</t>
  </si>
  <si>
    <t xml:space="preserve">Dhaka</t>
  </si>
  <si>
    <t xml:space="preserve">President Trump of US.</t>
  </si>
  <si>
    <t xml:space="preserve">Creepy Hachiro</t>
  </si>
  <si>
    <t xml:space="preserve">Kevin851227</t>
  </si>
  <si>
    <t xml:space="preserve">大庙里的小沙尼</t>
  </si>
  <si>
    <t xml:space="preserve">Dakshinamurthy Kommu</t>
  </si>
  <si>
    <t xml:space="preserve">Hyderabad India</t>
  </si>
  <si>
    <t xml:space="preserve">ధర్మో రక్షతి రక్షితః</t>
  </si>
  <si>
    <t xml:space="preserve">P. M of Japan--Popularly Liberal- Democrat leader Shinzo Abe-- Election-" excellences victoriously" Highest… https://t.co/DWS6MpGnms</t>
  </si>
  <si>
    <t xml:space="preserve">GoldenVenture</t>
  </si>
  <si>
    <t xml:space="preserve">USA/SG/HK/DUBAI</t>
  </si>
  <si>
    <t xml:space="preserve">Equity Finance/Investor/Financier/Trader We provide Loan against stock. We buy/sell/trade Block shares, Bond, MTN and TBill. We do Structured finance as well.</t>
  </si>
  <si>
    <t xml:space="preserve">Midas_TOKYO</t>
  </si>
  <si>
    <t xml:space="preserve">Craving for a nuke-, war-, slave-free world/ Eradicate dictatorship/ Stop blindly following authority/ Age, gender,skin color and origins have no meaning.</t>
  </si>
  <si>
    <t xml:space="preserve">Japan's Shinzo Abe Conjures Stunning Election Victory in a Boost for Donald Trump - https://t.co/zjbiFfjxLp by RO…… https://t.co/zH8iTtilAg</t>
  </si>
  <si>
    <t xml:space="preserve">Penis Enlargement Bible (original, PDF download) https://t.co/T9Evy2GlVD</t>
  </si>
  <si>
    <t xml:space="preserve">pangyu55911455</t>
  </si>
  <si>
    <t xml:space="preserve">What Shinzo Abe’s election win will mean for China-Japan relations https://t.co/6a8vxkXlrc</t>
  </si>
  <si>
    <t xml:space="preserve">querong92643614</t>
  </si>
  <si>
    <t xml:space="preserve">What Shinzo Abe’s election win will mean for China-Japan relations https://t.co/SDwJMLuXBc</t>
  </si>
  <si>
    <t xml:space="preserve">yanghao291462</t>
  </si>
  <si>
    <t xml:space="preserve">What Shinzo Abe’s election win will mean for China-Japan relations https://t.co/Gpbe9EAYIt</t>
  </si>
  <si>
    <t xml:space="preserve">bazai82620561</t>
  </si>
  <si>
    <t xml:space="preserve">What Shinzo Abe’s election win will mean for China-Japan relations https://t.co/g3ujKGQ8G7</t>
  </si>
  <si>
    <t xml:space="preserve">muzhu37954</t>
  </si>
  <si>
    <t xml:space="preserve">What Shinzo Abe’s election win will mean for China-Japan relations https://t.co/3c9wlul4LN</t>
  </si>
  <si>
    <t xml:space="preserve">“@bpolitics: Shinzo Abe isn't as popular as you might think https://t.co/7PYAWPM0Ln https://t.co/wzzKyjqwRA”</t>
  </si>
  <si>
    <t xml:space="preserve">sugirtha</t>
  </si>
  <si>
    <t xml:space="preserve">Bold, energetic and curious to learn something new everyday.</t>
  </si>
  <si>
    <t xml:space="preserve">James Tengan</t>
  </si>
  <si>
    <r>
      <rPr>
        <sz val="8"/>
        <rFont val="Droid Sans"/>
        <family val="0"/>
        <charset val="1"/>
      </rPr>
      <t xml:space="preserve">I'm just an earthling living out my karma in Japan. </t>
    </r>
    <r>
      <rPr>
        <sz val="8"/>
        <rFont val="Noto Sans CJK SC Regular"/>
        <family val="2"/>
      </rPr>
      <t xml:space="preserve">東京在住の地球人で日本でのカルマを全う中です。有業故有果報。我是客居東京的一個老外。</t>
    </r>
  </si>
  <si>
    <t xml:space="preserve">さおぽ</t>
  </si>
  <si>
    <t xml:space="preserve">☆リツイート多目・くり返しツイート多目 ☆文字数制限故、上下朝鮮・中国は便宜上、中韓 ☆帰化していても在日は在日。もれなくコリアンジャパニーズと名乗りたまえ</t>
  </si>
  <si>
    <t xml:space="preserve">놀고먹고싶어</t>
  </si>
  <si>
    <t xml:space="preserve">대한민국 강서구</t>
  </si>
  <si>
    <t xml:space="preserve">평생 놀고 먹고 싶다</t>
  </si>
  <si>
    <t xml:space="preserve">Japan's Shinzo Abe Conjures Stunning Election Victory in a Boost for Donald Trump https://t.co/UGQvTkKk4n</t>
  </si>
  <si>
    <t xml:space="preserve">Jose Mora</t>
  </si>
  <si>
    <t xml:space="preserve">Japan Election Vindicates Shinzo Abe as His Party Wins Big https://t.co/bfOWCxiOEj</t>
  </si>
  <si>
    <t xml:space="preserve">Profesor, filatélico, puertorriqueño, seguidor de Cristo. Student of terrorism, int'l security, religion, honor &amp; shame, Latin America, and Southeast Asia.</t>
  </si>
  <si>
    <t xml:space="preserve">Ant Commander 🐜</t>
  </si>
  <si>
    <r>
      <rPr>
        <sz val="8"/>
        <rFont val="Droid Sans"/>
        <family val="0"/>
        <charset val="1"/>
      </rPr>
      <t xml:space="preserve">UNLV - </t>
    </r>
    <r>
      <rPr>
        <sz val="8"/>
        <rFont val="Noto Sans CJK SC Regular"/>
        <family val="2"/>
      </rPr>
      <t xml:space="preserve">大学三年生 </t>
    </r>
    <r>
      <rPr>
        <sz val="8"/>
        <rFont val="Droid Sans"/>
        <family val="0"/>
        <charset val="1"/>
      </rPr>
      <t xml:space="preserve">| History Major | Vegan Ⓥ | Politics | Foreign Affairs | Science | Fine Arts 🇺🇸🌵🦅🌈✌🏽</t>
    </r>
  </si>
  <si>
    <t xml:space="preserve">Japanese PM Shinzo Abe isn't as popular as you might think https://t.co/J2DiqNHVfC https://t.co/y6kSOD7nq1</t>
  </si>
  <si>
    <t xml:space="preserve">Japanese PM Shinzo Abe isn't as popular as you might think https://t.co/QCsf9E4wu3 https://t.co/xqdCoXk3wP</t>
  </si>
  <si>
    <t xml:space="preserve">business: Japanese PM Shinzo Abe isn't as popular as you might think https://t.co/zhUFwvp8cp https://t.co/EFVu3W3RlA</t>
  </si>
  <si>
    <t xml:space="preserve">Alexis SánchezFeijóo</t>
  </si>
  <si>
    <t xml:space="preserve">RT @business: Japanese PM Shinzo Abe isn't as popular as you might think https://t.co/J2DiqNHVfC https://t.co/y6kSOD7nq1</t>
  </si>
  <si>
    <t xml:space="preserve">Hamburg, Deutschland.</t>
  </si>
  <si>
    <t xml:space="preserve">#HamburgoenEspañol,#paralelo85,#Descubrehamburgoespañol, #Grasbrook,#Grasbrookterdam.,#Hackathon #BlockchainsNotBorders #Publish_PublicSpaces#Hamdroidfitti,</t>
  </si>
  <si>
    <t xml:space="preserve">business: Japanese PM Shinzo Abe isn't as popular as you might think https://t.co/rsmpqEnx4x … https://t.co/tsqnxZYFUD</t>
  </si>
  <si>
    <t xml:space="preserve">Yuko Takeo</t>
  </si>
  <si>
    <t xml:space="preserve">Reporter for Bloomberg in Tokyo. Views my own, RTs not endorsements, etc</t>
  </si>
  <si>
    <t xml:space="preserve">Tom Looby</t>
  </si>
  <si>
    <t xml:space="preserve">Peabody, MA</t>
  </si>
  <si>
    <t xml:space="preserve">Ogdensburg-Syracuse-Tucson-Bainbridge-Roswell-Canton-Albuquerque-Schenectady/husband,father,grandfather,brother,uncle, Engineer, Runner. RT's not endorsements.</t>
  </si>
  <si>
    <t xml:space="preserve">Mo</t>
  </si>
  <si>
    <t xml:space="preserve">Vegas</t>
  </si>
  <si>
    <t xml:space="preserve">When people are fearful be greedy, when people are greedy be fearful... WB. USAF Veteran 97 - 01✌</t>
  </si>
  <si>
    <t xml:space="preserve">Japanese PM Shinzo Abe isn't as popular as you might think https://t.co/Zjb1MpYxjD https://t.co/y9ytHkC9Mz #BSAFunds #MerchantCashAdvance</t>
  </si>
  <si>
    <t xml:space="preserve">userpko</t>
  </si>
  <si>
    <t xml:space="preserve">Marilyn Akahoshi</t>
  </si>
  <si>
    <t xml:space="preserve">Mother, Grandma/Nana, Sister, Auntie.Cousin, Friend,Niners, Ducks &amp; Bruins fan &amp; support Firefighters &amp; LEO'S</t>
  </si>
  <si>
    <t xml:space="preserve">Dr. Anabella Jimenez</t>
  </si>
  <si>
    <t xml:space="preserve">ÜT: 33.893384,-118.038617</t>
  </si>
  <si>
    <t xml:space="preserve">El Salvador native. Family, Internal Medicine, patients, equality=❤️Comments R purely mine &amp; not from any institution that I'm assoc with RTs R not endorsements</t>
  </si>
  <si>
    <t xml:space="preserve">Japanese PM Shinzo Abe isn't as popular as you might think https://t.co/KmgtvfgMNn https://t.co/scZS3PG1Yh</t>
  </si>
  <si>
    <t xml:space="preserve">Japanese PM Shinzo Abe isn't as popular as you might think https://t.co/aKe6AmF4Xy https://t.co/xsdmhlcGy6</t>
  </si>
  <si>
    <t xml:space="preserve">Japanese PM Shinzo Abe isn't as popular as you might think https://t.co/jiXZ2K7uXP https://t.co/7kDErbdD1E</t>
  </si>
  <si>
    <t xml:space="preserve">business: Japanese PM Shinzo Abe isn't as popular as you might think https://t.co/2zWGCpAMc8 https://t.co/PSzcV6S3In</t>
  </si>
  <si>
    <t xml:space="preserve">business: Japanese PM Shinzo Abe isn't as popular as you might think https://t.co/xqKvPhIWhV https://t.co/DJNZdpuoJ6</t>
  </si>
  <si>
    <t xml:space="preserve">RT business "Japanese PM Shinzo Abe isn't as popular as you might think https://t.co/rIZwosbI7i https://t.co/fJ7OmIxphe"</t>
  </si>
  <si>
    <t xml:space="preserve">jaimeotero_: Japanese PM Shinzo Abe isn't as popular as you might think https://t.co/pFbu4Nubkf https://t.co/UA4EYrDAuU RT</t>
  </si>
  <si>
    <t xml:space="preserve">❤️Texas Blood Money❤</t>
  </si>
  <si>
    <t xml:space="preserve">RT @DavidPapp: Japan's Shinzo Abe Conjures Stunning Election Victory in a Boost for Donald Trump https://t.co/UGQvTkKk4n</t>
  </si>
  <si>
    <t xml:space="preserve">City Of Evil </t>
  </si>
  <si>
    <t xml:space="preserve">Rageaholic | Deathbat | Star Wars | Music and Food are my life |❤Matt tuck is my future exhusband❤</t>
  </si>
  <si>
    <t xml:space="preserve">GT Lang</t>
  </si>
  <si>
    <t xml:space="preserve">a farm kid, served in the USN with the USMC as a 8404 corpsman. Recently semiretired. Still hope to change the face of the planet by growing more grasslands</t>
  </si>
  <si>
    <t xml:space="preserve">goodboy</t>
  </si>
  <si>
    <t xml:space="preserve">Japanese PM Shinzo Abe isn't as popular as you might think https://t.co/V1J9ag2l1G https://t.co/0xaziGTrZa</t>
  </si>
  <si>
    <t xml:space="preserve">Japanese PM Shinzo Abe isn't as popular as you might think https://t.co/xWBxvvKkFM https://t.co/Io3r3AIced #fb #sitifatimah #malaysia</t>
  </si>
  <si>
    <t xml:space="preserve">Bitcoin News</t>
  </si>
  <si>
    <t xml:space="preserve">[PRIORITY / HOLD JES] Why Japan's Shinzo Abe coasted to an election victory despite being far from popular https://t.co/QwbVnMaWke #bitco…</t>
  </si>
  <si>
    <t xml:space="preserve">We Tweet About #Bitcoin News, Information and #Price and many more #FollowBack</t>
  </si>
  <si>
    <t xml:space="preserve">Ali Naseri Cánovas</t>
  </si>
  <si>
    <t xml:space="preserve">Barcelona, Spain</t>
  </si>
  <si>
    <t xml:space="preserve">Half Iranian🇮🇷 Half Spanish🇪🇸 focused in Iranian and Middle Eastern Affairs.</t>
  </si>
  <si>
    <t xml:space="preserve">Why Japan's Shinzo Abe coasted to an election victory despite being far from popular https://t.co/QwbVnMaWke #bitcoin #news</t>
  </si>
  <si>
    <t xml:space="preserve">"Japanese PM Shinzo Abe isn't as popular as you might think https://t.co/ZGJIWPf6xM https://t.co/kekyhPRdRM"https://t.co/sJvnqV9vpm</t>
  </si>
  <si>
    <t xml:space="preserve">#Europe: Japan: exit polls suggest a landslide general election victory for Shinzo Abe’s coalition https://t.co/y2v2UDDrdG</t>
  </si>
  <si>
    <t xml:space="preserve">NDI Parties Team</t>
  </si>
  <si>
    <t xml:space="preserve">#Japan PM Shinzo Abe’s #LiberalDemocraticParty secures a strong mandate after Sunday’s #SnapElection. Read more here https://t.co/6HYrme6lOr</t>
  </si>
  <si>
    <t xml:space="preserve">@NDI's Political Parties Team seeks to foster vibrant, competitive and sustainable multiparty systems around the world. RTs &amp; shares ≠ endorsement.</t>
  </si>
  <si>
    <t xml:space="preserve">Sora Morita</t>
  </si>
  <si>
    <t xml:space="preserve">I saw this on the BBC and thought you should see it: Japan election: Shinzo Abe set for record tenure - https://t.co/BqN8S5KdM1</t>
  </si>
  <si>
    <t xml:space="preserve">Saibi HS 103HR English Communication Club MYJ Aircraft ,Train , Bus , political</t>
  </si>
  <si>
    <t xml:space="preserve">(International Business Times):[#PRIORITY / #HOLD JES] Why Japan's Shinzo Abe coasted to an election victory.. https://t.co/BqkCyfF0uw</t>
  </si>
  <si>
    <t xml:space="preserve">Mauro Milano</t>
  </si>
  <si>
    <t xml:space="preserve">Roma, Italia, Europa</t>
  </si>
  <si>
    <t xml:space="preserve">Cub reporter</t>
  </si>
  <si>
    <t xml:space="preserve">Suman Gupta</t>
  </si>
  <si>
    <t xml:space="preserve">Japan's Shinzo Abe hails landslide victory in snap election https://t.co/Lo6CfKVfJz</t>
  </si>
  <si>
    <t xml:space="preserve">Hi I'm Suman Gupta. It was in my ... I am a fashion designer and have worked at some of the top fashion houses in India.</t>
  </si>
  <si>
    <t xml:space="preserve">Why Japan's Shinzo Abe coasted to an election victory despite being far from popular https://t.co/7O0yMZHk1U</t>
  </si>
  <si>
    <t xml:space="preserve">My latest @IBTimesUK analysis: Why #Japan's @AbeShinzo coasted to an election victory despite being far from popular https://t.co/6GhoV2apha</t>
  </si>
  <si>
    <t xml:space="preserve">RT @The_Oilholic: My latest @IBTimesUK analysis: Why #Japan's @AbeShinzo coasted to an election victory despite being far from popular http…</t>
  </si>
  <si>
    <t xml:space="preserve">Shinzo Abe won by a landside, but he isn't as popular as you might think https://t.co/uWwjVzNPp5 https://t.co/3tqhMeV3vn</t>
  </si>
  <si>
    <t xml:space="preserve">Why #Japan's Shinzo Abe coasted to an election victory despite being far from popular https://t.co/mVOGYFJTGn By @The_Oilholic #economy</t>
  </si>
  <si>
    <t xml:space="preserve">Why Japan's Shinzo Abe coasted to an election victory despite being far from popular https://t.co/OEuDVKlu04</t>
  </si>
  <si>
    <t xml:space="preserve">Jahi Faucette</t>
  </si>
  <si>
    <t xml:space="preserve">RT @bpolitics: Shinzo Abe won by a landside, but he isn't as popular as you might think https://t.co/uWwjVzNPp5 https://t.co/3tqhMeV3vn</t>
  </si>
  <si>
    <r>
      <rPr>
        <sz val="8"/>
        <rFont val="Noto Sans CJK SC Regular"/>
        <family val="2"/>
      </rPr>
      <t xml:space="preserve">和訳中 </t>
    </r>
    <r>
      <rPr>
        <sz val="8"/>
        <rFont val="Droid Sans"/>
        <family val="0"/>
        <charset val="1"/>
      </rPr>
      <t xml:space="preserve">Japan Election Vindicates Shinzo Abe as His Party Wins Big https://t.co/RqDETEy7vb</t>
    </r>
  </si>
  <si>
    <t xml:space="preserve">みき　脱被爆</t>
  </si>
  <si>
    <r>
      <rPr>
        <sz val="8"/>
        <rFont val="Droid Sans"/>
        <family val="0"/>
        <charset val="1"/>
      </rPr>
      <t xml:space="preserve">RT @kanazawakyoko: </t>
    </r>
    <r>
      <rPr>
        <sz val="8"/>
        <rFont val="Noto Sans CJK SC Regular"/>
        <family val="2"/>
      </rPr>
      <t xml:space="preserve">和訳中 </t>
    </r>
    <r>
      <rPr>
        <sz val="8"/>
        <rFont val="Droid Sans"/>
        <family val="0"/>
        <charset val="1"/>
      </rPr>
      <t xml:space="preserve">Japan Election Vindicates Shinzo Abe as His Party Wins Big https://t.co/RqDETEy7vb</t>
    </r>
  </si>
  <si>
    <r>
      <rPr>
        <sz val="8"/>
        <rFont val="Noto Sans CJK SC Regular"/>
        <family val="2"/>
      </rPr>
      <t xml:space="preserve">医食同源 散歩ジョグ </t>
    </r>
    <r>
      <rPr>
        <sz val="8"/>
        <rFont val="Droid Sans"/>
        <family val="0"/>
        <charset val="1"/>
      </rPr>
      <t xml:space="preserve">Nobody is right. Sapporo, Japan.</t>
    </r>
  </si>
  <si>
    <t xml:space="preserve">UK Listings</t>
  </si>
  <si>
    <t xml:space="preserve">Why Japan's Shinzo Abe coasted to an election victory despite being far from pop... https://t.co/bbQmxFT0vx https://t.co/ZqMHLfqHI3</t>
  </si>
  <si>
    <t xml:space="preserve">UKlistings App</t>
  </si>
  <si>
    <t xml:space="preserve">Northampton, England</t>
  </si>
  <si>
    <t xml:space="preserve">Are you a UK business? List your business for FREE in our website directory, https://t.co/VNYF54X3Cd</t>
  </si>
  <si>
    <t xml:space="preserve">Neman Ryassa</t>
  </si>
  <si>
    <t xml:space="preserve">POSITIVELY OBSTINATE,NATURAL REBEL ,AVID CRUSADER FOR JUSTICE..</t>
  </si>
  <si>
    <t xml:space="preserve">Ludovica Iaccino</t>
  </si>
  <si>
    <t xml:space="preserve">@IBTimesUK Senior foreign reporter, with focus on conflicts, migration and human rights. Author of The Silence of Nyamata l.iaccino@ibtimes.co.uk</t>
  </si>
  <si>
    <t xml:space="preserve">Japan's ruling coalition retains a supermajority in snap election - The Economist ☄ #vrai777 ⛱ $v ℅ Economist $ https://t.co/ZLA747uPN4</t>
  </si>
  <si>
    <t xml:space="preserve">drnc</t>
  </si>
  <si>
    <t xml:space="preserve">Life is too Short 2b Little. Nationalist Doc+Activist 4Truth+Justice Re-Awakened Hindu Nose2Ferret Frauds. 498A pkg Survivor. Retweet ≠ Endorsement/Attachments</t>
  </si>
  <si>
    <t xml:space="preserve">arthur vaughn of</t>
  </si>
  <si>
    <t xml:space="preserve">little rock ar.</t>
  </si>
  <si>
    <t xml:space="preserve">Why Japan's Shinzo Abe coasted to an election victory despite being far from popular https://t.co/2e87Nho0Ey</t>
  </si>
  <si>
    <t xml:space="preserve">RT business: Take a look at the numbers behind Shinzo Abe's landslide victory https://t.co/kXHTtNAFSd https://t.co/1cy8jFbAaX</t>
  </si>
  <si>
    <t xml:space="preserve">RT markets "RT business: Take a look at the numbers behind Shinzo Abe's landslide victory https://t.co/60rfziTbeR https://t.co/hthmAWqrPz"</t>
  </si>
  <si>
    <t xml:space="preserve">Alexander Gee</t>
  </si>
  <si>
    <t xml:space="preserve">the burn is beautiful</t>
  </si>
  <si>
    <t xml:space="preserve">猫屋</t>
  </si>
  <si>
    <r>
      <rPr>
        <sz val="8"/>
        <rFont val="Noto Sans CJK SC Regular"/>
        <family val="2"/>
      </rPr>
      <t xml:space="preserve">猫屋寅八（欧州大陸浪人パリ部担当） ね式（世界の読み方）休暇中の中の人 ツイログ：</t>
    </r>
    <r>
      <rPr>
        <sz val="8"/>
        <rFont val="Droid Sans"/>
        <family val="0"/>
        <charset val="1"/>
      </rPr>
      <t xml:space="preserve">http://t.co/LrIfpU60KI</t>
    </r>
  </si>
  <si>
    <t xml:space="preserve">RT business: Take a look at the numbers behind Shinzo Abe's landslide victory https://t.co/w3QhB06loG https://t.co/DQd5Nrx6HN</t>
  </si>
  <si>
    <t xml:space="preserve">Chike Chijioke</t>
  </si>
  <si>
    <t xml:space="preserve">Omotola Ariyo</t>
  </si>
  <si>
    <t xml:space="preserve">Secretary (FEED Taskforce) American Bar Association. Director at @PotteryResearch. Previously OTC derivatives legal at @GoldmanSachs. LSE (LLB, LLM).</t>
  </si>
  <si>
    <t xml:space="preserve">風の旅人</t>
  </si>
  <si>
    <r>
      <rPr>
        <sz val="8"/>
        <rFont val="Droid Sans"/>
        <family val="0"/>
        <charset val="1"/>
      </rPr>
      <t xml:space="preserve">from  </t>
    </r>
    <r>
      <rPr>
        <sz val="8"/>
        <rFont val="Noto Sans CJK SC Regular"/>
        <family val="2"/>
      </rPr>
      <t xml:space="preserve">滋賀</t>
    </r>
  </si>
  <si>
    <t xml:space="preserve">私はフォローしたからといってフォロー返ししてもらう事は望みません。ですので貴君も私をフォローしたからといって私がフォローするのを期待しないで下さい。つーかこれ以上フォロワー増えると大事な人の呟きを見逃すのでこっちは大変ざんす。悲惨な現状の中生かされてる事に感謝。ありがとうございました</t>
  </si>
  <si>
    <t xml:space="preserve">Npnha Koponpka</t>
  </si>
  <si>
    <t xml:space="preserve">Omar Tion Hernandez</t>
  </si>
  <si>
    <t xml:space="preserve">Maragondon, Calabarzon</t>
  </si>
  <si>
    <t xml:space="preserve">live life to the fullest....</t>
  </si>
  <si>
    <r>
      <rPr>
        <sz val="8"/>
        <rFont val="Noto Sans CJK SC Regular"/>
        <family val="2"/>
      </rPr>
      <t xml:space="preserve">坪野和子 </t>
    </r>
    <r>
      <rPr>
        <sz val="8"/>
        <rFont val="Droid Sans"/>
        <family val="0"/>
        <charset val="1"/>
      </rPr>
      <t xml:space="preserve">Kazuko.Tsubono</t>
    </r>
  </si>
  <si>
    <t xml:space="preserve">RT @STForeignDesk: #ShinzoAbe may have won election, but many in #Japan don't want him as PM: Poll https://t.co/Hd7ZokhZ8n https://t.co/dz…</t>
  </si>
  <si>
    <r>
      <rPr>
        <sz val="8"/>
        <rFont val="Noto Sans CJK SC Regular"/>
        <family val="2"/>
      </rPr>
      <t xml:space="preserve">松戸市　</t>
    </r>
    <r>
      <rPr>
        <sz val="8"/>
        <rFont val="Droid Sans"/>
        <family val="0"/>
        <charset val="1"/>
      </rPr>
      <t xml:space="preserve">Japan,Chiba(Near Tokyo)</t>
    </r>
  </si>
  <si>
    <r>
      <rPr>
        <sz val="8"/>
        <rFont val="Droid Sans"/>
        <family val="0"/>
        <charset val="1"/>
      </rPr>
      <t xml:space="preserve">Himalayan region studies /Cross-cultural misunderstandings studies/Educational issue/</t>
    </r>
    <r>
      <rPr>
        <sz val="8"/>
        <rFont val="Noto Sans CJK SC Regular"/>
        <family val="2"/>
      </rPr>
      <t xml:space="preserve">喜馬拉雅地區研究</t>
    </r>
    <r>
      <rPr>
        <sz val="8"/>
        <rFont val="Droid Sans"/>
        <family val="0"/>
        <charset val="1"/>
      </rPr>
      <t xml:space="preserve">/</t>
    </r>
    <r>
      <rPr>
        <sz val="8"/>
        <rFont val="Noto Sans CJK SC Regular"/>
        <family val="2"/>
      </rPr>
      <t xml:space="preserve">跨文化的誤解學</t>
    </r>
    <r>
      <rPr>
        <sz val="8"/>
        <rFont val="Droid Sans"/>
        <family val="0"/>
        <charset val="1"/>
      </rPr>
      <t xml:space="preserve">/</t>
    </r>
    <r>
      <rPr>
        <sz val="8"/>
        <rFont val="Noto Sans CJK SC Regular"/>
        <family val="2"/>
      </rPr>
      <t xml:space="preserve">教育問題</t>
    </r>
  </si>
  <si>
    <t xml:space="preserve">Кнут Гамсун</t>
  </si>
  <si>
    <t xml:space="preserve">Sp🎃👻kdoka</t>
  </si>
  <si>
    <t xml:space="preserve">Redpilled anime fan and SJW slayer</t>
  </si>
  <si>
    <t xml:space="preserve">Del!a 💎</t>
  </si>
  <si>
    <t xml:space="preserve">Investment enthusiast, humanitarian &amp; constitutionalist. I post diverse latest events &amp; trends that matter around the world. Follow me now &amp; join us on Twitter.</t>
  </si>
  <si>
    <t xml:space="preserve">Japan#39;s Shinzo Abe may have won election, but many don#39;t want him as PM.. https://t.co/IJv5RLCDGq</t>
  </si>
  <si>
    <t xml:space="preserve">Kwan Jin Yao</t>
  </si>
  <si>
    <t xml:space="preserve">Los Angeles / Singapore</t>
  </si>
  <si>
    <t xml:space="preserve">PhD student, @UCLALuskin | Senior Tutor, MPP alum, @LKYSch | @SGmiddleground | A man of wisdom lives by acting, not by thinking about acting - Carlos Castaneda</t>
  </si>
  <si>
    <t xml:space="preserve">Kingsley Anah</t>
  </si>
  <si>
    <t xml:space="preserve">Jorge Pelayo A</t>
  </si>
  <si>
    <t xml:space="preserve">MEXICO</t>
  </si>
  <si>
    <t xml:space="preserve">Economista con formacion y experiencia en comercio exterior y agronegocios.</t>
  </si>
  <si>
    <t xml:space="preserve">AU SIS</t>
  </si>
  <si>
    <t xml:space="preserve">Shinzo Abe’s victory in Sunday’s snap election means he’s on track to become Japan’s longest-serving prime minister… https://t.co/OobfoBRwYh</t>
  </si>
  <si>
    <t xml:space="preserve">AU's School of International Service prepares students to wage peace and build understanding in our world. Retweets are not necessarily endorsements.</t>
  </si>
  <si>
    <t xml:space="preserve">Comparative News</t>
  </si>
  <si>
    <t xml:space="preserve">Japanese re-elect Shinzo Abe is the first step in making Japan's military capabilities more robust https://t.co/WlXwEXhsRT</t>
  </si>
  <si>
    <t xml:space="preserve">Account for Political Science 120 (Comparative Politics)</t>
  </si>
  <si>
    <r>
      <rPr>
        <sz val="8"/>
        <rFont val="Noto Sans CJK SC Regular"/>
        <family val="2"/>
      </rPr>
      <t xml:space="preserve">知新 温</t>
    </r>
    <r>
      <rPr>
        <sz val="8"/>
        <rFont val="Droid Sans"/>
        <family val="0"/>
        <charset val="1"/>
      </rPr>
      <t xml:space="preserve">(</t>
    </r>
    <r>
      <rPr>
        <sz val="8"/>
        <rFont val="Noto Sans CJK SC Regular"/>
        <family val="2"/>
      </rPr>
      <t xml:space="preserve">あらた おん</t>
    </r>
    <r>
      <rPr>
        <sz val="8"/>
        <rFont val="Droid Sans"/>
        <family val="0"/>
        <charset val="1"/>
      </rPr>
      <t xml:space="preserve">) OnArata</t>
    </r>
  </si>
  <si>
    <r>
      <rPr>
        <sz val="8"/>
        <rFont val="Noto Sans CJK SC Regular"/>
        <family val="2"/>
      </rPr>
      <t xml:space="preserve">東京都 </t>
    </r>
    <r>
      <rPr>
        <sz val="8"/>
        <rFont val="Droid Sans"/>
        <family val="0"/>
        <charset val="1"/>
      </rPr>
      <t xml:space="preserve">/ Tokyo JAPAN</t>
    </r>
  </si>
  <si>
    <r>
      <rPr>
        <sz val="8"/>
        <rFont val="Noto Sans CJK SC Regular"/>
        <family val="2"/>
      </rPr>
      <t xml:space="preserve">食空間カメラマン【</t>
    </r>
    <r>
      <rPr>
        <sz val="8"/>
        <rFont val="Droid Sans"/>
        <family val="0"/>
        <charset val="1"/>
      </rPr>
      <t xml:space="preserve">Professional Photographer</t>
    </r>
    <r>
      <rPr>
        <sz val="8"/>
        <rFont val="Noto Sans CJK SC Regular"/>
        <family val="2"/>
      </rPr>
      <t xml:space="preserve">】</t>
    </r>
    <r>
      <rPr>
        <sz val="8"/>
        <rFont val="Droid Sans"/>
        <family val="0"/>
        <charset val="1"/>
      </rPr>
      <t xml:space="preserve">Food stylist / Table decorator </t>
    </r>
    <r>
      <rPr>
        <sz val="8"/>
        <rFont val="Noto Sans CJK SC Regular"/>
        <family val="2"/>
      </rPr>
      <t xml:space="preserve">【日本リンホフクラブ指導講師】 大判カメラ</t>
    </r>
    <r>
      <rPr>
        <sz val="8"/>
        <rFont val="Droid Sans"/>
        <family val="0"/>
        <charset val="1"/>
      </rPr>
      <t xml:space="preserve">(4×5)</t>
    </r>
    <r>
      <rPr>
        <sz val="8"/>
        <rFont val="Noto Sans CJK SC Regular"/>
        <family val="2"/>
      </rPr>
      <t xml:space="preserve">をメイン機に </t>
    </r>
    <r>
      <rPr>
        <sz val="8"/>
        <rFont val="Droid Sans"/>
        <family val="0"/>
        <charset val="1"/>
      </rPr>
      <t xml:space="preserve">Styling,</t>
    </r>
    <r>
      <rPr>
        <sz val="8"/>
        <rFont val="Noto Sans CJK SC Regular"/>
        <family val="2"/>
      </rPr>
      <t xml:space="preserve">撮影</t>
    </r>
    <r>
      <rPr>
        <sz val="8"/>
        <rFont val="Droid Sans"/>
        <family val="0"/>
        <charset val="1"/>
      </rPr>
      <t xml:space="preserve">,</t>
    </r>
    <r>
      <rPr>
        <sz val="8"/>
        <rFont val="Noto Sans CJK SC Regular"/>
        <family val="2"/>
      </rPr>
      <t xml:space="preserve">販促</t>
    </r>
    <r>
      <rPr>
        <sz val="8"/>
        <rFont val="Droid Sans"/>
        <family val="0"/>
        <charset val="1"/>
      </rPr>
      <t xml:space="preserve">design</t>
    </r>
    <r>
      <rPr>
        <sz val="8"/>
        <rFont val="Noto Sans CJK SC Regular"/>
        <family val="2"/>
      </rPr>
      <t xml:space="preserve">まで担当。デジタルカメラも縦横無尽 ♪ 「ヲタクの館</t>
    </r>
    <r>
      <rPr>
        <sz val="8"/>
        <rFont val="Droid Sans"/>
        <family val="0"/>
        <charset val="1"/>
      </rPr>
      <t xml:space="preserve">*</t>
    </r>
    <r>
      <rPr>
        <sz val="8"/>
        <rFont val="Noto Sans CJK SC Regular"/>
        <family val="2"/>
      </rPr>
      <t xml:space="preserve">写真講座」只今開講中</t>
    </r>
    <r>
      <rPr>
        <sz val="8"/>
        <rFont val="Droid Sans"/>
        <family val="0"/>
        <charset val="1"/>
      </rPr>
      <t xml:space="preserve">!!</t>
    </r>
  </si>
  <si>
    <t xml:space="preserve">Chatham House Asia</t>
  </si>
  <si>
    <t xml:space="preserve">Chatham House Asia Programme conducts policy relevant research on the key political, economic and security issues affecting Asia.</t>
  </si>
  <si>
    <t xml:space="preserve">Roberto Meza</t>
  </si>
  <si>
    <t xml:space="preserve">Agua Prieta</t>
  </si>
  <si>
    <t xml:space="preserve">Nicø</t>
  </si>
  <si>
    <t xml:space="preserve">Founder - @play12v11 Sales Director - @ItacaFilms De @IBERO_mx 🇲🇽 Siempre aprendiendo</t>
  </si>
  <si>
    <t xml:space="preserve">Uranium Network</t>
  </si>
  <si>
    <t xml:space="preserve">Shinzō Abe retains a 2/3 majority in Mondays snap election as Japan is poised to meet their nuclear energy target https://t.co/I53TsCA164</t>
  </si>
  <si>
    <t xml:space="preserve">Your best news source for uranium investing. We give you the latest from the uranium mining and nuclear energy sector.</t>
  </si>
  <si>
    <t xml:space="preserve">E D Jaworska</t>
  </si>
  <si>
    <t xml:space="preserve">Shinzo Abe may have won election, but many in Japan don't want him as PM: Poll https://t.co/kNY7MlohAS via @STcom</t>
  </si>
  <si>
    <t xml:space="preserve">UK,EU,USA,Japan,Singapore</t>
  </si>
  <si>
    <t xml:space="preserve">EDJ International Group,EDJ Amagic Publishing House #Publisher #StockTrader #Investments #SM #Art #Photography #Travel #Nature Good #Wine &amp; Food lover</t>
  </si>
  <si>
    <t xml:space="preserve">MBC</t>
  </si>
  <si>
    <t xml:space="preserve">GLOBAL | engage critical mass</t>
  </si>
  <si>
    <t xml:space="preserve">Branded Multiculturalism | the business construct of reflecting different cultures + cultural IDs within a unified Nation to increase client engagement + ROI</t>
  </si>
  <si>
    <t xml:space="preserve">Why Japan's Shinzo Abe coasted to an election victory despite being far from popular @TOIIndiaNews A LESSON 4Indians https://t.co/eAHZW1b68H</t>
  </si>
  <si>
    <t xml:space="preserve">Chantico Global, LLC</t>
  </si>
  <si>
    <t xml:space="preserve">West Hollywood, CA</t>
  </si>
  <si>
    <t xml:space="preserve">Chantico Global is an asset allocation consultancy servicing institutional investors.</t>
  </si>
  <si>
    <t xml:space="preserve">Micheal samooguru™☺♥</t>
  </si>
  <si>
    <t xml:space="preserve">laGOs CitY</t>
  </si>
  <si>
    <t xml:space="preserve">Guru™ is my nick,kissing is my hobbie,romancing is my habit,reading is my lifestyle,and Samson is my name. ά ᴸ ε Ե master☺ chief #retweeter ♥</t>
  </si>
  <si>
    <t xml:space="preserve">get up - get on up !</t>
  </si>
  <si>
    <t xml:space="preserve">Why ‘unpopular’ PM Abe is slated to win Japan vote https://t.co/3R1O7dISrp @FRANCE24</t>
  </si>
  <si>
    <t xml:space="preserve">Real Music For Real People</t>
  </si>
  <si>
    <t xml:space="preserve">和田（脱原発に一票）全廃炉</t>
  </si>
  <si>
    <t xml:space="preserve">RT @LikeASexMachine: Why ‘unpopular’ PM Abe is slated to win Japan vote https://t.co/3R1O7dISrp @FRANCE24</t>
  </si>
  <si>
    <t xml:space="preserve">大阪市</t>
  </si>
  <si>
    <r>
      <rPr>
        <sz val="8"/>
        <rFont val="Noto Sans CJK SC Regular"/>
        <family val="2"/>
      </rPr>
      <t xml:space="preserve">核兵器廃絶と原発全廃のリーダシップを取る国になる。核に頼らない経済社会つくることを世界に向けて宣言する。 </t>
    </r>
    <r>
      <rPr>
        <sz val="8"/>
        <rFont val="Droid Sans"/>
        <family val="0"/>
        <charset val="1"/>
      </rPr>
      <t xml:space="preserve">2</t>
    </r>
    <r>
      <rPr>
        <sz val="8"/>
        <rFont val="Noto Sans CJK SC Regular"/>
        <family val="2"/>
      </rPr>
      <t xml:space="preserve">度原爆を落とされ</t>
    </r>
    <r>
      <rPr>
        <sz val="8"/>
        <rFont val="Droid Sans"/>
        <family val="0"/>
        <charset val="1"/>
      </rPr>
      <t xml:space="preserve">1</t>
    </r>
    <r>
      <rPr>
        <sz val="8"/>
        <rFont val="Noto Sans CJK SC Regular"/>
        <family val="2"/>
      </rPr>
      <t xml:space="preserve">度大きな原発事故を起こし続けている放射能汚染国の国民としてやるべきことだ。 福島の子どもたち、いや世界の子どもたちのために。 </t>
    </r>
    <r>
      <rPr>
        <sz val="8"/>
        <rFont val="Droid Sans"/>
        <family val="0"/>
        <charset val="1"/>
      </rPr>
      <t xml:space="preserve">#</t>
    </r>
    <r>
      <rPr>
        <sz val="8"/>
        <rFont val="Noto Sans CJK SC Regular"/>
        <family val="2"/>
      </rPr>
      <t xml:space="preserve">脱原発</t>
    </r>
  </si>
  <si>
    <t xml:space="preserve">zhengjingkanminshi</t>
  </si>
  <si>
    <t xml:space="preserve">Lawrence Turner</t>
  </si>
  <si>
    <t xml:space="preserve">With a landslide win, Shinzo Abe could be ready to rewrite Japan's pacifist constitution - LA Times https://t.co/WEHjyPfyqV</t>
  </si>
  <si>
    <t xml:space="preserve">We need to stay exquisitely attuned to the chasm between our own observations of reality and the lies we are being told.</t>
  </si>
  <si>
    <t xml:space="preserve">Why #Japan's Corruption politics #LDP #ShinzoAbe coasted to an #election victory despite being far from popular https://t.co/p29ZVemepX</t>
  </si>
  <si>
    <t xml:space="preserve">RT @YourAnonRevolt: Why #Japan's Corruption politics #LDP #ShinzoAbe coasted to an #election victory despite being far from popular https:/…</t>
  </si>
  <si>
    <t xml:space="preserve">Election Risk Pays Off for Shinzo Abe of Japan as Party Appears to Win Big https://t.co/GVuMgsPJSc</t>
  </si>
  <si>
    <t xml:space="preserve">Jessyca WPang</t>
  </si>
  <si>
    <t xml:space="preserve">Hyde's side</t>
  </si>
  <si>
    <r>
      <rPr>
        <sz val="8"/>
        <rFont val="Droid Sans"/>
        <family val="0"/>
        <charset val="1"/>
      </rPr>
      <t xml:space="preserve">je LOVEs Hyde, L'Arc~en~Ciel, VAMPS ♪───</t>
    </r>
    <r>
      <rPr>
        <sz val="8"/>
        <rFont val="Noto Sans CJK SC Regular"/>
        <family val="2"/>
      </rPr>
      <t xml:space="preserve">Ｏ（≧∇≦）Ｏ────♪ 『</t>
    </r>
    <r>
      <rPr>
        <sz val="8"/>
        <rFont val="Droid Sans"/>
        <family val="0"/>
        <charset val="1"/>
      </rPr>
      <t xml:space="preserve">tetsuya • hyde • je • ken • yukihiro</t>
    </r>
    <r>
      <rPr>
        <sz val="8"/>
        <rFont val="Noto Sans CJK SC Regular"/>
        <family val="2"/>
      </rPr>
      <t xml:space="preserve">』【 </t>
    </r>
    <r>
      <rPr>
        <sz val="8"/>
        <rFont val="Droid Sans"/>
        <family val="0"/>
        <charset val="1"/>
      </rPr>
      <t xml:space="preserve">HYDE~je~K.A.Z </t>
    </r>
    <r>
      <rPr>
        <sz val="8"/>
        <rFont val="Noto Sans CJK SC Regular"/>
        <family val="2"/>
      </rPr>
      <t xml:space="preserve">】 ○ いつか、Ｈ</t>
    </r>
    <r>
      <rPr>
        <sz val="8"/>
        <rFont val="Droid Sans"/>
        <family val="0"/>
        <charset val="1"/>
      </rPr>
      <t xml:space="preserve">yde</t>
    </r>
    <r>
      <rPr>
        <sz val="8"/>
        <rFont val="Noto Sans CJK SC Regular"/>
        <family val="2"/>
      </rPr>
      <t xml:space="preserve">様と私とはカラオケへ行きたいな〜たくさんな歌が一緒歌いましょうね！♪</t>
    </r>
    <r>
      <rPr>
        <sz val="8"/>
        <rFont val="Droid Sans"/>
        <family val="0"/>
        <charset val="1"/>
      </rPr>
      <t xml:space="preserve">( ´▽</t>
    </r>
    <r>
      <rPr>
        <sz val="8"/>
        <rFont val="Noto Sans CJK SC Regular"/>
        <family val="2"/>
      </rPr>
      <t xml:space="preserve">｀</t>
    </r>
    <r>
      <rPr>
        <sz val="8"/>
        <rFont val="Droid Sans"/>
        <family val="0"/>
        <charset val="1"/>
      </rPr>
      <t xml:space="preserve">)</t>
    </r>
  </si>
  <si>
    <t xml:space="preserve">Linda Norcia</t>
  </si>
  <si>
    <t xml:space="preserve">Comediante</t>
  </si>
  <si>
    <t xml:space="preserve">El comunismo es el hijo del capitalismo</t>
  </si>
  <si>
    <t xml:space="preserve">What Shinzo Abe’s election win will mean for China-Japan relations https://t.co/PZI2Yo7agz</t>
  </si>
  <si>
    <t xml:space="preserve">What Shinzo Abe’s election win will mean for China-Japan relations https://t.co/g5MV2wL7xc</t>
  </si>
  <si>
    <t xml:space="preserve">What Shinzo Abe’s election win will mean for China-Japan relations https://t.co/Mq09esalYL</t>
  </si>
  <si>
    <t xml:space="preserve">What Shinzo Abe’s election win will mean for China-Japan relations https://t.co/fXl5GKo158</t>
  </si>
  <si>
    <t xml:space="preserve">What Shinzo Abe’s election win will mean for China-Japan relations https://t.co/Z4ALy2VhDL</t>
  </si>
  <si>
    <t xml:space="preserve">Patty Rains</t>
  </si>
  <si>
    <t xml:space="preserve">Conservatv Catholic American- ProIsrael-Trump GreatFamily Bless'd by Christ-goodFriend-TruthOnly-healthyCynic- NO BS-Souls R eternal-Humor a must!-Alleluia!</t>
  </si>
  <si>
    <t xml:space="preserve">Flavia KrauseJackson</t>
  </si>
  <si>
    <t xml:space="preserve">NYC, London and beyond</t>
  </si>
  <si>
    <t xml:space="preserve">I head U.K. political coverage for Bloomberg News @business. Opinions expressed are my own. Love: Britney, Buffy, badgers, dungarees, films with subtitles.</t>
  </si>
  <si>
    <t xml:space="preserve">B2B Listings</t>
  </si>
  <si>
    <t xml:space="preserve">Why Japan's Shinzo Abe coasted to an election victory despite being far from pop... https://t.co/2B1k3gLO0z https://t.co/blNkQvYjDE</t>
  </si>
  <si>
    <t xml:space="preserve">b2blistings2</t>
  </si>
  <si>
    <t xml:space="preserve">Northampton, UK</t>
  </si>
  <si>
    <t xml:space="preserve">List your #B2B service in our established #directory - a great #marketing channel for your #business. https://t.co/kn0v4jaTwI</t>
  </si>
  <si>
    <t xml:space="preserve">Dora</t>
  </si>
  <si>
    <t xml:space="preserve">Goiânia, Brasil</t>
  </si>
  <si>
    <t xml:space="preserve">"Vida é fazer todo sonho brilhar"</t>
  </si>
  <si>
    <t xml:space="preserve">Truthout</t>
  </si>
  <si>
    <t xml:space="preserve">Japanese Prime Minister Shinzo Abe gambled by calling a snap election -- and he has won big https://t.co/HCAx4Qdgtv</t>
  </si>
  <si>
    <t xml:space="preserve">Truthout is dedicated to providing independent news &amp; commentary. We hope to inspire the direct action necessary to save the planet &amp; humanity. Official Tweets.</t>
  </si>
  <si>
    <t xml:space="preserve">Japanese Prime Minister Shinzo Abe gambled by calling a snap election -- and he has won big https://t.co/R02T5jGDLO</t>
  </si>
  <si>
    <t xml:space="preserve">Harshvardhan Singh</t>
  </si>
  <si>
    <t xml:space="preserve">Navi Mumbai</t>
  </si>
  <si>
    <t xml:space="preserve">Hindu Renaissance started on 26 May 2014.Time is ripe for complete demolition of Anti-national/Anti-Hindu Naxalite-Jihadi fraud intellectuals. Vande Mataram 🇮🇳</t>
  </si>
  <si>
    <t xml:space="preserve">Japanese Prime Minister Shinzo Abe gambled by calling a snap election -- and he has won big https://t.co/S8TfauT1PW</t>
  </si>
  <si>
    <t xml:space="preserve">Luperez</t>
  </si>
  <si>
    <t xml:space="preserve">RT @bidaia: Winning big : Japan’s ruling coalition retains a supermajority in snap election https://t.co/hzKlWVXjjq vía @TheEconomist</t>
  </si>
  <si>
    <t xml:space="preserve">Vitoria-Gasteiz, España</t>
  </si>
  <si>
    <t xml:space="preserve">Letrada del Servicio Jurídico Central del Gobierno Vasco.</t>
  </si>
  <si>
    <t xml:space="preserve">JudeDaShiell</t>
  </si>
  <si>
    <t xml:space="preserve">RT @truthout: Japanese Prime Minister Shinzo Abe gambled by calling a snap election -- and he has won big https://t.co/HCAx4Qdgtv</t>
  </si>
  <si>
    <t xml:space="preserve">oysttyer</t>
  </si>
  <si>
    <t xml:space="preserve">united states 18950</t>
  </si>
  <si>
    <t xml:space="preserve">retired male totally blind pagan programmer .</t>
  </si>
  <si>
    <t xml:space="preserve">TheDeaconSpeakin</t>
  </si>
  <si>
    <t xml:space="preserve">Louisiana</t>
  </si>
  <si>
    <t xml:space="preserve">Whit Stevenson</t>
  </si>
  <si>
    <t xml:space="preserve">Progressive and Active – Graphic Design – Artist/Maker + Creativity/Solutions based thinking – Design Science – Soldier of Light</t>
  </si>
  <si>
    <t xml:space="preserve">cecille de laurentis</t>
  </si>
  <si>
    <t xml:space="preserve">intern organizer for food&amp;water watch; masters in public policy student at rutgers bloustein. all opinions are my own</t>
  </si>
  <si>
    <t xml:space="preserve">Ruling bloc won election, but many don't want Abe to stay as PM: survey - https://t.co/dGsRGlLhYu Japanese Prime Minister Shinzo Abe may ...</t>
  </si>
  <si>
    <t xml:space="preserve">Gary D. Burnison</t>
  </si>
  <si>
    <t xml:space="preserve">Shinzo Abe's re-election proves once again that "it's the economy, stupid" still holds up. https://t.co/ptyydyS2mr</t>
  </si>
  <si>
    <t xml:space="preserve">CEO @Korn_Ferry</t>
  </si>
  <si>
    <t xml:space="preserve">Asie Albertson</t>
  </si>
  <si>
    <t xml:space="preserve">Japan's Election: Shinzo Abe is Poised to Create Political Earthquakes https://t.co/HqEYJ41WZb</t>
  </si>
  <si>
    <t xml:space="preserve">Ben Bazinsky</t>
  </si>
  <si>
    <t xml:space="preserve">Japan's Election: Shinzo Abe is Poised to Create Political Earthquakes https://t.co/szqXD3Z8XO</t>
  </si>
  <si>
    <t xml:space="preserve">Japan's Election: Shinzo Abe is Poised to Create Political Earthquakes https://t.co/VmnsqZQoip</t>
  </si>
  <si>
    <t xml:space="preserve">asima</t>
  </si>
  <si>
    <t xml:space="preserve">seeing things as they happen</t>
  </si>
  <si>
    <t xml:space="preserve">रमण मूर्ति</t>
  </si>
  <si>
    <t xml:space="preserve">New York, India</t>
  </si>
  <si>
    <t xml:space="preserve">Thinking great thoughts. Politics. Foreign Affairs, Economics. Science. Technology. Samskritam. Charuvak. RTs are endorsements if they reflect my views. PM NaMo</t>
  </si>
  <si>
    <t xml:space="preserve">Japan's Election: Shinzo Abe is Poised to Create Political Earthquakes https://t.co/aPlGhOeUuy</t>
  </si>
  <si>
    <t xml:space="preserve">NetralEnglish</t>
  </si>
  <si>
    <t xml:space="preserve">Half Japanese People Do Not Wnat Shinzo Abe Stay PM despite Major Election Victory https://t.co/drwQdD1fi6 #ShinzoAbe #Japan</t>
  </si>
  <si>
    <t xml:space="preserve">BJP THONDAN</t>
  </si>
  <si>
    <t xml:space="preserve">Coimbatore  TAMILNADU  Bharat</t>
  </si>
  <si>
    <t xml:space="preserve">bjp cadre// booth level worker //NAMO bakth /hate UPMA CLASS people non sense intellectualism // active member of BJP Coimbatore . Hindutuva atheist</t>
  </si>
  <si>
    <t xml:space="preserve">Ananth Prabhu</t>
  </si>
  <si>
    <t xml:space="preserve">Mahbub Ibrahim</t>
  </si>
  <si>
    <t xml:space="preserve">Shinzo Abe sweeps to resounding victory in Japan snap election https://t.co/xaY4eWzW5B via @StandardKenya</t>
  </si>
  <si>
    <t xml:space="preserve">london &amp; Nairobi</t>
  </si>
  <si>
    <t xml:space="preserve">Economist. strongly opinionated. Views are mine. Retweets doesn't mean endorsement.</t>
  </si>
  <si>
    <t xml:space="preserve">Narantsetseg Purev</t>
  </si>
  <si>
    <t xml:space="preserve">Safety first: Why Japan's Shinzo Abe coasted to a landslide victory https://t.co/2rjczup8iU via @IBTimesUK</t>
  </si>
  <si>
    <t xml:space="preserve">Advisor, DGC and Expert registered in the UNECE Roster of PPP Experts;</t>
  </si>
  <si>
    <t xml:space="preserve">John Robert Finch</t>
  </si>
  <si>
    <t xml:space="preserve">Rye, Colorado</t>
  </si>
  <si>
    <t xml:space="preserve">Retired forensic RN. Married. Like chess, backgammon, cribbage, Japanese Go, pets, weapons.</t>
  </si>
  <si>
    <t xml:space="preserve">PM's Office of Japan</t>
  </si>
  <si>
    <t xml:space="preserve">The official English account of Prime Minister's Office of Japan. Facebook: https://t.co/IZ4XbQmdo6</t>
  </si>
  <si>
    <t xml:space="preserve">Mari 😺 Iwa</t>
  </si>
  <si>
    <t xml:space="preserve">Hong Kong/Tokyo🗼</t>
  </si>
  <si>
    <t xml:space="preserve">Tokyo-bred, proudly Japanese. Living in Hong Kong w/English hubby &amp;🐱. Former resident of London &amp;S'apore. Luv Caf(f)e(in), Music&amp;Paul Auster.</t>
  </si>
  <si>
    <t xml:space="preserve">haru 🐬</t>
  </si>
  <si>
    <r>
      <rPr>
        <sz val="8"/>
        <rFont val="Droid Sans"/>
        <family val="0"/>
        <charset val="1"/>
      </rPr>
      <t xml:space="preserve">🇯🇵JAPAN / </t>
    </r>
    <r>
      <rPr>
        <sz val="8"/>
        <rFont val="Noto Sans CJK SC Regular"/>
        <family val="2"/>
      </rPr>
      <t xml:space="preserve">日本</t>
    </r>
  </si>
  <si>
    <t xml:space="preserve">Azrael Bexter</t>
  </si>
  <si>
    <t xml:space="preserve">Election Risk Pays Off for Shinzo Abe of Japan as Party Appears to Win Big https://t.co/3VrkzfdPmS</t>
  </si>
  <si>
    <t xml:space="preserve">Prescieŋt Info</t>
  </si>
  <si>
    <t xml:space="preserve">Comedian. You think that's funny, buddy? #TeamFollowBack #TFBJP #MGWV #RT #RETWEET #FOLLOW #followback #followme</t>
  </si>
  <si>
    <t xml:space="preserve">Japan Studies</t>
  </si>
  <si>
    <t xml:space="preserve">Post-election analysis by Leiden University Japan Studies Lecturer Bryce Wakefield. https://t.co/x0TzfBqXFT</t>
  </si>
  <si>
    <t xml:space="preserve">Leiden</t>
  </si>
  <si>
    <t xml:space="preserve">Heb je interesse in Japan? Wil je meer weten? Dan ben je bij ons op het juiste adres!</t>
  </si>
  <si>
    <t xml:space="preserve">Mahesh Dangle</t>
  </si>
  <si>
    <t xml:space="preserve">Japan Election : Abe Shinzo wins polls with thumping 2/3 majority. North Korea menace reason cited for midterm poll… https://t.co/zYUUjaSEyL</t>
  </si>
  <si>
    <t xml:space="preserve">Proud Indian /AniruddhasMahesh /believe in yourself</t>
  </si>
  <si>
    <t xml:space="preserve">Central Mirror</t>
  </si>
  <si>
    <t xml:space="preserve">Japan’s Election: Shinzo Abe is Poised to Create Political Earthquakes https://t.co/A4dkpdvW1u https://t.co/LHUWiySa5K</t>
  </si>
  <si>
    <t xml:space="preserve">Susan💕AmericaFirst</t>
  </si>
  <si>
    <t xml:space="preserve">Wife|Mom|Daughter of a great Military Family We are here 🇺🇸Because they were there🇺🇸 And YES I voted for our #POTUS #MAGA #Trump2020 @StJude #tcot</t>
  </si>
  <si>
    <t xml:space="preserve">Election Risk Pays Off for Shinzo Abe of Japan as Party Appears to Win Big https://t.co/srkshPkq2S</t>
  </si>
  <si>
    <t xml:space="preserve">Social media marketing at its very best. #TeamFollowBack #TFBJP #MGWV #RT #RETWEET #FOLLOW #followback #followme</t>
  </si>
  <si>
    <t xml:space="preserve">pogba</t>
  </si>
  <si>
    <t xml:space="preserve">Shinzo Abe’s Big Win in Japan Gives Him Time to Make History https://t.co/q3zsJyKsPM</t>
  </si>
  <si>
    <t xml:space="preserve">Economy &amp; Business</t>
  </si>
  <si>
    <t xml:space="preserve">What Shinzo Abe’s win will mean for China-Japan relations https://t.co/BNQfGSw6wI</t>
  </si>
  <si>
    <t xml:space="preserve">NY, LA, SOHO, AUS, MX, ARG, MI</t>
  </si>
  <si>
    <t xml:space="preserve">Economy Tweets #HighNetWorth #Economy #AAARatedStocks</t>
  </si>
  <si>
    <t xml:space="preserve">Shinzo Abe’s Big Win in Japan Gives Him Time to Make History https://t.co/fnusitiDsq</t>
  </si>
  <si>
    <t xml:space="preserve">Paramita</t>
  </si>
  <si>
    <t xml:space="preserve">Voracious reader, communication is my métier, traveller where the soul endeavors, treasure &amp; trust books, nature, history &amp; heritage and revere tranquility</t>
  </si>
  <si>
    <t xml:space="preserve">Shinzo Abe’s Big Win in Japan Gives Him Time to Make History https://t.co/OgahyKK8Lq https://t.co/LexvIZKoXY</t>
  </si>
  <si>
    <t xml:space="preserve">ルウ</t>
  </si>
  <si>
    <r>
      <rPr>
        <sz val="8"/>
        <rFont val="Noto Sans CJK SC Regular"/>
        <family val="2"/>
      </rPr>
      <t xml:space="preserve">無言フォローと勝手に</t>
    </r>
    <r>
      <rPr>
        <sz val="8"/>
        <rFont val="Droid Sans"/>
        <family val="0"/>
        <charset val="1"/>
      </rPr>
      <t xml:space="preserve">RT</t>
    </r>
    <r>
      <rPr>
        <sz val="8"/>
        <rFont val="Noto Sans CJK SC Regular"/>
        <family val="2"/>
      </rPr>
      <t xml:space="preserve">、すみません。 </t>
    </r>
    <r>
      <rPr>
        <sz val="8"/>
        <rFont val="Droid Sans"/>
        <family val="0"/>
        <charset val="1"/>
      </rPr>
      <t xml:space="preserve">FF</t>
    </r>
    <r>
      <rPr>
        <sz val="8"/>
        <rFont val="Noto Sans CJK SC Regular"/>
        <family val="2"/>
      </rPr>
      <t xml:space="preserve">とか無許可</t>
    </r>
    <r>
      <rPr>
        <sz val="8"/>
        <rFont val="Droid Sans"/>
        <family val="0"/>
        <charset val="1"/>
      </rPr>
      <t xml:space="preserve">RT</t>
    </r>
    <r>
      <rPr>
        <sz val="8"/>
        <rFont val="Noto Sans CJK SC Regular"/>
        <family val="2"/>
      </rPr>
      <t xml:space="preserve">とか無言フォローとかリムバとか、されても気なりません。 日常で気になることを呟き、気になるものを</t>
    </r>
    <r>
      <rPr>
        <sz val="8"/>
        <rFont val="Droid Sans"/>
        <family val="0"/>
        <charset val="1"/>
      </rPr>
      <t xml:space="preserve">RT</t>
    </r>
    <r>
      <rPr>
        <sz val="8"/>
        <rFont val="Noto Sans CJK SC Regular"/>
        <family val="2"/>
      </rPr>
      <t xml:space="preserve">しています。 物事は賛否両論知りたいと思ってます。 討論は苦手なので、しません。</t>
    </r>
  </si>
  <si>
    <t xml:space="preserve">Market Briefings</t>
  </si>
  <si>
    <t xml:space="preserve">Analysis &amp; opinions from leading industry experts to help UK based investors keep informed, including regular briefings on Global, European &amp; UK markets.</t>
  </si>
  <si>
    <t xml:space="preserve">Shinzo Abe’s Big Win in Japan Gives Him Time to Make History https://t.co/20jICXLWYt #sgbreakingnews #time https://t.co/06JuJLZUAA</t>
  </si>
  <si>
    <t xml:space="preserve">Net chief</t>
  </si>
  <si>
    <t xml:space="preserve">Japan Election Vindicates Shinzo Abe as His Party Wins Big | The New York Times https://t.co/yjrC1BS42O https://t.co/a7ACxGYhpZ</t>
  </si>
  <si>
    <t xml:space="preserve">Knowledge is power.</t>
  </si>
  <si>
    <t xml:space="preserve">からころ</t>
  </si>
  <si>
    <t xml:space="preserve">Japan's Shinzo Abe Is Poised to Become Its Strongest Leader https://t.co/NkpraARiJF</t>
  </si>
  <si>
    <r>
      <rPr>
        <sz val="8"/>
        <rFont val="Noto Sans CJK SC Regular"/>
        <family val="2"/>
      </rPr>
      <t xml:space="preserve">チェス</t>
    </r>
    <r>
      <rPr>
        <sz val="8"/>
        <rFont val="Droid Sans"/>
        <family val="0"/>
        <charset val="1"/>
      </rPr>
      <t xml:space="preserve">/</t>
    </r>
    <r>
      <rPr>
        <sz val="8"/>
        <rFont val="Noto Sans CJK SC Regular"/>
        <family val="2"/>
      </rPr>
      <t xml:space="preserve">英語</t>
    </r>
    <r>
      <rPr>
        <sz val="8"/>
        <rFont val="Droid Sans"/>
        <family val="0"/>
        <charset val="1"/>
      </rPr>
      <t xml:space="preserve">/</t>
    </r>
    <r>
      <rPr>
        <sz val="8"/>
        <rFont val="Noto Sans CJK SC Regular"/>
        <family val="2"/>
      </rPr>
      <t xml:space="preserve">筋トレ</t>
    </r>
    <r>
      <rPr>
        <sz val="8"/>
        <rFont val="Droid Sans"/>
        <family val="0"/>
        <charset val="1"/>
      </rPr>
      <t xml:space="preserve">/RWBY/</t>
    </r>
    <r>
      <rPr>
        <sz val="8"/>
        <rFont val="Noto Sans CJK SC Regular"/>
        <family val="2"/>
      </rPr>
      <t xml:space="preserve">淫ク 全部初心者です。英語上達完全マップと英語学習論を信頼してます。</t>
    </r>
  </si>
  <si>
    <t xml:space="preserve">Nofearnofavors</t>
  </si>
  <si>
    <t xml:space="preserve">Disabled atty, daughter, artist/painter, writer, poet, nature/animal lover. Love everyone except Nazis,White Nat'sts,Trump,Ignorance, &amp; Trolls.</t>
  </si>
  <si>
    <t xml:space="preserve">Edgar</t>
  </si>
  <si>
    <t xml:space="preserve">Shinzo Abe’s winning streakAfter his election success, Japan’s leader takes aim at pacifism https://t.co/5LOKa3ARtR</t>
  </si>
  <si>
    <t xml:space="preserve">Las Hadas no curan heridas pero pueden con sus bálsamos mágicos eliminar el dolor!!! =)</t>
  </si>
  <si>
    <t xml:space="preserve">Shoosh 1🍸🇺🇸🏈🎼✈️</t>
  </si>
  <si>
    <t xml:space="preserve">We Shall Overcome! We Must Overcome!We Are Going To Overcome! Pro 🏳️‍🌈! Pro Humanity! Pro Justice! I'm a Liberal, Opinionated Elitist.No lists</t>
  </si>
  <si>
    <t xml:space="preserve">Gennady Pati</t>
  </si>
  <si>
    <t xml:space="preserve">Shinzo Abe’s winning streak: After his election success, Japan’s leader takes aim at pacifism https://t.co/yx14DiKpnS via @TheEconomist</t>
  </si>
  <si>
    <t xml:space="preserve">indonesia</t>
  </si>
  <si>
    <t xml:space="preserve">WS Atlantic/Pacific</t>
  </si>
  <si>
    <t xml:space="preserve">RT info about #industry/#investment/#trade/#finance/#regions/#tourism &amp; non-econ policy of #NorthAmerica, #Europe &amp; #Oceania. Sometimes tweet. FYI:@WSlightly...</t>
  </si>
  <si>
    <t xml:space="preserve">Kaalkeya</t>
  </si>
  <si>
    <t xml:space="preserve">bla bla bla bla bla bla</t>
  </si>
  <si>
    <t xml:space="preserve">"Japan's Shinzo Abe is poised to become its strongest leader" https://t.co/GOaNItdhx0</t>
  </si>
  <si>
    <t xml:space="preserve">TIME: "Japan's Shinzo Abe is poised to become its strongest leader" https://t.co/gk3mBCwnJe</t>
  </si>
  <si>
    <t xml:space="preserve">Chirat Pumchan</t>
  </si>
  <si>
    <t xml:space="preserve">RT @TIME: "Japan's Shinzo Abe is poised to become its strongest leader" https://t.co/GOaNItdhx0</t>
  </si>
  <si>
    <t xml:space="preserve">ナカノケン</t>
  </si>
  <si>
    <t xml:space="preserve">Japan's Shinzo Abe Is Poised to Become Its Strongest Leader https://t.co/LqGY54H01O via @TIME</t>
  </si>
  <si>
    <t xml:space="preserve">東京都文京区とか江東区とか</t>
  </si>
  <si>
    <r>
      <rPr>
        <sz val="8"/>
        <rFont val="Noto Sans CJK SC Regular"/>
        <family val="2"/>
      </rPr>
      <t xml:space="preserve">デザイナーときどき大学講師ところにより文筆。講談社</t>
    </r>
    <r>
      <rPr>
        <sz val="8"/>
        <rFont val="Droid Sans"/>
        <family val="0"/>
        <charset val="1"/>
      </rPr>
      <t xml:space="preserve">BOOK</t>
    </r>
    <r>
      <rPr>
        <sz val="8"/>
        <rFont val="Noto Sans CJK SC Regular"/>
        <family val="2"/>
      </rPr>
      <t xml:space="preserve">倶楽部＆コミックプラスにて編集者とのユニット筆名「野中幸宏」でブックレビュー連載中。</t>
    </r>
    <r>
      <rPr>
        <sz val="8"/>
        <rFont val="Droid Sans"/>
        <family val="0"/>
        <charset val="1"/>
      </rPr>
      <t xml:space="preserve">https://t.co/cw63V3oWuZ</t>
    </r>
  </si>
  <si>
    <t xml:space="preserve">0DGMETHHAZE666</t>
  </si>
  <si>
    <t xml:space="preserve">Schweiz</t>
  </si>
  <si>
    <t xml:space="preserve">K G B NSDAP</t>
  </si>
  <si>
    <t xml:space="preserve">Octavio Sastre</t>
  </si>
  <si>
    <t xml:space="preserve">TroutPoetHeart</t>
  </si>
  <si>
    <t xml:space="preserve">Silver Land</t>
  </si>
  <si>
    <t xml:space="preserve">Biochemistry, Stock investment, FX, Poem, Fly &amp; Lure fishing, Camping. Motorcycle. Hot spring, Art museum &amp; gallery, Star watching, (C,Perl,Html,Java)@Linux</t>
  </si>
  <si>
    <t xml:space="preserve">Анна Холодова</t>
  </si>
  <si>
    <t xml:space="preserve">RT TIME ""Japan's Shinzo Abe is poised to become its strongest leader" https://t.co/GpldWOpe5I"</t>
  </si>
  <si>
    <t xml:space="preserve">peggyodom</t>
  </si>
  <si>
    <t xml:space="preserve">Librarian, BA Sociology and Environmental science. MS Library and Information Science.</t>
  </si>
  <si>
    <t xml:space="preserve">LAKSHYA</t>
  </si>
  <si>
    <t xml:space="preserve">Associate Producer - #FAMEDUSTPRODUCTIONS. Make yourself a priority. At the end of the day, you're your longest commitment..!! 🙏😊👍</t>
  </si>
  <si>
    <t xml:space="preserve">Patrick</t>
  </si>
  <si>
    <t xml:space="preserve">Clermont, FL</t>
  </si>
  <si>
    <t xml:space="preserve">"Japan's Shinzo Abe is poised to become its strongest leader" https://t.co/Wsr1Q3ytE9</t>
  </si>
  <si>
    <t xml:space="preserve">José Eduardo Romero</t>
  </si>
  <si>
    <t xml:space="preserve">Tlalnepantla, Estado de México</t>
  </si>
  <si>
    <t xml:space="preserve">Politólogo @ITAM_mx | Abogado @UNAM_MX | MAP y DAP @anahuac | #Tlalnepantla #Edomex</t>
  </si>
  <si>
    <t xml:space="preserve">Jennelle Cropsey</t>
  </si>
  <si>
    <t xml:space="preserve">Thanks for all the fish!</t>
  </si>
  <si>
    <t xml:space="preserve">TIME: "Japan's Shinzo Abe is poised to become its strongest leader" https://t.co/kjDtSwtW3m. https://t.co/kCLfzUFxzq</t>
  </si>
  <si>
    <t xml:space="preserve">RT TIME ""Japan's Shinzo Abe is poised to become its strongest leader" https://t.co/DWvv5y6gE8"</t>
  </si>
  <si>
    <t xml:space="preserve">CFTNI</t>
  </si>
  <si>
    <t xml:space="preserve">“Japan’s Election: Shinzo Abe is Poised to Create Earthquakes,” by Anthony Fensom (@a_d_fensom): https://t.co/fY1imTsY9a</t>
  </si>
  <si>
    <t xml:space="preserve">The Center for the National Interest ~ America's realist voice</t>
  </si>
  <si>
    <t xml:space="preserve">Илюза Каримова</t>
  </si>
  <si>
    <t xml:space="preserve">RT TIME ""Japan's Shinzo Abe is poised to become its strongest leader" https://t.co/5ds3w4gRGM"</t>
  </si>
  <si>
    <t xml:space="preserve">Женёк Бобров</t>
  </si>
  <si>
    <t xml:space="preserve">RT TIME ""Japan's Shinzo Abe is poised to become its strongest leader" https://t.co/lwf4Hi3YzP"</t>
  </si>
  <si>
    <t xml:space="preserve">Елена Богданова</t>
  </si>
  <si>
    <t xml:space="preserve">RT TIME ""Japan's Shinzo Abe is poised to become its strongest leader" https://t.co/9VcRyzHxbr"</t>
  </si>
  <si>
    <t xml:space="preserve">shmags zeus</t>
  </si>
  <si>
    <t xml:space="preserve">Lahore, Pakistan</t>
  </si>
  <si>
    <t xml:space="preserve">a story teller jyala the hopelesssly optimystic the dayvalkr hulk</t>
  </si>
  <si>
    <t xml:space="preserve">Артём Тарасов</t>
  </si>
  <si>
    <t xml:space="preserve">RT TIME ""Japan's Shinzo Abe is poised to become its strongest leader" https://t.co/qij00O1kTj"</t>
  </si>
  <si>
    <t xml:space="preserve">Rodrigo C.A</t>
  </si>
  <si>
    <t xml:space="preserve">Saltillo, Coahuila de Zaragoza</t>
  </si>
  <si>
    <t xml:space="preserve">MBA*Politics*Mexican Embassy in Washington*Jazz &amp; Rock Music*New Orleans Saint*Radio*Manager*.</t>
  </si>
  <si>
    <t xml:space="preserve">Japan's ruling coalition secures large majority, exit polls suggest https://t.co/2IaYzNEy8V</t>
  </si>
  <si>
    <t xml:space="preserve">ob</t>
  </si>
  <si>
    <t xml:space="preserve">Living</t>
  </si>
  <si>
    <t xml:space="preserve">Eve</t>
  </si>
  <si>
    <t xml:space="preserve">Enjoying life one experience at a time. #goeslocal https://t.co/x0y66hp7dB FB Eve goeslocal and IG evegoeslocal</t>
  </si>
  <si>
    <t xml:space="preserve">richard dupuy</t>
  </si>
  <si>
    <t xml:space="preserve">前田 康三</t>
  </si>
  <si>
    <t xml:space="preserve">Japan's Shinzo Abe Is Poised to Become Its Strongest Leader https://t.co/Ky4ksd9Stp</t>
  </si>
  <si>
    <t xml:space="preserve">神奈川県 藤沢市</t>
  </si>
  <si>
    <t xml:space="preserve">.@maeda_yasuzo Seikei University. since 2015.</t>
  </si>
  <si>
    <t xml:space="preserve">Osta Segara</t>
  </si>
  <si>
    <t xml:space="preserve">Jakarta Capital Region, Indonesia</t>
  </si>
  <si>
    <t xml:space="preserve">Hamba Allah</t>
  </si>
  <si>
    <t xml:space="preserve">"Japan's Shinzo Abe is poised to become its strongest leader" https://t.co/KtKIwNSS08</t>
  </si>
  <si>
    <t xml:space="preserve">Jochan</t>
  </si>
  <si>
    <t xml:space="preserve">FW9KZ</t>
  </si>
  <si>
    <r>
      <rPr>
        <sz val="8"/>
        <rFont val="Noto Sans CJK SC Regular"/>
        <family val="2"/>
      </rPr>
      <t xml:space="preserve">まぁ、こんな感じで今日も</t>
    </r>
    <r>
      <rPr>
        <sz val="8"/>
        <rFont val="Droid Sans"/>
        <family val="0"/>
        <charset val="1"/>
      </rPr>
      <t xml:space="preserve">nya~ nya~ </t>
    </r>
    <r>
      <rPr>
        <sz val="8"/>
        <rFont val="Noto Sans CJK SC Regular"/>
        <family val="2"/>
      </rPr>
      <t xml:space="preserve">言うとりますけど♪</t>
    </r>
  </si>
  <si>
    <t xml:space="preserve">Osman Özgüven</t>
  </si>
  <si>
    <t xml:space="preserve">The only reason for time is so that everything doesn't happen at once.-Albert Einstein</t>
  </si>
  <si>
    <t xml:space="preserve">Shinzo Abe’s Big Win in Japan Gives Him Time to Make History - https://t.co/pnqTZ19WkM</t>
  </si>
  <si>
    <t xml:space="preserve">肥和野 佳子</t>
  </si>
  <si>
    <r>
      <rPr>
        <sz val="8"/>
        <rFont val="Droid Sans"/>
        <family val="0"/>
        <charset val="1"/>
      </rPr>
      <t xml:space="preserve">1988</t>
    </r>
    <r>
      <rPr>
        <sz val="8"/>
        <rFont val="Noto Sans CJK SC Regular"/>
        <family val="2"/>
      </rPr>
      <t xml:space="preserve">年から米国在住。</t>
    </r>
    <r>
      <rPr>
        <sz val="8"/>
        <rFont val="Droid Sans"/>
        <family val="0"/>
        <charset val="1"/>
      </rPr>
      <t xml:space="preserve">1990</t>
    </r>
    <r>
      <rPr>
        <sz val="8"/>
        <rFont val="Noto Sans CJK SC Regular"/>
        <family val="2"/>
      </rPr>
      <t xml:space="preserve">年からニューヨーク、マンハッタン在住。</t>
    </r>
    <r>
      <rPr>
        <sz val="8"/>
        <rFont val="Droid Sans"/>
        <family val="0"/>
        <charset val="1"/>
      </rPr>
      <t xml:space="preserve">2015</t>
    </r>
    <r>
      <rPr>
        <sz val="8"/>
        <rFont val="Noto Sans CJK SC Regular"/>
        <family val="2"/>
      </rPr>
      <t xml:space="preserve">年７月からフロリダへ転居。 </t>
    </r>
    <r>
      <rPr>
        <sz val="8"/>
        <rFont val="Droid Sans"/>
        <family val="0"/>
        <charset val="1"/>
      </rPr>
      <t xml:space="preserve">1990</t>
    </r>
    <r>
      <rPr>
        <sz val="8"/>
        <rFont val="Noto Sans CJK SC Regular"/>
        <family val="2"/>
      </rPr>
      <t xml:space="preserve">年米国大手監査法人</t>
    </r>
    <r>
      <rPr>
        <sz val="8"/>
        <rFont val="Droid Sans"/>
        <family val="0"/>
        <charset val="1"/>
      </rPr>
      <t xml:space="preserve">KPMG</t>
    </r>
    <r>
      <rPr>
        <sz val="8"/>
        <rFont val="Noto Sans CJK SC Regular"/>
        <family val="2"/>
      </rPr>
      <t xml:space="preserve">入社、</t>
    </r>
    <r>
      <rPr>
        <sz val="8"/>
        <rFont val="Droid Sans"/>
        <family val="0"/>
        <charset val="1"/>
      </rPr>
      <t xml:space="preserve">2000</t>
    </r>
    <r>
      <rPr>
        <sz val="8"/>
        <rFont val="Noto Sans CJK SC Regular"/>
        <family val="2"/>
      </rPr>
      <t xml:space="preserve">年独立。</t>
    </r>
    <r>
      <rPr>
        <sz val="8"/>
        <rFont val="Droid Sans"/>
        <family val="0"/>
        <charset val="1"/>
      </rPr>
      <t xml:space="preserve">EASTON</t>
    </r>
    <r>
      <rPr>
        <sz val="8"/>
        <rFont val="Noto Sans CJK SC Regular"/>
        <family val="2"/>
      </rPr>
      <t xml:space="preserve">経営。国際税務専門職。</t>
    </r>
    <r>
      <rPr>
        <sz val="8"/>
        <rFont val="Droid Sans"/>
        <family val="0"/>
        <charset val="1"/>
      </rPr>
      <t xml:space="preserve">JMM</t>
    </r>
    <r>
      <rPr>
        <sz val="8"/>
        <rFont val="Noto Sans CJK SC Regular"/>
        <family val="2"/>
      </rPr>
      <t xml:space="preserve">で海外レポート書いてた時期も。日本にいた頃は博士課程で社会階層と移動の研究に従事。マナーの悪い人は即ブロック。</t>
    </r>
  </si>
  <si>
    <t xml:space="preserve">Korean Jesus</t>
  </si>
  <si>
    <t xml:space="preserve">Fuckvill,USA</t>
  </si>
  <si>
    <t xml:space="preserve">Carolina Panthers, Chicago Bulls, Carolina Hurricanes, Tampa Bay Rays, Chelsea FC Woke AF</t>
  </si>
  <si>
    <t xml:space="preserve">Primastuti Handayani</t>
  </si>
  <si>
    <t xml:space="preserve">5W 1H, that's what I do. Currently Managing Editor of The Jakarta Post.</t>
  </si>
  <si>
    <t xml:space="preserve">Deborah McCabe</t>
  </si>
  <si>
    <t xml:space="preserve">Steelers fan 45 years.</t>
  </si>
  <si>
    <t xml:space="preserve">Max Stone</t>
  </si>
  <si>
    <t xml:space="preserve">Martha Dillon</t>
  </si>
  <si>
    <t xml:space="preserve">★安倍川もち★</t>
  </si>
  <si>
    <t xml:space="preserve">安倍ちゃん大好き。 安倍ちゃんの ※※ 変態信者 ※※ ♡安倍ちゃんの小さなお口は天使♡</t>
  </si>
  <si>
    <t xml:space="preserve">Russell</t>
  </si>
  <si>
    <t xml:space="preserve">The Bat Cave</t>
  </si>
  <si>
    <t xml:space="preserve">United we stand Divided we fall🇺🇸</t>
  </si>
  <si>
    <t xml:space="preserve">りぷこ</t>
  </si>
  <si>
    <r>
      <rPr>
        <sz val="8"/>
        <rFont val="Noto Sans CJK SC Regular"/>
        <family val="2"/>
      </rPr>
      <t xml:space="preserve">情報弱者を卒業したい普通の主婦です。 息子にネットの情報を教わり、マスコミの悪意を知りました。 マスコミの報道しない真実を知りたくて、</t>
    </r>
    <r>
      <rPr>
        <sz val="8"/>
        <rFont val="Droid Sans"/>
        <family val="0"/>
        <charset val="1"/>
      </rPr>
      <t xml:space="preserve">Twitter</t>
    </r>
    <r>
      <rPr>
        <sz val="8"/>
        <rFont val="Noto Sans CJK SC Regular"/>
        <family val="2"/>
      </rPr>
      <t xml:space="preserve">はじめました。 </t>
    </r>
    <r>
      <rPr>
        <sz val="8"/>
        <rFont val="Droid Sans"/>
        <family val="0"/>
        <charset val="1"/>
      </rPr>
      <t xml:space="preserve">RT</t>
    </r>
    <r>
      <rPr>
        <sz val="8"/>
        <rFont val="Noto Sans CJK SC Regular"/>
        <family val="2"/>
      </rPr>
      <t xml:space="preserve">がメインです。主婦目線で素直に感じたことをつぶやいています。 日本人としての誇りを胸に、安倍首相を心から支持します！ ＊物売りや風俗宣伝お断りします</t>
    </r>
  </si>
  <si>
    <t xml:space="preserve">Up</t>
  </si>
  <si>
    <t xml:space="preserve">東京 品川区</t>
  </si>
  <si>
    <r>
      <rPr>
        <sz val="8"/>
        <rFont val="Droid Sans"/>
        <family val="0"/>
        <charset val="1"/>
      </rPr>
      <t xml:space="preserve">2010</t>
    </r>
    <r>
      <rPr>
        <sz val="8"/>
        <rFont val="Noto Sans CJK SC Regular"/>
        <family val="2"/>
      </rPr>
      <t xml:space="preserve">年頃</t>
    </r>
    <r>
      <rPr>
        <sz val="8"/>
        <rFont val="Droid Sans"/>
        <family val="0"/>
        <charset val="1"/>
      </rPr>
      <t xml:space="preserve">TOEIC850</t>
    </r>
    <r>
      <rPr>
        <sz val="8"/>
        <rFont val="Noto Sans CJK SC Regular"/>
        <family val="2"/>
      </rPr>
      <t xml:space="preserve">か</t>
    </r>
    <r>
      <rPr>
        <sz val="8"/>
        <rFont val="Droid Sans"/>
        <family val="0"/>
        <charset val="1"/>
      </rPr>
      <t xml:space="preserve">830</t>
    </r>
    <r>
      <rPr>
        <sz val="8"/>
        <rFont val="Noto Sans CJK SC Regular"/>
        <family val="2"/>
      </rPr>
      <t xml:space="preserve">、英検準</t>
    </r>
    <r>
      <rPr>
        <sz val="8"/>
        <rFont val="Droid Sans"/>
        <family val="0"/>
        <charset val="1"/>
      </rPr>
      <t xml:space="preserve">1</t>
    </r>
    <r>
      <rPr>
        <sz val="8"/>
        <rFont val="Noto Sans CJK SC Regular"/>
        <family val="2"/>
      </rPr>
      <t xml:space="preserve">級取得するも、ブロークンなまま時が流れてしまいました。</t>
    </r>
    <r>
      <rPr>
        <sz val="8"/>
        <rFont val="Droid Sans"/>
        <family val="0"/>
        <charset val="1"/>
      </rPr>
      <t xml:space="preserve">2017</t>
    </r>
    <r>
      <rPr>
        <sz val="8"/>
        <rFont val="Noto Sans CJK SC Regular"/>
        <family val="2"/>
      </rPr>
      <t xml:space="preserve">年</t>
    </r>
    <r>
      <rPr>
        <sz val="8"/>
        <rFont val="Droid Sans"/>
        <family val="0"/>
        <charset val="1"/>
      </rPr>
      <t xml:space="preserve">4</t>
    </r>
    <r>
      <rPr>
        <sz val="8"/>
        <rFont val="Noto Sans CJK SC Regular"/>
        <family val="2"/>
      </rPr>
      <t xml:space="preserve">月から</t>
    </r>
    <r>
      <rPr>
        <sz val="8"/>
        <rFont val="Droid Sans"/>
        <family val="0"/>
        <charset val="1"/>
      </rPr>
      <t xml:space="preserve">NCC</t>
    </r>
    <r>
      <rPr>
        <sz val="8"/>
        <rFont val="Noto Sans CJK SC Regular"/>
        <family val="2"/>
      </rPr>
      <t xml:space="preserve">綜合英語学院に入学。</t>
    </r>
    <r>
      <rPr>
        <sz val="8"/>
        <rFont val="Droid Sans"/>
        <family val="0"/>
        <charset val="1"/>
      </rPr>
      <t xml:space="preserve">11</t>
    </r>
    <r>
      <rPr>
        <sz val="8"/>
        <rFont val="Noto Sans CJK SC Regular"/>
        <family val="2"/>
      </rPr>
      <t xml:space="preserve">月から休学中。対策はせず、自然体で臨み、</t>
    </r>
    <r>
      <rPr>
        <sz val="8"/>
        <rFont val="Droid Sans"/>
        <family val="0"/>
        <charset val="1"/>
      </rPr>
      <t xml:space="preserve">2018</t>
    </r>
    <r>
      <rPr>
        <sz val="8"/>
        <rFont val="Noto Sans CJK SC Regular"/>
        <family val="2"/>
      </rPr>
      <t xml:space="preserve">年中の</t>
    </r>
    <r>
      <rPr>
        <sz val="8"/>
        <rFont val="Droid Sans"/>
        <family val="0"/>
        <charset val="1"/>
      </rPr>
      <t xml:space="preserve">CPE</t>
    </r>
    <r>
      <rPr>
        <sz val="8"/>
        <rFont val="Noto Sans CJK SC Regular"/>
        <family val="2"/>
      </rPr>
      <t xml:space="preserve">合格を達成！！ </t>
    </r>
    <r>
      <rPr>
        <sz val="8"/>
        <rFont val="Droid Sans"/>
        <family val="0"/>
        <charset val="1"/>
      </rPr>
      <t xml:space="preserve">2017</t>
    </r>
    <r>
      <rPr>
        <sz val="8"/>
        <rFont val="Noto Sans CJK SC Regular"/>
        <family val="2"/>
      </rPr>
      <t xml:space="preserve">年７月</t>
    </r>
    <r>
      <rPr>
        <sz val="8"/>
        <rFont val="Droid Sans"/>
        <family val="0"/>
        <charset val="1"/>
      </rPr>
      <t xml:space="preserve">TOEIC860</t>
    </r>
  </si>
  <si>
    <t xml:space="preserve">ハード推論</t>
  </si>
  <si>
    <t xml:space="preserve">Ici, Maintenant</t>
  </si>
  <si>
    <r>
      <rPr>
        <sz val="8"/>
        <rFont val="Noto Sans CJK SC Regular"/>
        <family val="2"/>
      </rPr>
      <t xml:space="preserve">物の哀れ。</t>
    </r>
    <r>
      <rPr>
        <sz val="8"/>
        <rFont val="Droid Sans"/>
        <family val="0"/>
        <charset val="1"/>
      </rPr>
      <t xml:space="preserve">Dormirse en los laureles es tan peligroso como dormirse manejando.</t>
    </r>
  </si>
  <si>
    <t xml:space="preserve">RT @CFTNI: “Japan’s Election: Shinzo Abe is Poised to Create Earthquakes,” by Anthony Fensom (@a_d_fensom): https://t.co/fY1imTsY9a</t>
  </si>
  <si>
    <t xml:space="preserve">sorekaradoushit</t>
  </si>
  <si>
    <t xml:space="preserve">それからあなたはたわごとですか</t>
  </si>
  <si>
    <t xml:space="preserve">Rodolfo Jardón</t>
  </si>
  <si>
    <t xml:space="preserve">RT @economytweets: What Shinzo Abe’s win will mean for China-Japan relations https://t.co/BNQfGSw6wI</t>
  </si>
  <si>
    <t xml:space="preserve">Periodista, con gusto por las letras y las artes; historia y filosofía. #Editor @philosophytweet @latamhistory @europeanhistory @asianhistory @economytweets</t>
  </si>
  <si>
    <t xml:space="preserve">アルマ</t>
  </si>
  <si>
    <r>
      <rPr>
        <sz val="8"/>
        <rFont val="Noto Sans CJK SC Regular"/>
        <family val="2"/>
      </rPr>
      <t xml:space="preserve">誤字が死ぬほど多い。その度に削除するけど不審者ではなくただの日本語の覚束ない</t>
    </r>
    <r>
      <rPr>
        <sz val="8"/>
        <rFont val="Droid Sans"/>
        <family val="0"/>
        <charset val="1"/>
      </rPr>
      <t xml:space="preserve">Twitter</t>
    </r>
    <r>
      <rPr>
        <sz val="8"/>
        <rFont val="Noto Sans CJK SC Regular"/>
        <family val="2"/>
      </rPr>
      <t xml:space="preserve">初心者🔰</t>
    </r>
  </si>
  <si>
    <t xml:space="preserve">Rip NeoGaf</t>
  </si>
  <si>
    <t xml:space="preserve">Oy Vey! Shut it Down! #Altright #ProWhite #StopWhiteGenocide #WhiteLivesMatter #BlueLivesMatter #WhiteSharia #AnimeRight</t>
  </si>
  <si>
    <t xml:space="preserve">Sandipan Sarangi</t>
  </si>
  <si>
    <t xml:space="preserve">Full time waste manager and part time glutton. Inquisitive. DESI and I know it!!</t>
  </si>
  <si>
    <t xml:space="preserve">はな みず子</t>
  </si>
  <si>
    <t xml:space="preserve">三軒長屋</t>
  </si>
  <si>
    <r>
      <rPr>
        <sz val="8"/>
        <rFont val="Droid Sans"/>
        <family val="0"/>
        <charset val="1"/>
      </rPr>
      <t xml:space="preserve">THE YELLOW MONKEY</t>
    </r>
    <r>
      <rPr>
        <sz val="8"/>
        <rFont val="Noto Sans CJK SC Regular"/>
        <family val="2"/>
      </rPr>
      <t xml:space="preserve">・</t>
    </r>
    <r>
      <rPr>
        <sz val="8"/>
        <rFont val="Droid Sans"/>
        <family val="0"/>
        <charset val="1"/>
      </rPr>
      <t xml:space="preserve">CKB</t>
    </r>
    <r>
      <rPr>
        <sz val="8"/>
        <rFont val="Noto Sans CJK SC Regular"/>
        <family val="2"/>
      </rPr>
      <t xml:space="preserve">・さまぁ〜ず・東野幸治・宮本浩次・立川談春・髙橋大輔・浅田真央・町田樹・山口晃・泉鏡花・椎名林檎・イチロー・御朱印・戦国武将・ハク様・グラムロック・昭和歌謡・シンゴジラ・プレデター・旅猿 ・柴犬 が好き。ダウントニアン。御嶽海、宇良、石浦 頑張れ！</t>
    </r>
  </si>
  <si>
    <t xml:space="preserve">Catcando</t>
  </si>
  <si>
    <t xml:space="preserve">Shinzo Abe's to-do list divides Japan https://t.co/ZgDFww8PNN https://t.co/oI88PzjQSc</t>
  </si>
  <si>
    <t xml:space="preserve">RT @business: Shinzo Abe's to-do list divides Japan https://t.co/ZgDFww8PNN https://t.co/oI88PzjQSc</t>
  </si>
  <si>
    <t xml:space="preserve">business: Shinzo Abe's to-do list divides Japan https://t.co/cfiDSIaUjJ https://t.co/bUXn54i5og</t>
  </si>
  <si>
    <t xml:space="preserve">RT business "Shinzo Abe's to-do list divides Japan https://t.co/b5I7SskzvU https://t.co/cLZsGQDzms"</t>
  </si>
  <si>
    <t xml:space="preserve">business: Shinzo Abe's to-do list divides Japan https://t.co/XVI2D5rIlS https://t.co/O1B385YhxE https://t.co/IJSzv9NzkD</t>
  </si>
  <si>
    <t xml:space="preserve">Shinzo Abe's to-do list divides Japan https://t.co/eziCD6RU8i https://t.co/RnuMDiRlKO #BSAFunds #MerchantCashAdvance</t>
  </si>
  <si>
    <t xml:space="preserve">Shinzo Abe's to-do list divides Japan https://t.co/nTyRSrUxvS https://t.co/jjKiO7AYaG</t>
  </si>
  <si>
    <t xml:space="preserve">business: Shinzo Abe's to-do list divides Japan https://t.co/YkzE7PrnGI https://t.co/LpQNJFQYtr</t>
  </si>
  <si>
    <t xml:space="preserve">Shinzo Abe's to-do list divides Japan https://t.co/a1AQoyfLCe https://t.co/YISkGnurQr</t>
  </si>
  <si>
    <t xml:space="preserve">Daniel Faura</t>
  </si>
  <si>
    <t xml:space="preserve">barcelona</t>
  </si>
  <si>
    <t xml:space="preserve">Vitalitat, Compromís i Consciència</t>
  </si>
  <si>
    <t xml:space="preserve">Shinzo Abe's to-do list divides Japan https://t.co/dXhAYfCGHT https://t.co/QzGWyXoOiV</t>
  </si>
  <si>
    <t xml:space="preserve">日刊法律ニュース</t>
  </si>
  <si>
    <r>
      <rPr>
        <sz val="8"/>
        <rFont val="Noto Sans CJK SC Regular"/>
        <family val="2"/>
      </rPr>
      <t xml:space="preserve">情報学博士・テクニカルライター・</t>
    </r>
    <r>
      <rPr>
        <sz val="8"/>
        <rFont val="Droid Sans"/>
        <family val="0"/>
        <charset val="1"/>
      </rPr>
      <t xml:space="preserve">IT</t>
    </r>
    <r>
      <rPr>
        <sz val="8"/>
        <rFont val="Noto Sans CJK SC Regular"/>
        <family val="2"/>
      </rPr>
      <t xml:space="preserve">コンサルタントの「なかむら」が法律関連のニュースを毎日発信。 著書に『「俺の酒が飲めねーか」は犯罪です』</t>
    </r>
    <r>
      <rPr>
        <sz val="8"/>
        <rFont val="Droid Sans"/>
        <family val="0"/>
        <charset val="1"/>
      </rPr>
      <t xml:space="preserve">(</t>
    </r>
    <r>
      <rPr>
        <sz val="8"/>
        <rFont val="Noto Sans CJK SC Regular"/>
        <family val="2"/>
      </rPr>
      <t xml:space="preserve">講談社</t>
    </r>
    <r>
      <rPr>
        <sz val="8"/>
        <rFont val="Droid Sans"/>
        <family val="0"/>
        <charset val="1"/>
      </rPr>
      <t xml:space="preserve">)</t>
    </r>
    <r>
      <rPr>
        <sz val="8"/>
        <rFont val="Noto Sans CJK SC Regular"/>
        <family val="2"/>
      </rPr>
      <t xml:space="preserve">『あなたの知らない「ヘン」な法律』</t>
    </r>
    <r>
      <rPr>
        <sz val="8"/>
        <rFont val="Droid Sans"/>
        <family val="0"/>
        <charset val="1"/>
      </rPr>
      <t xml:space="preserve">(</t>
    </r>
    <r>
      <rPr>
        <sz val="8"/>
        <rFont val="Noto Sans CJK SC Regular"/>
        <family val="2"/>
      </rPr>
      <t xml:space="preserve">三笠書房</t>
    </r>
    <r>
      <rPr>
        <sz val="8"/>
        <rFont val="Droid Sans"/>
        <family val="0"/>
        <charset val="1"/>
      </rPr>
      <t xml:space="preserve">)</t>
    </r>
    <r>
      <rPr>
        <sz val="8"/>
        <rFont val="Noto Sans CJK SC Regular"/>
        <family val="2"/>
      </rPr>
      <t xml:space="preserve">が、管理しているサイトに「変な法律」がある。</t>
    </r>
  </si>
  <si>
    <t xml:space="preserve">Shinzo Abe's to-do list divides Japan https://t.co/YAgMNnuBcA https://t.co/7SosRyJfTr</t>
  </si>
  <si>
    <t xml:space="preserve">business: Shinzo Abe's to-do list divides Japan https://t.co/ZiyL7dwvti https://t.co/sS1MF4h4qF</t>
  </si>
  <si>
    <t xml:space="preserve">jaimeotero_: Shinzo Abe's to-do list divides Japan https://t.co/6BZkGYIAsY https://t.co/DJV4wVTtly RT</t>
  </si>
  <si>
    <t xml:space="preserve">Grant Clark</t>
  </si>
  <si>
    <t xml:space="preserve">I edit QuickTakes and Q&amp;As for the explanatory journalism team at Bloomberg.</t>
  </si>
  <si>
    <t xml:space="preserve">PAULA SHENE</t>
  </si>
  <si>
    <t xml:space="preserve">Southampton, New York</t>
  </si>
  <si>
    <t xml:space="preserve">Author, children's books, articles, scifi/fan</t>
  </si>
  <si>
    <t xml:space="preserve">Lovetolearn</t>
  </si>
  <si>
    <t xml:space="preserve">"Shinzo Abe's to-do list divides Japan https://t.co/E3vk8JEvSS https://t.co/cXncaud6De"https://t.co/IrFsRP8Hzt</t>
  </si>
  <si>
    <t xml:space="preserve">Pavel Georgiev</t>
  </si>
  <si>
    <r>
      <rPr>
        <sz val="8"/>
        <rFont val="Noto Sans CJK SC Regular"/>
        <family val="2"/>
      </rPr>
      <t xml:space="preserve">たいがあ＠</t>
    </r>
    <r>
      <rPr>
        <sz val="8"/>
        <rFont val="Droid Sans"/>
        <family val="0"/>
        <charset val="1"/>
      </rPr>
      <t xml:space="preserve">ICAN</t>
    </r>
    <r>
      <rPr>
        <sz val="8"/>
        <rFont val="Noto Sans CJK SC Regular"/>
        <family val="2"/>
      </rPr>
      <t xml:space="preserve">非公式応援</t>
    </r>
  </si>
  <si>
    <r>
      <rPr>
        <sz val="8"/>
        <rFont val="Droid Sans"/>
        <family val="0"/>
        <charset val="1"/>
      </rPr>
      <t xml:space="preserve">A new Licenced Tour Guide in Japan. I write http://t.co/Bg7vCkRvR6 reviews and virtualtourist travel tips. </t>
    </r>
    <r>
      <rPr>
        <sz val="8"/>
        <rFont val="Noto Sans CJK SC Regular"/>
        <family val="2"/>
      </rPr>
      <t xml:space="preserve">静岡県登録通訳案内士。富士山世界遺産ガイド、英語で三国志管理人。将棋を世界に広める会会員。富士山検定</t>
    </r>
    <r>
      <rPr>
        <sz val="8"/>
        <rFont val="Droid Sans"/>
        <family val="0"/>
        <charset val="1"/>
      </rPr>
      <t xml:space="preserve">1</t>
    </r>
    <r>
      <rPr>
        <sz val="8"/>
        <rFont val="Noto Sans CJK SC Regular"/>
        <family val="2"/>
      </rPr>
      <t xml:space="preserve">級</t>
    </r>
  </si>
  <si>
    <t xml:space="preserve">His Holiness Congratulates #ShinzoAbe on Re-election as Prime Minister #japan #Tibet https://t.co/8t7U80Cwvt</t>
  </si>
  <si>
    <t xml:space="preserve">theTrumpet.com</t>
  </si>
  <si>
    <t xml:space="preserve">Will Shinzo Abe’s snap election win change Japan’s Constitution? https://t.co/aiywmXqu3I</t>
  </si>
  <si>
    <t xml:space="preserve">Edmond, OK</t>
  </si>
  <si>
    <t xml:space="preserve">The truth behind the headlines—and where it's leading.</t>
  </si>
  <si>
    <t xml:space="preserve">Why Japan's Shinzo Abe coasted to an election victory despite being far from popular https://t.co/MoYQOqT6JS via @IBTimesUK</t>
  </si>
  <si>
    <t xml:space="preserve">RT @asuka_250: Why Japan's Shinzo Abe coasted to an election victory despite being far from popular https://t.co/MoYQOqT6JS via @IBTimesUK</t>
  </si>
  <si>
    <t xml:space="preserve">らっくす</t>
  </si>
  <si>
    <t xml:space="preserve">現行憲法に守られたいまの日本を愛しています。ツイッターとかには興味ない人間でしたが昨今の情勢がさすがに恐ろしく、危機感を共有する人たちと繋がりたいと思ってはじめました。自由，平和，民主主義は空気じゃない。意思を持って守らないとあっという間に喪われてしまう。</t>
  </si>
  <si>
    <t xml:space="preserve">Chopper_Rider</t>
  </si>
  <si>
    <r>
      <rPr>
        <sz val="8"/>
        <rFont val="Noto Sans CJK SC Regular"/>
        <family val="2"/>
      </rPr>
      <t xml:space="preserve">タブレットは無関係／</t>
    </r>
    <r>
      <rPr>
        <sz val="8"/>
        <rFont val="Droid Sans"/>
        <family val="0"/>
        <charset val="1"/>
      </rPr>
      <t xml:space="preserve">Blade Runner nexus6</t>
    </r>
    <r>
      <rPr>
        <sz val="8"/>
        <rFont val="Noto Sans CJK SC Regular"/>
        <family val="2"/>
      </rPr>
      <t xml:space="preserve">とは微妙／</t>
    </r>
    <r>
      <rPr>
        <sz val="8"/>
        <rFont val="Droid Sans"/>
        <family val="0"/>
        <charset val="1"/>
      </rPr>
      <t xml:space="preserve">vehicle</t>
    </r>
    <r>
      <rPr>
        <sz val="8"/>
        <rFont val="Noto Sans CJK SC Regular"/>
        <family val="2"/>
      </rPr>
      <t xml:space="preserve">／</t>
    </r>
    <r>
      <rPr>
        <sz val="8"/>
        <rFont val="Droid Sans"/>
        <family val="0"/>
        <charset val="1"/>
      </rPr>
      <t xml:space="preserve">aircraft</t>
    </r>
    <r>
      <rPr>
        <sz val="8"/>
        <rFont val="Noto Sans CJK SC Regular"/>
        <family val="2"/>
      </rPr>
      <t xml:space="preserve">／浮いてます／イカれてます／精神的に／オッサンです／気まぐれごった煮／</t>
    </r>
    <r>
      <rPr>
        <sz val="8"/>
        <rFont val="Droid Sans"/>
        <family val="0"/>
        <charset val="1"/>
      </rPr>
      <t xml:space="preserve">RT</t>
    </r>
    <r>
      <rPr>
        <sz val="8"/>
        <rFont val="Noto Sans CJK SC Regular"/>
        <family val="2"/>
      </rPr>
      <t xml:space="preserve">多め／無言登録ご容赦下さい／登録解除ご自由に／金儲け・勧誘系拒否／ありがとう</t>
    </r>
  </si>
  <si>
    <r>
      <rPr>
        <sz val="8"/>
        <rFont val="Droid Sans"/>
        <family val="0"/>
        <charset val="1"/>
      </rPr>
      <t xml:space="preserve">M</t>
    </r>
    <r>
      <rPr>
        <sz val="8"/>
        <rFont val="Noto Sans CJK SC Regular"/>
        <family val="2"/>
      </rPr>
      <t xml:space="preserve">シュナ</t>
    </r>
  </si>
  <si>
    <t xml:space="preserve">農村部</t>
  </si>
  <si>
    <t xml:space="preserve">平和で幸せな国を子供たちに引き継ぎましょう。経済大国と言われているのにご飯が食べられない子供たちがたくさんいます。変だと思いませんか？</t>
  </si>
  <si>
    <t xml:space="preserve">RT @clara111: His Holiness Congratulates #ShinzoAbe on Re-election as Prime Minister #japan #Tibet https://t.co/8t7U80Cwvt</t>
  </si>
  <si>
    <t xml:space="preserve">RT @theTrumpet_com: Will Shinzo Abe’s snap election win change Japan’s Constitution? https://t.co/aiywmXqu3I</t>
  </si>
  <si>
    <t xml:space="preserve">💗山岸由花子💗</t>
  </si>
  <si>
    <r>
      <rPr>
        <sz val="8"/>
        <rFont val="Noto Sans CJK SC Regular"/>
        <family val="2"/>
      </rPr>
      <t xml:space="preserve">🇯🇵日本第一党党員です。無言フォロー失礼致します。ジャパンファースト主義の下、正義と平和を願う日本大好きの愛国者です。嫌特亜三国、反移民、反</t>
    </r>
    <r>
      <rPr>
        <sz val="8"/>
        <rFont val="Droid Sans"/>
        <family val="0"/>
        <charset val="1"/>
      </rPr>
      <t xml:space="preserve">TPP</t>
    </r>
    <r>
      <rPr>
        <sz val="8"/>
        <rFont val="Noto Sans CJK SC Regular"/>
        <family val="2"/>
      </rPr>
      <t xml:space="preserve">、外国人参政権断固反対、拉致被害者、竹島、北方四島の奪還。中韓北露を中心とした反日国との国交断絶と国軍創設・核武装実現は必須。日本国中に跋扈する反日勢力を忌み嫌っています🇯🇵</t>
    </r>
  </si>
  <si>
    <t xml:space="preserve">TIME: Japan's Shinzo Abe Is Poised to Become Its Strongest Leader - https://t.co/jUIB5nj5iO</t>
  </si>
  <si>
    <t xml:space="preserve">Edmond de Rothschild</t>
  </si>
  <si>
    <t xml:space="preserve">Election victory for Shinzo Abe: our economists analyse what it means for #Japan moving forward.… https://t.co/uI2ykVe7Cg</t>
  </si>
  <si>
    <t xml:space="preserve">Genève / Paris</t>
  </si>
  <si>
    <t xml:space="preserve">Acteur majeur de la #BanquePrivée et de l'#AssetManagement depuis 1953.</t>
  </si>
  <si>
    <t xml:space="preserve">Last Minutes 🌎</t>
  </si>
  <si>
    <t xml:space="preserve">🌎Tomorrow's News Today ✈🎥</t>
  </si>
  <si>
    <t xml:space="preserve">Katsuko</t>
  </si>
  <si>
    <t xml:space="preserve">Japan's Shinzo Abe Is Poised to Become Its Strongest Leader https://t.co/blH4NJCyC4</t>
  </si>
  <si>
    <r>
      <rPr>
        <sz val="8"/>
        <rFont val="Noto Sans CJK SC Regular"/>
        <family val="2"/>
      </rPr>
      <t xml:space="preserve">千葉県在住でオートバイでする旅と動物と</t>
    </r>
    <r>
      <rPr>
        <sz val="8"/>
        <rFont val="Droid Sans"/>
        <family val="0"/>
        <charset val="1"/>
      </rPr>
      <t xml:space="preserve">Macintosh</t>
    </r>
    <r>
      <rPr>
        <sz val="8"/>
        <rFont val="Noto Sans CJK SC Regular"/>
        <family val="2"/>
      </rPr>
      <t xml:space="preserve">が大好きです♪ </t>
    </r>
    <r>
      <rPr>
        <sz val="8"/>
        <rFont val="Droid Sans"/>
        <family val="0"/>
        <charset val="1"/>
      </rPr>
      <t xml:space="preserve">CB1300SF</t>
    </r>
    <r>
      <rPr>
        <sz val="8"/>
        <rFont val="Noto Sans CJK SC Regular"/>
        <family val="2"/>
      </rPr>
      <t xml:space="preserve">と</t>
    </r>
    <r>
      <rPr>
        <sz val="8"/>
        <rFont val="Droid Sans"/>
        <family val="0"/>
        <charset val="1"/>
      </rPr>
      <t xml:space="preserve">CRM80</t>
    </r>
    <r>
      <rPr>
        <sz val="8"/>
        <rFont val="Noto Sans CJK SC Regular"/>
        <family val="2"/>
      </rPr>
      <t xml:space="preserve">に乗っています♪ 個人で飼育放棄された犬や猫、捨てられた犬や猫、放浪している犬や猫を保護し、里親様を探す活動やボランティア、動物愛護に関する啓蒙・啓発をしています。</t>
    </r>
  </si>
  <si>
    <t xml:space="preserve">Bloomberg Economics</t>
  </si>
  <si>
    <t xml:space="preserve">Shinzo Abe's to-do list divides Japan https://t.co/XKf6I5VFxx https://t.co/Cn04oBxOAS</t>
  </si>
  <si>
    <t xml:space="preserve">Breaking economics news and analysis from @business, the first word in global business and finance.</t>
  </si>
  <si>
    <t xml:space="preserve">Value's Vector</t>
  </si>
  <si>
    <t xml:space="preserve">economics: Shinzo Abe's to-do list divides Japan https://t.co/hV7WRLC869 https://t.co/mE1XBVpAL9</t>
  </si>
  <si>
    <t xml:space="preserve">Value investor. Retweet everything worth sharing</t>
  </si>
  <si>
    <t xml:space="preserve">RT economics "Shinzo Abe's to-do list divides Japan https://t.co/w46VEXYCDO https://t.co/ZYdlODfPT6"</t>
  </si>
  <si>
    <t xml:space="preserve">Eulogio Pariguana</t>
  </si>
  <si>
    <t xml:space="preserve">RT @EdeRothschild: Election victory for Shinzo Abe: our economists analyse what it means for #Japan moving forward. https://t.co/cumFMxJRj…</t>
  </si>
  <si>
    <t xml:space="preserve">Artes Ciencia y Tecnología Noticias Internacionales Noticias Noticias Artes y Cultura</t>
  </si>
  <si>
    <t xml:space="preserve">Shinzo Abe's to-do list divides Japan https://t.co/r0DKyHfcj1 https://t.co/yjlNiLRjbW</t>
  </si>
  <si>
    <t xml:space="preserve">Shinzo Abe's to-do list divides Japan https://t.co/WuGy2SDKpo https://t.co/JdFcNG9sYW #fb #sitifatimah #malaysia</t>
  </si>
  <si>
    <t xml:space="preserve">D.</t>
  </si>
  <si>
    <t xml:space="preserve">Apă   Chioară</t>
  </si>
  <si>
    <t xml:space="preserve">Solomonar. Ma numesc Roman Bizantin. Sunt prezent in conturul Romaniei Vesnice, adica al Noului Bizant.</t>
  </si>
  <si>
    <t xml:space="preserve">Shinzo Abe's to-do list divides Japan https://t.co/4mvWuiBmlj https://t.co/EwYxJa8wgv</t>
  </si>
  <si>
    <t xml:space="preserve">Shinzo Abe's to-do list divides Japan https://t.co/qqntatEWix https://t.co/ujlAhNIRpY</t>
  </si>
  <si>
    <t xml:space="preserve">business: Shinzo Abe's to-do list divides Japan https://t.co/P1pWD6Hzar https://t.co/tTjDVDZ2T2</t>
  </si>
  <si>
    <t xml:space="preserve">Shinzo Abe's to-do list divides Japan https://t.co/Z8pNsbeZtp https://t.co/2ZTC42sJCd</t>
  </si>
  <si>
    <t xml:space="preserve">business: Shinzo Abe's to-do list divides Japan https://t.co/6kaZheVTnD https://t.co/9Avm3O7JYk</t>
  </si>
  <si>
    <t xml:space="preserve">Master Guchi</t>
  </si>
  <si>
    <t xml:space="preserve">RT @business: Shinzo Abe's to-do list divides Japan https://t.co/4mvWuiBmlj https://t.co/EwYxJa8wgv</t>
  </si>
  <si>
    <r>
      <rPr>
        <sz val="8"/>
        <rFont val="Noto Sans CJK SC Regular"/>
        <family val="2"/>
      </rPr>
      <t xml:space="preserve">考えはフラフラと迷走ぎみ。経済に興味。リフレ政策支持。脈絡のない知ったかぶりの適当な独り言が多い。 </t>
    </r>
    <r>
      <rPr>
        <sz val="8"/>
        <rFont val="Droid Sans"/>
        <family val="0"/>
        <charset val="1"/>
      </rPr>
      <t xml:space="preserve">RT</t>
    </r>
    <r>
      <rPr>
        <sz val="8"/>
        <rFont val="Noto Sans CJK SC Regular"/>
        <family val="2"/>
      </rPr>
      <t xml:space="preserve">先やリンク先</t>
    </r>
    <r>
      <rPr>
        <sz val="8"/>
        <rFont val="Droid Sans"/>
        <family val="0"/>
        <charset val="1"/>
      </rPr>
      <t xml:space="preserve">(</t>
    </r>
    <r>
      <rPr>
        <sz val="8"/>
        <rFont val="Noto Sans CJK SC Regular"/>
        <family val="2"/>
      </rPr>
      <t xml:space="preserve">論文含む</t>
    </r>
    <r>
      <rPr>
        <sz val="8"/>
        <rFont val="Droid Sans"/>
        <family val="0"/>
        <charset val="1"/>
      </rPr>
      <t xml:space="preserve">)</t>
    </r>
    <r>
      <rPr>
        <sz val="8"/>
        <rFont val="Noto Sans CJK SC Regular"/>
        <family val="2"/>
      </rPr>
      <t xml:space="preserve">の正確性は保証しかねるので自己責任で</t>
    </r>
    <r>
      <rPr>
        <sz val="8"/>
        <rFont val="Droid Sans"/>
        <family val="0"/>
        <charset val="1"/>
      </rPr>
      <t xml:space="preserve">^ ^ RT</t>
    </r>
    <r>
      <rPr>
        <sz val="8"/>
        <rFont val="Noto Sans CJK SC Regular"/>
        <family val="2"/>
      </rPr>
      <t xml:space="preserve">や♥は賛意とは限りません。</t>
    </r>
    <r>
      <rPr>
        <sz val="8"/>
        <rFont val="Droid Sans"/>
        <family val="0"/>
        <charset val="1"/>
      </rPr>
      <t xml:space="preserve">Tag on the economy: #</t>
    </r>
    <r>
      <rPr>
        <sz val="8"/>
        <rFont val="Noto Sans CJK SC Regular"/>
        <family val="2"/>
      </rPr>
      <t xml:space="preserve">経論</t>
    </r>
  </si>
  <si>
    <t xml:space="preserve">Sebastian Vielma</t>
  </si>
  <si>
    <t xml:space="preserve">a wise man will make more opportunities than he finds- Francis Bacon</t>
  </si>
  <si>
    <t xml:space="preserve">木村充裕</t>
  </si>
  <si>
    <t xml:space="preserve">チェス盤の上</t>
  </si>
  <si>
    <t xml:space="preserve">私の人生ステールメイト</t>
  </si>
  <si>
    <t xml:space="preserve">Shinzo Abe's to-do list divides Japan https://t.co/mVSrcx31pl https://t.co/0wD2pAhZWA</t>
  </si>
  <si>
    <t xml:space="preserve">Siddarth Pai</t>
  </si>
  <si>
    <t xml:space="preserve">New Delhi, Udupi, Bengaluru</t>
  </si>
  <si>
    <t xml:space="preserve">Technologist,Researcher Interested in Startups.</t>
  </si>
  <si>
    <t xml:space="preserve">RT business "Shinzo Abe's to-do list divides Japan https://t.co/rqQKEHMdvZ https://t.co/qtALvCjV1E"</t>
  </si>
  <si>
    <t xml:space="preserve">Vijyant</t>
  </si>
  <si>
    <t xml:space="preserve">Libran, Proud Dad of two kids, Banker, cyclist......still Human. Namami Devi Narmade. Jabalpur - Bpl - Hyd - Blr &amp; Ahmedabad.</t>
  </si>
  <si>
    <t xml:space="preserve">business: Shinzo Abe's to-do list divides Japan https://t.co/6KjHZ31AvR https://t.co/A2jCrWJaHV https://t.co/QOqwg6zXLC</t>
  </si>
  <si>
    <t xml:space="preserve">business: Shinzo Abe's to-do list divides Japan https://t.co/DZ5WKqtfyW https://t.co/tvLpGXkcPc</t>
  </si>
  <si>
    <t xml:space="preserve">Elif Clark</t>
  </si>
  <si>
    <t xml:space="preserve">FRCPsych. Tavistock &amp; Portman Clinic Fellow of British Psychoanalytic Society</t>
  </si>
  <si>
    <t xml:space="preserve">Shinzo Abe's to-do list divides Japan https://t.co/Fuev6fWlC5 https://t.co/aYBHOmdhl1</t>
  </si>
  <si>
    <t xml:space="preserve">jaimeotero_: Shinzo Abe's to-do list divides Japan https://t.co/jnRBGPaPM7 https://t.co/4sYm8MVj1P RT</t>
  </si>
  <si>
    <t xml:space="preserve">"Shinzo Abe's to-do list divides Japan https://t.co/RdgRaHS8hN https://t.co/pFMQNIQrzI"https://t.co/eLQF1XzjnF</t>
  </si>
  <si>
    <t xml:space="preserve">15/8/1947=16/5/2014</t>
  </si>
  <si>
    <t xml:space="preserve">Cultural-Pride, Market-Economy, National-Security, Geo-Politics. Business-Man, BJP-Supporter.</t>
  </si>
  <si>
    <t xml:space="preserve">TIMEPolitics</t>
  </si>
  <si>
    <t xml:space="preserve">Japan's Shinzo Abe is poised to become its strongest leader https://t.co/aqKkepfnvj via @ianbremmer</t>
  </si>
  <si>
    <t xml:space="preserve">Twitter feed for @TIME's politics channel</t>
  </si>
  <si>
    <t xml:space="preserve">JonathonSnyder</t>
  </si>
  <si>
    <t xml:space="preserve">RT @TIMEPolitics: Japan's Shinzo Abe is poised to become its strongest leader https://t.co/aqKkepfnvj via @ianbremmer</t>
  </si>
  <si>
    <t xml:space="preserve">Lots of politics, sports, country music and O-H-I-O. Forging ahead in the private sector after 3 years heading @ohiocrs</t>
  </si>
  <si>
    <t xml:space="preserve">Önder Karaoğlanoğlu</t>
  </si>
  <si>
    <t xml:space="preserve">Denizli, Türkiye</t>
  </si>
  <si>
    <t xml:space="preserve">les objectifs et les idées.... En quête d'idées brillantes. imagination illimitée.</t>
  </si>
  <si>
    <t xml:space="preserve">Event Log</t>
  </si>
  <si>
    <t xml:space="preserve">This sheet will capture the program logs. Please do not edit or rename this sheet.</t>
  </si>
  <si>
    <t xml:space="preserve">Log sheet created for Twitter Archiver</t>
  </si>
  <si>
    <t xml:space="preserve">27-10 09:57:08</t>
  </si>
  <si>
    <t xml:space="preserve">[Delete] Rule ctrlqTwitterRules-fdc8a800cbc7e05096876e2725627447 deleted</t>
  </si>
  <si>
    <t xml:space="preserve">27-10 09:57:42</t>
  </si>
  <si>
    <t xml:space="preserve">[Save] Rule shinzo abe japan election lang:en</t>
  </si>
  <si>
    <t xml:space="preserve">27-10 09:57:43</t>
  </si>
  <si>
    <t xml:space="preserve">Trigger created for saving tweets</t>
  </si>
  <si>
    <t xml:space="preserve">27-10 10:01:30</t>
  </si>
  <si>
    <t xml:space="preserve">[Rule] shinzo abe japan election lang:en 8943 tweets</t>
  </si>
</sst>
</file>

<file path=xl/styles.xml><?xml version="1.0" encoding="utf-8"?>
<styleSheet xmlns="http://schemas.openxmlformats.org/spreadsheetml/2006/main">
  <numFmts count="5">
    <numFmt numFmtId="164" formatCode="General"/>
    <numFmt numFmtId="165" formatCode="M/D/YYYY\ H:MM:SS"/>
    <numFmt numFmtId="166" formatCode="M/D/YYYY"/>
    <numFmt numFmtId="167" formatCode="D\ MMMM"/>
    <numFmt numFmtId="168" formatCode="DD/MM/YYYY\ HH:MM:SS"/>
  </numFmts>
  <fonts count="22">
    <font>
      <sz val="10"/>
      <color rgb="FF000000"/>
      <name val="Arial"/>
      <family val="0"/>
      <charset val="1"/>
    </font>
    <font>
      <sz val="10"/>
      <name val="Arial"/>
      <family val="0"/>
    </font>
    <font>
      <sz val="10"/>
      <name val="Arial"/>
      <family val="0"/>
    </font>
    <font>
      <sz val="10"/>
      <name val="Arial"/>
      <family val="0"/>
    </font>
    <font>
      <b val="true"/>
      <sz val="24"/>
      <color rgb="FF000000"/>
      <name val="Arial"/>
      <family val="0"/>
      <charset val="1"/>
    </font>
    <font>
      <sz val="18"/>
      <color rgb="FF000000"/>
      <name val="Arial"/>
      <family val="0"/>
      <charset val="1"/>
    </font>
    <font>
      <sz val="12"/>
      <color rgb="FF000000"/>
      <name val="Arial"/>
      <family val="0"/>
      <charset val="1"/>
    </font>
    <font>
      <sz val="10"/>
      <color rgb="FF333333"/>
      <name val="Arial"/>
      <family val="0"/>
      <charset val="1"/>
    </font>
    <font>
      <i val="true"/>
      <sz val="10"/>
      <color rgb="FF808080"/>
      <name val="Arial"/>
      <family val="0"/>
      <charset val="1"/>
    </font>
    <font>
      <sz val="10"/>
      <color rgb="FF006600"/>
      <name val="Arial"/>
      <family val="0"/>
      <charset val="1"/>
    </font>
    <font>
      <sz val="10"/>
      <color rgb="FF996600"/>
      <name val="Arial"/>
      <family val="0"/>
      <charset val="1"/>
    </font>
    <font>
      <sz val="10"/>
      <color rgb="FFCC0000"/>
      <name val="Arial"/>
      <family val="0"/>
      <charset val="1"/>
    </font>
    <font>
      <b val="true"/>
      <sz val="10"/>
      <color rgb="FFFFFFFF"/>
      <name val="Arial"/>
      <family val="0"/>
      <charset val="1"/>
    </font>
    <font>
      <b val="true"/>
      <sz val="10"/>
      <color rgb="FF000000"/>
      <name val="Arial"/>
      <family val="0"/>
      <charset val="1"/>
    </font>
    <font>
      <sz val="10"/>
      <color rgb="FFFFFFFF"/>
      <name val="Arial"/>
      <family val="0"/>
      <charset val="1"/>
    </font>
    <font>
      <sz val="9"/>
      <color rgb="FFFFFFFF"/>
      <name val="Droid Sans"/>
      <family val="0"/>
      <charset val="1"/>
    </font>
    <font>
      <sz val="8"/>
      <color rgb="FFFFFFFF"/>
      <name val="Droid Sans"/>
      <family val="0"/>
      <charset val="1"/>
    </font>
    <font>
      <sz val="8"/>
      <name val="Droid Sans"/>
      <family val="0"/>
      <charset val="1"/>
    </font>
    <font>
      <u val="single"/>
      <sz val="8"/>
      <color rgb="FF0000FF"/>
      <name val="Droid Sans"/>
      <family val="0"/>
      <charset val="1"/>
    </font>
    <font>
      <sz val="8"/>
      <name val="Noto Sans CJK SC Regular"/>
      <family val="2"/>
    </font>
    <font>
      <sz val="9"/>
      <color rgb="FFFFFFFF"/>
      <name val="Arial"/>
      <family val="0"/>
      <charset val="1"/>
    </font>
    <font>
      <sz val="8"/>
      <name val="Arial"/>
      <family val="0"/>
      <charset val="1"/>
    </font>
  </fonts>
  <fills count="11">
    <fill>
      <patternFill patternType="none"/>
    </fill>
    <fill>
      <patternFill patternType="gray125"/>
    </fill>
    <fill>
      <patternFill patternType="solid">
        <fgColor rgb="FFFFFFCC"/>
        <bgColor rgb="FFFFFFFF"/>
      </patternFill>
    </fill>
    <fill>
      <patternFill patternType="solid">
        <fgColor rgb="FFCCFFCC"/>
        <bgColor rgb="FFCCFFFF"/>
      </patternFill>
    </fill>
    <fill>
      <patternFill patternType="solid">
        <fgColor rgb="FFFFCCCC"/>
        <bgColor rgb="FFDDDDDD"/>
      </patternFill>
    </fill>
    <fill>
      <patternFill patternType="solid">
        <fgColor rgb="FFCC0000"/>
        <bgColor rgb="FF800000"/>
      </patternFill>
    </fill>
    <fill>
      <patternFill patternType="solid">
        <fgColor rgb="FF000000"/>
        <bgColor rgb="FF003300"/>
      </patternFill>
    </fill>
    <fill>
      <patternFill patternType="solid">
        <fgColor rgb="FF808080"/>
        <bgColor rgb="FF969696"/>
      </patternFill>
    </fill>
    <fill>
      <patternFill patternType="solid">
        <fgColor rgb="FFDDDDDD"/>
        <bgColor rgb="FFFFCCCC"/>
      </patternFill>
    </fill>
    <fill>
      <patternFill patternType="solid">
        <fgColor rgb="FF1155CC"/>
        <bgColor rgb="FF333399"/>
      </patternFill>
    </fill>
    <fill>
      <patternFill patternType="solid">
        <fgColor rgb="FF4A86E8"/>
        <bgColor rgb="FF666699"/>
      </patternFill>
    </fill>
  </fills>
  <borders count="4">
    <border diagonalUp="false" diagonalDown="false">
      <left/>
      <right/>
      <top/>
      <bottom/>
      <diagonal/>
    </border>
    <border diagonalUp="false" diagonalDown="false">
      <left style="thin">
        <color rgb="FF808080"/>
      </left>
      <right style="thin">
        <color rgb="FF808080"/>
      </right>
      <top style="thin">
        <color rgb="FF808080"/>
      </top>
      <bottom style="thin">
        <color rgb="FF808080"/>
      </bottom>
      <diagonal/>
    </border>
    <border diagonalUp="false" diagonalDown="false">
      <left style="thin"/>
      <right style="thin"/>
      <top style="thin"/>
      <bottom style="thin"/>
      <diagonal/>
    </border>
    <border diagonalUp="false" diagonalDown="false">
      <left style="thin">
        <color rgb="FFFFFFFF"/>
      </left>
      <right style="thin">
        <color rgb="FFFFFFFF"/>
      </right>
      <top style="thin">
        <color rgb="FFFFFFFF"/>
      </top>
      <bottom style="thin">
        <color rgb="FFFFFFFF"/>
      </bottom>
      <diagonal/>
    </border>
  </borders>
  <cellStyleXfs count="36">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6"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7" fillId="2" borderId="1" applyFont="true" applyBorder="true" applyAlignment="true" applyProtection="false">
      <alignment horizontal="general" vertical="bottom" textRotation="0" wrapText="false" indent="0" shrinkToFit="false"/>
    </xf>
    <xf numFmtId="164" fontId="8"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9" fillId="3" borderId="0" applyFont="true" applyBorder="false" applyAlignment="true" applyProtection="false">
      <alignment horizontal="general" vertical="bottom" textRotation="0" wrapText="false" indent="0" shrinkToFit="false"/>
    </xf>
    <xf numFmtId="164" fontId="10" fillId="2" borderId="0" applyFont="true" applyBorder="false" applyAlignment="true" applyProtection="false">
      <alignment horizontal="general" vertical="bottom" textRotation="0" wrapText="false" indent="0" shrinkToFit="false"/>
    </xf>
    <xf numFmtId="164" fontId="11" fillId="4" borderId="0" applyFont="true" applyBorder="false" applyAlignment="true" applyProtection="false">
      <alignment horizontal="general" vertical="bottom" textRotation="0" wrapText="false" indent="0" shrinkToFit="false"/>
    </xf>
    <xf numFmtId="164" fontId="11" fillId="0" borderId="0" applyFont="true" applyBorder="false" applyAlignment="true" applyProtection="false">
      <alignment horizontal="general" vertical="bottom" textRotation="0" wrapText="false" indent="0" shrinkToFit="false"/>
    </xf>
    <xf numFmtId="164" fontId="12" fillId="5" borderId="0" applyFont="true" applyBorder="false" applyAlignment="true" applyProtection="false">
      <alignment horizontal="general" vertical="bottom" textRotation="0" wrapText="false" indent="0" shrinkToFit="false"/>
    </xf>
    <xf numFmtId="164" fontId="13" fillId="0" borderId="0" applyFont="true" applyBorder="false" applyAlignment="true" applyProtection="false">
      <alignment horizontal="general" vertical="bottom" textRotation="0" wrapText="false" indent="0" shrinkToFit="false"/>
    </xf>
    <xf numFmtId="164" fontId="14" fillId="6" borderId="0" applyFont="true" applyBorder="false" applyAlignment="true" applyProtection="false">
      <alignment horizontal="general" vertical="bottom" textRotation="0" wrapText="false" indent="0" shrinkToFit="false"/>
    </xf>
    <xf numFmtId="164" fontId="14" fillId="7" borderId="0" applyFont="true" applyBorder="false" applyAlignment="true" applyProtection="false">
      <alignment horizontal="general" vertical="bottom" textRotation="0" wrapText="false" indent="0" shrinkToFit="false"/>
    </xf>
    <xf numFmtId="164" fontId="13" fillId="8" borderId="0" applyFont="true" applyBorder="false" applyAlignment="true" applyProtection="false">
      <alignment horizontal="general" vertical="bottom" textRotation="0" wrapText="false" indent="0" shrinkToFit="false"/>
    </xf>
  </cellStyleXfs>
  <cellXfs count="24">
    <xf numFmtId="164" fontId="0" fillId="0" borderId="0" xfId="0" applyFont="false" applyBorder="false" applyAlignment="false" applyProtection="false">
      <alignment horizontal="general" vertical="bottom" textRotation="0" wrapText="false" indent="0" shrinkToFit="false"/>
      <protection locked="true" hidden="false"/>
    </xf>
    <xf numFmtId="164" fontId="15" fillId="9" borderId="0" xfId="0" applyFont="true" applyBorder="true" applyAlignment="true" applyProtection="false">
      <alignment horizontal="center" vertical="center" textRotation="0" wrapText="false" indent="0" shrinkToFit="false"/>
      <protection locked="true" hidden="false"/>
    </xf>
    <xf numFmtId="164" fontId="16" fillId="9" borderId="0" xfId="0" applyFont="true" applyBorder="true" applyAlignment="true" applyProtection="false">
      <alignment horizontal="center" vertical="center" textRotation="0" wrapText="false" indent="0" shrinkToFit="false"/>
      <protection locked="true" hidden="false"/>
    </xf>
    <xf numFmtId="165" fontId="17" fillId="9" borderId="0" xfId="0" applyFont="true" applyBorder="false" applyAlignment="true" applyProtection="false">
      <alignment horizontal="center" vertical="bottom" textRotation="0" wrapText="false" indent="0" shrinkToFit="false"/>
      <protection locked="true" hidden="false"/>
    </xf>
    <xf numFmtId="165" fontId="16" fillId="10" borderId="2" xfId="0" applyFont="true" applyBorder="true" applyAlignment="true" applyProtection="false">
      <alignment horizontal="center" vertical="center" textRotation="0" wrapText="false" indent="0" shrinkToFit="false"/>
      <protection locked="true" hidden="false"/>
    </xf>
    <xf numFmtId="164" fontId="16" fillId="10" borderId="2" xfId="0" applyFont="true" applyBorder="true" applyAlignment="true" applyProtection="false">
      <alignment horizontal="center" vertical="center" textRotation="0" wrapText="false" indent="0" shrinkToFit="false"/>
      <protection locked="true" hidden="false"/>
    </xf>
    <xf numFmtId="165" fontId="17" fillId="0" borderId="0" xfId="0" applyFont="true" applyBorder="false" applyAlignment="true" applyProtection="false">
      <alignment horizontal="center" vertical="center" textRotation="0" wrapText="false" indent="0" shrinkToFit="false"/>
      <protection locked="true" hidden="false"/>
    </xf>
    <xf numFmtId="164" fontId="18" fillId="0" borderId="0" xfId="0" applyFont="true" applyBorder="false" applyAlignment="true" applyProtection="false">
      <alignment horizontal="general" vertical="center" textRotation="0" wrapText="false" indent="0" shrinkToFit="false"/>
      <protection locked="true" hidden="false"/>
    </xf>
    <xf numFmtId="164" fontId="17" fillId="0" borderId="0" xfId="0" applyFont="true" applyBorder="false" applyAlignment="true" applyProtection="false">
      <alignment horizontal="general" vertical="center" textRotation="0" wrapText="false" indent="0" shrinkToFit="false"/>
      <protection locked="true" hidden="false"/>
    </xf>
    <xf numFmtId="164" fontId="18" fillId="0" borderId="0" xfId="0" applyFont="true" applyBorder="false" applyAlignment="true" applyProtection="false">
      <alignment horizontal="center" vertical="center" textRotation="0" wrapText="false" indent="0" shrinkToFit="false"/>
      <protection locked="true" hidden="false"/>
    </xf>
    <xf numFmtId="164" fontId="17" fillId="0" borderId="0" xfId="0" applyFont="true" applyBorder="false" applyAlignment="true" applyProtection="false">
      <alignment horizontal="center" vertical="center" textRotation="0" wrapText="false" indent="0" shrinkToFit="false"/>
      <protection locked="true" hidden="false"/>
    </xf>
    <xf numFmtId="166" fontId="17" fillId="0" borderId="0" xfId="0" applyFont="true" applyBorder="false" applyAlignment="true" applyProtection="false">
      <alignment horizontal="center" vertical="center" textRotation="0" wrapText="false" indent="0" shrinkToFit="false"/>
      <protection locked="true" hidden="false"/>
    </xf>
    <xf numFmtId="164" fontId="17" fillId="0" borderId="0" xfId="0" applyFont="true" applyBorder="false" applyAlignment="true" applyProtection="false">
      <alignment horizontal="left" vertical="center" textRotation="0" wrapText="false" indent="0" shrinkToFit="false"/>
      <protection locked="true" hidden="false"/>
    </xf>
    <xf numFmtId="164" fontId="19" fillId="0" borderId="0" xfId="0" applyFont="true" applyBorder="false" applyAlignment="true" applyProtection="false">
      <alignment horizontal="left" vertical="center" textRotation="0" wrapText="false" indent="0" shrinkToFit="false"/>
      <protection locked="true" hidden="false"/>
    </xf>
    <xf numFmtId="164" fontId="19" fillId="0" borderId="0" xfId="0" applyFont="true" applyBorder="false" applyAlignment="true" applyProtection="false">
      <alignment horizontal="general" vertical="center" textRotation="0" wrapText="false" indent="0" shrinkToFit="false"/>
      <protection locked="true" hidden="false"/>
    </xf>
    <xf numFmtId="164" fontId="18" fillId="0" borderId="0" xfId="0" applyFont="true" applyBorder="false" applyAlignment="true" applyProtection="false">
      <alignment horizontal="left" vertical="center" textRotation="0" wrapText="false" indent="0" shrinkToFit="false"/>
      <protection locked="true" hidden="false"/>
    </xf>
    <xf numFmtId="164" fontId="19" fillId="0" borderId="0" xfId="0" applyFont="true" applyBorder="false" applyAlignment="true" applyProtection="false">
      <alignment horizontal="center" vertical="center" textRotation="0" wrapText="false" indent="0" shrinkToFit="false"/>
      <protection locked="true" hidden="false"/>
    </xf>
    <xf numFmtId="164" fontId="17" fillId="0" borderId="0" xfId="0" applyFont="true" applyBorder="false" applyAlignment="true" applyProtection="false">
      <alignment horizontal="left" vertical="center" textRotation="0" wrapText="true" indent="0" shrinkToFit="false"/>
      <protection locked="true" hidden="false"/>
    </xf>
    <xf numFmtId="167" fontId="17" fillId="0" borderId="0" xfId="0" applyFont="true" applyBorder="false" applyAlignment="true" applyProtection="false">
      <alignment horizontal="left" vertical="center" textRotation="0" wrapText="false" indent="0" shrinkToFit="false"/>
      <protection locked="true" hidden="false"/>
    </xf>
    <xf numFmtId="164" fontId="20" fillId="9" borderId="3" xfId="0" applyFont="true" applyBorder="true" applyAlignment="true" applyProtection="false">
      <alignment horizontal="center" vertical="center" textRotation="0" wrapText="false" indent="0" shrinkToFit="false"/>
      <protection locked="true" hidden="false"/>
    </xf>
    <xf numFmtId="165" fontId="21" fillId="0" borderId="0" xfId="0" applyFont="true" applyBorder="false" applyAlignment="true" applyProtection="false">
      <alignment horizontal="center" vertical="center" textRotation="0" wrapText="false" indent="0" shrinkToFit="false"/>
      <protection locked="true" hidden="false"/>
    </xf>
    <xf numFmtId="164" fontId="21" fillId="0" borderId="0" xfId="0" applyFont="true" applyBorder="false" applyAlignment="true" applyProtection="false">
      <alignment horizontal="general" vertical="center" textRotation="0" wrapText="false" indent="0" shrinkToFit="false"/>
      <protection locked="true" hidden="false"/>
    </xf>
    <xf numFmtId="168" fontId="21" fillId="0" borderId="0" xfId="0" applyFont="true" applyBorder="false" applyAlignment="true" applyProtection="false">
      <alignment horizontal="general" vertical="center" textRotation="0" wrapText="false" indent="0" shrinkToFit="false"/>
      <protection locked="true" hidden="false"/>
    </xf>
    <xf numFmtId="164" fontId="21" fillId="0" borderId="0" xfId="0" applyFont="true" applyBorder="false" applyAlignment="true" applyProtection="false">
      <alignment horizontal="center" vertical="center" textRotation="0" wrapText="false" indent="0" shrinkToFit="false"/>
      <protection locked="true" hidden="false"/>
    </xf>
  </cellXfs>
  <cellStyles count="22">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Heading" xfId="20" builtinId="53" customBuiltin="true"/>
    <cellStyle name="Heading 1" xfId="21" builtinId="53" customBuiltin="true"/>
    <cellStyle name="Heading 2" xfId="22" builtinId="53" customBuiltin="true"/>
    <cellStyle name="Text" xfId="23" builtinId="53" customBuiltin="true"/>
    <cellStyle name="Note" xfId="24" builtinId="53" customBuiltin="true"/>
    <cellStyle name="Footnote" xfId="25" builtinId="53" customBuiltin="true"/>
    <cellStyle name="Status" xfId="26" builtinId="53" customBuiltin="true"/>
    <cellStyle name="Good" xfId="27" builtinId="53" customBuiltin="true"/>
    <cellStyle name="Neutral" xfId="28" builtinId="53" customBuiltin="true"/>
    <cellStyle name="Bad" xfId="29" builtinId="53" customBuiltin="true"/>
    <cellStyle name="Warning" xfId="30" builtinId="53" customBuiltin="true"/>
    <cellStyle name="Error" xfId="31" builtinId="53" customBuiltin="true"/>
    <cellStyle name="Accent" xfId="32" builtinId="53" customBuiltin="true"/>
    <cellStyle name="Accent 1" xfId="33" builtinId="53" customBuiltin="true"/>
    <cellStyle name="Accent 2" xfId="34" builtinId="53" customBuiltin="true"/>
    <cellStyle name="Accent 3" xfId="35" builtinId="53" customBuiltin="true"/>
  </cellStyles>
  <colors>
    <indexedColors>
      <rgbColor rgb="FF000000"/>
      <rgbColor rgb="FFFFFFFF"/>
      <rgbColor rgb="FFCC0000"/>
      <rgbColor rgb="FF00FF00"/>
      <rgbColor rgb="FF0000FF"/>
      <rgbColor rgb="FFFFFF00"/>
      <rgbColor rgb="FFFF00FF"/>
      <rgbColor rgb="FF00FFFF"/>
      <rgbColor rgb="FF800000"/>
      <rgbColor rgb="FF006600"/>
      <rgbColor rgb="FF000080"/>
      <rgbColor rgb="FF996600"/>
      <rgbColor rgb="FF800080"/>
      <rgbColor rgb="FF008080"/>
      <rgbColor rgb="FFC0C0C0"/>
      <rgbColor rgb="FF808080"/>
      <rgbColor rgb="FF9999FF"/>
      <rgbColor rgb="FF993366"/>
      <rgbColor rgb="FFFFFFCC"/>
      <rgbColor rgb="FFCCFFFF"/>
      <rgbColor rgb="FF660066"/>
      <rgbColor rgb="FFFF8080"/>
      <rgbColor rgb="FF1155CC"/>
      <rgbColor rgb="FFDDDDDD"/>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CC"/>
      <rgbColor rgb="FF4A86E8"/>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sharedStrings" Target="sharedStrings.xml"/>
</Relationships>
</file>

<file path=xl/worksheets/_rels/sheet1.xml.rels><?xml version="1.0" encoding="UTF-8"?>
<Relationships xmlns="http://schemas.openxmlformats.org/package/2006/relationships"><Relationship Id="rId1" Type="http://schemas.openxmlformats.org/officeDocument/2006/relationships/hyperlink" Target="http://SocialReport.com/" TargetMode="External"/><Relationship Id="rId2" Type="http://schemas.openxmlformats.org/officeDocument/2006/relationships/hyperlink" Target="http://SocialReport.com/" TargetMode="External"/><Relationship Id="rId3" Type="http://schemas.openxmlformats.org/officeDocument/2006/relationships/hyperlink" Target="http://www.zyite.com/" TargetMode="External"/><Relationship Id="rId4" Type="http://schemas.openxmlformats.org/officeDocument/2006/relationships/hyperlink" Target="http://SnappyTV.com/" TargetMode="External"/><Relationship Id="rId5" Type="http://schemas.openxmlformats.org/officeDocument/2006/relationships/hyperlink" Target="http://www.zyite.com/" TargetMode="External"/><Relationship Id="rId6" Type="http://schemas.openxmlformats.org/officeDocument/2006/relationships/hyperlink" Target="http://SnappyTV.com/" TargetMode="External"/><Relationship Id="rId7" Type="http://schemas.openxmlformats.org/officeDocument/2006/relationships/hyperlink" Target="http://www.zyite.com/" TargetMode="External"/><Relationship Id="rId8" Type="http://schemas.openxmlformats.org/officeDocument/2006/relationships/hyperlink" Target="http://SnappyTV.com/" TargetMode="External"/><Relationship Id="rId9" Type="http://schemas.openxmlformats.org/officeDocument/2006/relationships/hyperlink" Target="http://PIPSFINDER.COM/" TargetMode="External"/><Relationship Id="rId10" Type="http://schemas.openxmlformats.org/officeDocument/2006/relationships/hyperlink" Target="http://PIPSFINDER.COM/" TargetMode="External"/><Relationship Id="rId11" Type="http://schemas.openxmlformats.org/officeDocument/2006/relationships/hyperlink" Target="http://AllStartups.in/" TargetMode="External"/><Relationship Id="rId12" Type="http://schemas.openxmlformats.org/officeDocument/2006/relationships/hyperlink" Target="http://nternet.in/" TargetMode="External"/><Relationship Id="rId13" Type="http://schemas.openxmlformats.org/officeDocument/2006/relationships/hyperlink" Target="http://Nternet.in/" TargetMode="External"/><Relationship Id="rId14" Type="http://schemas.openxmlformats.org/officeDocument/2006/relationships/hyperlink" Target="http://www.zyite.com/" TargetMode="External"/><Relationship Id="rId15" Type="http://schemas.openxmlformats.org/officeDocument/2006/relationships/hyperlink" Target="http://ShareBoss.in/" TargetMode="External"/><Relationship Id="rId16" Type="http://schemas.openxmlformats.org/officeDocument/2006/relationships/hyperlink" Target="http://WordPress.com/" TargetMode="External"/><Relationship Id="rId17" Type="http://schemas.openxmlformats.org/officeDocument/2006/relationships/hyperlink" Target="https://t.co/1d0DNM2ac0" TargetMode="External"/><Relationship Id="rId18" Type="http://schemas.openxmlformats.org/officeDocument/2006/relationships/hyperlink" Target="http://WordPress.com/" TargetMode="External"/><Relationship Id="rId19" Type="http://schemas.openxmlformats.org/officeDocument/2006/relationships/hyperlink" Target="https://t.co/1d0DNM2ac0" TargetMode="External"/><Relationship Id="rId20" Type="http://schemas.openxmlformats.org/officeDocument/2006/relationships/hyperlink" Target="http://dlvr.it/" TargetMode="External"/><Relationship Id="rId21" Type="http://schemas.openxmlformats.org/officeDocument/2006/relationships/hyperlink" Target="http://WordPress.com/" TargetMode="External"/><Relationship Id="rId22" Type="http://schemas.openxmlformats.org/officeDocument/2006/relationships/hyperlink" Target="http://dlvr.it/" TargetMode="External"/><Relationship Id="rId23" Type="http://schemas.openxmlformats.org/officeDocument/2006/relationships/hyperlink" Target="http://twittbot.net/" TargetMode="External"/><Relationship Id="rId24" Type="http://schemas.openxmlformats.org/officeDocument/2006/relationships/hyperlink" Target="http://dlvr.it/" TargetMode="External"/><Relationship Id="rId25" Type="http://schemas.openxmlformats.org/officeDocument/2006/relationships/hyperlink" Target="http://WordPress.com/" TargetMode="External"/><Relationship Id="rId26" Type="http://schemas.openxmlformats.org/officeDocument/2006/relationships/hyperlink" Target="http://AllStartups.in/" TargetMode="External"/><Relationship Id="rId27" Type="http://schemas.openxmlformats.org/officeDocument/2006/relationships/hyperlink" Target="http://www.zyite.com/" TargetMode="External"/><Relationship Id="rId28" Type="http://schemas.openxmlformats.org/officeDocument/2006/relationships/hyperlink" Target="http://SnappyTV.com/" TargetMode="External"/><Relationship Id="rId29" Type="http://schemas.openxmlformats.org/officeDocument/2006/relationships/hyperlink" Target="http://SnappyTV.com/" TargetMode="External"/><Relationship Id="rId30" Type="http://schemas.openxmlformats.org/officeDocument/2006/relationships/hyperlink" Target="http://ShareBoss.in/" TargetMode="External"/><Relationship Id="rId31" Type="http://schemas.openxmlformats.org/officeDocument/2006/relationships/hyperlink" Target="http://nternet.in/" TargetMode="External"/><Relationship Id="rId32" Type="http://schemas.openxmlformats.org/officeDocument/2006/relationships/hyperlink" Target="http://Nternet.in/" TargetMode="External"/><Relationship Id="rId33" Type="http://schemas.openxmlformats.org/officeDocument/2006/relationships/hyperlink" Target="http://WordPress.com/" TargetMode="External"/><Relationship Id="rId34" Type="http://schemas.openxmlformats.org/officeDocument/2006/relationships/hyperlink" Target="http://XaniaTube.com/" TargetMode="External"/><Relationship Id="rId35" Type="http://schemas.openxmlformats.org/officeDocument/2006/relationships/hyperlink" Target="http://WordPress.com/" TargetMode="External"/><Relationship Id="rId36" Type="http://schemas.openxmlformats.org/officeDocument/2006/relationships/hyperlink" Target="http://WordPress.com/" TargetMode="External"/><Relationship Id="rId37" Type="http://schemas.openxmlformats.org/officeDocument/2006/relationships/hyperlink" Target="http://WordPress.com/" TargetMode="External"/><Relationship Id="rId38" Type="http://schemas.openxmlformats.org/officeDocument/2006/relationships/hyperlink" Target="http://dlvr.it/" TargetMode="External"/><Relationship Id="rId39" Type="http://schemas.openxmlformats.org/officeDocument/2006/relationships/hyperlink" Target="http://dlvr.it/" TargetMode="External"/><Relationship Id="rId40" Type="http://schemas.openxmlformats.org/officeDocument/2006/relationships/hyperlink" Target="http://dlvr.it/" TargetMode="External"/><Relationship Id="rId41" Type="http://schemas.openxmlformats.org/officeDocument/2006/relationships/hyperlink" Target="http://www.zyite.com/" TargetMode="External"/><Relationship Id="rId42" Type="http://schemas.openxmlformats.org/officeDocument/2006/relationships/hyperlink" Target="http://dlvr.it/" TargetMode="External"/><Relationship Id="rId43" Type="http://schemas.openxmlformats.org/officeDocument/2006/relationships/hyperlink" Target="http://www.zyite.com/" TargetMode="External"/><Relationship Id="rId44" Type="http://schemas.openxmlformats.org/officeDocument/2006/relationships/hyperlink" Target="http://dlvr.it/" TargetMode="External"/><Relationship Id="rId45" Type="http://schemas.openxmlformats.org/officeDocument/2006/relationships/hyperlink" Target="http://WordPress.com/" TargetMode="External"/><Relationship Id="rId46" Type="http://schemas.openxmlformats.org/officeDocument/2006/relationships/hyperlink" Target="http://NewsInn.org/" TargetMode="External"/><Relationship Id="rId47" Type="http://schemas.openxmlformats.org/officeDocument/2006/relationships/hyperlink" Target="http://dlvr.it/" TargetMode="External"/><Relationship Id="rId48" Type="http://schemas.openxmlformats.org/officeDocument/2006/relationships/hyperlink" Target="http://dlvr.it/" TargetMode="External"/><Relationship Id="rId49" Type="http://schemas.openxmlformats.org/officeDocument/2006/relationships/hyperlink" Target="http://dlvr.it/" TargetMode="External"/><Relationship Id="rId50" Type="http://schemas.openxmlformats.org/officeDocument/2006/relationships/hyperlink" Target="http://SnappyTV.com/" TargetMode="External"/><Relationship Id="rId51" Type="http://schemas.openxmlformats.org/officeDocument/2006/relationships/hyperlink" Target="http://NewsTwe.com/" TargetMode="External"/><Relationship Id="rId52" Type="http://schemas.openxmlformats.org/officeDocument/2006/relationships/hyperlink" Target="http://dlvr.it/" TargetMode="External"/><Relationship Id="rId53" Type="http://schemas.openxmlformats.org/officeDocument/2006/relationships/hyperlink" Target="http://WordPress.com/" TargetMode="External"/><Relationship Id="rId54" Type="http://schemas.openxmlformats.org/officeDocument/2006/relationships/hyperlink" Target="http://dlvr.it/" TargetMode="External"/><Relationship Id="rId55" Type="http://schemas.openxmlformats.org/officeDocument/2006/relationships/hyperlink" Target="https://t.co/xGFIpE4BxO" TargetMode="External"/><Relationship Id="rId56" Type="http://schemas.openxmlformats.org/officeDocument/2006/relationships/hyperlink" Target="http://Twibble.io/" TargetMode="External"/><Relationship Id="rId57" Type="http://schemas.openxmlformats.org/officeDocument/2006/relationships/hyperlink" Target="http://www.zyite.com/" TargetMode="External"/><Relationship Id="rId58" Type="http://schemas.openxmlformats.org/officeDocument/2006/relationships/hyperlink" Target="http://www.zyite.com/" TargetMode="External"/><Relationship Id="rId59" Type="http://schemas.openxmlformats.org/officeDocument/2006/relationships/hyperlink" Target="http://Lankanewsweb.net/" TargetMode="External"/><Relationship Id="rId60" Type="http://schemas.openxmlformats.org/officeDocument/2006/relationships/hyperlink" Target="http://WordPress.com/" TargetMode="External"/><Relationship Id="rId61" Type="http://schemas.openxmlformats.org/officeDocument/2006/relationships/hyperlink" Target="http://WordPress.com/" TargetMode="External"/><Relationship Id="rId62" Type="http://schemas.openxmlformats.org/officeDocument/2006/relationships/hyperlink" Target="http://dlvr.it/" TargetMode="External"/><Relationship Id="rId63" Type="http://schemas.openxmlformats.org/officeDocument/2006/relationships/hyperlink" Target="http://dlvr.it/" TargetMode="External"/><Relationship Id="rId64" Type="http://schemas.openxmlformats.org/officeDocument/2006/relationships/hyperlink" Target="http://dlvr.it/" TargetMode="External"/><Relationship Id="rId65" Type="http://schemas.openxmlformats.org/officeDocument/2006/relationships/hyperlink" Target="http://dlvr.it/" TargetMode="External"/><Relationship Id="rId66" Type="http://schemas.openxmlformats.org/officeDocument/2006/relationships/hyperlink" Target="http://dlvr.it/" TargetMode="External"/><Relationship Id="rId67" Type="http://schemas.openxmlformats.org/officeDocument/2006/relationships/hyperlink" Target="http://dlvr.it/" TargetMode="External"/><Relationship Id="rId68" Type="http://schemas.openxmlformats.org/officeDocument/2006/relationships/hyperlink" Target="http://dlvr.it/" TargetMode="External"/><Relationship Id="rId69" Type="http://schemas.openxmlformats.org/officeDocument/2006/relationships/hyperlink" Target="http://dlvr.it/" TargetMode="External"/><Relationship Id="rId70" Type="http://schemas.openxmlformats.org/officeDocument/2006/relationships/hyperlink" Target="http://dlvr.it/" TargetMode="External"/><Relationship Id="rId71" Type="http://schemas.openxmlformats.org/officeDocument/2006/relationships/hyperlink" Target="http://Twibble.io/" TargetMode="External"/><Relationship Id="rId72" Type="http://schemas.openxmlformats.org/officeDocument/2006/relationships/hyperlink" Target="http://Politics4All.com/" TargetMode="External"/><Relationship Id="rId73" Type="http://schemas.openxmlformats.org/officeDocument/2006/relationships/hyperlink" Target="http://WordPress.com/" TargetMode="External"/><Relationship Id="rId74" Type="http://schemas.openxmlformats.org/officeDocument/2006/relationships/hyperlink" Target="http://WordPress.com/" TargetMode="External"/><Relationship Id="rId75" Type="http://schemas.openxmlformats.org/officeDocument/2006/relationships/hyperlink" Target="http://WordPress.com/" TargetMode="External"/><Relationship Id="rId76" Type="http://schemas.openxmlformats.org/officeDocument/2006/relationships/hyperlink" Target="http://WordPress.com/" TargetMode="External"/><Relationship Id="rId77" Type="http://schemas.openxmlformats.org/officeDocument/2006/relationships/hyperlink" Target="http://WordPress.com/" TargetMode="External"/><Relationship Id="rId78" Type="http://schemas.openxmlformats.org/officeDocument/2006/relationships/hyperlink" Target="http://WordPress.com/" TargetMode="External"/><Relationship Id="rId79" Type="http://schemas.openxmlformats.org/officeDocument/2006/relationships/hyperlink" Target="http://WordPress.com/" TargetMode="External"/><Relationship Id="rId80" Type="http://schemas.openxmlformats.org/officeDocument/2006/relationships/hyperlink" Target="http://WordPress.com/" TargetMode="External"/><Relationship Id="rId81" Type="http://schemas.openxmlformats.org/officeDocument/2006/relationships/hyperlink" Target="http://WordPress.com/" TargetMode="External"/><Relationship Id="rId82" Type="http://schemas.openxmlformats.org/officeDocument/2006/relationships/hyperlink" Target="http://WordPress.com/" TargetMode="External"/><Relationship Id="rId83" Type="http://schemas.openxmlformats.org/officeDocument/2006/relationships/hyperlink" Target="http://WordPress.com/" TargetMode="External"/><Relationship Id="rId84" Type="http://schemas.openxmlformats.org/officeDocument/2006/relationships/hyperlink" Target="http://WordPress.com/" TargetMode="External"/><Relationship Id="rId85" Type="http://schemas.openxmlformats.org/officeDocument/2006/relationships/hyperlink" Target="http://WordPress.com/" TargetMode="External"/><Relationship Id="rId86" Type="http://schemas.openxmlformats.org/officeDocument/2006/relationships/hyperlink" Target="http://WordPress.com/" TargetMode="External"/><Relationship Id="rId87" Type="http://schemas.openxmlformats.org/officeDocument/2006/relationships/hyperlink" Target="http://SaleSpree.com/" TargetMode="External"/><Relationship Id="rId88" Type="http://schemas.openxmlformats.org/officeDocument/2006/relationships/hyperlink" Target="http://WordPress.com/" TargetMode="External"/><Relationship Id="rId89" Type="http://schemas.openxmlformats.org/officeDocument/2006/relationships/hyperlink" Target="https://t.co/mLYW8jplny" TargetMode="External"/><Relationship Id="rId90" Type="http://schemas.openxmlformats.org/officeDocument/2006/relationships/hyperlink" Target="http://www.Publicitymag.com/" TargetMode="External"/><Relationship Id="rId91" Type="http://schemas.openxmlformats.org/officeDocument/2006/relationships/hyperlink" Target="http://dlvr.it/" TargetMode="External"/><Relationship Id="rId92" Type="http://schemas.openxmlformats.org/officeDocument/2006/relationships/hyperlink" Target="http://dlvr.it/" TargetMode="External"/><Relationship Id="rId93" Type="http://schemas.openxmlformats.org/officeDocument/2006/relationships/hyperlink" Target="http://ShareBoss.in/" TargetMode="External"/><Relationship Id="rId94" Type="http://schemas.openxmlformats.org/officeDocument/2006/relationships/hyperlink" Target="http://WordPress.com/" TargetMode="External"/><Relationship Id="rId95" Type="http://schemas.openxmlformats.org/officeDocument/2006/relationships/hyperlink" Target="http://ai-newz.com/" TargetMode="External"/><Relationship Id="rId96" Type="http://schemas.openxmlformats.org/officeDocument/2006/relationships/hyperlink" Target="http://dlvr.it/" TargetMode="External"/><Relationship Id="rId97" Type="http://schemas.openxmlformats.org/officeDocument/2006/relationships/hyperlink" Target="http://dlvr.it/" TargetMode="External"/><Relationship Id="rId98" Type="http://schemas.openxmlformats.org/officeDocument/2006/relationships/hyperlink" Target="http://NewsBoss.in/" TargetMode="External"/><Relationship Id="rId99" Type="http://schemas.openxmlformats.org/officeDocument/2006/relationships/hyperlink" Target="http://NewsBoss.in/" TargetMode="External"/><Relationship Id="rId100" Type="http://schemas.openxmlformats.org/officeDocument/2006/relationships/hyperlink" Target="http://rsstweeter.com/" TargetMode="External"/><Relationship Id="rId101" Type="http://schemas.openxmlformats.org/officeDocument/2006/relationships/hyperlink" Target="http://WordPress.com/" TargetMode="External"/><Relationship Id="rId102" Type="http://schemas.openxmlformats.org/officeDocument/2006/relationships/hyperlink" Target="http://gatherdom.com/" TargetMode="External"/><Relationship Id="rId103" Type="http://schemas.openxmlformats.org/officeDocument/2006/relationships/hyperlink" Target="http://rsstweeter.com/" TargetMode="External"/><Relationship Id="rId104" Type="http://schemas.openxmlformats.org/officeDocument/2006/relationships/hyperlink" Target="http://www.zyite.com/" TargetMode="External"/><Relationship Id="rId105" Type="http://schemas.openxmlformats.org/officeDocument/2006/relationships/hyperlink" Target="http://dlvr.it/" TargetMode="External"/><Relationship Id="rId106" Type="http://schemas.openxmlformats.org/officeDocument/2006/relationships/hyperlink" Target="http://dlvr.it/" TargetMode="External"/><Relationship Id="rId107" Type="http://schemas.openxmlformats.org/officeDocument/2006/relationships/hyperlink" Target="http://dlvr.it/" TargetMode="External"/><Relationship Id="rId108" Type="http://schemas.openxmlformats.org/officeDocument/2006/relationships/hyperlink" Target="http://dlvr.it/" TargetMode="External"/><Relationship Id="rId109" Type="http://schemas.openxmlformats.org/officeDocument/2006/relationships/hyperlink" Target="http://dlvr.it/" TargetMode="External"/><Relationship Id="rId110" Type="http://schemas.openxmlformats.org/officeDocument/2006/relationships/hyperlink" Target="http://dlvr.it/" TargetMode="External"/><Relationship Id="rId111" Type="http://schemas.openxmlformats.org/officeDocument/2006/relationships/hyperlink" Target="http://www.zyite.com/" TargetMode="External"/><Relationship Id="rId112" Type="http://schemas.openxmlformats.org/officeDocument/2006/relationships/hyperlink" Target="http://dlvr.it/" TargetMode="External"/><Relationship Id="rId113" Type="http://schemas.openxmlformats.org/officeDocument/2006/relationships/hyperlink" Target="http://dlvr.it/" TargetMode="External"/><Relationship Id="rId114" Type="http://schemas.openxmlformats.org/officeDocument/2006/relationships/hyperlink" Target="http://dlvr.it/" TargetMode="External"/><Relationship Id="rId115" Type="http://schemas.openxmlformats.org/officeDocument/2006/relationships/hyperlink" Target="http://dlvr.it/" TargetMode="External"/><Relationship Id="rId116" Type="http://schemas.openxmlformats.org/officeDocument/2006/relationships/hyperlink" Target="http://WordPress.com/" TargetMode="External"/><Relationship Id="rId117" Type="http://schemas.openxmlformats.org/officeDocument/2006/relationships/hyperlink" Target="http://NewsOnePlace.com/" TargetMode="External"/><Relationship Id="rId118" Type="http://schemas.openxmlformats.org/officeDocument/2006/relationships/hyperlink" Target="http://t.co/AVEhqKK4m1" TargetMode="External"/><Relationship Id="rId119" Type="http://schemas.openxmlformats.org/officeDocument/2006/relationships/hyperlink" Target="http://t.co/AVEhqKK4m1" TargetMode="External"/><Relationship Id="rId120" Type="http://schemas.openxmlformats.org/officeDocument/2006/relationships/hyperlink" Target="http://Needlehole.com/" TargetMode="External"/><Relationship Id="rId121" Type="http://schemas.openxmlformats.org/officeDocument/2006/relationships/hyperlink" Target="http://WordPress.com/" TargetMode="External"/><Relationship Id="rId122" Type="http://schemas.openxmlformats.org/officeDocument/2006/relationships/hyperlink" Target="http://WordPress.com/" TargetMode="External"/><Relationship Id="rId123" Type="http://schemas.openxmlformats.org/officeDocument/2006/relationships/hyperlink" Target="http://dlvr.it/" TargetMode="External"/><Relationship Id="rId124" Type="http://schemas.openxmlformats.org/officeDocument/2006/relationships/hyperlink" Target="http://WordPress.com/" TargetMode="External"/><Relationship Id="rId125" Type="http://schemas.openxmlformats.org/officeDocument/2006/relationships/hyperlink" Target="http://dlvr.it/" TargetMode="External"/><Relationship Id="rId126" Type="http://schemas.openxmlformats.org/officeDocument/2006/relationships/hyperlink" Target="http://WordPress.com/" TargetMode="External"/><Relationship Id="rId127" Type="http://schemas.openxmlformats.org/officeDocument/2006/relationships/hyperlink" Target="http://dlvr.it/" TargetMode="External"/><Relationship Id="rId128" Type="http://schemas.openxmlformats.org/officeDocument/2006/relationships/hyperlink" Target="http://www.zyite.com/" TargetMode="External"/><Relationship Id="rId129" Type="http://schemas.openxmlformats.org/officeDocument/2006/relationships/hyperlink" Target="http://Twibble.io/" TargetMode="External"/><Relationship Id="rId130" Type="http://schemas.openxmlformats.org/officeDocument/2006/relationships/hyperlink" Target="http://dlvr.it/" TargetMode="External"/><Relationship Id="rId131" Type="http://schemas.openxmlformats.org/officeDocument/2006/relationships/hyperlink" Target="http://dlvr.it/" TargetMode="External"/><Relationship Id="rId132" Type="http://schemas.openxmlformats.org/officeDocument/2006/relationships/hyperlink" Target="https://t.co/1d0DNM2ac0" TargetMode="External"/><Relationship Id="rId133" Type="http://schemas.openxmlformats.org/officeDocument/2006/relationships/hyperlink" Target="http://dlvr.it/" TargetMode="External"/><Relationship Id="rId134" Type="http://schemas.openxmlformats.org/officeDocument/2006/relationships/hyperlink" Target="http://WordPress.com/" TargetMode="External"/><Relationship Id="rId135" Type="http://schemas.openxmlformats.org/officeDocument/2006/relationships/hyperlink" Target="http://WordPress.com/" TargetMode="External"/><Relationship Id="rId136" Type="http://schemas.openxmlformats.org/officeDocument/2006/relationships/hyperlink" Target="http://WordPress.com/" TargetMode="External"/><Relationship Id="rId137" Type="http://schemas.openxmlformats.org/officeDocument/2006/relationships/hyperlink" Target="http://WordPress.com/" TargetMode="External"/><Relationship Id="rId138" Type="http://schemas.openxmlformats.org/officeDocument/2006/relationships/hyperlink" Target="http://Twibble.io/" TargetMode="External"/><Relationship Id="rId139" Type="http://schemas.openxmlformats.org/officeDocument/2006/relationships/hyperlink" Target="https://t.co/BQu9x52LC6" TargetMode="External"/><Relationship Id="rId140" Type="http://schemas.openxmlformats.org/officeDocument/2006/relationships/hyperlink" Target="http://JC4DSOF.IT/" TargetMode="External"/><Relationship Id="rId141" Type="http://schemas.openxmlformats.org/officeDocument/2006/relationships/hyperlink" Target="http://dlvr.it/" TargetMode="External"/><Relationship Id="rId142" Type="http://schemas.openxmlformats.org/officeDocument/2006/relationships/hyperlink" Target="http://WordPress.com/" TargetMode="External"/><Relationship Id="rId143" Type="http://schemas.openxmlformats.org/officeDocument/2006/relationships/hyperlink" Target="http://dlvr.it/" TargetMode="External"/><Relationship Id="rId144" Type="http://schemas.openxmlformats.org/officeDocument/2006/relationships/hyperlink" Target="http://WordPress.com/" TargetMode="External"/><Relationship Id="rId145" Type="http://schemas.openxmlformats.org/officeDocument/2006/relationships/hyperlink" Target="http://Twibble.io/" TargetMode="External"/><Relationship Id="rId146" Type="http://schemas.openxmlformats.org/officeDocument/2006/relationships/hyperlink" Target="http://dlvr.it/" TargetMode="External"/><Relationship Id="rId147" Type="http://schemas.openxmlformats.org/officeDocument/2006/relationships/hyperlink" Target="http://dlvr.it/" TargetMode="External"/><Relationship Id="rId148" Type="http://schemas.openxmlformats.org/officeDocument/2006/relationships/hyperlink" Target="http://dlvr.it/" TargetMode="External"/><Relationship Id="rId149" Type="http://schemas.openxmlformats.org/officeDocument/2006/relationships/hyperlink" Target="http://dlvr.it/" TargetMode="External"/><Relationship Id="rId150" Type="http://schemas.openxmlformats.org/officeDocument/2006/relationships/hyperlink" Target="http://dlvr.it/" TargetMode="External"/><Relationship Id="rId151" Type="http://schemas.openxmlformats.org/officeDocument/2006/relationships/hyperlink" Target="http://twittbot.net/" TargetMode="External"/><Relationship Id="rId152" Type="http://schemas.openxmlformats.org/officeDocument/2006/relationships/hyperlink" Target="http://dlvr.it/" TargetMode="External"/><Relationship Id="rId153" Type="http://schemas.openxmlformats.org/officeDocument/2006/relationships/hyperlink" Target="http://WordPress.com/" TargetMode="External"/><Relationship Id="rId154" Type="http://schemas.openxmlformats.org/officeDocument/2006/relationships/hyperlink" Target="http://twittbot.net/" TargetMode="External"/><Relationship Id="rId155" Type="http://schemas.openxmlformats.org/officeDocument/2006/relationships/hyperlink" Target="http://WordPress.com/" TargetMode="External"/><Relationship Id="rId156" Type="http://schemas.openxmlformats.org/officeDocument/2006/relationships/hyperlink" Target="http://dlvr.it/" TargetMode="External"/><Relationship Id="rId157" Type="http://schemas.openxmlformats.org/officeDocument/2006/relationships/hyperlink" Target="http://dlvr.it/" TargetMode="External"/><Relationship Id="rId158" Type="http://schemas.openxmlformats.org/officeDocument/2006/relationships/hyperlink" Target="http://dlvr.it/" TargetMode="External"/><Relationship Id="rId159" Type="http://schemas.openxmlformats.org/officeDocument/2006/relationships/hyperlink" Target="http://dlvr.it/" TargetMode="External"/><Relationship Id="rId160" Type="http://schemas.openxmlformats.org/officeDocument/2006/relationships/hyperlink" Target="http://dlvr.it/" TargetMode="External"/><Relationship Id="rId161" Type="http://schemas.openxmlformats.org/officeDocument/2006/relationships/hyperlink" Target="http://WordPress.com/" TargetMode="External"/><Relationship Id="rId162" Type="http://schemas.openxmlformats.org/officeDocument/2006/relationships/hyperlink" Target="http://dlvr.it/" TargetMode="External"/><Relationship Id="rId163" Type="http://schemas.openxmlformats.org/officeDocument/2006/relationships/hyperlink" Target="http://dlvr.it/" TargetMode="External"/><Relationship Id="rId164" Type="http://schemas.openxmlformats.org/officeDocument/2006/relationships/hyperlink" Target="http://dlvr.it/" TargetMode="External"/><Relationship Id="rId165" Type="http://schemas.openxmlformats.org/officeDocument/2006/relationships/hyperlink" Target="http://dlvr.it/" TargetMode="External"/><Relationship Id="rId166" Type="http://schemas.openxmlformats.org/officeDocument/2006/relationships/hyperlink" Target="http://dlvr.it/" TargetMode="External"/><Relationship Id="rId167" Type="http://schemas.openxmlformats.org/officeDocument/2006/relationships/hyperlink" Target="http://dlvr.it/" TargetMode="External"/><Relationship Id="rId168" Type="http://schemas.openxmlformats.org/officeDocument/2006/relationships/hyperlink" Target="http://dlvr.it/" TargetMode="External"/><Relationship Id="rId169" Type="http://schemas.openxmlformats.org/officeDocument/2006/relationships/hyperlink" Target="http://dlvr.it/" TargetMode="External"/><Relationship Id="rId170" Type="http://schemas.openxmlformats.org/officeDocument/2006/relationships/hyperlink" Target="http://dlvr.it/" TargetMode="External"/><Relationship Id="rId171" Type="http://schemas.openxmlformats.org/officeDocument/2006/relationships/hyperlink" Target="http://dlvr.it/" TargetMode="External"/><Relationship Id="rId172" Type="http://schemas.openxmlformats.org/officeDocument/2006/relationships/hyperlink" Target="http://dlvr.it/" TargetMode="External"/><Relationship Id="rId173" Type="http://schemas.openxmlformats.org/officeDocument/2006/relationships/hyperlink" Target="http://dlvr.it/" TargetMode="External"/><Relationship Id="rId174" Type="http://schemas.openxmlformats.org/officeDocument/2006/relationships/hyperlink" Target="http://dlvr.it/" TargetMode="External"/><Relationship Id="rId175" Type="http://schemas.openxmlformats.org/officeDocument/2006/relationships/hyperlink" Target="http://dlvr.it/" TargetMode="External"/><Relationship Id="rId176" Type="http://schemas.openxmlformats.org/officeDocument/2006/relationships/hyperlink" Target="http://radio3.io/" TargetMode="External"/><Relationship Id="rId177" Type="http://schemas.openxmlformats.org/officeDocument/2006/relationships/hyperlink" Target="http://dlvr.it/" TargetMode="External"/><Relationship Id="rId178" Type="http://schemas.openxmlformats.org/officeDocument/2006/relationships/hyperlink" Target="http://dusuncekahvesi.org/" TargetMode="External"/><Relationship Id="rId179" Type="http://schemas.openxmlformats.org/officeDocument/2006/relationships/hyperlink" Target="http://dlvr.it/" TargetMode="External"/><Relationship Id="rId180" Type="http://schemas.openxmlformats.org/officeDocument/2006/relationships/hyperlink" Target="http://dlvr.it/" TargetMode="External"/><Relationship Id="rId181" Type="http://schemas.openxmlformats.org/officeDocument/2006/relationships/hyperlink" Target="http://NewsBoss.in/" TargetMode="External"/><Relationship Id="rId182" Type="http://schemas.openxmlformats.org/officeDocument/2006/relationships/hyperlink" Target="http://NewsBoss.in/" TargetMode="External"/><Relationship Id="rId183" Type="http://schemas.openxmlformats.org/officeDocument/2006/relationships/hyperlink" Target="http://Pong.Ma/" TargetMode="External"/><Relationship Id="rId184" Type="http://schemas.openxmlformats.org/officeDocument/2006/relationships/hyperlink" Target="http://dlvr.it/" TargetMode="External"/><Relationship Id="rId185" Type="http://schemas.openxmlformats.org/officeDocument/2006/relationships/hyperlink" Target="http://dlvr.it/" TargetMode="External"/><Relationship Id="rId186" Type="http://schemas.openxmlformats.org/officeDocument/2006/relationships/hyperlink" Target="http://WordPress.com/" TargetMode="External"/><Relationship Id="rId187" Type="http://schemas.openxmlformats.org/officeDocument/2006/relationships/hyperlink" Target="http://WordPress.com/" TargetMode="External"/><Relationship Id="rId188" Type="http://schemas.openxmlformats.org/officeDocument/2006/relationships/hyperlink" Target="http://dlvr.it/" TargetMode="External"/><Relationship Id="rId189" Type="http://schemas.openxmlformats.org/officeDocument/2006/relationships/hyperlink" Target="http://dlvr.it/" TargetMode="External"/><Relationship Id="rId190" Type="http://schemas.openxmlformats.org/officeDocument/2006/relationships/hyperlink" Target="http://dlvr.it/" TargetMode="External"/><Relationship Id="rId191" Type="http://schemas.openxmlformats.org/officeDocument/2006/relationships/hyperlink" Target="http://dlvr.it/" TargetMode="External"/><Relationship Id="rId192" Type="http://schemas.openxmlformats.org/officeDocument/2006/relationships/hyperlink" Target="http://urbanwronski.com/" TargetMode="External"/><Relationship Id="rId193" Type="http://schemas.openxmlformats.org/officeDocument/2006/relationships/hyperlink" Target="http://TheMeanBlog.Com/" TargetMode="External"/><Relationship Id="rId194" Type="http://schemas.openxmlformats.org/officeDocument/2006/relationships/hyperlink" Target="http://WordPress.com/" TargetMode="External"/><Relationship Id="rId195" Type="http://schemas.openxmlformats.org/officeDocument/2006/relationships/hyperlink" Target="http://dlvr.it/" TargetMode="External"/><Relationship Id="rId196" Type="http://schemas.openxmlformats.org/officeDocument/2006/relationships/hyperlink" Target="http://WordPress.com/" TargetMode="External"/><Relationship Id="rId197" Type="http://schemas.openxmlformats.org/officeDocument/2006/relationships/hyperlink" Target="http://dlvr.it/" TargetMode="External"/><Relationship Id="rId198" Type="http://schemas.openxmlformats.org/officeDocument/2006/relationships/hyperlink" Target="http://dlvr.it/" TargetMode="External"/><Relationship Id="rId199" Type="http://schemas.openxmlformats.org/officeDocument/2006/relationships/hyperlink" Target="http://EurACC.eu/" TargetMode="External"/><Relationship Id="rId200" Type="http://schemas.openxmlformats.org/officeDocument/2006/relationships/hyperlink" Target="http://dlvr.it/" TargetMode="External"/><Relationship Id="rId201" Type="http://schemas.openxmlformats.org/officeDocument/2006/relationships/hyperlink" Target="http://dlvr.it/" TargetMode="External"/><Relationship Id="rId202" Type="http://schemas.openxmlformats.org/officeDocument/2006/relationships/hyperlink" Target="http://dlvr.it/" TargetMode="External"/><Relationship Id="rId203" Type="http://schemas.openxmlformats.org/officeDocument/2006/relationships/hyperlink" Target="http://dlvr.it/" TargetMode="External"/><Relationship Id="rId204" Type="http://schemas.openxmlformats.org/officeDocument/2006/relationships/hyperlink" Target="http://dlvr.it/" TargetMode="External"/><Relationship Id="rId205" Type="http://schemas.openxmlformats.org/officeDocument/2006/relationships/hyperlink" Target="http://dlvr.it/" TargetMode="External"/><Relationship Id="rId206" Type="http://schemas.openxmlformats.org/officeDocument/2006/relationships/hyperlink" Target="http://dlvr.it/" TargetMode="External"/><Relationship Id="rId207" Type="http://schemas.openxmlformats.org/officeDocument/2006/relationships/hyperlink" Target="http://www.zyite.com/" TargetMode="External"/><Relationship Id="rId208" Type="http://schemas.openxmlformats.org/officeDocument/2006/relationships/hyperlink" Target="http://www.zyite.com/" TargetMode="External"/><Relationship Id="rId209" Type="http://schemas.openxmlformats.org/officeDocument/2006/relationships/hyperlink" Target="http://dlvr.it/" TargetMode="External"/><Relationship Id="rId210" Type="http://schemas.openxmlformats.org/officeDocument/2006/relationships/hyperlink" Target="http://dlvr.it/" TargetMode="External"/><Relationship Id="rId211" Type="http://schemas.openxmlformats.org/officeDocument/2006/relationships/hyperlink" Target="http://FictioNews.com/" TargetMode="External"/><Relationship Id="rId212" Type="http://schemas.openxmlformats.org/officeDocument/2006/relationships/hyperlink" Target="http://www.zyite.com/" TargetMode="External"/><Relationship Id="rId213" Type="http://schemas.openxmlformats.org/officeDocument/2006/relationships/hyperlink" Target="http://dlvr.it/" TargetMode="External"/><Relationship Id="rId214" Type="http://schemas.openxmlformats.org/officeDocument/2006/relationships/hyperlink" Target="https://t.co/xGFIpE4BxO" TargetMode="External"/><Relationship Id="rId215" Type="http://schemas.openxmlformats.org/officeDocument/2006/relationships/hyperlink" Target="http://dlvr.it/" TargetMode="External"/><Relationship Id="rId216" Type="http://schemas.openxmlformats.org/officeDocument/2006/relationships/hyperlink" Target="http://dlvr.it/" TargetMode="External"/><Relationship Id="rId217" Type="http://schemas.openxmlformats.org/officeDocument/2006/relationships/hyperlink" Target="https://t.co/xGFIpE4BxO" TargetMode="External"/><Relationship Id="rId218" Type="http://schemas.openxmlformats.org/officeDocument/2006/relationships/hyperlink" Target="http://AllStartups.in/" TargetMode="External"/><Relationship Id="rId219" Type="http://schemas.openxmlformats.org/officeDocument/2006/relationships/hyperlink" Target="http://dlvr.it/" TargetMode="External"/><Relationship Id="rId220" Type="http://schemas.openxmlformats.org/officeDocument/2006/relationships/hyperlink" Target="http://dlvr.it/" TargetMode="External"/><Relationship Id="rId221" Type="http://schemas.openxmlformats.org/officeDocument/2006/relationships/hyperlink" Target="http://WordPress.com/" TargetMode="External"/><Relationship Id="rId222" Type="http://schemas.openxmlformats.org/officeDocument/2006/relationships/hyperlink" Target="http://dlvr.it/" TargetMode="External"/><Relationship Id="rId223" Type="http://schemas.openxmlformats.org/officeDocument/2006/relationships/hyperlink" Target="http://Twibble.io/" TargetMode="External"/><Relationship Id="rId224" Type="http://schemas.openxmlformats.org/officeDocument/2006/relationships/hyperlink" Target="http://dlvr.it/" TargetMode="External"/><Relationship Id="rId225" Type="http://schemas.openxmlformats.org/officeDocument/2006/relationships/hyperlink" Target="http://www.zyite.com/" TargetMode="External"/><Relationship Id="rId226" Type="http://schemas.openxmlformats.org/officeDocument/2006/relationships/hyperlink" Target="https://t.co/xGFIpE4BxO" TargetMode="External"/><Relationship Id="rId227" Type="http://schemas.openxmlformats.org/officeDocument/2006/relationships/hyperlink" Target="http://NewsOnePlace.com/" TargetMode="External"/><Relationship Id="rId228" Type="http://schemas.openxmlformats.org/officeDocument/2006/relationships/hyperlink" Target="http://dlvr.it/" TargetMode="External"/><Relationship Id="rId229" Type="http://schemas.openxmlformats.org/officeDocument/2006/relationships/hyperlink" Target="http://dlvr.it/" TargetMode="External"/><Relationship Id="rId230" Type="http://schemas.openxmlformats.org/officeDocument/2006/relationships/hyperlink" Target="http://dlvr.it/" TargetMode="External"/><Relationship Id="rId231" Type="http://schemas.openxmlformats.org/officeDocument/2006/relationships/hyperlink" Target="http://dlvr.it/" TargetMode="External"/><Relationship Id="rId232" Type="http://schemas.openxmlformats.org/officeDocument/2006/relationships/hyperlink" Target="http://dlvr.it/" TargetMode="External"/><Relationship Id="rId233" Type="http://schemas.openxmlformats.org/officeDocument/2006/relationships/hyperlink" Target="http://nigerianbulletin.com/" TargetMode="External"/><Relationship Id="rId234" Type="http://schemas.openxmlformats.org/officeDocument/2006/relationships/hyperlink" Target="http://dlvr.it/" TargetMode="External"/><Relationship Id="rId235" Type="http://schemas.openxmlformats.org/officeDocument/2006/relationships/hyperlink" Target="http://Twibble.io/" TargetMode="External"/><Relationship Id="rId236" Type="http://schemas.openxmlformats.org/officeDocument/2006/relationships/hyperlink" Target="http://dlvr.it/" TargetMode="External"/><Relationship Id="rId237" Type="http://schemas.openxmlformats.org/officeDocument/2006/relationships/hyperlink" Target="http://dlvr.it/" TargetMode="External"/><Relationship Id="rId238" Type="http://schemas.openxmlformats.org/officeDocument/2006/relationships/hyperlink" Target="http://dlvr.it/" TargetMode="External"/><Relationship Id="rId239" Type="http://schemas.openxmlformats.org/officeDocument/2006/relationships/hyperlink" Target="http://www.facebook.com/doctorreefer/" TargetMode="External"/><Relationship Id="rId240" Type="http://schemas.openxmlformats.org/officeDocument/2006/relationships/hyperlink" Target="http://www.facebook.com/doctorreefer/" TargetMode="External"/><Relationship Id="rId241" Type="http://schemas.openxmlformats.org/officeDocument/2006/relationships/hyperlink" Target="http://dlvr.it/" TargetMode="External"/><Relationship Id="rId242" Type="http://schemas.openxmlformats.org/officeDocument/2006/relationships/hyperlink" Target="http://dlvr.it/" TargetMode="External"/><Relationship Id="rId243" Type="http://schemas.openxmlformats.org/officeDocument/2006/relationships/hyperlink" Target="http://Twibble.io/" TargetMode="External"/><Relationship Id="rId244" Type="http://schemas.openxmlformats.org/officeDocument/2006/relationships/hyperlink" Target="http://ShareBoss.in/" TargetMode="External"/><Relationship Id="rId245" Type="http://schemas.openxmlformats.org/officeDocument/2006/relationships/hyperlink" Target="http://XaniaTube.com/" TargetMode="External"/><Relationship Id="rId246" Type="http://schemas.openxmlformats.org/officeDocument/2006/relationships/hyperlink" Target="http://Twibble.io/" TargetMode="External"/><Relationship Id="rId247" Type="http://schemas.openxmlformats.org/officeDocument/2006/relationships/hyperlink" Target="http://dlvr.it/" TargetMode="External"/><Relationship Id="rId248" Type="http://schemas.openxmlformats.org/officeDocument/2006/relationships/hyperlink" Target="http://WordPress.com/" TargetMode="External"/><Relationship Id="rId249" Type="http://schemas.openxmlformats.org/officeDocument/2006/relationships/hyperlink" Target="http://EagleStar.NET/" TargetMode="External"/><Relationship Id="rId250" Type="http://schemas.openxmlformats.org/officeDocument/2006/relationships/hyperlink" Target="http://dlvr.it/" TargetMode="External"/><Relationship Id="rId251" Type="http://schemas.openxmlformats.org/officeDocument/2006/relationships/hyperlink" Target="http://dlvr.it/" TargetMode="External"/><Relationship Id="rId252" Type="http://schemas.openxmlformats.org/officeDocument/2006/relationships/hyperlink" Target="http://EagleStar.NET/" TargetMode="External"/><Relationship Id="rId253" Type="http://schemas.openxmlformats.org/officeDocument/2006/relationships/hyperlink" Target="http://gab.ai/samir_patil" TargetMode="External"/><Relationship Id="rId254" Type="http://schemas.openxmlformats.org/officeDocument/2006/relationships/hyperlink" Target="http://JustBigNews.com/" TargetMode="External"/><Relationship Id="rId255" Type="http://schemas.openxmlformats.org/officeDocument/2006/relationships/hyperlink" Target="http://dlvr.it/" TargetMode="External"/><Relationship Id="rId256" Type="http://schemas.openxmlformats.org/officeDocument/2006/relationships/hyperlink" Target="http://dlvr.it/" TargetMode="External"/><Relationship Id="rId257" Type="http://schemas.openxmlformats.org/officeDocument/2006/relationships/hyperlink" Target="http://dlvr.it/" TargetMode="External"/><Relationship Id="rId258" Type="http://schemas.openxmlformats.org/officeDocument/2006/relationships/hyperlink" Target="http://dlvr.it/" TargetMode="External"/><Relationship Id="rId259" Type="http://schemas.openxmlformats.org/officeDocument/2006/relationships/hyperlink" Target="http://dlvr.it/" TargetMode="External"/><Relationship Id="rId260" Type="http://schemas.openxmlformats.org/officeDocument/2006/relationships/hyperlink" Target="http://dlvr.it/" TargetMode="External"/><Relationship Id="rId261" Type="http://schemas.openxmlformats.org/officeDocument/2006/relationships/hyperlink" Target="http://dlvr.it/" TargetMode="External"/><Relationship Id="rId262" Type="http://schemas.openxmlformats.org/officeDocument/2006/relationships/hyperlink" Target="http://WordPress.com/" TargetMode="External"/><Relationship Id="rId263" Type="http://schemas.openxmlformats.org/officeDocument/2006/relationships/hyperlink" Target="http://dlvr.it/" TargetMode="External"/><Relationship Id="rId264" Type="http://schemas.openxmlformats.org/officeDocument/2006/relationships/hyperlink" Target="http://dlvr.it/" TargetMode="External"/><Relationship Id="rId265" Type="http://schemas.openxmlformats.org/officeDocument/2006/relationships/hyperlink" Target="http://WordPress.com/" TargetMode="External"/><Relationship Id="rId266" Type="http://schemas.openxmlformats.org/officeDocument/2006/relationships/hyperlink" Target="http://dlvr.it/" TargetMode="External"/><Relationship Id="rId267" Type="http://schemas.openxmlformats.org/officeDocument/2006/relationships/hyperlink" Target="https://www.youtube.com/channel/UCwv6FQb2U8yJFDwlvW4JXCw/videos?disable_polymer=1" TargetMode="External"/><Relationship Id="rId268" Type="http://schemas.openxmlformats.org/officeDocument/2006/relationships/hyperlink" Target="https://t.co/KTZuBxuUPc" TargetMode="External"/><Relationship Id="rId269" Type="http://schemas.openxmlformats.org/officeDocument/2006/relationships/hyperlink" Target="http://EagleStar.NET/" TargetMode="External"/><Relationship Id="rId270" Type="http://schemas.openxmlformats.org/officeDocument/2006/relationships/hyperlink" Target="http://SnappyTV.com/" TargetMode="External"/><Relationship Id="rId271" Type="http://schemas.openxmlformats.org/officeDocument/2006/relationships/hyperlink" Target="http://dlvr.it/" TargetMode="External"/><Relationship Id="rId272" Type="http://schemas.openxmlformats.org/officeDocument/2006/relationships/hyperlink" Target="http://Twibble.io/" TargetMode="External"/><Relationship Id="rId273" Type="http://schemas.openxmlformats.org/officeDocument/2006/relationships/hyperlink" Target="http://NewsBoss.in/" TargetMode="External"/><Relationship Id="rId274" Type="http://schemas.openxmlformats.org/officeDocument/2006/relationships/hyperlink" Target="http://NewsBoss.in/" TargetMode="External"/><Relationship Id="rId275" Type="http://schemas.openxmlformats.org/officeDocument/2006/relationships/hyperlink" Target="http://SnappyTV.com/" TargetMode="External"/><Relationship Id="rId276" Type="http://schemas.openxmlformats.org/officeDocument/2006/relationships/hyperlink" Target="http://EagleStar.NET/" TargetMode="External"/><Relationship Id="rId277" Type="http://schemas.openxmlformats.org/officeDocument/2006/relationships/hyperlink" Target="http://dlvr.it/" TargetMode="External"/><Relationship Id="rId278" Type="http://schemas.openxmlformats.org/officeDocument/2006/relationships/hyperlink" Target="http://WordPress.com/" TargetMode="External"/><Relationship Id="rId279" Type="http://schemas.openxmlformats.org/officeDocument/2006/relationships/hyperlink" Target="http://Globalnews.ca/" TargetMode="External"/><Relationship Id="rId280" Type="http://schemas.openxmlformats.org/officeDocument/2006/relationships/hyperlink" Target="https://t.co/ASWEnpVdfW" TargetMode="External"/><Relationship Id="rId281" Type="http://schemas.openxmlformats.org/officeDocument/2006/relationships/hyperlink" Target="http://SnappyTV.com/" TargetMode="External"/><Relationship Id="rId282" Type="http://schemas.openxmlformats.org/officeDocument/2006/relationships/hyperlink" Target="http://dlvr.it/" TargetMode="External"/><Relationship Id="rId283" Type="http://schemas.openxmlformats.org/officeDocument/2006/relationships/hyperlink" Target="http://dlvr.it/" TargetMode="External"/><Relationship Id="rId284" Type="http://schemas.openxmlformats.org/officeDocument/2006/relationships/hyperlink" Target="http://dlvr.it/" TargetMode="External"/><Relationship Id="rId285" Type="http://schemas.openxmlformats.org/officeDocument/2006/relationships/hyperlink" Target="http://dlvr.it/" TargetMode="External"/><Relationship Id="rId286" Type="http://schemas.openxmlformats.org/officeDocument/2006/relationships/hyperlink" Target="http://Twibble.io/" TargetMode="External"/><Relationship Id="rId287" Type="http://schemas.openxmlformats.org/officeDocument/2006/relationships/hyperlink" Target="http://dlvr.it/" TargetMode="External"/><Relationship Id="rId288" Type="http://schemas.openxmlformats.org/officeDocument/2006/relationships/hyperlink" Target="http://dlvr.it/" TargetMode="External"/><Relationship Id="rId289" Type="http://schemas.openxmlformats.org/officeDocument/2006/relationships/hyperlink" Target="http://dlvr.it/" TargetMode="External"/><Relationship Id="rId290" Type="http://schemas.openxmlformats.org/officeDocument/2006/relationships/hyperlink" Target="http://dlvr.it/" TargetMode="External"/><Relationship Id="rId291" Type="http://schemas.openxmlformats.org/officeDocument/2006/relationships/hyperlink" Target="http://dlvr.it/" TargetMode="External"/><Relationship Id="rId292" Type="http://schemas.openxmlformats.org/officeDocument/2006/relationships/hyperlink" Target="http://dlvr.it/" TargetMode="External"/><Relationship Id="rId293" Type="http://schemas.openxmlformats.org/officeDocument/2006/relationships/hyperlink" Target="http://dlvr.it/" TargetMode="External"/><Relationship Id="rId294" Type="http://schemas.openxmlformats.org/officeDocument/2006/relationships/hyperlink" Target="http://dlvr.it/" TargetMode="External"/><Relationship Id="rId295" Type="http://schemas.openxmlformats.org/officeDocument/2006/relationships/hyperlink" Target="http://dlvr.it/" TargetMode="External"/><Relationship Id="rId296" Type="http://schemas.openxmlformats.org/officeDocument/2006/relationships/hyperlink" Target="http://dlvr.it/" TargetMode="External"/><Relationship Id="rId297" Type="http://schemas.openxmlformats.org/officeDocument/2006/relationships/hyperlink" Target="http://dlvr.it/" TargetMode="External"/><Relationship Id="rId298" Type="http://schemas.openxmlformats.org/officeDocument/2006/relationships/hyperlink" Target="http://Twibble.io/" TargetMode="External"/><Relationship Id="rId299" Type="http://schemas.openxmlformats.org/officeDocument/2006/relationships/hyperlink" Target="http://Twibble.io/" TargetMode="External"/><Relationship Id="rId300" Type="http://schemas.openxmlformats.org/officeDocument/2006/relationships/hyperlink" Target="https://t.co/D0cz6C8q4U" TargetMode="External"/><Relationship Id="rId301" Type="http://schemas.openxmlformats.org/officeDocument/2006/relationships/hyperlink" Target="http://dlvr.it/" TargetMode="External"/><Relationship Id="rId302" Type="http://schemas.openxmlformats.org/officeDocument/2006/relationships/hyperlink" Target="http://XaniaTube.com/" TargetMode="External"/><Relationship Id="rId303" Type="http://schemas.openxmlformats.org/officeDocument/2006/relationships/hyperlink" Target="http://WordPress.com/" TargetMode="External"/><Relationship Id="rId304" Type="http://schemas.openxmlformats.org/officeDocument/2006/relationships/hyperlink" Target="http://WordPress.com/" TargetMode="External"/><Relationship Id="rId305" Type="http://schemas.openxmlformats.org/officeDocument/2006/relationships/hyperlink" Target="http://WordPress.com/" TargetMode="External"/><Relationship Id="rId306" Type="http://schemas.openxmlformats.org/officeDocument/2006/relationships/hyperlink" Target="http://NewsInn.org/" TargetMode="External"/><Relationship Id="rId307" Type="http://schemas.openxmlformats.org/officeDocument/2006/relationships/hyperlink" Target="http://SnappyTV.com/" TargetMode="External"/><Relationship Id="rId308" Type="http://schemas.openxmlformats.org/officeDocument/2006/relationships/hyperlink" Target="http://dlvr.it/" TargetMode="External"/><Relationship Id="rId309" Type="http://schemas.openxmlformats.org/officeDocument/2006/relationships/hyperlink" Target="http://dlvr.it/" TargetMode="External"/><Relationship Id="rId310" Type="http://schemas.openxmlformats.org/officeDocument/2006/relationships/hyperlink" Target="http://dlvr.it/" TargetMode="External"/><Relationship Id="rId311" Type="http://schemas.openxmlformats.org/officeDocument/2006/relationships/hyperlink" Target="http://dlvr.it/" TargetMode="External"/><Relationship Id="rId312" Type="http://schemas.openxmlformats.org/officeDocument/2006/relationships/hyperlink" Target="http://dlvr.it/" TargetMode="External"/><Relationship Id="rId313" Type="http://schemas.openxmlformats.org/officeDocument/2006/relationships/hyperlink" Target="http://dlvr.it/" TargetMode="External"/><Relationship Id="rId314" Type="http://schemas.openxmlformats.org/officeDocument/2006/relationships/hyperlink" Target="http://factsfeeding.com/" TargetMode="External"/><Relationship Id="rId315" Type="http://schemas.openxmlformats.org/officeDocument/2006/relationships/hyperlink" Target="http://WordPress.com/" TargetMode="External"/><Relationship Id="rId316" Type="http://schemas.openxmlformats.org/officeDocument/2006/relationships/hyperlink" Target="http://JustBigNews.com/" TargetMode="External"/><Relationship Id="rId317" Type="http://schemas.openxmlformats.org/officeDocument/2006/relationships/hyperlink" Target="http://dlvr.it/" TargetMode="External"/><Relationship Id="rId318" Type="http://schemas.openxmlformats.org/officeDocument/2006/relationships/hyperlink" Target="http://dlvr.it/" TargetMode="External"/><Relationship Id="rId319" Type="http://schemas.openxmlformats.org/officeDocument/2006/relationships/hyperlink" Target="http://dlvr.it/" TargetMode="External"/><Relationship Id="rId320" Type="http://schemas.openxmlformats.org/officeDocument/2006/relationships/hyperlink" Target="http://dlvr.it/" TargetMode="External"/><Relationship Id="rId321" Type="http://schemas.openxmlformats.org/officeDocument/2006/relationships/hyperlink" Target="http://AllStartups.in/" TargetMode="External"/><Relationship Id="rId322" Type="http://schemas.openxmlformats.org/officeDocument/2006/relationships/hyperlink" Target="http://dlvr.it/" TargetMode="External"/><Relationship Id="rId323" Type="http://schemas.openxmlformats.org/officeDocument/2006/relationships/hyperlink" Target="http://WLST.com/" TargetMode="External"/><Relationship Id="rId324" Type="http://schemas.openxmlformats.org/officeDocument/2006/relationships/hyperlink" Target="http://WordPress.com/" TargetMode="External"/><Relationship Id="rId325" Type="http://schemas.openxmlformats.org/officeDocument/2006/relationships/hyperlink" Target="https://t.co/DmV15TKpZ8" TargetMode="External"/><Relationship Id="rId326" Type="http://schemas.openxmlformats.org/officeDocument/2006/relationships/hyperlink" Target="http://dlvr.it/" TargetMode="External"/><Relationship Id="rId327" Type="http://schemas.openxmlformats.org/officeDocument/2006/relationships/hyperlink" Target="http://dlvr.it/" TargetMode="External"/><Relationship Id="rId328" Type="http://schemas.openxmlformats.org/officeDocument/2006/relationships/hyperlink" Target="http://dlvr.it/" TargetMode="External"/><Relationship Id="rId329" Type="http://schemas.openxmlformats.org/officeDocument/2006/relationships/hyperlink" Target="http://dlvr.it/" TargetMode="External"/><Relationship Id="rId330" Type="http://schemas.openxmlformats.org/officeDocument/2006/relationships/hyperlink" Target="http://dlvr.it/" TargetMode="External"/><Relationship Id="rId331" Type="http://schemas.openxmlformats.org/officeDocument/2006/relationships/hyperlink" Target="http://dlvr.it/" TargetMode="External"/><Relationship Id="rId332" Type="http://schemas.openxmlformats.org/officeDocument/2006/relationships/hyperlink" Target="http://WordPress.com/" TargetMode="External"/><Relationship Id="rId333" Type="http://schemas.openxmlformats.org/officeDocument/2006/relationships/hyperlink" Target="http://WordPress.com/" TargetMode="External"/><Relationship Id="rId334" Type="http://schemas.openxmlformats.org/officeDocument/2006/relationships/hyperlink" Target="http://WordPress.com/" TargetMode="External"/><Relationship Id="rId335" Type="http://schemas.openxmlformats.org/officeDocument/2006/relationships/hyperlink" Target="http://dlvr.it/" TargetMode="External"/><Relationship Id="rId336" Type="http://schemas.openxmlformats.org/officeDocument/2006/relationships/hyperlink" Target="http://NewsInn.org/" TargetMode="External"/><Relationship Id="rId337" Type="http://schemas.openxmlformats.org/officeDocument/2006/relationships/hyperlink" Target="http://Twibble.io/" TargetMode="External"/><Relationship Id="rId338" Type="http://schemas.openxmlformats.org/officeDocument/2006/relationships/hyperlink" Target="http://dlvr.it/" TargetMode="External"/><Relationship Id="rId339" Type="http://schemas.openxmlformats.org/officeDocument/2006/relationships/hyperlink" Target="http://dlvr.it/" TargetMode="External"/><Relationship Id="rId340" Type="http://schemas.openxmlformats.org/officeDocument/2006/relationships/hyperlink" Target="http://www.zyite.com/" TargetMode="External"/><Relationship Id="rId341" Type="http://schemas.openxmlformats.org/officeDocument/2006/relationships/hyperlink" Target="http://dlvr.it/" TargetMode="External"/><Relationship Id="rId342" Type="http://schemas.openxmlformats.org/officeDocument/2006/relationships/hyperlink" Target="http://twittbot.net/" TargetMode="External"/><Relationship Id="rId343" Type="http://schemas.openxmlformats.org/officeDocument/2006/relationships/hyperlink" Target="http://NewsBoss.in/" TargetMode="External"/><Relationship Id="rId344" Type="http://schemas.openxmlformats.org/officeDocument/2006/relationships/hyperlink" Target="http://NewsBoss.in/" TargetMode="External"/><Relationship Id="rId345" Type="http://schemas.openxmlformats.org/officeDocument/2006/relationships/hyperlink" Target="http://WordPress.com/" TargetMode="External"/><Relationship Id="rId346" Type="http://schemas.openxmlformats.org/officeDocument/2006/relationships/hyperlink" Target="http://WordPress.com/" TargetMode="External"/><Relationship Id="rId347" Type="http://schemas.openxmlformats.org/officeDocument/2006/relationships/hyperlink" Target="http://twittbot.net/" TargetMode="External"/><Relationship Id="rId348" Type="http://schemas.openxmlformats.org/officeDocument/2006/relationships/hyperlink" Target="https://t.co/HKKJOrlh9H" TargetMode="External"/><Relationship Id="rId349" Type="http://schemas.openxmlformats.org/officeDocument/2006/relationships/hyperlink" Target="http://twittbot.net/" TargetMode="External"/><Relationship Id="rId350" Type="http://schemas.openxmlformats.org/officeDocument/2006/relationships/hyperlink" Target="http://dlvr.it/" TargetMode="External"/><Relationship Id="rId351" Type="http://schemas.openxmlformats.org/officeDocument/2006/relationships/hyperlink" Target="http://TheJournal.ie/" TargetMode="External"/><Relationship Id="rId352" Type="http://schemas.openxmlformats.org/officeDocument/2006/relationships/hyperlink" Target="http://instagram.com/lindayueh" TargetMode="External"/><Relationship Id="rId353" Type="http://schemas.openxmlformats.org/officeDocument/2006/relationships/hyperlink" Target="http://twittbot.net/" TargetMode="External"/><Relationship Id="rId354" Type="http://schemas.openxmlformats.org/officeDocument/2006/relationships/hyperlink" Target="http://ShareBoss.in/" TargetMode="External"/><Relationship Id="rId355" Type="http://schemas.openxmlformats.org/officeDocument/2006/relationships/hyperlink" Target="http://ShareBoss.in/" TargetMode="External"/><Relationship Id="rId356" Type="http://schemas.openxmlformats.org/officeDocument/2006/relationships/hyperlink" Target="http://ShareBoss.in/" TargetMode="External"/><Relationship Id="rId357" Type="http://schemas.openxmlformats.org/officeDocument/2006/relationships/hyperlink" Target="http://twittbot.net/" TargetMode="External"/><Relationship Id="rId358" Type="http://schemas.openxmlformats.org/officeDocument/2006/relationships/hyperlink" Target="http://Needlehole.com/" TargetMode="External"/><Relationship Id="rId359" Type="http://schemas.openxmlformats.org/officeDocument/2006/relationships/hyperlink" Target="http://Tibet.net/" TargetMode="External"/><Relationship Id="rId360" Type="http://schemas.openxmlformats.org/officeDocument/2006/relationships/hyperlink" Target="http://StoriesFlow.com/" TargetMode="External"/><Relationship Id="rId361" Type="http://schemas.openxmlformats.org/officeDocument/2006/relationships/hyperlink" Target="http://GoaTrance.NET/" TargetMode="External"/><Relationship Id="rId362" Type="http://schemas.openxmlformats.org/officeDocument/2006/relationships/hyperlink" Target="http://twittbot.net/" TargetMode="External"/><Relationship Id="rId363" Type="http://schemas.openxmlformats.org/officeDocument/2006/relationships/hyperlink" Target="http://dlvr.it/" TargetMode="External"/><Relationship Id="rId364" Type="http://schemas.openxmlformats.org/officeDocument/2006/relationships/hyperlink" Target="http://dlvr.it/" TargetMode="External"/><Relationship Id="rId365" Type="http://schemas.openxmlformats.org/officeDocument/2006/relationships/hyperlink" Target="http://Twibble.io/" TargetMode="External"/><Relationship Id="rId366" Type="http://schemas.openxmlformats.org/officeDocument/2006/relationships/hyperlink" Target="http://dlvr.it/" TargetMode="External"/><Relationship Id="rId367" Type="http://schemas.openxmlformats.org/officeDocument/2006/relationships/hyperlink" Target="https://t.co/W0pL7gQLng" TargetMode="External"/><Relationship Id="rId368" Type="http://schemas.openxmlformats.org/officeDocument/2006/relationships/hyperlink" Target="http://dlvr.it/" TargetMode="External"/><Relationship Id="rId369" Type="http://schemas.openxmlformats.org/officeDocument/2006/relationships/hyperlink" Target="http://dlvr.it/" TargetMode="External"/><Relationship Id="rId370" Type="http://schemas.openxmlformats.org/officeDocument/2006/relationships/hyperlink" Target="http://dlvr.it/" TargetMode="External"/><Relationship Id="rId371" Type="http://schemas.openxmlformats.org/officeDocument/2006/relationships/hyperlink" Target="http://dlvr.it/" TargetMode="External"/><Relationship Id="rId372" Type="http://schemas.openxmlformats.org/officeDocument/2006/relationships/hyperlink" Target="http://WordPress.com/" TargetMode="External"/><Relationship Id="rId373" Type="http://schemas.openxmlformats.org/officeDocument/2006/relationships/hyperlink" Target="http://t.co/MuN1RHEaBX" TargetMode="External"/><Relationship Id="rId374" Type="http://schemas.openxmlformats.org/officeDocument/2006/relationships/hyperlink" Target="http://dlvr.it/" TargetMode="External"/><Relationship Id="rId375" Type="http://schemas.openxmlformats.org/officeDocument/2006/relationships/hyperlink" Target="http://WordPress.com/" TargetMode="External"/><Relationship Id="rId376" Type="http://schemas.openxmlformats.org/officeDocument/2006/relationships/hyperlink" Target="http://www.zyite.com/" TargetMode="External"/><Relationship Id="rId377" Type="http://schemas.openxmlformats.org/officeDocument/2006/relationships/hyperlink" Target="http://Zapier.com/" TargetMode="External"/><Relationship Id="rId378" Type="http://schemas.openxmlformats.org/officeDocument/2006/relationships/hyperlink" Target="http://WordPress.com/" TargetMode="External"/><Relationship Id="rId379" Type="http://schemas.openxmlformats.org/officeDocument/2006/relationships/hyperlink" Target="http://SnappyTV.com/" TargetMode="External"/><Relationship Id="rId380" Type="http://schemas.openxmlformats.org/officeDocument/2006/relationships/hyperlink" Target="http://SnappyTV.com/" TargetMode="External"/><Relationship Id="rId381" Type="http://schemas.openxmlformats.org/officeDocument/2006/relationships/hyperlink" Target="http://NewsNumber.Com/" TargetMode="External"/><Relationship Id="rId382" Type="http://schemas.openxmlformats.org/officeDocument/2006/relationships/hyperlink" Target="http://WordPress.com/" TargetMode="External"/><Relationship Id="rId383" Type="http://schemas.openxmlformats.org/officeDocument/2006/relationships/hyperlink" Target="http://SnappyTV.com/" TargetMode="External"/><Relationship Id="rId384" Type="http://schemas.openxmlformats.org/officeDocument/2006/relationships/hyperlink" Target="http://SnappyTV.com/" TargetMode="External"/><Relationship Id="rId385" Type="http://schemas.openxmlformats.org/officeDocument/2006/relationships/hyperlink" Target="http://dlvr.it/" TargetMode="External"/><Relationship Id="rId386" Type="http://schemas.openxmlformats.org/officeDocument/2006/relationships/hyperlink" Target="http://SnappyTV.com/" TargetMode="External"/><Relationship Id="rId387" Type="http://schemas.openxmlformats.org/officeDocument/2006/relationships/hyperlink" Target="http://SnappyTV.com/" TargetMode="External"/><Relationship Id="rId388" Type="http://schemas.openxmlformats.org/officeDocument/2006/relationships/hyperlink" Target="http://dlvr.it/" TargetMode="External"/><Relationship Id="rId389" Type="http://schemas.openxmlformats.org/officeDocument/2006/relationships/hyperlink" Target="http://Sokodirectory.com/" TargetMode="External"/><Relationship Id="rId390" Type="http://schemas.openxmlformats.org/officeDocument/2006/relationships/hyperlink" Target="http://WordPress.com/" TargetMode="External"/><Relationship Id="rId391" Type="http://schemas.openxmlformats.org/officeDocument/2006/relationships/hyperlink" Target="http://WordPress.com/" TargetMode="External"/><Relationship Id="rId392" Type="http://schemas.openxmlformats.org/officeDocument/2006/relationships/hyperlink" Target="http://dlvr.it/" TargetMode="External"/><Relationship Id="rId393" Type="http://schemas.openxmlformats.org/officeDocument/2006/relationships/hyperlink" Target="http://dlvr.it/" TargetMode="External"/><Relationship Id="rId394" Type="http://schemas.openxmlformats.org/officeDocument/2006/relationships/hyperlink" Target="http://dlvr.it/" TargetMode="External"/><Relationship Id="rId395" Type="http://schemas.openxmlformats.org/officeDocument/2006/relationships/hyperlink" Target="http://twittbot.net/" TargetMode="External"/><Relationship Id="rId396" Type="http://schemas.openxmlformats.org/officeDocument/2006/relationships/hyperlink" Target="http://SnappyTV.com/" TargetMode="External"/><Relationship Id="rId397" Type="http://schemas.openxmlformats.org/officeDocument/2006/relationships/hyperlink" Target="http://twittbot.net/" TargetMode="External"/><Relationship Id="rId398" Type="http://schemas.openxmlformats.org/officeDocument/2006/relationships/hyperlink" Target="http://www.linkedin.com/pub/da" TargetMode="External"/><Relationship Id="rId399" Type="http://schemas.openxmlformats.org/officeDocument/2006/relationships/hyperlink" Target="http://dlvr.it/" TargetMode="External"/><Relationship Id="rId400" Type="http://schemas.openxmlformats.org/officeDocument/2006/relationships/hyperlink" Target="http://dlvr.it/" TargetMode="External"/><Relationship Id="rId401" Type="http://schemas.openxmlformats.org/officeDocument/2006/relationships/hyperlink" Target="http://WordPress.com/" TargetMode="External"/><Relationship Id="rId402" Type="http://schemas.openxmlformats.org/officeDocument/2006/relationships/hyperlink" Target="http://WordPress.com/" TargetMode="External"/><Relationship Id="rId403" Type="http://schemas.openxmlformats.org/officeDocument/2006/relationships/hyperlink" Target="http://WordPress.com/" TargetMode="External"/><Relationship Id="rId404" Type="http://schemas.openxmlformats.org/officeDocument/2006/relationships/hyperlink" Target="http://AllStartups.in/" TargetMode="External"/><Relationship Id="rId405" Type="http://schemas.openxmlformats.org/officeDocument/2006/relationships/hyperlink" Target="http://Abusidiqu.com/" TargetMode="External"/><Relationship Id="rId406" Type="http://schemas.openxmlformats.org/officeDocument/2006/relationships/hyperlink" Target="https://t.co/nuAY1hJI3u" TargetMode="External"/><Relationship Id="rId407" Type="http://schemas.openxmlformats.org/officeDocument/2006/relationships/hyperlink" Target="http://EnLawded.com/" TargetMode="External"/><Relationship Id="rId408" Type="http://schemas.openxmlformats.org/officeDocument/2006/relationships/hyperlink" Target="https://t.co/1d0DNM2ac0" TargetMode="External"/><Relationship Id="rId409" Type="http://schemas.openxmlformats.org/officeDocument/2006/relationships/hyperlink" Target="http://dlvr.it/" TargetMode="External"/><Relationship Id="rId410" Type="http://schemas.openxmlformats.org/officeDocument/2006/relationships/hyperlink" Target="http://dlvr.it/" TargetMode="External"/><Relationship Id="rId411" Type="http://schemas.openxmlformats.org/officeDocument/2006/relationships/hyperlink" Target="http://WordPress.com/" TargetMode="External"/><Relationship Id="rId412" Type="http://schemas.openxmlformats.org/officeDocument/2006/relationships/hyperlink" Target="http://WordPress.com/" TargetMode="External"/><Relationship Id="rId413" Type="http://schemas.openxmlformats.org/officeDocument/2006/relationships/hyperlink" Target="http://dlvr.it/" TargetMode="External"/><Relationship Id="rId414" Type="http://schemas.openxmlformats.org/officeDocument/2006/relationships/hyperlink" Target="http://WordPress.com/" TargetMode="External"/><Relationship Id="rId415" Type="http://schemas.openxmlformats.org/officeDocument/2006/relationships/hyperlink" Target="http://dlvr.it/" TargetMode="External"/><Relationship Id="rId416" Type="http://schemas.openxmlformats.org/officeDocument/2006/relationships/hyperlink" Target="http://WordPress.com/" TargetMode="External"/><Relationship Id="rId417" Type="http://schemas.openxmlformats.org/officeDocument/2006/relationships/hyperlink" Target="http://dlvr.it/" TargetMode="External"/><Relationship Id="rId418" Type="http://schemas.openxmlformats.org/officeDocument/2006/relationships/hyperlink" Target="http://Hamassenger.com/" TargetMode="External"/><Relationship Id="rId419" Type="http://schemas.openxmlformats.org/officeDocument/2006/relationships/hyperlink" Target="http://Hamassenger.com/" TargetMode="External"/><Relationship Id="rId420" Type="http://schemas.openxmlformats.org/officeDocument/2006/relationships/hyperlink" Target="http://Zapier.com/" TargetMode="External"/><Relationship Id="rId421" Type="http://schemas.openxmlformats.org/officeDocument/2006/relationships/hyperlink" Target="http://dlvr.it/" TargetMode="External"/><Relationship Id="rId422" Type="http://schemas.openxmlformats.org/officeDocument/2006/relationships/hyperlink" Target="http://dlvr.it/" TargetMode="External"/><Relationship Id="rId423" Type="http://schemas.openxmlformats.org/officeDocument/2006/relationships/hyperlink" Target="http://Abusidiqu.com/" TargetMode="External"/><Relationship Id="rId424" Type="http://schemas.openxmlformats.org/officeDocument/2006/relationships/hyperlink" Target="http://dlvr.it/" TargetMode="External"/><Relationship Id="rId425" Type="http://schemas.openxmlformats.org/officeDocument/2006/relationships/hyperlink" Target="http://dlvr.it/" TargetMode="External"/><Relationship Id="rId426" Type="http://schemas.openxmlformats.org/officeDocument/2006/relationships/hyperlink" Target="http://Abusidiqu.com/" TargetMode="External"/><Relationship Id="rId427" Type="http://schemas.openxmlformats.org/officeDocument/2006/relationships/hyperlink" Target="http://dlvr.it/" TargetMode="External"/><Relationship Id="rId428" Type="http://schemas.openxmlformats.org/officeDocument/2006/relationships/hyperlink" Target="http://dlvr.it/" TargetMode="External"/><Relationship Id="rId429" Type="http://schemas.openxmlformats.org/officeDocument/2006/relationships/hyperlink" Target="http://dlvr.it/" TargetMode="External"/><Relationship Id="rId430" Type="http://schemas.openxmlformats.org/officeDocument/2006/relationships/hyperlink" Target="http://dlvr.it/" TargetMode="External"/><Relationship Id="rId431" Type="http://schemas.openxmlformats.org/officeDocument/2006/relationships/hyperlink" Target="http://dlvr.it/" TargetMode="External"/><Relationship Id="rId432" Type="http://schemas.openxmlformats.org/officeDocument/2006/relationships/hyperlink" Target="http://BIGSpacer.com/" TargetMode="External"/><Relationship Id="rId433" Type="http://schemas.openxmlformats.org/officeDocument/2006/relationships/hyperlink" Target="http://ShareBoss.in/" TargetMode="External"/><Relationship Id="rId434" Type="http://schemas.openxmlformats.org/officeDocument/2006/relationships/hyperlink" Target="http://AllStartups.in/" TargetMode="External"/><Relationship Id="rId435" Type="http://schemas.openxmlformats.org/officeDocument/2006/relationships/hyperlink" Target="http://dlvr.it/" TargetMode="External"/><Relationship Id="rId436" Type="http://schemas.openxmlformats.org/officeDocument/2006/relationships/hyperlink" Target="http://dlvr.it/" TargetMode="External"/><Relationship Id="rId437" Type="http://schemas.openxmlformats.org/officeDocument/2006/relationships/hyperlink" Target="http://WordPress.com/" TargetMode="External"/><Relationship Id="rId438" Type="http://schemas.openxmlformats.org/officeDocument/2006/relationships/hyperlink" Target="http://WordPress.com/" TargetMode="External"/><Relationship Id="rId439" Type="http://schemas.openxmlformats.org/officeDocument/2006/relationships/hyperlink" Target="http://SnappyTV.com/" TargetMode="External"/><Relationship Id="rId440" Type="http://schemas.openxmlformats.org/officeDocument/2006/relationships/hyperlink" Target="http://SnappyTV.com/" TargetMode="External"/><Relationship Id="rId441" Type="http://schemas.openxmlformats.org/officeDocument/2006/relationships/hyperlink" Target="http://SnappyTV.com/" TargetMode="External"/><Relationship Id="rId442" Type="http://schemas.openxmlformats.org/officeDocument/2006/relationships/hyperlink" Target="http://SnappyTV.com/" TargetMode="External"/><Relationship Id="rId443" Type="http://schemas.openxmlformats.org/officeDocument/2006/relationships/hyperlink" Target="http://Googlemystyle.com/" TargetMode="External"/><Relationship Id="rId444" Type="http://schemas.openxmlformats.org/officeDocument/2006/relationships/hyperlink" Target="http://dlvr.it/" TargetMode="External"/><Relationship Id="rId445" Type="http://schemas.openxmlformats.org/officeDocument/2006/relationships/hyperlink" Target="http://NewsOnePlace.com/" TargetMode="External"/><Relationship Id="rId446" Type="http://schemas.openxmlformats.org/officeDocument/2006/relationships/hyperlink" Target="http://ShareBoss.in/" TargetMode="External"/><Relationship Id="rId447" Type="http://schemas.openxmlformats.org/officeDocument/2006/relationships/hyperlink" Target="http://dlvr.it/" TargetMode="External"/><Relationship Id="rId448" Type="http://schemas.openxmlformats.org/officeDocument/2006/relationships/hyperlink" Target="http://www.facebook.com/doctorreefer/" TargetMode="External"/><Relationship Id="rId449" Type="http://schemas.openxmlformats.org/officeDocument/2006/relationships/hyperlink" Target="http://www.facebook.com/doctorreefer/" TargetMode="External"/><Relationship Id="rId450" Type="http://schemas.openxmlformats.org/officeDocument/2006/relationships/hyperlink" Target="http://WordPress.com/" TargetMode="External"/><Relationship Id="rId451" Type="http://schemas.openxmlformats.org/officeDocument/2006/relationships/hyperlink" Target="http://WordPress.com/" TargetMode="External"/><Relationship Id="rId452" Type="http://schemas.openxmlformats.org/officeDocument/2006/relationships/hyperlink" Target="https://t.co/1d0DNM2ac0" TargetMode="External"/><Relationship Id="rId453" Type="http://schemas.openxmlformats.org/officeDocument/2006/relationships/hyperlink" Target="http://theTrumpet.com/" TargetMode="Externa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P65536"/>
  <sheetViews>
    <sheetView showFormulas="false" showGridLines="true" showRowColHeaders="true" showZeros="true" rightToLeft="false" tabSelected="true" showOutlineSymbols="true" defaultGridColor="true" view="normal" topLeftCell="G1" colorId="64" zoomScale="100" zoomScaleNormal="100" zoomScalePageLayoutView="100" workbookViewId="0">
      <pane xSplit="0" ySplit="2" topLeftCell="A9215" activePane="bottomLeft" state="frozen"/>
      <selection pane="topLeft" activeCell="G1" activeCellId="0" sqref="G1"/>
      <selection pane="bottomLeft" activeCell="A8946" activeCellId="0" sqref="A8946:P9233"/>
    </sheetView>
  </sheetViews>
  <sheetFormatPr defaultRowHeight="15.75" zeroHeight="false" outlineLevelRow="0" outlineLevelCol="0"/>
  <cols>
    <col collapsed="false" customWidth="true" hidden="false" outlineLevel="0" max="1" min="1" style="0" width="15.29"/>
    <col collapsed="false" customWidth="true" hidden="false" outlineLevel="0" max="2" min="2" style="0" width="14.43"/>
    <col collapsed="false" customWidth="true" hidden="false" outlineLevel="0" max="3" min="3" style="0" width="16.29"/>
    <col collapsed="false" customWidth="true" hidden="false" outlineLevel="0" max="4" min="4" style="0" width="113.86"/>
    <col collapsed="false" customWidth="true" hidden="false" outlineLevel="0" max="5" min="5" style="0" width="17.71"/>
    <col collapsed="false" customWidth="true" hidden="false" outlineLevel="0" max="6" min="6" style="0" width="16.14"/>
    <col collapsed="false" customWidth="true" hidden="false" outlineLevel="0" max="12" min="7" style="0" width="11.14"/>
    <col collapsed="false" customWidth="true" hidden="false" outlineLevel="0" max="13" min="13" style="0" width="14.43"/>
    <col collapsed="false" customWidth="true" hidden="false" outlineLevel="0" max="14" min="14" style="0" width="18.86"/>
    <col collapsed="false" customWidth="true" hidden="false" outlineLevel="0" max="16" min="15" style="0" width="11.99"/>
    <col collapsed="false" customWidth="true" hidden="false" outlineLevel="0" max="1025" min="17" style="0" width="14.43"/>
  </cols>
  <sheetData>
    <row r="1" customFormat="false" ht="25.5" hidden="false" customHeight="true" outlineLevel="0" collapsed="false">
      <c r="A1" s="1" t="s">
        <v>0</v>
      </c>
      <c r="B1" s="1"/>
      <c r="C1" s="1"/>
      <c r="D1" s="1"/>
      <c r="E1" s="1"/>
      <c r="F1" s="1"/>
      <c r="G1" s="2" t="s">
        <v>1</v>
      </c>
      <c r="H1" s="2"/>
      <c r="I1" s="2"/>
      <c r="J1" s="2"/>
      <c r="K1" s="2"/>
      <c r="L1" s="2"/>
      <c r="M1" s="2"/>
      <c r="N1" s="2"/>
      <c r="O1" s="2"/>
      <c r="P1" s="3"/>
    </row>
    <row r="2" customFormat="false" ht="29.25" hidden="false" customHeight="true" outlineLevel="0" collapsed="false">
      <c r="A2" s="4" t="s">
        <v>2</v>
      </c>
      <c r="B2" s="5" t="s">
        <v>3</v>
      </c>
      <c r="C2" s="5" t="s">
        <v>4</v>
      </c>
      <c r="D2" s="5" t="s">
        <v>5</v>
      </c>
      <c r="E2" s="5" t="s">
        <v>6</v>
      </c>
      <c r="F2" s="5" t="s">
        <v>7</v>
      </c>
      <c r="G2" s="5" t="s">
        <v>8</v>
      </c>
      <c r="H2" s="5" t="s">
        <v>9</v>
      </c>
      <c r="I2" s="5" t="s">
        <v>10</v>
      </c>
      <c r="J2" s="5" t="s">
        <v>11</v>
      </c>
      <c r="K2" s="5" t="s">
        <v>12</v>
      </c>
      <c r="L2" s="5" t="s">
        <v>13</v>
      </c>
      <c r="M2" s="5" t="s">
        <v>14</v>
      </c>
      <c r="N2" s="5" t="s">
        <v>15</v>
      </c>
      <c r="O2" s="5" t="s">
        <v>16</v>
      </c>
      <c r="P2" s="5" t="s">
        <v>17</v>
      </c>
    </row>
    <row r="3" customFormat="false" ht="15.75" hidden="false" customHeight="false" outlineLevel="0" collapsed="false">
      <c r="A3" s="6" t="n">
        <v>43025.547337963</v>
      </c>
      <c r="B3" s="7" t="str">
        <f aca="false">HYPERLINK("https://twitter.com/globemail_diff","@globemail_diff")</f>
        <v>@globemail_diff</v>
      </c>
      <c r="C3" s="8" t="s">
        <v>18</v>
      </c>
      <c r="D3" s="8" t="s">
        <v>19</v>
      </c>
      <c r="E3" s="9" t="str">
        <f aca="false">HYPERLINK("https://twitter.com/globemail_diff/status/920380940010115072","920380940010115072")</f>
        <v>920380940010115072</v>
      </c>
      <c r="F3" s="10" t="s">
        <v>18</v>
      </c>
      <c r="G3" s="10" t="n">
        <v>58</v>
      </c>
      <c r="H3" s="10" t="n">
        <v>0</v>
      </c>
      <c r="I3" s="10" t="n">
        <v>0</v>
      </c>
      <c r="J3" s="10" t="n">
        <v>0</v>
      </c>
      <c r="K3" s="10" t="s">
        <v>20</v>
      </c>
      <c r="L3" s="11" t="n">
        <v>42745.7052199074</v>
      </c>
      <c r="M3" s="12" t="s">
        <v>21</v>
      </c>
      <c r="N3" s="12" t="s">
        <v>22</v>
      </c>
      <c r="O3" s="9" t="str">
        <f aca="false">HYPERLINK("https://pbs.twimg.com/profile_images/818987127077601280/X40wQW1R_normal.jpg","View")</f>
        <v>View</v>
      </c>
      <c r="P3" s="10"/>
    </row>
    <row r="4" customFormat="false" ht="15.75" hidden="false" customHeight="false" outlineLevel="0" collapsed="false">
      <c r="A4" s="6" t="n">
        <v>43025.5754976852</v>
      </c>
      <c r="B4" s="7" t="str">
        <f aca="false">HYPERLINK("https://twitter.com/hyper_Nation1","@hyper_Nation1")</f>
        <v>@hyper_Nation1</v>
      </c>
      <c r="C4" s="8" t="s">
        <v>23</v>
      </c>
      <c r="D4" s="8" t="s">
        <v>24</v>
      </c>
      <c r="E4" s="9" t="str">
        <f aca="false">HYPERLINK("https://twitter.com/hyper_Nation1/status/920391143929520128","920391143929520128")</f>
        <v>920391143929520128</v>
      </c>
      <c r="F4" s="10" t="s">
        <v>25</v>
      </c>
      <c r="G4" s="10" t="n">
        <v>292</v>
      </c>
      <c r="H4" s="10" t="n">
        <v>203</v>
      </c>
      <c r="I4" s="10" t="n">
        <v>51</v>
      </c>
      <c r="J4" s="10" t="n">
        <v>0</v>
      </c>
      <c r="K4" s="10" t="s">
        <v>20</v>
      </c>
      <c r="L4" s="11" t="n">
        <v>43012.6034143519</v>
      </c>
      <c r="M4" s="12" t="s">
        <v>26</v>
      </c>
      <c r="N4" s="12" t="s">
        <v>27</v>
      </c>
      <c r="O4" s="9" t="str">
        <f aca="false">HYPERLINK("https://pbs.twimg.com/profile_images/920382333332602880/Q4_pFF9z_normal.jpg","View")</f>
        <v>View</v>
      </c>
      <c r="P4" s="10"/>
    </row>
    <row r="5" customFormat="false" ht="15.75" hidden="false" customHeight="false" outlineLevel="0" collapsed="false">
      <c r="A5" s="6" t="n">
        <v>43025.6084722222</v>
      </c>
      <c r="B5" s="7" t="str">
        <f aca="false">HYPERLINK("https://twitter.com/TaxTrendsWeekly","@TaxTrendsWeekly")</f>
        <v>@TaxTrendsWeekly</v>
      </c>
      <c r="C5" s="8" t="s">
        <v>28</v>
      </c>
      <c r="D5" s="8" t="s">
        <v>29</v>
      </c>
      <c r="E5" s="9" t="str">
        <f aca="false">HYPERLINK("https://twitter.com/TaxTrendsWeekly/status/920403093522612225","920403093522612225")</f>
        <v>920403093522612225</v>
      </c>
      <c r="F5" s="9" t="s">
        <v>30</v>
      </c>
      <c r="G5" s="10" t="n">
        <v>122</v>
      </c>
      <c r="H5" s="10" t="n">
        <v>433</v>
      </c>
      <c r="I5" s="10" t="n">
        <v>0</v>
      </c>
      <c r="J5" s="10" t="n">
        <v>0</v>
      </c>
      <c r="K5" s="10" t="s">
        <v>20</v>
      </c>
      <c r="L5" s="11" t="n">
        <v>41382.5335069444</v>
      </c>
      <c r="M5" s="12"/>
      <c r="N5" s="12" t="s">
        <v>31</v>
      </c>
      <c r="O5" s="9" t="str">
        <f aca="false">HYPERLINK("https://pbs.twimg.com/profile_images/642039640065576960/soG4lydH_normal.jpg","View")</f>
        <v>View</v>
      </c>
      <c r="P5" s="10"/>
    </row>
    <row r="6" customFormat="false" ht="15.75" hidden="false" customHeight="false" outlineLevel="0" collapsed="false">
      <c r="A6" s="6" t="n">
        <v>43025.6577546296</v>
      </c>
      <c r="B6" s="7" t="str">
        <f aca="false">HYPERLINK("https://twitter.com/Scribulatora","@Scribulatora")</f>
        <v>@Scribulatora</v>
      </c>
      <c r="C6" s="8" t="s">
        <v>32</v>
      </c>
      <c r="D6" s="8" t="s">
        <v>33</v>
      </c>
      <c r="E6" s="9" t="str">
        <f aca="false">HYPERLINK("https://twitter.com/Scribulatora/status/920420952944644097","920420952944644097")</f>
        <v>920420952944644097</v>
      </c>
      <c r="F6" s="10" t="s">
        <v>25</v>
      </c>
      <c r="G6" s="10" t="n">
        <v>797</v>
      </c>
      <c r="H6" s="10" t="n">
        <v>1896</v>
      </c>
      <c r="I6" s="10" t="n">
        <v>0</v>
      </c>
      <c r="J6" s="10" t="n">
        <v>1</v>
      </c>
      <c r="K6" s="10" t="s">
        <v>20</v>
      </c>
      <c r="L6" s="11" t="n">
        <v>41203.5688310185</v>
      </c>
      <c r="M6" s="12" t="s">
        <v>34</v>
      </c>
      <c r="N6" s="12" t="s">
        <v>35</v>
      </c>
      <c r="O6" s="9" t="str">
        <f aca="false">HYPERLINK("https://pbs.twimg.com/profile_images/863225624445505536/GnVMvOxn_normal.jpg","View")</f>
        <v>View</v>
      </c>
      <c r="P6" s="10"/>
    </row>
    <row r="7" customFormat="false" ht="15.75" hidden="false" customHeight="false" outlineLevel="0" collapsed="false">
      <c r="A7" s="6" t="n">
        <v>43025.6588425926</v>
      </c>
      <c r="B7" s="7" t="str">
        <f aca="false">HYPERLINK("https://twitter.com/TaxTrendsWeekly","@TaxTrendsWeekly")</f>
        <v>@TaxTrendsWeekly</v>
      </c>
      <c r="C7" s="8" t="s">
        <v>28</v>
      </c>
      <c r="D7" s="8" t="s">
        <v>36</v>
      </c>
      <c r="E7" s="9" t="str">
        <f aca="false">HYPERLINK("https://twitter.com/TaxTrendsWeekly/status/920421348727455745","920421348727455745")</f>
        <v>920421348727455745</v>
      </c>
      <c r="F7" s="9" t="s">
        <v>30</v>
      </c>
      <c r="G7" s="10" t="n">
        <v>122</v>
      </c>
      <c r="H7" s="10" t="n">
        <v>433</v>
      </c>
      <c r="I7" s="10" t="n">
        <v>0</v>
      </c>
      <c r="J7" s="10" t="n">
        <v>0</v>
      </c>
      <c r="K7" s="10" t="s">
        <v>20</v>
      </c>
      <c r="L7" s="11" t="n">
        <v>41382.5335069444</v>
      </c>
      <c r="M7" s="12"/>
      <c r="N7" s="12" t="s">
        <v>31</v>
      </c>
      <c r="O7" s="9" t="str">
        <f aca="false">HYPERLINK("https://pbs.twimg.com/profile_images/642039640065576960/soG4lydH_normal.jpg","View")</f>
        <v>View</v>
      </c>
      <c r="P7" s="10"/>
    </row>
    <row r="8" customFormat="false" ht="15.75" hidden="false" customHeight="false" outlineLevel="0" collapsed="false">
      <c r="A8" s="6" t="n">
        <v>43025.6604050926</v>
      </c>
      <c r="B8" s="7" t="str">
        <f aca="false">HYPERLINK("https://twitter.com/ShikataGaNai100","@ShikataGaNai100")</f>
        <v>@ShikataGaNai100</v>
      </c>
      <c r="C8" s="8" t="s">
        <v>37</v>
      </c>
      <c r="D8" s="8" t="s">
        <v>38</v>
      </c>
      <c r="E8" s="9" t="str">
        <f aca="false">HYPERLINK("https://twitter.com/ShikataGaNai100/status/920421914975272960","920421914975272960")</f>
        <v>920421914975272960</v>
      </c>
      <c r="F8" s="10" t="s">
        <v>39</v>
      </c>
      <c r="G8" s="10" t="n">
        <v>597</v>
      </c>
      <c r="H8" s="10" t="n">
        <v>155</v>
      </c>
      <c r="I8" s="10" t="n">
        <v>2</v>
      </c>
      <c r="J8" s="10" t="n">
        <v>1</v>
      </c>
      <c r="K8" s="10" t="s">
        <v>20</v>
      </c>
      <c r="L8" s="11" t="n">
        <v>40615.665775463</v>
      </c>
      <c r="M8" s="12" t="s">
        <v>40</v>
      </c>
      <c r="N8" s="12" t="s">
        <v>41</v>
      </c>
      <c r="O8" s="9" t="str">
        <f aca="false">HYPERLINK("https://pbs.twimg.com/profile_images/920401383257526273/WPzkTCLM_normal.jpg","View")</f>
        <v>View</v>
      </c>
      <c r="P8" s="10"/>
    </row>
    <row r="9" customFormat="false" ht="15.75" hidden="false" customHeight="false" outlineLevel="0" collapsed="false">
      <c r="A9" s="6" t="n">
        <v>43025.6725115741</v>
      </c>
      <c r="B9" s="7" t="str">
        <f aca="false">HYPERLINK("https://twitter.com/u3Y4BDE","@u3Y4BDE")</f>
        <v>@u3Y4BDE</v>
      </c>
      <c r="C9" s="8" t="s">
        <v>42</v>
      </c>
      <c r="D9" s="8" t="s">
        <v>43</v>
      </c>
      <c r="E9" s="9" t="str">
        <f aca="false">HYPERLINK("https://twitter.com/u3Y4BDE/status/920426301491736577","920426301491736577")</f>
        <v>920426301491736577</v>
      </c>
      <c r="F9" s="10" t="s">
        <v>39</v>
      </c>
      <c r="G9" s="10" t="n">
        <v>6920</v>
      </c>
      <c r="H9" s="10" t="n">
        <v>7522</v>
      </c>
      <c r="I9" s="10" t="n">
        <v>2</v>
      </c>
      <c r="J9" s="10" t="n">
        <v>0</v>
      </c>
      <c r="K9" s="10" t="s">
        <v>20</v>
      </c>
      <c r="L9" s="11" t="n">
        <v>42341.5358564815</v>
      </c>
      <c r="M9" s="12"/>
      <c r="N9" s="12" t="s">
        <v>44</v>
      </c>
      <c r="O9" s="9" t="str">
        <f aca="false">HYPERLINK("https://pbs.twimg.com/profile_images/905011819475070976/3J0Jo8rN_normal.jpg","View")</f>
        <v>View</v>
      </c>
      <c r="P9" s="10"/>
    </row>
    <row r="10" customFormat="false" ht="15.75" hidden="false" customHeight="false" outlineLevel="0" collapsed="false">
      <c r="A10" s="6" t="n">
        <v>43025.6821759259</v>
      </c>
      <c r="B10" s="7" t="str">
        <f aca="false">HYPERLINK("https://twitter.com/mbwManzoni","@mbwManzoni")</f>
        <v>@mbwManzoni</v>
      </c>
      <c r="C10" s="8" t="s">
        <v>45</v>
      </c>
      <c r="D10" s="8" t="s">
        <v>46</v>
      </c>
      <c r="E10" s="9" t="str">
        <f aca="false">HYPERLINK("https://twitter.com/mbwManzoni/status/920429805291606016","920429805291606016")</f>
        <v>920429805291606016</v>
      </c>
      <c r="F10" s="10" t="s">
        <v>47</v>
      </c>
      <c r="G10" s="10" t="n">
        <v>503</v>
      </c>
      <c r="H10" s="10" t="n">
        <v>1161</v>
      </c>
      <c r="I10" s="10" t="n">
        <v>0</v>
      </c>
      <c r="J10" s="10" t="n">
        <v>0</v>
      </c>
      <c r="K10" s="10" t="s">
        <v>20</v>
      </c>
      <c r="L10" s="11" t="n">
        <v>40440.4984259259</v>
      </c>
      <c r="M10" s="12" t="s">
        <v>48</v>
      </c>
      <c r="N10" s="12" t="s">
        <v>49</v>
      </c>
      <c r="O10" s="9" t="str">
        <f aca="false">HYPERLINK("https://pbs.twimg.com/profile_images/876267141082861569/P5HrOcEH_normal.jpg","View")</f>
        <v>View</v>
      </c>
      <c r="P10" s="10"/>
    </row>
    <row r="11" customFormat="false" ht="15.75" hidden="false" customHeight="false" outlineLevel="0" collapsed="false">
      <c r="A11" s="6" t="n">
        <v>43025.6913657407</v>
      </c>
      <c r="B11" s="7" t="str">
        <f aca="false">HYPERLINK("https://twitter.com/AgcCagch","@AgcCagch")</f>
        <v>@AgcCagch</v>
      </c>
      <c r="C11" s="8" t="s">
        <v>50</v>
      </c>
      <c r="D11" s="8" t="s">
        <v>43</v>
      </c>
      <c r="E11" s="9" t="str">
        <f aca="false">HYPERLINK("https://twitter.com/AgcCagch/status/920433132599369728","920433132599369728")</f>
        <v>920433132599369728</v>
      </c>
      <c r="F11" s="10" t="s">
        <v>51</v>
      </c>
      <c r="G11" s="10" t="n">
        <v>179</v>
      </c>
      <c r="H11" s="10" t="n">
        <v>196</v>
      </c>
      <c r="I11" s="10" t="n">
        <v>2</v>
      </c>
      <c r="J11" s="10" t="n">
        <v>0</v>
      </c>
      <c r="K11" s="10" t="s">
        <v>20</v>
      </c>
      <c r="L11" s="11" t="n">
        <v>42766.8558101852</v>
      </c>
      <c r="M11" s="12" t="s">
        <v>52</v>
      </c>
      <c r="N11" s="12"/>
      <c r="O11" s="9" t="str">
        <f aca="false">HYPERLINK("https://pbs.twimg.com/profile_images/897245436154585088/fcYBqdoU_normal.jpg","View")</f>
        <v>View</v>
      </c>
      <c r="P11" s="10"/>
    </row>
    <row r="12" customFormat="false" ht="15.75" hidden="false" customHeight="false" outlineLevel="0" collapsed="false">
      <c r="A12" s="6" t="n">
        <v>43025.7033796296</v>
      </c>
      <c r="B12" s="7" t="str">
        <f aca="false">HYPERLINK("https://twitter.com/MexicoNewsBot","@MexicoNewsBot")</f>
        <v>@MexicoNewsBot</v>
      </c>
      <c r="C12" s="8" t="s">
        <v>53</v>
      </c>
      <c r="D12" s="8" t="s">
        <v>54</v>
      </c>
      <c r="E12" s="9" t="str">
        <f aca="false">HYPERLINK("https://twitter.com/MexicoNewsBot/status/920437486383521792","920437486383521792")</f>
        <v>920437486383521792</v>
      </c>
      <c r="F12" s="10" t="s">
        <v>55</v>
      </c>
      <c r="G12" s="10" t="n">
        <v>474</v>
      </c>
      <c r="H12" s="10" t="n">
        <v>183</v>
      </c>
      <c r="I12" s="10" t="n">
        <v>0</v>
      </c>
      <c r="J12" s="10" t="n">
        <v>0</v>
      </c>
      <c r="K12" s="10" t="s">
        <v>20</v>
      </c>
      <c r="L12" s="11" t="n">
        <v>41845.7457523148</v>
      </c>
      <c r="M12" s="12"/>
      <c r="N12" s="12"/>
      <c r="O12" s="9" t="str">
        <f aca="false">HYPERLINK("https://pbs.twimg.com/profile_images/492864938445000704/QxvpQrRZ_normal.jpeg","View")</f>
        <v>View</v>
      </c>
      <c r="P12" s="10"/>
    </row>
    <row r="13" customFormat="false" ht="15.75" hidden="false" customHeight="false" outlineLevel="0" collapsed="false">
      <c r="A13" s="6" t="n">
        <v>43025.7822800926</v>
      </c>
      <c r="B13" s="7" t="str">
        <f aca="false">HYPERLINK("https://twitter.com/mbwManzoni","@mbwManzoni")</f>
        <v>@mbwManzoni</v>
      </c>
      <c r="C13" s="8" t="s">
        <v>45</v>
      </c>
      <c r="D13" s="8" t="s">
        <v>56</v>
      </c>
      <c r="E13" s="9" t="str">
        <f aca="false">HYPERLINK("https://twitter.com/mbwManzoni/status/920466077963911168","920466077963911168")</f>
        <v>920466077963911168</v>
      </c>
      <c r="F13" s="10" t="s">
        <v>47</v>
      </c>
      <c r="G13" s="10" t="n">
        <v>503</v>
      </c>
      <c r="H13" s="10" t="n">
        <v>1161</v>
      </c>
      <c r="I13" s="10" t="n">
        <v>0</v>
      </c>
      <c r="J13" s="10" t="n">
        <v>0</v>
      </c>
      <c r="K13" s="10" t="s">
        <v>20</v>
      </c>
      <c r="L13" s="11" t="n">
        <v>40440.4984259259</v>
      </c>
      <c r="M13" s="12" t="s">
        <v>48</v>
      </c>
      <c r="N13" s="12" t="s">
        <v>49</v>
      </c>
      <c r="O13" s="9" t="str">
        <f aca="false">HYPERLINK("https://pbs.twimg.com/profile_images/876267141082861569/P5HrOcEH_normal.jpg","View")</f>
        <v>View</v>
      </c>
      <c r="P13" s="10"/>
    </row>
    <row r="14" customFormat="false" ht="15.75" hidden="false" customHeight="false" outlineLevel="0" collapsed="false">
      <c r="A14" s="6" t="n">
        <v>43025.7992476852</v>
      </c>
      <c r="B14" s="7" t="str">
        <f aca="false">HYPERLINK("https://twitter.com/MexicoNewsBot","@MexicoNewsBot")</f>
        <v>@MexicoNewsBot</v>
      </c>
      <c r="C14" s="8" t="s">
        <v>53</v>
      </c>
      <c r="D14" s="8" t="s">
        <v>57</v>
      </c>
      <c r="E14" s="9" t="str">
        <f aca="false">HYPERLINK("https://twitter.com/MexicoNewsBot/status/920472226738077697","920472226738077697")</f>
        <v>920472226738077697</v>
      </c>
      <c r="F14" s="10" t="s">
        <v>55</v>
      </c>
      <c r="G14" s="10" t="n">
        <v>474</v>
      </c>
      <c r="H14" s="10" t="n">
        <v>183</v>
      </c>
      <c r="I14" s="10" t="n">
        <v>0</v>
      </c>
      <c r="J14" s="10" t="n">
        <v>0</v>
      </c>
      <c r="K14" s="10" t="s">
        <v>20</v>
      </c>
      <c r="L14" s="11" t="n">
        <v>41845.7457523148</v>
      </c>
      <c r="M14" s="12"/>
      <c r="N14" s="12"/>
      <c r="O14" s="9" t="str">
        <f aca="false">HYPERLINK("https://pbs.twimg.com/profile_images/492864938445000704/QxvpQrRZ_normal.jpeg","View")</f>
        <v>View</v>
      </c>
      <c r="P14" s="10"/>
    </row>
    <row r="15" customFormat="false" ht="15.75" hidden="false" customHeight="false" outlineLevel="0" collapsed="false">
      <c r="A15" s="6" t="n">
        <v>43025.8331365741</v>
      </c>
      <c r="B15" s="7" t="str">
        <f aca="false">HYPERLINK("https://twitter.com/iVoteForBest","@iVoteForBest")</f>
        <v>@iVoteForBest</v>
      </c>
      <c r="C15" s="8" t="s">
        <v>58</v>
      </c>
      <c r="D15" s="8" t="s">
        <v>59</v>
      </c>
      <c r="E15" s="9" t="str">
        <f aca="false">HYPERLINK("https://twitter.com/iVoteForBest/status/920484511179268097","920484511179268097")</f>
        <v>920484511179268097</v>
      </c>
      <c r="F15" s="10" t="s">
        <v>60</v>
      </c>
      <c r="G15" s="10" t="n">
        <v>4529</v>
      </c>
      <c r="H15" s="10" t="n">
        <v>0</v>
      </c>
      <c r="I15" s="10" t="n">
        <v>0</v>
      </c>
      <c r="J15" s="10" t="n">
        <v>0</v>
      </c>
      <c r="K15" s="10" t="s">
        <v>20</v>
      </c>
      <c r="L15" s="11" t="n">
        <v>41732.0494444444</v>
      </c>
      <c r="M15" s="12"/>
      <c r="N15" s="12" t="s">
        <v>61</v>
      </c>
      <c r="O15" s="9" t="str">
        <f aca="false">HYPERLINK("https://pbs.twimg.com/profile_images/858421579960639488/4Z7CW4j__normal.jpg","View")</f>
        <v>View</v>
      </c>
      <c r="P15" s="10"/>
    </row>
    <row r="16" customFormat="false" ht="15.75" hidden="false" customHeight="false" outlineLevel="0" collapsed="false">
      <c r="A16" s="6" t="n">
        <v>43025.836412037</v>
      </c>
      <c r="B16" s="7" t="str">
        <f aca="false">HYPERLINK("https://twitter.com/AcheDinAaneWale","@AcheDinAaneWale")</f>
        <v>@AcheDinAaneWale</v>
      </c>
      <c r="C16" s="8" t="s">
        <v>62</v>
      </c>
      <c r="D16" s="8" t="s">
        <v>63</v>
      </c>
      <c r="E16" s="9" t="str">
        <f aca="false">HYPERLINK("https://twitter.com/AcheDinAaneWale/status/920485697685016576","920485697685016576")</f>
        <v>920485697685016576</v>
      </c>
      <c r="F16" s="10" t="s">
        <v>60</v>
      </c>
      <c r="G16" s="10" t="n">
        <v>5272</v>
      </c>
      <c r="H16" s="10" t="n">
        <v>1963</v>
      </c>
      <c r="I16" s="10" t="n">
        <v>0</v>
      </c>
      <c r="J16" s="10" t="n">
        <v>0</v>
      </c>
      <c r="K16" s="10" t="s">
        <v>20</v>
      </c>
      <c r="L16" s="11" t="n">
        <v>41780.2063310185</v>
      </c>
      <c r="M16" s="12" t="s">
        <v>64</v>
      </c>
      <c r="N16" s="12" t="s">
        <v>65</v>
      </c>
      <c r="O16" s="9" t="str">
        <f aca="false">HYPERLINK("https://pbs.twimg.com/profile_images/469240254461796352/nzfPG2gy_normal.jpeg","View")</f>
        <v>View</v>
      </c>
      <c r="P16" s="10"/>
    </row>
    <row r="17" customFormat="false" ht="15.75" hidden="false" customHeight="false" outlineLevel="0" collapsed="false">
      <c r="A17" s="6" t="n">
        <v>43025.8827199074</v>
      </c>
      <c r="B17" s="7" t="str">
        <f aca="false">HYPERLINK("https://twitter.com/asiatimesonline","@asiatimesonline")</f>
        <v>@asiatimesonline</v>
      </c>
      <c r="C17" s="8" t="s">
        <v>66</v>
      </c>
      <c r="D17" s="8" t="s">
        <v>67</v>
      </c>
      <c r="E17" s="9" t="str">
        <f aca="false">HYPERLINK("https://twitter.com/asiatimesonline/status/920502475916005376","920502475916005376")</f>
        <v>920502475916005376</v>
      </c>
      <c r="F17" s="10" t="s">
        <v>39</v>
      </c>
      <c r="G17" s="10" t="n">
        <v>13339</v>
      </c>
      <c r="H17" s="10" t="n">
        <v>485</v>
      </c>
      <c r="I17" s="10" t="n">
        <v>0</v>
      </c>
      <c r="J17" s="10" t="n">
        <v>1</v>
      </c>
      <c r="K17" s="10" t="s">
        <v>20</v>
      </c>
      <c r="L17" s="11" t="n">
        <v>40211.9324421296</v>
      </c>
      <c r="M17" s="12" t="s">
        <v>68</v>
      </c>
      <c r="N17" s="12" t="s">
        <v>69</v>
      </c>
      <c r="O17" s="9" t="str">
        <f aca="false">HYPERLINK("https://pbs.twimg.com/profile_images/783976339602800640/IRukaym2_normal.jpg","View")</f>
        <v>View</v>
      </c>
      <c r="P17" s="10"/>
    </row>
    <row r="18" customFormat="false" ht="15.75" hidden="false" customHeight="false" outlineLevel="0" collapsed="false">
      <c r="A18" s="6" t="n">
        <v>43025.9334722222</v>
      </c>
      <c r="B18" s="7" t="str">
        <f aca="false">HYPERLINK("https://twitter.com/CNNnews18","@CNNnews18")</f>
        <v>@CNNnews18</v>
      </c>
      <c r="C18" s="8" t="s">
        <v>70</v>
      </c>
      <c r="D18" s="8" t="s">
        <v>71</v>
      </c>
      <c r="E18" s="9" t="str">
        <f aca="false">HYPERLINK("https://twitter.com/CNNnews18/status/920520868165488641","920520868165488641")</f>
        <v>920520868165488641</v>
      </c>
      <c r="F18" s="10" t="s">
        <v>39</v>
      </c>
      <c r="G18" s="10" t="n">
        <v>3769900</v>
      </c>
      <c r="H18" s="10" t="n">
        <v>382</v>
      </c>
      <c r="I18" s="10" t="n">
        <v>3</v>
      </c>
      <c r="J18" s="10" t="n">
        <v>17</v>
      </c>
      <c r="K18" s="10" t="s">
        <v>20</v>
      </c>
      <c r="L18" s="11" t="n">
        <v>39234.5632060185</v>
      </c>
      <c r="M18" s="12" t="s">
        <v>72</v>
      </c>
      <c r="N18" s="12" t="s">
        <v>73</v>
      </c>
      <c r="O18" s="9" t="str">
        <f aca="false">HYPERLINK("https://pbs.twimg.com/profile_images/923813836724977664/2wlt99tw_normal.jpg","View")</f>
        <v>View</v>
      </c>
      <c r="P18" s="10"/>
    </row>
    <row r="19" customFormat="false" ht="15.75" hidden="false" customHeight="false" outlineLevel="0" collapsed="false">
      <c r="A19" s="6" t="n">
        <v>43025.9342476852</v>
      </c>
      <c r="B19" s="7" t="str">
        <f aca="false">HYPERLINK("https://twitter.com/dishanksharma05","@dishanksharma05")</f>
        <v>@dishanksharma05</v>
      </c>
      <c r="C19" s="8" t="s">
        <v>74</v>
      </c>
      <c r="D19" s="8" t="s">
        <v>75</v>
      </c>
      <c r="E19" s="9" t="str">
        <f aca="false">HYPERLINK("https://twitter.com/dishanksharma05/status/920521152958787584","920521152958787584")</f>
        <v>920521152958787584</v>
      </c>
      <c r="F19" s="10" t="s">
        <v>60</v>
      </c>
      <c r="G19" s="10" t="n">
        <v>140</v>
      </c>
      <c r="H19" s="10" t="n">
        <v>91</v>
      </c>
      <c r="I19" s="10" t="n">
        <v>0</v>
      </c>
      <c r="J19" s="10" t="n">
        <v>0</v>
      </c>
      <c r="K19" s="10" t="s">
        <v>20</v>
      </c>
      <c r="L19" s="11" t="n">
        <v>41594.2023263889</v>
      </c>
      <c r="M19" s="12" t="s">
        <v>76</v>
      </c>
      <c r="N19" s="12" t="s">
        <v>77</v>
      </c>
      <c r="O19" s="9" t="str">
        <f aca="false">HYPERLINK("https://pbs.twimg.com/profile_images/834402570135228416/-V8NH--M_normal.jpg","View")</f>
        <v>View</v>
      </c>
      <c r="P19" s="10"/>
    </row>
    <row r="20" customFormat="false" ht="15.75" hidden="false" customHeight="false" outlineLevel="0" collapsed="false">
      <c r="A20" s="6" t="n">
        <v>43025.9349537037</v>
      </c>
      <c r="B20" s="7" t="str">
        <f aca="false">HYPERLINK("https://twitter.com/ishtkam","@ishtkam")</f>
        <v>@ishtkam</v>
      </c>
      <c r="C20" s="8" t="s">
        <v>78</v>
      </c>
      <c r="D20" s="8" t="s">
        <v>79</v>
      </c>
      <c r="E20" s="9" t="str">
        <f aca="false">HYPERLINK("https://twitter.com/ishtkam/status/920521406143778817","920521406143778817")</f>
        <v>920521406143778817</v>
      </c>
      <c r="F20" s="10" t="s">
        <v>60</v>
      </c>
      <c r="G20" s="10" t="n">
        <v>1158</v>
      </c>
      <c r="H20" s="10" t="n">
        <v>235</v>
      </c>
      <c r="I20" s="10" t="n">
        <v>0</v>
      </c>
      <c r="J20" s="10" t="n">
        <v>0</v>
      </c>
      <c r="K20" s="10" t="s">
        <v>20</v>
      </c>
      <c r="L20" s="11" t="n">
        <v>40073.0770023148</v>
      </c>
      <c r="M20" s="12" t="s">
        <v>64</v>
      </c>
      <c r="N20" s="12" t="s">
        <v>80</v>
      </c>
      <c r="O20" s="9" t="str">
        <f aca="false">HYPERLINK("https://pbs.twimg.com/profile_images/884365385151074304/cJMA0Zk2_normal.jpg","View")</f>
        <v>View</v>
      </c>
      <c r="P20" s="10"/>
    </row>
    <row r="21" customFormat="false" ht="15.75" hidden="false" customHeight="false" outlineLevel="0" collapsed="false">
      <c r="A21" s="6" t="n">
        <v>43025.9364699074</v>
      </c>
      <c r="B21" s="7" t="str">
        <f aca="false">HYPERLINK("https://twitter.com/AsukStudio","@AsukStudio")</f>
        <v>@AsukStudio</v>
      </c>
      <c r="C21" s="8" t="s">
        <v>81</v>
      </c>
      <c r="D21" s="8" t="s">
        <v>82</v>
      </c>
      <c r="E21" s="9" t="str">
        <f aca="false">HYPERLINK("https://twitter.com/AsukStudio/status/920521956306423811","920521956306423811")</f>
        <v>920521956306423811</v>
      </c>
      <c r="F21" s="10" t="s">
        <v>60</v>
      </c>
      <c r="G21" s="10" t="n">
        <v>418</v>
      </c>
      <c r="H21" s="10" t="n">
        <v>1</v>
      </c>
      <c r="I21" s="10" t="n">
        <v>0</v>
      </c>
      <c r="J21" s="10" t="n">
        <v>0</v>
      </c>
      <c r="K21" s="10" t="s">
        <v>20</v>
      </c>
      <c r="L21" s="11" t="n">
        <v>42651.4931944444</v>
      </c>
      <c r="M21" s="12" t="s">
        <v>83</v>
      </c>
      <c r="N21" s="12" t="s">
        <v>84</v>
      </c>
      <c r="O21" s="9" t="str">
        <f aca="false">HYPERLINK("https://pbs.twimg.com/profile_images/915171930105196544/ok1UZWP-_normal.jpg","View")</f>
        <v>View</v>
      </c>
      <c r="P21" s="10"/>
    </row>
    <row r="22" customFormat="false" ht="15.75" hidden="false" customHeight="false" outlineLevel="0" collapsed="false">
      <c r="A22" s="6" t="n">
        <v>43025.9393981482</v>
      </c>
      <c r="B22" s="7" t="str">
        <f aca="false">HYPERLINK("https://twitter.com/azuitshi","@azuitshi")</f>
        <v>@azuitshi</v>
      </c>
      <c r="C22" s="8" t="s">
        <v>85</v>
      </c>
      <c r="D22" s="8" t="s">
        <v>86</v>
      </c>
      <c r="E22" s="9" t="str">
        <f aca="false">HYPERLINK("https://twitter.com/azuitshi/status/920523019226927104","920523019226927104")</f>
        <v>920523019226927104</v>
      </c>
      <c r="F22" s="10" t="s">
        <v>51</v>
      </c>
      <c r="G22" s="10" t="n">
        <v>1627</v>
      </c>
      <c r="H22" s="10" t="n">
        <v>1234</v>
      </c>
      <c r="I22" s="10" t="n">
        <v>3</v>
      </c>
      <c r="J22" s="10" t="n">
        <v>0</v>
      </c>
      <c r="K22" s="10" t="s">
        <v>20</v>
      </c>
      <c r="L22" s="11" t="n">
        <v>39861.1814930556</v>
      </c>
      <c r="M22" s="12" t="s">
        <v>87</v>
      </c>
      <c r="N22" s="13" t="s">
        <v>88</v>
      </c>
      <c r="O22" s="9" t="str">
        <f aca="false">HYPERLINK("https://pbs.twimg.com/profile_images/3099670019/0a1047174954b4381141086707c611c7_normal.jpeg","View")</f>
        <v>View</v>
      </c>
      <c r="P22" s="10"/>
    </row>
    <row r="23" customFormat="false" ht="15.75" hidden="false" customHeight="false" outlineLevel="0" collapsed="false">
      <c r="A23" s="6" t="n">
        <v>43025.9408796296</v>
      </c>
      <c r="B23" s="7" t="str">
        <f aca="false">HYPERLINK("https://twitter.com/webjournalismcg","@webjournalismcg")</f>
        <v>@webjournalismcg</v>
      </c>
      <c r="C23" s="8" t="s">
        <v>89</v>
      </c>
      <c r="D23" s="8" t="s">
        <v>86</v>
      </c>
      <c r="E23" s="9" t="str">
        <f aca="false">HYPERLINK("https://twitter.com/webjournalismcg/status/920523552738172928","920523552738172928")</f>
        <v>920523552738172928</v>
      </c>
      <c r="F23" s="10" t="s">
        <v>25</v>
      </c>
      <c r="G23" s="10" t="n">
        <v>70</v>
      </c>
      <c r="H23" s="10" t="n">
        <v>179</v>
      </c>
      <c r="I23" s="10" t="n">
        <v>3</v>
      </c>
      <c r="J23" s="10" t="n">
        <v>0</v>
      </c>
      <c r="K23" s="10" t="s">
        <v>20</v>
      </c>
      <c r="L23" s="11" t="n">
        <v>40617.9359953704</v>
      </c>
      <c r="M23" s="12" t="s">
        <v>90</v>
      </c>
      <c r="N23" s="12" t="s">
        <v>91</v>
      </c>
      <c r="O23" s="9" t="str">
        <f aca="false">HYPERLINK("https://pbs.twimg.com/profile_images/915061414925967361/ok_CUb9O_normal.jpg","View")</f>
        <v>View</v>
      </c>
      <c r="P23" s="10"/>
    </row>
    <row r="24" customFormat="false" ht="15.75" hidden="false" customHeight="false" outlineLevel="0" collapsed="false">
      <c r="A24" s="6" t="n">
        <v>43025.9853240741</v>
      </c>
      <c r="B24" s="7" t="str">
        <f aca="false">HYPERLINK("https://twitter.com/shahdevang45","@shahdevang45")</f>
        <v>@shahdevang45</v>
      </c>
      <c r="C24" s="8" t="s">
        <v>92</v>
      </c>
      <c r="D24" s="8" t="s">
        <v>86</v>
      </c>
      <c r="E24" s="9" t="str">
        <f aca="false">HYPERLINK("https://twitter.com/shahdevang45/status/920539658857021440","920539658857021440")</f>
        <v>920539658857021440</v>
      </c>
      <c r="F24" s="10" t="s">
        <v>25</v>
      </c>
      <c r="G24" s="10" t="n">
        <v>1759</v>
      </c>
      <c r="H24" s="10" t="n">
        <v>4491</v>
      </c>
      <c r="I24" s="10" t="n">
        <v>3</v>
      </c>
      <c r="J24" s="10" t="n">
        <v>0</v>
      </c>
      <c r="K24" s="10" t="s">
        <v>20</v>
      </c>
      <c r="L24" s="11" t="n">
        <v>41602.3423032407</v>
      </c>
      <c r="M24" s="12" t="s">
        <v>93</v>
      </c>
      <c r="N24" s="12" t="s">
        <v>94</v>
      </c>
      <c r="O24" s="9" t="str">
        <f aca="false">HYPERLINK("https://pbs.twimg.com/profile_images/715422759883374592/hSe_CPUW_normal.jpg","View")</f>
        <v>View</v>
      </c>
      <c r="P24" s="10"/>
    </row>
    <row r="25" customFormat="false" ht="15.75" hidden="false" customHeight="false" outlineLevel="0" collapsed="false">
      <c r="A25" s="6" t="n">
        <v>43026.1113888889</v>
      </c>
      <c r="B25" s="7" t="str">
        <f aca="false">HYPERLINK("https://twitter.com/sl24833","@sl24833")</f>
        <v>@sl24833</v>
      </c>
      <c r="C25" s="8" t="s">
        <v>95</v>
      </c>
      <c r="D25" s="8" t="s">
        <v>24</v>
      </c>
      <c r="E25" s="9" t="str">
        <f aca="false">HYPERLINK("https://twitter.com/sl24833/status/920585346378690560","920585346378690560")</f>
        <v>920585346378690560</v>
      </c>
      <c r="F25" s="10" t="s">
        <v>25</v>
      </c>
      <c r="G25" s="10" t="n">
        <v>5</v>
      </c>
      <c r="H25" s="10" t="n">
        <v>54</v>
      </c>
      <c r="I25" s="10" t="n">
        <v>51</v>
      </c>
      <c r="J25" s="10" t="n">
        <v>0</v>
      </c>
      <c r="K25" s="10" t="s">
        <v>20</v>
      </c>
      <c r="L25" s="11" t="n">
        <v>42568.9283680556</v>
      </c>
      <c r="M25" s="12" t="s">
        <v>96</v>
      </c>
      <c r="N25" s="12"/>
      <c r="O25" s="9" t="str">
        <f aca="false">HYPERLINK("https://pbs.twimg.com/profile_images/758219211781079040/BKa18zwI_normal.jpg","View")</f>
        <v>View</v>
      </c>
      <c r="P25" s="10"/>
    </row>
    <row r="26" customFormat="false" ht="15.75" hidden="false" customHeight="false" outlineLevel="0" collapsed="false">
      <c r="A26" s="6" t="n">
        <v>43026.1256018518</v>
      </c>
      <c r="B26" s="7" t="str">
        <f aca="false">HYPERLINK("https://twitter.com/greengabbar","@greengabbar")</f>
        <v>@greengabbar</v>
      </c>
      <c r="C26" s="8" t="s">
        <v>97</v>
      </c>
      <c r="D26" s="8" t="s">
        <v>24</v>
      </c>
      <c r="E26" s="9" t="str">
        <f aca="false">HYPERLINK("https://twitter.com/greengabbar/status/920590494190551042","920590494190551042")</f>
        <v>920590494190551042</v>
      </c>
      <c r="F26" s="10" t="s">
        <v>98</v>
      </c>
      <c r="G26" s="10" t="n">
        <v>10</v>
      </c>
      <c r="H26" s="10" t="n">
        <v>0</v>
      </c>
      <c r="I26" s="10" t="n">
        <v>51</v>
      </c>
      <c r="J26" s="10" t="n">
        <v>0</v>
      </c>
      <c r="K26" s="10" t="s">
        <v>20</v>
      </c>
      <c r="L26" s="11" t="n">
        <v>41864.8215393518</v>
      </c>
      <c r="M26" s="12"/>
      <c r="N26" s="12"/>
      <c r="O26" s="9" t="str">
        <f aca="false">HYPERLINK("https://pbs.twimg.com/profile_images/831861929807269890/YkQNp9mn_normal.jpg","View")</f>
        <v>View</v>
      </c>
      <c r="P26" s="10"/>
    </row>
    <row r="27" customFormat="false" ht="15.75" hidden="false" customHeight="false" outlineLevel="0" collapsed="false">
      <c r="A27" s="6" t="n">
        <v>43026.1934490741</v>
      </c>
      <c r="B27" s="7" t="str">
        <f aca="false">HYPERLINK("https://twitter.com/culture_japan","@culture_japan")</f>
        <v>@culture_japan</v>
      </c>
      <c r="C27" s="8" t="s">
        <v>99</v>
      </c>
      <c r="D27" s="8" t="s">
        <v>100</v>
      </c>
      <c r="E27" s="9" t="str">
        <f aca="false">HYPERLINK("https://twitter.com/culture_japan/status/920615082668720128","920615082668720128")</f>
        <v>920615082668720128</v>
      </c>
      <c r="F27" s="10" t="s">
        <v>101</v>
      </c>
      <c r="G27" s="10" t="n">
        <v>214</v>
      </c>
      <c r="H27" s="10" t="n">
        <v>368</v>
      </c>
      <c r="I27" s="10" t="n">
        <v>0</v>
      </c>
      <c r="J27" s="10" t="n">
        <v>0</v>
      </c>
      <c r="K27" s="10" t="s">
        <v>20</v>
      </c>
      <c r="L27" s="11" t="n">
        <v>42985.2149189815</v>
      </c>
      <c r="M27" s="12" t="s">
        <v>102</v>
      </c>
      <c r="N27" s="12" t="s">
        <v>103</v>
      </c>
      <c r="O27" s="9" t="str">
        <f aca="false">HYPERLINK("https://pbs.twimg.com/profile_images/905765841622495233/8kPmmi5H_normal.jpg","View")</f>
        <v>View</v>
      </c>
      <c r="P27" s="10"/>
    </row>
    <row r="28" customFormat="false" ht="15.75" hidden="false" customHeight="false" outlineLevel="0" collapsed="false">
      <c r="A28" s="6" t="n">
        <v>43026.420162037</v>
      </c>
      <c r="B28" s="7" t="str">
        <f aca="false">HYPERLINK("https://twitter.com/ledheads7","@ledheads7")</f>
        <v>@ledheads7</v>
      </c>
      <c r="C28" s="8" t="s">
        <v>104</v>
      </c>
      <c r="D28" s="8" t="s">
        <v>105</v>
      </c>
      <c r="E28" s="9" t="str">
        <f aca="false">HYPERLINK("https://twitter.com/ledheads7/status/920697238937989120","920697238937989120")</f>
        <v>920697238937989120</v>
      </c>
      <c r="F28" s="10" t="s">
        <v>51</v>
      </c>
      <c r="G28" s="10" t="n">
        <v>67</v>
      </c>
      <c r="H28" s="10" t="n">
        <v>194</v>
      </c>
      <c r="I28" s="10" t="n">
        <v>11</v>
      </c>
      <c r="J28" s="10" t="n">
        <v>0</v>
      </c>
      <c r="K28" s="10" t="s">
        <v>20</v>
      </c>
      <c r="L28" s="11" t="n">
        <v>42591.2394444444</v>
      </c>
      <c r="M28" s="13" t="s">
        <v>106</v>
      </c>
      <c r="N28" s="13" t="s">
        <v>107</v>
      </c>
      <c r="O28" s="9" t="str">
        <f aca="false">HYPERLINK("https://pbs.twimg.com/profile_images/916841139671506944/dNqZFWK0_normal.jpg","View")</f>
        <v>View</v>
      </c>
      <c r="P28" s="10"/>
    </row>
    <row r="29" customFormat="false" ht="15.75" hidden="false" customHeight="false" outlineLevel="0" collapsed="false">
      <c r="A29" s="6" t="n">
        <v>43026.7304976852</v>
      </c>
      <c r="B29" s="7" t="str">
        <f aca="false">HYPERLINK("https://twitter.com/headbayo","@headbayo")</f>
        <v>@headbayo</v>
      </c>
      <c r="C29" s="8" t="s">
        <v>108</v>
      </c>
      <c r="D29" s="8" t="s">
        <v>109</v>
      </c>
      <c r="E29" s="9" t="str">
        <f aca="false">HYPERLINK("https://twitter.com/headbayo/status/920809700324605952","920809700324605952")</f>
        <v>920809700324605952</v>
      </c>
      <c r="F29" s="10" t="s">
        <v>110</v>
      </c>
      <c r="G29" s="10" t="n">
        <v>3437</v>
      </c>
      <c r="H29" s="10" t="n">
        <v>3730</v>
      </c>
      <c r="I29" s="10" t="n">
        <v>0</v>
      </c>
      <c r="J29" s="10" t="n">
        <v>0</v>
      </c>
      <c r="K29" s="10" t="s">
        <v>20</v>
      </c>
      <c r="L29" s="11" t="n">
        <v>41292.536099537</v>
      </c>
      <c r="M29" s="12" t="s">
        <v>111</v>
      </c>
      <c r="N29" s="12" t="s">
        <v>112</v>
      </c>
      <c r="O29" s="9" t="str">
        <f aca="false">HYPERLINK("https://pbs.twimg.com/profile_images/737420108906287107/bLh0myJc_normal.jpg","View")</f>
        <v>View</v>
      </c>
      <c r="P29" s="10"/>
    </row>
    <row r="30" customFormat="false" ht="15.75" hidden="false" customHeight="false" outlineLevel="0" collapsed="false">
      <c r="A30" s="6" t="n">
        <v>43026.7305902778</v>
      </c>
      <c r="B30" s="7" t="str">
        <f aca="false">HYPERLINK("https://twitter.com/jburnsconsult","@jburnsconsult")</f>
        <v>@jburnsconsult</v>
      </c>
      <c r="C30" s="8" t="s">
        <v>113</v>
      </c>
      <c r="D30" s="8" t="s">
        <v>114</v>
      </c>
      <c r="E30" s="9" t="str">
        <f aca="false">HYPERLINK("https://twitter.com/jburnsconsult/status/920809737720963072","920809737720963072")</f>
        <v>920809737720963072</v>
      </c>
      <c r="F30" s="10" t="s">
        <v>110</v>
      </c>
      <c r="G30" s="10" t="n">
        <v>2248</v>
      </c>
      <c r="H30" s="10" t="n">
        <v>1469</v>
      </c>
      <c r="I30" s="10" t="n">
        <v>0</v>
      </c>
      <c r="J30" s="10" t="n">
        <v>0</v>
      </c>
      <c r="K30" s="10" t="s">
        <v>20</v>
      </c>
      <c r="L30" s="11" t="n">
        <v>41930.857974537</v>
      </c>
      <c r="M30" s="12" t="s">
        <v>115</v>
      </c>
      <c r="N30" s="12" t="s">
        <v>116</v>
      </c>
      <c r="O30" s="9" t="str">
        <f aca="false">HYPERLINK("https://pbs.twimg.com/profile_images/550488985789673472/2ewCodtT_normal.jpeg","View")</f>
        <v>View</v>
      </c>
      <c r="P30" s="10"/>
    </row>
    <row r="31" customFormat="false" ht="15.75" hidden="false" customHeight="false" outlineLevel="0" collapsed="false">
      <c r="A31" s="6" t="n">
        <v>43026.7306944444</v>
      </c>
      <c r="B31" s="7" t="str">
        <f aca="false">HYPERLINK("https://twitter.com/awsyrian1","@awsyrian1")</f>
        <v>@awsyrian1</v>
      </c>
      <c r="C31" s="8" t="s">
        <v>117</v>
      </c>
      <c r="D31" s="8" t="s">
        <v>118</v>
      </c>
      <c r="E31" s="9" t="str">
        <f aca="false">HYPERLINK("https://twitter.com/awsyrian1/status/920809774798725120","920809774798725120")</f>
        <v>920809774798725120</v>
      </c>
      <c r="F31" s="10" t="s">
        <v>110</v>
      </c>
      <c r="G31" s="10" t="n">
        <v>878</v>
      </c>
      <c r="H31" s="10" t="n">
        <v>791</v>
      </c>
      <c r="I31" s="10" t="n">
        <v>0</v>
      </c>
      <c r="J31" s="10" t="n">
        <v>1</v>
      </c>
      <c r="K31" s="10" t="s">
        <v>20</v>
      </c>
      <c r="L31" s="11" t="n">
        <v>41066.2670023148</v>
      </c>
      <c r="M31" s="12" t="s">
        <v>119</v>
      </c>
      <c r="N31" s="12" t="s">
        <v>120</v>
      </c>
      <c r="O31" s="9" t="str">
        <f aca="false">HYPERLINK("https://pbs.twimg.com/profile_images/3150294023/e2f74e902635a4dd0fb708bc33570c87_normal.png","View")</f>
        <v>View</v>
      </c>
      <c r="P31" s="10"/>
    </row>
    <row r="32" customFormat="false" ht="15.75" hidden="false" customHeight="false" outlineLevel="0" collapsed="false">
      <c r="A32" s="6" t="n">
        <v>43026.7503819444</v>
      </c>
      <c r="B32" s="7" t="str">
        <f aca="false">HYPERLINK("https://twitter.com/christianelka_","@christianelka_")</f>
        <v>@christianelka_</v>
      </c>
      <c r="C32" s="8" t="s">
        <v>121</v>
      </c>
      <c r="D32" s="8" t="s">
        <v>122</v>
      </c>
      <c r="E32" s="9" t="str">
        <f aca="false">HYPERLINK("https://twitter.com/christianelka_/status/920816906415824896","920816906415824896")</f>
        <v>920816906415824896</v>
      </c>
      <c r="F32" s="10" t="s">
        <v>110</v>
      </c>
      <c r="G32" s="10" t="n">
        <v>5562</v>
      </c>
      <c r="H32" s="10" t="n">
        <v>116</v>
      </c>
      <c r="I32" s="10" t="n">
        <v>0</v>
      </c>
      <c r="J32" s="10" t="n">
        <v>0</v>
      </c>
      <c r="K32" s="10" t="s">
        <v>20</v>
      </c>
      <c r="L32" s="11" t="n">
        <v>41376.2607060185</v>
      </c>
      <c r="M32" s="12" t="s">
        <v>123</v>
      </c>
      <c r="N32" s="12" t="s">
        <v>124</v>
      </c>
      <c r="O32" s="9" t="str">
        <f aca="false">HYPERLINK("https://pbs.twimg.com/profile_images/526193656676368385/v-U7XfVn_normal.jpeg","View")</f>
        <v>View</v>
      </c>
      <c r="P32" s="10"/>
    </row>
    <row r="33" customFormat="false" ht="15.75" hidden="false" customHeight="false" outlineLevel="0" collapsed="false">
      <c r="A33" s="6" t="n">
        <v>43026.8240509259</v>
      </c>
      <c r="B33" s="7" t="str">
        <f aca="false">HYPERLINK("https://twitter.com/borneo_first","@borneo_first")</f>
        <v>@borneo_first</v>
      </c>
      <c r="C33" s="8" t="s">
        <v>125</v>
      </c>
      <c r="D33" s="8" t="s">
        <v>126</v>
      </c>
      <c r="E33" s="9" t="str">
        <f aca="false">HYPERLINK("https://twitter.com/borneo_first/status/920843606126034944","920843606126034944")</f>
        <v>920843606126034944</v>
      </c>
      <c r="F33" s="10" t="s">
        <v>25</v>
      </c>
      <c r="G33" s="10" t="n">
        <v>15</v>
      </c>
      <c r="H33" s="10" t="n">
        <v>112</v>
      </c>
      <c r="I33" s="10" t="n">
        <v>0</v>
      </c>
      <c r="J33" s="10" t="n">
        <v>0</v>
      </c>
      <c r="K33" s="10" t="s">
        <v>20</v>
      </c>
      <c r="L33" s="11" t="n">
        <v>42597.1652314815</v>
      </c>
      <c r="M33" s="12" t="s">
        <v>127</v>
      </c>
      <c r="N33" s="12"/>
      <c r="O33" s="9" t="str">
        <f aca="false">HYPERLINK("https://pbs.twimg.com/profile_images/872596963534884864/PSjjxciO_normal.jpg","View")</f>
        <v>View</v>
      </c>
      <c r="P33" s="10"/>
    </row>
    <row r="34" customFormat="false" ht="15.75" hidden="false" customHeight="false" outlineLevel="0" collapsed="false">
      <c r="A34" s="6" t="n">
        <v>43026.8245023148</v>
      </c>
      <c r="B34" s="7" t="str">
        <f aca="false">HYPERLINK("https://twitter.com/tweetnightly","@tweetnightly")</f>
        <v>@tweetnightly</v>
      </c>
      <c r="C34" s="8" t="s">
        <v>128</v>
      </c>
      <c r="D34" s="8" t="s">
        <v>126</v>
      </c>
      <c r="E34" s="9" t="str">
        <f aca="false">HYPERLINK("https://twitter.com/tweetnightly/status/920843766826655744","920843766826655744")</f>
        <v>920843766826655744</v>
      </c>
      <c r="F34" s="10" t="s">
        <v>25</v>
      </c>
      <c r="G34" s="10" t="n">
        <v>6</v>
      </c>
      <c r="H34" s="10" t="n">
        <v>77</v>
      </c>
      <c r="I34" s="10" t="n">
        <v>0</v>
      </c>
      <c r="J34" s="10" t="n">
        <v>0</v>
      </c>
      <c r="K34" s="10" t="s">
        <v>20</v>
      </c>
      <c r="L34" s="11" t="n">
        <v>42745.9735300926</v>
      </c>
      <c r="M34" s="12" t="s">
        <v>129</v>
      </c>
      <c r="N34" s="12"/>
      <c r="O34" s="9" t="str">
        <f aca="false">HYPERLINK("https://pbs.twimg.com/profile_images/892591186963189760/Nn3133eR_normal.jpg","View")</f>
        <v>View</v>
      </c>
      <c r="P34" s="10"/>
    </row>
    <row r="35" customFormat="false" ht="15.75" hidden="false" customHeight="false" outlineLevel="0" collapsed="false">
      <c r="A35" s="6" t="n">
        <v>43026.8279976852</v>
      </c>
      <c r="B35" s="7" t="str">
        <f aca="false">HYPERLINK("https://twitter.com/Follow_Finance","@Follow_Finance")</f>
        <v>@Follow_Finance</v>
      </c>
      <c r="C35" s="8" t="s">
        <v>130</v>
      </c>
      <c r="D35" s="8" t="s">
        <v>131</v>
      </c>
      <c r="E35" s="9" t="str">
        <f aca="false">HYPERLINK("https://twitter.com/Follow_Finance/status/920845036312518656","920845036312518656")</f>
        <v>920845036312518656</v>
      </c>
      <c r="F35" s="10" t="s">
        <v>130</v>
      </c>
      <c r="G35" s="10" t="n">
        <v>2398</v>
      </c>
      <c r="H35" s="10" t="n">
        <v>1918</v>
      </c>
      <c r="I35" s="10" t="n">
        <v>0</v>
      </c>
      <c r="J35" s="10" t="n">
        <v>0</v>
      </c>
      <c r="K35" s="10" t="s">
        <v>20</v>
      </c>
      <c r="L35" s="11" t="n">
        <v>41033.2276967593</v>
      </c>
      <c r="M35" s="12" t="s">
        <v>132</v>
      </c>
      <c r="N35" s="12" t="s">
        <v>133</v>
      </c>
      <c r="O35" s="9" t="str">
        <f aca="false">HYPERLINK("https://pbs.twimg.com/profile_images/2214795357/money_50_normal.png","View")</f>
        <v>View</v>
      </c>
      <c r="P35" s="10"/>
    </row>
    <row r="36" customFormat="false" ht="15.75" hidden="false" customHeight="false" outlineLevel="0" collapsed="false">
      <c r="A36" s="6" t="n">
        <v>43026.8625810185</v>
      </c>
      <c r="B36" s="7" t="str">
        <f aca="false">HYPERLINK("https://twitter.com/itradeph","@itradeph")</f>
        <v>@itradeph</v>
      </c>
      <c r="C36" s="8" t="s">
        <v>134</v>
      </c>
      <c r="D36" s="8" t="s">
        <v>135</v>
      </c>
      <c r="E36" s="9" t="str">
        <f aca="false">HYPERLINK("https://twitter.com/itradeph/status/920857566631960576","920857566631960576")</f>
        <v>920857566631960576</v>
      </c>
      <c r="F36" s="10" t="s">
        <v>39</v>
      </c>
      <c r="G36" s="10" t="n">
        <v>8648</v>
      </c>
      <c r="H36" s="10" t="n">
        <v>1</v>
      </c>
      <c r="I36" s="10" t="n">
        <v>0</v>
      </c>
      <c r="J36" s="10" t="n">
        <v>0</v>
      </c>
      <c r="K36" s="10" t="s">
        <v>20</v>
      </c>
      <c r="L36" s="11" t="n">
        <v>40854.3479513889</v>
      </c>
      <c r="M36" s="12" t="s">
        <v>136</v>
      </c>
      <c r="N36" s="12" t="s">
        <v>137</v>
      </c>
      <c r="O36" s="9" t="str">
        <f aca="false">HYPERLINK("https://pbs.twimg.com/profile_images/826610890019463170/xHbMaaeI_normal.jpg","View")</f>
        <v>View</v>
      </c>
      <c r="P36" s="10"/>
    </row>
    <row r="37" customFormat="false" ht="15.75" hidden="false" customHeight="false" outlineLevel="0" collapsed="false">
      <c r="A37" s="6" t="n">
        <v>43026.9359953704</v>
      </c>
      <c r="B37" s="7" t="str">
        <f aca="false">HYPERLINK("https://twitter.com/178kakapo","@178kakapo")</f>
        <v>@178kakapo</v>
      </c>
      <c r="C37" s="8" t="s">
        <v>138</v>
      </c>
      <c r="D37" s="8" t="s">
        <v>139</v>
      </c>
      <c r="E37" s="9" t="str">
        <f aca="false">HYPERLINK("https://twitter.com/178kakapo/status/920884174193532928","920884174193532928")</f>
        <v>920884174193532928</v>
      </c>
      <c r="F37" s="10" t="s">
        <v>39</v>
      </c>
      <c r="G37" s="10" t="n">
        <v>20924</v>
      </c>
      <c r="H37" s="10" t="n">
        <v>18434</v>
      </c>
      <c r="I37" s="10" t="n">
        <v>7</v>
      </c>
      <c r="J37" s="10" t="n">
        <v>0</v>
      </c>
      <c r="K37" s="10" t="s">
        <v>20</v>
      </c>
      <c r="L37" s="11" t="n">
        <v>40674.9428009259</v>
      </c>
      <c r="M37" s="12" t="s">
        <v>140</v>
      </c>
      <c r="N37" s="12" t="s">
        <v>141</v>
      </c>
      <c r="O37" s="9" t="str">
        <f aca="false">HYPERLINK("https://pbs.twimg.com/profile_images/2476808798/p6cqc9mvgsdlhya7nb6p_normal.jpeg","View")</f>
        <v>View</v>
      </c>
      <c r="P37" s="10"/>
    </row>
    <row r="38" customFormat="false" ht="15.75" hidden="false" customHeight="false" outlineLevel="0" collapsed="false">
      <c r="A38" s="6" t="n">
        <v>43026.9364467593</v>
      </c>
      <c r="B38" s="7" t="str">
        <f aca="false">HYPERLINK("https://twitter.com/9562Debbie","@9562Debbie")</f>
        <v>@9562Debbie</v>
      </c>
      <c r="C38" s="8" t="s">
        <v>142</v>
      </c>
      <c r="D38" s="8" t="s">
        <v>139</v>
      </c>
      <c r="E38" s="9" t="str">
        <f aca="false">HYPERLINK("https://twitter.com/9562Debbie/status/920884337104576512","920884337104576512")</f>
        <v>920884337104576512</v>
      </c>
      <c r="F38" s="10" t="s">
        <v>39</v>
      </c>
      <c r="G38" s="10" t="n">
        <v>2575</v>
      </c>
      <c r="H38" s="10" t="n">
        <v>4731</v>
      </c>
      <c r="I38" s="10" t="n">
        <v>7</v>
      </c>
      <c r="J38" s="10" t="n">
        <v>0</v>
      </c>
      <c r="K38" s="10" t="s">
        <v>20</v>
      </c>
      <c r="L38" s="11" t="n">
        <v>41878.8188310185</v>
      </c>
      <c r="M38" s="12" t="s">
        <v>143</v>
      </c>
      <c r="N38" s="12" t="s">
        <v>144</v>
      </c>
      <c r="O38" s="9" t="str">
        <f aca="false">HYPERLINK("https://pbs.twimg.com/profile_images/871921300964429825/KC4uQ1ii_normal.jpg","View")</f>
        <v>View</v>
      </c>
      <c r="P38" s="10"/>
    </row>
    <row r="39" customFormat="false" ht="15.75" hidden="false" customHeight="false" outlineLevel="0" collapsed="false">
      <c r="A39" s="6" t="n">
        <v>43026.9365046296</v>
      </c>
      <c r="B39" s="7" t="str">
        <f aca="false">HYPERLINK("https://twitter.com/ggandnewsance","@ggandnewsance")</f>
        <v>@ggandnewsance</v>
      </c>
      <c r="C39" s="8" t="s">
        <v>145</v>
      </c>
      <c r="D39" s="8" t="s">
        <v>139</v>
      </c>
      <c r="E39" s="9" t="str">
        <f aca="false">HYPERLINK("https://twitter.com/ggandnewsance/status/920884355370770432","920884355370770432")</f>
        <v>920884355370770432</v>
      </c>
      <c r="F39" s="10" t="s">
        <v>25</v>
      </c>
      <c r="G39" s="10" t="n">
        <v>243</v>
      </c>
      <c r="H39" s="10" t="n">
        <v>220</v>
      </c>
      <c r="I39" s="10" t="n">
        <v>7</v>
      </c>
      <c r="J39" s="10" t="n">
        <v>0</v>
      </c>
      <c r="K39" s="10" t="s">
        <v>20</v>
      </c>
      <c r="L39" s="11" t="n">
        <v>42976.1844328704</v>
      </c>
      <c r="M39" s="12" t="s">
        <v>146</v>
      </c>
      <c r="N39" s="12" t="s">
        <v>147</v>
      </c>
      <c r="O39" s="9" t="str">
        <f aca="false">HYPERLINK("https://pbs.twimg.com/profile_images/915562646744784896/p2jVjkUN_normal.jpg","View")</f>
        <v>View</v>
      </c>
      <c r="P39" s="10"/>
    </row>
    <row r="40" customFormat="false" ht="15.75" hidden="false" customHeight="false" outlineLevel="0" collapsed="false">
      <c r="A40" s="6" t="n">
        <v>43026.9546759259</v>
      </c>
      <c r="B40" s="7" t="str">
        <f aca="false">HYPERLINK("https://twitter.com/wuxiaopak","@wuxiaopak")</f>
        <v>@wuxiaopak</v>
      </c>
      <c r="C40" s="14" t="s">
        <v>148</v>
      </c>
      <c r="D40" s="8" t="s">
        <v>149</v>
      </c>
      <c r="E40" s="9" t="str">
        <f aca="false">HYPERLINK("https://twitter.com/wuxiaopak/status/920890942030209024","920890942030209024")</f>
        <v>920890942030209024</v>
      </c>
      <c r="F40" s="10" t="s">
        <v>51</v>
      </c>
      <c r="G40" s="10" t="n">
        <v>2246</v>
      </c>
      <c r="H40" s="10" t="n">
        <v>2983</v>
      </c>
      <c r="I40" s="10" t="n">
        <v>32</v>
      </c>
      <c r="J40" s="10" t="n">
        <v>0</v>
      </c>
      <c r="K40" s="10" t="s">
        <v>20</v>
      </c>
      <c r="L40" s="11" t="n">
        <v>42289.4569212963</v>
      </c>
      <c r="M40" s="12"/>
      <c r="N40" s="13" t="s">
        <v>150</v>
      </c>
      <c r="O40" s="9" t="str">
        <f aca="false">HYPERLINK("https://pbs.twimg.com/profile_images/815426291788697600/QydtK7h8_normal.png","View")</f>
        <v>View</v>
      </c>
      <c r="P40" s="10"/>
    </row>
    <row r="41" customFormat="false" ht="15.75" hidden="false" customHeight="false" outlineLevel="0" collapsed="false">
      <c r="A41" s="6" t="n">
        <v>43026.9590972222</v>
      </c>
      <c r="B41" s="7" t="str">
        <f aca="false">HYPERLINK("https://twitter.com/Jaxmn45","@Jaxmn45")</f>
        <v>@Jaxmn45</v>
      </c>
      <c r="C41" s="8" t="s">
        <v>151</v>
      </c>
      <c r="D41" s="8" t="s">
        <v>149</v>
      </c>
      <c r="E41" s="9" t="str">
        <f aca="false">HYPERLINK("https://twitter.com/Jaxmn45/status/920892542287101954","920892542287101954")</f>
        <v>920892542287101954</v>
      </c>
      <c r="F41" s="10" t="s">
        <v>25</v>
      </c>
      <c r="G41" s="10" t="n">
        <v>182</v>
      </c>
      <c r="H41" s="10" t="n">
        <v>355</v>
      </c>
      <c r="I41" s="10" t="n">
        <v>32</v>
      </c>
      <c r="J41" s="10" t="n">
        <v>0</v>
      </c>
      <c r="K41" s="10" t="s">
        <v>20</v>
      </c>
      <c r="L41" s="11" t="n">
        <v>42766.0609143519</v>
      </c>
      <c r="M41" s="13" t="s">
        <v>152</v>
      </c>
      <c r="N41" s="12" t="s">
        <v>153</v>
      </c>
      <c r="O41" s="9" t="str">
        <f aca="false">HYPERLINK("https://pbs.twimg.com/profile_images/870481153714565120/nriOFwy__normal.jpg","View")</f>
        <v>View</v>
      </c>
      <c r="P41" s="10"/>
    </row>
    <row r="42" customFormat="false" ht="15.75" hidden="false" customHeight="false" outlineLevel="0" collapsed="false">
      <c r="A42" s="6" t="n">
        <v>43026.9832638889</v>
      </c>
      <c r="B42" s="7" t="str">
        <f aca="false">HYPERLINK("https://twitter.com/GiftofMercy1","@GiftofMercy1")</f>
        <v>@GiftofMercy1</v>
      </c>
      <c r="C42" s="8" t="s">
        <v>154</v>
      </c>
      <c r="D42" s="8" t="s">
        <v>139</v>
      </c>
      <c r="E42" s="9" t="str">
        <f aca="false">HYPERLINK("https://twitter.com/GiftofMercy1/status/920901300929355776","920901300929355776")</f>
        <v>920901300929355776</v>
      </c>
      <c r="F42" s="10" t="s">
        <v>98</v>
      </c>
      <c r="G42" s="10" t="n">
        <v>946</v>
      </c>
      <c r="H42" s="10" t="n">
        <v>2236</v>
      </c>
      <c r="I42" s="10" t="n">
        <v>7</v>
      </c>
      <c r="J42" s="10" t="n">
        <v>0</v>
      </c>
      <c r="K42" s="10" t="s">
        <v>20</v>
      </c>
      <c r="L42" s="11" t="n">
        <v>41078.3650694444</v>
      </c>
      <c r="M42" s="12" t="s">
        <v>155</v>
      </c>
      <c r="N42" s="12" t="s">
        <v>156</v>
      </c>
      <c r="O42" s="9" t="str">
        <f aca="false">HYPERLINK("https://pbs.twimg.com/profile_images/460850639896338432/zgXwOXPw_normal.jpeg","View")</f>
        <v>View</v>
      </c>
      <c r="P42" s="10"/>
    </row>
    <row r="43" customFormat="false" ht="15.75" hidden="false" customHeight="false" outlineLevel="0" collapsed="false">
      <c r="A43" s="6" t="n">
        <v>43027.1917476852</v>
      </c>
      <c r="B43" s="7" t="str">
        <f aca="false">HYPERLINK("https://twitter.com/130watanabe","@130watanabe")</f>
        <v>@130watanabe</v>
      </c>
      <c r="C43" s="8" t="s">
        <v>157</v>
      </c>
      <c r="D43" s="8" t="s">
        <v>158</v>
      </c>
      <c r="E43" s="9" t="str">
        <f aca="false">HYPERLINK("https://twitter.com/130watanabe/status/920976853325684736","920976853325684736")</f>
        <v>920976853325684736</v>
      </c>
      <c r="F43" s="10" t="s">
        <v>159</v>
      </c>
      <c r="G43" s="10" t="n">
        <v>855</v>
      </c>
      <c r="H43" s="10" t="n">
        <v>563</v>
      </c>
      <c r="I43" s="10" t="n">
        <v>0</v>
      </c>
      <c r="J43" s="10" t="n">
        <v>0</v>
      </c>
      <c r="K43" s="10" t="s">
        <v>20</v>
      </c>
      <c r="L43" s="11" t="n">
        <v>40644.0784837963</v>
      </c>
      <c r="M43" s="13" t="s">
        <v>160</v>
      </c>
      <c r="N43" s="13" t="s">
        <v>161</v>
      </c>
      <c r="O43" s="9" t="str">
        <f aca="false">HYPERLINK("https://pbs.twimg.com/profile_images/562018772408471552/eFSpERbW_normal.jpeg","View")</f>
        <v>View</v>
      </c>
      <c r="P43" s="10"/>
    </row>
    <row r="44" customFormat="false" ht="15.75" hidden="false" customHeight="false" outlineLevel="0" collapsed="false">
      <c r="A44" s="6" t="n">
        <v>43027.2097222222</v>
      </c>
      <c r="B44" s="7" t="str">
        <f aca="false">HYPERLINK("https://twitter.com/krasnaya_dusha","@krasnaya_dusha")</f>
        <v>@krasnaya_dusha</v>
      </c>
      <c r="C44" s="8" t="s">
        <v>162</v>
      </c>
      <c r="D44" s="8" t="s">
        <v>149</v>
      </c>
      <c r="E44" s="9" t="str">
        <f aca="false">HYPERLINK("https://twitter.com/krasnaya_dusha/status/920983367016951808","920983367016951808")</f>
        <v>920983367016951808</v>
      </c>
      <c r="F44" s="10" t="s">
        <v>39</v>
      </c>
      <c r="G44" s="10" t="n">
        <v>1289</v>
      </c>
      <c r="H44" s="10" t="n">
        <v>1362</v>
      </c>
      <c r="I44" s="10" t="n">
        <v>32</v>
      </c>
      <c r="J44" s="10" t="n">
        <v>0</v>
      </c>
      <c r="K44" s="10" t="s">
        <v>20</v>
      </c>
      <c r="L44" s="11" t="n">
        <v>42892.5312152778</v>
      </c>
      <c r="M44" s="12"/>
      <c r="N44" s="12" t="s">
        <v>163</v>
      </c>
      <c r="O44" s="9" t="str">
        <f aca="false">HYPERLINK("https://pbs.twimg.com/profile_images/872223631870439424/ICMKF8z3_normal.jpg","View")</f>
        <v>View</v>
      </c>
      <c r="P44" s="10"/>
    </row>
    <row r="45" customFormat="false" ht="15.75" hidden="false" customHeight="false" outlineLevel="0" collapsed="false">
      <c r="A45" s="6" t="n">
        <v>43027.2176388889</v>
      </c>
      <c r="B45" s="7" t="str">
        <f aca="false">HYPERLINK("https://twitter.com/sisichandayo","@sisichandayo")</f>
        <v>@sisichandayo</v>
      </c>
      <c r="C45" s="14" t="s">
        <v>164</v>
      </c>
      <c r="D45" s="8" t="s">
        <v>149</v>
      </c>
      <c r="E45" s="9" t="str">
        <f aca="false">HYPERLINK("https://twitter.com/sisichandayo/status/920986235937501184","920986235937501184")</f>
        <v>920986235937501184</v>
      </c>
      <c r="F45" s="10" t="s">
        <v>51</v>
      </c>
      <c r="G45" s="10" t="n">
        <v>3025</v>
      </c>
      <c r="H45" s="10" t="n">
        <v>120</v>
      </c>
      <c r="I45" s="10" t="n">
        <v>32</v>
      </c>
      <c r="J45" s="10" t="n">
        <v>0</v>
      </c>
      <c r="K45" s="10" t="s">
        <v>20</v>
      </c>
      <c r="L45" s="11" t="n">
        <v>40218.1868287037</v>
      </c>
      <c r="M45" s="13" t="s">
        <v>165</v>
      </c>
      <c r="N45" s="12"/>
      <c r="O45" s="9" t="str">
        <f aca="false">HYPERLINK("https://pbs.twimg.com/profile_images/625974133306724352/QkQqvAHc_normal.jpg","View")</f>
        <v>View</v>
      </c>
      <c r="P45" s="10"/>
    </row>
    <row r="46" customFormat="false" ht="15.75" hidden="false" customHeight="false" outlineLevel="0" collapsed="false">
      <c r="A46" s="6" t="n">
        <v>43027.4400925926</v>
      </c>
      <c r="B46" s="7" t="str">
        <f aca="false">HYPERLINK("https://twitter.com/awfully_cold","@awfully_cold")</f>
        <v>@awfully_cold</v>
      </c>
      <c r="C46" s="8" t="s">
        <v>166</v>
      </c>
      <c r="D46" s="8" t="s">
        <v>167</v>
      </c>
      <c r="E46" s="9" t="str">
        <f aca="false">HYPERLINK("https://twitter.com/awfully_cold/status/921066850397560833","921066850397560833")</f>
        <v>921066850397560833</v>
      </c>
      <c r="F46" s="10" t="s">
        <v>168</v>
      </c>
      <c r="G46" s="10" t="n">
        <v>447</v>
      </c>
      <c r="H46" s="10" t="n">
        <v>285</v>
      </c>
      <c r="I46" s="10" t="n">
        <v>0</v>
      </c>
      <c r="J46" s="10" t="n">
        <v>0</v>
      </c>
      <c r="K46" s="10" t="s">
        <v>20</v>
      </c>
      <c r="L46" s="11" t="n">
        <v>40200.203287037</v>
      </c>
      <c r="M46" s="12" t="s">
        <v>169</v>
      </c>
      <c r="N46" s="13" t="s">
        <v>170</v>
      </c>
      <c r="O46" s="9" t="str">
        <f aca="false">HYPERLINK("https://pbs.twimg.com/profile_images/458835269790076928/QpM-2hjc_normal.jpeg","View")</f>
        <v>View</v>
      </c>
      <c r="P46" s="10"/>
    </row>
    <row r="47" customFormat="false" ht="15.75" hidden="false" customHeight="false" outlineLevel="0" collapsed="false">
      <c r="A47" s="6" t="n">
        <v>43027.6047800926</v>
      </c>
      <c r="B47" s="7" t="str">
        <f aca="false">HYPERLINK("https://twitter.com/ZyiteGadgets","@ZyiteGadgets")</f>
        <v>@ZyiteGadgets</v>
      </c>
      <c r="C47" s="8" t="s">
        <v>171</v>
      </c>
      <c r="D47" s="8" t="s">
        <v>172</v>
      </c>
      <c r="E47" s="9" t="str">
        <f aca="false">HYPERLINK("https://twitter.com/ZyiteGadgets/status/921126530746650624","921126530746650624")</f>
        <v>921126530746650624</v>
      </c>
      <c r="F47" s="10" t="s">
        <v>110</v>
      </c>
      <c r="G47" s="10" t="n">
        <v>3542</v>
      </c>
      <c r="H47" s="10" t="n">
        <v>4844</v>
      </c>
      <c r="I47" s="10" t="n">
        <v>0</v>
      </c>
      <c r="J47" s="10" t="n">
        <v>0</v>
      </c>
      <c r="K47" s="10" t="s">
        <v>20</v>
      </c>
      <c r="L47" s="11" t="n">
        <v>41470.6147800926</v>
      </c>
      <c r="M47" s="15" t="s">
        <v>173</v>
      </c>
      <c r="N47" s="12" t="s">
        <v>174</v>
      </c>
      <c r="O47" s="9" t="str">
        <f aca="false">HYPERLINK("https://pbs.twimg.com/profile_images/487701633489313793/pIxJHFt5_normal.jpeg","View")</f>
        <v>View</v>
      </c>
      <c r="P47" s="10"/>
    </row>
    <row r="48" customFormat="false" ht="15.75" hidden="false" customHeight="false" outlineLevel="0" collapsed="false">
      <c r="A48" s="6" t="n">
        <v>43027.6418518518</v>
      </c>
      <c r="B48" s="7" t="str">
        <f aca="false">HYPERLINK("https://twitter.com/FayeLongmuir","@FayeLongmuir")</f>
        <v>@FayeLongmuir</v>
      </c>
      <c r="C48" s="8" t="s">
        <v>175</v>
      </c>
      <c r="D48" s="8" t="s">
        <v>176</v>
      </c>
      <c r="E48" s="9" t="str">
        <f aca="false">HYPERLINK("https://twitter.com/FayeLongmuir/status/921139967270588416","921139967270588416")</f>
        <v>921139967270588416</v>
      </c>
      <c r="F48" s="10" t="s">
        <v>177</v>
      </c>
      <c r="G48" s="10" t="n">
        <v>794</v>
      </c>
      <c r="H48" s="10" t="n">
        <v>1601</v>
      </c>
      <c r="I48" s="10" t="n">
        <v>0</v>
      </c>
      <c r="J48" s="10" t="n">
        <v>0</v>
      </c>
      <c r="K48" s="10" t="s">
        <v>20</v>
      </c>
      <c r="L48" s="11" t="n">
        <v>40070.9536689815</v>
      </c>
      <c r="M48" s="12" t="s">
        <v>178</v>
      </c>
      <c r="N48" s="12" t="s">
        <v>179</v>
      </c>
      <c r="O48" s="9" t="str">
        <f aca="false">HYPERLINK("https://pbs.twimg.com/profile_images/853794142974955521/0UKP_QM4_normal.jpg","View")</f>
        <v>View</v>
      </c>
      <c r="P48" s="10"/>
    </row>
    <row r="49" customFormat="false" ht="15.75" hidden="false" customHeight="false" outlineLevel="0" collapsed="false">
      <c r="A49" s="6" t="n">
        <v>43027.6946527778</v>
      </c>
      <c r="B49" s="7" t="str">
        <f aca="false">HYPERLINK("https://twitter.com/Learn_iqoption","@Learn_iqoption")</f>
        <v>@Learn_iqoption</v>
      </c>
      <c r="C49" s="8" t="s">
        <v>180</v>
      </c>
      <c r="D49" s="8" t="s">
        <v>181</v>
      </c>
      <c r="E49" s="9" t="str">
        <f aca="false">HYPERLINK("https://twitter.com/Learn_iqoption/status/921159099185815554","921159099185815554")</f>
        <v>921159099185815554</v>
      </c>
      <c r="F49" s="10" t="s">
        <v>60</v>
      </c>
      <c r="G49" s="10" t="n">
        <v>2273</v>
      </c>
      <c r="H49" s="10" t="n">
        <v>4249</v>
      </c>
      <c r="I49" s="10" t="n">
        <v>0</v>
      </c>
      <c r="J49" s="10" t="n">
        <v>0</v>
      </c>
      <c r="K49" s="10" t="s">
        <v>20</v>
      </c>
      <c r="L49" s="11" t="n">
        <v>42728.0231018519</v>
      </c>
      <c r="M49" s="12" t="s">
        <v>182</v>
      </c>
      <c r="N49" s="12" t="s">
        <v>183</v>
      </c>
      <c r="O49" s="9" t="str">
        <f aca="false">HYPERLINK("https://pbs.twimg.com/profile_images/812577445664714752/QtMxG1eo_normal.jpg","View")</f>
        <v>View</v>
      </c>
      <c r="P49" s="10"/>
    </row>
    <row r="50" customFormat="false" ht="15.75" hidden="false" customHeight="false" outlineLevel="0" collapsed="false">
      <c r="A50" s="6" t="n">
        <v>43027.6973958333</v>
      </c>
      <c r="B50" s="7" t="str">
        <f aca="false">HYPERLINK("https://twitter.com/pususuti","@pususuti")</f>
        <v>@pususuti</v>
      </c>
      <c r="C50" s="8" t="s">
        <v>184</v>
      </c>
      <c r="D50" s="8" t="s">
        <v>185</v>
      </c>
      <c r="E50" s="9" t="str">
        <f aca="false">HYPERLINK("https://twitter.com/pususuti/status/921160095769268224","921160095769268224")</f>
        <v>921160095769268224</v>
      </c>
      <c r="F50" s="10" t="s">
        <v>39</v>
      </c>
      <c r="G50" s="10" t="n">
        <v>42</v>
      </c>
      <c r="H50" s="10" t="n">
        <v>30</v>
      </c>
      <c r="I50" s="10" t="n">
        <v>0</v>
      </c>
      <c r="J50" s="10" t="n">
        <v>0</v>
      </c>
      <c r="K50" s="10" t="s">
        <v>20</v>
      </c>
      <c r="L50" s="11" t="n">
        <v>41620.8949768519</v>
      </c>
      <c r="M50" s="12" t="s">
        <v>186</v>
      </c>
      <c r="N50" s="12" t="s">
        <v>187</v>
      </c>
      <c r="O50" s="9" t="str">
        <f aca="false">HYPERLINK("https://pbs.twimg.com/profile_images/582805322881835010/YKYQBKiR_normal.png","View")</f>
        <v>View</v>
      </c>
      <c r="P50" s="10"/>
    </row>
    <row r="51" customFormat="false" ht="15.75" hidden="false" customHeight="false" outlineLevel="0" collapsed="false">
      <c r="A51" s="6" t="n">
        <v>43027.7180208333</v>
      </c>
      <c r="B51" s="7" t="str">
        <f aca="false">HYPERLINK("https://twitter.com/StuartYeomans1","@StuartYeomans1")</f>
        <v>@StuartYeomans1</v>
      </c>
      <c r="C51" s="8" t="s">
        <v>188</v>
      </c>
      <c r="D51" s="8" t="s">
        <v>189</v>
      </c>
      <c r="E51" s="9" t="str">
        <f aca="false">HYPERLINK("https://twitter.com/StuartYeomans1/status/921167569712582656","921167569712582656")</f>
        <v>921167569712582656</v>
      </c>
      <c r="F51" s="10" t="s">
        <v>39</v>
      </c>
      <c r="G51" s="10" t="n">
        <v>250</v>
      </c>
      <c r="H51" s="10" t="n">
        <v>458</v>
      </c>
      <c r="I51" s="10" t="n">
        <v>0</v>
      </c>
      <c r="J51" s="10" t="n">
        <v>0</v>
      </c>
      <c r="K51" s="10" t="s">
        <v>20</v>
      </c>
      <c r="L51" s="11" t="n">
        <v>40816.3198263889</v>
      </c>
      <c r="M51" s="12" t="s">
        <v>190</v>
      </c>
      <c r="N51" s="12" t="s">
        <v>191</v>
      </c>
      <c r="O51" s="9" t="str">
        <f aca="false">HYPERLINK("https://pbs.twimg.com/profile_images/854889875299946497/DrB8hz4z_normal.jpg","View")</f>
        <v>View</v>
      </c>
      <c r="P51" s="10"/>
    </row>
    <row r="52" customFormat="false" ht="15.75" hidden="false" customHeight="false" outlineLevel="0" collapsed="false">
      <c r="A52" s="6" t="n">
        <v>43027.738287037</v>
      </c>
      <c r="B52" s="7" t="str">
        <f aca="false">HYPERLINK("https://twitter.com/JoScoMac","@JoScoMac")</f>
        <v>@JoScoMac</v>
      </c>
      <c r="C52" s="8" t="s">
        <v>192</v>
      </c>
      <c r="D52" s="8" t="s">
        <v>193</v>
      </c>
      <c r="E52" s="9" t="str">
        <f aca="false">HYPERLINK("https://twitter.com/JoScoMac/status/921174914328956928","921174914328956928")</f>
        <v>921174914328956928</v>
      </c>
      <c r="F52" s="10" t="s">
        <v>39</v>
      </c>
      <c r="G52" s="10" t="n">
        <v>1948</v>
      </c>
      <c r="H52" s="10" t="n">
        <v>2263</v>
      </c>
      <c r="I52" s="10" t="n">
        <v>0</v>
      </c>
      <c r="J52" s="10" t="n">
        <v>0</v>
      </c>
      <c r="K52" s="10" t="s">
        <v>20</v>
      </c>
      <c r="L52" s="11" t="n">
        <v>40555.0766898148</v>
      </c>
      <c r="M52" s="12" t="s">
        <v>194</v>
      </c>
      <c r="N52" s="12" t="s">
        <v>195</v>
      </c>
      <c r="O52" s="9" t="str">
        <f aca="false">HYPERLINK("https://pbs.twimg.com/profile_images/459610975709044736/QNkUQK-a_normal.jpeg","View")</f>
        <v>View</v>
      </c>
      <c r="P52" s="10"/>
    </row>
    <row r="53" customFormat="false" ht="15.75" hidden="false" customHeight="false" outlineLevel="0" collapsed="false">
      <c r="A53" s="6" t="n">
        <v>43027.7507523148</v>
      </c>
      <c r="B53" s="7" t="str">
        <f aca="false">HYPERLINK("https://twitter.com/business","@business")</f>
        <v>@business</v>
      </c>
      <c r="C53" s="8" t="s">
        <v>196</v>
      </c>
      <c r="D53" s="8" t="s">
        <v>197</v>
      </c>
      <c r="E53" s="9" t="str">
        <f aca="false">HYPERLINK("https://twitter.com/business/status/921179428553605120","921179428553605120")</f>
        <v>921179428553605120</v>
      </c>
      <c r="F53" s="9" t="s">
        <v>198</v>
      </c>
      <c r="G53" s="10" t="n">
        <v>4344214</v>
      </c>
      <c r="H53" s="10" t="n">
        <v>1088</v>
      </c>
      <c r="I53" s="10" t="n">
        <v>21</v>
      </c>
      <c r="J53" s="10" t="n">
        <v>14</v>
      </c>
      <c r="K53" s="10" t="s">
        <v>20</v>
      </c>
      <c r="L53" s="11" t="n">
        <v>39926.5453356481</v>
      </c>
      <c r="M53" s="12" t="s">
        <v>199</v>
      </c>
      <c r="N53" s="12" t="s">
        <v>200</v>
      </c>
      <c r="O53" s="9" t="str">
        <f aca="false">HYPERLINK("https://pbs.twimg.com/profile_images/714946924105883648/4fgNVF4H_normal.jpg","View")</f>
        <v>View</v>
      </c>
      <c r="P53" s="10"/>
    </row>
    <row r="54" customFormat="false" ht="15.75" hidden="false" customHeight="false" outlineLevel="0" collapsed="false">
      <c r="A54" s="6" t="n">
        <v>43027.7510185185</v>
      </c>
      <c r="B54" s="7" t="str">
        <f aca="false">HYPERLINK("https://twitter.com/sandeepanSoc","@sandeepanSoc")</f>
        <v>@sandeepanSoc</v>
      </c>
      <c r="C54" s="8" t="s">
        <v>201</v>
      </c>
      <c r="D54" s="8" t="s">
        <v>202</v>
      </c>
      <c r="E54" s="9" t="str">
        <f aca="false">HYPERLINK("https://twitter.com/sandeepanSoc/status/921179528055029760","921179528055029760")</f>
        <v>921179528055029760</v>
      </c>
      <c r="F54" s="10" t="s">
        <v>39</v>
      </c>
      <c r="G54" s="10" t="n">
        <v>22</v>
      </c>
      <c r="H54" s="10" t="n">
        <v>457</v>
      </c>
      <c r="I54" s="10" t="n">
        <v>21</v>
      </c>
      <c r="J54" s="10" t="n">
        <v>0</v>
      </c>
      <c r="K54" s="10" t="s">
        <v>20</v>
      </c>
      <c r="L54" s="11" t="n">
        <v>42633.4316319444</v>
      </c>
      <c r="M54" s="12" t="s">
        <v>203</v>
      </c>
      <c r="N54" s="12" t="s">
        <v>204</v>
      </c>
      <c r="O54" s="9" t="str">
        <f aca="false">HYPERLINK("https://pbs.twimg.com/profile_images/916478269821739008/6aw9G7on_normal.jpg","View")</f>
        <v>View</v>
      </c>
      <c r="P54" s="10"/>
    </row>
    <row r="55" customFormat="false" ht="15.75" hidden="false" customHeight="false" outlineLevel="0" collapsed="false">
      <c r="A55" s="6" t="n">
        <v>43027.7511689815</v>
      </c>
      <c r="B55" s="7" t="str">
        <f aca="false">HYPERLINK("https://twitter.com/jaimeotero_","@jaimeotero_")</f>
        <v>@jaimeotero_</v>
      </c>
      <c r="C55" s="8" t="s">
        <v>205</v>
      </c>
      <c r="D55" s="8" t="s">
        <v>206</v>
      </c>
      <c r="E55" s="9" t="str">
        <f aca="false">HYPERLINK("https://twitter.com/jaimeotero_/status/921179579552862209","921179579552862209")</f>
        <v>921179579552862209</v>
      </c>
      <c r="F55" s="10" t="s">
        <v>60</v>
      </c>
      <c r="G55" s="10" t="n">
        <v>34492</v>
      </c>
      <c r="H55" s="10" t="n">
        <v>31252</v>
      </c>
      <c r="I55" s="10" t="n">
        <v>0</v>
      </c>
      <c r="J55" s="10" t="n">
        <v>1</v>
      </c>
      <c r="K55" s="10" t="s">
        <v>20</v>
      </c>
      <c r="L55" s="11" t="n">
        <v>42531.0121990741</v>
      </c>
      <c r="M55" s="12" t="s">
        <v>207</v>
      </c>
      <c r="N55" s="12" t="s">
        <v>208</v>
      </c>
      <c r="O55" s="9" t="str">
        <f aca="false">HYPERLINK("https://pbs.twimg.com/profile_images/849817561281818626/acAU04SD_normal.jpg","View")</f>
        <v>View</v>
      </c>
      <c r="P55" s="10"/>
    </row>
    <row r="56" customFormat="false" ht="15.75" hidden="false" customHeight="false" outlineLevel="0" collapsed="false">
      <c r="A56" s="6" t="n">
        <v>43027.7512268519</v>
      </c>
      <c r="B56" s="7" t="str">
        <f aca="false">HYPERLINK("https://twitter.com/mu2la","@mu2la")</f>
        <v>@mu2la</v>
      </c>
      <c r="C56" s="14" t="s">
        <v>209</v>
      </c>
      <c r="D56" s="8" t="s">
        <v>202</v>
      </c>
      <c r="E56" s="9" t="str">
        <f aca="false">HYPERLINK("https://twitter.com/mu2la/status/921179601535090688","921179601535090688")</f>
        <v>921179601535090688</v>
      </c>
      <c r="F56" s="10" t="s">
        <v>39</v>
      </c>
      <c r="G56" s="10" t="n">
        <v>3530</v>
      </c>
      <c r="H56" s="10" t="n">
        <v>193</v>
      </c>
      <c r="I56" s="10" t="n">
        <v>21</v>
      </c>
      <c r="J56" s="10" t="n">
        <v>0</v>
      </c>
      <c r="K56" s="10" t="s">
        <v>20</v>
      </c>
      <c r="L56" s="11" t="n">
        <v>41260.0209490741</v>
      </c>
      <c r="M56" s="13" t="s">
        <v>210</v>
      </c>
      <c r="N56" s="13" t="s">
        <v>211</v>
      </c>
      <c r="O56" s="9" t="str">
        <f aca="false">HYPERLINK("https://pbs.twimg.com/profile_images/715728446534455296/98gqwdpv_normal.jpg","View")</f>
        <v>View</v>
      </c>
      <c r="P56" s="10"/>
    </row>
    <row r="57" customFormat="false" ht="15.75" hidden="false" customHeight="false" outlineLevel="0" collapsed="false">
      <c r="A57" s="6" t="n">
        <v>43027.7513773148</v>
      </c>
      <c r="B57" s="7" t="str">
        <f aca="false">HYPERLINK("https://twitter.com/serge_poznanski","@serge_poznanski")</f>
        <v>@serge_poznanski</v>
      </c>
      <c r="C57" s="8" t="s">
        <v>212</v>
      </c>
      <c r="D57" s="8" t="s">
        <v>213</v>
      </c>
      <c r="E57" s="9" t="str">
        <f aca="false">HYPERLINK("https://twitter.com/serge_poznanski/status/921179656446980097","921179656446980097")</f>
        <v>921179656446980097</v>
      </c>
      <c r="F57" s="10" t="s">
        <v>60</v>
      </c>
      <c r="G57" s="10" t="n">
        <v>1426</v>
      </c>
      <c r="H57" s="10" t="n">
        <v>2136</v>
      </c>
      <c r="I57" s="10" t="n">
        <v>0</v>
      </c>
      <c r="J57" s="10" t="n">
        <v>0</v>
      </c>
      <c r="K57" s="10" t="s">
        <v>20</v>
      </c>
      <c r="L57" s="11" t="n">
        <v>42271.4744560185</v>
      </c>
      <c r="M57" s="12"/>
      <c r="N57" s="12"/>
      <c r="O57" s="9" t="str">
        <f aca="false">HYPERLINK("https://pbs.twimg.com/profile_images/647277253240291328/3GezjFCJ_normal.jpg","View")</f>
        <v>View</v>
      </c>
      <c r="P57" s="10"/>
    </row>
    <row r="58" customFormat="false" ht="15.75" hidden="false" customHeight="false" outlineLevel="0" collapsed="false">
      <c r="A58" s="6" t="n">
        <v>43027.7517592593</v>
      </c>
      <c r="B58" s="7" t="str">
        <f aca="false">HYPERLINK("https://twitter.com/hanalfabeta","@hanalfabeta")</f>
        <v>@hanalfabeta</v>
      </c>
      <c r="C58" s="8" t="s">
        <v>214</v>
      </c>
      <c r="D58" s="8" t="s">
        <v>215</v>
      </c>
      <c r="E58" s="9" t="str">
        <f aca="false">HYPERLINK("https://twitter.com/hanalfabeta/status/921179794015965184","921179794015965184")</f>
        <v>921179794015965184</v>
      </c>
      <c r="F58" s="10" t="s">
        <v>60</v>
      </c>
      <c r="G58" s="10" t="n">
        <v>40</v>
      </c>
      <c r="H58" s="10" t="n">
        <v>0</v>
      </c>
      <c r="I58" s="10" t="n">
        <v>0</v>
      </c>
      <c r="J58" s="10" t="n">
        <v>0</v>
      </c>
      <c r="K58" s="10" t="s">
        <v>20</v>
      </c>
      <c r="L58" s="11" t="n">
        <v>41193.6584606482</v>
      </c>
      <c r="M58" s="12"/>
      <c r="N58" s="12"/>
      <c r="O58" s="9" t="str">
        <f aca="false">HYPERLINK("https://pbs.twimg.com/profile_images/870358032059949057/y79dyxEc_normal.jpg","View")</f>
        <v>View</v>
      </c>
      <c r="P58" s="10"/>
    </row>
    <row r="59" customFormat="false" ht="15.75" hidden="false" customHeight="false" outlineLevel="0" collapsed="false">
      <c r="A59" s="6" t="n">
        <v>43027.7524768519</v>
      </c>
      <c r="B59" s="7" t="str">
        <f aca="false">HYPERLINK("https://twitter.com/bdnews24","@bdnews24")</f>
        <v>@bdnews24</v>
      </c>
      <c r="C59" s="8" t="s">
        <v>216</v>
      </c>
      <c r="D59" s="8" t="s">
        <v>217</v>
      </c>
      <c r="E59" s="9" t="str">
        <f aca="false">HYPERLINK("https://twitter.com/bdnews24/status/921180054306066432","921180054306066432")</f>
        <v>921180054306066432</v>
      </c>
      <c r="F59" s="10" t="s">
        <v>60</v>
      </c>
      <c r="G59" s="10" t="n">
        <v>215604</v>
      </c>
      <c r="H59" s="10" t="n">
        <v>67887</v>
      </c>
      <c r="I59" s="10" t="n">
        <v>0</v>
      </c>
      <c r="J59" s="10" t="n">
        <v>0</v>
      </c>
      <c r="K59" s="10" t="s">
        <v>20</v>
      </c>
      <c r="L59" s="11" t="n">
        <v>39844.4680439815</v>
      </c>
      <c r="M59" s="12" t="s">
        <v>218</v>
      </c>
      <c r="N59" s="12" t="s">
        <v>219</v>
      </c>
      <c r="O59" s="9" t="str">
        <f aca="false">HYPERLINK("https://pbs.twimg.com/profile_images/718433521509994497/4iW9RC_r_normal.jpg","View")</f>
        <v>View</v>
      </c>
      <c r="P59" s="10"/>
    </row>
    <row r="60" customFormat="false" ht="15.75" hidden="false" customHeight="false" outlineLevel="0" collapsed="false">
      <c r="A60" s="6" t="n">
        <v>43027.7528935185</v>
      </c>
      <c r="B60" s="7" t="str">
        <f aca="false">HYPERLINK("https://twitter.com/globaloilrisks","@globaloilrisks")</f>
        <v>@globaloilrisks</v>
      </c>
      <c r="C60" s="8" t="s">
        <v>220</v>
      </c>
      <c r="D60" s="8" t="s">
        <v>202</v>
      </c>
      <c r="E60" s="9" t="str">
        <f aca="false">HYPERLINK("https://twitter.com/globaloilrisks/status/921180204109848576","921180204109848576")</f>
        <v>921180204109848576</v>
      </c>
      <c r="F60" s="10" t="s">
        <v>25</v>
      </c>
      <c r="G60" s="10" t="n">
        <v>189</v>
      </c>
      <c r="H60" s="10" t="n">
        <v>737</v>
      </c>
      <c r="I60" s="10" t="n">
        <v>21</v>
      </c>
      <c r="J60" s="10" t="n">
        <v>0</v>
      </c>
      <c r="K60" s="10" t="s">
        <v>20</v>
      </c>
      <c r="L60" s="11" t="n">
        <v>42885.6422453704</v>
      </c>
      <c r="M60" s="12" t="s">
        <v>221</v>
      </c>
      <c r="N60" s="12" t="s">
        <v>222</v>
      </c>
      <c r="O60" s="9" t="str">
        <f aca="false">HYPERLINK("https://pbs.twimg.com/profile_images/904090400327180288/1z2lHb8r_normal.jpg","View")</f>
        <v>View</v>
      </c>
      <c r="P60" s="10"/>
    </row>
    <row r="61" customFormat="false" ht="15.75" hidden="false" customHeight="false" outlineLevel="0" collapsed="false">
      <c r="A61" s="6" t="n">
        <v>43027.7529166667</v>
      </c>
      <c r="B61" s="7" t="str">
        <f aca="false">HYPERLINK("https://twitter.com/Bullish","@Bullish")</f>
        <v>@Bullish</v>
      </c>
      <c r="C61" s="8" t="s">
        <v>223</v>
      </c>
      <c r="D61" s="8" t="s">
        <v>224</v>
      </c>
      <c r="E61" s="9" t="str">
        <f aca="false">HYPERLINK("https://twitter.com/Bullish/status/921180212578091008","921180212578091008")</f>
        <v>921180212578091008</v>
      </c>
      <c r="F61" s="10" t="s">
        <v>60</v>
      </c>
      <c r="G61" s="10" t="n">
        <v>184</v>
      </c>
      <c r="H61" s="10" t="n">
        <v>87</v>
      </c>
      <c r="I61" s="10" t="n">
        <v>0</v>
      </c>
      <c r="J61" s="10" t="n">
        <v>0</v>
      </c>
      <c r="K61" s="10" t="s">
        <v>20</v>
      </c>
      <c r="L61" s="11" t="n">
        <v>42618.7530439815</v>
      </c>
      <c r="M61" s="12"/>
      <c r="N61" s="12"/>
      <c r="O61" s="9" t="str">
        <f aca="false">HYPERLINK("https://pbs.twimg.com/profile_images/798692093736599552/UikI9dNE_normal.jpg","View")</f>
        <v>View</v>
      </c>
      <c r="P61" s="10"/>
    </row>
    <row r="62" customFormat="false" ht="15.75" hidden="false" customHeight="false" outlineLevel="0" collapsed="false">
      <c r="A62" s="6" t="n">
        <v>43027.7529166667</v>
      </c>
      <c r="B62" s="7" t="str">
        <f aca="false">HYPERLINK("https://twitter.com/Tekki_VR","@Tekki_VR")</f>
        <v>@Tekki_VR</v>
      </c>
      <c r="C62" s="8" t="s">
        <v>225</v>
      </c>
      <c r="D62" s="8" t="s">
        <v>226</v>
      </c>
      <c r="E62" s="9" t="str">
        <f aca="false">HYPERLINK("https://twitter.com/Tekki_VR/status/921180214465646592","921180214465646592")</f>
        <v>921180214465646592</v>
      </c>
      <c r="F62" s="10" t="s">
        <v>60</v>
      </c>
      <c r="G62" s="10" t="n">
        <v>1895</v>
      </c>
      <c r="H62" s="10" t="n">
        <v>2479</v>
      </c>
      <c r="I62" s="10" t="n">
        <v>0</v>
      </c>
      <c r="J62" s="10" t="n">
        <v>0</v>
      </c>
      <c r="K62" s="10" t="s">
        <v>20</v>
      </c>
      <c r="L62" s="11" t="n">
        <v>42263.5455324074</v>
      </c>
      <c r="M62" s="12" t="s">
        <v>227</v>
      </c>
      <c r="N62" s="12" t="s">
        <v>228</v>
      </c>
      <c r="O62" s="9" t="str">
        <f aca="false">HYPERLINK("https://pbs.twimg.com/profile_images/760662770694098944/h1nSBfE8_normal.jpg","View")</f>
        <v>View</v>
      </c>
      <c r="P62" s="10"/>
    </row>
    <row r="63" customFormat="false" ht="15.75" hidden="false" customHeight="false" outlineLevel="0" collapsed="false">
      <c r="A63" s="6" t="n">
        <v>43027.752974537</v>
      </c>
      <c r="B63" s="7" t="str">
        <f aca="false">HYPERLINK("https://twitter.com/ray_kuersten","@ray_kuersten")</f>
        <v>@ray_kuersten</v>
      </c>
      <c r="C63" s="8" t="s">
        <v>229</v>
      </c>
      <c r="D63" s="8" t="s">
        <v>202</v>
      </c>
      <c r="E63" s="9" t="str">
        <f aca="false">HYPERLINK("https://twitter.com/ray_kuersten/status/921180235906682880","921180235906682880")</f>
        <v>921180235906682880</v>
      </c>
      <c r="F63" s="10" t="s">
        <v>25</v>
      </c>
      <c r="G63" s="10" t="n">
        <v>235</v>
      </c>
      <c r="H63" s="10" t="n">
        <v>710</v>
      </c>
      <c r="I63" s="10" t="n">
        <v>21</v>
      </c>
      <c r="J63" s="10" t="n">
        <v>0</v>
      </c>
      <c r="K63" s="10" t="s">
        <v>20</v>
      </c>
      <c r="L63" s="11" t="n">
        <v>43021.4662037037</v>
      </c>
      <c r="M63" s="12" t="s">
        <v>230</v>
      </c>
      <c r="N63" s="12" t="s">
        <v>231</v>
      </c>
      <c r="O63" s="9" t="str">
        <f aca="false">HYPERLINK("https://pbs.twimg.com/profile_images/918927793102110720/pCr2zrVu_normal.jpg","View")</f>
        <v>View</v>
      </c>
      <c r="P63" s="10"/>
    </row>
    <row r="64" customFormat="false" ht="15.75" hidden="false" customHeight="false" outlineLevel="0" collapsed="false">
      <c r="A64" s="6" t="n">
        <v>43027.7537847222</v>
      </c>
      <c r="B64" s="7" t="str">
        <f aca="false">HYPERLINK("https://twitter.com/Gato188","@Gato188")</f>
        <v>@Gato188</v>
      </c>
      <c r="C64" s="8" t="s">
        <v>232</v>
      </c>
      <c r="D64" s="8" t="s">
        <v>202</v>
      </c>
      <c r="E64" s="9" t="str">
        <f aca="false">HYPERLINK("https://twitter.com/Gato188/status/921180529302441985","921180529302441985")</f>
        <v>921180529302441985</v>
      </c>
      <c r="F64" s="10" t="s">
        <v>39</v>
      </c>
      <c r="G64" s="10" t="n">
        <v>1260</v>
      </c>
      <c r="H64" s="10" t="n">
        <v>454</v>
      </c>
      <c r="I64" s="10" t="n">
        <v>21</v>
      </c>
      <c r="J64" s="10" t="n">
        <v>0</v>
      </c>
      <c r="K64" s="10" t="s">
        <v>20</v>
      </c>
      <c r="L64" s="11" t="n">
        <v>40497.8311226852</v>
      </c>
      <c r="M64" s="12" t="s">
        <v>233</v>
      </c>
      <c r="N64" s="12" t="s">
        <v>234</v>
      </c>
      <c r="O64" s="9" t="str">
        <f aca="false">HYPERLINK("https://pbs.twimg.com/profile_images/1168894733/no_bullshit_sign_normal.jpg","View")</f>
        <v>View</v>
      </c>
      <c r="P64" s="10"/>
    </row>
    <row r="65" customFormat="false" ht="15.75" hidden="false" customHeight="false" outlineLevel="0" collapsed="false">
      <c r="A65" s="6" t="n">
        <v>43027.7537847222</v>
      </c>
      <c r="B65" s="7" t="str">
        <f aca="false">HYPERLINK("https://twitter.com/prepzilla","@prepzilla")</f>
        <v>@prepzilla</v>
      </c>
      <c r="C65" s="8" t="s">
        <v>235</v>
      </c>
      <c r="D65" s="8" t="s">
        <v>236</v>
      </c>
      <c r="E65" s="9" t="str">
        <f aca="false">HYPERLINK("https://twitter.com/prepzilla/status/921180530065977347","921180530065977347")</f>
        <v>921180530065977347</v>
      </c>
      <c r="F65" s="10" t="s">
        <v>60</v>
      </c>
      <c r="G65" s="10" t="n">
        <v>7686</v>
      </c>
      <c r="H65" s="10" t="n">
        <v>477</v>
      </c>
      <c r="I65" s="10" t="n">
        <v>0</v>
      </c>
      <c r="J65" s="10" t="n">
        <v>0</v>
      </c>
      <c r="K65" s="10" t="s">
        <v>20</v>
      </c>
      <c r="L65" s="11" t="n">
        <v>41299.7417361111</v>
      </c>
      <c r="M65" s="12" t="s">
        <v>237</v>
      </c>
      <c r="N65" s="12" t="s">
        <v>238</v>
      </c>
      <c r="O65" s="9" t="str">
        <f aca="false">HYPERLINK("https://pbs.twimg.com/profile_images/900797880516005888/1bWN5qbC_normal.jpg","View")</f>
        <v>View</v>
      </c>
      <c r="P65" s="10"/>
    </row>
    <row r="66" customFormat="false" ht="15.75" hidden="false" customHeight="false" outlineLevel="0" collapsed="false">
      <c r="A66" s="6" t="n">
        <v>43027.7543287037</v>
      </c>
      <c r="B66" s="7" t="str">
        <f aca="false">HYPERLINK("https://twitter.com/eyeboy2","@eyeboy2")</f>
        <v>@eyeboy2</v>
      </c>
      <c r="C66" s="14" t="s">
        <v>239</v>
      </c>
      <c r="D66" s="8" t="s">
        <v>202</v>
      </c>
      <c r="E66" s="9" t="str">
        <f aca="false">HYPERLINK("https://twitter.com/eyeboy2/status/921180727466639361","921180727466639361")</f>
        <v>921180727466639361</v>
      </c>
      <c r="F66" s="10" t="s">
        <v>51</v>
      </c>
      <c r="G66" s="10" t="n">
        <v>63</v>
      </c>
      <c r="H66" s="10" t="n">
        <v>649</v>
      </c>
      <c r="I66" s="10" t="n">
        <v>21</v>
      </c>
      <c r="J66" s="10" t="n">
        <v>0</v>
      </c>
      <c r="K66" s="10" t="s">
        <v>20</v>
      </c>
      <c r="L66" s="11" t="n">
        <v>41627.3369328704</v>
      </c>
      <c r="M66" s="13" t="s">
        <v>240</v>
      </c>
      <c r="N66" s="12"/>
      <c r="O66" s="9" t="str">
        <f aca="false">HYPERLINK("https://pbs.twimg.com/profile_images/562673998526709760/WyRMyzxt_normal.jpeg","View")</f>
        <v>View</v>
      </c>
      <c r="P66" s="10"/>
    </row>
    <row r="67" customFormat="false" ht="15.75" hidden="false" customHeight="false" outlineLevel="0" collapsed="false">
      <c r="A67" s="6" t="n">
        <v>43027.7549189815</v>
      </c>
      <c r="B67" s="7" t="str">
        <f aca="false">HYPERLINK("https://twitter.com/Phylayria","@Phylayria")</f>
        <v>@Phylayria</v>
      </c>
      <c r="C67" s="14" t="s">
        <v>241</v>
      </c>
      <c r="D67" s="8" t="s">
        <v>202</v>
      </c>
      <c r="E67" s="9" t="str">
        <f aca="false">HYPERLINK("https://twitter.com/Phylayria/status/921180939681746946","921180939681746946")</f>
        <v>921180939681746946</v>
      </c>
      <c r="F67" s="10" t="s">
        <v>39</v>
      </c>
      <c r="G67" s="10" t="n">
        <v>31</v>
      </c>
      <c r="H67" s="10" t="n">
        <v>270</v>
      </c>
      <c r="I67" s="10" t="n">
        <v>21</v>
      </c>
      <c r="J67" s="10" t="n">
        <v>0</v>
      </c>
      <c r="K67" s="10" t="s">
        <v>20</v>
      </c>
      <c r="L67" s="11" t="n">
        <v>42046.785787037</v>
      </c>
      <c r="M67" s="13" t="s">
        <v>242</v>
      </c>
      <c r="N67" s="13" t="s">
        <v>243</v>
      </c>
      <c r="O67" s="9" t="str">
        <f aca="false">HYPERLINK("https://pbs.twimg.com/profile_images/870487641250308096/oYAhrZA4_normal.jpg","View")</f>
        <v>View</v>
      </c>
      <c r="P67" s="10"/>
    </row>
    <row r="68" customFormat="false" ht="15.75" hidden="false" customHeight="false" outlineLevel="0" collapsed="false">
      <c r="A68" s="6" t="n">
        <v>43027.7553125</v>
      </c>
      <c r="B68" s="7" t="str">
        <f aca="false">HYPERLINK("https://twitter.com/LvrFox","@LvrFox")</f>
        <v>@LvrFox</v>
      </c>
      <c r="C68" s="8" t="s">
        <v>244</v>
      </c>
      <c r="D68" s="8" t="s">
        <v>202</v>
      </c>
      <c r="E68" s="9" t="str">
        <f aca="false">HYPERLINK("https://twitter.com/LvrFox/status/921181083139321856","921181083139321856")</f>
        <v>921181083139321856</v>
      </c>
      <c r="F68" s="10" t="s">
        <v>39</v>
      </c>
      <c r="G68" s="10" t="n">
        <v>731</v>
      </c>
      <c r="H68" s="10" t="n">
        <v>1476</v>
      </c>
      <c r="I68" s="10" t="n">
        <v>21</v>
      </c>
      <c r="J68" s="10" t="n">
        <v>0</v>
      </c>
      <c r="K68" s="10" t="s">
        <v>20</v>
      </c>
      <c r="L68" s="11" t="n">
        <v>42639.554525463</v>
      </c>
      <c r="M68" s="12" t="s">
        <v>245</v>
      </c>
      <c r="N68" s="12" t="s">
        <v>246</v>
      </c>
      <c r="O68" s="9" t="str">
        <f aca="false">HYPERLINK("https://pbs.twimg.com/profile_images/843416641622884352/dhXOAcVP_normal.jpg","View")</f>
        <v>View</v>
      </c>
      <c r="P68" s="10"/>
    </row>
    <row r="69" customFormat="false" ht="15.75" hidden="false" customHeight="false" outlineLevel="0" collapsed="false">
      <c r="A69" s="6" t="n">
        <v>43027.7563657408</v>
      </c>
      <c r="B69" s="7" t="str">
        <f aca="false">HYPERLINK("https://twitter.com/swissifg","@swissifg")</f>
        <v>@swissifg</v>
      </c>
      <c r="C69" s="8" t="s">
        <v>247</v>
      </c>
      <c r="D69" s="8" t="s">
        <v>248</v>
      </c>
      <c r="E69" s="9" t="str">
        <f aca="false">HYPERLINK("https://twitter.com/swissifg/status/921181462870798336","921181462870798336")</f>
        <v>921181462870798336</v>
      </c>
      <c r="F69" s="10" t="s">
        <v>60</v>
      </c>
      <c r="G69" s="10" t="n">
        <v>1202</v>
      </c>
      <c r="H69" s="10" t="n">
        <v>670</v>
      </c>
      <c r="I69" s="10" t="n">
        <v>0</v>
      </c>
      <c r="J69" s="10" t="n">
        <v>0</v>
      </c>
      <c r="K69" s="10" t="s">
        <v>20</v>
      </c>
      <c r="L69" s="11" t="n">
        <v>42499.2341087963</v>
      </c>
      <c r="M69" s="12" t="s">
        <v>249</v>
      </c>
      <c r="N69" s="12" t="s">
        <v>250</v>
      </c>
      <c r="O69" s="9" t="str">
        <f aca="false">HYPERLINK("https://pbs.twimg.com/profile_images/729681805088063489/N4ls5vb8_normal.jpg","View")</f>
        <v>View</v>
      </c>
      <c r="P69" s="10"/>
    </row>
    <row r="70" customFormat="false" ht="15.75" hidden="false" customHeight="false" outlineLevel="0" collapsed="false">
      <c r="A70" s="6" t="n">
        <v>43027.7564236111</v>
      </c>
      <c r="B70" s="7" t="str">
        <f aca="false">HYPERLINK("https://twitter.com/shailendra_nair","@shailendra_nair")</f>
        <v>@shailendra_nair</v>
      </c>
      <c r="C70" s="8" t="s">
        <v>251</v>
      </c>
      <c r="D70" s="8" t="s">
        <v>252</v>
      </c>
      <c r="E70" s="9" t="str">
        <f aca="false">HYPERLINK("https://twitter.com/shailendra_nair/status/921181483741663234","921181483741663234")</f>
        <v>921181483741663234</v>
      </c>
      <c r="F70" s="10" t="s">
        <v>60</v>
      </c>
      <c r="G70" s="10" t="n">
        <v>3987</v>
      </c>
      <c r="H70" s="10" t="n">
        <v>1042</v>
      </c>
      <c r="I70" s="10" t="n">
        <v>0</v>
      </c>
      <c r="J70" s="10" t="n">
        <v>0</v>
      </c>
      <c r="K70" s="10" t="s">
        <v>20</v>
      </c>
      <c r="L70" s="11" t="n">
        <v>40362.4379861111</v>
      </c>
      <c r="M70" s="12" t="s">
        <v>253</v>
      </c>
      <c r="N70" s="12" t="s">
        <v>254</v>
      </c>
      <c r="O70" s="9" t="str">
        <f aca="false">HYPERLINK("https://pbs.twimg.com/profile_images/884758468879466497/M_w6UjD3_normal.jpg","View")</f>
        <v>View</v>
      </c>
      <c r="P70" s="10"/>
    </row>
    <row r="71" customFormat="false" ht="15.75" hidden="false" customHeight="false" outlineLevel="0" collapsed="false">
      <c r="A71" s="6" t="n">
        <v>43027.7565046296</v>
      </c>
      <c r="B71" s="7" t="str">
        <f aca="false">HYPERLINK("https://twitter.com/mlnangalama","@mlnangalama")</f>
        <v>@mlnangalama</v>
      </c>
      <c r="C71" s="8" t="s">
        <v>255</v>
      </c>
      <c r="D71" s="8" t="s">
        <v>256</v>
      </c>
      <c r="E71" s="9" t="str">
        <f aca="false">HYPERLINK("https://twitter.com/mlnangalama/status/921181515610054657","921181515610054657")</f>
        <v>921181515610054657</v>
      </c>
      <c r="F71" s="10" t="s">
        <v>60</v>
      </c>
      <c r="G71" s="10" t="n">
        <v>2370</v>
      </c>
      <c r="H71" s="10" t="n">
        <v>1584</v>
      </c>
      <c r="I71" s="10" t="n">
        <v>0</v>
      </c>
      <c r="J71" s="10" t="n">
        <v>0</v>
      </c>
      <c r="K71" s="10" t="s">
        <v>20</v>
      </c>
      <c r="L71" s="11" t="n">
        <v>41041.5437847222</v>
      </c>
      <c r="M71" s="12" t="s">
        <v>257</v>
      </c>
      <c r="N71" s="12" t="s">
        <v>258</v>
      </c>
      <c r="O71" s="9" t="str">
        <f aca="false">HYPERLINK("https://pbs.twimg.com/profile_images/900915882444173313/biUHzvpx_normal.jpg","View")</f>
        <v>View</v>
      </c>
      <c r="P71" s="10"/>
    </row>
    <row r="72" customFormat="false" ht="15.75" hidden="false" customHeight="false" outlineLevel="0" collapsed="false">
      <c r="A72" s="6" t="n">
        <v>43027.7567939815</v>
      </c>
      <c r="B72" s="7" t="str">
        <f aca="false">HYPERLINK("https://twitter.com/x1__5x","@x1__5x")</f>
        <v>@x1__5x</v>
      </c>
      <c r="C72" s="8" t="s">
        <v>259</v>
      </c>
      <c r="D72" s="8" t="s">
        <v>202</v>
      </c>
      <c r="E72" s="9" t="str">
        <f aca="false">HYPERLINK("https://twitter.com/x1__5x/status/921181619167391746","921181619167391746")</f>
        <v>921181619167391746</v>
      </c>
      <c r="F72" s="10" t="s">
        <v>51</v>
      </c>
      <c r="G72" s="10" t="n">
        <v>35</v>
      </c>
      <c r="H72" s="10" t="n">
        <v>120</v>
      </c>
      <c r="I72" s="10" t="n">
        <v>21</v>
      </c>
      <c r="J72" s="10" t="n">
        <v>0</v>
      </c>
      <c r="K72" s="10" t="s">
        <v>20</v>
      </c>
      <c r="L72" s="11" t="n">
        <v>41880.2024652778</v>
      </c>
      <c r="M72" s="12"/>
      <c r="N72" s="12"/>
      <c r="O72" s="9" t="str">
        <f aca="false">HYPERLINK("https://pbs.twimg.com/profile_images/910313671867486214/vzZtZT6L_normal.jpg","View")</f>
        <v>View</v>
      </c>
      <c r="P72" s="10"/>
    </row>
    <row r="73" customFormat="false" ht="15.75" hidden="false" customHeight="false" outlineLevel="0" collapsed="false">
      <c r="A73" s="6" t="n">
        <v>43027.7599537037</v>
      </c>
      <c r="B73" s="7" t="str">
        <f aca="false">HYPERLINK("https://twitter.com/FallySomboNkhwa","@FallySomboNkhwa")</f>
        <v>@FallySomboNkhwa</v>
      </c>
      <c r="C73" s="8" t="s">
        <v>260</v>
      </c>
      <c r="D73" s="8" t="s">
        <v>261</v>
      </c>
      <c r="E73" s="9" t="str">
        <f aca="false">HYPERLINK("https://twitter.com/FallySomboNkhwa/status/921182766724722689","921182766724722689")</f>
        <v>921182766724722689</v>
      </c>
      <c r="F73" s="10" t="s">
        <v>60</v>
      </c>
      <c r="G73" s="10" t="n">
        <v>421</v>
      </c>
      <c r="H73" s="10" t="n">
        <v>2195</v>
      </c>
      <c r="I73" s="10" t="n">
        <v>0</v>
      </c>
      <c r="J73" s="10" t="n">
        <v>0</v>
      </c>
      <c r="K73" s="10" t="s">
        <v>20</v>
      </c>
      <c r="L73" s="11" t="n">
        <v>41551.8204166667</v>
      </c>
      <c r="M73" s="12" t="s">
        <v>262</v>
      </c>
      <c r="N73" s="12" t="s">
        <v>263</v>
      </c>
      <c r="O73" s="9" t="str">
        <f aca="false">HYPERLINK("https://pbs.twimg.com/profile_images/543761133505503235/pKcg8bc2_normal.jpeg","View")</f>
        <v>View</v>
      </c>
      <c r="P73" s="10"/>
    </row>
    <row r="74" customFormat="false" ht="15.75" hidden="false" customHeight="false" outlineLevel="0" collapsed="false">
      <c r="A74" s="6" t="n">
        <v>43027.7636226852</v>
      </c>
      <c r="B74" s="7" t="str">
        <f aca="false">HYPERLINK("https://twitter.com/gsDetermination","@gsDetermination")</f>
        <v>@gsDetermination</v>
      </c>
      <c r="C74" s="8" t="s">
        <v>264</v>
      </c>
      <c r="D74" s="8" t="s">
        <v>202</v>
      </c>
      <c r="E74" s="9" t="str">
        <f aca="false">HYPERLINK("https://twitter.com/gsDetermination/status/921184094880493568","921184094880493568")</f>
        <v>921184094880493568</v>
      </c>
      <c r="F74" s="10" t="s">
        <v>39</v>
      </c>
      <c r="G74" s="10" t="n">
        <v>831</v>
      </c>
      <c r="H74" s="10" t="n">
        <v>2219</v>
      </c>
      <c r="I74" s="10" t="n">
        <v>21</v>
      </c>
      <c r="J74" s="10" t="n">
        <v>0</v>
      </c>
      <c r="K74" s="10" t="s">
        <v>20</v>
      </c>
      <c r="L74" s="11" t="n">
        <v>40683.2939351852</v>
      </c>
      <c r="M74" s="12"/>
      <c r="N74" s="12" t="s">
        <v>265</v>
      </c>
      <c r="O74" s="9" t="str">
        <f aca="false">HYPERLINK("https://pbs.twimg.com/profile_images/2218088442/G_Avatar_normal.jpeg","View")</f>
        <v>View</v>
      </c>
      <c r="P74" s="10"/>
    </row>
    <row r="75" customFormat="false" ht="15.75" hidden="false" customHeight="false" outlineLevel="0" collapsed="false">
      <c r="A75" s="6" t="n">
        <v>43027.7646643519</v>
      </c>
      <c r="B75" s="7" t="str">
        <f aca="false">HYPERLINK("https://twitter.com/bpolitics","@bpolitics")</f>
        <v>@bpolitics</v>
      </c>
      <c r="C75" s="8" t="s">
        <v>266</v>
      </c>
      <c r="D75" s="8" t="s">
        <v>267</v>
      </c>
      <c r="E75" s="9" t="str">
        <f aca="false">HYPERLINK("https://twitter.com/bpolitics/status/921184472216858624","921184472216858624")</f>
        <v>921184472216858624</v>
      </c>
      <c r="F75" s="10" t="s">
        <v>268</v>
      </c>
      <c r="G75" s="10" t="n">
        <v>221392</v>
      </c>
      <c r="H75" s="10" t="n">
        <v>868</v>
      </c>
      <c r="I75" s="10" t="n">
        <v>2</v>
      </c>
      <c r="J75" s="10" t="n">
        <v>2</v>
      </c>
      <c r="K75" s="10" t="s">
        <v>20</v>
      </c>
      <c r="L75" s="11" t="n">
        <v>41025.576400463</v>
      </c>
      <c r="M75" s="12"/>
      <c r="N75" s="12" t="s">
        <v>269</v>
      </c>
      <c r="O75" s="9" t="str">
        <f aca="false">HYPERLINK("https://pbs.twimg.com/profile_images/714804098890133504/cUO4gD1A_normal.jpg","View")</f>
        <v>View</v>
      </c>
      <c r="P75" s="10"/>
    </row>
    <row r="76" customFormat="false" ht="15.75" hidden="false" customHeight="false" outlineLevel="0" collapsed="false">
      <c r="A76" s="6" t="n">
        <v>43027.7655439815</v>
      </c>
      <c r="B76" s="7" t="str">
        <f aca="false">HYPERLINK("https://twitter.com/rfgpolijunkie","@rfgpolijunkie")</f>
        <v>@rfgpolijunkie</v>
      </c>
      <c r="C76" s="8" t="s">
        <v>270</v>
      </c>
      <c r="D76" s="8" t="s">
        <v>202</v>
      </c>
      <c r="E76" s="9" t="str">
        <f aca="false">HYPERLINK("https://twitter.com/rfgpolijunkie/status/921184792527466496","921184792527466496")</f>
        <v>921184792527466496</v>
      </c>
      <c r="F76" s="10" t="s">
        <v>25</v>
      </c>
      <c r="G76" s="10" t="n">
        <v>362</v>
      </c>
      <c r="H76" s="10" t="n">
        <v>925</v>
      </c>
      <c r="I76" s="10" t="n">
        <v>21</v>
      </c>
      <c r="J76" s="10" t="n">
        <v>0</v>
      </c>
      <c r="K76" s="10" t="s">
        <v>20</v>
      </c>
      <c r="L76" s="11" t="n">
        <v>40550.2221064815</v>
      </c>
      <c r="M76" s="12" t="s">
        <v>271</v>
      </c>
      <c r="N76" s="12" t="s">
        <v>272</v>
      </c>
      <c r="O76" s="9" t="str">
        <f aca="false">HYPERLINK("https://pbs.twimg.com/profile_images/854884811701407744/X5-oUb_z_normal.jpg","View")</f>
        <v>View</v>
      </c>
      <c r="P76" s="10"/>
    </row>
    <row r="77" customFormat="false" ht="15.75" hidden="false" customHeight="false" outlineLevel="0" collapsed="false">
      <c r="A77" s="6" t="n">
        <v>43027.7664814815</v>
      </c>
      <c r="B77" s="7" t="str">
        <f aca="false">HYPERLINK("https://twitter.com/ramlantern","@ramlantern")</f>
        <v>@ramlantern</v>
      </c>
      <c r="C77" s="8" t="s">
        <v>273</v>
      </c>
      <c r="D77" s="8" t="s">
        <v>202</v>
      </c>
      <c r="E77" s="9" t="str">
        <f aca="false">HYPERLINK("https://twitter.com/ramlantern/status/921185130798084096","921185130798084096")</f>
        <v>921185130798084096</v>
      </c>
      <c r="F77" s="10" t="s">
        <v>25</v>
      </c>
      <c r="G77" s="10" t="n">
        <v>46</v>
      </c>
      <c r="H77" s="10" t="n">
        <v>332</v>
      </c>
      <c r="I77" s="10" t="n">
        <v>21</v>
      </c>
      <c r="J77" s="10" t="n">
        <v>0</v>
      </c>
      <c r="K77" s="10" t="s">
        <v>20</v>
      </c>
      <c r="L77" s="11" t="n">
        <v>42645.5801273148</v>
      </c>
      <c r="M77" s="12"/>
      <c r="N77" s="12"/>
      <c r="O77" s="9" t="str">
        <f aca="false">HYPERLINK("https://abs.twimg.com/sticky/default_profile_images/default_profile_normal.png","View")</f>
        <v>View</v>
      </c>
      <c r="P77" s="10"/>
    </row>
    <row r="78" customFormat="false" ht="15.75" hidden="false" customHeight="false" outlineLevel="0" collapsed="false">
      <c r="A78" s="6" t="n">
        <v>43027.7693055556</v>
      </c>
      <c r="B78" s="7" t="str">
        <f aca="false">HYPERLINK("https://twitter.com/Electionarium","@Electionarium")</f>
        <v>@Electionarium</v>
      </c>
      <c r="C78" s="8" t="s">
        <v>274</v>
      </c>
      <c r="D78" s="8" t="s">
        <v>275</v>
      </c>
      <c r="E78" s="9" t="str">
        <f aca="false">HYPERLINK("https://twitter.com/Electionarium/status/921186152928997376","921186152928997376")</f>
        <v>921186152928997376</v>
      </c>
      <c r="F78" s="10" t="s">
        <v>276</v>
      </c>
      <c r="G78" s="10" t="n">
        <v>49</v>
      </c>
      <c r="H78" s="10" t="n">
        <v>358</v>
      </c>
      <c r="I78" s="10" t="n">
        <v>2</v>
      </c>
      <c r="J78" s="10" t="n">
        <v>0</v>
      </c>
      <c r="K78" s="10" t="s">
        <v>20</v>
      </c>
      <c r="L78" s="11" t="n">
        <v>41081.7443287037</v>
      </c>
      <c r="M78" s="12"/>
      <c r="N78" s="12"/>
      <c r="O78" s="9" t="str">
        <f aca="false">HYPERLINK("https://pbs.twimg.com/profile_images/850919762741780480/gge0QTpt_normal.jpg","View")</f>
        <v>View</v>
      </c>
      <c r="P78" s="10"/>
    </row>
    <row r="79" customFormat="false" ht="15.75" hidden="false" customHeight="false" outlineLevel="0" collapsed="false">
      <c r="A79" s="6" t="n">
        <v>43027.7756365741</v>
      </c>
      <c r="B79" s="7" t="str">
        <f aca="false">HYPERLINK("https://twitter.com/MukehsD","@MukehsD")</f>
        <v>@MukehsD</v>
      </c>
      <c r="C79" s="8" t="s">
        <v>277</v>
      </c>
      <c r="D79" s="8" t="s">
        <v>202</v>
      </c>
      <c r="E79" s="9" t="str">
        <f aca="false">HYPERLINK("https://twitter.com/MukehsD/status/921188446156103680","921188446156103680")</f>
        <v>921188446156103680</v>
      </c>
      <c r="F79" s="10" t="s">
        <v>25</v>
      </c>
      <c r="G79" s="10" t="n">
        <v>207</v>
      </c>
      <c r="H79" s="10" t="n">
        <v>592</v>
      </c>
      <c r="I79" s="10" t="n">
        <v>21</v>
      </c>
      <c r="J79" s="10" t="n">
        <v>0</v>
      </c>
      <c r="K79" s="10" t="s">
        <v>20</v>
      </c>
      <c r="L79" s="11" t="n">
        <v>43012.0470717593</v>
      </c>
      <c r="M79" s="12" t="s">
        <v>278</v>
      </c>
      <c r="N79" s="12"/>
      <c r="O79" s="9" t="str">
        <f aca="false">HYPERLINK("https://pbs.twimg.com/profile_images/915492481797545984/ltPNPAT4_normal.jpg","View")</f>
        <v>View</v>
      </c>
      <c r="P79" s="10"/>
    </row>
    <row r="80" customFormat="false" ht="15.75" hidden="false" customHeight="false" outlineLevel="0" collapsed="false">
      <c r="A80" s="6" t="n">
        <v>43027.7802546296</v>
      </c>
      <c r="B80" s="7" t="str">
        <f aca="false">HYPERLINK("https://twitter.com/Rick4312","@Rick4312")</f>
        <v>@Rick4312</v>
      </c>
      <c r="C80" s="8" t="s">
        <v>279</v>
      </c>
      <c r="D80" s="8" t="s">
        <v>202</v>
      </c>
      <c r="E80" s="9" t="str">
        <f aca="false">HYPERLINK("https://twitter.com/Rick4312/status/921190121252278272","921190121252278272")</f>
        <v>921190121252278272</v>
      </c>
      <c r="F80" s="10" t="s">
        <v>25</v>
      </c>
      <c r="G80" s="10" t="n">
        <v>353</v>
      </c>
      <c r="H80" s="10" t="n">
        <v>342</v>
      </c>
      <c r="I80" s="10" t="n">
        <v>21</v>
      </c>
      <c r="J80" s="10" t="n">
        <v>0</v>
      </c>
      <c r="K80" s="10" t="s">
        <v>20</v>
      </c>
      <c r="L80" s="11" t="n">
        <v>39926.1991898148</v>
      </c>
      <c r="M80" s="12"/>
      <c r="N80" s="12" t="s">
        <v>280</v>
      </c>
      <c r="O80" s="9" t="str">
        <f aca="false">HYPERLINK("https://pbs.twimg.com/profile_images/378800000606169554/baf9e73de18cf5538945e01f8656543c_normal.png","View")</f>
        <v>View</v>
      </c>
      <c r="P80" s="10"/>
    </row>
    <row r="81" customFormat="false" ht="15.75" hidden="false" customHeight="false" outlineLevel="0" collapsed="false">
      <c r="A81" s="6" t="n">
        <v>43027.7852893519</v>
      </c>
      <c r="B81" s="7" t="str">
        <f aca="false">HYPERLINK("https://twitter.com/CarolynCpcraig","@CarolynCpcraig")</f>
        <v>@CarolynCpcraig</v>
      </c>
      <c r="C81" s="8" t="s">
        <v>281</v>
      </c>
      <c r="D81" s="8" t="s">
        <v>275</v>
      </c>
      <c r="E81" s="9" t="str">
        <f aca="false">HYPERLINK("https://twitter.com/CarolynCpcraig/status/921191944646283264","921191944646283264")</f>
        <v>921191944646283264</v>
      </c>
      <c r="F81" s="10" t="s">
        <v>51</v>
      </c>
      <c r="G81" s="10" t="n">
        <v>1677</v>
      </c>
      <c r="H81" s="10" t="n">
        <v>2775</v>
      </c>
      <c r="I81" s="10" t="n">
        <v>2</v>
      </c>
      <c r="J81" s="10" t="n">
        <v>0</v>
      </c>
      <c r="K81" s="10" t="s">
        <v>20</v>
      </c>
      <c r="L81" s="11" t="n">
        <v>41241.9173611111</v>
      </c>
      <c r="M81" s="12"/>
      <c r="N81" s="12" t="s">
        <v>282</v>
      </c>
      <c r="O81" s="9" t="str">
        <f aca="false">HYPERLINK("https://pbs.twimg.com/profile_images/3209893383/0744821f1e286a18e50adbdf8506ee7c_normal.jpeg","View")</f>
        <v>View</v>
      </c>
      <c r="P81" s="10"/>
    </row>
    <row r="82" customFormat="false" ht="15.75" hidden="false" customHeight="false" outlineLevel="0" collapsed="false">
      <c r="A82" s="6" t="n">
        <v>43027.7868171296</v>
      </c>
      <c r="B82" s="7" t="str">
        <f aca="false">HYPERLINK("https://twitter.com/CaroleCasuco","@CaroleCasuco")</f>
        <v>@CaroleCasuco</v>
      </c>
      <c r="C82" s="8" t="s">
        <v>283</v>
      </c>
      <c r="D82" s="8" t="s">
        <v>202</v>
      </c>
      <c r="E82" s="9" t="str">
        <f aca="false">HYPERLINK("https://twitter.com/CaroleCasuco/status/921192498193747968","921192498193747968")</f>
        <v>921192498193747968</v>
      </c>
      <c r="F82" s="10" t="s">
        <v>39</v>
      </c>
      <c r="G82" s="10" t="n">
        <v>1972</v>
      </c>
      <c r="H82" s="10" t="n">
        <v>5001</v>
      </c>
      <c r="I82" s="10" t="n">
        <v>21</v>
      </c>
      <c r="J82" s="10" t="n">
        <v>0</v>
      </c>
      <c r="K82" s="10" t="s">
        <v>20</v>
      </c>
      <c r="L82" s="11" t="n">
        <v>42769.1823148148</v>
      </c>
      <c r="M82" s="12"/>
      <c r="N82" s="12" t="s">
        <v>284</v>
      </c>
      <c r="O82" s="9" t="str">
        <f aca="false">HYPERLINK("https://pbs.twimg.com/profile_images/843009571614593026/DZiz_wqB_normal.jpg","View")</f>
        <v>View</v>
      </c>
      <c r="P82" s="10"/>
    </row>
    <row r="83" customFormat="false" ht="15.75" hidden="false" customHeight="false" outlineLevel="0" collapsed="false">
      <c r="A83" s="6" t="n">
        <v>43027.8025115741</v>
      </c>
      <c r="B83" s="7" t="str">
        <f aca="false">HYPERLINK("https://twitter.com/ZyiteGadgets","@ZyiteGadgets")</f>
        <v>@ZyiteGadgets</v>
      </c>
      <c r="C83" s="8" t="s">
        <v>171</v>
      </c>
      <c r="D83" s="8" t="s">
        <v>285</v>
      </c>
      <c r="E83" s="9" t="str">
        <f aca="false">HYPERLINK("https://twitter.com/ZyiteGadgets/status/921198188182241287","921198188182241287")</f>
        <v>921198188182241287</v>
      </c>
      <c r="F83" s="10" t="s">
        <v>110</v>
      </c>
      <c r="G83" s="10" t="n">
        <v>3542</v>
      </c>
      <c r="H83" s="10" t="n">
        <v>4844</v>
      </c>
      <c r="I83" s="10" t="n">
        <v>0</v>
      </c>
      <c r="J83" s="10" t="n">
        <v>0</v>
      </c>
      <c r="K83" s="10" t="s">
        <v>20</v>
      </c>
      <c r="L83" s="11" t="n">
        <v>41470.6147800926</v>
      </c>
      <c r="M83" s="15" t="s">
        <v>173</v>
      </c>
      <c r="N83" s="12" t="s">
        <v>174</v>
      </c>
      <c r="O83" s="9" t="str">
        <f aca="false">HYPERLINK("https://pbs.twimg.com/profile_images/487701633489313793/pIxJHFt5_normal.jpeg","View")</f>
        <v>View</v>
      </c>
      <c r="P83" s="10"/>
    </row>
    <row r="84" customFormat="false" ht="15.75" hidden="false" customHeight="false" outlineLevel="0" collapsed="false">
      <c r="A84" s="6" t="n">
        <v>43027.8027662037</v>
      </c>
      <c r="B84" s="7" t="str">
        <f aca="false">HYPERLINK("https://twitter.com/bpolitics","@bpolitics")</f>
        <v>@bpolitics</v>
      </c>
      <c r="C84" s="8" t="s">
        <v>266</v>
      </c>
      <c r="D84" s="8" t="s">
        <v>286</v>
      </c>
      <c r="E84" s="9" t="str">
        <f aca="false">HYPERLINK("https://twitter.com/bpolitics/status/921198280960290821","921198280960290821")</f>
        <v>921198280960290821</v>
      </c>
      <c r="F84" s="9" t="s">
        <v>198</v>
      </c>
      <c r="G84" s="10" t="n">
        <v>221392</v>
      </c>
      <c r="H84" s="10" t="n">
        <v>868</v>
      </c>
      <c r="I84" s="10" t="n">
        <v>4</v>
      </c>
      <c r="J84" s="10" t="n">
        <v>3</v>
      </c>
      <c r="K84" s="10" t="s">
        <v>20</v>
      </c>
      <c r="L84" s="11" t="n">
        <v>41025.576400463</v>
      </c>
      <c r="M84" s="12"/>
      <c r="N84" s="12" t="s">
        <v>269</v>
      </c>
      <c r="O84" s="9" t="str">
        <f aca="false">HYPERLINK("https://pbs.twimg.com/profile_images/714804098890133504/cUO4gD1A_normal.jpg","View")</f>
        <v>View</v>
      </c>
      <c r="P84" s="10"/>
    </row>
    <row r="85" customFormat="false" ht="15.75" hidden="false" customHeight="false" outlineLevel="0" collapsed="false">
      <c r="A85" s="6" t="n">
        <v>43027.8067476852</v>
      </c>
      <c r="B85" s="7" t="str">
        <f aca="false">HYPERLINK("https://twitter.com/daiichi_crisis","@daiichi_crisis")</f>
        <v>@daiichi_crisis</v>
      </c>
      <c r="C85" s="8" t="s">
        <v>287</v>
      </c>
      <c r="D85" s="8" t="s">
        <v>288</v>
      </c>
      <c r="E85" s="9" t="str">
        <f aca="false">HYPERLINK("https://twitter.com/daiichi_crisis/status/921199721506660352","921199721506660352")</f>
        <v>921199721506660352</v>
      </c>
      <c r="F85" s="10" t="s">
        <v>55</v>
      </c>
      <c r="G85" s="10" t="n">
        <v>584</v>
      </c>
      <c r="H85" s="10" t="n">
        <v>1</v>
      </c>
      <c r="I85" s="10" t="n">
        <v>0</v>
      </c>
      <c r="J85" s="10" t="n">
        <v>0</v>
      </c>
      <c r="K85" s="10" t="s">
        <v>20</v>
      </c>
      <c r="L85" s="11" t="n">
        <v>40615.6037384259</v>
      </c>
      <c r="M85" s="12"/>
      <c r="N85" s="12" t="s">
        <v>289</v>
      </c>
      <c r="O85" s="9" t="str">
        <f aca="false">HYPERLINK("https://pbs.twimg.com/profile_images/1271554061/thumb_normal.jpg","View")</f>
        <v>View</v>
      </c>
      <c r="P85" s="10"/>
    </row>
    <row r="86" customFormat="false" ht="15.75" hidden="false" customHeight="false" outlineLevel="0" collapsed="false">
      <c r="A86" s="6" t="n">
        <v>43027.8073842593</v>
      </c>
      <c r="B86" s="7" t="str">
        <f aca="false">HYPERLINK("https://twitter.com/GregDB2011","@GregDB2011")</f>
        <v>@GregDB2011</v>
      </c>
      <c r="C86" s="8" t="s">
        <v>290</v>
      </c>
      <c r="D86" s="8" t="s">
        <v>291</v>
      </c>
      <c r="E86" s="9" t="str">
        <f aca="false">HYPERLINK("https://twitter.com/GregDB2011/status/921199951647981568","921199951647981568")</f>
        <v>921199951647981568</v>
      </c>
      <c r="F86" s="10" t="s">
        <v>51</v>
      </c>
      <c r="G86" s="10" t="n">
        <v>134</v>
      </c>
      <c r="H86" s="10" t="n">
        <v>932</v>
      </c>
      <c r="I86" s="10" t="n">
        <v>4</v>
      </c>
      <c r="J86" s="10" t="n">
        <v>0</v>
      </c>
      <c r="K86" s="10" t="s">
        <v>20</v>
      </c>
      <c r="L86" s="11" t="n">
        <v>40722.736412037</v>
      </c>
      <c r="M86" s="12" t="s">
        <v>292</v>
      </c>
      <c r="N86" s="12" t="s">
        <v>293</v>
      </c>
      <c r="O86" s="9" t="str">
        <f aca="false">HYPERLINK("https://pbs.twimg.com/profile_images/813444670483140608/PnpAw0Ol_normal.jpg","View")</f>
        <v>View</v>
      </c>
      <c r="P86" s="10"/>
    </row>
    <row r="87" customFormat="false" ht="15.75" hidden="false" customHeight="false" outlineLevel="0" collapsed="false">
      <c r="A87" s="6" t="n">
        <v>43027.8109143519</v>
      </c>
      <c r="B87" s="7" t="str">
        <f aca="false">HYPERLINK("https://twitter.com/artofawesome89","@artofawesome89")</f>
        <v>@artofawesome89</v>
      </c>
      <c r="C87" s="8" t="s">
        <v>294</v>
      </c>
      <c r="D87" s="8" t="s">
        <v>291</v>
      </c>
      <c r="E87" s="9" t="str">
        <f aca="false">HYPERLINK("https://twitter.com/artofawesome89/status/921201232408014850","921201232408014850")</f>
        <v>921201232408014850</v>
      </c>
      <c r="F87" s="10" t="s">
        <v>39</v>
      </c>
      <c r="G87" s="10" t="n">
        <v>60</v>
      </c>
      <c r="H87" s="10" t="n">
        <v>339</v>
      </c>
      <c r="I87" s="10" t="n">
        <v>4</v>
      </c>
      <c r="J87" s="10" t="n">
        <v>0</v>
      </c>
      <c r="K87" s="10" t="s">
        <v>20</v>
      </c>
      <c r="L87" s="11" t="n">
        <v>43003.8068981482</v>
      </c>
      <c r="M87" s="12" t="s">
        <v>295</v>
      </c>
      <c r="N87" s="12" t="s">
        <v>296</v>
      </c>
      <c r="O87" s="9" t="str">
        <f aca="false">HYPERLINK("https://pbs.twimg.com/profile_images/912505341903962114/DsU5pfcg_normal.jpg","View")</f>
        <v>View</v>
      </c>
      <c r="P87" s="10"/>
    </row>
    <row r="88" customFormat="false" ht="15.75" hidden="false" customHeight="false" outlineLevel="0" collapsed="false">
      <c r="A88" s="6" t="n">
        <v>43027.8116203704</v>
      </c>
      <c r="B88" s="7" t="str">
        <f aca="false">HYPERLINK("https://twitter.com/Dominator_D22","@Dominator_D22")</f>
        <v>@Dominator_D22</v>
      </c>
      <c r="C88" s="8" t="s">
        <v>297</v>
      </c>
      <c r="D88" s="8" t="s">
        <v>291</v>
      </c>
      <c r="E88" s="9" t="str">
        <f aca="false">HYPERLINK("https://twitter.com/Dominator_D22/status/921201486574641152","921201486574641152")</f>
        <v>921201486574641152</v>
      </c>
      <c r="F88" s="10" t="s">
        <v>25</v>
      </c>
      <c r="G88" s="10" t="n">
        <v>950</v>
      </c>
      <c r="H88" s="10" t="n">
        <v>1026</v>
      </c>
      <c r="I88" s="10" t="n">
        <v>4</v>
      </c>
      <c r="J88" s="10" t="n">
        <v>0</v>
      </c>
      <c r="K88" s="10" t="s">
        <v>20</v>
      </c>
      <c r="L88" s="11" t="n">
        <v>41384.497650463</v>
      </c>
      <c r="M88" s="12" t="s">
        <v>298</v>
      </c>
      <c r="N88" s="12" t="s">
        <v>299</v>
      </c>
      <c r="O88" s="9" t="str">
        <f aca="false">HYPERLINK("https://pbs.twimg.com/profile_images/881724005551669249/mL9SeStp_normal.jpg","View")</f>
        <v>View</v>
      </c>
      <c r="P88" s="10"/>
    </row>
    <row r="89" customFormat="false" ht="15.75" hidden="false" customHeight="false" outlineLevel="0" collapsed="false">
      <c r="A89" s="6" t="n">
        <v>43027.8130439815</v>
      </c>
      <c r="B89" s="7" t="str">
        <f aca="false">HYPERLINK("https://twitter.com/DeenStory","@DeenStory")</f>
        <v>@DeenStory</v>
      </c>
      <c r="C89" s="8" t="s">
        <v>300</v>
      </c>
      <c r="D89" s="8" t="s">
        <v>291</v>
      </c>
      <c r="E89" s="9" t="str">
        <f aca="false">HYPERLINK("https://twitter.com/DeenStory/status/921202002742321152","921202002742321152")</f>
        <v>921202002742321152</v>
      </c>
      <c r="F89" s="10" t="s">
        <v>39</v>
      </c>
      <c r="G89" s="10" t="n">
        <v>526</v>
      </c>
      <c r="H89" s="10" t="n">
        <v>1228</v>
      </c>
      <c r="I89" s="10" t="n">
        <v>4</v>
      </c>
      <c r="J89" s="10" t="n">
        <v>0</v>
      </c>
      <c r="K89" s="10" t="s">
        <v>20</v>
      </c>
      <c r="L89" s="11" t="n">
        <v>40442.2884606481</v>
      </c>
      <c r="M89" s="12" t="s">
        <v>21</v>
      </c>
      <c r="N89" s="12" t="s">
        <v>301</v>
      </c>
      <c r="O89" s="9" t="str">
        <f aca="false">HYPERLINK("https://pbs.twimg.com/profile_images/874792828043313152/NUUkzfKH_normal.jpg","View")</f>
        <v>View</v>
      </c>
      <c r="P89" s="10"/>
    </row>
    <row r="90" customFormat="false" ht="15.75" hidden="false" customHeight="false" outlineLevel="0" collapsed="false">
      <c r="A90" s="6" t="n">
        <v>43027.8142476852</v>
      </c>
      <c r="B90" s="7" t="str">
        <f aca="false">HYPERLINK("https://twitter.com/RosMathieson","@RosMathieson")</f>
        <v>@RosMathieson</v>
      </c>
      <c r="C90" s="8" t="s">
        <v>302</v>
      </c>
      <c r="D90" s="8" t="s">
        <v>303</v>
      </c>
      <c r="E90" s="9" t="str">
        <f aca="false">HYPERLINK("https://twitter.com/RosMathieson/status/921202439155466240","921202439155466240")</f>
        <v>921202439155466240</v>
      </c>
      <c r="F90" s="10" t="s">
        <v>39</v>
      </c>
      <c r="G90" s="10" t="n">
        <v>1999</v>
      </c>
      <c r="H90" s="10" t="n">
        <v>1993</v>
      </c>
      <c r="I90" s="10" t="n">
        <v>0</v>
      </c>
      <c r="J90" s="10" t="n">
        <v>1</v>
      </c>
      <c r="K90" s="10" t="s">
        <v>20</v>
      </c>
      <c r="L90" s="11" t="n">
        <v>41038.9627314815</v>
      </c>
      <c r="M90" s="12" t="s">
        <v>186</v>
      </c>
      <c r="N90" s="12" t="s">
        <v>304</v>
      </c>
      <c r="O90" s="9" t="str">
        <f aca="false">HYPERLINK("https://pbs.twimg.com/profile_images/460038040329527296/NvG_2qmK_normal.jpeg","View")</f>
        <v>View</v>
      </c>
      <c r="P90" s="10"/>
    </row>
    <row r="91" customFormat="false" ht="15.75" hidden="false" customHeight="false" outlineLevel="0" collapsed="false">
      <c r="A91" s="6" t="n">
        <v>43027.8173842593</v>
      </c>
      <c r="B91" s="7" t="str">
        <f aca="false">HYPERLINK("https://twitter.com/sunnyside0","@sunnyside0")</f>
        <v>@sunnyside0</v>
      </c>
      <c r="C91" s="8" t="s">
        <v>305</v>
      </c>
      <c r="D91" s="8" t="s">
        <v>202</v>
      </c>
      <c r="E91" s="9" t="str">
        <f aca="false">HYPERLINK("https://twitter.com/sunnyside0/status/921203578613592065","921203578613592065")</f>
        <v>921203578613592065</v>
      </c>
      <c r="F91" s="10" t="s">
        <v>25</v>
      </c>
      <c r="G91" s="10" t="n">
        <v>17</v>
      </c>
      <c r="H91" s="10" t="n">
        <v>27</v>
      </c>
      <c r="I91" s="10" t="n">
        <v>21</v>
      </c>
      <c r="J91" s="10" t="n">
        <v>0</v>
      </c>
      <c r="K91" s="10" t="s">
        <v>20</v>
      </c>
      <c r="L91" s="11" t="n">
        <v>40790.018599537</v>
      </c>
      <c r="M91" s="12"/>
      <c r="N91" s="12"/>
      <c r="O91" s="9" t="str">
        <f aca="false">HYPERLINK("https://pbs.twimg.com/profile_images/378800000046369315/c2b99a83122678376b2e1b2e49cdc44e_normal.jpeg","View")</f>
        <v>View</v>
      </c>
      <c r="P91" s="10"/>
    </row>
    <row r="92" customFormat="false" ht="15.75" hidden="false" customHeight="false" outlineLevel="0" collapsed="false">
      <c r="A92" s="6" t="n">
        <v>43027.8233101852</v>
      </c>
      <c r="B92" s="7" t="str">
        <f aca="false">HYPERLINK("https://twitter.com/Social_Media_A1","@Social_Media_A1")</f>
        <v>@Social_Media_A1</v>
      </c>
      <c r="C92" s="8" t="s">
        <v>306</v>
      </c>
      <c r="D92" s="8" t="s">
        <v>307</v>
      </c>
      <c r="E92" s="9" t="str">
        <f aca="false">HYPERLINK("https://twitter.com/Social_Media_A1/status/921205725640216576","921205725640216576")</f>
        <v>921205725640216576</v>
      </c>
      <c r="F92" s="10" t="s">
        <v>110</v>
      </c>
      <c r="G92" s="10" t="n">
        <v>67550</v>
      </c>
      <c r="H92" s="10" t="n">
        <v>49291</v>
      </c>
      <c r="I92" s="10" t="n">
        <v>0</v>
      </c>
      <c r="J92" s="10" t="n">
        <v>0</v>
      </c>
      <c r="K92" s="10" t="s">
        <v>20</v>
      </c>
      <c r="L92" s="11" t="n">
        <v>42137.8611574074</v>
      </c>
      <c r="M92" s="12"/>
      <c r="N92" s="12" t="s">
        <v>308</v>
      </c>
      <c r="O92" s="9" t="str">
        <f aca="false">HYPERLINK("https://pbs.twimg.com/profile_images/859645637687750657/cJF8elPS_normal.jpg","View")</f>
        <v>View</v>
      </c>
      <c r="P92" s="10"/>
    </row>
    <row r="93" customFormat="false" ht="15.75" hidden="false" customHeight="false" outlineLevel="0" collapsed="false">
      <c r="A93" s="6" t="n">
        <v>43027.8336342593</v>
      </c>
      <c r="B93" s="7" t="str">
        <f aca="false">HYPERLINK("https://twitter.com/ZyiteGadgets","@ZyiteGadgets")</f>
        <v>@ZyiteGadgets</v>
      </c>
      <c r="C93" s="8" t="s">
        <v>171</v>
      </c>
      <c r="D93" s="8" t="s">
        <v>309</v>
      </c>
      <c r="E93" s="9" t="str">
        <f aca="false">HYPERLINK("https://twitter.com/ZyiteGadgets/status/921209467253018625","921209467253018625")</f>
        <v>921209467253018625</v>
      </c>
      <c r="F93" s="10" t="s">
        <v>110</v>
      </c>
      <c r="G93" s="10" t="n">
        <v>3542</v>
      </c>
      <c r="H93" s="10" t="n">
        <v>4844</v>
      </c>
      <c r="I93" s="10" t="n">
        <v>0</v>
      </c>
      <c r="J93" s="10" t="n">
        <v>0</v>
      </c>
      <c r="K93" s="10" t="s">
        <v>20</v>
      </c>
      <c r="L93" s="11" t="n">
        <v>41470.6147800926</v>
      </c>
      <c r="M93" s="15" t="s">
        <v>173</v>
      </c>
      <c r="N93" s="12" t="s">
        <v>174</v>
      </c>
      <c r="O93" s="9" t="str">
        <f aca="false">HYPERLINK("https://pbs.twimg.com/profile_images/487701633489313793/pIxJHFt5_normal.jpeg","View")</f>
        <v>View</v>
      </c>
      <c r="P93" s="10"/>
    </row>
    <row r="94" customFormat="false" ht="15.75" hidden="false" customHeight="false" outlineLevel="0" collapsed="false">
      <c r="A94" s="6" t="n">
        <v>43027.8337152778</v>
      </c>
      <c r="B94" s="7" t="str">
        <f aca="false">HYPERLINK("https://twitter.com/OnlBreakingNews","@OnlBreakingNews")</f>
        <v>@OnlBreakingNews</v>
      </c>
      <c r="C94" s="8" t="s">
        <v>310</v>
      </c>
      <c r="D94" s="8" t="s">
        <v>311</v>
      </c>
      <c r="E94" s="9" t="str">
        <f aca="false">HYPERLINK("https://twitter.com/OnlBreakingNews/status/921209496378191873","921209496378191873")</f>
        <v>921209496378191873</v>
      </c>
      <c r="F94" s="10" t="s">
        <v>110</v>
      </c>
      <c r="G94" s="10" t="n">
        <v>483</v>
      </c>
      <c r="H94" s="10" t="n">
        <v>1593</v>
      </c>
      <c r="I94" s="10" t="n">
        <v>0</v>
      </c>
      <c r="J94" s="10" t="n">
        <v>0</v>
      </c>
      <c r="K94" s="10" t="s">
        <v>20</v>
      </c>
      <c r="L94" s="11" t="n">
        <v>42737.9799074074</v>
      </c>
      <c r="M94" s="12" t="s">
        <v>312</v>
      </c>
      <c r="N94" s="12" t="s">
        <v>313</v>
      </c>
      <c r="O94" s="9" t="str">
        <f aca="false">HYPERLINK("https://pbs.twimg.com/profile_images/816193432410591232/Sjz4Kaqf_normal.jpg","View")</f>
        <v>View</v>
      </c>
      <c r="P94" s="10"/>
    </row>
    <row r="95" customFormat="false" ht="15.75" hidden="false" customHeight="false" outlineLevel="0" collapsed="false">
      <c r="A95" s="6" t="n">
        <v>43027.8339351852</v>
      </c>
      <c r="B95" s="7" t="str">
        <f aca="false">HYPERLINK("https://twitter.com/Social_Media_e2","@Social_Media_e2")</f>
        <v>@Social_Media_e2</v>
      </c>
      <c r="C95" s="8" t="s">
        <v>314</v>
      </c>
      <c r="D95" s="8" t="s">
        <v>315</v>
      </c>
      <c r="E95" s="9" t="str">
        <f aca="false">HYPERLINK("https://twitter.com/Social_Media_e2/status/921209573712826368","921209573712826368")</f>
        <v>921209573712826368</v>
      </c>
      <c r="F95" s="10" t="s">
        <v>110</v>
      </c>
      <c r="G95" s="10" t="n">
        <v>12207</v>
      </c>
      <c r="H95" s="10" t="n">
        <v>12187</v>
      </c>
      <c r="I95" s="10" t="n">
        <v>0</v>
      </c>
      <c r="J95" s="10" t="n">
        <v>0</v>
      </c>
      <c r="K95" s="10" t="s">
        <v>20</v>
      </c>
      <c r="L95" s="11" t="n">
        <v>42266.1521990741</v>
      </c>
      <c r="M95" s="12"/>
      <c r="N95" s="12" t="s">
        <v>316</v>
      </c>
      <c r="O95" s="9" t="str">
        <f aca="false">HYPERLINK("https://pbs.twimg.com/profile_images/871163230529376256/ApYuBcyU_normal.jpg","View")</f>
        <v>View</v>
      </c>
      <c r="P95" s="10"/>
    </row>
    <row r="96" customFormat="false" ht="15.75" hidden="false" customHeight="false" outlineLevel="0" collapsed="false">
      <c r="A96" s="6" t="n">
        <v>43027.8340277778</v>
      </c>
      <c r="B96" s="7" t="str">
        <f aca="false">HYPERLINK("https://twitter.com/BloombergTV","@BloombergTV")</f>
        <v>@BloombergTV</v>
      </c>
      <c r="C96" s="8" t="s">
        <v>317</v>
      </c>
      <c r="D96" s="8" t="s">
        <v>318</v>
      </c>
      <c r="E96" s="9" t="str">
        <f aca="false">HYPERLINK("https://twitter.com/BloombergTV/status/921209607313285120","921209607313285120")</f>
        <v>921209607313285120</v>
      </c>
      <c r="F96" s="9" t="s">
        <v>198</v>
      </c>
      <c r="G96" s="10" t="n">
        <v>452918</v>
      </c>
      <c r="H96" s="10" t="n">
        <v>458</v>
      </c>
      <c r="I96" s="10" t="n">
        <v>2</v>
      </c>
      <c r="J96" s="10" t="n">
        <v>1</v>
      </c>
      <c r="K96" s="10" t="s">
        <v>20</v>
      </c>
      <c r="L96" s="11" t="n">
        <v>39927.4899768519</v>
      </c>
      <c r="M96" s="12" t="s">
        <v>319</v>
      </c>
      <c r="N96" s="12" t="s">
        <v>320</v>
      </c>
      <c r="O96" s="9" t="str">
        <f aca="false">HYPERLINK("https://pbs.twimg.com/profile_images/714801760632770560/7My2hMBt_normal.jpg","View")</f>
        <v>View</v>
      </c>
      <c r="P96" s="10"/>
    </row>
    <row r="97" customFormat="false" ht="15.75" hidden="false" customHeight="false" outlineLevel="0" collapsed="false">
      <c r="A97" s="6" t="n">
        <v>43027.8341203704</v>
      </c>
      <c r="B97" s="7" t="str">
        <f aca="false">HYPERLINK("https://twitter.com/TopFiveTraders","@TopFiveTraders")</f>
        <v>@TopFiveTraders</v>
      </c>
      <c r="C97" s="8" t="s">
        <v>321</v>
      </c>
      <c r="D97" s="8" t="s">
        <v>322</v>
      </c>
      <c r="E97" s="9" t="str">
        <f aca="false">HYPERLINK("https://twitter.com/TopFiveTraders/status/921209640779702274","921209640779702274")</f>
        <v>921209640779702274</v>
      </c>
      <c r="F97" s="10" t="s">
        <v>60</v>
      </c>
      <c r="G97" s="10" t="n">
        <v>8181</v>
      </c>
      <c r="H97" s="10" t="n">
        <v>6774</v>
      </c>
      <c r="I97" s="10" t="n">
        <v>0</v>
      </c>
      <c r="J97" s="10" t="n">
        <v>0</v>
      </c>
      <c r="K97" s="10" t="s">
        <v>20</v>
      </c>
      <c r="L97" s="11" t="n">
        <v>41573.4842013889</v>
      </c>
      <c r="M97" s="12" t="s">
        <v>323</v>
      </c>
      <c r="N97" s="12" t="s">
        <v>324</v>
      </c>
      <c r="O97" s="9" t="str">
        <f aca="false">HYPERLINK("https://pbs.twimg.com/profile_images/729113141444026370/hi202Ffp_normal.jpg","View")</f>
        <v>View</v>
      </c>
      <c r="P97" s="10"/>
    </row>
    <row r="98" customFormat="false" ht="15.75" hidden="false" customHeight="false" outlineLevel="0" collapsed="false">
      <c r="A98" s="6" t="n">
        <v>43027.834537037</v>
      </c>
      <c r="B98" s="7" t="str">
        <f aca="false">HYPERLINK("https://twitter.com/CNBCTradersFan","@CNBCTradersFan")</f>
        <v>@CNBCTradersFan</v>
      </c>
      <c r="C98" s="8" t="s">
        <v>325</v>
      </c>
      <c r="D98" s="8" t="s">
        <v>326</v>
      </c>
      <c r="E98" s="9" t="str">
        <f aca="false">HYPERLINK("https://twitter.com/CNBCTradersFan/status/921209794777804807","921209794777804807")</f>
        <v>921209794777804807</v>
      </c>
      <c r="F98" s="10" t="s">
        <v>60</v>
      </c>
      <c r="G98" s="10" t="n">
        <v>17155</v>
      </c>
      <c r="H98" s="10" t="n">
        <v>11641</v>
      </c>
      <c r="I98" s="10" t="n">
        <v>0</v>
      </c>
      <c r="J98" s="10" t="n">
        <v>0</v>
      </c>
      <c r="K98" s="10" t="s">
        <v>20</v>
      </c>
      <c r="L98" s="11" t="n">
        <v>40922.5054282407</v>
      </c>
      <c r="M98" s="12" t="s">
        <v>327</v>
      </c>
      <c r="N98" s="12" t="s">
        <v>328</v>
      </c>
      <c r="O98" s="9" t="str">
        <f aca="false">HYPERLINK("https://pbs.twimg.com/profile_images/731870469318684672/Ckf7rDdJ_normal.jpg","View")</f>
        <v>View</v>
      </c>
      <c r="P98" s="10"/>
    </row>
    <row r="99" customFormat="false" ht="15.75" hidden="false" customHeight="false" outlineLevel="0" collapsed="false">
      <c r="A99" s="6" t="n">
        <v>43027.8350578704</v>
      </c>
      <c r="B99" s="7" t="str">
        <f aca="false">HYPERLINK("https://twitter.com/DestinyOconn0r","@DestinyOconn0r")</f>
        <v>@DestinyOconn0r</v>
      </c>
      <c r="C99" s="8" t="s">
        <v>329</v>
      </c>
      <c r="D99" s="8" t="s">
        <v>330</v>
      </c>
      <c r="E99" s="9" t="str">
        <f aca="false">HYPERLINK("https://twitter.com/DestinyOconn0r/status/921209980405067777","921209980405067777")</f>
        <v>921209980405067777</v>
      </c>
      <c r="F99" s="10" t="s">
        <v>331</v>
      </c>
      <c r="G99" s="10" t="n">
        <v>302</v>
      </c>
      <c r="H99" s="10" t="n">
        <v>737</v>
      </c>
      <c r="I99" s="10" t="n">
        <v>0</v>
      </c>
      <c r="J99" s="10" t="n">
        <v>0</v>
      </c>
      <c r="K99" s="10" t="s">
        <v>20</v>
      </c>
      <c r="L99" s="11" t="n">
        <v>42874.5794328704</v>
      </c>
      <c r="M99" s="12" t="s">
        <v>295</v>
      </c>
      <c r="N99" s="12"/>
      <c r="O99" s="9" t="str">
        <f aca="false">HYPERLINK("https://pbs.twimg.com/profile_images/866804538325565442/cc06mfpp_normal.jpg","View")</f>
        <v>View</v>
      </c>
      <c r="P99" s="10"/>
    </row>
    <row r="100" customFormat="false" ht="15.75" hidden="false" customHeight="false" outlineLevel="0" collapsed="false">
      <c r="A100" s="6" t="n">
        <v>43027.8375925926</v>
      </c>
      <c r="B100" s="7" t="str">
        <f aca="false">HYPERLINK("https://twitter.com/americandailys","@americandailys")</f>
        <v>@americandailys</v>
      </c>
      <c r="C100" s="8" t="s">
        <v>332</v>
      </c>
      <c r="D100" s="8" t="s">
        <v>333</v>
      </c>
      <c r="E100" s="9" t="str">
        <f aca="false">HYPERLINK("https://twitter.com/americandailys/status/921210898823467008","921210898823467008")</f>
        <v>921210898823467008</v>
      </c>
      <c r="F100" s="10" t="s">
        <v>55</v>
      </c>
      <c r="G100" s="10" t="n">
        <v>955</v>
      </c>
      <c r="H100" s="10" t="n">
        <v>602</v>
      </c>
      <c r="I100" s="10" t="n">
        <v>0</v>
      </c>
      <c r="J100" s="10" t="n">
        <v>0</v>
      </c>
      <c r="K100" s="10" t="s">
        <v>20</v>
      </c>
      <c r="L100" s="11" t="n">
        <v>42462.4198842593</v>
      </c>
      <c r="M100" s="12" t="s">
        <v>312</v>
      </c>
      <c r="N100" s="12" t="s">
        <v>334</v>
      </c>
      <c r="O100" s="9" t="str">
        <f aca="false">HYPERLINK("https://pbs.twimg.com/profile_images/907048422347300864/ncTZr8Oz_normal.jpg","View")</f>
        <v>View</v>
      </c>
      <c r="P100" s="10"/>
    </row>
    <row r="101" customFormat="false" ht="15.75" hidden="false" customHeight="false" outlineLevel="0" collapsed="false">
      <c r="A101" s="6" t="n">
        <v>43027.8391435185</v>
      </c>
      <c r="B101" s="7" t="str">
        <f aca="false">HYPERLINK("https://twitter.com/vrai777","@vrai777")</f>
        <v>@vrai777</v>
      </c>
      <c r="C101" s="8" t="s">
        <v>335</v>
      </c>
      <c r="D101" s="8" t="s">
        <v>336</v>
      </c>
      <c r="E101" s="9" t="str">
        <f aca="false">HYPERLINK("https://twitter.com/vrai777/status/921211462449860610","921211462449860610")</f>
        <v>921211462449860610</v>
      </c>
      <c r="F101" s="10" t="s">
        <v>60</v>
      </c>
      <c r="G101" s="10" t="n">
        <v>7959</v>
      </c>
      <c r="H101" s="10" t="n">
        <v>71</v>
      </c>
      <c r="I101" s="10" t="n">
        <v>0</v>
      </c>
      <c r="J101" s="10" t="n">
        <v>0</v>
      </c>
      <c r="K101" s="10" t="s">
        <v>20</v>
      </c>
      <c r="L101" s="11" t="n">
        <v>39878.7593287037</v>
      </c>
      <c r="M101" s="12" t="s">
        <v>295</v>
      </c>
      <c r="N101" s="12" t="s">
        <v>337</v>
      </c>
      <c r="O101" s="9" t="str">
        <f aca="false">HYPERLINK("https://pbs.twimg.com/profile_images/688775800284266496/qhWTo08H_normal.png","View")</f>
        <v>View</v>
      </c>
      <c r="P101" s="10"/>
    </row>
    <row r="102" customFormat="false" ht="15.75" hidden="false" customHeight="false" outlineLevel="0" collapsed="false">
      <c r="A102" s="6" t="n">
        <v>43027.840474537</v>
      </c>
      <c r="B102" s="7" t="str">
        <f aca="false">HYPERLINK("https://twitter.com/TFTCS","@TFTCS")</f>
        <v>@TFTCS</v>
      </c>
      <c r="C102" s="8" t="s">
        <v>338</v>
      </c>
      <c r="D102" s="8" t="s">
        <v>339</v>
      </c>
      <c r="E102" s="9" t="str">
        <f aca="false">HYPERLINK("https://twitter.com/TFTCS/status/921211944824123392","921211944824123392")</f>
        <v>921211944824123392</v>
      </c>
      <c r="F102" s="10" t="s">
        <v>60</v>
      </c>
      <c r="G102" s="10" t="n">
        <v>4435</v>
      </c>
      <c r="H102" s="10" t="n">
        <v>4613</v>
      </c>
      <c r="I102" s="10" t="n">
        <v>0</v>
      </c>
      <c r="J102" s="10" t="n">
        <v>0</v>
      </c>
      <c r="K102" s="10" t="s">
        <v>20</v>
      </c>
      <c r="L102" s="11" t="n">
        <v>41868.7681018518</v>
      </c>
      <c r="M102" s="12" t="s">
        <v>340</v>
      </c>
      <c r="N102" s="12" t="s">
        <v>341</v>
      </c>
      <c r="O102" s="9" t="str">
        <f aca="false">HYPERLINK("https://pbs.twimg.com/profile_images/736027772800368640/DdLGgNNU_normal.jpg","View")</f>
        <v>View</v>
      </c>
      <c r="P102" s="10"/>
    </row>
    <row r="103" customFormat="false" ht="15.75" hidden="false" customHeight="false" outlineLevel="0" collapsed="false">
      <c r="A103" s="6" t="n">
        <v>43027.8415277778</v>
      </c>
      <c r="B103" s="7" t="str">
        <f aca="false">HYPERLINK("https://twitter.com/CNBCTradersFan","@CNBCTradersFan")</f>
        <v>@CNBCTradersFan</v>
      </c>
      <c r="C103" s="8" t="s">
        <v>325</v>
      </c>
      <c r="D103" s="8" t="s">
        <v>342</v>
      </c>
      <c r="E103" s="9" t="str">
        <f aca="false">HYPERLINK("https://twitter.com/CNBCTradersFan/status/921212327374020608","921212327374020608")</f>
        <v>921212327374020608</v>
      </c>
      <c r="F103" s="10" t="s">
        <v>60</v>
      </c>
      <c r="G103" s="10" t="n">
        <v>17155</v>
      </c>
      <c r="H103" s="10" t="n">
        <v>11641</v>
      </c>
      <c r="I103" s="10" t="n">
        <v>0</v>
      </c>
      <c r="J103" s="10" t="n">
        <v>0</v>
      </c>
      <c r="K103" s="10" t="s">
        <v>20</v>
      </c>
      <c r="L103" s="11" t="n">
        <v>40922.5054282407</v>
      </c>
      <c r="M103" s="12" t="s">
        <v>327</v>
      </c>
      <c r="N103" s="12" t="s">
        <v>328</v>
      </c>
      <c r="O103" s="9" t="str">
        <f aca="false">HYPERLINK("https://pbs.twimg.com/profile_images/731870469318684672/Ckf7rDdJ_normal.jpg","View")</f>
        <v>View</v>
      </c>
      <c r="P103" s="10"/>
    </row>
    <row r="104" customFormat="false" ht="15.75" hidden="false" customHeight="false" outlineLevel="0" collapsed="false">
      <c r="A104" s="6" t="n">
        <v>43027.8416550926</v>
      </c>
      <c r="B104" s="7" t="str">
        <f aca="false">HYPERLINK("https://twitter.com/Julse_Sr","@Julse_Sr")</f>
        <v>@Julse_Sr</v>
      </c>
      <c r="C104" s="8" t="s">
        <v>343</v>
      </c>
      <c r="D104" s="8" t="s">
        <v>202</v>
      </c>
      <c r="E104" s="9" t="str">
        <f aca="false">HYPERLINK("https://twitter.com/Julse_Sr/status/921212373477838848","921212373477838848")</f>
        <v>921212373477838848</v>
      </c>
      <c r="F104" s="10" t="s">
        <v>25</v>
      </c>
      <c r="G104" s="10" t="n">
        <v>37</v>
      </c>
      <c r="H104" s="10" t="n">
        <v>64</v>
      </c>
      <c r="I104" s="10" t="n">
        <v>21</v>
      </c>
      <c r="J104" s="10" t="n">
        <v>0</v>
      </c>
      <c r="K104" s="10" t="s">
        <v>20</v>
      </c>
      <c r="L104" s="11" t="n">
        <v>42550.5640393519</v>
      </c>
      <c r="M104" s="12" t="s">
        <v>344</v>
      </c>
      <c r="N104" s="12" t="s">
        <v>345</v>
      </c>
      <c r="O104" s="9" t="str">
        <f aca="false">HYPERLINK("https://pbs.twimg.com/profile_images/876851997084987392/GLXdXzEP_normal.jpg","View")</f>
        <v>View</v>
      </c>
      <c r="P104" s="10"/>
    </row>
    <row r="105" customFormat="false" ht="15.75" hidden="false" customHeight="false" outlineLevel="0" collapsed="false">
      <c r="A105" s="6" t="n">
        <v>43027.8417476852</v>
      </c>
      <c r="B105" s="7" t="str">
        <f aca="false">HYPERLINK("https://twitter.com/vertex37","@vertex37")</f>
        <v>@vertex37</v>
      </c>
      <c r="C105" s="8" t="s">
        <v>346</v>
      </c>
      <c r="D105" s="8" t="s">
        <v>202</v>
      </c>
      <c r="E105" s="9" t="str">
        <f aca="false">HYPERLINK("https://twitter.com/vertex37/status/921212405539012608","921212405539012608")</f>
        <v>921212405539012608</v>
      </c>
      <c r="F105" s="10" t="s">
        <v>25</v>
      </c>
      <c r="G105" s="10" t="n">
        <v>64</v>
      </c>
      <c r="H105" s="10" t="n">
        <v>164</v>
      </c>
      <c r="I105" s="10" t="n">
        <v>21</v>
      </c>
      <c r="J105" s="10" t="n">
        <v>0</v>
      </c>
      <c r="K105" s="10" t="s">
        <v>20</v>
      </c>
      <c r="L105" s="11" t="n">
        <v>42886.2470717593</v>
      </c>
      <c r="M105" s="12" t="s">
        <v>347</v>
      </c>
      <c r="N105" s="12"/>
      <c r="O105" s="9" t="str">
        <f aca="false">HYPERLINK("https://pbs.twimg.com/profile_images/885168313462030336/vHgwLPFW_normal.jpg","View")</f>
        <v>View</v>
      </c>
      <c r="P105" s="10"/>
    </row>
    <row r="106" customFormat="false" ht="15.75" hidden="false" customHeight="false" outlineLevel="0" collapsed="false">
      <c r="A106" s="6" t="n">
        <v>43027.8424652778</v>
      </c>
      <c r="B106" s="7" t="str">
        <f aca="false">HYPERLINK("https://twitter.com/TopFiveTraders","@TopFiveTraders")</f>
        <v>@TopFiveTraders</v>
      </c>
      <c r="C106" s="8" t="s">
        <v>321</v>
      </c>
      <c r="D106" s="8" t="s">
        <v>348</v>
      </c>
      <c r="E106" s="9" t="str">
        <f aca="false">HYPERLINK("https://twitter.com/TopFiveTraders/status/921212664017190913","921212664017190913")</f>
        <v>921212664017190913</v>
      </c>
      <c r="F106" s="10" t="s">
        <v>60</v>
      </c>
      <c r="G106" s="10" t="n">
        <v>8181</v>
      </c>
      <c r="H106" s="10" t="n">
        <v>6774</v>
      </c>
      <c r="I106" s="10" t="n">
        <v>0</v>
      </c>
      <c r="J106" s="10" t="n">
        <v>0</v>
      </c>
      <c r="K106" s="10" t="s">
        <v>20</v>
      </c>
      <c r="L106" s="11" t="n">
        <v>41573.4842013889</v>
      </c>
      <c r="M106" s="12" t="s">
        <v>323</v>
      </c>
      <c r="N106" s="12" t="s">
        <v>324</v>
      </c>
      <c r="O106" s="9" t="str">
        <f aca="false">HYPERLINK("https://pbs.twimg.com/profile_images/729113141444026370/hi202Ffp_normal.jpg","View")</f>
        <v>View</v>
      </c>
      <c r="P106" s="10"/>
    </row>
    <row r="107" customFormat="false" ht="15.75" hidden="false" customHeight="false" outlineLevel="0" collapsed="false">
      <c r="A107" s="6" t="n">
        <v>43027.8441666667</v>
      </c>
      <c r="B107" s="7" t="str">
        <f aca="false">HYPERLINK("https://twitter.com/Social_Media_f1","@Social_Media_f1")</f>
        <v>@Social_Media_f1</v>
      </c>
      <c r="C107" s="8" t="s">
        <v>306</v>
      </c>
      <c r="D107" s="8" t="s">
        <v>349</v>
      </c>
      <c r="E107" s="9" t="str">
        <f aca="false">HYPERLINK("https://twitter.com/Social_Media_f1/status/921213283075575808","921213283075575808")</f>
        <v>921213283075575808</v>
      </c>
      <c r="F107" s="10" t="s">
        <v>110</v>
      </c>
      <c r="G107" s="10" t="n">
        <v>42910</v>
      </c>
      <c r="H107" s="10" t="n">
        <v>35054</v>
      </c>
      <c r="I107" s="10" t="n">
        <v>0</v>
      </c>
      <c r="J107" s="10" t="n">
        <v>0</v>
      </c>
      <c r="K107" s="10" t="s">
        <v>20</v>
      </c>
      <c r="L107" s="11" t="n">
        <v>42089.5919328704</v>
      </c>
      <c r="M107" s="12"/>
      <c r="N107" s="12" t="s">
        <v>350</v>
      </c>
      <c r="O107" s="9" t="str">
        <f aca="false">HYPERLINK("https://pbs.twimg.com/profile_images/894087992133918720/GFCST38M_normal.jpg","View")</f>
        <v>View</v>
      </c>
      <c r="P107" s="10"/>
    </row>
    <row r="108" customFormat="false" ht="15.75" hidden="false" customHeight="false" outlineLevel="0" collapsed="false">
      <c r="A108" s="6" t="n">
        <v>43027.8442476852</v>
      </c>
      <c r="B108" s="7" t="str">
        <f aca="false">HYPERLINK("https://twitter.com/PMunozLorite","@PMunozLorite")</f>
        <v>@PMunozLorite</v>
      </c>
      <c r="C108" s="8" t="s">
        <v>351</v>
      </c>
      <c r="D108" s="8" t="s">
        <v>352</v>
      </c>
      <c r="E108" s="9" t="str">
        <f aca="false">HYPERLINK("https://twitter.com/PMunozLorite/status/921213312167301120","921213312167301120")</f>
        <v>921213312167301120</v>
      </c>
      <c r="F108" s="10" t="s">
        <v>110</v>
      </c>
      <c r="G108" s="10" t="n">
        <v>2678</v>
      </c>
      <c r="H108" s="10" t="n">
        <v>4946</v>
      </c>
      <c r="I108" s="10" t="n">
        <v>0</v>
      </c>
      <c r="J108" s="10" t="n">
        <v>0</v>
      </c>
      <c r="K108" s="10" t="s">
        <v>20</v>
      </c>
      <c r="L108" s="11" t="n">
        <v>39769.5892939815</v>
      </c>
      <c r="M108" s="12" t="s">
        <v>353</v>
      </c>
      <c r="N108" s="12" t="s">
        <v>354</v>
      </c>
      <c r="O108" s="9" t="str">
        <f aca="false">HYPERLINK("https://pbs.twimg.com/profile_images/574247662901403648/LzeOfYmt_normal.jpeg","View")</f>
        <v>View</v>
      </c>
      <c r="P108" s="10"/>
    </row>
    <row r="109" customFormat="false" ht="15.75" hidden="false" customHeight="false" outlineLevel="0" collapsed="false">
      <c r="A109" s="6" t="n">
        <v>43027.8458101852</v>
      </c>
      <c r="B109" s="7" t="str">
        <f aca="false">HYPERLINK("https://twitter.com/cnni","@cnni")</f>
        <v>@cnni</v>
      </c>
      <c r="C109" s="8" t="s">
        <v>355</v>
      </c>
      <c r="D109" s="8" t="s">
        <v>356</v>
      </c>
      <c r="E109" s="9" t="str">
        <f aca="false">HYPERLINK("https://twitter.com/cnni/status/921213878050181120","921213878050181120")</f>
        <v>921213878050181120</v>
      </c>
      <c r="F109" s="10" t="s">
        <v>268</v>
      </c>
      <c r="G109" s="10" t="n">
        <v>7242514</v>
      </c>
      <c r="H109" s="10" t="n">
        <v>368</v>
      </c>
      <c r="I109" s="10" t="n">
        <v>14</v>
      </c>
      <c r="J109" s="10" t="n">
        <v>11</v>
      </c>
      <c r="K109" s="10" t="s">
        <v>20</v>
      </c>
      <c r="L109" s="11" t="n">
        <v>39165.1584953704</v>
      </c>
      <c r="M109" s="12" t="s">
        <v>357</v>
      </c>
      <c r="N109" s="12" t="s">
        <v>358</v>
      </c>
      <c r="O109" s="9" t="str">
        <f aca="false">HYPERLINK("https://pbs.twimg.com/profile_images/923560484170797058/HM6fDiCz_normal.jpg","View")</f>
        <v>View</v>
      </c>
      <c r="P109" s="10"/>
    </row>
    <row r="110" customFormat="false" ht="15.75" hidden="false" customHeight="false" outlineLevel="0" collapsed="false">
      <c r="A110" s="6" t="n">
        <v>43027.8461805556</v>
      </c>
      <c r="B110" s="7" t="str">
        <f aca="false">HYPERLINK("https://twitter.com/perez_gangas","@perez_gangas")</f>
        <v>@perez_gangas</v>
      </c>
      <c r="C110" s="8" t="s">
        <v>359</v>
      </c>
      <c r="D110" s="8" t="s">
        <v>360</v>
      </c>
      <c r="E110" s="9" t="str">
        <f aca="false">HYPERLINK("https://twitter.com/perez_gangas/status/921214012280463360","921214012280463360")</f>
        <v>921214012280463360</v>
      </c>
      <c r="F110" s="10" t="s">
        <v>39</v>
      </c>
      <c r="G110" s="10" t="n">
        <v>20</v>
      </c>
      <c r="H110" s="10" t="n">
        <v>584</v>
      </c>
      <c r="I110" s="10" t="n">
        <v>14</v>
      </c>
      <c r="J110" s="10" t="n">
        <v>0</v>
      </c>
      <c r="K110" s="10" t="s">
        <v>20</v>
      </c>
      <c r="L110" s="11" t="n">
        <v>42767.8231365741</v>
      </c>
      <c r="M110" s="12" t="s">
        <v>361</v>
      </c>
      <c r="N110" s="12" t="s">
        <v>362</v>
      </c>
      <c r="O110" s="9" t="str">
        <f aca="false">HYPERLINK("https://pbs.twimg.com/profile_images/912424171141058560/fvZ0pSc8_normal.jpg","View")</f>
        <v>View</v>
      </c>
      <c r="P110" s="10"/>
    </row>
    <row r="111" customFormat="false" ht="15.75" hidden="false" customHeight="false" outlineLevel="0" collapsed="false">
      <c r="A111" s="6" t="n">
        <v>43027.8463310185</v>
      </c>
      <c r="B111" s="7" t="str">
        <f aca="false">HYPERLINK("https://twitter.com/heyjudeinthesky","@heyjudeinthesky")</f>
        <v>@heyjudeinthesky</v>
      </c>
      <c r="C111" s="8" t="s">
        <v>363</v>
      </c>
      <c r="D111" s="8" t="s">
        <v>360</v>
      </c>
      <c r="E111" s="9" t="str">
        <f aca="false">HYPERLINK("https://twitter.com/heyjudeinthesky/status/921214067876024320","921214067876024320")</f>
        <v>921214067876024320</v>
      </c>
      <c r="F111" s="10" t="s">
        <v>98</v>
      </c>
      <c r="G111" s="10" t="n">
        <v>273</v>
      </c>
      <c r="H111" s="10" t="n">
        <v>1204</v>
      </c>
      <c r="I111" s="10" t="n">
        <v>14</v>
      </c>
      <c r="J111" s="10" t="n">
        <v>0</v>
      </c>
      <c r="K111" s="10" t="s">
        <v>20</v>
      </c>
      <c r="L111" s="11" t="n">
        <v>42758.7376273148</v>
      </c>
      <c r="M111" s="12" t="s">
        <v>364</v>
      </c>
      <c r="N111" s="12" t="s">
        <v>365</v>
      </c>
      <c r="O111" s="9" t="str">
        <f aca="false">HYPERLINK("https://pbs.twimg.com/profile_images/895024703357714436/Vhh2PV98_normal.jpg","View")</f>
        <v>View</v>
      </c>
      <c r="P111" s="10"/>
    </row>
    <row r="112" customFormat="false" ht="15.75" hidden="false" customHeight="false" outlineLevel="0" collapsed="false">
      <c r="A112" s="6" t="n">
        <v>43027.8466666667</v>
      </c>
      <c r="B112" s="7" t="str">
        <f aca="false">HYPERLINK("https://twitter.com/singhaniket","@singhaniket")</f>
        <v>@singhaniket</v>
      </c>
      <c r="C112" s="8" t="s">
        <v>366</v>
      </c>
      <c r="D112" s="8" t="s">
        <v>360</v>
      </c>
      <c r="E112" s="9" t="str">
        <f aca="false">HYPERLINK("https://twitter.com/singhaniket/status/921214188998901760","921214188998901760")</f>
        <v>921214188998901760</v>
      </c>
      <c r="F112" s="10" t="s">
        <v>25</v>
      </c>
      <c r="G112" s="10" t="n">
        <v>431</v>
      </c>
      <c r="H112" s="10" t="n">
        <v>872</v>
      </c>
      <c r="I112" s="10" t="n">
        <v>14</v>
      </c>
      <c r="J112" s="10" t="n">
        <v>0</v>
      </c>
      <c r="K112" s="10" t="s">
        <v>20</v>
      </c>
      <c r="L112" s="11" t="n">
        <v>40303.9122800926</v>
      </c>
      <c r="M112" s="12"/>
      <c r="N112" s="12" t="s">
        <v>367</v>
      </c>
      <c r="O112" s="9" t="str">
        <f aca="false">HYPERLINK("https://pbs.twimg.com/profile_images/891185597473337344/etF2YH-i_normal.jpg","View")</f>
        <v>View</v>
      </c>
      <c r="P112" s="10"/>
    </row>
    <row r="113" customFormat="false" ht="15.75" hidden="false" customHeight="false" outlineLevel="0" collapsed="false">
      <c r="A113" s="6" t="n">
        <v>43027.846712963</v>
      </c>
      <c r="B113" s="7" t="str">
        <f aca="false">HYPERLINK("https://twitter.com/Channel1World","@Channel1World")</f>
        <v>@Channel1World</v>
      </c>
      <c r="C113" s="8" t="s">
        <v>368</v>
      </c>
      <c r="D113" s="8" t="s">
        <v>369</v>
      </c>
      <c r="E113" s="9" t="str">
        <f aca="false">HYPERLINK("https://twitter.com/Channel1World/status/921214203238797312","921214203238797312")</f>
        <v>921214203238797312</v>
      </c>
      <c r="F113" s="10" t="s">
        <v>60</v>
      </c>
      <c r="G113" s="10" t="n">
        <v>300</v>
      </c>
      <c r="H113" s="10" t="n">
        <v>379</v>
      </c>
      <c r="I113" s="10" t="n">
        <v>0</v>
      </c>
      <c r="J113" s="10" t="n">
        <v>0</v>
      </c>
      <c r="K113" s="10" t="s">
        <v>20</v>
      </c>
      <c r="L113" s="11" t="n">
        <v>41518.6582060185</v>
      </c>
      <c r="M113" s="12" t="s">
        <v>370</v>
      </c>
      <c r="N113" s="12" t="s">
        <v>371</v>
      </c>
      <c r="O113" s="9" t="str">
        <f aca="false">HYPERLINK("https://pbs.twimg.com/profile_images/419021757064822784/OrKoJTcl_normal.jpeg","View")</f>
        <v>View</v>
      </c>
      <c r="P113" s="10"/>
    </row>
    <row r="114" customFormat="false" ht="15.75" hidden="false" customHeight="false" outlineLevel="0" collapsed="false">
      <c r="A114" s="6" t="n">
        <v>43027.8472800926</v>
      </c>
      <c r="B114" s="7" t="str">
        <f aca="false">HYPERLINK("https://twitter.com/cgnetwork","@cgnetwork")</f>
        <v>@cgnetwork</v>
      </c>
      <c r="C114" s="8" t="s">
        <v>372</v>
      </c>
      <c r="D114" s="8" t="s">
        <v>373</v>
      </c>
      <c r="E114" s="9" t="str">
        <f aca="false">HYPERLINK("https://twitter.com/cgnetwork/status/921214410475167744","921214410475167744")</f>
        <v>921214410475167744</v>
      </c>
      <c r="F114" s="10" t="s">
        <v>55</v>
      </c>
      <c r="G114" s="10" t="n">
        <v>1176</v>
      </c>
      <c r="H114" s="10" t="n">
        <v>497</v>
      </c>
      <c r="I114" s="10" t="n">
        <v>0</v>
      </c>
      <c r="J114" s="10" t="n">
        <v>0</v>
      </c>
      <c r="K114" s="10" t="s">
        <v>20</v>
      </c>
      <c r="L114" s="11" t="n">
        <v>39992.0619791667</v>
      </c>
      <c r="M114" s="12" t="s">
        <v>374</v>
      </c>
      <c r="N114" s="12" t="s">
        <v>375</v>
      </c>
      <c r="O114" s="9" t="str">
        <f aca="false">HYPERLINK("https://pbs.twimg.com/profile_images/286683233/Francis_Lim_Passport_Size_photo_image.jpg_normal.jpg","View")</f>
        <v>View</v>
      </c>
      <c r="P114" s="10"/>
    </row>
    <row r="115" customFormat="false" ht="15.75" hidden="false" customHeight="false" outlineLevel="0" collapsed="false">
      <c r="A115" s="6" t="n">
        <v>43027.8473263889</v>
      </c>
      <c r="B115" s="7" t="str">
        <f aca="false">HYPERLINK("https://twitter.com/News365247live","@News365247live")</f>
        <v>@News365247live</v>
      </c>
      <c r="C115" s="8" t="s">
        <v>376</v>
      </c>
      <c r="D115" s="8" t="s">
        <v>360</v>
      </c>
      <c r="E115" s="9" t="str">
        <f aca="false">HYPERLINK("https://twitter.com/News365247live/status/921214426136461313","921214426136461313")</f>
        <v>921214426136461313</v>
      </c>
      <c r="F115" s="10" t="s">
        <v>377</v>
      </c>
      <c r="G115" s="10" t="n">
        <v>1535</v>
      </c>
      <c r="H115" s="10" t="n">
        <v>5001</v>
      </c>
      <c r="I115" s="10" t="n">
        <v>14</v>
      </c>
      <c r="J115" s="10" t="n">
        <v>0</v>
      </c>
      <c r="K115" s="10" t="s">
        <v>20</v>
      </c>
      <c r="L115" s="11" t="n">
        <v>42728.3420949074</v>
      </c>
      <c r="M115" s="12" t="s">
        <v>357</v>
      </c>
      <c r="N115" s="12" t="s">
        <v>378</v>
      </c>
      <c r="O115" s="9" t="str">
        <f aca="false">HYPERLINK("https://pbs.twimg.com/profile_images/813047771091472384/ZtakiWrG_normal.jpg","View")</f>
        <v>View</v>
      </c>
      <c r="P115" s="10"/>
    </row>
    <row r="116" customFormat="false" ht="15.75" hidden="false" customHeight="false" outlineLevel="0" collapsed="false">
      <c r="A116" s="6" t="n">
        <v>43027.8480555556</v>
      </c>
      <c r="B116" s="7" t="str">
        <f aca="false">HYPERLINK("https://twitter.com/adi7anand","@adi7anand")</f>
        <v>@adi7anand</v>
      </c>
      <c r="C116" s="8" t="s">
        <v>379</v>
      </c>
      <c r="D116" s="8" t="s">
        <v>360</v>
      </c>
      <c r="E116" s="9" t="str">
        <f aca="false">HYPERLINK("https://twitter.com/adi7anand/status/921214691845853184","921214691845853184")</f>
        <v>921214691845853184</v>
      </c>
      <c r="F116" s="10" t="s">
        <v>51</v>
      </c>
      <c r="G116" s="10" t="n">
        <v>3672</v>
      </c>
      <c r="H116" s="10" t="n">
        <v>5001</v>
      </c>
      <c r="I116" s="10" t="n">
        <v>14</v>
      </c>
      <c r="J116" s="10" t="n">
        <v>0</v>
      </c>
      <c r="K116" s="10" t="s">
        <v>20</v>
      </c>
      <c r="L116" s="11" t="n">
        <v>39625.5524421296</v>
      </c>
      <c r="M116" s="12" t="s">
        <v>380</v>
      </c>
      <c r="N116" s="12" t="s">
        <v>381</v>
      </c>
      <c r="O116" s="9" t="str">
        <f aca="false">HYPERLINK("https://pbs.twimg.com/profile_images/763477483240890369/MSt4N7cK_normal.jpg","View")</f>
        <v>View</v>
      </c>
      <c r="P116" s="10"/>
    </row>
    <row r="117" customFormat="false" ht="15.75" hidden="false" customHeight="false" outlineLevel="0" collapsed="false">
      <c r="A117" s="6" t="n">
        <v>43027.8480787037</v>
      </c>
      <c r="B117" s="7" t="str">
        <f aca="false">HYPERLINK("https://twitter.com/the__himanish","@the__himanish")</f>
        <v>@the__himanish</v>
      </c>
      <c r="C117" s="8" t="s">
        <v>382</v>
      </c>
      <c r="D117" s="8" t="s">
        <v>383</v>
      </c>
      <c r="E117" s="9" t="str">
        <f aca="false">HYPERLINK("https://twitter.com/the__himanish/status/921214700024627200","921214700024627200")</f>
        <v>921214700024627200</v>
      </c>
      <c r="F117" s="10" t="s">
        <v>60</v>
      </c>
      <c r="G117" s="10" t="n">
        <v>1811</v>
      </c>
      <c r="H117" s="10" t="n">
        <v>1625</v>
      </c>
      <c r="I117" s="10" t="n">
        <v>0</v>
      </c>
      <c r="J117" s="10" t="n">
        <v>0</v>
      </c>
      <c r="K117" s="10" t="s">
        <v>20</v>
      </c>
      <c r="L117" s="11" t="n">
        <v>40222.1517824074</v>
      </c>
      <c r="M117" s="12" t="s">
        <v>87</v>
      </c>
      <c r="N117" s="12" t="s">
        <v>384</v>
      </c>
      <c r="O117" s="9" t="str">
        <f aca="false">HYPERLINK("https://pbs.twimg.com/profile_images/914165533918015489/A6iR_gz2_normal.jpg","View")</f>
        <v>View</v>
      </c>
      <c r="P117" s="10"/>
    </row>
    <row r="118" customFormat="false" ht="15.75" hidden="false" customHeight="false" outlineLevel="0" collapsed="false">
      <c r="A118" s="6" t="n">
        <v>43027.8484490741</v>
      </c>
      <c r="B118" s="7" t="str">
        <f aca="false">HYPERLINK("https://twitter.com/CNBCTradersFan","@CNBCTradersFan")</f>
        <v>@CNBCTradersFan</v>
      </c>
      <c r="C118" s="8" t="s">
        <v>325</v>
      </c>
      <c r="D118" s="8" t="s">
        <v>385</v>
      </c>
      <c r="E118" s="9" t="str">
        <f aca="false">HYPERLINK("https://twitter.com/CNBCTradersFan/status/921214836297601024","921214836297601024")</f>
        <v>921214836297601024</v>
      </c>
      <c r="F118" s="10" t="s">
        <v>60</v>
      </c>
      <c r="G118" s="10" t="n">
        <v>17155</v>
      </c>
      <c r="H118" s="10" t="n">
        <v>11641</v>
      </c>
      <c r="I118" s="10" t="n">
        <v>0</v>
      </c>
      <c r="J118" s="10" t="n">
        <v>0</v>
      </c>
      <c r="K118" s="10" t="s">
        <v>20</v>
      </c>
      <c r="L118" s="11" t="n">
        <v>40922.5054282407</v>
      </c>
      <c r="M118" s="12" t="s">
        <v>327</v>
      </c>
      <c r="N118" s="12" t="s">
        <v>328</v>
      </c>
      <c r="O118" s="9" t="str">
        <f aca="false">HYPERLINK("https://pbs.twimg.com/profile_images/731870469318684672/Ckf7rDdJ_normal.jpg","View")</f>
        <v>View</v>
      </c>
      <c r="P118" s="10"/>
    </row>
    <row r="119" customFormat="false" ht="15.75" hidden="false" customHeight="false" outlineLevel="0" collapsed="false">
      <c r="A119" s="6" t="n">
        <v>43027.8488425926</v>
      </c>
      <c r="B119" s="7" t="str">
        <f aca="false">HYPERLINK("https://twitter.com/EnterateLine","@EnterateLine")</f>
        <v>@EnterateLine</v>
      </c>
      <c r="C119" s="8" t="s">
        <v>386</v>
      </c>
      <c r="D119" s="8" t="s">
        <v>387</v>
      </c>
      <c r="E119" s="9" t="str">
        <f aca="false">HYPERLINK("https://twitter.com/EnterateLine/status/921214975561093120","921214975561093120")</f>
        <v>921214975561093120</v>
      </c>
      <c r="F119" s="10" t="s">
        <v>60</v>
      </c>
      <c r="G119" s="10" t="n">
        <v>91</v>
      </c>
      <c r="H119" s="10" t="n">
        <v>287</v>
      </c>
      <c r="I119" s="10" t="n">
        <v>0</v>
      </c>
      <c r="J119" s="10" t="n">
        <v>0</v>
      </c>
      <c r="K119" s="10" t="s">
        <v>20</v>
      </c>
      <c r="L119" s="11" t="n">
        <v>42359.3627893519</v>
      </c>
      <c r="M119" s="12"/>
      <c r="N119" s="12" t="s">
        <v>388</v>
      </c>
      <c r="O119" s="9" t="str">
        <f aca="false">HYPERLINK("https://pbs.twimg.com/profile_images/678983367065473025/cUEB_npM_normal.png","View")</f>
        <v>View</v>
      </c>
      <c r="P119" s="10"/>
    </row>
    <row r="120" customFormat="false" ht="15.75" hidden="false" customHeight="false" outlineLevel="0" collapsed="false">
      <c r="A120" s="6" t="n">
        <v>43027.8491435185</v>
      </c>
      <c r="B120" s="7" t="str">
        <f aca="false">HYPERLINK("https://twitter.com/malikusmanuttra","@malikusmanuttra")</f>
        <v>@malikusmanuttra</v>
      </c>
      <c r="C120" s="8" t="s">
        <v>389</v>
      </c>
      <c r="D120" s="8" t="s">
        <v>390</v>
      </c>
      <c r="E120" s="9" t="str">
        <f aca="false">HYPERLINK("https://twitter.com/malikusmanuttra/status/921215084608802816","921215084608802816")</f>
        <v>921215084608802816</v>
      </c>
      <c r="F120" s="10" t="s">
        <v>60</v>
      </c>
      <c r="G120" s="10" t="n">
        <v>146</v>
      </c>
      <c r="H120" s="10" t="n">
        <v>97</v>
      </c>
      <c r="I120" s="10" t="n">
        <v>0</v>
      </c>
      <c r="J120" s="10" t="n">
        <v>0</v>
      </c>
      <c r="K120" s="10" t="s">
        <v>20</v>
      </c>
      <c r="L120" s="11" t="n">
        <v>40945.3643634259</v>
      </c>
      <c r="M120" s="12" t="s">
        <v>391</v>
      </c>
      <c r="N120" s="12"/>
      <c r="O120" s="9" t="str">
        <f aca="false">HYPERLINK("https://pbs.twimg.com/profile_images/869684834305757185/xNXedffd_normal.jpg","View")</f>
        <v>View</v>
      </c>
      <c r="P120" s="10"/>
    </row>
    <row r="121" customFormat="false" ht="15.75" hidden="false" customHeight="false" outlineLevel="0" collapsed="false">
      <c r="A121" s="6" t="n">
        <v>43027.8508449074</v>
      </c>
      <c r="B121" s="7" t="str">
        <f aca="false">HYPERLINK("https://twitter.com/Mr_AlVil","@Mr_AlVil")</f>
        <v>@Mr_AlVil</v>
      </c>
      <c r="C121" s="8" t="s">
        <v>392</v>
      </c>
      <c r="D121" s="8" t="s">
        <v>393</v>
      </c>
      <c r="E121" s="9" t="str">
        <f aca="false">HYPERLINK("https://twitter.com/Mr_AlVil/status/921215704006844416","921215704006844416")</f>
        <v>921215704006844416</v>
      </c>
      <c r="F121" s="10" t="s">
        <v>60</v>
      </c>
      <c r="G121" s="10" t="n">
        <v>353</v>
      </c>
      <c r="H121" s="10" t="n">
        <v>51</v>
      </c>
      <c r="I121" s="10" t="n">
        <v>0</v>
      </c>
      <c r="J121" s="10" t="n">
        <v>0</v>
      </c>
      <c r="K121" s="10" t="s">
        <v>20</v>
      </c>
      <c r="L121" s="11" t="n">
        <v>40205.5345486111</v>
      </c>
      <c r="M121" s="12" t="s">
        <v>394</v>
      </c>
      <c r="N121" s="12" t="s">
        <v>395</v>
      </c>
      <c r="O121" s="9" t="str">
        <f aca="false">HYPERLINK("https://pbs.twimg.com/profile_images/857577668967108609/KAXMKfpy_normal.jpg","View")</f>
        <v>View</v>
      </c>
      <c r="P121" s="10"/>
    </row>
    <row r="122" customFormat="false" ht="15.75" hidden="false" customHeight="false" outlineLevel="0" collapsed="false">
      <c r="A122" s="6" t="n">
        <v>43027.8517013889</v>
      </c>
      <c r="B122" s="7" t="str">
        <f aca="false">HYPERLINK("https://twitter.com/IlonaAntoniszyn","@IlonaAntoniszyn")</f>
        <v>@IlonaAntoniszyn</v>
      </c>
      <c r="C122" s="8" t="s">
        <v>396</v>
      </c>
      <c r="D122" s="8" t="s">
        <v>360</v>
      </c>
      <c r="E122" s="9" t="str">
        <f aca="false">HYPERLINK("https://twitter.com/IlonaAntoniszyn/status/921216011373764608","921216011373764608")</f>
        <v>921216011373764608</v>
      </c>
      <c r="F122" s="10" t="s">
        <v>25</v>
      </c>
      <c r="G122" s="10" t="n">
        <v>1910</v>
      </c>
      <c r="H122" s="10" t="n">
        <v>1407</v>
      </c>
      <c r="I122" s="10" t="n">
        <v>14</v>
      </c>
      <c r="J122" s="10" t="n">
        <v>0</v>
      </c>
      <c r="K122" s="10" t="s">
        <v>20</v>
      </c>
      <c r="L122" s="11" t="n">
        <v>40808.27375</v>
      </c>
      <c r="M122" s="12" t="s">
        <v>397</v>
      </c>
      <c r="N122" s="12" t="s">
        <v>398</v>
      </c>
      <c r="O122" s="9" t="str">
        <f aca="false">HYPERLINK("https://pbs.twimg.com/profile_images/908021581808586753/bORI_1dw_normal.jpg","View")</f>
        <v>View</v>
      </c>
      <c r="P122" s="10"/>
    </row>
    <row r="123" customFormat="false" ht="15.75" hidden="false" customHeight="false" outlineLevel="0" collapsed="false">
      <c r="A123" s="6" t="n">
        <v>43027.8543287037</v>
      </c>
      <c r="B123" s="7" t="str">
        <f aca="false">HYPERLINK("https://twitter.com/CNN","@CNN")</f>
        <v>@CNN</v>
      </c>
      <c r="C123" s="8" t="s">
        <v>399</v>
      </c>
      <c r="D123" s="8" t="s">
        <v>400</v>
      </c>
      <c r="E123" s="9" t="str">
        <f aca="false">HYPERLINK("https://twitter.com/CNN/status/921216964613365760","921216964613365760")</f>
        <v>921216964613365760</v>
      </c>
      <c r="F123" s="10" t="s">
        <v>268</v>
      </c>
      <c r="G123" s="10" t="n">
        <v>38179510</v>
      </c>
      <c r="H123" s="10" t="n">
        <v>1117</v>
      </c>
      <c r="I123" s="10" t="n">
        <v>36</v>
      </c>
      <c r="J123" s="10" t="n">
        <v>87</v>
      </c>
      <c r="K123" s="10" t="s">
        <v>20</v>
      </c>
      <c r="L123" s="11" t="n">
        <v>39121.6909953704</v>
      </c>
      <c r="M123" s="12"/>
      <c r="N123" s="12" t="s">
        <v>401</v>
      </c>
      <c r="O123" s="9" t="str">
        <f aca="false">HYPERLINK("https://pbs.twimg.com/profile_images/508960761826131968/LnvhR8ED_normal.png","View")</f>
        <v>View</v>
      </c>
      <c r="P123" s="10"/>
    </row>
    <row r="124" customFormat="false" ht="15.75" hidden="false" customHeight="false" outlineLevel="0" collapsed="false">
      <c r="A124" s="6" t="n">
        <v>43027.8544907407</v>
      </c>
      <c r="B124" s="7" t="str">
        <f aca="false">HYPERLINK("https://twitter.com/8SparkyGrl8","@8SparkyGrl8")</f>
        <v>@8SparkyGrl8</v>
      </c>
      <c r="C124" s="8" t="s">
        <v>402</v>
      </c>
      <c r="D124" s="8" t="s">
        <v>403</v>
      </c>
      <c r="E124" s="9" t="str">
        <f aca="false">HYPERLINK("https://twitter.com/8SparkyGrl8/status/921217024709316608","921217024709316608")</f>
        <v>921217024709316608</v>
      </c>
      <c r="F124" s="10" t="s">
        <v>51</v>
      </c>
      <c r="G124" s="10" t="n">
        <v>95</v>
      </c>
      <c r="H124" s="10" t="n">
        <v>43</v>
      </c>
      <c r="I124" s="10" t="n">
        <v>36</v>
      </c>
      <c r="J124" s="10" t="n">
        <v>0</v>
      </c>
      <c r="K124" s="10" t="s">
        <v>20</v>
      </c>
      <c r="L124" s="11" t="n">
        <v>39708.6113425926</v>
      </c>
      <c r="M124" s="12" t="s">
        <v>404</v>
      </c>
      <c r="N124" s="12" t="s">
        <v>405</v>
      </c>
      <c r="O124" s="9" t="str">
        <f aca="false">HYPERLINK("https://pbs.twimg.com/profile_images/783502897547997184/z0G_PGsO_normal.jpg","View")</f>
        <v>View</v>
      </c>
      <c r="P124" s="10"/>
    </row>
    <row r="125" customFormat="false" ht="15.75" hidden="false" customHeight="false" outlineLevel="0" collapsed="false">
      <c r="A125" s="6" t="n">
        <v>43027.8545601852</v>
      </c>
      <c r="B125" s="7" t="str">
        <f aca="false">HYPERLINK("https://twitter.com/Social_Media_d1","@Social_Media_d1")</f>
        <v>@Social_Media_d1</v>
      </c>
      <c r="C125" s="8" t="s">
        <v>306</v>
      </c>
      <c r="D125" s="8" t="s">
        <v>406</v>
      </c>
      <c r="E125" s="9" t="str">
        <f aca="false">HYPERLINK("https://twitter.com/Social_Media_d1/status/921217049661145088","921217049661145088")</f>
        <v>921217049661145088</v>
      </c>
      <c r="F125" s="10" t="s">
        <v>110</v>
      </c>
      <c r="G125" s="10" t="n">
        <v>42452</v>
      </c>
      <c r="H125" s="10" t="n">
        <v>37735</v>
      </c>
      <c r="I125" s="10" t="n">
        <v>0</v>
      </c>
      <c r="J125" s="10" t="n">
        <v>0</v>
      </c>
      <c r="K125" s="10" t="s">
        <v>20</v>
      </c>
      <c r="L125" s="11" t="n">
        <v>42208.657662037</v>
      </c>
      <c r="M125" s="12"/>
      <c r="N125" s="12" t="s">
        <v>407</v>
      </c>
      <c r="O125" s="9" t="str">
        <f aca="false">HYPERLINK("https://pbs.twimg.com/profile_images/862605989236756480/2nrQOgz8_normal.jpg","View")</f>
        <v>View</v>
      </c>
      <c r="P125" s="10"/>
    </row>
    <row r="126" customFormat="false" ht="15.75" hidden="false" customHeight="false" outlineLevel="0" collapsed="false">
      <c r="A126" s="6" t="n">
        <v>43027.8547453704</v>
      </c>
      <c r="B126" s="7" t="str">
        <f aca="false">HYPERLINK("https://twitter.com/hassan_k82","@hassan_k82")</f>
        <v>@hassan_k82</v>
      </c>
      <c r="C126" s="8" t="s">
        <v>408</v>
      </c>
      <c r="D126" s="8" t="s">
        <v>403</v>
      </c>
      <c r="E126" s="9" t="str">
        <f aca="false">HYPERLINK("https://twitter.com/hassan_k82/status/921217114324680704","921217114324680704")</f>
        <v>921217114324680704</v>
      </c>
      <c r="F126" s="10" t="s">
        <v>25</v>
      </c>
      <c r="G126" s="10" t="n">
        <v>53206</v>
      </c>
      <c r="H126" s="10" t="n">
        <v>2899</v>
      </c>
      <c r="I126" s="10" t="n">
        <v>36</v>
      </c>
      <c r="J126" s="10" t="n">
        <v>0</v>
      </c>
      <c r="K126" s="10" t="s">
        <v>20</v>
      </c>
      <c r="L126" s="11" t="n">
        <v>40323.9706712963</v>
      </c>
      <c r="M126" s="12" t="s">
        <v>409</v>
      </c>
      <c r="N126" s="12" t="s">
        <v>410</v>
      </c>
      <c r="O126" s="9" t="str">
        <f aca="false">HYPERLINK("https://pbs.twimg.com/profile_images/923367928015343616/sJGnf287_normal.jpg","View")</f>
        <v>View</v>
      </c>
      <c r="P126" s="10"/>
    </row>
    <row r="127" customFormat="false" ht="15.75" hidden="false" customHeight="false" outlineLevel="0" collapsed="false">
      <c r="A127" s="6" t="n">
        <v>43027.8547685185</v>
      </c>
      <c r="B127" s="7" t="str">
        <f aca="false">HYPERLINK("https://twitter.com/CopyNewsInfo","@CopyNewsInfo")</f>
        <v>@CopyNewsInfo</v>
      </c>
      <c r="C127" s="8" t="s">
        <v>411</v>
      </c>
      <c r="D127" s="8" t="s">
        <v>412</v>
      </c>
      <c r="E127" s="9" t="str">
        <f aca="false">HYPERLINK("https://twitter.com/CopyNewsInfo/status/921217123489337346","921217123489337346")</f>
        <v>921217123489337346</v>
      </c>
      <c r="F127" s="10" t="s">
        <v>60</v>
      </c>
      <c r="G127" s="10" t="n">
        <v>4110</v>
      </c>
      <c r="H127" s="10" t="n">
        <v>2556</v>
      </c>
      <c r="I127" s="10" t="n">
        <v>0</v>
      </c>
      <c r="J127" s="10" t="n">
        <v>0</v>
      </c>
      <c r="K127" s="10" t="s">
        <v>20</v>
      </c>
      <c r="L127" s="11" t="n">
        <v>40951.7399074074</v>
      </c>
      <c r="M127" s="12" t="s">
        <v>413</v>
      </c>
      <c r="N127" s="12" t="s">
        <v>414</v>
      </c>
      <c r="O127" s="9" t="str">
        <f aca="false">HYPERLINK("https://pbs.twimg.com/profile_images/812367752363212800/2NNB_wMX_normal.jpg","View")</f>
        <v>View</v>
      </c>
      <c r="P127" s="10"/>
    </row>
    <row r="128" customFormat="false" ht="15.75" hidden="false" customHeight="false" outlineLevel="0" collapsed="false">
      <c r="A128" s="6" t="n">
        <v>43027.8547916667</v>
      </c>
      <c r="B128" s="7" t="str">
        <f aca="false">HYPERLINK("https://twitter.com/heekong0710","@heekong0710")</f>
        <v>@heekong0710</v>
      </c>
      <c r="C128" s="8" t="s">
        <v>415</v>
      </c>
      <c r="D128" s="8" t="s">
        <v>403</v>
      </c>
      <c r="E128" s="9" t="str">
        <f aca="false">HYPERLINK("https://twitter.com/heekong0710/status/921217131345166336","921217131345166336")</f>
        <v>921217131345166336</v>
      </c>
      <c r="F128" s="10" t="s">
        <v>39</v>
      </c>
      <c r="G128" s="10" t="n">
        <v>114</v>
      </c>
      <c r="H128" s="10" t="n">
        <v>286</v>
      </c>
      <c r="I128" s="10" t="n">
        <v>36</v>
      </c>
      <c r="J128" s="10" t="n">
        <v>0</v>
      </c>
      <c r="K128" s="10" t="s">
        <v>20</v>
      </c>
      <c r="L128" s="11" t="n">
        <v>43004.1509490741</v>
      </c>
      <c r="M128" s="12"/>
      <c r="N128" s="13" t="s">
        <v>416</v>
      </c>
      <c r="O128" s="9" t="str">
        <f aca="false">HYPERLINK("https://pbs.twimg.com/profile_images/921589762019926016/3DL3GBpz_normal.jpg","View")</f>
        <v>View</v>
      </c>
      <c r="P128" s="10"/>
    </row>
    <row r="129" customFormat="false" ht="15.75" hidden="false" customHeight="false" outlineLevel="0" collapsed="false">
      <c r="A129" s="6" t="n">
        <v>43027.8549768519</v>
      </c>
      <c r="B129" s="7" t="str">
        <f aca="false">HYPERLINK("https://twitter.com/milou1st","@milou1st")</f>
        <v>@milou1st</v>
      </c>
      <c r="C129" s="8" t="s">
        <v>417</v>
      </c>
      <c r="D129" s="8" t="s">
        <v>418</v>
      </c>
      <c r="E129" s="9" t="str">
        <f aca="false">HYPERLINK("https://twitter.com/milou1st/status/921217200857518080","921217200857518080")</f>
        <v>921217200857518080</v>
      </c>
      <c r="F129" s="10" t="s">
        <v>60</v>
      </c>
      <c r="G129" s="10" t="n">
        <v>6601</v>
      </c>
      <c r="H129" s="10" t="n">
        <v>7660</v>
      </c>
      <c r="I129" s="10" t="n">
        <v>0</v>
      </c>
      <c r="J129" s="10" t="n">
        <v>0</v>
      </c>
      <c r="K129" s="10" t="s">
        <v>20</v>
      </c>
      <c r="L129" s="11" t="n">
        <v>40836.528275463</v>
      </c>
      <c r="M129" s="12" t="s">
        <v>419</v>
      </c>
      <c r="N129" s="12" t="s">
        <v>420</v>
      </c>
      <c r="O129" s="9" t="str">
        <f aca="false">HYPERLINK("https://pbs.twimg.com/profile_images/886522125682692096/ui0Xp0E1_normal.jpg","View")</f>
        <v>View</v>
      </c>
      <c r="P129" s="10"/>
    </row>
    <row r="130" customFormat="false" ht="15.75" hidden="false" customHeight="false" outlineLevel="0" collapsed="false">
      <c r="A130" s="6" t="n">
        <v>43027.8550231482</v>
      </c>
      <c r="B130" s="7" t="str">
        <f aca="false">HYPERLINK("https://twitter.com/Sorgitzak","@Sorgitzak")</f>
        <v>@Sorgitzak</v>
      </c>
      <c r="C130" s="8" t="s">
        <v>421</v>
      </c>
      <c r="D130" s="8" t="s">
        <v>422</v>
      </c>
      <c r="E130" s="9" t="str">
        <f aca="false">HYPERLINK("https://twitter.com/Sorgitzak/status/921217217810894848","921217217810894848")</f>
        <v>921217217810894848</v>
      </c>
      <c r="F130" s="10" t="s">
        <v>60</v>
      </c>
      <c r="G130" s="10" t="n">
        <v>719</v>
      </c>
      <c r="H130" s="10" t="n">
        <v>1309</v>
      </c>
      <c r="I130" s="10" t="n">
        <v>0</v>
      </c>
      <c r="J130" s="10" t="n">
        <v>0</v>
      </c>
      <c r="K130" s="10" t="s">
        <v>20</v>
      </c>
      <c r="L130" s="11" t="n">
        <v>39990.5521527778</v>
      </c>
      <c r="M130" s="12" t="s">
        <v>423</v>
      </c>
      <c r="N130" s="12"/>
      <c r="O130" s="9" t="str">
        <f aca="false">HYPERLINK("https://pbs.twimg.com/profile_images/284404970/sorgitzak_normal.JPG","View")</f>
        <v>View</v>
      </c>
      <c r="P130" s="10"/>
    </row>
    <row r="131" customFormat="false" ht="15.75" hidden="false" customHeight="false" outlineLevel="0" collapsed="false">
      <c r="A131" s="6" t="n">
        <v>43027.8551041667</v>
      </c>
      <c r="B131" s="7" t="str">
        <f aca="false">HYPERLINK("https://twitter.com/raphaelha67","@raphaelha67")</f>
        <v>@raphaelha67</v>
      </c>
      <c r="C131" s="8" t="s">
        <v>424</v>
      </c>
      <c r="D131" s="8" t="s">
        <v>360</v>
      </c>
      <c r="E131" s="9" t="str">
        <f aca="false">HYPERLINK("https://twitter.com/raphaelha67/status/921217246403313664","921217246403313664")</f>
        <v>921217246403313664</v>
      </c>
      <c r="F131" s="10" t="s">
        <v>51</v>
      </c>
      <c r="G131" s="10" t="n">
        <v>461</v>
      </c>
      <c r="H131" s="10" t="n">
        <v>13</v>
      </c>
      <c r="I131" s="10" t="n">
        <v>14</v>
      </c>
      <c r="J131" s="10" t="n">
        <v>0</v>
      </c>
      <c r="K131" s="10" t="s">
        <v>20</v>
      </c>
      <c r="L131" s="11" t="n">
        <v>42610.639375</v>
      </c>
      <c r="M131" s="12"/>
      <c r="N131" s="12" t="s">
        <v>425</v>
      </c>
      <c r="O131" s="9" t="str">
        <f aca="false">HYPERLINK("https://abs.twimg.com/sticky/default_profile_images/default_profile_normal.png","View")</f>
        <v>View</v>
      </c>
      <c r="P131" s="10"/>
    </row>
    <row r="132" customFormat="false" ht="15.75" hidden="false" customHeight="false" outlineLevel="0" collapsed="false">
      <c r="A132" s="6" t="n">
        <v>43027.8551273148</v>
      </c>
      <c r="B132" s="7" t="str">
        <f aca="false">HYPERLINK("https://twitter.com/newsjunkieswmo","@newsjunkieswmo")</f>
        <v>@newsjunkieswmo</v>
      </c>
      <c r="C132" s="8" t="s">
        <v>426</v>
      </c>
      <c r="D132" s="8" t="s">
        <v>427</v>
      </c>
      <c r="E132" s="9" t="str">
        <f aca="false">HYPERLINK("https://twitter.com/newsjunkieswmo/status/921217253345054721","921217253345054721")</f>
        <v>921217253345054721</v>
      </c>
      <c r="F132" s="10" t="s">
        <v>60</v>
      </c>
      <c r="G132" s="10" t="n">
        <v>1009</v>
      </c>
      <c r="H132" s="10" t="n">
        <v>280</v>
      </c>
      <c r="I132" s="10" t="n">
        <v>0</v>
      </c>
      <c r="J132" s="10" t="n">
        <v>0</v>
      </c>
      <c r="K132" s="10" t="s">
        <v>20</v>
      </c>
      <c r="L132" s="11" t="n">
        <v>41818.3157175926</v>
      </c>
      <c r="M132" s="12" t="s">
        <v>428</v>
      </c>
      <c r="N132" s="12" t="s">
        <v>429</v>
      </c>
      <c r="O132" s="9" t="str">
        <f aca="false">HYPERLINK("https://pbs.twimg.com/profile_images/482909951497490432/yvkO34Ye_normal.jpeg","View")</f>
        <v>View</v>
      </c>
      <c r="P132" s="10"/>
    </row>
    <row r="133" customFormat="false" ht="15.75" hidden="false" customHeight="false" outlineLevel="0" collapsed="false">
      <c r="A133" s="6" t="n">
        <v>43027.8553240741</v>
      </c>
      <c r="B133" s="7" t="str">
        <f aca="false">HYPERLINK("https://twitter.com/LVC1V5","@LVC1V5")</f>
        <v>@LVC1V5</v>
      </c>
      <c r="C133" s="8" t="s">
        <v>430</v>
      </c>
      <c r="D133" s="8" t="s">
        <v>403</v>
      </c>
      <c r="E133" s="9" t="str">
        <f aca="false">HYPERLINK("https://twitter.com/LVC1V5/status/921217326216773632","921217326216773632")</f>
        <v>921217326216773632</v>
      </c>
      <c r="F133" s="10" t="s">
        <v>39</v>
      </c>
      <c r="G133" s="10" t="n">
        <v>94</v>
      </c>
      <c r="H133" s="10" t="n">
        <v>240</v>
      </c>
      <c r="I133" s="10" t="n">
        <v>36</v>
      </c>
      <c r="J133" s="10" t="n">
        <v>0</v>
      </c>
      <c r="K133" s="10" t="s">
        <v>20</v>
      </c>
      <c r="L133" s="11" t="n">
        <v>43014.8253819444</v>
      </c>
      <c r="M133" s="12"/>
      <c r="N133" s="12"/>
      <c r="O133" s="9" t="str">
        <f aca="false">HYPERLINK("https://pbs.twimg.com/profile_images/920864960112156672/cayP_2O2_normal.jpg","View")</f>
        <v>View</v>
      </c>
      <c r="P133" s="10"/>
    </row>
    <row r="134" customFormat="false" ht="15.75" hidden="false" customHeight="false" outlineLevel="0" collapsed="false">
      <c r="A134" s="6" t="n">
        <v>43027.8558333333</v>
      </c>
      <c r="B134" s="7" t="str">
        <f aca="false">HYPERLINK("https://twitter.com/the__himanish","@the__himanish")</f>
        <v>@the__himanish</v>
      </c>
      <c r="C134" s="8" t="s">
        <v>382</v>
      </c>
      <c r="D134" s="8" t="s">
        <v>431</v>
      </c>
      <c r="E134" s="9" t="str">
        <f aca="false">HYPERLINK("https://twitter.com/the__himanish/status/921217511529463809","921217511529463809")</f>
        <v>921217511529463809</v>
      </c>
      <c r="F134" s="10" t="s">
        <v>60</v>
      </c>
      <c r="G134" s="10" t="n">
        <v>1811</v>
      </c>
      <c r="H134" s="10" t="n">
        <v>1625</v>
      </c>
      <c r="I134" s="10" t="n">
        <v>0</v>
      </c>
      <c r="J134" s="10" t="n">
        <v>0</v>
      </c>
      <c r="K134" s="10" t="s">
        <v>20</v>
      </c>
      <c r="L134" s="11" t="n">
        <v>40222.1517824074</v>
      </c>
      <c r="M134" s="12" t="s">
        <v>87</v>
      </c>
      <c r="N134" s="12" t="s">
        <v>384</v>
      </c>
      <c r="O134" s="9" t="str">
        <f aca="false">HYPERLINK("https://pbs.twimg.com/profile_images/914165533918015489/A6iR_gz2_normal.jpg","View")</f>
        <v>View</v>
      </c>
      <c r="P134" s="10"/>
    </row>
    <row r="135" customFormat="false" ht="15.75" hidden="false" customHeight="false" outlineLevel="0" collapsed="false">
      <c r="A135" s="6" t="n">
        <v>43027.8558680556</v>
      </c>
      <c r="B135" s="7" t="str">
        <f aca="false">HYPERLINK("https://twitter.com/ikateufel","@ikateufel")</f>
        <v>@ikateufel</v>
      </c>
      <c r="C135" s="8" t="s">
        <v>432</v>
      </c>
      <c r="D135" s="8" t="s">
        <v>403</v>
      </c>
      <c r="E135" s="9" t="str">
        <f aca="false">HYPERLINK("https://twitter.com/ikateufel/status/921217523479085056","921217523479085056")</f>
        <v>921217523479085056</v>
      </c>
      <c r="F135" s="10" t="s">
        <v>433</v>
      </c>
      <c r="G135" s="10" t="n">
        <v>78</v>
      </c>
      <c r="H135" s="10" t="n">
        <v>21</v>
      </c>
      <c r="I135" s="10" t="n">
        <v>36</v>
      </c>
      <c r="J135" s="10" t="n">
        <v>0</v>
      </c>
      <c r="K135" s="10" t="s">
        <v>20</v>
      </c>
      <c r="L135" s="11" t="n">
        <v>40101.2297222222</v>
      </c>
      <c r="M135" s="12" t="s">
        <v>434</v>
      </c>
      <c r="N135" s="12"/>
      <c r="O135" s="9" t="str">
        <f aca="false">HYPERLINK("https://abs.twimg.com/sticky/default_profile_images/default_profile_normal.png","View")</f>
        <v>View</v>
      </c>
      <c r="P135" s="10"/>
    </row>
    <row r="136" customFormat="false" ht="15.75" hidden="false" customHeight="false" outlineLevel="0" collapsed="false">
      <c r="A136" s="6" t="n">
        <v>43027.8558912037</v>
      </c>
      <c r="B136" s="7" t="str">
        <f aca="false">HYPERLINK("https://twitter.com/yuan3587","@yuan3587")</f>
        <v>@yuan3587</v>
      </c>
      <c r="C136" s="14" t="s">
        <v>435</v>
      </c>
      <c r="D136" s="8" t="s">
        <v>403</v>
      </c>
      <c r="E136" s="9" t="str">
        <f aca="false">HYPERLINK("https://twitter.com/yuan3587/status/921217531427221511","921217531427221511")</f>
        <v>921217531427221511</v>
      </c>
      <c r="F136" s="10" t="s">
        <v>51</v>
      </c>
      <c r="G136" s="10" t="n">
        <v>410</v>
      </c>
      <c r="H136" s="10" t="n">
        <v>926</v>
      </c>
      <c r="I136" s="10" t="n">
        <v>36</v>
      </c>
      <c r="J136" s="10" t="n">
        <v>0</v>
      </c>
      <c r="K136" s="10" t="s">
        <v>20</v>
      </c>
      <c r="L136" s="11" t="n">
        <v>42821.3059027778</v>
      </c>
      <c r="M136" s="12" t="s">
        <v>436</v>
      </c>
      <c r="N136" s="13" t="s">
        <v>437</v>
      </c>
      <c r="O136" s="9" t="str">
        <f aca="false">HYPERLINK("https://pbs.twimg.com/profile_images/923888302108819458/PLEEhI8g_normal.jpg","View")</f>
        <v>View</v>
      </c>
      <c r="P136" s="10"/>
    </row>
    <row r="137" customFormat="false" ht="15.75" hidden="false" customHeight="false" outlineLevel="0" collapsed="false">
      <c r="A137" s="6" t="n">
        <v>43027.8563657407</v>
      </c>
      <c r="B137" s="7" t="str">
        <f aca="false">HYPERLINK("https://twitter.com/azuitshi","@azuitshi")</f>
        <v>@azuitshi</v>
      </c>
      <c r="C137" s="8" t="s">
        <v>85</v>
      </c>
      <c r="D137" s="8" t="s">
        <v>403</v>
      </c>
      <c r="E137" s="9" t="str">
        <f aca="false">HYPERLINK("https://twitter.com/azuitshi/status/921217701913042946","921217701913042946")</f>
        <v>921217701913042946</v>
      </c>
      <c r="F137" s="10" t="s">
        <v>51</v>
      </c>
      <c r="G137" s="10" t="n">
        <v>1627</v>
      </c>
      <c r="H137" s="10" t="n">
        <v>1234</v>
      </c>
      <c r="I137" s="10" t="n">
        <v>36</v>
      </c>
      <c r="J137" s="10" t="n">
        <v>0</v>
      </c>
      <c r="K137" s="10" t="s">
        <v>20</v>
      </c>
      <c r="L137" s="11" t="n">
        <v>39861.1814930556</v>
      </c>
      <c r="M137" s="12" t="s">
        <v>87</v>
      </c>
      <c r="N137" s="13" t="s">
        <v>88</v>
      </c>
      <c r="O137" s="9" t="str">
        <f aca="false">HYPERLINK("https://pbs.twimg.com/profile_images/3099670019/0a1047174954b4381141086707c611c7_normal.jpeg","View")</f>
        <v>View</v>
      </c>
      <c r="P137" s="10"/>
    </row>
    <row r="138" customFormat="false" ht="15.75" hidden="false" customHeight="false" outlineLevel="0" collapsed="false">
      <c r="A138" s="6" t="n">
        <v>43027.8564583333</v>
      </c>
      <c r="B138" s="7" t="str">
        <f aca="false">HYPERLINK("https://twitter.com/rafaelangel0812","@rafaelangel0812")</f>
        <v>@rafaelangel0812</v>
      </c>
      <c r="C138" s="8" t="s">
        <v>438</v>
      </c>
      <c r="D138" s="8" t="s">
        <v>439</v>
      </c>
      <c r="E138" s="9" t="str">
        <f aca="false">HYPERLINK("https://twitter.com/rafaelangel0812/status/921217738063855616","921217738063855616")</f>
        <v>921217738063855616</v>
      </c>
      <c r="F138" s="10" t="s">
        <v>60</v>
      </c>
      <c r="G138" s="10" t="n">
        <v>280</v>
      </c>
      <c r="H138" s="10" t="n">
        <v>285</v>
      </c>
      <c r="I138" s="10" t="n">
        <v>0</v>
      </c>
      <c r="J138" s="10" t="n">
        <v>0</v>
      </c>
      <c r="K138" s="10" t="s">
        <v>20</v>
      </c>
      <c r="L138" s="11" t="n">
        <v>42695.8406597222</v>
      </c>
      <c r="M138" s="12" t="s">
        <v>440</v>
      </c>
      <c r="N138" s="12" t="s">
        <v>441</v>
      </c>
      <c r="O138" s="9" t="str">
        <f aca="false">HYPERLINK("https://pbs.twimg.com/profile_images/844730128311705601/dbv74UTC_normal.jpg","View")</f>
        <v>View</v>
      </c>
      <c r="P138" s="10"/>
    </row>
    <row r="139" customFormat="false" ht="15.75" hidden="false" customHeight="false" outlineLevel="0" collapsed="false">
      <c r="A139" s="6" t="n">
        <v>43027.8564699074</v>
      </c>
      <c r="B139" s="7" t="str">
        <f aca="false">HYPERLINK("https://twitter.com/prepzilla","@prepzilla")</f>
        <v>@prepzilla</v>
      </c>
      <c r="C139" s="8" t="s">
        <v>235</v>
      </c>
      <c r="D139" s="8" t="s">
        <v>442</v>
      </c>
      <c r="E139" s="9" t="str">
        <f aca="false">HYPERLINK("https://twitter.com/prepzilla/status/921217742564360193","921217742564360193")</f>
        <v>921217742564360193</v>
      </c>
      <c r="F139" s="10" t="s">
        <v>60</v>
      </c>
      <c r="G139" s="10" t="n">
        <v>7686</v>
      </c>
      <c r="H139" s="10" t="n">
        <v>477</v>
      </c>
      <c r="I139" s="10" t="n">
        <v>0</v>
      </c>
      <c r="J139" s="10" t="n">
        <v>0</v>
      </c>
      <c r="K139" s="10" t="s">
        <v>20</v>
      </c>
      <c r="L139" s="11" t="n">
        <v>41299.7417361111</v>
      </c>
      <c r="M139" s="12" t="s">
        <v>237</v>
      </c>
      <c r="N139" s="12" t="s">
        <v>238</v>
      </c>
      <c r="O139" s="9" t="str">
        <f aca="false">HYPERLINK("https://pbs.twimg.com/profile_images/900797880516005888/1bWN5qbC_normal.jpg","View")</f>
        <v>View</v>
      </c>
      <c r="P139" s="10"/>
    </row>
    <row r="140" customFormat="false" ht="15.75" hidden="false" customHeight="false" outlineLevel="0" collapsed="false">
      <c r="A140" s="6" t="n">
        <v>43027.8565162037</v>
      </c>
      <c r="B140" s="7" t="str">
        <f aca="false">HYPERLINK("https://twitter.com/JakeM_1998","@JakeM_1998")</f>
        <v>@JakeM_1998</v>
      </c>
      <c r="C140" s="8" t="s">
        <v>443</v>
      </c>
      <c r="D140" s="8" t="s">
        <v>444</v>
      </c>
      <c r="E140" s="9" t="str">
        <f aca="false">HYPERLINK("https://twitter.com/JakeM_1998/status/921217756329996289","921217756329996289")</f>
        <v>921217756329996289</v>
      </c>
      <c r="F140" s="10" t="s">
        <v>60</v>
      </c>
      <c r="G140" s="10" t="n">
        <v>1364</v>
      </c>
      <c r="H140" s="10" t="n">
        <v>1932</v>
      </c>
      <c r="I140" s="10" t="n">
        <v>0</v>
      </c>
      <c r="J140" s="10" t="n">
        <v>0</v>
      </c>
      <c r="K140" s="10" t="s">
        <v>20</v>
      </c>
      <c r="L140" s="11" t="n">
        <v>42046.2541203704</v>
      </c>
      <c r="M140" s="12" t="s">
        <v>445</v>
      </c>
      <c r="N140" s="12" t="s">
        <v>446</v>
      </c>
      <c r="O140" s="9" t="str">
        <f aca="false">HYPERLINK("https://pbs.twimg.com/profile_images/565590683256619009/uB7Cb1FV_normal.jpeg","View")</f>
        <v>View</v>
      </c>
      <c r="P140" s="10"/>
    </row>
    <row r="141" customFormat="false" ht="15.75" hidden="false" customHeight="false" outlineLevel="0" collapsed="false">
      <c r="A141" s="6" t="n">
        <v>43027.8565625</v>
      </c>
      <c r="B141" s="7" t="str">
        <f aca="false">HYPERLINK("https://twitter.com/electro_edward","@electro_edward")</f>
        <v>@electro_edward</v>
      </c>
      <c r="C141" s="8" t="s">
        <v>447</v>
      </c>
      <c r="D141" s="8" t="s">
        <v>448</v>
      </c>
      <c r="E141" s="9" t="str">
        <f aca="false">HYPERLINK("https://twitter.com/electro_edward/status/921217775955148801","921217775955148801")</f>
        <v>921217775955148801</v>
      </c>
      <c r="F141" s="10" t="s">
        <v>60</v>
      </c>
      <c r="G141" s="10" t="n">
        <v>73</v>
      </c>
      <c r="H141" s="10" t="n">
        <v>205</v>
      </c>
      <c r="I141" s="10" t="n">
        <v>0</v>
      </c>
      <c r="J141" s="10" t="n">
        <v>0</v>
      </c>
      <c r="K141" s="10" t="s">
        <v>20</v>
      </c>
      <c r="L141" s="11" t="n">
        <v>42798.5793981482</v>
      </c>
      <c r="M141" s="12" t="s">
        <v>449</v>
      </c>
      <c r="N141" s="12" t="s">
        <v>450</v>
      </c>
      <c r="O141" s="9" t="str">
        <f aca="false">HYPERLINK("https://pbs.twimg.com/profile_images/838145976976228352/5Plqe1bE_normal.jpg","View")</f>
        <v>View</v>
      </c>
      <c r="P141" s="10"/>
    </row>
    <row r="142" customFormat="false" ht="15.75" hidden="false" customHeight="false" outlineLevel="0" collapsed="false">
      <c r="A142" s="6" t="n">
        <v>43027.8565856481</v>
      </c>
      <c r="B142" s="7" t="str">
        <f aca="false">HYPERLINK("https://twitter.com/Figikung","@Figikung")</f>
        <v>@Figikung</v>
      </c>
      <c r="C142" s="8" t="s">
        <v>451</v>
      </c>
      <c r="D142" s="8" t="s">
        <v>452</v>
      </c>
      <c r="E142" s="9" t="str">
        <f aca="false">HYPERLINK("https://twitter.com/Figikung/status/921217781152075777","921217781152075777")</f>
        <v>921217781152075777</v>
      </c>
      <c r="F142" s="10" t="s">
        <v>60</v>
      </c>
      <c r="G142" s="10" t="n">
        <v>217</v>
      </c>
      <c r="H142" s="10" t="n">
        <v>149</v>
      </c>
      <c r="I142" s="10" t="n">
        <v>0</v>
      </c>
      <c r="J142" s="10" t="n">
        <v>0</v>
      </c>
      <c r="K142" s="10" t="s">
        <v>20</v>
      </c>
      <c r="L142" s="11" t="n">
        <v>42816.9208912037</v>
      </c>
      <c r="M142" s="12" t="s">
        <v>230</v>
      </c>
      <c r="N142" s="12" t="s">
        <v>453</v>
      </c>
      <c r="O142" s="9" t="str">
        <f aca="false">HYPERLINK("https://pbs.twimg.com/profile_images/844777639822819331/yRMcKB4U_normal.jpg","View")</f>
        <v>View</v>
      </c>
      <c r="P142" s="10"/>
    </row>
    <row r="143" customFormat="false" ht="15.75" hidden="false" customHeight="false" outlineLevel="0" collapsed="false">
      <c r="A143" s="6" t="n">
        <v>43027.8566666667</v>
      </c>
      <c r="B143" s="7" t="str">
        <f aca="false">HYPERLINK("https://twitter.com/RaulieGonzo","@RaulieGonzo")</f>
        <v>@RaulieGonzo</v>
      </c>
      <c r="C143" s="8" t="s">
        <v>454</v>
      </c>
      <c r="D143" s="8" t="s">
        <v>403</v>
      </c>
      <c r="E143" s="9" t="str">
        <f aca="false">HYPERLINK("https://twitter.com/RaulieGonzo/status/921217812739297281","921217812739297281")</f>
        <v>921217812739297281</v>
      </c>
      <c r="F143" s="10" t="s">
        <v>51</v>
      </c>
      <c r="G143" s="10" t="n">
        <v>628</v>
      </c>
      <c r="H143" s="10" t="n">
        <v>1349</v>
      </c>
      <c r="I143" s="10" t="n">
        <v>36</v>
      </c>
      <c r="J143" s="10" t="n">
        <v>0</v>
      </c>
      <c r="K143" s="10" t="s">
        <v>20</v>
      </c>
      <c r="L143" s="11" t="n">
        <v>40758.3759259259</v>
      </c>
      <c r="M143" s="12" t="s">
        <v>455</v>
      </c>
      <c r="N143" s="12" t="s">
        <v>456</v>
      </c>
      <c r="O143" s="9" t="str">
        <f aca="false">HYPERLINK("https://pbs.twimg.com/profile_images/921901277956714496/XvtJvUWh_normal.jpg","View")</f>
        <v>View</v>
      </c>
      <c r="P143" s="10"/>
    </row>
    <row r="144" customFormat="false" ht="15.75" hidden="false" customHeight="false" outlineLevel="0" collapsed="false">
      <c r="A144" s="6" t="n">
        <v>43027.8566782407</v>
      </c>
      <c r="B144" s="7" t="str">
        <f aca="false">HYPERLINK("https://twitter.com/suzannecse","@suzannecse")</f>
        <v>@suzannecse</v>
      </c>
      <c r="C144" s="8" t="s">
        <v>457</v>
      </c>
      <c r="D144" s="8" t="s">
        <v>458</v>
      </c>
      <c r="E144" s="9" t="str">
        <f aca="false">HYPERLINK("https://twitter.com/suzannecse/status/921217815130136576","921217815130136576")</f>
        <v>921217815130136576</v>
      </c>
      <c r="F144" s="10" t="s">
        <v>60</v>
      </c>
      <c r="G144" s="10" t="n">
        <v>1151</v>
      </c>
      <c r="H144" s="10" t="n">
        <v>1140</v>
      </c>
      <c r="I144" s="10" t="n">
        <v>0</v>
      </c>
      <c r="J144" s="10" t="n">
        <v>0</v>
      </c>
      <c r="K144" s="10" t="s">
        <v>20</v>
      </c>
      <c r="L144" s="11" t="n">
        <v>42816.0895138889</v>
      </c>
      <c r="M144" s="12" t="s">
        <v>230</v>
      </c>
      <c r="N144" s="12" t="s">
        <v>459</v>
      </c>
      <c r="O144" s="9" t="str">
        <f aca="false">HYPERLINK("https://pbs.twimg.com/profile_images/856711800707883008/aEnxTmhh_normal.jpg","View")</f>
        <v>View</v>
      </c>
      <c r="P144" s="10"/>
    </row>
    <row r="145" customFormat="false" ht="15.75" hidden="false" customHeight="false" outlineLevel="0" collapsed="false">
      <c r="A145" s="6" t="n">
        <v>43027.856712963</v>
      </c>
      <c r="B145" s="7" t="str">
        <f aca="false">HYPERLINK("https://twitter.com/KhalfanBinAhmed","@KhalfanBinAhmed")</f>
        <v>@KhalfanBinAhmed</v>
      </c>
      <c r="C145" s="8" t="s">
        <v>460</v>
      </c>
      <c r="D145" s="8" t="s">
        <v>461</v>
      </c>
      <c r="E145" s="9" t="str">
        <f aca="false">HYPERLINK("https://twitter.com/KhalfanBinAhmed/status/921217827234893824","921217827234893824")</f>
        <v>921217827234893824</v>
      </c>
      <c r="F145" s="10" t="s">
        <v>60</v>
      </c>
      <c r="G145" s="10" t="n">
        <v>3417</v>
      </c>
      <c r="H145" s="10" t="n">
        <v>2189</v>
      </c>
      <c r="I145" s="10" t="n">
        <v>0</v>
      </c>
      <c r="J145" s="10" t="n">
        <v>0</v>
      </c>
      <c r="K145" s="10" t="s">
        <v>20</v>
      </c>
      <c r="L145" s="11" t="n">
        <v>40397.8224884259</v>
      </c>
      <c r="M145" s="12" t="s">
        <v>462</v>
      </c>
      <c r="N145" s="12" t="s">
        <v>463</v>
      </c>
      <c r="O145" s="9" t="str">
        <f aca="false">HYPERLINK("https://pbs.twimg.com/profile_images/905076037654114305/228iHW69_normal.jpg","View")</f>
        <v>View</v>
      </c>
      <c r="P145" s="10"/>
    </row>
    <row r="146" customFormat="false" ht="15.75" hidden="false" customHeight="false" outlineLevel="0" collapsed="false">
      <c r="A146" s="6" t="n">
        <v>43027.8570833333</v>
      </c>
      <c r="B146" s="7" t="str">
        <f aca="false">HYPERLINK("https://twitter.com/Morpheyous","@Morpheyous")</f>
        <v>@Morpheyous</v>
      </c>
      <c r="C146" s="8" t="s">
        <v>464</v>
      </c>
      <c r="D146" s="8" t="s">
        <v>465</v>
      </c>
      <c r="E146" s="9" t="str">
        <f aca="false">HYPERLINK("https://twitter.com/Morpheyous/status/921217965105741824","921217965105741824")</f>
        <v>921217965105741824</v>
      </c>
      <c r="F146" s="10" t="s">
        <v>60</v>
      </c>
      <c r="G146" s="10" t="n">
        <v>759</v>
      </c>
      <c r="H146" s="10" t="n">
        <v>279</v>
      </c>
      <c r="I146" s="10" t="n">
        <v>0</v>
      </c>
      <c r="J146" s="10" t="n">
        <v>0</v>
      </c>
      <c r="K146" s="10" t="s">
        <v>20</v>
      </c>
      <c r="L146" s="11" t="n">
        <v>40000.9476273148</v>
      </c>
      <c r="M146" s="12" t="s">
        <v>466</v>
      </c>
      <c r="N146" s="12" t="s">
        <v>467</v>
      </c>
      <c r="O146" s="9" t="str">
        <f aca="false">HYPERLINK("https://pbs.twimg.com/profile_images/378800000139269120/c5511e3de9bd6ae556425224436a2458_normal.jpeg","View")</f>
        <v>View</v>
      </c>
      <c r="P146" s="10"/>
    </row>
    <row r="147" customFormat="false" ht="15.75" hidden="false" customHeight="false" outlineLevel="0" collapsed="false">
      <c r="A147" s="6" t="n">
        <v>43027.8572222222</v>
      </c>
      <c r="B147" s="7" t="str">
        <f aca="false">HYPERLINK("https://twitter.com/NarrendraM","@NarrendraM")</f>
        <v>@NarrendraM</v>
      </c>
      <c r="C147" s="8" t="s">
        <v>468</v>
      </c>
      <c r="D147" s="8" t="s">
        <v>469</v>
      </c>
      <c r="E147" s="9" t="str">
        <f aca="false">HYPERLINK("https://twitter.com/NarrendraM/status/921218012123983872","921218012123983872")</f>
        <v>921218012123983872</v>
      </c>
      <c r="F147" s="10" t="s">
        <v>60</v>
      </c>
      <c r="G147" s="10" t="n">
        <v>1999</v>
      </c>
      <c r="H147" s="10" t="n">
        <v>252</v>
      </c>
      <c r="I147" s="10" t="n">
        <v>0</v>
      </c>
      <c r="J147" s="10" t="n">
        <v>0</v>
      </c>
      <c r="K147" s="10" t="s">
        <v>20</v>
      </c>
      <c r="L147" s="11" t="n">
        <v>42471.0737037037</v>
      </c>
      <c r="M147" s="12" t="s">
        <v>253</v>
      </c>
      <c r="N147" s="12" t="s">
        <v>470</v>
      </c>
      <c r="O147" s="9" t="str">
        <f aca="false">HYPERLINK("https://pbs.twimg.com/profile_images/743939643738034176/WkGloI0u_normal.jpg","View")</f>
        <v>View</v>
      </c>
      <c r="P147" s="10"/>
    </row>
    <row r="148" customFormat="false" ht="15.75" hidden="false" customHeight="false" outlineLevel="0" collapsed="false">
      <c r="A148" s="6" t="n">
        <v>43027.8572453704</v>
      </c>
      <c r="B148" s="7" t="str">
        <f aca="false">HYPERLINK("https://twitter.com/allenvollbrecht","@allenvollbrecht")</f>
        <v>@allenvollbrecht</v>
      </c>
      <c r="C148" s="8" t="s">
        <v>471</v>
      </c>
      <c r="D148" s="8" t="s">
        <v>403</v>
      </c>
      <c r="E148" s="9" t="str">
        <f aca="false">HYPERLINK("https://twitter.com/allenvollbrecht/status/921218019958800385","921218019958800385")</f>
        <v>921218019958800385</v>
      </c>
      <c r="F148" s="10" t="s">
        <v>51</v>
      </c>
      <c r="G148" s="10" t="n">
        <v>2700</v>
      </c>
      <c r="H148" s="10" t="n">
        <v>2141</v>
      </c>
      <c r="I148" s="10" t="n">
        <v>36</v>
      </c>
      <c r="J148" s="10" t="n">
        <v>0</v>
      </c>
      <c r="K148" s="10" t="s">
        <v>20</v>
      </c>
      <c r="L148" s="11" t="n">
        <v>41180.9746064815</v>
      </c>
      <c r="M148" s="12" t="s">
        <v>472</v>
      </c>
      <c r="N148" s="12" t="s">
        <v>473</v>
      </c>
      <c r="O148" s="9" t="str">
        <f aca="false">HYPERLINK("https://pbs.twimg.com/profile_images/591448113782476800/6ZeJlq_A_normal.jpg","View")</f>
        <v>View</v>
      </c>
      <c r="P148" s="10"/>
    </row>
    <row r="149" customFormat="false" ht="15.75" hidden="false" customHeight="false" outlineLevel="0" collapsed="false">
      <c r="A149" s="6" t="n">
        <v>43027.8572800926</v>
      </c>
      <c r="B149" s="7" t="str">
        <f aca="false">HYPERLINK("https://twitter.com/ele_wolfe","@ele_wolfe")</f>
        <v>@ele_wolfe</v>
      </c>
      <c r="C149" s="8" t="s">
        <v>474</v>
      </c>
      <c r="D149" s="8" t="s">
        <v>475</v>
      </c>
      <c r="E149" s="9" t="str">
        <f aca="false">HYPERLINK("https://twitter.com/ele_wolfe/status/921218033187770368","921218033187770368")</f>
        <v>921218033187770368</v>
      </c>
      <c r="F149" s="10" t="s">
        <v>60</v>
      </c>
      <c r="G149" s="10" t="n">
        <v>82</v>
      </c>
      <c r="H149" s="10" t="n">
        <v>202</v>
      </c>
      <c r="I149" s="10" t="n">
        <v>0</v>
      </c>
      <c r="J149" s="10" t="n">
        <v>0</v>
      </c>
      <c r="K149" s="10" t="s">
        <v>20</v>
      </c>
      <c r="L149" s="11" t="n">
        <v>42798.547025463</v>
      </c>
      <c r="M149" s="12" t="s">
        <v>476</v>
      </c>
      <c r="N149" s="12" t="s">
        <v>477</v>
      </c>
      <c r="O149" s="9" t="str">
        <f aca="false">HYPERLINK("https://pbs.twimg.com/profile_images/838134526501093376/MJ8raZ9G_normal.jpg","View")</f>
        <v>View</v>
      </c>
      <c r="P149" s="10"/>
    </row>
    <row r="150" customFormat="false" ht="15.75" hidden="false" customHeight="false" outlineLevel="0" collapsed="false">
      <c r="A150" s="6" t="n">
        <v>43027.857337963</v>
      </c>
      <c r="B150" s="7" t="str">
        <f aca="false">HYPERLINK("https://twitter.com/willwphoto","@willwphoto")</f>
        <v>@willwphoto</v>
      </c>
      <c r="C150" s="8" t="s">
        <v>478</v>
      </c>
      <c r="D150" s="8" t="s">
        <v>479</v>
      </c>
      <c r="E150" s="9" t="str">
        <f aca="false">HYPERLINK("https://twitter.com/willwphoto/status/921218056126205952","921218056126205952")</f>
        <v>921218056126205952</v>
      </c>
      <c r="F150" s="10" t="s">
        <v>60</v>
      </c>
      <c r="G150" s="10" t="n">
        <v>644</v>
      </c>
      <c r="H150" s="10" t="n">
        <v>1940</v>
      </c>
      <c r="I150" s="10" t="n">
        <v>0</v>
      </c>
      <c r="J150" s="10" t="n">
        <v>0</v>
      </c>
      <c r="K150" s="10" t="s">
        <v>20</v>
      </c>
      <c r="L150" s="11" t="n">
        <v>40273.5784953704</v>
      </c>
      <c r="M150" s="12" t="s">
        <v>480</v>
      </c>
      <c r="N150" s="12" t="s">
        <v>481</v>
      </c>
      <c r="O150" s="9" t="str">
        <f aca="false">HYPERLINK("https://pbs.twimg.com/profile_images/727567907140587520/i9kMIjqW_normal.jpg","View")</f>
        <v>View</v>
      </c>
      <c r="P150" s="10"/>
    </row>
    <row r="151" customFormat="false" ht="15.75" hidden="false" customHeight="false" outlineLevel="0" collapsed="false">
      <c r="A151" s="6" t="n">
        <v>43027.8575578704</v>
      </c>
      <c r="B151" s="7" t="str">
        <f aca="false">HYPERLINK("https://twitter.com/josheppa","@josheppa")</f>
        <v>@josheppa</v>
      </c>
      <c r="C151" s="8" t="s">
        <v>482</v>
      </c>
      <c r="D151" s="8" t="s">
        <v>403</v>
      </c>
      <c r="E151" s="9" t="str">
        <f aca="false">HYPERLINK("https://twitter.com/josheppa/status/921218133301628928","921218133301628928")</f>
        <v>921218133301628928</v>
      </c>
      <c r="F151" s="10" t="s">
        <v>51</v>
      </c>
      <c r="G151" s="10" t="n">
        <v>255</v>
      </c>
      <c r="H151" s="10" t="n">
        <v>223</v>
      </c>
      <c r="I151" s="10" t="n">
        <v>36</v>
      </c>
      <c r="J151" s="10" t="n">
        <v>0</v>
      </c>
      <c r="K151" s="10" t="s">
        <v>20</v>
      </c>
      <c r="L151" s="11" t="n">
        <v>39933.2072106482</v>
      </c>
      <c r="M151" s="12" t="s">
        <v>230</v>
      </c>
      <c r="N151" s="12"/>
      <c r="O151" s="9" t="str">
        <f aca="false">HYPERLINK("https://pbs.twimg.com/profile_images/817884453582372864/Go4Qgp_O_normal.jpg","View")</f>
        <v>View</v>
      </c>
      <c r="P151" s="10"/>
    </row>
    <row r="152" customFormat="false" ht="15.75" hidden="false" customHeight="false" outlineLevel="0" collapsed="false">
      <c r="A152" s="6" t="n">
        <v>43027.8577662037</v>
      </c>
      <c r="B152" s="7" t="str">
        <f aca="false">HYPERLINK("https://twitter.com/yongjiewu13","@yongjiewu13")</f>
        <v>@yongjiewu13</v>
      </c>
      <c r="C152" s="14" t="s">
        <v>483</v>
      </c>
      <c r="D152" s="8" t="s">
        <v>484</v>
      </c>
      <c r="E152" s="9" t="str">
        <f aca="false">HYPERLINK("https://twitter.com/yongjiewu13/status/921218208794906625","921218208794906625")</f>
        <v>921218208794906625</v>
      </c>
      <c r="F152" s="10" t="s">
        <v>60</v>
      </c>
      <c r="G152" s="10" t="n">
        <v>10</v>
      </c>
      <c r="H152" s="10" t="n">
        <v>78</v>
      </c>
      <c r="I152" s="10" t="n">
        <v>0</v>
      </c>
      <c r="J152" s="10" t="n">
        <v>0</v>
      </c>
      <c r="K152" s="10" t="s">
        <v>20</v>
      </c>
      <c r="L152" s="11" t="n">
        <v>43009.356400463</v>
      </c>
      <c r="M152" s="12" t="s">
        <v>485</v>
      </c>
      <c r="N152" s="12" t="s">
        <v>486</v>
      </c>
      <c r="O152" s="9" t="str">
        <f aca="false">HYPERLINK("https://pbs.twimg.com/profile_images/914514158246174720/1UW7im1Q_normal.jpg","View")</f>
        <v>View</v>
      </c>
      <c r="P152" s="10"/>
    </row>
    <row r="153" customFormat="false" ht="15.75" hidden="false" customHeight="false" outlineLevel="0" collapsed="false">
      <c r="A153" s="6" t="n">
        <v>43027.8579398148</v>
      </c>
      <c r="B153" s="7" t="str">
        <f aca="false">HYPERLINK("https://twitter.com/tochybana1","@tochybana1")</f>
        <v>@tochybana1</v>
      </c>
      <c r="C153" s="8" t="s">
        <v>487</v>
      </c>
      <c r="D153" s="8" t="s">
        <v>403</v>
      </c>
      <c r="E153" s="9" t="str">
        <f aca="false">HYPERLINK("https://twitter.com/tochybana1/status/921218275677159424","921218275677159424")</f>
        <v>921218275677159424</v>
      </c>
      <c r="F153" s="10" t="s">
        <v>39</v>
      </c>
      <c r="G153" s="10" t="n">
        <v>283</v>
      </c>
      <c r="H153" s="10" t="n">
        <v>515</v>
      </c>
      <c r="I153" s="10" t="n">
        <v>36</v>
      </c>
      <c r="J153" s="10" t="n">
        <v>0</v>
      </c>
      <c r="K153" s="10" t="s">
        <v>20</v>
      </c>
      <c r="L153" s="11" t="n">
        <v>42819.8339236111</v>
      </c>
      <c r="M153" s="12"/>
      <c r="N153" s="12"/>
      <c r="O153" s="9" t="str">
        <f aca="false">HYPERLINK("https://pbs.twimg.com/profile_images/906722269543538688/pSWpUKs4_normal.jpg","View")</f>
        <v>View</v>
      </c>
      <c r="P153" s="10"/>
    </row>
    <row r="154" customFormat="false" ht="15.75" hidden="false" customHeight="false" outlineLevel="0" collapsed="false">
      <c r="A154" s="6" t="n">
        <v>43027.8579861111</v>
      </c>
      <c r="B154" s="7" t="str">
        <f aca="false">HYPERLINK("https://twitter.com/prepzilla","@prepzilla")</f>
        <v>@prepzilla</v>
      </c>
      <c r="C154" s="8" t="s">
        <v>235</v>
      </c>
      <c r="D154" s="8" t="s">
        <v>488</v>
      </c>
      <c r="E154" s="9" t="str">
        <f aca="false">HYPERLINK("https://twitter.com/prepzilla/status/921218289572958208","921218289572958208")</f>
        <v>921218289572958208</v>
      </c>
      <c r="F154" s="10" t="s">
        <v>60</v>
      </c>
      <c r="G154" s="10" t="n">
        <v>7686</v>
      </c>
      <c r="H154" s="10" t="n">
        <v>477</v>
      </c>
      <c r="I154" s="10" t="n">
        <v>0</v>
      </c>
      <c r="J154" s="10" t="n">
        <v>0</v>
      </c>
      <c r="K154" s="10" t="s">
        <v>20</v>
      </c>
      <c r="L154" s="11" t="n">
        <v>41299.7417361111</v>
      </c>
      <c r="M154" s="12" t="s">
        <v>237</v>
      </c>
      <c r="N154" s="12" t="s">
        <v>238</v>
      </c>
      <c r="O154" s="9" t="str">
        <f aca="false">HYPERLINK("https://pbs.twimg.com/profile_images/900797880516005888/1bWN5qbC_normal.jpg","View")</f>
        <v>View</v>
      </c>
      <c r="P154" s="10"/>
    </row>
    <row r="155" customFormat="false" ht="15.75" hidden="false" customHeight="false" outlineLevel="0" collapsed="false">
      <c r="A155" s="6" t="n">
        <v>43027.8586111111</v>
      </c>
      <c r="B155" s="7" t="str">
        <f aca="false">HYPERLINK("https://twitter.com/Fausto_Enrique","@Fausto_Enrique")</f>
        <v>@Fausto_Enrique</v>
      </c>
      <c r="C155" s="8" t="s">
        <v>489</v>
      </c>
      <c r="D155" s="8" t="s">
        <v>490</v>
      </c>
      <c r="E155" s="9" t="str">
        <f aca="false">HYPERLINK("https://twitter.com/Fausto_Enrique/status/921218517650812928","921218517650812928")</f>
        <v>921218517650812928</v>
      </c>
      <c r="F155" s="10" t="s">
        <v>55</v>
      </c>
      <c r="G155" s="10" t="n">
        <v>1077</v>
      </c>
      <c r="H155" s="10" t="n">
        <v>536</v>
      </c>
      <c r="I155" s="10" t="n">
        <v>0</v>
      </c>
      <c r="J155" s="10" t="n">
        <v>0</v>
      </c>
      <c r="K155" s="10" t="s">
        <v>20</v>
      </c>
      <c r="L155" s="11" t="n">
        <v>39895.4433217593</v>
      </c>
      <c r="M155" s="12" t="s">
        <v>491</v>
      </c>
      <c r="N155" s="12" t="s">
        <v>492</v>
      </c>
      <c r="O155" s="9" t="str">
        <f aca="false">HYPERLINK("https://pbs.twimg.com/profile_images/674424083304554496/istA5ef6_normal.jpg","View")</f>
        <v>View</v>
      </c>
      <c r="P155" s="10"/>
    </row>
    <row r="156" customFormat="false" ht="15.75" hidden="false" customHeight="false" outlineLevel="0" collapsed="false">
      <c r="A156" s="6" t="n">
        <v>43027.8586342593</v>
      </c>
      <c r="B156" s="7" t="str">
        <f aca="false">HYPERLINK("https://twitter.com/BotBrody15","@BotBrody15")</f>
        <v>@BotBrody15</v>
      </c>
      <c r="C156" s="8" t="s">
        <v>493</v>
      </c>
      <c r="D156" s="8" t="s">
        <v>494</v>
      </c>
      <c r="E156" s="9" t="str">
        <f aca="false">HYPERLINK("https://twitter.com/BotBrody15/status/921218524919480320","921218524919480320")</f>
        <v>921218524919480320</v>
      </c>
      <c r="F156" s="10" t="s">
        <v>60</v>
      </c>
      <c r="G156" s="10" t="n">
        <v>40</v>
      </c>
      <c r="H156" s="10" t="n">
        <v>2</v>
      </c>
      <c r="I156" s="10" t="n">
        <v>0</v>
      </c>
      <c r="J156" s="10" t="n">
        <v>0</v>
      </c>
      <c r="K156" s="10" t="s">
        <v>20</v>
      </c>
      <c r="L156" s="11" t="n">
        <v>42012.7560648148</v>
      </c>
      <c r="M156" s="12" t="s">
        <v>495</v>
      </c>
      <c r="N156" s="12" t="s">
        <v>496</v>
      </c>
      <c r="O156" s="9" t="str">
        <f aca="false">HYPERLINK("https://pbs.twimg.com/profile_images/810307338401882112/zhWV71X6_normal.jpg","View")</f>
        <v>View</v>
      </c>
      <c r="P156" s="10"/>
    </row>
    <row r="157" customFormat="false" ht="15.75" hidden="false" customHeight="false" outlineLevel="0" collapsed="false">
      <c r="A157" s="6" t="n">
        <v>43027.8592708333</v>
      </c>
      <c r="B157" s="7" t="str">
        <f aca="false">HYPERLINK("https://twitter.com/newlyjacky","@newlyjacky")</f>
        <v>@newlyjacky</v>
      </c>
      <c r="C157" s="8" t="s">
        <v>497</v>
      </c>
      <c r="D157" s="8" t="s">
        <v>360</v>
      </c>
      <c r="E157" s="9" t="str">
        <f aca="false">HYPERLINK("https://twitter.com/newlyjacky/status/921218757074341888","921218757074341888")</f>
        <v>921218757074341888</v>
      </c>
      <c r="F157" s="10" t="s">
        <v>51</v>
      </c>
      <c r="G157" s="10" t="n">
        <v>258</v>
      </c>
      <c r="H157" s="10" t="n">
        <v>1867</v>
      </c>
      <c r="I157" s="10" t="n">
        <v>14</v>
      </c>
      <c r="J157" s="10" t="n">
        <v>0</v>
      </c>
      <c r="K157" s="10" t="s">
        <v>20</v>
      </c>
      <c r="L157" s="11" t="n">
        <v>41557.4584606482</v>
      </c>
      <c r="M157" s="12" t="s">
        <v>498</v>
      </c>
      <c r="N157" s="12" t="s">
        <v>499</v>
      </c>
      <c r="O157" s="9" t="str">
        <f aca="false">HYPERLINK("https://pbs.twimg.com/profile_images/444812983642767360/g7TWxzMz_normal.jpeg","View")</f>
        <v>View</v>
      </c>
      <c r="P157" s="10"/>
    </row>
    <row r="158" customFormat="false" ht="15.75" hidden="false" customHeight="false" outlineLevel="0" collapsed="false">
      <c r="A158" s="6" t="n">
        <v>43027.8596643519</v>
      </c>
      <c r="B158" s="7" t="str">
        <f aca="false">HYPERLINK("https://twitter.com/channel1america","@channel1america")</f>
        <v>@channel1america</v>
      </c>
      <c r="C158" s="8" t="s">
        <v>500</v>
      </c>
      <c r="D158" s="8" t="s">
        <v>501</v>
      </c>
      <c r="E158" s="9" t="str">
        <f aca="false">HYPERLINK("https://twitter.com/channel1america/status/921218896916463616","921218896916463616")</f>
        <v>921218896916463616</v>
      </c>
      <c r="F158" s="10" t="s">
        <v>60</v>
      </c>
      <c r="G158" s="10" t="n">
        <v>578</v>
      </c>
      <c r="H158" s="10" t="n">
        <v>1093</v>
      </c>
      <c r="I158" s="10" t="n">
        <v>0</v>
      </c>
      <c r="J158" s="10" t="n">
        <v>0</v>
      </c>
      <c r="K158" s="10" t="s">
        <v>20</v>
      </c>
      <c r="L158" s="11" t="n">
        <v>41490.4887268519</v>
      </c>
      <c r="M158" s="12" t="s">
        <v>502</v>
      </c>
      <c r="N158" s="12" t="s">
        <v>503</v>
      </c>
      <c r="O158" s="9" t="str">
        <f aca="false">HYPERLINK("https://pbs.twimg.com/profile_images/419040982844207104/Rlky9pGx_normal.jpeg","View")</f>
        <v>View</v>
      </c>
      <c r="P158" s="10"/>
    </row>
    <row r="159" customFormat="false" ht="15.75" hidden="false" customHeight="false" outlineLevel="0" collapsed="false">
      <c r="A159" s="6" t="n">
        <v>43027.8606365741</v>
      </c>
      <c r="B159" s="7" t="str">
        <f aca="false">HYPERLINK("https://twitter.com/PipCoinCash","@PipCoinCash")</f>
        <v>@PipCoinCash</v>
      </c>
      <c r="C159" s="7" t="s">
        <v>504</v>
      </c>
      <c r="D159" s="8" t="s">
        <v>505</v>
      </c>
      <c r="E159" s="9" t="str">
        <f aca="false">HYPERLINK("https://twitter.com/PipCoinCash/status/921219249380712448","921219249380712448")</f>
        <v>921219249380712448</v>
      </c>
      <c r="F159" s="10" t="s">
        <v>60</v>
      </c>
      <c r="G159" s="10" t="n">
        <v>895</v>
      </c>
      <c r="H159" s="10" t="n">
        <v>937</v>
      </c>
      <c r="I159" s="10" t="n">
        <v>0</v>
      </c>
      <c r="J159" s="10" t="n">
        <v>0</v>
      </c>
      <c r="K159" s="10" t="s">
        <v>20</v>
      </c>
      <c r="L159" s="11" t="n">
        <v>40021.0027777778</v>
      </c>
      <c r="M159" s="12" t="s">
        <v>506</v>
      </c>
      <c r="N159" s="12" t="s">
        <v>507</v>
      </c>
      <c r="O159" s="9" t="str">
        <f aca="false">HYPERLINK("https://pbs.twimg.com/profile_images/861226882938884096/ti0-sHlw_normal.jpg","View")</f>
        <v>View</v>
      </c>
      <c r="P159" s="10"/>
    </row>
    <row r="160" customFormat="false" ht="15.75" hidden="false" customHeight="false" outlineLevel="0" collapsed="false">
      <c r="A160" s="6" t="n">
        <v>43027.8609143519</v>
      </c>
      <c r="B160" s="7" t="str">
        <f aca="false">HYPERLINK("https://twitter.com/hyu954","@hyu954")</f>
        <v>@hyu954</v>
      </c>
      <c r="C160" s="14" t="s">
        <v>508</v>
      </c>
      <c r="D160" s="8" t="s">
        <v>202</v>
      </c>
      <c r="E160" s="9" t="str">
        <f aca="false">HYPERLINK("https://twitter.com/hyu954/status/921219349657960449","921219349657960449")</f>
        <v>921219349657960449</v>
      </c>
      <c r="F160" s="10" t="s">
        <v>25</v>
      </c>
      <c r="G160" s="10" t="n">
        <v>96</v>
      </c>
      <c r="H160" s="10" t="n">
        <v>256</v>
      </c>
      <c r="I160" s="10" t="n">
        <v>21</v>
      </c>
      <c r="J160" s="10" t="n">
        <v>0</v>
      </c>
      <c r="K160" s="10" t="s">
        <v>20</v>
      </c>
      <c r="L160" s="11" t="n">
        <v>40129.0816087963</v>
      </c>
      <c r="M160" s="12" t="s">
        <v>509</v>
      </c>
      <c r="N160" s="13" t="s">
        <v>510</v>
      </c>
      <c r="O160" s="9" t="str">
        <f aca="false">HYPERLINK("https://pbs.twimg.com/profile_images/568172325/IMG_3409_normal.JPG","View")</f>
        <v>View</v>
      </c>
      <c r="P160" s="10"/>
    </row>
    <row r="161" customFormat="false" ht="15.75" hidden="false" customHeight="false" outlineLevel="0" collapsed="false">
      <c r="A161" s="6" t="n">
        <v>43027.8615972222</v>
      </c>
      <c r="B161" s="7" t="str">
        <f aca="false">HYPERLINK("https://twitter.com/Shekhar_Pro","@Shekhar_Pro")</f>
        <v>@Shekhar_Pro</v>
      </c>
      <c r="C161" s="8" t="s">
        <v>511</v>
      </c>
      <c r="D161" s="8" t="s">
        <v>403</v>
      </c>
      <c r="E161" s="9" t="str">
        <f aca="false">HYPERLINK("https://twitter.com/Shekhar_Pro/status/921219600770940929","921219600770940929")</f>
        <v>921219600770940929</v>
      </c>
      <c r="F161" s="10" t="s">
        <v>98</v>
      </c>
      <c r="G161" s="10" t="n">
        <v>10</v>
      </c>
      <c r="H161" s="10" t="n">
        <v>88</v>
      </c>
      <c r="I161" s="10" t="n">
        <v>36</v>
      </c>
      <c r="J161" s="10" t="n">
        <v>0</v>
      </c>
      <c r="K161" s="10" t="s">
        <v>20</v>
      </c>
      <c r="L161" s="11" t="n">
        <v>42212.2416319445</v>
      </c>
      <c r="M161" s="12" t="s">
        <v>512</v>
      </c>
      <c r="N161" s="12" t="s">
        <v>513</v>
      </c>
      <c r="O161" s="9" t="str">
        <f aca="false">HYPERLINK("https://abs.twimg.com/sticky/default_profile_images/default_profile_normal.png","View")</f>
        <v>View</v>
      </c>
      <c r="P161" s="10"/>
    </row>
    <row r="162" customFormat="false" ht="15.75" hidden="false" customHeight="false" outlineLevel="0" collapsed="false">
      <c r="A162" s="6" t="n">
        <v>43027.861875</v>
      </c>
      <c r="B162" s="7" t="str">
        <f aca="false">HYPERLINK("https://twitter.com/StaunchInsafian","@StaunchInsafian")</f>
        <v>@StaunchInsafian</v>
      </c>
      <c r="C162" s="8" t="s">
        <v>514</v>
      </c>
      <c r="D162" s="8" t="s">
        <v>403</v>
      </c>
      <c r="E162" s="9" t="str">
        <f aca="false">HYPERLINK("https://twitter.com/StaunchInsafian/status/921219700423524352","921219700423524352")</f>
        <v>921219700423524352</v>
      </c>
      <c r="F162" s="10" t="s">
        <v>515</v>
      </c>
      <c r="G162" s="10" t="n">
        <v>34974</v>
      </c>
      <c r="H162" s="10" t="n">
        <v>118</v>
      </c>
      <c r="I162" s="10" t="n">
        <v>36</v>
      </c>
      <c r="J162" s="10" t="n">
        <v>0</v>
      </c>
      <c r="K162" s="10" t="s">
        <v>20</v>
      </c>
      <c r="L162" s="11" t="n">
        <v>42450.9034143519</v>
      </c>
      <c r="M162" s="12" t="s">
        <v>516</v>
      </c>
      <c r="N162" s="12" t="s">
        <v>517</v>
      </c>
      <c r="O162" s="9" t="str">
        <f aca="false">HYPERLINK("https://pbs.twimg.com/profile_images/901395459071250432/sBGGvkrd_normal.jpg","View")</f>
        <v>View</v>
      </c>
      <c r="P162" s="10"/>
    </row>
    <row r="163" customFormat="false" ht="15.75" hidden="false" customHeight="false" outlineLevel="0" collapsed="false">
      <c r="A163" s="6" t="n">
        <v>43027.862662037</v>
      </c>
      <c r="B163" s="7" t="str">
        <f aca="false">HYPERLINK("https://twitter.com/mayankkumarfb","@mayankkumarfb")</f>
        <v>@mayankkumarfb</v>
      </c>
      <c r="C163" s="8" t="s">
        <v>518</v>
      </c>
      <c r="D163" s="8" t="s">
        <v>519</v>
      </c>
      <c r="E163" s="9" t="str">
        <f aca="false">HYPERLINK("https://twitter.com/mayankkumarfb/status/921219984390606848","921219984390606848")</f>
        <v>921219984390606848</v>
      </c>
      <c r="F163" s="10" t="s">
        <v>60</v>
      </c>
      <c r="G163" s="10" t="n">
        <v>2</v>
      </c>
      <c r="H163" s="10" t="n">
        <v>77</v>
      </c>
      <c r="I163" s="10" t="n">
        <v>0</v>
      </c>
      <c r="J163" s="10" t="n">
        <v>0</v>
      </c>
      <c r="K163" s="10" t="s">
        <v>20</v>
      </c>
      <c r="L163" s="11" t="n">
        <v>43024.030150463</v>
      </c>
      <c r="M163" s="12"/>
      <c r="N163" s="12"/>
      <c r="O163" s="9" t="str">
        <f aca="false">HYPERLINK("https://abs.twimg.com/sticky/default_profile_images/default_profile_normal.png","View")</f>
        <v>View</v>
      </c>
      <c r="P163" s="10"/>
    </row>
    <row r="164" customFormat="false" ht="15.75" hidden="false" customHeight="false" outlineLevel="0" collapsed="false">
      <c r="A164" s="6" t="n">
        <v>43027.8628472222</v>
      </c>
      <c r="B164" s="7" t="str">
        <f aca="false">HYPERLINK("https://twitter.com/malikusmanuttra","@malikusmanuttra")</f>
        <v>@malikusmanuttra</v>
      </c>
      <c r="C164" s="8" t="s">
        <v>389</v>
      </c>
      <c r="D164" s="8" t="s">
        <v>520</v>
      </c>
      <c r="E164" s="9" t="str">
        <f aca="false">HYPERLINK("https://twitter.com/malikusmanuttra/status/921220052174680064","921220052174680064")</f>
        <v>921220052174680064</v>
      </c>
      <c r="F164" s="10" t="s">
        <v>60</v>
      </c>
      <c r="G164" s="10" t="n">
        <v>146</v>
      </c>
      <c r="H164" s="10" t="n">
        <v>97</v>
      </c>
      <c r="I164" s="10" t="n">
        <v>0</v>
      </c>
      <c r="J164" s="10" t="n">
        <v>0</v>
      </c>
      <c r="K164" s="10" t="s">
        <v>20</v>
      </c>
      <c r="L164" s="11" t="n">
        <v>40945.3643634259</v>
      </c>
      <c r="M164" s="12" t="s">
        <v>391</v>
      </c>
      <c r="N164" s="12"/>
      <c r="O164" s="9" t="str">
        <f aca="false">HYPERLINK("https://pbs.twimg.com/profile_images/869684834305757185/xNXedffd_normal.jpg","View")</f>
        <v>View</v>
      </c>
      <c r="P164" s="10"/>
    </row>
    <row r="165" customFormat="false" ht="15.75" hidden="false" customHeight="false" outlineLevel="0" collapsed="false">
      <c r="A165" s="6" t="n">
        <v>43027.8629050926</v>
      </c>
      <c r="B165" s="7" t="str">
        <f aca="false">HYPERLINK("https://twitter.com/LotraineH","@LotraineH")</f>
        <v>@LotraineH</v>
      </c>
      <c r="C165" s="8" t="s">
        <v>521</v>
      </c>
      <c r="D165" s="8" t="s">
        <v>403</v>
      </c>
      <c r="E165" s="9" t="str">
        <f aca="false">HYPERLINK("https://twitter.com/LotraineH/status/921220073083191297","921220073083191297")</f>
        <v>921220073083191297</v>
      </c>
      <c r="F165" s="10" t="s">
        <v>51</v>
      </c>
      <c r="G165" s="10" t="n">
        <v>345</v>
      </c>
      <c r="H165" s="10" t="n">
        <v>39</v>
      </c>
      <c r="I165" s="10" t="n">
        <v>36</v>
      </c>
      <c r="J165" s="10" t="n">
        <v>0</v>
      </c>
      <c r="K165" s="10" t="s">
        <v>20</v>
      </c>
      <c r="L165" s="11" t="n">
        <v>42782.467337963</v>
      </c>
      <c r="M165" s="12" t="s">
        <v>522</v>
      </c>
      <c r="N165" s="12" t="s">
        <v>523</v>
      </c>
      <c r="O165" s="9" t="str">
        <f aca="false">HYPERLINK("https://abs.twimg.com/sticky/default_profile_images/default_profile_normal.png","View")</f>
        <v>View</v>
      </c>
      <c r="P165" s="10"/>
    </row>
    <row r="166" customFormat="false" ht="15.75" hidden="false" customHeight="false" outlineLevel="0" collapsed="false">
      <c r="A166" s="6" t="n">
        <v>43027.8634606482</v>
      </c>
      <c r="B166" s="7" t="str">
        <f aca="false">HYPERLINK("https://twitter.com/DigitalClusterz","@DigitalClusterz")</f>
        <v>@DigitalClusterz</v>
      </c>
      <c r="C166" s="8" t="s">
        <v>524</v>
      </c>
      <c r="D166" s="8" t="s">
        <v>525</v>
      </c>
      <c r="E166" s="9" t="str">
        <f aca="false">HYPERLINK("https://twitter.com/DigitalClusterz/status/921220273545756673","921220273545756673")</f>
        <v>921220273545756673</v>
      </c>
      <c r="F166" s="10" t="s">
        <v>60</v>
      </c>
      <c r="G166" s="10" t="n">
        <v>1481</v>
      </c>
      <c r="H166" s="10" t="n">
        <v>1562</v>
      </c>
      <c r="I166" s="10" t="n">
        <v>0</v>
      </c>
      <c r="J166" s="10" t="n">
        <v>0</v>
      </c>
      <c r="K166" s="10" t="s">
        <v>20</v>
      </c>
      <c r="L166" s="11" t="n">
        <v>42525.1891203704</v>
      </c>
      <c r="M166" s="12" t="s">
        <v>526</v>
      </c>
      <c r="N166" s="12" t="s">
        <v>527</v>
      </c>
      <c r="O166" s="9" t="str">
        <f aca="false">HYPERLINK("https://pbs.twimg.com/profile_images/870603189200072704/1dDSobjy_normal.jpg","View")</f>
        <v>View</v>
      </c>
      <c r="P166" s="10"/>
    </row>
    <row r="167" customFormat="false" ht="15.75" hidden="false" customHeight="false" outlineLevel="0" collapsed="false">
      <c r="A167" s="6" t="n">
        <v>43027.8637152778</v>
      </c>
      <c r="B167" s="7" t="str">
        <f aca="false">HYPERLINK("https://twitter.com/mcatatbeta","@mcatatbeta")</f>
        <v>@mcatatbeta</v>
      </c>
      <c r="C167" s="8" t="s">
        <v>528</v>
      </c>
      <c r="D167" s="8" t="s">
        <v>403</v>
      </c>
      <c r="E167" s="9" t="str">
        <f aca="false">HYPERLINK("https://twitter.com/mcatatbeta/status/921220365078159360","921220365078159360")</f>
        <v>921220365078159360</v>
      </c>
      <c r="F167" s="10" t="s">
        <v>529</v>
      </c>
      <c r="G167" s="10" t="n">
        <v>581</v>
      </c>
      <c r="H167" s="10" t="n">
        <v>1345</v>
      </c>
      <c r="I167" s="10" t="n">
        <v>36</v>
      </c>
      <c r="J167" s="10" t="n">
        <v>0</v>
      </c>
      <c r="K167" s="10" t="s">
        <v>20</v>
      </c>
      <c r="L167" s="11" t="n">
        <v>42784.5465625</v>
      </c>
      <c r="M167" s="12"/>
      <c r="N167" s="12"/>
      <c r="O167" s="9" t="str">
        <f aca="false">HYPERLINK("https://pbs.twimg.com/profile_images/870796421196390400/YBseXBVx_normal.jpg","View")</f>
        <v>View</v>
      </c>
      <c r="P167" s="10"/>
    </row>
    <row r="168" customFormat="false" ht="15.75" hidden="false" customHeight="false" outlineLevel="0" collapsed="false">
      <c r="A168" s="6" t="n">
        <v>43027.8661458333</v>
      </c>
      <c r="B168" s="7" t="str">
        <f aca="false">HYPERLINK("https://twitter.com/CefasLira_","@CefasLira_")</f>
        <v>@CefasLira_</v>
      </c>
      <c r="C168" s="8" t="s">
        <v>530</v>
      </c>
      <c r="D168" s="8" t="s">
        <v>531</v>
      </c>
      <c r="E168" s="9" t="str">
        <f aca="false">HYPERLINK("https://twitter.com/CefasLira_/status/921221246695510017","921221246695510017")</f>
        <v>921221246695510017</v>
      </c>
      <c r="F168" s="10" t="s">
        <v>60</v>
      </c>
      <c r="G168" s="10" t="n">
        <v>724</v>
      </c>
      <c r="H168" s="10" t="n">
        <v>295</v>
      </c>
      <c r="I168" s="10" t="n">
        <v>0</v>
      </c>
      <c r="J168" s="10" t="n">
        <v>0</v>
      </c>
      <c r="K168" s="10" t="s">
        <v>20</v>
      </c>
      <c r="L168" s="11" t="n">
        <v>41311.2046643519</v>
      </c>
      <c r="M168" s="12" t="s">
        <v>532</v>
      </c>
      <c r="N168" s="12" t="s">
        <v>533</v>
      </c>
      <c r="O168" s="9" t="str">
        <f aca="false">HYPERLINK("https://pbs.twimg.com/profile_images/820636573364584448/DOUtWLzt_normal.jpg","View")</f>
        <v>View</v>
      </c>
      <c r="P168" s="10"/>
    </row>
    <row r="169" customFormat="false" ht="15.75" hidden="false" customHeight="false" outlineLevel="0" collapsed="false">
      <c r="A169" s="6" t="n">
        <v>43027.867025463</v>
      </c>
      <c r="B169" s="7" t="str">
        <f aca="false">HYPERLINK("https://twitter.com/FFTroutPoet","@FFTroutPoet")</f>
        <v>@FFTroutPoet</v>
      </c>
      <c r="C169" s="8" t="s">
        <v>534</v>
      </c>
      <c r="D169" s="8" t="s">
        <v>403</v>
      </c>
      <c r="E169" s="9" t="str">
        <f aca="false">HYPERLINK("https://twitter.com/FFTroutPoet/status/921221564762173441","921221564762173441")</f>
        <v>921221564762173441</v>
      </c>
      <c r="F169" s="10" t="s">
        <v>39</v>
      </c>
      <c r="G169" s="10" t="n">
        <v>248</v>
      </c>
      <c r="H169" s="10" t="n">
        <v>1170</v>
      </c>
      <c r="I169" s="10" t="n">
        <v>36</v>
      </c>
      <c r="J169" s="10" t="n">
        <v>0</v>
      </c>
      <c r="K169" s="10" t="s">
        <v>20</v>
      </c>
      <c r="L169" s="11" t="n">
        <v>40947.6587962963</v>
      </c>
      <c r="M169" s="12" t="s">
        <v>535</v>
      </c>
      <c r="N169" s="12" t="s">
        <v>536</v>
      </c>
      <c r="O169" s="9" t="str">
        <f aca="false">HYPERLINK("https://pbs.twimg.com/profile_images/521833274570600449/hqhPT2_b_normal.png","View")</f>
        <v>View</v>
      </c>
      <c r="P169" s="10"/>
    </row>
    <row r="170" customFormat="false" ht="15.75" hidden="false" customHeight="false" outlineLevel="0" collapsed="false">
      <c r="A170" s="6" t="n">
        <v>43027.8682407407</v>
      </c>
      <c r="B170" s="7" t="str">
        <f aca="false">HYPERLINK("https://twitter.com/ifeanyi09152385","@ifeanyi09152385")</f>
        <v>@ifeanyi09152385</v>
      </c>
      <c r="C170" s="8" t="s">
        <v>537</v>
      </c>
      <c r="D170" s="8" t="s">
        <v>538</v>
      </c>
      <c r="E170" s="9" t="str">
        <f aca="false">HYPERLINK("https://twitter.com/ifeanyi09152385/status/921222006191751168","921222006191751168")</f>
        <v>921222006191751168</v>
      </c>
      <c r="F170" s="10" t="s">
        <v>60</v>
      </c>
      <c r="G170" s="10" t="n">
        <v>944</v>
      </c>
      <c r="H170" s="10" t="n">
        <v>4984</v>
      </c>
      <c r="I170" s="10" t="n">
        <v>0</v>
      </c>
      <c r="J170" s="10" t="n">
        <v>0</v>
      </c>
      <c r="K170" s="10" t="s">
        <v>20</v>
      </c>
      <c r="L170" s="11" t="n">
        <v>42445.0010648148</v>
      </c>
      <c r="M170" s="12" t="s">
        <v>539</v>
      </c>
      <c r="N170" s="12" t="s">
        <v>540</v>
      </c>
      <c r="O170" s="9" t="str">
        <f aca="false">HYPERLINK("https://pbs.twimg.com/profile_images/896815002258223107/_vXe6Hgq_normal.jpg","View")</f>
        <v>View</v>
      </c>
      <c r="P170" s="10"/>
    </row>
    <row r="171" customFormat="false" ht="15.75" hidden="false" customHeight="false" outlineLevel="0" collapsed="false">
      <c r="A171" s="6" t="n">
        <v>43027.8695023148</v>
      </c>
      <c r="B171" s="7" t="str">
        <f aca="false">HYPERLINK("https://twitter.com/gmoll183","@gmoll183")</f>
        <v>@gmoll183</v>
      </c>
      <c r="C171" s="8" t="s">
        <v>541</v>
      </c>
      <c r="D171" s="8" t="s">
        <v>403</v>
      </c>
      <c r="E171" s="9" t="str">
        <f aca="false">HYPERLINK("https://twitter.com/gmoll183/status/921222464415285249","921222464415285249")</f>
        <v>921222464415285249</v>
      </c>
      <c r="F171" s="10" t="s">
        <v>51</v>
      </c>
      <c r="G171" s="10" t="n">
        <v>485</v>
      </c>
      <c r="H171" s="10" t="n">
        <v>392</v>
      </c>
      <c r="I171" s="10" t="n">
        <v>36</v>
      </c>
      <c r="J171" s="10" t="n">
        <v>0</v>
      </c>
      <c r="K171" s="10" t="s">
        <v>20</v>
      </c>
      <c r="L171" s="11" t="n">
        <v>40205.2462384259</v>
      </c>
      <c r="M171" s="13" t="s">
        <v>542</v>
      </c>
      <c r="N171" s="12" t="s">
        <v>543</v>
      </c>
      <c r="O171" s="9" t="str">
        <f aca="false">HYPERLINK("https://pbs.twimg.com/profile_images/922010335447465984/oToxoqtr_normal.jpg","View")</f>
        <v>View</v>
      </c>
      <c r="P171" s="10"/>
    </row>
    <row r="172" customFormat="false" ht="15.75" hidden="false" customHeight="false" outlineLevel="0" collapsed="false">
      <c r="A172" s="6" t="n">
        <v>43027.8720486111</v>
      </c>
      <c r="B172" s="7" t="str">
        <f aca="false">HYPERLINK("https://twitter.com/gingin21","@gingin21")</f>
        <v>@gingin21</v>
      </c>
      <c r="C172" s="8" t="s">
        <v>544</v>
      </c>
      <c r="D172" s="8" t="s">
        <v>403</v>
      </c>
      <c r="E172" s="9" t="str">
        <f aca="false">HYPERLINK("https://twitter.com/gingin21/status/921223385320800256","921223385320800256")</f>
        <v>921223385320800256</v>
      </c>
      <c r="F172" s="10" t="s">
        <v>177</v>
      </c>
      <c r="G172" s="10" t="n">
        <v>132</v>
      </c>
      <c r="H172" s="10" t="n">
        <v>231</v>
      </c>
      <c r="I172" s="10" t="n">
        <v>36</v>
      </c>
      <c r="J172" s="10" t="n">
        <v>0</v>
      </c>
      <c r="K172" s="10" t="s">
        <v>20</v>
      </c>
      <c r="L172" s="11" t="n">
        <v>39954.2421412037</v>
      </c>
      <c r="M172" s="12" t="s">
        <v>545</v>
      </c>
      <c r="N172" s="12"/>
      <c r="O172" s="9" t="str">
        <f aca="false">HYPERLINK("https://pbs.twimg.com/profile_images/437291413382782976/ABfEwWD1_normal.jpeg","View")</f>
        <v>View</v>
      </c>
      <c r="P172" s="10"/>
    </row>
    <row r="173" customFormat="false" ht="15.75" hidden="false" customHeight="false" outlineLevel="0" collapsed="false">
      <c r="A173" s="6" t="n">
        <v>43027.8758217593</v>
      </c>
      <c r="B173" s="7" t="str">
        <f aca="false">HYPERLINK("https://twitter.com/markets","@markets")</f>
        <v>@markets</v>
      </c>
      <c r="C173" s="8" t="s">
        <v>546</v>
      </c>
      <c r="D173" s="8" t="s">
        <v>547</v>
      </c>
      <c r="E173" s="9" t="str">
        <f aca="false">HYPERLINK("https://twitter.com/markets/status/921224752420741120","921224752420741120")</f>
        <v>921224752420741120</v>
      </c>
      <c r="F173" s="10" t="s">
        <v>268</v>
      </c>
      <c r="G173" s="10" t="n">
        <v>362516</v>
      </c>
      <c r="H173" s="10" t="n">
        <v>281</v>
      </c>
      <c r="I173" s="10" t="n">
        <v>14</v>
      </c>
      <c r="J173" s="10" t="n">
        <v>6</v>
      </c>
      <c r="K173" s="10" t="s">
        <v>20</v>
      </c>
      <c r="L173" s="11" t="n">
        <v>40053.3699305556</v>
      </c>
      <c r="M173" s="12" t="s">
        <v>319</v>
      </c>
      <c r="N173" s="12" t="s">
        <v>548</v>
      </c>
      <c r="O173" s="9" t="str">
        <f aca="false">HYPERLINK("https://pbs.twimg.com/profile_images/714805129472512001/hO92rmSH_normal.jpg","View")</f>
        <v>View</v>
      </c>
      <c r="P173" s="10"/>
    </row>
    <row r="174" customFormat="false" ht="15.75" hidden="false" customHeight="false" outlineLevel="0" collapsed="false">
      <c r="A174" s="6" t="n">
        <v>43027.8763310185</v>
      </c>
      <c r="B174" s="7" t="str">
        <f aca="false">HYPERLINK("https://twitter.com/CibelesCapital","@CibelesCapital")</f>
        <v>@CibelesCapital</v>
      </c>
      <c r="C174" s="8" t="s">
        <v>549</v>
      </c>
      <c r="D174" s="8" t="s">
        <v>550</v>
      </c>
      <c r="E174" s="9" t="str">
        <f aca="false">HYPERLINK("https://twitter.com/CibelesCapital/status/921224936781312000","921224936781312000")</f>
        <v>921224936781312000</v>
      </c>
      <c r="F174" s="10" t="s">
        <v>60</v>
      </c>
      <c r="G174" s="10" t="n">
        <v>46</v>
      </c>
      <c r="H174" s="10" t="n">
        <v>100</v>
      </c>
      <c r="I174" s="10" t="n">
        <v>0</v>
      </c>
      <c r="J174" s="10" t="n">
        <v>0</v>
      </c>
      <c r="K174" s="10" t="s">
        <v>20</v>
      </c>
      <c r="L174" s="11" t="n">
        <v>42907.4726157407</v>
      </c>
      <c r="M174" s="12" t="s">
        <v>551</v>
      </c>
      <c r="N174" s="12" t="s">
        <v>552</v>
      </c>
      <c r="O174" s="9" t="str">
        <f aca="false">HYPERLINK("https://pbs.twimg.com/profile_images/877593223430098948/xclx5ZR9_normal.jpg","View")</f>
        <v>View</v>
      </c>
      <c r="P174" s="10"/>
    </row>
    <row r="175" customFormat="false" ht="15.75" hidden="false" customHeight="false" outlineLevel="0" collapsed="false">
      <c r="A175" s="6" t="n">
        <v>43027.8769791667</v>
      </c>
      <c r="B175" s="7" t="str">
        <f aca="false">HYPERLINK("https://twitter.com/FrederikEngholm","@FrederikEngholm")</f>
        <v>@FrederikEngholm</v>
      </c>
      <c r="C175" s="8" t="s">
        <v>553</v>
      </c>
      <c r="D175" s="8" t="s">
        <v>554</v>
      </c>
      <c r="E175" s="9" t="str">
        <f aca="false">HYPERLINK("https://twitter.com/FrederikEngholm/status/921225173646188544","921225173646188544")</f>
        <v>921225173646188544</v>
      </c>
      <c r="F175" s="10" t="s">
        <v>51</v>
      </c>
      <c r="G175" s="10" t="n">
        <v>165</v>
      </c>
      <c r="H175" s="10" t="n">
        <v>219</v>
      </c>
      <c r="I175" s="10" t="n">
        <v>14</v>
      </c>
      <c r="J175" s="10" t="n">
        <v>0</v>
      </c>
      <c r="K175" s="10" t="s">
        <v>20</v>
      </c>
      <c r="L175" s="11" t="n">
        <v>41981.4524537037</v>
      </c>
      <c r="M175" s="12"/>
      <c r="N175" s="12" t="s">
        <v>555</v>
      </c>
      <c r="O175" s="9" t="str">
        <f aca="false">HYPERLINK("https://pbs.twimg.com/profile_images/816737463137947657/hHappYSR_normal.jpg","View")</f>
        <v>View</v>
      </c>
      <c r="P175" s="10"/>
    </row>
    <row r="176" customFormat="false" ht="15.75" hidden="false" customHeight="false" outlineLevel="0" collapsed="false">
      <c r="A176" s="6" t="n">
        <v>43027.8772222222</v>
      </c>
      <c r="B176" s="7" t="str">
        <f aca="false">HYPERLINK("https://twitter.com/FXRealityCheck","@FXRealityCheck")</f>
        <v>@FXRealityCheck</v>
      </c>
      <c r="C176" s="8" t="s">
        <v>556</v>
      </c>
      <c r="D176" s="8" t="s">
        <v>554</v>
      </c>
      <c r="E176" s="9" t="str">
        <f aca="false">HYPERLINK("https://twitter.com/FXRealityCheck/status/921225262221557760","921225262221557760")</f>
        <v>921225262221557760</v>
      </c>
      <c r="F176" s="10" t="s">
        <v>39</v>
      </c>
      <c r="G176" s="10" t="n">
        <v>75</v>
      </c>
      <c r="H176" s="10" t="n">
        <v>134</v>
      </c>
      <c r="I176" s="10" t="n">
        <v>14</v>
      </c>
      <c r="J176" s="10" t="n">
        <v>0</v>
      </c>
      <c r="K176" s="10" t="s">
        <v>20</v>
      </c>
      <c r="L176" s="11" t="n">
        <v>42984.7771759259</v>
      </c>
      <c r="M176" s="12" t="s">
        <v>557</v>
      </c>
      <c r="N176" s="12" t="s">
        <v>558</v>
      </c>
      <c r="O176" s="9" t="str">
        <f aca="false">HYPERLINK("https://pbs.twimg.com/profile_images/906079507337146368/3PRUv-tk_normal.jpg","View")</f>
        <v>View</v>
      </c>
      <c r="P176" s="10"/>
    </row>
    <row r="177" customFormat="false" ht="15.75" hidden="false" customHeight="false" outlineLevel="0" collapsed="false">
      <c r="A177" s="6" t="n">
        <v>43027.8780787037</v>
      </c>
      <c r="B177" s="7" t="str">
        <f aca="false">HYPERLINK("https://twitter.com/WUMoneyClub","@WUMoneyClub")</f>
        <v>@WUMoneyClub</v>
      </c>
      <c r="C177" s="8" t="s">
        <v>559</v>
      </c>
      <c r="D177" s="8" t="s">
        <v>560</v>
      </c>
      <c r="E177" s="9" t="str">
        <f aca="false">HYPERLINK("https://twitter.com/WUMoneyClub/status/921225570838388736","921225570838388736")</f>
        <v>921225570838388736</v>
      </c>
      <c r="F177" s="10" t="s">
        <v>60</v>
      </c>
      <c r="G177" s="10" t="n">
        <v>233</v>
      </c>
      <c r="H177" s="10" t="n">
        <v>146</v>
      </c>
      <c r="I177" s="10" t="n">
        <v>0</v>
      </c>
      <c r="J177" s="10" t="n">
        <v>0</v>
      </c>
      <c r="K177" s="10" t="s">
        <v>20</v>
      </c>
      <c r="L177" s="11" t="n">
        <v>42816.4741666667</v>
      </c>
      <c r="M177" s="12" t="s">
        <v>561</v>
      </c>
      <c r="N177" s="12" t="s">
        <v>562</v>
      </c>
      <c r="O177" s="9" t="str">
        <f aca="false">HYPERLINK("https://pbs.twimg.com/profile_images/844673346134519812/_6GMOztt_normal.jpg","View")</f>
        <v>View</v>
      </c>
      <c r="P177" s="10"/>
    </row>
    <row r="178" customFormat="false" ht="15.75" hidden="false" customHeight="false" outlineLevel="0" collapsed="false">
      <c r="A178" s="6" t="n">
        <v>43027.8784027778</v>
      </c>
      <c r="B178" s="7" t="str">
        <f aca="false">HYPERLINK("https://twitter.com/shellz360","@shellz360")</f>
        <v>@shellz360</v>
      </c>
      <c r="C178" s="8" t="n">
        <v>316</v>
      </c>
      <c r="D178" s="8" t="s">
        <v>403</v>
      </c>
      <c r="E178" s="9" t="str">
        <f aca="false">HYPERLINK("https://twitter.com/shellz360/status/921225690208387072","921225690208387072")</f>
        <v>921225690208387072</v>
      </c>
      <c r="F178" s="10" t="s">
        <v>563</v>
      </c>
      <c r="G178" s="10" t="n">
        <v>15292</v>
      </c>
      <c r="H178" s="10" t="n">
        <v>12234</v>
      </c>
      <c r="I178" s="10" t="n">
        <v>36</v>
      </c>
      <c r="J178" s="10" t="n">
        <v>0</v>
      </c>
      <c r="K178" s="10" t="s">
        <v>20</v>
      </c>
      <c r="L178" s="11" t="n">
        <v>39903.7818171296</v>
      </c>
      <c r="M178" s="12" t="s">
        <v>564</v>
      </c>
      <c r="N178" s="12" t="s">
        <v>565</v>
      </c>
      <c r="O178" s="9" t="str">
        <f aca="false">HYPERLINK("https://pbs.twimg.com/profile_images/907424414932672517/PN8CTC_f_normal.jpg","View")</f>
        <v>View</v>
      </c>
      <c r="P178" s="10"/>
    </row>
    <row r="179" customFormat="false" ht="15.75" hidden="false" customHeight="false" outlineLevel="0" collapsed="false">
      <c r="A179" s="6" t="n">
        <v>43027.8789583333</v>
      </c>
      <c r="B179" s="7" t="str">
        <f aca="false">HYPERLINK("https://twitter.com/pierre_barral","@pierre_barral")</f>
        <v>@pierre_barral</v>
      </c>
      <c r="C179" s="8" t="s">
        <v>566</v>
      </c>
      <c r="D179" s="8" t="s">
        <v>554</v>
      </c>
      <c r="E179" s="9" t="str">
        <f aca="false">HYPERLINK("https://twitter.com/pierre_barral/status/921225889001611265","921225889001611265")</f>
        <v>921225889001611265</v>
      </c>
      <c r="F179" s="10" t="s">
        <v>177</v>
      </c>
      <c r="G179" s="10" t="n">
        <v>246</v>
      </c>
      <c r="H179" s="10" t="n">
        <v>708</v>
      </c>
      <c r="I179" s="10" t="n">
        <v>14</v>
      </c>
      <c r="J179" s="10" t="n">
        <v>0</v>
      </c>
      <c r="K179" s="10" t="s">
        <v>20</v>
      </c>
      <c r="L179" s="11" t="n">
        <v>40989.1647685185</v>
      </c>
      <c r="M179" s="12" t="s">
        <v>567</v>
      </c>
      <c r="N179" s="12" t="s">
        <v>568</v>
      </c>
      <c r="O179" s="9" t="str">
        <f aca="false">HYPERLINK("https://pbs.twimg.com/profile_images/860766545093562369/wJ0ZDpwi_normal.jpg","View")</f>
        <v>View</v>
      </c>
      <c r="P179" s="10"/>
    </row>
    <row r="180" customFormat="false" ht="15.75" hidden="false" customHeight="false" outlineLevel="0" collapsed="false">
      <c r="A180" s="6" t="n">
        <v>43027.8792708333</v>
      </c>
      <c r="B180" s="7" t="str">
        <f aca="false">HYPERLINK("https://twitter.com/PipCoinCash","@PipCoinCash")</f>
        <v>@PipCoinCash</v>
      </c>
      <c r="C180" s="7" t="s">
        <v>504</v>
      </c>
      <c r="D180" s="8" t="s">
        <v>569</v>
      </c>
      <c r="E180" s="9" t="str">
        <f aca="false">HYPERLINK("https://twitter.com/PipCoinCash/status/921226003216613381","921226003216613381")</f>
        <v>921226003216613381</v>
      </c>
      <c r="F180" s="10" t="s">
        <v>60</v>
      </c>
      <c r="G180" s="10" t="n">
        <v>895</v>
      </c>
      <c r="H180" s="10" t="n">
        <v>937</v>
      </c>
      <c r="I180" s="10" t="n">
        <v>0</v>
      </c>
      <c r="J180" s="10" t="n">
        <v>0</v>
      </c>
      <c r="K180" s="10" t="s">
        <v>20</v>
      </c>
      <c r="L180" s="11" t="n">
        <v>40021.0027777778</v>
      </c>
      <c r="M180" s="12" t="s">
        <v>506</v>
      </c>
      <c r="N180" s="12" t="s">
        <v>507</v>
      </c>
      <c r="O180" s="9" t="str">
        <f aca="false">HYPERLINK("https://pbs.twimg.com/profile_images/861226882938884096/ti0-sHlw_normal.jpg","View")</f>
        <v>View</v>
      </c>
      <c r="P180" s="10"/>
    </row>
    <row r="181" customFormat="false" ht="15.75" hidden="false" customHeight="false" outlineLevel="0" collapsed="false">
      <c r="A181" s="6" t="n">
        <v>43027.880787037</v>
      </c>
      <c r="B181" s="7" t="str">
        <f aca="false">HYPERLINK("https://twitter.com/onlinetraderbiz","@onlinetraderbiz")</f>
        <v>@onlinetraderbiz</v>
      </c>
      <c r="C181" s="8" t="s">
        <v>570</v>
      </c>
      <c r="D181" s="8" t="s">
        <v>571</v>
      </c>
      <c r="E181" s="9" t="str">
        <f aca="false">HYPERLINK("https://twitter.com/onlinetraderbiz/status/921226553421283329","921226553421283329")</f>
        <v>921226553421283329</v>
      </c>
      <c r="F181" s="10" t="s">
        <v>60</v>
      </c>
      <c r="G181" s="10" t="n">
        <v>3802</v>
      </c>
      <c r="H181" s="10" t="n">
        <v>4086</v>
      </c>
      <c r="I181" s="10" t="n">
        <v>0</v>
      </c>
      <c r="J181" s="10" t="n">
        <v>0</v>
      </c>
      <c r="K181" s="10" t="s">
        <v>20</v>
      </c>
      <c r="L181" s="11" t="n">
        <v>42675.3969212963</v>
      </c>
      <c r="M181" s="12"/>
      <c r="N181" s="12" t="s">
        <v>572</v>
      </c>
      <c r="O181" s="9" t="str">
        <f aca="false">HYPERLINK("https://pbs.twimg.com/profile_images/886916551969984512/MQRHXfl1_normal.jpg","View")</f>
        <v>View</v>
      </c>
      <c r="P181" s="10"/>
    </row>
    <row r="182" customFormat="false" ht="15.75" hidden="false" customHeight="false" outlineLevel="0" collapsed="false">
      <c r="A182" s="6" t="n">
        <v>43027.8825578704</v>
      </c>
      <c r="B182" s="7" t="str">
        <f aca="false">HYPERLINK("https://twitter.com/ngtmsnr225","@ngtmsnr225")</f>
        <v>@ngtmsnr225</v>
      </c>
      <c r="C182" s="8" t="s">
        <v>573</v>
      </c>
      <c r="D182" s="8" t="s">
        <v>554</v>
      </c>
      <c r="E182" s="9" t="str">
        <f aca="false">HYPERLINK("https://twitter.com/ngtmsnr225/status/921227194466050048","921227194466050048")</f>
        <v>921227194466050048</v>
      </c>
      <c r="F182" s="10" t="s">
        <v>39</v>
      </c>
      <c r="G182" s="10" t="n">
        <v>461</v>
      </c>
      <c r="H182" s="10" t="n">
        <v>508</v>
      </c>
      <c r="I182" s="10" t="n">
        <v>14</v>
      </c>
      <c r="J182" s="10" t="n">
        <v>0</v>
      </c>
      <c r="K182" s="10" t="s">
        <v>20</v>
      </c>
      <c r="L182" s="11" t="n">
        <v>42014.1081365741</v>
      </c>
      <c r="M182" s="12" t="s">
        <v>574</v>
      </c>
      <c r="N182" s="12" t="s">
        <v>575</v>
      </c>
      <c r="O182" s="9" t="str">
        <f aca="false">HYPERLINK("https://pbs.twimg.com/profile_images/615435828718755841/z6cpUuQ5_normal.png","View")</f>
        <v>View</v>
      </c>
      <c r="P182" s="10"/>
    </row>
    <row r="183" customFormat="false" ht="15.75" hidden="false" customHeight="false" outlineLevel="0" collapsed="false">
      <c r="A183" s="6" t="n">
        <v>43027.8829282407</v>
      </c>
      <c r="B183" s="7" t="str">
        <f aca="false">HYPERLINK("https://twitter.com/RafaelCarsv","@RafaelCarsv")</f>
        <v>@RafaelCarsv</v>
      </c>
      <c r="C183" s="8" t="s">
        <v>576</v>
      </c>
      <c r="D183" s="8" t="s">
        <v>577</v>
      </c>
      <c r="E183" s="9" t="str">
        <f aca="false">HYPERLINK("https://twitter.com/RafaelCarsv/status/921227327517876224","921227327517876224")</f>
        <v>921227327517876224</v>
      </c>
      <c r="F183" s="10" t="s">
        <v>331</v>
      </c>
      <c r="G183" s="10" t="n">
        <v>890</v>
      </c>
      <c r="H183" s="10" t="n">
        <v>59</v>
      </c>
      <c r="I183" s="10" t="n">
        <v>0</v>
      </c>
      <c r="J183" s="10" t="n">
        <v>0</v>
      </c>
      <c r="K183" s="10" t="s">
        <v>20</v>
      </c>
      <c r="L183" s="11" t="n">
        <v>42830.3730208333</v>
      </c>
      <c r="M183" s="12" t="s">
        <v>578</v>
      </c>
      <c r="N183" s="12" t="s">
        <v>579</v>
      </c>
      <c r="O183" s="9" t="str">
        <f aca="false">HYPERLINK("https://pbs.twimg.com/profile_images/849655045192798209/xHCQZ_fk_normal.jpg","View")</f>
        <v>View</v>
      </c>
      <c r="P183" s="10"/>
    </row>
    <row r="184" customFormat="false" ht="15.75" hidden="false" customHeight="false" outlineLevel="0" collapsed="false">
      <c r="A184" s="6" t="n">
        <v>43027.8848726852</v>
      </c>
      <c r="B184" s="7" t="str">
        <f aca="false">HYPERLINK("https://twitter.com/slkpca","@slkpca")</f>
        <v>@slkpca</v>
      </c>
      <c r="C184" s="8" t="s">
        <v>580</v>
      </c>
      <c r="D184" s="8" t="s">
        <v>403</v>
      </c>
      <c r="E184" s="9" t="str">
        <f aca="false">HYPERLINK("https://twitter.com/slkpca/status/921228033473757185","921228033473757185")</f>
        <v>921228033473757185</v>
      </c>
      <c r="F184" s="10" t="s">
        <v>51</v>
      </c>
      <c r="G184" s="10" t="n">
        <v>301</v>
      </c>
      <c r="H184" s="10" t="n">
        <v>331</v>
      </c>
      <c r="I184" s="10" t="n">
        <v>36</v>
      </c>
      <c r="J184" s="10" t="n">
        <v>0</v>
      </c>
      <c r="K184" s="10" t="s">
        <v>20</v>
      </c>
      <c r="L184" s="11" t="n">
        <v>41605.7564467593</v>
      </c>
      <c r="M184" s="12"/>
      <c r="N184" s="12" t="s">
        <v>581</v>
      </c>
      <c r="O184" s="9" t="str">
        <f aca="false">HYPERLINK("https://abs.twimg.com/sticky/default_profile_images/default_profile_normal.png","View")</f>
        <v>View</v>
      </c>
      <c r="P184" s="10"/>
    </row>
    <row r="185" customFormat="false" ht="15.75" hidden="false" customHeight="false" outlineLevel="0" collapsed="false">
      <c r="A185" s="6" t="n">
        <v>43027.8854976852</v>
      </c>
      <c r="B185" s="7" t="str">
        <f aca="false">HYPERLINK("https://twitter.com/timmyotoole23","@timmyotoole23")</f>
        <v>@timmyotoole23</v>
      </c>
      <c r="C185" s="8" t="s">
        <v>582</v>
      </c>
      <c r="D185" s="8" t="s">
        <v>554</v>
      </c>
      <c r="E185" s="9" t="str">
        <f aca="false">HYPERLINK("https://twitter.com/timmyotoole23/status/921228261715206144","921228261715206144")</f>
        <v>921228261715206144</v>
      </c>
      <c r="F185" s="10" t="s">
        <v>177</v>
      </c>
      <c r="G185" s="10" t="n">
        <v>281</v>
      </c>
      <c r="H185" s="10" t="n">
        <v>673</v>
      </c>
      <c r="I185" s="10" t="n">
        <v>14</v>
      </c>
      <c r="J185" s="10" t="n">
        <v>0</v>
      </c>
      <c r="K185" s="10" t="s">
        <v>20</v>
      </c>
      <c r="L185" s="11" t="n">
        <v>42506.5302546296</v>
      </c>
      <c r="M185" s="12"/>
      <c r="N185" s="12"/>
      <c r="O185" s="9" t="str">
        <f aca="false">HYPERLINK("https://pbs.twimg.com/profile_images/755347573188227072/BXHEnTK4_normal.jpg","View")</f>
        <v>View</v>
      </c>
      <c r="P185" s="10"/>
    </row>
    <row r="186" customFormat="false" ht="15.75" hidden="false" customHeight="false" outlineLevel="0" collapsed="false">
      <c r="A186" s="6" t="n">
        <v>43027.8875578704</v>
      </c>
      <c r="B186" s="7" t="str">
        <f aca="false">HYPERLINK("https://twitter.com/joleonbusby","@joleonbusby")</f>
        <v>@joleonbusby</v>
      </c>
      <c r="C186" s="8" t="s">
        <v>583</v>
      </c>
      <c r="D186" s="8" t="s">
        <v>403</v>
      </c>
      <c r="E186" s="9" t="str">
        <f aca="false">HYPERLINK("https://twitter.com/joleonbusby/status/921229005226885123","921229005226885123")</f>
        <v>921229005226885123</v>
      </c>
      <c r="F186" s="10" t="s">
        <v>51</v>
      </c>
      <c r="G186" s="10" t="n">
        <v>2904</v>
      </c>
      <c r="H186" s="10" t="n">
        <v>227</v>
      </c>
      <c r="I186" s="10" t="n">
        <v>36</v>
      </c>
      <c r="J186" s="10" t="n">
        <v>0</v>
      </c>
      <c r="K186" s="10" t="s">
        <v>20</v>
      </c>
      <c r="L186" s="11" t="n">
        <v>41070.6292361111</v>
      </c>
      <c r="M186" s="12" t="s">
        <v>584</v>
      </c>
      <c r="N186" s="12" t="s">
        <v>585</v>
      </c>
      <c r="O186" s="9" t="str">
        <f aca="false">HYPERLINK("https://pbs.twimg.com/profile_images/584022579960274945/uY7VIA1E_normal.jpg","View")</f>
        <v>View</v>
      </c>
      <c r="P186" s="10"/>
    </row>
    <row r="187" customFormat="false" ht="15.75" hidden="false" customHeight="false" outlineLevel="0" collapsed="false">
      <c r="A187" s="6" t="n">
        <v>43027.8876273148</v>
      </c>
      <c r="B187" s="7" t="str">
        <f aca="false">HYPERLINK("https://twitter.com/nytimestech","@nytimestech")</f>
        <v>@nytimestech</v>
      </c>
      <c r="C187" s="8" t="s">
        <v>586</v>
      </c>
      <c r="D187" s="8" t="s">
        <v>587</v>
      </c>
      <c r="E187" s="9" t="str">
        <f aca="false">HYPERLINK("https://twitter.com/nytimestech/status/921229033295114241","921229033295114241")</f>
        <v>921229033295114241</v>
      </c>
      <c r="F187" s="10" t="s">
        <v>268</v>
      </c>
      <c r="G187" s="10" t="n">
        <v>292773</v>
      </c>
      <c r="H187" s="10" t="n">
        <v>160</v>
      </c>
      <c r="I187" s="10" t="n">
        <v>0</v>
      </c>
      <c r="J187" s="10" t="n">
        <v>1</v>
      </c>
      <c r="K187" s="10" t="s">
        <v>20</v>
      </c>
      <c r="L187" s="11" t="n">
        <v>39556.3468287037</v>
      </c>
      <c r="M187" s="12" t="s">
        <v>588</v>
      </c>
      <c r="N187" s="12" t="s">
        <v>589</v>
      </c>
      <c r="O187" s="9" t="str">
        <f aca="false">HYPERLINK("https://pbs.twimg.com/profile_images/831556631955664896/P7gr0t14_normal.jpg","View")</f>
        <v>View</v>
      </c>
      <c r="P187" s="10"/>
    </row>
    <row r="188" customFormat="false" ht="15.75" hidden="false" customHeight="false" outlineLevel="0" collapsed="false">
      <c r="A188" s="6" t="n">
        <v>43027.887962963</v>
      </c>
      <c r="B188" s="7" t="str">
        <f aca="false">HYPERLINK("https://twitter.com/sakip111","@sakip111")</f>
        <v>@sakip111</v>
      </c>
      <c r="C188" s="8" t="s">
        <v>590</v>
      </c>
      <c r="D188" s="8" t="s">
        <v>360</v>
      </c>
      <c r="E188" s="9" t="str">
        <f aca="false">HYPERLINK("https://twitter.com/sakip111/status/921229152451141633","921229152451141633")</f>
        <v>921229152451141633</v>
      </c>
      <c r="F188" s="10" t="s">
        <v>25</v>
      </c>
      <c r="G188" s="10" t="n">
        <v>27</v>
      </c>
      <c r="H188" s="10" t="n">
        <v>118</v>
      </c>
      <c r="I188" s="10" t="n">
        <v>14</v>
      </c>
      <c r="J188" s="10" t="n">
        <v>0</v>
      </c>
      <c r="K188" s="10" t="s">
        <v>20</v>
      </c>
      <c r="L188" s="11" t="n">
        <v>42527.1053009259</v>
      </c>
      <c r="M188" s="12"/>
      <c r="N188" s="13" t="s">
        <v>591</v>
      </c>
      <c r="O188" s="9" t="str">
        <f aca="false">HYPERLINK("https://pbs.twimg.com/profile_images/740022404257218560/bk2E6AmV_normal.jpg","View")</f>
        <v>View</v>
      </c>
      <c r="P188" s="10"/>
    </row>
    <row r="189" customFormat="false" ht="15.75" hidden="false" customHeight="false" outlineLevel="0" collapsed="false">
      <c r="A189" s="6" t="n">
        <v>43027.8890625</v>
      </c>
      <c r="B189" s="7" t="str">
        <f aca="false">HYPERLINK("https://twitter.com/MSDTechNews","@MSDTechNews")</f>
        <v>@MSDTechNews</v>
      </c>
      <c r="C189" s="8" t="s">
        <v>592</v>
      </c>
      <c r="D189" s="8" t="s">
        <v>593</v>
      </c>
      <c r="E189" s="9" t="str">
        <f aca="false">HYPERLINK("https://twitter.com/MSDTechNews/status/921229552801562624","921229552801562624")</f>
        <v>921229552801562624</v>
      </c>
      <c r="F189" s="10" t="s">
        <v>60</v>
      </c>
      <c r="G189" s="10" t="n">
        <v>1143</v>
      </c>
      <c r="H189" s="10" t="n">
        <v>250</v>
      </c>
      <c r="I189" s="10" t="n">
        <v>0</v>
      </c>
      <c r="J189" s="10" t="n">
        <v>0</v>
      </c>
      <c r="K189" s="10" t="s">
        <v>20</v>
      </c>
      <c r="L189" s="11" t="n">
        <v>41519.4076388889</v>
      </c>
      <c r="M189" s="12" t="s">
        <v>594</v>
      </c>
      <c r="N189" s="12" t="s">
        <v>595</v>
      </c>
      <c r="O189" s="9" t="str">
        <f aca="false">HYPERLINK("https://pbs.twimg.com/profile_images/378800000401233303/b9ece8070d56e49d2db3a4f2849afe60_normal.jpeg","View")</f>
        <v>View</v>
      </c>
      <c r="P189" s="10"/>
    </row>
    <row r="190" customFormat="false" ht="15.75" hidden="false" customHeight="false" outlineLevel="0" collapsed="false">
      <c r="A190" s="6" t="n">
        <v>43027.8899189815</v>
      </c>
      <c r="B190" s="7" t="str">
        <f aca="false">HYPERLINK("https://twitter.com/tabish_sayed_","@tabish_sayed_")</f>
        <v>@tabish_sayed_</v>
      </c>
      <c r="C190" s="8" t="s">
        <v>596</v>
      </c>
      <c r="D190" s="8" t="s">
        <v>597</v>
      </c>
      <c r="E190" s="9" t="str">
        <f aca="false">HYPERLINK("https://twitter.com/tabish_sayed_/status/921229863389765633","921229863389765633")</f>
        <v>921229863389765633</v>
      </c>
      <c r="F190" s="10" t="s">
        <v>60</v>
      </c>
      <c r="G190" s="10" t="n">
        <v>94</v>
      </c>
      <c r="H190" s="10" t="n">
        <v>119</v>
      </c>
      <c r="I190" s="10" t="n">
        <v>0</v>
      </c>
      <c r="J190" s="10" t="n">
        <v>0</v>
      </c>
      <c r="K190" s="10" t="s">
        <v>20</v>
      </c>
      <c r="L190" s="11" t="n">
        <v>42608.1516435185</v>
      </c>
      <c r="M190" s="12" t="s">
        <v>598</v>
      </c>
      <c r="N190" s="12" t="s">
        <v>599</v>
      </c>
      <c r="O190" s="9" t="str">
        <f aca="false">HYPERLINK("https://pbs.twimg.com/profile_images/769415437884936192/9Pbatvx3_normal.jpg","View")</f>
        <v>View</v>
      </c>
      <c r="P190" s="10"/>
    </row>
    <row r="191" customFormat="false" ht="15.75" hidden="false" customHeight="false" outlineLevel="0" collapsed="false">
      <c r="A191" s="6" t="n">
        <v>43027.8921180556</v>
      </c>
      <c r="B191" s="7" t="str">
        <f aca="false">HYPERLINK("https://twitter.com/He1FineArtist","@He1FineArtist")</f>
        <v>@He1FineArtist</v>
      </c>
      <c r="C191" s="8" t="s">
        <v>600</v>
      </c>
      <c r="D191" s="8" t="s">
        <v>403</v>
      </c>
      <c r="E191" s="9" t="str">
        <f aca="false">HYPERLINK("https://twitter.com/He1FineArtist/status/921230658797633536","921230658797633536")</f>
        <v>921230658797633536</v>
      </c>
      <c r="F191" s="10" t="s">
        <v>51</v>
      </c>
      <c r="G191" s="10" t="n">
        <v>968</v>
      </c>
      <c r="H191" s="10" t="n">
        <v>27</v>
      </c>
      <c r="I191" s="10" t="n">
        <v>36</v>
      </c>
      <c r="J191" s="10" t="n">
        <v>0</v>
      </c>
      <c r="K191" s="10" t="s">
        <v>20</v>
      </c>
      <c r="L191" s="11" t="n">
        <v>41561.537025463</v>
      </c>
      <c r="M191" s="12" t="s">
        <v>601</v>
      </c>
      <c r="N191" s="12" t="s">
        <v>602</v>
      </c>
      <c r="O191" s="9" t="str">
        <f aca="false">HYPERLINK("https://pbs.twimg.com/profile_images/917232990308114433/STN-yA7F_normal.jpg","View")</f>
        <v>View</v>
      </c>
      <c r="P191" s="10"/>
    </row>
    <row r="192" customFormat="false" ht="15.75" hidden="false" customHeight="false" outlineLevel="0" collapsed="false">
      <c r="A192" s="6" t="n">
        <v>43027.8975231481</v>
      </c>
      <c r="B192" s="7" t="str">
        <f aca="false">HYPERLINK("https://twitter.com/CFD_NL","@CFD_NL")</f>
        <v>@CFD_NL</v>
      </c>
      <c r="C192" s="8" t="s">
        <v>603</v>
      </c>
      <c r="D192" s="8" t="s">
        <v>554</v>
      </c>
      <c r="E192" s="9" t="str">
        <f aca="false">HYPERLINK("https://twitter.com/CFD_NL/status/921232618363895808","921232618363895808")</f>
        <v>921232618363895808</v>
      </c>
      <c r="F192" s="10" t="s">
        <v>563</v>
      </c>
      <c r="G192" s="10" t="n">
        <v>1188</v>
      </c>
      <c r="H192" s="10" t="n">
        <v>1125</v>
      </c>
      <c r="I192" s="10" t="n">
        <v>14</v>
      </c>
      <c r="J192" s="10" t="n">
        <v>0</v>
      </c>
      <c r="K192" s="10" t="s">
        <v>20</v>
      </c>
      <c r="L192" s="11" t="n">
        <v>41316.2613194444</v>
      </c>
      <c r="M192" s="12" t="s">
        <v>604</v>
      </c>
      <c r="N192" s="12" t="s">
        <v>605</v>
      </c>
      <c r="O192" s="9" t="str">
        <f aca="false">HYPERLINK("https://pbs.twimg.com/profile_images/601090532324970497/EYMUDUJf_normal.png","View")</f>
        <v>View</v>
      </c>
      <c r="P192" s="10"/>
    </row>
    <row r="193" customFormat="false" ht="15.75" hidden="false" customHeight="false" outlineLevel="0" collapsed="false">
      <c r="A193" s="6" t="n">
        <v>43027.8989351852</v>
      </c>
      <c r="B193" s="7" t="str">
        <f aca="false">HYPERLINK("https://twitter.com/WasanthaUdaysir","@WasanthaUdaysir")</f>
        <v>@WasanthaUdaysir</v>
      </c>
      <c r="C193" s="8" t="s">
        <v>606</v>
      </c>
      <c r="D193" s="8" t="s">
        <v>360</v>
      </c>
      <c r="E193" s="9" t="str">
        <f aca="false">HYPERLINK("https://twitter.com/WasanthaUdaysir/status/921233131239219201","921233131239219201")</f>
        <v>921233131239219201</v>
      </c>
      <c r="F193" s="10" t="s">
        <v>39</v>
      </c>
      <c r="G193" s="10" t="n">
        <v>406</v>
      </c>
      <c r="H193" s="10" t="n">
        <v>4998</v>
      </c>
      <c r="I193" s="10" t="n">
        <v>14</v>
      </c>
      <c r="J193" s="10" t="n">
        <v>0</v>
      </c>
      <c r="K193" s="10" t="s">
        <v>20</v>
      </c>
      <c r="L193" s="11" t="n">
        <v>42981.3361574074</v>
      </c>
      <c r="M193" s="12"/>
      <c r="N193" s="12"/>
      <c r="O193" s="9" t="str">
        <f aca="false">HYPERLINK("https://pbs.twimg.com/profile_images/904715658830782464/aQ2a8E0z_normal.jpg","View")</f>
        <v>View</v>
      </c>
      <c r="P193" s="10"/>
    </row>
    <row r="194" customFormat="false" ht="15.75" hidden="false" customHeight="false" outlineLevel="0" collapsed="false">
      <c r="A194" s="6" t="n">
        <v>43027.9018287037</v>
      </c>
      <c r="B194" s="7" t="str">
        <f aca="false">HYPERLINK("https://twitter.com/Rexcharlesblog","@Rexcharlesblog")</f>
        <v>@Rexcharlesblog</v>
      </c>
      <c r="C194" s="8" t="s">
        <v>607</v>
      </c>
      <c r="D194" s="8" t="s">
        <v>403</v>
      </c>
      <c r="E194" s="9" t="str">
        <f aca="false">HYPERLINK("https://twitter.com/Rexcharlesblog/status/921234178951098368","921234178951098368")</f>
        <v>921234178951098368</v>
      </c>
      <c r="F194" s="10" t="s">
        <v>98</v>
      </c>
      <c r="G194" s="10" t="n">
        <v>70</v>
      </c>
      <c r="H194" s="10" t="n">
        <v>662</v>
      </c>
      <c r="I194" s="10" t="n">
        <v>36</v>
      </c>
      <c r="J194" s="10" t="n">
        <v>0</v>
      </c>
      <c r="K194" s="10" t="s">
        <v>20</v>
      </c>
      <c r="L194" s="11" t="n">
        <v>42966.0797453704</v>
      </c>
      <c r="M194" s="12" t="s">
        <v>608</v>
      </c>
      <c r="N194" s="12" t="s">
        <v>609</v>
      </c>
      <c r="O194" s="9" t="str">
        <f aca="false">HYPERLINK("https://pbs.twimg.com/profile_images/898838830488440832/u5lswdVQ_normal.jpg","View")</f>
        <v>View</v>
      </c>
      <c r="P194" s="10"/>
    </row>
    <row r="195" customFormat="false" ht="15.75" hidden="false" customHeight="false" outlineLevel="0" collapsed="false">
      <c r="A195" s="6" t="n">
        <v>43027.9078240741</v>
      </c>
      <c r="B195" s="7" t="str">
        <f aca="false">HYPERLINK("https://twitter.com/Batman710","@Batman710")</f>
        <v>@Batman710</v>
      </c>
      <c r="C195" s="8" t="s">
        <v>610</v>
      </c>
      <c r="D195" s="8" t="s">
        <v>403</v>
      </c>
      <c r="E195" s="9" t="str">
        <f aca="false">HYPERLINK("https://twitter.com/Batman710/status/921236352959578114","921236352959578114")</f>
        <v>921236352959578114</v>
      </c>
      <c r="F195" s="10" t="s">
        <v>177</v>
      </c>
      <c r="G195" s="10" t="n">
        <v>677</v>
      </c>
      <c r="H195" s="10" t="n">
        <v>765</v>
      </c>
      <c r="I195" s="10" t="n">
        <v>36</v>
      </c>
      <c r="J195" s="10" t="n">
        <v>0</v>
      </c>
      <c r="K195" s="10" t="s">
        <v>20</v>
      </c>
      <c r="L195" s="11" t="n">
        <v>40794.0020833333</v>
      </c>
      <c r="M195" s="12"/>
      <c r="N195" s="12" t="s">
        <v>611</v>
      </c>
      <c r="O195" s="9" t="str">
        <f aca="false">HYPERLINK("https://pbs.twimg.com/profile_images/568670621211836416/yWu19xIU_normal.jpeg","View")</f>
        <v>View</v>
      </c>
      <c r="P195" s="10"/>
    </row>
    <row r="196" customFormat="false" ht="15.75" hidden="false" customHeight="false" outlineLevel="0" collapsed="false">
      <c r="A196" s="6" t="n">
        <v>43027.9133680556</v>
      </c>
      <c r="B196" s="7" t="str">
        <f aca="false">HYPERLINK("https://twitter.com/nytmedia","@nytmedia")</f>
        <v>@nytmedia</v>
      </c>
      <c r="C196" s="8" t="s">
        <v>612</v>
      </c>
      <c r="D196" s="8" t="s">
        <v>613</v>
      </c>
      <c r="E196" s="9" t="str">
        <f aca="false">HYPERLINK("https://twitter.com/nytmedia/status/921238358889660416","921238358889660416")</f>
        <v>921238358889660416</v>
      </c>
      <c r="F196" s="10" t="s">
        <v>268</v>
      </c>
      <c r="G196" s="10" t="n">
        <v>73845</v>
      </c>
      <c r="H196" s="10" t="n">
        <v>16</v>
      </c>
      <c r="I196" s="10" t="n">
        <v>0</v>
      </c>
      <c r="J196" s="10" t="n">
        <v>0</v>
      </c>
      <c r="K196" s="10" t="s">
        <v>20</v>
      </c>
      <c r="L196" s="11" t="n">
        <v>39748.4194791667</v>
      </c>
      <c r="M196" s="12" t="s">
        <v>491</v>
      </c>
      <c r="N196" s="12" t="s">
        <v>614</v>
      </c>
      <c r="O196" s="9" t="str">
        <f aca="false">HYPERLINK("https://pbs.twimg.com/profile_images/431550821721845761/5lxIf0Ji_normal.png","View")</f>
        <v>View</v>
      </c>
      <c r="P196" s="10"/>
    </row>
    <row r="197" customFormat="false" ht="15.75" hidden="false" customHeight="false" outlineLevel="0" collapsed="false">
      <c r="A197" s="6" t="n">
        <v>43027.9138078704</v>
      </c>
      <c r="B197" s="7" t="str">
        <f aca="false">HYPERLINK("https://twitter.com/TraderPBurns","@TraderPBurns")</f>
        <v>@TraderPBurns</v>
      </c>
      <c r="C197" s="8" t="s">
        <v>615</v>
      </c>
      <c r="D197" s="8" t="s">
        <v>554</v>
      </c>
      <c r="E197" s="9" t="str">
        <f aca="false">HYPERLINK("https://twitter.com/TraderPBurns/status/921238518621278209","921238518621278209")</f>
        <v>921238518621278209</v>
      </c>
      <c r="F197" s="10" t="s">
        <v>616</v>
      </c>
      <c r="G197" s="10" t="n">
        <v>4637</v>
      </c>
      <c r="H197" s="10" t="n">
        <v>4663</v>
      </c>
      <c r="I197" s="10" t="n">
        <v>14</v>
      </c>
      <c r="J197" s="10" t="n">
        <v>0</v>
      </c>
      <c r="K197" s="10" t="s">
        <v>20</v>
      </c>
      <c r="L197" s="11" t="n">
        <v>42814.7247569444</v>
      </c>
      <c r="M197" s="12" t="s">
        <v>617</v>
      </c>
      <c r="N197" s="12" t="s">
        <v>618</v>
      </c>
      <c r="O197" s="9" t="str">
        <f aca="false">HYPERLINK("https://pbs.twimg.com/profile_images/843983934480400385/gKY5KGuu_normal.jpg","View")</f>
        <v>View</v>
      </c>
      <c r="P197" s="10"/>
    </row>
    <row r="198" customFormat="false" ht="15.75" hidden="false" customHeight="false" outlineLevel="0" collapsed="false">
      <c r="A198" s="6" t="n">
        <v>43027.9223958333</v>
      </c>
      <c r="B198" s="7" t="str">
        <f aca="false">HYPERLINK("https://twitter.com/ifeanyi09152385","@ifeanyi09152385")</f>
        <v>@ifeanyi09152385</v>
      </c>
      <c r="C198" s="8" t="s">
        <v>537</v>
      </c>
      <c r="D198" s="8" t="s">
        <v>619</v>
      </c>
      <c r="E198" s="9" t="str">
        <f aca="false">HYPERLINK("https://twitter.com/ifeanyi09152385/status/921241631273000960","921241631273000960")</f>
        <v>921241631273000960</v>
      </c>
      <c r="F198" s="10" t="s">
        <v>60</v>
      </c>
      <c r="G198" s="10" t="n">
        <v>944</v>
      </c>
      <c r="H198" s="10" t="n">
        <v>4984</v>
      </c>
      <c r="I198" s="10" t="n">
        <v>0</v>
      </c>
      <c r="J198" s="10" t="n">
        <v>0</v>
      </c>
      <c r="K198" s="10" t="s">
        <v>20</v>
      </c>
      <c r="L198" s="11" t="n">
        <v>42445.0010648148</v>
      </c>
      <c r="M198" s="12" t="s">
        <v>539</v>
      </c>
      <c r="N198" s="12" t="s">
        <v>540</v>
      </c>
      <c r="O198" s="9" t="str">
        <f aca="false">HYPERLINK("https://pbs.twimg.com/profile_images/896815002258223107/_vXe6Hgq_normal.jpg","View")</f>
        <v>View</v>
      </c>
      <c r="P198" s="10"/>
    </row>
    <row r="199" customFormat="false" ht="15.75" hidden="false" customHeight="false" outlineLevel="0" collapsed="false">
      <c r="A199" s="6" t="n">
        <v>43027.9269907407</v>
      </c>
      <c r="B199" s="7" t="str">
        <f aca="false">HYPERLINK("https://twitter.com/pendulum5884","@pendulum5884")</f>
        <v>@pendulum5884</v>
      </c>
      <c r="C199" s="8" t="s">
        <v>620</v>
      </c>
      <c r="D199" s="8" t="s">
        <v>403</v>
      </c>
      <c r="E199" s="9" t="str">
        <f aca="false">HYPERLINK("https://twitter.com/pendulum5884/status/921243298257297415","921243298257297415")</f>
        <v>921243298257297415</v>
      </c>
      <c r="F199" s="10" t="s">
        <v>51</v>
      </c>
      <c r="G199" s="10" t="n">
        <v>1335</v>
      </c>
      <c r="H199" s="10" t="n">
        <v>46</v>
      </c>
      <c r="I199" s="10" t="n">
        <v>36</v>
      </c>
      <c r="J199" s="10" t="n">
        <v>0</v>
      </c>
      <c r="K199" s="10" t="s">
        <v>20</v>
      </c>
      <c r="L199" s="11" t="n">
        <v>42329.8694791667</v>
      </c>
      <c r="M199" s="12"/>
      <c r="N199" s="12"/>
      <c r="O199" s="9" t="str">
        <f aca="false">HYPERLINK("https://pbs.twimg.com/profile_images/702469562839633921/WYjiGKOp_normal.jpg","View")</f>
        <v>View</v>
      </c>
      <c r="P199" s="10"/>
    </row>
    <row r="200" customFormat="false" ht="15.75" hidden="false" customHeight="false" outlineLevel="0" collapsed="false">
      <c r="A200" s="6" t="n">
        <v>43027.9292824074</v>
      </c>
      <c r="B200" s="7" t="str">
        <f aca="false">HYPERLINK("https://twitter.com/nytimesworld","@nytimesworld")</f>
        <v>@nytimesworld</v>
      </c>
      <c r="C200" s="8" t="s">
        <v>621</v>
      </c>
      <c r="D200" s="8" t="s">
        <v>622</v>
      </c>
      <c r="E200" s="9" t="str">
        <f aca="false">HYPERLINK("https://twitter.com/nytimesworld/status/921244129257852928","921244129257852928")</f>
        <v>921244129257852928</v>
      </c>
      <c r="F200" s="10" t="s">
        <v>268</v>
      </c>
      <c r="G200" s="10" t="n">
        <v>1873869</v>
      </c>
      <c r="H200" s="10" t="n">
        <v>465</v>
      </c>
      <c r="I200" s="10" t="n">
        <v>5</v>
      </c>
      <c r="J200" s="10" t="n">
        <v>11</v>
      </c>
      <c r="K200" s="10" t="s">
        <v>20</v>
      </c>
      <c r="L200" s="11" t="n">
        <v>39163.2915393518</v>
      </c>
      <c r="M200" s="12" t="s">
        <v>491</v>
      </c>
      <c r="N200" s="12" t="s">
        <v>623</v>
      </c>
      <c r="O200" s="9" t="str">
        <f aca="false">HYPERLINK("https://pbs.twimg.com/profile_images/2045337639/NYT_Twitter_world_normal.png","View")</f>
        <v>View</v>
      </c>
      <c r="P200" s="10"/>
    </row>
    <row r="201" customFormat="false" ht="15.75" hidden="false" customHeight="false" outlineLevel="0" collapsed="false">
      <c r="A201" s="6" t="n">
        <v>43027.9307060185</v>
      </c>
      <c r="B201" s="7" t="str">
        <f aca="false">HYPERLINK("https://twitter.com/laila_cakes","@laila_cakes")</f>
        <v>@laila_cakes</v>
      </c>
      <c r="C201" s="8" t="s">
        <v>624</v>
      </c>
      <c r="D201" s="8" t="s">
        <v>625</v>
      </c>
      <c r="E201" s="9" t="str">
        <f aca="false">HYPERLINK("https://twitter.com/laila_cakes/status/921244641285980160","921244641285980160")</f>
        <v>921244641285980160</v>
      </c>
      <c r="F201" s="10" t="s">
        <v>25</v>
      </c>
      <c r="G201" s="10" t="n">
        <v>1714</v>
      </c>
      <c r="H201" s="10" t="n">
        <v>5004</v>
      </c>
      <c r="I201" s="10" t="n">
        <v>5</v>
      </c>
      <c r="J201" s="10" t="n">
        <v>0</v>
      </c>
      <c r="K201" s="10" t="s">
        <v>20</v>
      </c>
      <c r="L201" s="11" t="n">
        <v>42666.8468402778</v>
      </c>
      <c r="M201" s="12" t="s">
        <v>626</v>
      </c>
      <c r="N201" s="12" t="s">
        <v>627</v>
      </c>
      <c r="O201" s="9" t="str">
        <f aca="false">HYPERLINK("https://pbs.twimg.com/profile_images/814909617725542401/6lU_v8t8_normal.jpg","View")</f>
        <v>View</v>
      </c>
      <c r="P201" s="10"/>
    </row>
    <row r="202" customFormat="false" ht="15.75" hidden="false" customHeight="false" outlineLevel="0" collapsed="false">
      <c r="A202" s="6" t="n">
        <v>43027.9309837963</v>
      </c>
      <c r="B202" s="7" t="str">
        <f aca="false">HYPERLINK("https://twitter.com/Greg_Journalist","@Greg_Journalist")</f>
        <v>@Greg_Journalist</v>
      </c>
      <c r="C202" s="8" t="s">
        <v>628</v>
      </c>
      <c r="D202" s="8" t="s">
        <v>625</v>
      </c>
      <c r="E202" s="9" t="str">
        <f aca="false">HYPERLINK("https://twitter.com/Greg_Journalist/status/921244742528114688","921244742528114688")</f>
        <v>921244742528114688</v>
      </c>
      <c r="F202" s="10" t="s">
        <v>25</v>
      </c>
      <c r="G202" s="10" t="n">
        <v>105</v>
      </c>
      <c r="H202" s="10" t="n">
        <v>133</v>
      </c>
      <c r="I202" s="10" t="n">
        <v>5</v>
      </c>
      <c r="J202" s="10" t="n">
        <v>0</v>
      </c>
      <c r="K202" s="10" t="s">
        <v>20</v>
      </c>
      <c r="L202" s="11" t="n">
        <v>41321.3266898148</v>
      </c>
      <c r="M202" s="12" t="s">
        <v>629</v>
      </c>
      <c r="N202" s="12" t="s">
        <v>630</v>
      </c>
      <c r="O202" s="9" t="str">
        <f aca="false">HYPERLINK("https://pbs.twimg.com/profile_images/851036860071763973/qruJyHDG_normal.jpg","View")</f>
        <v>View</v>
      </c>
      <c r="P202" s="10"/>
    </row>
    <row r="203" customFormat="false" ht="15.75" hidden="false" customHeight="false" outlineLevel="0" collapsed="false">
      <c r="A203" s="6" t="n">
        <v>43027.9327546296</v>
      </c>
      <c r="B203" s="7" t="str">
        <f aca="false">HYPERLINK("https://twitter.com/arrobin0077","@arrobin0077")</f>
        <v>@arrobin0077</v>
      </c>
      <c r="C203" s="8" t="s">
        <v>631</v>
      </c>
      <c r="D203" s="8" t="s">
        <v>632</v>
      </c>
      <c r="E203" s="9" t="str">
        <f aca="false">HYPERLINK("https://twitter.com/arrobin0077/status/921245385061957632","921245385061957632")</f>
        <v>921245385061957632</v>
      </c>
      <c r="F203" s="10" t="s">
        <v>60</v>
      </c>
      <c r="G203" s="10" t="n">
        <v>7479</v>
      </c>
      <c r="H203" s="10" t="n">
        <v>7442</v>
      </c>
      <c r="I203" s="10" t="n">
        <v>0</v>
      </c>
      <c r="J203" s="10" t="n">
        <v>0</v>
      </c>
      <c r="K203" s="10" t="s">
        <v>20</v>
      </c>
      <c r="L203" s="11" t="n">
        <v>42218.4780671296</v>
      </c>
      <c r="M203" s="12" t="s">
        <v>230</v>
      </c>
      <c r="N203" s="12" t="s">
        <v>633</v>
      </c>
      <c r="O203" s="9" t="str">
        <f aca="false">HYPERLINK("https://pbs.twimg.com/profile_images/627909948698050560/Lz1QBK8N_normal.jpg","View")</f>
        <v>View</v>
      </c>
      <c r="P203" s="10"/>
    </row>
    <row r="204" customFormat="false" ht="15.75" hidden="false" customHeight="false" outlineLevel="0" collapsed="false">
      <c r="A204" s="6" t="n">
        <v>43027.9328125</v>
      </c>
      <c r="B204" s="7" t="str">
        <f aca="false">HYPERLINK("https://twitter.com/brad_bartender","@brad_bartender")</f>
        <v>@brad_bartender</v>
      </c>
      <c r="C204" s="8" t="s">
        <v>634</v>
      </c>
      <c r="D204" s="8" t="s">
        <v>403</v>
      </c>
      <c r="E204" s="9" t="str">
        <f aca="false">HYPERLINK("https://twitter.com/brad_bartender/status/921245407799332864","921245407799332864")</f>
        <v>921245407799332864</v>
      </c>
      <c r="F204" s="10" t="s">
        <v>98</v>
      </c>
      <c r="G204" s="10" t="n">
        <v>120</v>
      </c>
      <c r="H204" s="10" t="n">
        <v>26</v>
      </c>
      <c r="I204" s="10" t="n">
        <v>36</v>
      </c>
      <c r="J204" s="10" t="n">
        <v>0</v>
      </c>
      <c r="K204" s="10" t="s">
        <v>20</v>
      </c>
      <c r="L204" s="11" t="n">
        <v>41265.7459490741</v>
      </c>
      <c r="M204" s="12"/>
      <c r="N204" s="12"/>
      <c r="O204" s="9" t="str">
        <f aca="false">HYPERLINK("https://abs.twimg.com/sticky/default_profile_images/default_profile_normal.png","View")</f>
        <v>View</v>
      </c>
      <c r="P204" s="10"/>
    </row>
    <row r="205" customFormat="false" ht="15.75" hidden="false" customHeight="false" outlineLevel="0" collapsed="false">
      <c r="A205" s="6" t="n">
        <v>43027.9357986111</v>
      </c>
      <c r="B205" s="7" t="str">
        <f aca="false">HYPERLINK("https://twitter.com/geokalp","@geokalp")</f>
        <v>@geokalp</v>
      </c>
      <c r="C205" s="8" t="s">
        <v>635</v>
      </c>
      <c r="D205" s="8" t="s">
        <v>554</v>
      </c>
      <c r="E205" s="9" t="str">
        <f aca="false">HYPERLINK("https://twitter.com/geokalp/status/921246487614513152","921246487614513152")</f>
        <v>921246487614513152</v>
      </c>
      <c r="F205" s="10" t="s">
        <v>177</v>
      </c>
      <c r="G205" s="10" t="n">
        <v>369</v>
      </c>
      <c r="H205" s="10" t="n">
        <v>1192</v>
      </c>
      <c r="I205" s="10" t="n">
        <v>14</v>
      </c>
      <c r="J205" s="10" t="n">
        <v>0</v>
      </c>
      <c r="K205" s="10" t="s">
        <v>20</v>
      </c>
      <c r="L205" s="11" t="n">
        <v>40716.5841319444</v>
      </c>
      <c r="M205" s="12"/>
      <c r="N205" s="12" t="s">
        <v>636</v>
      </c>
      <c r="O205" s="9" t="str">
        <f aca="false">HYPERLINK("https://pbs.twimg.com/profile_images/1408464258/profile2_normal.jpg","View")</f>
        <v>View</v>
      </c>
      <c r="P205" s="10"/>
    </row>
    <row r="206" customFormat="false" ht="15.75" hidden="false" customHeight="false" outlineLevel="0" collapsed="false">
      <c r="A206" s="6" t="n">
        <v>43027.9364351852</v>
      </c>
      <c r="B206" s="7" t="str">
        <f aca="false">HYPERLINK("https://twitter.com/Mr_AlVil","@Mr_AlVil")</f>
        <v>@Mr_AlVil</v>
      </c>
      <c r="C206" s="8" t="s">
        <v>392</v>
      </c>
      <c r="D206" s="8" t="s">
        <v>637</v>
      </c>
      <c r="E206" s="9" t="str">
        <f aca="false">HYPERLINK("https://twitter.com/Mr_AlVil/status/921246719513432065","921246719513432065")</f>
        <v>921246719513432065</v>
      </c>
      <c r="F206" s="10" t="s">
        <v>60</v>
      </c>
      <c r="G206" s="10" t="n">
        <v>353</v>
      </c>
      <c r="H206" s="10" t="n">
        <v>51</v>
      </c>
      <c r="I206" s="10" t="n">
        <v>0</v>
      </c>
      <c r="J206" s="10" t="n">
        <v>0</v>
      </c>
      <c r="K206" s="10" t="s">
        <v>20</v>
      </c>
      <c r="L206" s="11" t="n">
        <v>40205.5345486111</v>
      </c>
      <c r="M206" s="12" t="s">
        <v>394</v>
      </c>
      <c r="N206" s="12" t="s">
        <v>395</v>
      </c>
      <c r="O206" s="9" t="str">
        <f aca="false">HYPERLINK("https://pbs.twimg.com/profile_images/857577668967108609/KAXMKfpy_normal.jpg","View")</f>
        <v>View</v>
      </c>
      <c r="P206" s="10"/>
    </row>
    <row r="207" customFormat="false" ht="15.75" hidden="false" customHeight="false" outlineLevel="0" collapsed="false">
      <c r="A207" s="6" t="n">
        <v>43027.9364699074</v>
      </c>
      <c r="B207" s="7" t="str">
        <f aca="false">HYPERLINK("https://twitter.com/realBertEgbe","@realBertEgbe")</f>
        <v>@realBertEgbe</v>
      </c>
      <c r="C207" s="8" t="s">
        <v>638</v>
      </c>
      <c r="D207" s="8" t="s">
        <v>554</v>
      </c>
      <c r="E207" s="9" t="str">
        <f aca="false">HYPERLINK("https://twitter.com/realBertEgbe/status/921246732415111169","921246732415111169")</f>
        <v>921246732415111169</v>
      </c>
      <c r="F207" s="10" t="s">
        <v>39</v>
      </c>
      <c r="G207" s="10" t="n">
        <v>1019</v>
      </c>
      <c r="H207" s="10" t="n">
        <v>5001</v>
      </c>
      <c r="I207" s="10" t="n">
        <v>14</v>
      </c>
      <c r="J207" s="10" t="n">
        <v>0</v>
      </c>
      <c r="K207" s="10" t="s">
        <v>20</v>
      </c>
      <c r="L207" s="11" t="n">
        <v>40280.1431712963</v>
      </c>
      <c r="M207" s="12" t="s">
        <v>639</v>
      </c>
      <c r="N207" s="12" t="s">
        <v>640</v>
      </c>
      <c r="O207" s="9" t="str">
        <f aca="false">HYPERLINK("https://pbs.twimg.com/profile_images/906894680704548870/Na0fRXIJ_normal.jpg","View")</f>
        <v>View</v>
      </c>
      <c r="P207" s="10"/>
    </row>
    <row r="208" customFormat="false" ht="15.75" hidden="false" customHeight="false" outlineLevel="0" collapsed="false">
      <c r="A208" s="6" t="n">
        <v>43027.9452083333</v>
      </c>
      <c r="B208" s="7" t="str">
        <f aca="false">HYPERLINK("https://twitter.com/srbija_eu","@srbija_eu")</f>
        <v>@srbija_eu</v>
      </c>
      <c r="C208" s="8" t="s">
        <v>641</v>
      </c>
      <c r="D208" s="8" t="s">
        <v>642</v>
      </c>
      <c r="E208" s="9" t="str">
        <f aca="false">HYPERLINK("https://twitter.com/srbija_eu/status/921249900511354880","921249900511354880")</f>
        <v>921249900511354880</v>
      </c>
      <c r="F208" s="10" t="s">
        <v>25</v>
      </c>
      <c r="G208" s="10" t="n">
        <v>175</v>
      </c>
      <c r="H208" s="10" t="n">
        <v>332</v>
      </c>
      <c r="I208" s="10" t="n">
        <v>0</v>
      </c>
      <c r="J208" s="10" t="n">
        <v>0</v>
      </c>
      <c r="K208" s="10" t="s">
        <v>20</v>
      </c>
      <c r="L208" s="11" t="n">
        <v>42703.4903703704</v>
      </c>
      <c r="M208" s="12" t="s">
        <v>643</v>
      </c>
      <c r="N208" s="12" t="s">
        <v>644</v>
      </c>
      <c r="O208" s="9" t="str">
        <f aca="false">HYPERLINK("https://pbs.twimg.com/profile_images/805487087839485952/1YqQAZcG_normal.jpg","View")</f>
        <v>View</v>
      </c>
      <c r="P208" s="10"/>
    </row>
    <row r="209" customFormat="false" ht="15.75" hidden="false" customHeight="false" outlineLevel="0" collapsed="false">
      <c r="A209" s="6" t="n">
        <v>43027.9584259259</v>
      </c>
      <c r="B209" s="7" t="str">
        <f aca="false">HYPERLINK("https://twitter.com/nytimesworld","@nytimesworld")</f>
        <v>@nytimesworld</v>
      </c>
      <c r="C209" s="8" t="s">
        <v>621</v>
      </c>
      <c r="D209" s="8" t="s">
        <v>645</v>
      </c>
      <c r="E209" s="9" t="str">
        <f aca="false">HYPERLINK("https://twitter.com/nytimesworld/status/921254689731235840","921254689731235840")</f>
        <v>921254689731235840</v>
      </c>
      <c r="F209" s="10" t="s">
        <v>268</v>
      </c>
      <c r="G209" s="10" t="n">
        <v>1873869</v>
      </c>
      <c r="H209" s="10" t="n">
        <v>465</v>
      </c>
      <c r="I209" s="10" t="n">
        <v>9</v>
      </c>
      <c r="J209" s="10" t="n">
        <v>12</v>
      </c>
      <c r="K209" s="10" t="s">
        <v>20</v>
      </c>
      <c r="L209" s="11" t="n">
        <v>39163.2915393518</v>
      </c>
      <c r="M209" s="12" t="s">
        <v>491</v>
      </c>
      <c r="N209" s="12" t="s">
        <v>623</v>
      </c>
      <c r="O209" s="9" t="str">
        <f aca="false">HYPERLINK("https://pbs.twimg.com/profile_images/2045337639/NYT_Twitter_world_normal.png","View")</f>
        <v>View</v>
      </c>
      <c r="P209" s="10"/>
    </row>
    <row r="210" customFormat="false" ht="15.75" hidden="false" customHeight="false" outlineLevel="0" collapsed="false">
      <c r="A210" s="6" t="n">
        <v>43027.9589699074</v>
      </c>
      <c r="B210" s="7" t="str">
        <f aca="false">HYPERLINK("https://twitter.com/CorporaCallosa","@CorporaCallosa")</f>
        <v>@CorporaCallosa</v>
      </c>
      <c r="C210" s="8" t="s">
        <v>646</v>
      </c>
      <c r="D210" s="8" t="s">
        <v>647</v>
      </c>
      <c r="E210" s="9" t="str">
        <f aca="false">HYPERLINK("https://twitter.com/CorporaCallosa/status/921254887324872704","921254887324872704")</f>
        <v>921254887324872704</v>
      </c>
      <c r="F210" s="10" t="s">
        <v>25</v>
      </c>
      <c r="G210" s="10" t="n">
        <v>733</v>
      </c>
      <c r="H210" s="10" t="n">
        <v>3192</v>
      </c>
      <c r="I210" s="10" t="n">
        <v>9</v>
      </c>
      <c r="J210" s="10" t="n">
        <v>0</v>
      </c>
      <c r="K210" s="10" t="s">
        <v>20</v>
      </c>
      <c r="L210" s="11" t="n">
        <v>39671.8050925926</v>
      </c>
      <c r="M210" s="12" t="s">
        <v>227</v>
      </c>
      <c r="N210" s="12" t="s">
        <v>648</v>
      </c>
      <c r="O210" s="9" t="str">
        <f aca="false">HYPERLINK("https://pbs.twimg.com/profile_images/754825745025802240/e7CgjaMd_normal.jpg","View")</f>
        <v>View</v>
      </c>
      <c r="P210" s="10"/>
    </row>
    <row r="211" customFormat="false" ht="15.75" hidden="false" customHeight="false" outlineLevel="0" collapsed="false">
      <c r="A211" s="6" t="n">
        <v>43027.9601041667</v>
      </c>
      <c r="B211" s="7" t="str">
        <f aca="false">HYPERLINK("https://twitter.com/Angelus1701","@Angelus1701")</f>
        <v>@Angelus1701</v>
      </c>
      <c r="C211" s="8" t="s">
        <v>649</v>
      </c>
      <c r="D211" s="8" t="s">
        <v>650</v>
      </c>
      <c r="E211" s="9" t="str">
        <f aca="false">HYPERLINK("https://twitter.com/Angelus1701/status/921255296839946240","921255296839946240")</f>
        <v>921255296839946240</v>
      </c>
      <c r="F211" s="10" t="s">
        <v>55</v>
      </c>
      <c r="G211" s="10" t="n">
        <v>850</v>
      </c>
      <c r="H211" s="10" t="n">
        <v>1561</v>
      </c>
      <c r="I211" s="10" t="n">
        <v>0</v>
      </c>
      <c r="J211" s="10" t="n">
        <v>0</v>
      </c>
      <c r="K211" s="10" t="s">
        <v>20</v>
      </c>
      <c r="L211" s="11" t="n">
        <v>40288.1014236111</v>
      </c>
      <c r="M211" s="12" t="s">
        <v>651</v>
      </c>
      <c r="N211" s="12" t="s">
        <v>652</v>
      </c>
      <c r="O211" s="9" t="str">
        <f aca="false">HYPERLINK("https://pbs.twimg.com/profile_images/730414344303939586/FLFk57Fb_normal.jpg","View")</f>
        <v>View</v>
      </c>
      <c r="P211" s="10"/>
    </row>
    <row r="212" customFormat="false" ht="15.75" hidden="false" customHeight="false" outlineLevel="0" collapsed="false">
      <c r="A212" s="6" t="n">
        <v>43027.9615509259</v>
      </c>
      <c r="B212" s="7" t="str">
        <f aca="false">HYPERLINK("https://twitter.com/TRUTH_TWEETERS","@TRUTH_TWEETERS")</f>
        <v>@TRUTH_TWEETERS</v>
      </c>
      <c r="C212" s="8" t="s">
        <v>653</v>
      </c>
      <c r="D212" s="8" t="s">
        <v>647</v>
      </c>
      <c r="E212" s="9" t="str">
        <f aca="false">HYPERLINK("https://twitter.com/TRUTH_TWEETERS/status/921255822990159872","921255822990159872")</f>
        <v>921255822990159872</v>
      </c>
      <c r="F212" s="10" t="s">
        <v>25</v>
      </c>
      <c r="G212" s="10" t="n">
        <v>4597</v>
      </c>
      <c r="H212" s="10" t="n">
        <v>5029</v>
      </c>
      <c r="I212" s="10" t="n">
        <v>9</v>
      </c>
      <c r="J212" s="10" t="n">
        <v>0</v>
      </c>
      <c r="K212" s="10" t="s">
        <v>20</v>
      </c>
      <c r="L212" s="11" t="n">
        <v>41083.7511458333</v>
      </c>
      <c r="M212" s="12"/>
      <c r="N212" s="12" t="s">
        <v>654</v>
      </c>
      <c r="O212" s="9" t="str">
        <f aca="false">HYPERLINK("https://pbs.twimg.com/profile_images/830234190675316737/kSv0q3tx_normal.jpg","View")</f>
        <v>View</v>
      </c>
      <c r="P212" s="10"/>
    </row>
    <row r="213" customFormat="false" ht="15.75" hidden="false" customHeight="false" outlineLevel="0" collapsed="false">
      <c r="A213" s="6" t="n">
        <v>43027.9632060185</v>
      </c>
      <c r="B213" s="7" t="str">
        <f aca="false">HYPERLINK("https://twitter.com/Yokotin_Thug","@Yokotin_Thug")</f>
        <v>@Yokotin_Thug</v>
      </c>
      <c r="C213" s="8" t="s">
        <v>655</v>
      </c>
      <c r="D213" s="8" t="s">
        <v>647</v>
      </c>
      <c r="E213" s="9" t="str">
        <f aca="false">HYPERLINK("https://twitter.com/Yokotin_Thug/status/921256419776593920","921256419776593920")</f>
        <v>921256419776593920</v>
      </c>
      <c r="F213" s="10" t="s">
        <v>39</v>
      </c>
      <c r="G213" s="10" t="n">
        <v>492</v>
      </c>
      <c r="H213" s="10" t="n">
        <v>2819</v>
      </c>
      <c r="I213" s="10" t="n">
        <v>9</v>
      </c>
      <c r="J213" s="10" t="n">
        <v>0</v>
      </c>
      <c r="K213" s="10" t="s">
        <v>20</v>
      </c>
      <c r="L213" s="11" t="n">
        <v>40684.1751157407</v>
      </c>
      <c r="M213" s="12" t="s">
        <v>656</v>
      </c>
      <c r="N213" s="12" t="s">
        <v>657</v>
      </c>
      <c r="O213" s="9" t="str">
        <f aca="false">HYPERLINK("https://pbs.twimg.com/profile_images/913294883393114112/eG-1f9to_normal.jpg","View")</f>
        <v>View</v>
      </c>
      <c r="P213" s="10"/>
    </row>
    <row r="214" customFormat="false" ht="15.75" hidden="false" customHeight="false" outlineLevel="0" collapsed="false">
      <c r="A214" s="6" t="n">
        <v>43027.9641550926</v>
      </c>
      <c r="B214" s="7" t="str">
        <f aca="false">HYPERLINK("https://twitter.com/Mr_AlVil","@Mr_AlVil")</f>
        <v>@Mr_AlVil</v>
      </c>
      <c r="C214" s="8" t="s">
        <v>392</v>
      </c>
      <c r="D214" s="8" t="s">
        <v>658</v>
      </c>
      <c r="E214" s="9" t="str">
        <f aca="false">HYPERLINK("https://twitter.com/Mr_AlVil/status/921256764397547520","921256764397547520")</f>
        <v>921256764397547520</v>
      </c>
      <c r="F214" s="10" t="s">
        <v>60</v>
      </c>
      <c r="G214" s="10" t="n">
        <v>353</v>
      </c>
      <c r="H214" s="10" t="n">
        <v>51</v>
      </c>
      <c r="I214" s="10" t="n">
        <v>0</v>
      </c>
      <c r="J214" s="10" t="n">
        <v>0</v>
      </c>
      <c r="K214" s="10" t="s">
        <v>20</v>
      </c>
      <c r="L214" s="11" t="n">
        <v>40205.5345486111</v>
      </c>
      <c r="M214" s="12" t="s">
        <v>394</v>
      </c>
      <c r="N214" s="12" t="s">
        <v>395</v>
      </c>
      <c r="O214" s="9" t="str">
        <f aca="false">HYPERLINK("https://pbs.twimg.com/profile_images/857577668967108609/KAXMKfpy_normal.jpg","View")</f>
        <v>View</v>
      </c>
      <c r="P214" s="10"/>
    </row>
    <row r="215" customFormat="false" ht="15.75" hidden="false" customHeight="false" outlineLevel="0" collapsed="false">
      <c r="A215" s="6" t="n">
        <v>43027.964837963</v>
      </c>
      <c r="B215" s="7" t="str">
        <f aca="false">HYPERLINK("https://twitter.com/Nino_Mallaci","@Nino_Mallaci")</f>
        <v>@Nino_Mallaci</v>
      </c>
      <c r="C215" s="8" t="s">
        <v>659</v>
      </c>
      <c r="D215" s="8" t="s">
        <v>554</v>
      </c>
      <c r="E215" s="9" t="str">
        <f aca="false">HYPERLINK("https://twitter.com/Nino_Mallaci/status/921257012939411456","921257012939411456")</f>
        <v>921257012939411456</v>
      </c>
      <c r="F215" s="10" t="s">
        <v>51</v>
      </c>
      <c r="G215" s="10" t="n">
        <v>92</v>
      </c>
      <c r="H215" s="10" t="n">
        <v>337</v>
      </c>
      <c r="I215" s="10" t="n">
        <v>14</v>
      </c>
      <c r="J215" s="10" t="n">
        <v>0</v>
      </c>
      <c r="K215" s="10" t="s">
        <v>20</v>
      </c>
      <c r="L215" s="11" t="n">
        <v>42698.6543981482</v>
      </c>
      <c r="M215" s="12" t="s">
        <v>182</v>
      </c>
      <c r="N215" s="12" t="s">
        <v>660</v>
      </c>
      <c r="O215" s="9" t="str">
        <f aca="false">HYPERLINK("https://pbs.twimg.com/profile_images/830419910006288384/OMiOQCdD_normal.jpg","View")</f>
        <v>View</v>
      </c>
      <c r="P215" s="10"/>
    </row>
    <row r="216" customFormat="false" ht="15.75" hidden="false" customHeight="false" outlineLevel="0" collapsed="false">
      <c r="A216" s="6" t="n">
        <v>43027.9677662037</v>
      </c>
      <c r="B216" s="7" t="str">
        <f aca="false">HYPERLINK("https://twitter.com/yumemirutotoro","@yumemirutotoro")</f>
        <v>@yumemirutotoro</v>
      </c>
      <c r="C216" s="14" t="s">
        <v>661</v>
      </c>
      <c r="D216" s="8" t="s">
        <v>647</v>
      </c>
      <c r="E216" s="9" t="str">
        <f aca="false">HYPERLINK("https://twitter.com/yumemirutotoro/status/921258075238965248","921258075238965248")</f>
        <v>921258075238965248</v>
      </c>
      <c r="F216" s="10" t="s">
        <v>177</v>
      </c>
      <c r="G216" s="10" t="n">
        <v>69</v>
      </c>
      <c r="H216" s="10" t="n">
        <v>652</v>
      </c>
      <c r="I216" s="10" t="n">
        <v>9</v>
      </c>
      <c r="J216" s="10" t="n">
        <v>0</v>
      </c>
      <c r="K216" s="10" t="s">
        <v>20</v>
      </c>
      <c r="L216" s="11" t="n">
        <v>42444.3085185185</v>
      </c>
      <c r="M216" s="12"/>
      <c r="N216" s="13" t="s">
        <v>662</v>
      </c>
      <c r="O216" s="9" t="str">
        <f aca="false">HYPERLINK("https://pbs.twimg.com/profile_images/915191533791469568/_CpZOcA-_normal.jpg","View")</f>
        <v>View</v>
      </c>
      <c r="P216" s="10"/>
    </row>
    <row r="217" customFormat="false" ht="15.75" hidden="false" customHeight="false" outlineLevel="0" collapsed="false">
      <c r="A217" s="6" t="n">
        <v>43027.9682407407</v>
      </c>
      <c r="B217" s="7" t="str">
        <f aca="false">HYPERLINK("https://twitter.com/hikakO_o","@hikakO_o")</f>
        <v>@hikakO_o</v>
      </c>
      <c r="C217" s="8" t="s">
        <v>663</v>
      </c>
      <c r="D217" s="8" t="s">
        <v>664</v>
      </c>
      <c r="E217" s="9" t="str">
        <f aca="false">HYPERLINK("https://twitter.com/hikakO_o/status/921258246312251392","921258246312251392")</f>
        <v>921258246312251392</v>
      </c>
      <c r="F217" s="10" t="s">
        <v>60</v>
      </c>
      <c r="G217" s="10" t="n">
        <v>68015</v>
      </c>
      <c r="H217" s="10" t="n">
        <v>531</v>
      </c>
      <c r="I217" s="10" t="n">
        <v>0</v>
      </c>
      <c r="J217" s="10" t="n">
        <v>0</v>
      </c>
      <c r="K217" s="10" t="s">
        <v>20</v>
      </c>
      <c r="L217" s="11" t="n">
        <v>41070.2855555556</v>
      </c>
      <c r="M217" s="12"/>
      <c r="N217" s="12" t="s">
        <v>665</v>
      </c>
      <c r="O217" s="9" t="str">
        <f aca="false">HYPERLINK("https://pbs.twimg.com/profile_images/911275518976180224/4MDetf12_normal.jpg","View")</f>
        <v>View</v>
      </c>
      <c r="P217" s="10"/>
    </row>
    <row r="218" customFormat="false" ht="15.75" hidden="false" customHeight="false" outlineLevel="0" collapsed="false">
      <c r="A218" s="6" t="n">
        <v>43027.969837963</v>
      </c>
      <c r="B218" s="7" t="str">
        <f aca="false">HYPERLINK("https://twitter.com/Tian_A1","@Tian_A1")</f>
        <v>@Tian_A1</v>
      </c>
      <c r="C218" s="8" t="s">
        <v>666</v>
      </c>
      <c r="D218" s="8" t="s">
        <v>667</v>
      </c>
      <c r="E218" s="9" t="str">
        <f aca="false">HYPERLINK("https://twitter.com/Tian_A1/status/921258823247192066","921258823247192066")</f>
        <v>921258823247192066</v>
      </c>
      <c r="F218" s="10" t="s">
        <v>668</v>
      </c>
      <c r="G218" s="10" t="n">
        <v>1499</v>
      </c>
      <c r="H218" s="10" t="n">
        <v>1051</v>
      </c>
      <c r="I218" s="10" t="n">
        <v>0</v>
      </c>
      <c r="J218" s="10" t="n">
        <v>0</v>
      </c>
      <c r="K218" s="10" t="s">
        <v>20</v>
      </c>
      <c r="L218" s="11" t="n">
        <v>42392.2131134259</v>
      </c>
      <c r="M218" s="12" t="s">
        <v>669</v>
      </c>
      <c r="N218" s="12" t="s">
        <v>670</v>
      </c>
      <c r="O218" s="9" t="str">
        <f aca="false">HYPERLINK("https://pbs.twimg.com/profile_images/700239736045178880/DGNyY9LZ_normal.png","View")</f>
        <v>View</v>
      </c>
      <c r="P218" s="10"/>
    </row>
    <row r="219" customFormat="false" ht="15.75" hidden="false" customHeight="false" outlineLevel="0" collapsed="false">
      <c r="A219" s="6" t="n">
        <v>43027.9790856481</v>
      </c>
      <c r="B219" s="7" t="str">
        <f aca="false">HYPERLINK("https://twitter.com/dealbook","@dealbook")</f>
        <v>@dealbook</v>
      </c>
      <c r="C219" s="8" t="s">
        <v>671</v>
      </c>
      <c r="D219" s="8" t="s">
        <v>672</v>
      </c>
      <c r="E219" s="9" t="str">
        <f aca="false">HYPERLINK("https://twitter.com/dealbook/status/921262174873554944","921262174873554944")</f>
        <v>921262174873554944</v>
      </c>
      <c r="F219" s="10" t="s">
        <v>268</v>
      </c>
      <c r="G219" s="10" t="n">
        <v>110224</v>
      </c>
      <c r="H219" s="10" t="n">
        <v>302</v>
      </c>
      <c r="I219" s="10" t="n">
        <v>2</v>
      </c>
      <c r="J219" s="10" t="n">
        <v>0</v>
      </c>
      <c r="K219" s="10" t="s">
        <v>20</v>
      </c>
      <c r="L219" s="11" t="n">
        <v>39745.5331828704</v>
      </c>
      <c r="M219" s="12" t="s">
        <v>491</v>
      </c>
      <c r="N219" s="12" t="s">
        <v>673</v>
      </c>
      <c r="O219" s="9" t="str">
        <f aca="false">HYPERLINK("https://pbs.twimg.com/profile_images/2045423040/NYT_Twitter_dealbook_normal.png","View")</f>
        <v>View</v>
      </c>
      <c r="P219" s="10"/>
    </row>
    <row r="220" customFormat="false" ht="15.75" hidden="false" customHeight="false" outlineLevel="0" collapsed="false">
      <c r="A220" s="6" t="n">
        <v>43027.9794328704</v>
      </c>
      <c r="B220" s="7" t="str">
        <f aca="false">HYPERLINK("https://twitter.com/TheBFRoom","@TheBFRoom")</f>
        <v>@TheBFRoom</v>
      </c>
      <c r="C220" s="8" t="s">
        <v>674</v>
      </c>
      <c r="D220" s="8" t="s">
        <v>675</v>
      </c>
      <c r="E220" s="9" t="str">
        <f aca="false">HYPERLINK("https://twitter.com/TheBFRoom/status/921262300404822016","921262300404822016")</f>
        <v>921262300404822016</v>
      </c>
      <c r="F220" s="10" t="s">
        <v>60</v>
      </c>
      <c r="G220" s="10" t="n">
        <v>3259</v>
      </c>
      <c r="H220" s="10" t="n">
        <v>3958</v>
      </c>
      <c r="I220" s="10" t="n">
        <v>0</v>
      </c>
      <c r="J220" s="10" t="n">
        <v>0</v>
      </c>
      <c r="K220" s="10" t="s">
        <v>20</v>
      </c>
      <c r="L220" s="11" t="n">
        <v>42761.325162037</v>
      </c>
      <c r="M220" s="12" t="s">
        <v>230</v>
      </c>
      <c r="N220" s="12" t="s">
        <v>676</v>
      </c>
      <c r="O220" s="9" t="str">
        <f aca="false">HYPERLINK("https://pbs.twimg.com/profile_images/898379268778020864/0u1zlj_B_normal.jpg","View")</f>
        <v>View</v>
      </c>
      <c r="P220" s="10"/>
    </row>
    <row r="221" customFormat="false" ht="15.75" hidden="false" customHeight="false" outlineLevel="0" collapsed="false">
      <c r="A221" s="6" t="n">
        <v>43027.9794560185</v>
      </c>
      <c r="B221" s="7" t="str">
        <f aca="false">HYPERLINK("https://twitter.com/paramilipic","@paramilipic")</f>
        <v>@paramilipic</v>
      </c>
      <c r="C221" s="14" t="s">
        <v>677</v>
      </c>
      <c r="D221" s="8" t="s">
        <v>647</v>
      </c>
      <c r="E221" s="9" t="str">
        <f aca="false">HYPERLINK("https://twitter.com/paramilipic/status/921262307962789888","921262307962789888")</f>
        <v>921262307962789888</v>
      </c>
      <c r="F221" s="10" t="s">
        <v>39</v>
      </c>
      <c r="G221" s="10" t="n">
        <v>10140</v>
      </c>
      <c r="H221" s="10" t="n">
        <v>893</v>
      </c>
      <c r="I221" s="10" t="n">
        <v>9</v>
      </c>
      <c r="J221" s="10" t="n">
        <v>0</v>
      </c>
      <c r="K221" s="10" t="s">
        <v>20</v>
      </c>
      <c r="L221" s="11" t="n">
        <v>41938.18875</v>
      </c>
      <c r="M221" s="12" t="s">
        <v>678</v>
      </c>
      <c r="N221" s="13" t="s">
        <v>679</v>
      </c>
      <c r="O221" s="9" t="str">
        <f aca="false">HYPERLINK("https://pbs.twimg.com/profile_images/834128481030017024/H1Zro0gk_normal.jpg","View")</f>
        <v>View</v>
      </c>
      <c r="P221" s="10"/>
    </row>
    <row r="222" customFormat="false" ht="15.75" hidden="false" customHeight="false" outlineLevel="0" collapsed="false">
      <c r="A222" s="6" t="n">
        <v>43027.9798148148</v>
      </c>
      <c r="B222" s="7" t="str">
        <f aca="false">HYPERLINK("https://twitter.com/TradeWithSuper","@TradeWithSuper")</f>
        <v>@TradeWithSuper</v>
      </c>
      <c r="C222" s="8" t="s">
        <v>680</v>
      </c>
      <c r="D222" s="8" t="s">
        <v>681</v>
      </c>
      <c r="E222" s="9" t="str">
        <f aca="false">HYPERLINK("https://twitter.com/TradeWithSuper/status/921262437667688448","921262437667688448")</f>
        <v>921262437667688448</v>
      </c>
      <c r="F222" s="10" t="s">
        <v>110</v>
      </c>
      <c r="G222" s="10" t="n">
        <v>4162</v>
      </c>
      <c r="H222" s="10" t="n">
        <v>4721</v>
      </c>
      <c r="I222" s="10" t="n">
        <v>0</v>
      </c>
      <c r="J222" s="10" t="n">
        <v>0</v>
      </c>
      <c r="K222" s="10" t="s">
        <v>20</v>
      </c>
      <c r="L222" s="11" t="n">
        <v>41665.828125</v>
      </c>
      <c r="M222" s="12" t="s">
        <v>682</v>
      </c>
      <c r="N222" s="12" t="s">
        <v>683</v>
      </c>
      <c r="O222" s="9" t="str">
        <f aca="false">HYPERLINK("https://pbs.twimg.com/profile_images/730814770186620928/lFK0zCBG_normal.jpg","View")</f>
        <v>View</v>
      </c>
      <c r="P222" s="10"/>
    </row>
    <row r="223" customFormat="false" ht="15.75" hidden="false" customHeight="false" outlineLevel="0" collapsed="false">
      <c r="A223" s="6" t="n">
        <v>43027.9799421296</v>
      </c>
      <c r="B223" s="7" t="str">
        <f aca="false">HYPERLINK("https://twitter.com/thestoxlab","@thestoxlab")</f>
        <v>@thestoxlab</v>
      </c>
      <c r="C223" s="8" t="s">
        <v>684</v>
      </c>
      <c r="D223" s="8" t="s">
        <v>685</v>
      </c>
      <c r="E223" s="9" t="str">
        <f aca="false">HYPERLINK("https://twitter.com/thestoxlab/status/921262485356859392","921262485356859392")</f>
        <v>921262485356859392</v>
      </c>
      <c r="F223" s="10" t="s">
        <v>110</v>
      </c>
      <c r="G223" s="10" t="n">
        <v>4829</v>
      </c>
      <c r="H223" s="10" t="n">
        <v>5119</v>
      </c>
      <c r="I223" s="10" t="n">
        <v>0</v>
      </c>
      <c r="J223" s="10" t="n">
        <v>0</v>
      </c>
      <c r="K223" s="10" t="s">
        <v>20</v>
      </c>
      <c r="L223" s="11" t="n">
        <v>41573.4766087963</v>
      </c>
      <c r="M223" s="12" t="s">
        <v>686</v>
      </c>
      <c r="N223" s="12" t="s">
        <v>687</v>
      </c>
      <c r="O223" s="9" t="str">
        <f aca="false">HYPERLINK("https://pbs.twimg.com/profile_images/744617855312859140/ny83BkeU_normal.jpg","View")</f>
        <v>View</v>
      </c>
      <c r="P223" s="10"/>
    </row>
    <row r="224" customFormat="false" ht="15.75" hidden="false" customHeight="false" outlineLevel="0" collapsed="false">
      <c r="A224" s="6" t="n">
        <v>43027.9807986111</v>
      </c>
      <c r="B224" s="7" t="str">
        <f aca="false">HYPERLINK("https://twitter.com/BullFan2016","@BullFan2016")</f>
        <v>@BullFan2016</v>
      </c>
      <c r="C224" s="8" t="s">
        <v>688</v>
      </c>
      <c r="D224" s="8" t="s">
        <v>689</v>
      </c>
      <c r="E224" s="9" t="str">
        <f aca="false">HYPERLINK("https://twitter.com/BullFan2016/status/921262794367995904","921262794367995904")</f>
        <v>921262794367995904</v>
      </c>
      <c r="F224" s="10" t="s">
        <v>60</v>
      </c>
      <c r="G224" s="10" t="n">
        <v>4628</v>
      </c>
      <c r="H224" s="10" t="n">
        <v>4865</v>
      </c>
      <c r="I224" s="10" t="n">
        <v>0</v>
      </c>
      <c r="J224" s="10" t="n">
        <v>0</v>
      </c>
      <c r="K224" s="10" t="s">
        <v>20</v>
      </c>
      <c r="L224" s="11" t="n">
        <v>41681.6692592593</v>
      </c>
      <c r="M224" s="12" t="s">
        <v>690</v>
      </c>
      <c r="N224" s="12" t="s">
        <v>691</v>
      </c>
      <c r="O224" s="9" t="str">
        <f aca="false">HYPERLINK("https://pbs.twimg.com/profile_images/731191829031313408/9mn9jGUk_normal.jpg","View")</f>
        <v>View</v>
      </c>
      <c r="P224" s="10"/>
    </row>
    <row r="225" customFormat="false" ht="15.75" hidden="false" customHeight="false" outlineLevel="0" collapsed="false">
      <c r="A225" s="6" t="n">
        <v>43027.9895949074</v>
      </c>
      <c r="B225" s="7" t="str">
        <f aca="false">HYPERLINK("https://twitter.com/BloombergQuint","@BloombergQuint")</f>
        <v>@BloombergQuint</v>
      </c>
      <c r="C225" s="8" t="s">
        <v>692</v>
      </c>
      <c r="D225" s="8" t="s">
        <v>693</v>
      </c>
      <c r="E225" s="9" t="str">
        <f aca="false">HYPERLINK("https://twitter.com/BloombergQuint/status/921265982366146560","921265982366146560")</f>
        <v>921265982366146560</v>
      </c>
      <c r="F225" s="10" t="s">
        <v>276</v>
      </c>
      <c r="G225" s="10" t="n">
        <v>24550</v>
      </c>
      <c r="H225" s="10" t="n">
        <v>329</v>
      </c>
      <c r="I225" s="10" t="n">
        <v>1</v>
      </c>
      <c r="J225" s="10" t="n">
        <v>1</v>
      </c>
      <c r="K225" s="10" t="s">
        <v>20</v>
      </c>
      <c r="L225" s="11" t="n">
        <v>42458.0631828704</v>
      </c>
      <c r="M225" s="12" t="s">
        <v>253</v>
      </c>
      <c r="N225" s="12" t="s">
        <v>694</v>
      </c>
      <c r="O225" s="9" t="str">
        <f aca="false">HYPERLINK("https://pbs.twimg.com/profile_images/913063487613440001/oU9k6XU7_normal.jpg","View")</f>
        <v>View</v>
      </c>
      <c r="P225" s="10"/>
    </row>
    <row r="226" customFormat="false" ht="15.75" hidden="false" customHeight="false" outlineLevel="0" collapsed="false">
      <c r="A226" s="6" t="n">
        <v>43027.9896412037</v>
      </c>
      <c r="B226" s="7" t="str">
        <f aca="false">HYPERLINK("https://twitter.com/nytimes","@nytimes")</f>
        <v>@nytimes</v>
      </c>
      <c r="C226" s="8" t="s">
        <v>695</v>
      </c>
      <c r="D226" s="8" t="s">
        <v>696</v>
      </c>
      <c r="E226" s="9" t="str">
        <f aca="false">HYPERLINK("https://twitter.com/nytimes/status/921266001425195008","921266001425195008")</f>
        <v>921266001425195008</v>
      </c>
      <c r="F226" s="10" t="s">
        <v>268</v>
      </c>
      <c r="G226" s="10" t="n">
        <v>39934479</v>
      </c>
      <c r="H226" s="10" t="n">
        <v>884</v>
      </c>
      <c r="I226" s="10" t="n">
        <v>60</v>
      </c>
      <c r="J226" s="10" t="n">
        <v>135</v>
      </c>
      <c r="K226" s="10" t="s">
        <v>20</v>
      </c>
      <c r="L226" s="11" t="n">
        <v>39143.5289583333</v>
      </c>
      <c r="M226" s="12" t="s">
        <v>697</v>
      </c>
      <c r="N226" s="12" t="s">
        <v>698</v>
      </c>
      <c r="O226" s="9" t="str">
        <f aca="false">HYPERLINK("https://pbs.twimg.com/profile_images/905479981459013637/a6BbKh4k_normal.jpg","View")</f>
        <v>View</v>
      </c>
      <c r="P226" s="10"/>
    </row>
    <row r="227" customFormat="false" ht="15.75" hidden="false" customHeight="false" outlineLevel="0" collapsed="false">
      <c r="A227" s="6" t="n">
        <v>43027.9901388889</v>
      </c>
      <c r="B227" s="7" t="str">
        <f aca="false">HYPERLINK("https://twitter.com/notiven","@notiven")</f>
        <v>@notiven</v>
      </c>
      <c r="C227" s="8" t="s">
        <v>699</v>
      </c>
      <c r="D227" s="8" t="s">
        <v>700</v>
      </c>
      <c r="E227" s="9" t="str">
        <f aca="false">HYPERLINK("https://twitter.com/notiven/status/921266181037871105","921266181037871105")</f>
        <v>921266181037871105</v>
      </c>
      <c r="F227" s="10" t="s">
        <v>701</v>
      </c>
      <c r="G227" s="10" t="n">
        <v>51347</v>
      </c>
      <c r="H227" s="10" t="n">
        <v>193</v>
      </c>
      <c r="I227" s="10" t="n">
        <v>0</v>
      </c>
      <c r="J227" s="10" t="n">
        <v>0</v>
      </c>
      <c r="K227" s="10" t="s">
        <v>20</v>
      </c>
      <c r="L227" s="11" t="n">
        <v>39235.5805787037</v>
      </c>
      <c r="M227" s="12" t="s">
        <v>702</v>
      </c>
      <c r="N227" s="12" t="s">
        <v>703</v>
      </c>
      <c r="O227" s="9" t="str">
        <f aca="false">HYPERLINK("https://pbs.twimg.com/profile_images/799317731648606208/vbXQCdts_normal.jpg","View")</f>
        <v>View</v>
      </c>
      <c r="P227" s="10"/>
    </row>
    <row r="228" customFormat="false" ht="15.75" hidden="false" customHeight="false" outlineLevel="0" collapsed="false">
      <c r="A228" s="6" t="n">
        <v>43027.9902546296</v>
      </c>
      <c r="B228" s="7" t="str">
        <f aca="false">HYPERLINK("https://twitter.com/anikadamali","@anikadamali")</f>
        <v>@anikadamali</v>
      </c>
      <c r="C228" s="8" t="s">
        <v>704</v>
      </c>
      <c r="D228" s="8" t="s">
        <v>705</v>
      </c>
      <c r="E228" s="9" t="str">
        <f aca="false">HYPERLINK("https://twitter.com/anikadamali/status/921266221856813056","921266221856813056")</f>
        <v>921266221856813056</v>
      </c>
      <c r="F228" s="10" t="s">
        <v>51</v>
      </c>
      <c r="G228" s="10" t="n">
        <v>1035</v>
      </c>
      <c r="H228" s="10" t="n">
        <v>812</v>
      </c>
      <c r="I228" s="10" t="n">
        <v>60</v>
      </c>
      <c r="J228" s="10" t="n">
        <v>0</v>
      </c>
      <c r="K228" s="10" t="s">
        <v>20</v>
      </c>
      <c r="L228" s="11" t="n">
        <v>41040.068287037</v>
      </c>
      <c r="M228" s="12" t="s">
        <v>706</v>
      </c>
      <c r="N228" s="12" t="s">
        <v>707</v>
      </c>
      <c r="O228" s="9" t="str">
        <f aca="false">HYPERLINK("https://pbs.twimg.com/profile_images/902977668739682305/vKY4BFjA_normal.jpg","View")</f>
        <v>View</v>
      </c>
      <c r="P228" s="10"/>
    </row>
    <row r="229" customFormat="false" ht="15.75" hidden="false" customHeight="false" outlineLevel="0" collapsed="false">
      <c r="A229" s="6" t="n">
        <v>43027.9903009259</v>
      </c>
      <c r="B229" s="7" t="str">
        <f aca="false">HYPERLINK("https://twitter.com/okbc99","@okbc99")</f>
        <v>@okbc99</v>
      </c>
      <c r="C229" s="8" t="s">
        <v>708</v>
      </c>
      <c r="D229" s="8" t="s">
        <v>705</v>
      </c>
      <c r="E229" s="9" t="str">
        <f aca="false">HYPERLINK("https://twitter.com/okbc99/status/921266238654783488","921266238654783488")</f>
        <v>921266238654783488</v>
      </c>
      <c r="F229" s="10" t="s">
        <v>39</v>
      </c>
      <c r="G229" s="10" t="n">
        <v>936</v>
      </c>
      <c r="H229" s="10" t="n">
        <v>512</v>
      </c>
      <c r="I229" s="10" t="n">
        <v>60</v>
      </c>
      <c r="J229" s="10" t="n">
        <v>0</v>
      </c>
      <c r="K229" s="10" t="s">
        <v>20</v>
      </c>
      <c r="L229" s="11" t="n">
        <v>40087.3157060185</v>
      </c>
      <c r="M229" s="13" t="s">
        <v>709</v>
      </c>
      <c r="N229" s="13" t="s">
        <v>710</v>
      </c>
      <c r="O229" s="9" t="str">
        <f aca="false">HYPERLINK("https://pbs.twimg.com/profile_images/481960353664737280/6hiT3vPp_normal.jpeg","View")</f>
        <v>View</v>
      </c>
      <c r="P229" s="10"/>
    </row>
    <row r="230" customFormat="false" ht="15.75" hidden="false" customHeight="false" outlineLevel="0" collapsed="false">
      <c r="A230" s="6" t="n">
        <v>43027.9903125</v>
      </c>
      <c r="B230" s="7" t="str">
        <f aca="false">HYPERLINK("https://twitter.com/deduped_nytimes","@deduped_nytimes")</f>
        <v>@deduped_nytimes</v>
      </c>
      <c r="C230" s="8" t="s">
        <v>711</v>
      </c>
      <c r="D230" s="8" t="s">
        <v>705</v>
      </c>
      <c r="E230" s="9" t="str">
        <f aca="false">HYPERLINK("https://twitter.com/deduped_nytimes/status/921266243742572544","921266243742572544")</f>
        <v>921266243742572544</v>
      </c>
      <c r="F230" s="10" t="s">
        <v>711</v>
      </c>
      <c r="G230" s="10" t="n">
        <v>367</v>
      </c>
      <c r="H230" s="10" t="n">
        <v>2</v>
      </c>
      <c r="I230" s="10" t="n">
        <v>60</v>
      </c>
      <c r="J230" s="10" t="n">
        <v>0</v>
      </c>
      <c r="K230" s="10" t="s">
        <v>20</v>
      </c>
      <c r="L230" s="11" t="n">
        <v>42219.335474537</v>
      </c>
      <c r="M230" s="12"/>
      <c r="N230" s="12"/>
      <c r="O230" s="9" t="str">
        <f aca="false">HYPERLINK("https://abs.twimg.com/sticky/default_profile_images/default_profile_normal.png","View")</f>
        <v>View</v>
      </c>
      <c r="P230" s="10"/>
    </row>
    <row r="231" customFormat="false" ht="15.75" hidden="false" customHeight="false" outlineLevel="0" collapsed="false">
      <c r="A231" s="6" t="n">
        <v>43027.9904861111</v>
      </c>
      <c r="B231" s="7" t="str">
        <f aca="false">HYPERLINK("https://twitter.com/electro_edward","@electro_edward")</f>
        <v>@electro_edward</v>
      </c>
      <c r="C231" s="8" t="s">
        <v>447</v>
      </c>
      <c r="D231" s="8" t="s">
        <v>712</v>
      </c>
      <c r="E231" s="9" t="str">
        <f aca="false">HYPERLINK("https://twitter.com/electro_edward/status/921266306015485954","921266306015485954")</f>
        <v>921266306015485954</v>
      </c>
      <c r="F231" s="10" t="s">
        <v>60</v>
      </c>
      <c r="G231" s="10" t="n">
        <v>73</v>
      </c>
      <c r="H231" s="10" t="n">
        <v>205</v>
      </c>
      <c r="I231" s="10" t="n">
        <v>0</v>
      </c>
      <c r="J231" s="10" t="n">
        <v>0</v>
      </c>
      <c r="K231" s="10" t="s">
        <v>20</v>
      </c>
      <c r="L231" s="11" t="n">
        <v>42798.5793981482</v>
      </c>
      <c r="M231" s="12" t="s">
        <v>449</v>
      </c>
      <c r="N231" s="12" t="s">
        <v>450</v>
      </c>
      <c r="O231" s="9" t="str">
        <f aca="false">HYPERLINK("https://pbs.twimg.com/profile_images/838145976976228352/5Plqe1bE_normal.jpg","View")</f>
        <v>View</v>
      </c>
      <c r="P231" s="10"/>
    </row>
    <row r="232" customFormat="false" ht="15.75" hidden="false" customHeight="false" outlineLevel="0" collapsed="false">
      <c r="A232" s="6" t="n">
        <v>43027.9905787037</v>
      </c>
      <c r="B232" s="7" t="str">
        <f aca="false">HYPERLINK("https://twitter.com/tufs_tyuwan0616","@tufs_tyuwan0616")</f>
        <v>@tufs_tyuwan0616</v>
      </c>
      <c r="C232" s="14" t="s">
        <v>713</v>
      </c>
      <c r="D232" s="8" t="s">
        <v>705</v>
      </c>
      <c r="E232" s="9" t="str">
        <f aca="false">HYPERLINK("https://twitter.com/tufs_tyuwan0616/status/921266338294775808","921266338294775808")</f>
        <v>921266338294775808</v>
      </c>
      <c r="F232" s="10" t="s">
        <v>51</v>
      </c>
      <c r="G232" s="10" t="n">
        <v>702</v>
      </c>
      <c r="H232" s="10" t="n">
        <v>529</v>
      </c>
      <c r="I232" s="10" t="n">
        <v>60</v>
      </c>
      <c r="J232" s="10" t="n">
        <v>0</v>
      </c>
      <c r="K232" s="10" t="s">
        <v>20</v>
      </c>
      <c r="L232" s="11" t="n">
        <v>41428.9066319444</v>
      </c>
      <c r="M232" s="12"/>
      <c r="N232" s="13" t="s">
        <v>714</v>
      </c>
      <c r="O232" s="9" t="str">
        <f aca="false">HYPERLINK("https://pbs.twimg.com/profile_images/914512250735517696/_GvQzzcZ_normal.jpg","View")</f>
        <v>View</v>
      </c>
      <c r="P232" s="10"/>
    </row>
    <row r="233" customFormat="false" ht="15.75" hidden="false" customHeight="false" outlineLevel="0" collapsed="false">
      <c r="A233" s="6" t="n">
        <v>43027.9906828704</v>
      </c>
      <c r="B233" s="7" t="str">
        <f aca="false">HYPERLINK("https://twitter.com/NarrendraM","@NarrendraM")</f>
        <v>@NarrendraM</v>
      </c>
      <c r="C233" s="8" t="s">
        <v>468</v>
      </c>
      <c r="D233" s="8" t="s">
        <v>715</v>
      </c>
      <c r="E233" s="9" t="str">
        <f aca="false">HYPERLINK("https://twitter.com/NarrendraM/status/921266377960325120","921266377960325120")</f>
        <v>921266377960325120</v>
      </c>
      <c r="F233" s="10" t="s">
        <v>60</v>
      </c>
      <c r="G233" s="10" t="n">
        <v>1999</v>
      </c>
      <c r="H233" s="10" t="n">
        <v>252</v>
      </c>
      <c r="I233" s="10" t="n">
        <v>0</v>
      </c>
      <c r="J233" s="10" t="n">
        <v>0</v>
      </c>
      <c r="K233" s="10" t="s">
        <v>20</v>
      </c>
      <c r="L233" s="11" t="n">
        <v>42471.0737037037</v>
      </c>
      <c r="M233" s="12" t="s">
        <v>253</v>
      </c>
      <c r="N233" s="12" t="s">
        <v>470</v>
      </c>
      <c r="O233" s="9" t="str">
        <f aca="false">HYPERLINK("https://pbs.twimg.com/profile_images/743939643738034176/WkGloI0u_normal.jpg","View")</f>
        <v>View</v>
      </c>
      <c r="P233" s="10"/>
    </row>
    <row r="234" customFormat="false" ht="15.75" hidden="false" customHeight="false" outlineLevel="0" collapsed="false">
      <c r="A234" s="6" t="n">
        <v>43027.9908333333</v>
      </c>
      <c r="B234" s="7" t="str">
        <f aca="false">HYPERLINK("https://twitter.com/nathi_sukazi","@nathi_sukazi")</f>
        <v>@nathi_sukazi</v>
      </c>
      <c r="C234" s="8" t="s">
        <v>716</v>
      </c>
      <c r="D234" s="8" t="s">
        <v>705</v>
      </c>
      <c r="E234" s="9" t="str">
        <f aca="false">HYPERLINK("https://twitter.com/nathi_sukazi/status/921266434315038720","921266434315038720")</f>
        <v>921266434315038720</v>
      </c>
      <c r="F234" s="10" t="s">
        <v>51</v>
      </c>
      <c r="G234" s="10" t="n">
        <v>397</v>
      </c>
      <c r="H234" s="10" t="n">
        <v>1284</v>
      </c>
      <c r="I234" s="10" t="n">
        <v>60</v>
      </c>
      <c r="J234" s="10" t="n">
        <v>0</v>
      </c>
      <c r="K234" s="10" t="s">
        <v>20</v>
      </c>
      <c r="L234" s="11" t="n">
        <v>41141.4397453704</v>
      </c>
      <c r="M234" s="12" t="s">
        <v>717</v>
      </c>
      <c r="N234" s="12" t="s">
        <v>718</v>
      </c>
      <c r="O234" s="9" t="str">
        <f aca="false">HYPERLINK("https://pbs.twimg.com/profile_images/736475405721440257/gAKaN8BH_normal.jpg","View")</f>
        <v>View</v>
      </c>
      <c r="P234" s="10"/>
    </row>
    <row r="235" customFormat="false" ht="15.75" hidden="false" customHeight="false" outlineLevel="0" collapsed="false">
      <c r="A235" s="6" t="n">
        <v>43027.9909143519</v>
      </c>
      <c r="B235" s="7" t="str">
        <f aca="false">HYPERLINK("https://twitter.com/Kingmakertweet","@Kingmakertweet")</f>
        <v>@Kingmakertweet</v>
      </c>
      <c r="C235" s="8" t="s">
        <v>719</v>
      </c>
      <c r="D235" s="8" t="s">
        <v>705</v>
      </c>
      <c r="E235" s="9" t="str">
        <f aca="false">HYPERLINK("https://twitter.com/Kingmakertweet/status/921266460764205056","921266460764205056")</f>
        <v>921266460764205056</v>
      </c>
      <c r="F235" s="10" t="s">
        <v>25</v>
      </c>
      <c r="G235" s="10" t="n">
        <v>139</v>
      </c>
      <c r="H235" s="10" t="n">
        <v>67</v>
      </c>
      <c r="I235" s="10" t="n">
        <v>60</v>
      </c>
      <c r="J235" s="10" t="n">
        <v>0</v>
      </c>
      <c r="K235" s="10" t="s">
        <v>20</v>
      </c>
      <c r="L235" s="11" t="n">
        <v>41053.0465046296</v>
      </c>
      <c r="M235" s="12"/>
      <c r="N235" s="13" t="s">
        <v>720</v>
      </c>
      <c r="O235" s="9" t="str">
        <f aca="false">HYPERLINK("https://pbs.twimg.com/profile_images/836959111707123712/vw98l-VT_normal.jpg","View")</f>
        <v>View</v>
      </c>
      <c r="P235" s="10"/>
    </row>
    <row r="236" customFormat="false" ht="15.75" hidden="false" customHeight="false" outlineLevel="0" collapsed="false">
      <c r="A236" s="6" t="n">
        <v>43027.9910185185</v>
      </c>
      <c r="B236" s="7" t="str">
        <f aca="false">HYPERLINK("https://twitter.com/Spencer2490","@Spencer2490")</f>
        <v>@Spencer2490</v>
      </c>
      <c r="C236" s="8" t="s">
        <v>721</v>
      </c>
      <c r="D236" s="8" t="s">
        <v>722</v>
      </c>
      <c r="E236" s="9" t="str">
        <f aca="false">HYPERLINK("https://twitter.com/Spencer2490/status/921266498366328832","921266498366328832")</f>
        <v>921266498366328832</v>
      </c>
      <c r="F236" s="10" t="s">
        <v>60</v>
      </c>
      <c r="G236" s="10" t="n">
        <v>75</v>
      </c>
      <c r="H236" s="10" t="n">
        <v>27</v>
      </c>
      <c r="I236" s="10" t="n">
        <v>0</v>
      </c>
      <c r="J236" s="10" t="n">
        <v>0</v>
      </c>
      <c r="K236" s="10" t="s">
        <v>20</v>
      </c>
      <c r="L236" s="11" t="n">
        <v>42798.5306365741</v>
      </c>
      <c r="M236" s="12" t="s">
        <v>723</v>
      </c>
      <c r="N236" s="12" t="s">
        <v>724</v>
      </c>
      <c r="O236" s="9" t="str">
        <f aca="false">HYPERLINK("https://pbs.twimg.com/profile_images/838128931844866048/Y0cWQdEl_normal.jpg","View")</f>
        <v>View</v>
      </c>
      <c r="P236" s="10"/>
    </row>
    <row r="237" customFormat="false" ht="15.75" hidden="false" customHeight="false" outlineLevel="0" collapsed="false">
      <c r="A237" s="6" t="n">
        <v>43027.9910763889</v>
      </c>
      <c r="B237" s="7" t="str">
        <f aca="false">HYPERLINK("https://twitter.com/marydavies348","@marydavies348")</f>
        <v>@marydavies348</v>
      </c>
      <c r="C237" s="8" t="s">
        <v>725</v>
      </c>
      <c r="D237" s="8" t="s">
        <v>705</v>
      </c>
      <c r="E237" s="9" t="str">
        <f aca="false">HYPERLINK("https://twitter.com/marydavies348/status/921266521665568768","921266521665568768")</f>
        <v>921266521665568768</v>
      </c>
      <c r="F237" s="10" t="s">
        <v>25</v>
      </c>
      <c r="G237" s="10" t="n">
        <v>50</v>
      </c>
      <c r="H237" s="10" t="n">
        <v>151</v>
      </c>
      <c r="I237" s="10" t="n">
        <v>60</v>
      </c>
      <c r="J237" s="10" t="n">
        <v>0</v>
      </c>
      <c r="K237" s="10" t="s">
        <v>20</v>
      </c>
      <c r="L237" s="11" t="n">
        <v>42787.6704861111</v>
      </c>
      <c r="M237" s="12" t="s">
        <v>726</v>
      </c>
      <c r="N237" s="12"/>
      <c r="O237" s="9" t="str">
        <f aca="false">HYPERLINK("https://pbs.twimg.com/profile_images/919631425879625728/a0Odi9tm_normal.jpg","View")</f>
        <v>View</v>
      </c>
      <c r="P237" s="10"/>
    </row>
    <row r="238" customFormat="false" ht="15.75" hidden="false" customHeight="false" outlineLevel="0" collapsed="false">
      <c r="A238" s="6" t="n">
        <v>43027.9916319445</v>
      </c>
      <c r="B238" s="7" t="str">
        <f aca="false">HYPERLINK("https://twitter.com/DailyTucsonan","@DailyTucsonan")</f>
        <v>@DailyTucsonan</v>
      </c>
      <c r="C238" s="8" t="s">
        <v>727</v>
      </c>
      <c r="D238" s="8" t="s">
        <v>705</v>
      </c>
      <c r="E238" s="9" t="str">
        <f aca="false">HYPERLINK("https://twitter.com/DailyTucsonan/status/921266722627239936","921266722627239936")</f>
        <v>921266722627239936</v>
      </c>
      <c r="F238" s="10" t="s">
        <v>98</v>
      </c>
      <c r="G238" s="10" t="n">
        <v>508</v>
      </c>
      <c r="H238" s="10" t="n">
        <v>2736</v>
      </c>
      <c r="I238" s="10" t="n">
        <v>60</v>
      </c>
      <c r="J238" s="10" t="n">
        <v>0</v>
      </c>
      <c r="K238" s="10" t="s">
        <v>20</v>
      </c>
      <c r="L238" s="11" t="n">
        <v>41962.8109722222</v>
      </c>
      <c r="M238" s="12"/>
      <c r="N238" s="12" t="s">
        <v>728</v>
      </c>
      <c r="O238" s="9" t="str">
        <f aca="false">HYPERLINK("https://pbs.twimg.com/profile_images/576871348514856960/bgfR5ww2_normal.jpg","View")</f>
        <v>View</v>
      </c>
      <c r="P238" s="10"/>
    </row>
    <row r="239" customFormat="false" ht="15.75" hidden="false" customHeight="false" outlineLevel="0" collapsed="false">
      <c r="A239" s="6" t="n">
        <v>43027.991712963</v>
      </c>
      <c r="B239" s="7" t="str">
        <f aca="false">HYPERLINK("https://twitter.com/LilPepper5","@LilPepper5")</f>
        <v>@LilPepper5</v>
      </c>
      <c r="C239" s="8" t="s">
        <v>729</v>
      </c>
      <c r="D239" s="8" t="s">
        <v>705</v>
      </c>
      <c r="E239" s="9" t="str">
        <f aca="false">HYPERLINK("https://twitter.com/LilPepper5/status/921266750439563266","921266750439563266")</f>
        <v>921266750439563266</v>
      </c>
      <c r="F239" s="10" t="s">
        <v>51</v>
      </c>
      <c r="G239" s="10" t="n">
        <v>329</v>
      </c>
      <c r="H239" s="10" t="n">
        <v>594</v>
      </c>
      <c r="I239" s="10" t="n">
        <v>60</v>
      </c>
      <c r="J239" s="10" t="n">
        <v>0</v>
      </c>
      <c r="K239" s="10" t="s">
        <v>20</v>
      </c>
      <c r="L239" s="11" t="n">
        <v>42756.0841087963</v>
      </c>
      <c r="M239" s="12"/>
      <c r="N239" s="12"/>
      <c r="O239" s="9" t="str">
        <f aca="false">HYPERLINK("https://pbs.twimg.com/profile_images/825766030853107714/IFpbmASk_normal.jpg","View")</f>
        <v>View</v>
      </c>
      <c r="P239" s="10"/>
    </row>
    <row r="240" customFormat="false" ht="15.75" hidden="false" customHeight="false" outlineLevel="0" collapsed="false">
      <c r="A240" s="6" t="n">
        <v>43027.9920023148</v>
      </c>
      <c r="B240" s="7" t="str">
        <f aca="false">HYPERLINK("https://twitter.com/usyername","@usyername")</f>
        <v>@usyername</v>
      </c>
      <c r="C240" s="8" t="s">
        <v>730</v>
      </c>
      <c r="D240" s="8" t="s">
        <v>731</v>
      </c>
      <c r="E240" s="9" t="str">
        <f aca="false">HYPERLINK("https://twitter.com/usyername/status/921266856673103873","921266856673103873")</f>
        <v>921266856673103873</v>
      </c>
      <c r="F240" s="10" t="s">
        <v>60</v>
      </c>
      <c r="G240" s="10" t="n">
        <v>7</v>
      </c>
      <c r="H240" s="10" t="n">
        <v>0</v>
      </c>
      <c r="I240" s="10" t="n">
        <v>0</v>
      </c>
      <c r="J240" s="10" t="n">
        <v>0</v>
      </c>
      <c r="K240" s="10" t="s">
        <v>20</v>
      </c>
      <c r="L240" s="11" t="n">
        <v>43009.7810763889</v>
      </c>
      <c r="M240" s="12"/>
      <c r="N240" s="12"/>
      <c r="O240" s="9" t="str">
        <f aca="false">HYPERLINK("https://pbs.twimg.com/profile_images/916502409580392448/6PpLTsL5_normal.jpg","View")</f>
        <v>View</v>
      </c>
      <c r="P240" s="10"/>
    </row>
    <row r="241" customFormat="false" ht="15.75" hidden="false" customHeight="false" outlineLevel="0" collapsed="false">
      <c r="A241" s="6" t="n">
        <v>43027.992025463</v>
      </c>
      <c r="B241" s="7" t="str">
        <f aca="false">HYPERLINK("https://twitter.com/tevhyngx","@tevhyngx")</f>
        <v>@tevhyngx</v>
      </c>
      <c r="C241" s="8" t="s">
        <v>732</v>
      </c>
      <c r="D241" s="8" t="s">
        <v>733</v>
      </c>
      <c r="E241" s="9" t="str">
        <f aca="false">HYPERLINK("https://twitter.com/tevhyngx/status/921266866236067840","921266866236067840")</f>
        <v>921266866236067840</v>
      </c>
      <c r="F241" s="10" t="s">
        <v>60</v>
      </c>
      <c r="G241" s="10" t="n">
        <v>4023</v>
      </c>
      <c r="H241" s="10" t="n">
        <v>188</v>
      </c>
      <c r="I241" s="10" t="n">
        <v>0</v>
      </c>
      <c r="J241" s="10" t="n">
        <v>0</v>
      </c>
      <c r="K241" s="10" t="s">
        <v>20</v>
      </c>
      <c r="L241" s="11" t="n">
        <v>41733.8101157407</v>
      </c>
      <c r="M241" s="12" t="s">
        <v>734</v>
      </c>
      <c r="N241" s="12" t="s">
        <v>735</v>
      </c>
      <c r="O241" s="9" t="str">
        <f aca="false">HYPERLINK("https://pbs.twimg.com/profile_images/922553402642505728/vxoeD4md_normal.jpg","View")</f>
        <v>View</v>
      </c>
      <c r="P241" s="10"/>
    </row>
    <row r="242" customFormat="false" ht="15.75" hidden="false" customHeight="false" outlineLevel="0" collapsed="false">
      <c r="A242" s="6" t="n">
        <v>43027.9921296296</v>
      </c>
      <c r="B242" s="7" t="str">
        <f aca="false">HYPERLINK("https://twitter.com/nytimes_once","@nytimes_once")</f>
        <v>@nytimes_once</v>
      </c>
      <c r="C242" s="8" t="s">
        <v>736</v>
      </c>
      <c r="D242" s="8" t="s">
        <v>705</v>
      </c>
      <c r="E242" s="9" t="str">
        <f aca="false">HYPERLINK("https://twitter.com/nytimes_once/status/921266902281936897","921266902281936897")</f>
        <v>921266902281936897</v>
      </c>
      <c r="F242" s="10" t="s">
        <v>737</v>
      </c>
      <c r="G242" s="10" t="n">
        <v>122</v>
      </c>
      <c r="H242" s="10" t="n">
        <v>0</v>
      </c>
      <c r="I242" s="10" t="n">
        <v>60</v>
      </c>
      <c r="J242" s="10" t="n">
        <v>0</v>
      </c>
      <c r="K242" s="10" t="s">
        <v>20</v>
      </c>
      <c r="L242" s="11" t="n">
        <v>42758.8869907407</v>
      </c>
      <c r="M242" s="12"/>
      <c r="N242" s="12" t="s">
        <v>738</v>
      </c>
      <c r="O242" s="9" t="str">
        <f aca="false">HYPERLINK("https://pbs.twimg.com/profile_images/823939699064635394/GOLl9pSK_normal.jpg","View")</f>
        <v>View</v>
      </c>
      <c r="P242" s="10"/>
    </row>
    <row r="243" customFormat="false" ht="15.75" hidden="false" customHeight="false" outlineLevel="0" collapsed="false">
      <c r="A243" s="6" t="n">
        <v>43027.9921875</v>
      </c>
      <c r="B243" s="7" t="str">
        <f aca="false">HYPERLINK("https://twitter.com/aminusfu_drip","@aminusfu_drip")</f>
        <v>@aminusfu_drip</v>
      </c>
      <c r="C243" s="8" t="s">
        <v>739</v>
      </c>
      <c r="D243" s="8" t="s">
        <v>705</v>
      </c>
      <c r="E243" s="9" t="str">
        <f aca="false">HYPERLINK("https://twitter.com/aminusfu_drip/status/921266921785487360","921266921785487360")</f>
        <v>921266921785487360</v>
      </c>
      <c r="F243" s="10" t="s">
        <v>740</v>
      </c>
      <c r="G243" s="10" t="n">
        <v>106</v>
      </c>
      <c r="H243" s="10" t="n">
        <v>2</v>
      </c>
      <c r="I243" s="10" t="n">
        <v>60</v>
      </c>
      <c r="J243" s="10" t="n">
        <v>0</v>
      </c>
      <c r="K243" s="10" t="s">
        <v>20</v>
      </c>
      <c r="L243" s="11" t="n">
        <v>42846.4444907408</v>
      </c>
      <c r="M243" s="12"/>
      <c r="N243" s="12" t="s">
        <v>741</v>
      </c>
      <c r="O243" s="9" t="str">
        <f aca="false">HYPERLINK("https://pbs.twimg.com/profile_images/855496077251723264/R1iXnVvW_normal.jpg","View")</f>
        <v>View</v>
      </c>
      <c r="P243" s="10"/>
    </row>
    <row r="244" customFormat="false" ht="15.75" hidden="false" customHeight="false" outlineLevel="0" collapsed="false">
      <c r="A244" s="6" t="n">
        <v>43027.9925</v>
      </c>
      <c r="B244" s="7" t="str">
        <f aca="false">HYPERLINK("https://twitter.com/Senlac_Hill","@Senlac_Hill")</f>
        <v>@Senlac_Hill</v>
      </c>
      <c r="C244" s="8" t="s">
        <v>742</v>
      </c>
      <c r="D244" s="8" t="s">
        <v>743</v>
      </c>
      <c r="E244" s="9" t="str">
        <f aca="false">HYPERLINK("https://twitter.com/Senlac_Hill/status/921267038286438400","921267038286438400")</f>
        <v>921267038286438400</v>
      </c>
      <c r="F244" s="10" t="s">
        <v>60</v>
      </c>
      <c r="G244" s="10" t="n">
        <v>1498</v>
      </c>
      <c r="H244" s="10" t="n">
        <v>2328</v>
      </c>
      <c r="I244" s="10" t="n">
        <v>0</v>
      </c>
      <c r="J244" s="10" t="n">
        <v>0</v>
      </c>
      <c r="K244" s="10" t="s">
        <v>20</v>
      </c>
      <c r="L244" s="11" t="n">
        <v>42451.0863773148</v>
      </c>
      <c r="M244" s="12" t="s">
        <v>203</v>
      </c>
      <c r="N244" s="12" t="s">
        <v>744</v>
      </c>
      <c r="O244" s="9" t="str">
        <f aca="false">HYPERLINK("https://pbs.twimg.com/profile_images/712205130024755201/K0Or7Lj-_normal.jpg","View")</f>
        <v>View</v>
      </c>
      <c r="P244" s="10"/>
    </row>
    <row r="245" customFormat="false" ht="15.75" hidden="false" customHeight="false" outlineLevel="0" collapsed="false">
      <c r="A245" s="6" t="n">
        <v>43027.9925694444</v>
      </c>
      <c r="B245" s="7" t="str">
        <f aca="false">HYPERLINK("https://twitter.com/dibakarme","@dibakarme")</f>
        <v>@dibakarme</v>
      </c>
      <c r="C245" s="8" t="s">
        <v>745</v>
      </c>
      <c r="D245" s="8" t="s">
        <v>746</v>
      </c>
      <c r="E245" s="9" t="str">
        <f aca="false">HYPERLINK("https://twitter.com/dibakarme/status/921267063531991041","921267063531991041")</f>
        <v>921267063531991041</v>
      </c>
      <c r="F245" s="10" t="s">
        <v>60</v>
      </c>
      <c r="G245" s="10" t="n">
        <v>1395</v>
      </c>
      <c r="H245" s="10" t="n">
        <v>4852</v>
      </c>
      <c r="I245" s="10" t="n">
        <v>0</v>
      </c>
      <c r="J245" s="10" t="n">
        <v>0</v>
      </c>
      <c r="K245" s="10" t="s">
        <v>20</v>
      </c>
      <c r="L245" s="11" t="n">
        <v>41314.1230671296</v>
      </c>
      <c r="M245" s="12" t="s">
        <v>747</v>
      </c>
      <c r="N245" s="12" t="s">
        <v>748</v>
      </c>
      <c r="O245" s="9" t="str">
        <f aca="false">HYPERLINK("https://pbs.twimg.com/profile_images/916070941481951232/hiUaouzl_normal.jpg","View")</f>
        <v>View</v>
      </c>
      <c r="P245" s="10"/>
    </row>
    <row r="246" customFormat="false" ht="15.75" hidden="false" customHeight="false" outlineLevel="0" collapsed="false">
      <c r="A246" s="6" t="n">
        <v>43027.9926388889</v>
      </c>
      <c r="B246" s="7" t="str">
        <f aca="false">HYPERLINK("https://twitter.com/Sorgitzak","@Sorgitzak")</f>
        <v>@Sorgitzak</v>
      </c>
      <c r="C246" s="8" t="s">
        <v>421</v>
      </c>
      <c r="D246" s="8" t="s">
        <v>749</v>
      </c>
      <c r="E246" s="9" t="str">
        <f aca="false">HYPERLINK("https://twitter.com/Sorgitzak/status/921267085220765696","921267085220765696")</f>
        <v>921267085220765696</v>
      </c>
      <c r="F246" s="10" t="s">
        <v>60</v>
      </c>
      <c r="G246" s="10" t="n">
        <v>719</v>
      </c>
      <c r="H246" s="10" t="n">
        <v>1309</v>
      </c>
      <c r="I246" s="10" t="n">
        <v>0</v>
      </c>
      <c r="J246" s="10" t="n">
        <v>0</v>
      </c>
      <c r="K246" s="10" t="s">
        <v>20</v>
      </c>
      <c r="L246" s="11" t="n">
        <v>39990.5521527778</v>
      </c>
      <c r="M246" s="12" t="s">
        <v>423</v>
      </c>
      <c r="N246" s="12"/>
      <c r="O246" s="9" t="str">
        <f aca="false">HYPERLINK("https://pbs.twimg.com/profile_images/284404970/sorgitzak_normal.JPG","View")</f>
        <v>View</v>
      </c>
      <c r="P246" s="10"/>
    </row>
    <row r="247" customFormat="false" ht="15.75" hidden="false" customHeight="false" outlineLevel="0" collapsed="false">
      <c r="A247" s="6" t="n">
        <v>43027.9926388889</v>
      </c>
      <c r="B247" s="7" t="str">
        <f aca="false">HYPERLINK("https://twitter.com/SocialLifeLA","@SocialLifeLA")</f>
        <v>@SocialLifeLA</v>
      </c>
      <c r="C247" s="8" t="s">
        <v>750</v>
      </c>
      <c r="D247" s="8" t="s">
        <v>751</v>
      </c>
      <c r="E247" s="9" t="str">
        <f aca="false">HYPERLINK("https://twitter.com/SocialLifeLA/status/921267086139248640","921267086139248640")</f>
        <v>921267086139248640</v>
      </c>
      <c r="F247" s="10" t="s">
        <v>60</v>
      </c>
      <c r="G247" s="10" t="n">
        <v>200</v>
      </c>
      <c r="H247" s="10" t="n">
        <v>60</v>
      </c>
      <c r="I247" s="10" t="n">
        <v>0</v>
      </c>
      <c r="J247" s="10" t="n">
        <v>0</v>
      </c>
      <c r="K247" s="10" t="s">
        <v>20</v>
      </c>
      <c r="L247" s="11" t="n">
        <v>42604.7538078704</v>
      </c>
      <c r="M247" s="12" t="s">
        <v>752</v>
      </c>
      <c r="N247" s="12" t="s">
        <v>753</v>
      </c>
      <c r="O247" s="9" t="str">
        <f aca="false">HYPERLINK("https://pbs.twimg.com/profile_images/767891928948023296/dUdnMBLO_normal.jpg","View")</f>
        <v>View</v>
      </c>
      <c r="P247" s="10"/>
    </row>
    <row r="248" customFormat="false" ht="15.75" hidden="false" customHeight="false" outlineLevel="0" collapsed="false">
      <c r="A248" s="6" t="n">
        <v>43027.9927199074</v>
      </c>
      <c r="B248" s="7" t="str">
        <f aca="false">HYPERLINK("https://twitter.com/clauigee","@clauigee")</f>
        <v>@clauigee</v>
      </c>
      <c r="C248" s="8" t="s">
        <v>754</v>
      </c>
      <c r="D248" s="8" t="s">
        <v>705</v>
      </c>
      <c r="E248" s="9" t="str">
        <f aca="false">HYPERLINK("https://twitter.com/clauigee/status/921267116514295808","921267116514295808")</f>
        <v>921267116514295808</v>
      </c>
      <c r="F248" s="10" t="s">
        <v>51</v>
      </c>
      <c r="G248" s="10" t="n">
        <v>147</v>
      </c>
      <c r="H248" s="10" t="n">
        <v>223</v>
      </c>
      <c r="I248" s="10" t="n">
        <v>60</v>
      </c>
      <c r="J248" s="10" t="n">
        <v>0</v>
      </c>
      <c r="K248" s="10" t="s">
        <v>20</v>
      </c>
      <c r="L248" s="11" t="n">
        <v>40983.8728009259</v>
      </c>
      <c r="M248" s="12" t="s">
        <v>574</v>
      </c>
      <c r="N248" s="12" t="s">
        <v>755</v>
      </c>
      <c r="O248" s="9" t="str">
        <f aca="false">HYPERLINK("https://pbs.twimg.com/profile_images/895556396686508032/_QnyA5NI_normal.jpg","View")</f>
        <v>View</v>
      </c>
      <c r="P248" s="10"/>
    </row>
    <row r="249" customFormat="false" ht="15.75" hidden="false" customHeight="false" outlineLevel="0" collapsed="false">
      <c r="A249" s="6" t="n">
        <v>43027.9929282407</v>
      </c>
      <c r="B249" s="7" t="str">
        <f aca="false">HYPERLINK("https://twitter.com/zoquaiy","@zoquaiy")</f>
        <v>@zoquaiy</v>
      </c>
      <c r="C249" s="8" t="s">
        <v>756</v>
      </c>
      <c r="D249" s="8" t="s">
        <v>705</v>
      </c>
      <c r="E249" s="9" t="str">
        <f aca="false">HYPERLINK("https://twitter.com/zoquaiy/status/921267190912901120","921267190912901120")</f>
        <v>921267190912901120</v>
      </c>
      <c r="F249" s="10" t="s">
        <v>25</v>
      </c>
      <c r="G249" s="10" t="n">
        <v>228</v>
      </c>
      <c r="H249" s="10" t="n">
        <v>79</v>
      </c>
      <c r="I249" s="10" t="n">
        <v>60</v>
      </c>
      <c r="J249" s="10" t="n">
        <v>0</v>
      </c>
      <c r="K249" s="10" t="s">
        <v>20</v>
      </c>
      <c r="L249" s="11" t="n">
        <v>42943.3029398148</v>
      </c>
      <c r="M249" s="12" t="n">
        <v>5034</v>
      </c>
      <c r="N249" s="12" t="s">
        <v>757</v>
      </c>
      <c r="O249" s="9" t="str">
        <f aca="false">HYPERLINK("https://pbs.twimg.com/profile_images/914820528665325568/gk_EH6Ki_normal.jpg","View")</f>
        <v>View</v>
      </c>
      <c r="P249" s="10"/>
    </row>
    <row r="250" customFormat="false" ht="15.75" hidden="false" customHeight="false" outlineLevel="0" collapsed="false">
      <c r="A250" s="6" t="n">
        <v>43027.992962963</v>
      </c>
      <c r="B250" s="7" t="str">
        <f aca="false">HYPERLINK("https://twitter.com/VaNoRy","@VaNoRy")</f>
        <v>@VaNoRy</v>
      </c>
      <c r="C250" s="8" t="s">
        <v>758</v>
      </c>
      <c r="D250" s="8" t="s">
        <v>705</v>
      </c>
      <c r="E250" s="9" t="str">
        <f aca="false">HYPERLINK("https://twitter.com/VaNoRy/status/921267202963030016","921267202963030016")</f>
        <v>921267202963030016</v>
      </c>
      <c r="F250" s="10" t="s">
        <v>51</v>
      </c>
      <c r="G250" s="10" t="n">
        <v>3229</v>
      </c>
      <c r="H250" s="10" t="n">
        <v>362</v>
      </c>
      <c r="I250" s="10" t="n">
        <v>60</v>
      </c>
      <c r="J250" s="10" t="n">
        <v>0</v>
      </c>
      <c r="K250" s="10" t="s">
        <v>20</v>
      </c>
      <c r="L250" s="11" t="n">
        <v>40261.2566782407</v>
      </c>
      <c r="M250" s="12" t="s">
        <v>759</v>
      </c>
      <c r="N250" s="12" t="s">
        <v>760</v>
      </c>
      <c r="O250" s="9" t="str">
        <f aca="false">HYPERLINK("https://pbs.twimg.com/profile_images/908713434262282240/83v4glTf_normal.jpg","View")</f>
        <v>View</v>
      </c>
      <c r="P250" s="10"/>
    </row>
    <row r="251" customFormat="false" ht="15.75" hidden="false" customHeight="false" outlineLevel="0" collapsed="false">
      <c r="A251" s="6" t="n">
        <v>43027.993125</v>
      </c>
      <c r="B251" s="7" t="str">
        <f aca="false">HYPERLINK("https://twitter.com/nyt_rt","@nyt_rt")</f>
        <v>@nyt_rt</v>
      </c>
      <c r="C251" s="8" t="s">
        <v>761</v>
      </c>
      <c r="D251" s="8" t="s">
        <v>705</v>
      </c>
      <c r="E251" s="9" t="str">
        <f aca="false">HYPERLINK("https://twitter.com/nyt_rt/status/921267262543224833","921267262543224833")</f>
        <v>921267262543224833</v>
      </c>
      <c r="F251" s="10" t="s">
        <v>761</v>
      </c>
      <c r="G251" s="10" t="n">
        <v>20</v>
      </c>
      <c r="H251" s="10" t="n">
        <v>2</v>
      </c>
      <c r="I251" s="10" t="n">
        <v>60</v>
      </c>
      <c r="J251" s="10" t="n">
        <v>0</v>
      </c>
      <c r="K251" s="10" t="s">
        <v>20</v>
      </c>
      <c r="L251" s="11" t="n">
        <v>43016.9141087963</v>
      </c>
      <c r="M251" s="12"/>
      <c r="N251" s="12" t="s">
        <v>762</v>
      </c>
      <c r="O251" s="9" t="str">
        <f aca="false">HYPERLINK("https://pbs.twimg.com/profile_images/918798161174454278/x7sorwlx_normal.jpg","View")</f>
        <v>View</v>
      </c>
      <c r="P251" s="10"/>
    </row>
    <row r="252" customFormat="false" ht="15.75" hidden="false" customHeight="false" outlineLevel="0" collapsed="false">
      <c r="A252" s="6" t="n">
        <v>43027.9931712963</v>
      </c>
      <c r="B252" s="7" t="str">
        <f aca="false">HYPERLINK("https://twitter.com/kandemo","@kandemo")</f>
        <v>@kandemo</v>
      </c>
      <c r="C252" s="14" t="s">
        <v>763</v>
      </c>
      <c r="D252" s="8" t="s">
        <v>705</v>
      </c>
      <c r="E252" s="9" t="str">
        <f aca="false">HYPERLINK("https://twitter.com/kandemo/status/921267278947041280","921267278947041280")</f>
        <v>921267278947041280</v>
      </c>
      <c r="F252" s="10" t="s">
        <v>39</v>
      </c>
      <c r="G252" s="10" t="n">
        <v>586</v>
      </c>
      <c r="H252" s="10" t="n">
        <v>1308</v>
      </c>
      <c r="I252" s="10" t="n">
        <v>60</v>
      </c>
      <c r="J252" s="10" t="n">
        <v>0</v>
      </c>
      <c r="K252" s="10" t="s">
        <v>20</v>
      </c>
      <c r="L252" s="11" t="n">
        <v>39989.1151273148</v>
      </c>
      <c r="M252" s="13" t="s">
        <v>764</v>
      </c>
      <c r="N252" s="12"/>
      <c r="O252" s="9" t="str">
        <f aca="false">HYPERLINK("https://pbs.twimg.com/profile_images/1626818807/P7110111_normal.JPG","View")</f>
        <v>View</v>
      </c>
      <c r="P252" s="10"/>
    </row>
    <row r="253" customFormat="false" ht="15.75" hidden="false" customHeight="false" outlineLevel="0" collapsed="false">
      <c r="A253" s="6" t="n">
        <v>43027.9931828704</v>
      </c>
      <c r="B253" s="7" t="str">
        <f aca="false">HYPERLINK("https://twitter.com/hap_santos","@hap_santos")</f>
        <v>@hap_santos</v>
      </c>
      <c r="C253" s="8" t="s">
        <v>765</v>
      </c>
      <c r="D253" s="8" t="s">
        <v>766</v>
      </c>
      <c r="E253" s="9" t="str">
        <f aca="false">HYPERLINK("https://twitter.com/hap_santos/status/921267282667622400","921267282667622400")</f>
        <v>921267282667622400</v>
      </c>
      <c r="F253" s="10" t="s">
        <v>60</v>
      </c>
      <c r="G253" s="10" t="n">
        <v>41</v>
      </c>
      <c r="H253" s="10" t="n">
        <v>22</v>
      </c>
      <c r="I253" s="10" t="n">
        <v>0</v>
      </c>
      <c r="J253" s="10" t="n">
        <v>0</v>
      </c>
      <c r="K253" s="10" t="s">
        <v>20</v>
      </c>
      <c r="L253" s="11" t="n">
        <v>40300.4350231482</v>
      </c>
      <c r="M253" s="12" t="s">
        <v>767</v>
      </c>
      <c r="N253" s="12"/>
      <c r="O253" s="9" t="str">
        <f aca="false">HYPERLINK("https://pbs.twimg.com/profile_images/867658947/DSC04779_normal.JPG","View")</f>
        <v>View</v>
      </c>
      <c r="P253" s="10"/>
    </row>
    <row r="254" customFormat="false" ht="15.75" hidden="false" customHeight="false" outlineLevel="0" collapsed="false">
      <c r="A254" s="6" t="n">
        <v>43027.9932407407</v>
      </c>
      <c r="B254" s="7" t="str">
        <f aca="false">HYPERLINK("https://twitter.com/Jinycoung","@Jinycoung")</f>
        <v>@Jinycoung</v>
      </c>
      <c r="C254" s="8" t="s">
        <v>768</v>
      </c>
      <c r="D254" s="8" t="s">
        <v>769</v>
      </c>
      <c r="E254" s="9" t="str">
        <f aca="false">HYPERLINK("https://twitter.com/Jinycoung/status/921267305400676352","921267305400676352")</f>
        <v>921267305400676352</v>
      </c>
      <c r="F254" s="10" t="s">
        <v>60</v>
      </c>
      <c r="G254" s="10" t="n">
        <v>76</v>
      </c>
      <c r="H254" s="10" t="n">
        <v>49</v>
      </c>
      <c r="I254" s="10" t="n">
        <v>0</v>
      </c>
      <c r="J254" s="10" t="n">
        <v>0</v>
      </c>
      <c r="K254" s="10" t="s">
        <v>20</v>
      </c>
      <c r="L254" s="11" t="n">
        <v>40922.2551967593</v>
      </c>
      <c r="M254" s="12"/>
      <c r="N254" s="12" t="s">
        <v>770</v>
      </c>
      <c r="O254" s="9" t="str">
        <f aca="false">HYPERLINK("https://pbs.twimg.com/profile_images/893469567678205952/VgdXEOgi_normal.jpg","View")</f>
        <v>View</v>
      </c>
      <c r="P254" s="10"/>
    </row>
    <row r="255" customFormat="false" ht="15.75" hidden="false" customHeight="false" outlineLevel="0" collapsed="false">
      <c r="A255" s="6" t="n">
        <v>43027.9935416667</v>
      </c>
      <c r="B255" s="7" t="str">
        <f aca="false">HYPERLINK("https://twitter.com/pastor_keyworth","@pastor_keyworth")</f>
        <v>@pastor_keyworth</v>
      </c>
      <c r="C255" s="8" t="s">
        <v>771</v>
      </c>
      <c r="D255" s="8" t="s">
        <v>705</v>
      </c>
      <c r="E255" s="9" t="str">
        <f aca="false">HYPERLINK("https://twitter.com/pastor_keyworth/status/921267415266287616","921267415266287616")</f>
        <v>921267415266287616</v>
      </c>
      <c r="F255" s="10" t="s">
        <v>25</v>
      </c>
      <c r="G255" s="10" t="n">
        <v>888</v>
      </c>
      <c r="H255" s="10" t="n">
        <v>488</v>
      </c>
      <c r="I255" s="10" t="n">
        <v>60</v>
      </c>
      <c r="J255" s="10" t="n">
        <v>0</v>
      </c>
      <c r="K255" s="10" t="s">
        <v>20</v>
      </c>
      <c r="L255" s="11" t="n">
        <v>41842.4388194445</v>
      </c>
      <c r="M255" s="12"/>
      <c r="N255" s="12"/>
      <c r="O255" s="9" t="str">
        <f aca="false">HYPERLINK("https://pbs.twimg.com/profile_images/497480282136920066/pZxega8j_normal.png","View")</f>
        <v>View</v>
      </c>
      <c r="P255" s="10"/>
    </row>
    <row r="256" customFormat="false" ht="15.75" hidden="false" customHeight="false" outlineLevel="0" collapsed="false">
      <c r="A256" s="6" t="n">
        <v>43027.9939467593</v>
      </c>
      <c r="B256" s="7" t="str">
        <f aca="false">HYPERLINK("https://twitter.com/EnterateLine","@EnterateLine")</f>
        <v>@EnterateLine</v>
      </c>
      <c r="C256" s="8" t="s">
        <v>386</v>
      </c>
      <c r="D256" s="8" t="s">
        <v>772</v>
      </c>
      <c r="E256" s="9" t="str">
        <f aca="false">HYPERLINK("https://twitter.com/EnterateLine/status/921267561542701058","921267561542701058")</f>
        <v>921267561542701058</v>
      </c>
      <c r="F256" s="10" t="s">
        <v>60</v>
      </c>
      <c r="G256" s="10" t="n">
        <v>91</v>
      </c>
      <c r="H256" s="10" t="n">
        <v>287</v>
      </c>
      <c r="I256" s="10" t="n">
        <v>0</v>
      </c>
      <c r="J256" s="10" t="n">
        <v>0</v>
      </c>
      <c r="K256" s="10" t="s">
        <v>20</v>
      </c>
      <c r="L256" s="11" t="n">
        <v>42359.3627893519</v>
      </c>
      <c r="M256" s="12"/>
      <c r="N256" s="12" t="s">
        <v>388</v>
      </c>
      <c r="O256" s="9" t="str">
        <f aca="false">HYPERLINK("https://pbs.twimg.com/profile_images/678983367065473025/cUEB_npM_normal.png","View")</f>
        <v>View</v>
      </c>
      <c r="P256" s="10"/>
    </row>
    <row r="257" customFormat="false" ht="15.75" hidden="false" customHeight="false" outlineLevel="0" collapsed="false">
      <c r="A257" s="6" t="n">
        <v>43027.9940277778</v>
      </c>
      <c r="B257" s="7" t="str">
        <f aca="false">HYPERLINK("https://twitter.com/roripierpont1","@roripierpont1")</f>
        <v>@roripierpont1</v>
      </c>
      <c r="C257" s="8" t="s">
        <v>773</v>
      </c>
      <c r="D257" s="8" t="s">
        <v>705</v>
      </c>
      <c r="E257" s="9" t="str">
        <f aca="false">HYPERLINK("https://twitter.com/roripierpont1/status/921267590336602112","921267590336602112")</f>
        <v>921267590336602112</v>
      </c>
      <c r="F257" s="10" t="s">
        <v>177</v>
      </c>
      <c r="G257" s="10" t="n">
        <v>1332</v>
      </c>
      <c r="H257" s="10" t="n">
        <v>1587</v>
      </c>
      <c r="I257" s="10" t="n">
        <v>60</v>
      </c>
      <c r="J257" s="10" t="n">
        <v>0</v>
      </c>
      <c r="K257" s="10" t="s">
        <v>20</v>
      </c>
      <c r="L257" s="11" t="n">
        <v>42439.3340393519</v>
      </c>
      <c r="M257" s="12"/>
      <c r="N257" s="12"/>
      <c r="O257" s="9" t="str">
        <f aca="false">HYPERLINK("https://pbs.twimg.com/profile_images/707960856605302785/-nt7LTTB_normal.jpg","View")</f>
        <v>View</v>
      </c>
      <c r="P257" s="10"/>
    </row>
    <row r="258" customFormat="false" ht="15.75" hidden="false" customHeight="false" outlineLevel="0" collapsed="false">
      <c r="A258" s="6" t="n">
        <v>43027.9945833333</v>
      </c>
      <c r="B258" s="7" t="str">
        <f aca="false">HYPERLINK("https://twitter.com/the__himanish","@the__himanish")</f>
        <v>@the__himanish</v>
      </c>
      <c r="C258" s="8" t="s">
        <v>382</v>
      </c>
      <c r="D258" s="8" t="s">
        <v>774</v>
      </c>
      <c r="E258" s="9" t="str">
        <f aca="false">HYPERLINK("https://twitter.com/the__himanish/status/921267791558250496","921267791558250496")</f>
        <v>921267791558250496</v>
      </c>
      <c r="F258" s="10" t="s">
        <v>60</v>
      </c>
      <c r="G258" s="10" t="n">
        <v>1811</v>
      </c>
      <c r="H258" s="10" t="n">
        <v>1625</v>
      </c>
      <c r="I258" s="10" t="n">
        <v>0</v>
      </c>
      <c r="J258" s="10" t="n">
        <v>0</v>
      </c>
      <c r="K258" s="10" t="s">
        <v>20</v>
      </c>
      <c r="L258" s="11" t="n">
        <v>40222.1517824074</v>
      </c>
      <c r="M258" s="12" t="s">
        <v>87</v>
      </c>
      <c r="N258" s="12" t="s">
        <v>384</v>
      </c>
      <c r="O258" s="9" t="str">
        <f aca="false">HYPERLINK("https://pbs.twimg.com/profile_images/914165533918015489/A6iR_gz2_normal.jpg","View")</f>
        <v>View</v>
      </c>
      <c r="P258" s="10"/>
    </row>
    <row r="259" customFormat="false" ht="15.75" hidden="false" customHeight="false" outlineLevel="0" collapsed="false">
      <c r="A259" s="6" t="n">
        <v>43027.9947337963</v>
      </c>
      <c r="B259" s="7" t="str">
        <f aca="false">HYPERLINK("https://twitter.com/kankimura","@kankimura")</f>
        <v>@kankimura</v>
      </c>
      <c r="C259" s="8" t="s">
        <v>775</v>
      </c>
      <c r="D259" s="8" t="s">
        <v>705</v>
      </c>
      <c r="E259" s="9" t="str">
        <f aca="false">HYPERLINK("https://twitter.com/kankimura/status/921267847380189184","921267847380189184")</f>
        <v>921267847380189184</v>
      </c>
      <c r="F259" s="10" t="s">
        <v>51</v>
      </c>
      <c r="G259" s="10" t="n">
        <v>26502</v>
      </c>
      <c r="H259" s="10" t="n">
        <v>852</v>
      </c>
      <c r="I259" s="10" t="n">
        <v>60</v>
      </c>
      <c r="J259" s="10" t="n">
        <v>0</v>
      </c>
      <c r="K259" s="10" t="s">
        <v>20</v>
      </c>
      <c r="L259" s="11" t="n">
        <v>39510.2953935185</v>
      </c>
      <c r="M259" s="12" t="s">
        <v>776</v>
      </c>
      <c r="N259" s="13" t="s">
        <v>777</v>
      </c>
      <c r="O259" s="9" t="str">
        <f aca="false">HYPERLINK("https://pbs.twimg.com/profile_images/835828814374563840/Xy-shXdG_normal.jpg","View")</f>
        <v>View</v>
      </c>
      <c r="P259" s="10"/>
    </row>
    <row r="260" customFormat="false" ht="15.75" hidden="false" customHeight="false" outlineLevel="0" collapsed="false">
      <c r="A260" s="6" t="n">
        <v>43027.9947569445</v>
      </c>
      <c r="B260" s="7" t="str">
        <f aca="false">HYPERLINK("https://twitter.com/alpeshtwitting","@alpeshtwitting")</f>
        <v>@alpeshtwitting</v>
      </c>
      <c r="C260" s="8" t="s">
        <v>778</v>
      </c>
      <c r="D260" s="8" t="s">
        <v>779</v>
      </c>
      <c r="E260" s="9" t="str">
        <f aca="false">HYPERLINK("https://twitter.com/alpeshtwitting/status/921267854397251585","921267854397251585")</f>
        <v>921267854397251585</v>
      </c>
      <c r="F260" s="10" t="s">
        <v>98</v>
      </c>
      <c r="G260" s="10" t="n">
        <v>627</v>
      </c>
      <c r="H260" s="10" t="n">
        <v>2604</v>
      </c>
      <c r="I260" s="10" t="n">
        <v>1</v>
      </c>
      <c r="J260" s="10" t="n">
        <v>0</v>
      </c>
      <c r="K260" s="10" t="s">
        <v>20</v>
      </c>
      <c r="L260" s="11" t="n">
        <v>40227.1614814815</v>
      </c>
      <c r="M260" s="12" t="s">
        <v>253</v>
      </c>
      <c r="N260" s="12" t="s">
        <v>780</v>
      </c>
      <c r="O260" s="9" t="str">
        <f aca="false">HYPERLINK("https://pbs.twimg.com/profile_images/465880518098026496/f0c0OJWW_normal.jpeg","View")</f>
        <v>View</v>
      </c>
      <c r="P260" s="10"/>
    </row>
    <row r="261" customFormat="false" ht="15.75" hidden="false" customHeight="false" outlineLevel="0" collapsed="false">
      <c r="A261" s="6" t="n">
        <v>43027.9953240741</v>
      </c>
      <c r="B261" s="7" t="str">
        <f aca="false">HYPERLINK("https://twitter.com/Yongbiyn","@Yongbiyn")</f>
        <v>@Yongbiyn</v>
      </c>
      <c r="C261" s="8" t="s">
        <v>781</v>
      </c>
      <c r="D261" s="8" t="s">
        <v>782</v>
      </c>
      <c r="E261" s="9" t="str">
        <f aca="false">HYPERLINK("https://twitter.com/Yongbiyn/status/921268061583396864","921268061583396864")</f>
        <v>921268061583396864</v>
      </c>
      <c r="F261" s="10" t="s">
        <v>60</v>
      </c>
      <c r="G261" s="10" t="n">
        <v>5</v>
      </c>
      <c r="H261" s="10" t="n">
        <v>0</v>
      </c>
      <c r="I261" s="10" t="n">
        <v>0</v>
      </c>
      <c r="J261" s="10" t="n">
        <v>0</v>
      </c>
      <c r="K261" s="10" t="s">
        <v>20</v>
      </c>
      <c r="L261" s="11" t="n">
        <v>40627.1999884259</v>
      </c>
      <c r="M261" s="12"/>
      <c r="N261" s="12"/>
      <c r="O261" s="9" t="str">
        <f aca="false">HYPERLINK("https://pbs.twimg.com/profile_images/891142706415542272/ebuXhLzE_normal.jpg","View")</f>
        <v>View</v>
      </c>
      <c r="P261" s="10"/>
    </row>
    <row r="262" customFormat="false" ht="15.75" hidden="false" customHeight="false" outlineLevel="0" collapsed="false">
      <c r="A262" s="6" t="n">
        <v>43027.9953703704</v>
      </c>
      <c r="B262" s="7" t="str">
        <f aca="false">HYPERLINK("https://twitter.com/jfmusy","@jfmusy")</f>
        <v>@jfmusy</v>
      </c>
      <c r="C262" s="8" t="s">
        <v>783</v>
      </c>
      <c r="D262" s="8" t="s">
        <v>784</v>
      </c>
      <c r="E262" s="9" t="str">
        <f aca="false">HYPERLINK("https://twitter.com/jfmusy/status/921268074933817344","921268074933817344")</f>
        <v>921268074933817344</v>
      </c>
      <c r="F262" s="10" t="s">
        <v>60</v>
      </c>
      <c r="G262" s="10" t="n">
        <v>591</v>
      </c>
      <c r="H262" s="10" t="n">
        <v>94</v>
      </c>
      <c r="I262" s="10" t="n">
        <v>0</v>
      </c>
      <c r="J262" s="10" t="n">
        <v>0</v>
      </c>
      <c r="K262" s="10" t="s">
        <v>20</v>
      </c>
      <c r="L262" s="11" t="n">
        <v>40829.6274074074</v>
      </c>
      <c r="M262" s="12" t="s">
        <v>785</v>
      </c>
      <c r="N262" s="12" t="s">
        <v>786</v>
      </c>
      <c r="O262" s="9" t="str">
        <f aca="false">HYPERLINK("https://pbs.twimg.com/profile_images/617712701670846464/JnWhbF5-_normal.jpg","View")</f>
        <v>View</v>
      </c>
      <c r="P262" s="10"/>
    </row>
    <row r="263" customFormat="false" ht="15.75" hidden="false" customHeight="false" outlineLevel="0" collapsed="false">
      <c r="A263" s="6" t="n">
        <v>43027.9956944444</v>
      </c>
      <c r="B263" s="7" t="str">
        <f aca="false">HYPERLINK("https://twitter.com/joleonbusby","@joleonbusby")</f>
        <v>@joleonbusby</v>
      </c>
      <c r="C263" s="8" t="s">
        <v>583</v>
      </c>
      <c r="D263" s="8" t="s">
        <v>705</v>
      </c>
      <c r="E263" s="9" t="str">
        <f aca="false">HYPERLINK("https://twitter.com/joleonbusby/status/921268192898666496","921268192898666496")</f>
        <v>921268192898666496</v>
      </c>
      <c r="F263" s="10" t="s">
        <v>51</v>
      </c>
      <c r="G263" s="10" t="n">
        <v>2904</v>
      </c>
      <c r="H263" s="10" t="n">
        <v>227</v>
      </c>
      <c r="I263" s="10" t="n">
        <v>60</v>
      </c>
      <c r="J263" s="10" t="n">
        <v>0</v>
      </c>
      <c r="K263" s="10" t="s">
        <v>20</v>
      </c>
      <c r="L263" s="11" t="n">
        <v>41070.6292361111</v>
      </c>
      <c r="M263" s="12" t="s">
        <v>584</v>
      </c>
      <c r="N263" s="12" t="s">
        <v>585</v>
      </c>
      <c r="O263" s="9" t="str">
        <f aca="false">HYPERLINK("https://pbs.twimg.com/profile_images/584022579960274945/uY7VIA1E_normal.jpg","View")</f>
        <v>View</v>
      </c>
      <c r="P263" s="10"/>
    </row>
    <row r="264" customFormat="false" ht="15.75" hidden="false" customHeight="false" outlineLevel="0" collapsed="false">
      <c r="A264" s="6" t="n">
        <v>43027.9959606481</v>
      </c>
      <c r="B264" s="7" t="str">
        <f aca="false">HYPERLINK("https://twitter.com/emejiajr86","@emejiajr86")</f>
        <v>@emejiajr86</v>
      </c>
      <c r="C264" s="8" t="s">
        <v>787</v>
      </c>
      <c r="D264" s="8" t="s">
        <v>705</v>
      </c>
      <c r="E264" s="9" t="str">
        <f aca="false">HYPERLINK("https://twitter.com/emejiajr86/status/921268291481620482","921268291481620482")</f>
        <v>921268291481620482</v>
      </c>
      <c r="F264" s="10" t="s">
        <v>25</v>
      </c>
      <c r="G264" s="10" t="n">
        <v>347</v>
      </c>
      <c r="H264" s="10" t="n">
        <v>1084</v>
      </c>
      <c r="I264" s="10" t="n">
        <v>60</v>
      </c>
      <c r="J264" s="10" t="n">
        <v>0</v>
      </c>
      <c r="K264" s="10" t="s">
        <v>20</v>
      </c>
      <c r="L264" s="11" t="n">
        <v>42012.6731712963</v>
      </c>
      <c r="M264" s="12" t="s">
        <v>788</v>
      </c>
      <c r="N264" s="12" t="s">
        <v>789</v>
      </c>
      <c r="O264" s="9" t="str">
        <f aca="false">HYPERLINK("https://pbs.twimg.com/profile_images/828094832996388869/rMzjy0cw_normal.jpg","View")</f>
        <v>View</v>
      </c>
      <c r="P264" s="10"/>
    </row>
    <row r="265" customFormat="false" ht="15.75" hidden="false" customHeight="false" outlineLevel="0" collapsed="false">
      <c r="A265" s="6" t="n">
        <v>43027.996087963</v>
      </c>
      <c r="B265" s="7" t="str">
        <f aca="false">HYPERLINK("https://twitter.com/TheBFRoom","@TheBFRoom")</f>
        <v>@TheBFRoom</v>
      </c>
      <c r="C265" s="8" t="s">
        <v>674</v>
      </c>
      <c r="D265" s="8" t="s">
        <v>790</v>
      </c>
      <c r="E265" s="9" t="str">
        <f aca="false">HYPERLINK("https://twitter.com/TheBFRoom/status/921268337522470913","921268337522470913")</f>
        <v>921268337522470913</v>
      </c>
      <c r="F265" s="10" t="s">
        <v>60</v>
      </c>
      <c r="G265" s="10" t="n">
        <v>3259</v>
      </c>
      <c r="H265" s="10" t="n">
        <v>3958</v>
      </c>
      <c r="I265" s="10" t="n">
        <v>0</v>
      </c>
      <c r="J265" s="10" t="n">
        <v>0</v>
      </c>
      <c r="K265" s="10" t="s">
        <v>20</v>
      </c>
      <c r="L265" s="11" t="n">
        <v>42761.325162037</v>
      </c>
      <c r="M265" s="12" t="s">
        <v>230</v>
      </c>
      <c r="N265" s="12" t="s">
        <v>676</v>
      </c>
      <c r="O265" s="9" t="str">
        <f aca="false">HYPERLINK("https://pbs.twimg.com/profile_images/898379268778020864/0u1zlj_B_normal.jpg","View")</f>
        <v>View</v>
      </c>
      <c r="P265" s="10"/>
    </row>
    <row r="266" customFormat="false" ht="15.75" hidden="false" customHeight="false" outlineLevel="0" collapsed="false">
      <c r="A266" s="6" t="n">
        <v>43027.9961921296</v>
      </c>
      <c r="B266" s="7" t="str">
        <f aca="false">HYPERLINK("https://twitter.com/AnitaS64","@AnitaS64")</f>
        <v>@AnitaS64</v>
      </c>
      <c r="C266" s="8" t="s">
        <v>791</v>
      </c>
      <c r="D266" s="8" t="s">
        <v>705</v>
      </c>
      <c r="E266" s="9" t="str">
        <f aca="false">HYPERLINK("https://twitter.com/AnitaS64/status/921268372972584960","921268372972584960")</f>
        <v>921268372972584960</v>
      </c>
      <c r="F266" s="10" t="s">
        <v>51</v>
      </c>
      <c r="G266" s="10" t="n">
        <v>315</v>
      </c>
      <c r="H266" s="10" t="n">
        <v>14</v>
      </c>
      <c r="I266" s="10" t="n">
        <v>60</v>
      </c>
      <c r="J266" s="10" t="n">
        <v>0</v>
      </c>
      <c r="K266" s="10" t="s">
        <v>20</v>
      </c>
      <c r="L266" s="11" t="n">
        <v>41242.3520023148</v>
      </c>
      <c r="M266" s="12" t="s">
        <v>792</v>
      </c>
      <c r="N266" s="12" t="s">
        <v>793</v>
      </c>
      <c r="O266" s="9" t="str">
        <f aca="false">HYPERLINK("https://pbs.twimg.com/profile_images/922065225204957184/DRzHAi3G_normal.jpg","View")</f>
        <v>View</v>
      </c>
      <c r="P266" s="10"/>
    </row>
    <row r="267" customFormat="false" ht="15.75" hidden="false" customHeight="false" outlineLevel="0" collapsed="false">
      <c r="A267" s="6" t="n">
        <v>43027.9969560185</v>
      </c>
      <c r="B267" s="7" t="str">
        <f aca="false">HYPERLINK("https://twitter.com/simondiceyhace","@simondiceyhace")</f>
        <v>@simondiceyhace</v>
      </c>
      <c r="C267" s="8" t="s">
        <v>794</v>
      </c>
      <c r="D267" s="8" t="s">
        <v>705</v>
      </c>
      <c r="E267" s="9" t="str">
        <f aca="false">HYPERLINK("https://twitter.com/simondiceyhace/status/921268652799873024","921268652799873024")</f>
        <v>921268652799873024</v>
      </c>
      <c r="F267" s="10" t="s">
        <v>25</v>
      </c>
      <c r="G267" s="10" t="n">
        <v>489</v>
      </c>
      <c r="H267" s="10" t="n">
        <v>1615</v>
      </c>
      <c r="I267" s="10" t="n">
        <v>60</v>
      </c>
      <c r="J267" s="10" t="n">
        <v>0</v>
      </c>
      <c r="K267" s="10" t="s">
        <v>20</v>
      </c>
      <c r="L267" s="11" t="n">
        <v>41739.719375</v>
      </c>
      <c r="M267" s="12"/>
      <c r="N267" s="12" t="s">
        <v>795</v>
      </c>
      <c r="O267" s="9" t="str">
        <f aca="false">HYPERLINK("https://pbs.twimg.com/profile_images/677515898538840064/PaMV_TUP_normal.jpg","View")</f>
        <v>View</v>
      </c>
      <c r="P267" s="10"/>
    </row>
    <row r="268" customFormat="false" ht="15.75" hidden="false" customHeight="false" outlineLevel="0" collapsed="false">
      <c r="A268" s="6" t="n">
        <v>43027.9973263889</v>
      </c>
      <c r="B268" s="7" t="str">
        <f aca="false">HYPERLINK("https://twitter.com/360mediaX","@360mediaX")</f>
        <v>@360mediaX</v>
      </c>
      <c r="C268" s="8" t="s">
        <v>796</v>
      </c>
      <c r="D268" s="8" t="s">
        <v>797</v>
      </c>
      <c r="E268" s="9" t="str">
        <f aca="false">HYPERLINK("https://twitter.com/360mediaX/status/921268785369186304","921268785369186304")</f>
        <v>921268785369186304</v>
      </c>
      <c r="F268" s="10" t="s">
        <v>55</v>
      </c>
      <c r="G268" s="10" t="n">
        <v>59</v>
      </c>
      <c r="H268" s="10" t="n">
        <v>29</v>
      </c>
      <c r="I268" s="10" t="n">
        <v>0</v>
      </c>
      <c r="J268" s="10" t="n">
        <v>0</v>
      </c>
      <c r="K268" s="10" t="s">
        <v>20</v>
      </c>
      <c r="L268" s="11" t="n">
        <v>41998.0594328704</v>
      </c>
      <c r="M268" s="12" t="s">
        <v>798</v>
      </c>
      <c r="N268" s="12" t="s">
        <v>799</v>
      </c>
      <c r="O268" s="9" t="str">
        <f aca="false">HYPERLINK("https://pbs.twimg.com/profile_images/834405611592769536/tz9saEfB_normal.jpg","View")</f>
        <v>View</v>
      </c>
      <c r="P268" s="10"/>
    </row>
    <row r="269" customFormat="false" ht="15.75" hidden="false" customHeight="false" outlineLevel="0" collapsed="false">
      <c r="A269" s="6" t="n">
        <v>43027.9977430556</v>
      </c>
      <c r="B269" s="7" t="str">
        <f aca="false">HYPERLINK("https://twitter.com/TRIGGATG","@TRIGGATG")</f>
        <v>@TRIGGATG</v>
      </c>
      <c r="C269" s="8" t="s">
        <v>800</v>
      </c>
      <c r="D269" s="8" t="s">
        <v>705</v>
      </c>
      <c r="E269" s="9" t="str">
        <f aca="false">HYPERLINK("https://twitter.com/TRIGGATG/status/921268936280301568","921268936280301568")</f>
        <v>921268936280301568</v>
      </c>
      <c r="F269" s="10" t="s">
        <v>39</v>
      </c>
      <c r="G269" s="10" t="n">
        <v>721</v>
      </c>
      <c r="H269" s="10" t="n">
        <v>353</v>
      </c>
      <c r="I269" s="10" t="n">
        <v>60</v>
      </c>
      <c r="J269" s="10" t="n">
        <v>0</v>
      </c>
      <c r="K269" s="10" t="s">
        <v>20</v>
      </c>
      <c r="L269" s="11" t="n">
        <v>40705.7865856482</v>
      </c>
      <c r="M269" s="12" t="s">
        <v>801</v>
      </c>
      <c r="N269" s="12" t="s">
        <v>802</v>
      </c>
      <c r="O269" s="9" t="str">
        <f aca="false">HYPERLINK("https://pbs.twimg.com/profile_images/790744071857897473/QJALqtjX_normal.jpg","View")</f>
        <v>View</v>
      </c>
      <c r="P269" s="10"/>
    </row>
    <row r="270" customFormat="false" ht="15.75" hidden="false" customHeight="false" outlineLevel="0" collapsed="false">
      <c r="A270" s="6" t="n">
        <v>43027.9985300926</v>
      </c>
      <c r="B270" s="7" t="str">
        <f aca="false">HYPERLINK("https://twitter.com/st_h_n_","@st_h_n_")</f>
        <v>@st_h_n_</v>
      </c>
      <c r="C270" s="14" t="s">
        <v>803</v>
      </c>
      <c r="D270" s="8" t="s">
        <v>705</v>
      </c>
      <c r="E270" s="9" t="str">
        <f aca="false">HYPERLINK("https://twitter.com/st_h_n_/status/921269223715848192","921269223715848192")</f>
        <v>921269223715848192</v>
      </c>
      <c r="F270" s="10" t="s">
        <v>51</v>
      </c>
      <c r="G270" s="10" t="n">
        <v>278</v>
      </c>
      <c r="H270" s="10" t="n">
        <v>76</v>
      </c>
      <c r="I270" s="10" t="n">
        <v>60</v>
      </c>
      <c r="J270" s="10" t="n">
        <v>0</v>
      </c>
      <c r="K270" s="10" t="s">
        <v>20</v>
      </c>
      <c r="L270" s="11" t="n">
        <v>41737.9937615741</v>
      </c>
      <c r="M270" s="12"/>
      <c r="N270" s="12"/>
      <c r="O270" s="9" t="str">
        <f aca="false">HYPERLINK("https://pbs.twimg.com/profile_images/745051643947868160/vYSVAl4N_normal.jpg","View")</f>
        <v>View</v>
      </c>
      <c r="P270" s="10"/>
    </row>
    <row r="271" customFormat="false" ht="15.75" hidden="false" customHeight="false" outlineLevel="0" collapsed="false">
      <c r="A271" s="6" t="n">
        <v>43027.999224537</v>
      </c>
      <c r="B271" s="7" t="str">
        <f aca="false">HYPERLINK("https://twitter.com/benjaminblandin","@benjaminblandin")</f>
        <v>@benjaminblandin</v>
      </c>
      <c r="C271" s="8" t="s">
        <v>804</v>
      </c>
      <c r="D271" s="8" t="s">
        <v>705</v>
      </c>
      <c r="E271" s="9" t="str">
        <f aca="false">HYPERLINK("https://twitter.com/benjaminblandin/status/921269474635976705","921269474635976705")</f>
        <v>921269474635976705</v>
      </c>
      <c r="F271" s="10" t="s">
        <v>51</v>
      </c>
      <c r="G271" s="10" t="n">
        <v>130</v>
      </c>
      <c r="H271" s="10" t="n">
        <v>19</v>
      </c>
      <c r="I271" s="10" t="n">
        <v>60</v>
      </c>
      <c r="J271" s="10" t="n">
        <v>0</v>
      </c>
      <c r="K271" s="10" t="s">
        <v>20</v>
      </c>
      <c r="L271" s="11" t="n">
        <v>39991.3824768519</v>
      </c>
      <c r="M271" s="12" t="s">
        <v>805</v>
      </c>
      <c r="N271" s="12" t="s">
        <v>806</v>
      </c>
      <c r="O271" s="9" t="str">
        <f aca="false">HYPERLINK("https://pbs.twimg.com/profile_images/618514864554790916/Jj0TBh49_normal.jpg","View")</f>
        <v>View</v>
      </c>
      <c r="P271" s="10"/>
    </row>
    <row r="272" customFormat="false" ht="15.75" hidden="false" customHeight="false" outlineLevel="0" collapsed="false">
      <c r="A272" s="6" t="n">
        <v>43028.0004050926</v>
      </c>
      <c r="B272" s="7" t="str">
        <f aca="false">HYPERLINK("https://twitter.com/hiroo","@hiroo")</f>
        <v>@hiroo</v>
      </c>
      <c r="C272" s="8" t="s">
        <v>807</v>
      </c>
      <c r="D272" s="8" t="s">
        <v>705</v>
      </c>
      <c r="E272" s="9" t="str">
        <f aca="false">HYPERLINK("https://twitter.com/hiroo/status/921269900189999105","921269900189999105")</f>
        <v>921269900189999105</v>
      </c>
      <c r="F272" s="16" t="s">
        <v>808</v>
      </c>
      <c r="G272" s="10" t="n">
        <v>685</v>
      </c>
      <c r="H272" s="10" t="n">
        <v>499</v>
      </c>
      <c r="I272" s="10" t="n">
        <v>60</v>
      </c>
      <c r="J272" s="10" t="n">
        <v>0</v>
      </c>
      <c r="K272" s="10" t="s">
        <v>20</v>
      </c>
      <c r="L272" s="11" t="n">
        <v>39190.1090277778</v>
      </c>
      <c r="M272" s="12" t="s">
        <v>809</v>
      </c>
      <c r="N272" s="12"/>
      <c r="O272" s="9" t="str">
        <f aca="false">HYPERLINK("https://pbs.twimg.com/profile_images/874759155/twitterProfilePhoto_normal.jpg","View")</f>
        <v>View</v>
      </c>
      <c r="P272" s="10"/>
    </row>
    <row r="273" customFormat="false" ht="15.75" hidden="false" customHeight="false" outlineLevel="0" collapsed="false">
      <c r="A273" s="6" t="n">
        <v>43028.0031712963</v>
      </c>
      <c r="B273" s="7" t="str">
        <f aca="false">HYPERLINK("https://twitter.com/rashidaldosari","@rashidaldosari")</f>
        <v>@rashidaldosari</v>
      </c>
      <c r="C273" s="8" t="s">
        <v>810</v>
      </c>
      <c r="D273" s="8" t="s">
        <v>647</v>
      </c>
      <c r="E273" s="9" t="str">
        <f aca="false">HYPERLINK("https://twitter.com/rashidaldosari/status/921270902943309824","921270902943309824")</f>
        <v>921270902943309824</v>
      </c>
      <c r="F273" s="10" t="s">
        <v>51</v>
      </c>
      <c r="G273" s="10" t="n">
        <v>2401</v>
      </c>
      <c r="H273" s="10" t="n">
        <v>55</v>
      </c>
      <c r="I273" s="10" t="n">
        <v>9</v>
      </c>
      <c r="J273" s="10" t="n">
        <v>0</v>
      </c>
      <c r="K273" s="10" t="s">
        <v>20</v>
      </c>
      <c r="L273" s="11" t="n">
        <v>40635.110625</v>
      </c>
      <c r="M273" s="12"/>
      <c r="N273" s="12" t="s">
        <v>811</v>
      </c>
      <c r="O273" s="9" t="str">
        <f aca="false">HYPERLINK("https://pbs.twimg.com/profile_images/1389660377/image_normal.jpg","View")</f>
        <v>View</v>
      </c>
      <c r="P273" s="10"/>
    </row>
    <row r="274" customFormat="false" ht="15.75" hidden="false" customHeight="false" outlineLevel="0" collapsed="false">
      <c r="A274" s="6" t="n">
        <v>43028.0036574074</v>
      </c>
      <c r="B274" s="7" t="str">
        <f aca="false">HYPERLINK("https://twitter.com/shalin5960","@shalin5960")</f>
        <v>@shalin5960</v>
      </c>
      <c r="C274" s="8" t="s">
        <v>812</v>
      </c>
      <c r="D274" s="8" t="s">
        <v>813</v>
      </c>
      <c r="E274" s="9" t="str">
        <f aca="false">HYPERLINK("https://twitter.com/shalin5960/status/921271081146703872","921271081146703872")</f>
        <v>921271081146703872</v>
      </c>
      <c r="F274" s="10" t="s">
        <v>60</v>
      </c>
      <c r="G274" s="10" t="n">
        <v>235</v>
      </c>
      <c r="H274" s="10" t="n">
        <v>167</v>
      </c>
      <c r="I274" s="10" t="n">
        <v>0</v>
      </c>
      <c r="J274" s="10" t="n">
        <v>0</v>
      </c>
      <c r="K274" s="10" t="s">
        <v>20</v>
      </c>
      <c r="L274" s="11" t="n">
        <v>40276.4158564815</v>
      </c>
      <c r="M274" s="12" t="s">
        <v>814</v>
      </c>
      <c r="N274" s="12" t="s">
        <v>815</v>
      </c>
      <c r="O274" s="9" t="str">
        <f aca="false">HYPERLINK("https://pbs.twimg.com/profile_images/883907510070935552/d2p-brHu_normal.jpg","View")</f>
        <v>View</v>
      </c>
      <c r="P274" s="10"/>
    </row>
    <row r="275" customFormat="false" ht="15.75" hidden="false" customHeight="false" outlineLevel="0" collapsed="false">
      <c r="A275" s="6" t="n">
        <v>43028.0042592593</v>
      </c>
      <c r="B275" s="7" t="str">
        <f aca="false">HYPERLINK("https://twitter.com/livemint","@livemint")</f>
        <v>@livemint</v>
      </c>
      <c r="C275" s="8" t="s">
        <v>816</v>
      </c>
      <c r="D275" s="8" t="s">
        <v>817</v>
      </c>
      <c r="E275" s="9" t="str">
        <f aca="false">HYPERLINK("https://twitter.com/livemint/status/921271298994601984","921271298994601984")</f>
        <v>921271298994601984</v>
      </c>
      <c r="F275" s="10" t="s">
        <v>60</v>
      </c>
      <c r="G275" s="10" t="n">
        <v>1692767</v>
      </c>
      <c r="H275" s="10" t="n">
        <v>352</v>
      </c>
      <c r="I275" s="10" t="n">
        <v>2</v>
      </c>
      <c r="J275" s="10" t="n">
        <v>6</v>
      </c>
      <c r="K275" s="10" t="s">
        <v>20</v>
      </c>
      <c r="L275" s="11" t="n">
        <v>39779.0469675926</v>
      </c>
      <c r="M275" s="12" t="s">
        <v>72</v>
      </c>
      <c r="N275" s="12" t="s">
        <v>818</v>
      </c>
      <c r="O275" s="9" t="str">
        <f aca="false">HYPERLINK("https://pbs.twimg.com/profile_images/786768566280458240/10bMmNvU_normal.jpg","View")</f>
        <v>View</v>
      </c>
      <c r="P275" s="10"/>
    </row>
    <row r="276" customFormat="false" ht="15.75" hidden="false" customHeight="false" outlineLevel="0" collapsed="false">
      <c r="A276" s="6" t="n">
        <v>43028.0043981481</v>
      </c>
      <c r="B276" s="7" t="str">
        <f aca="false">HYPERLINK("https://twitter.com/AficionadoYash","@AficionadoYash")</f>
        <v>@AficionadoYash</v>
      </c>
      <c r="C276" s="8" t="s">
        <v>819</v>
      </c>
      <c r="D276" s="8" t="s">
        <v>820</v>
      </c>
      <c r="E276" s="9" t="str">
        <f aca="false">HYPERLINK("https://twitter.com/AficionadoYash/status/921271347178811392","921271347178811392")</f>
        <v>921271347178811392</v>
      </c>
      <c r="F276" s="10" t="s">
        <v>60</v>
      </c>
      <c r="G276" s="10" t="n">
        <v>2582</v>
      </c>
      <c r="H276" s="10" t="n">
        <v>948</v>
      </c>
      <c r="I276" s="10" t="n">
        <v>0</v>
      </c>
      <c r="J276" s="10" t="n">
        <v>0</v>
      </c>
      <c r="K276" s="10" t="s">
        <v>20</v>
      </c>
      <c r="L276" s="11" t="n">
        <v>40905.1268287037</v>
      </c>
      <c r="M276" s="12" t="s">
        <v>72</v>
      </c>
      <c r="N276" s="12" t="s">
        <v>821</v>
      </c>
      <c r="O276" s="9" t="str">
        <f aca="false">HYPERLINK("https://pbs.twimg.com/profile_images/731065154129928192/gauLWTlp_normal.jpg","View")</f>
        <v>View</v>
      </c>
      <c r="P276" s="10"/>
    </row>
    <row r="277" customFormat="false" ht="15.75" hidden="false" customHeight="false" outlineLevel="0" collapsed="false">
      <c r="A277" s="6" t="n">
        <v>43028.0044328704</v>
      </c>
      <c r="B277" s="7" t="str">
        <f aca="false">HYPERLINK("https://twitter.com/IAazar","@IAazar")</f>
        <v>@IAazar</v>
      </c>
      <c r="C277" s="8" t="s">
        <v>822</v>
      </c>
      <c r="D277" s="8" t="s">
        <v>647</v>
      </c>
      <c r="E277" s="9" t="str">
        <f aca="false">HYPERLINK("https://twitter.com/IAazar/status/921271361586323456","921271361586323456")</f>
        <v>921271361586323456</v>
      </c>
      <c r="F277" s="10" t="s">
        <v>823</v>
      </c>
      <c r="G277" s="10" t="n">
        <v>415</v>
      </c>
      <c r="H277" s="10" t="n">
        <v>40</v>
      </c>
      <c r="I277" s="10" t="n">
        <v>9</v>
      </c>
      <c r="J277" s="10" t="n">
        <v>0</v>
      </c>
      <c r="K277" s="10" t="s">
        <v>20</v>
      </c>
      <c r="L277" s="11" t="n">
        <v>41131.8675</v>
      </c>
      <c r="M277" s="12" t="s">
        <v>824</v>
      </c>
      <c r="N277" s="12" t="s">
        <v>825</v>
      </c>
      <c r="O277" s="9" t="str">
        <f aca="false">HYPERLINK("https://pbs.twimg.com/profile_images/909761934953549824/hEOveBa0_normal.jpg","View")</f>
        <v>View</v>
      </c>
      <c r="P277" s="10"/>
    </row>
    <row r="278" customFormat="false" ht="15.75" hidden="false" customHeight="false" outlineLevel="0" collapsed="false">
      <c r="A278" s="6" t="n">
        <v>43028.0046990741</v>
      </c>
      <c r="B278" s="7" t="str">
        <f aca="false">HYPERLINK("https://twitter.com/niang6ma","@niang6ma")</f>
        <v>@niang6ma</v>
      </c>
      <c r="C278" s="8" t="s">
        <v>826</v>
      </c>
      <c r="D278" s="8" t="s">
        <v>705</v>
      </c>
      <c r="E278" s="9" t="str">
        <f aca="false">HYPERLINK("https://twitter.com/niang6ma/status/921271458227245056","921271458227245056")</f>
        <v>921271458227245056</v>
      </c>
      <c r="F278" s="10" t="s">
        <v>51</v>
      </c>
      <c r="G278" s="10" t="n">
        <v>86</v>
      </c>
      <c r="H278" s="10" t="n">
        <v>244</v>
      </c>
      <c r="I278" s="10" t="n">
        <v>60</v>
      </c>
      <c r="J278" s="10" t="n">
        <v>0</v>
      </c>
      <c r="K278" s="10" t="s">
        <v>20</v>
      </c>
      <c r="L278" s="11" t="n">
        <v>42618.5297685185</v>
      </c>
      <c r="M278" s="12" t="s">
        <v>827</v>
      </c>
      <c r="N278" s="12" t="s">
        <v>828</v>
      </c>
      <c r="O278" s="9" t="str">
        <f aca="false">HYPERLINK("https://pbs.twimg.com/profile_images/827660397691953154/M92ihUL4_normal.jpg","View")</f>
        <v>View</v>
      </c>
      <c r="P278" s="10"/>
    </row>
    <row r="279" customFormat="false" ht="15.75" hidden="false" customHeight="false" outlineLevel="0" collapsed="false">
      <c r="A279" s="6" t="n">
        <v>43028.0051041667</v>
      </c>
      <c r="B279" s="7" t="str">
        <f aca="false">HYPERLINK("https://twitter.com/NTKRNow","@NTKRNow")</f>
        <v>@NTKRNow</v>
      </c>
      <c r="C279" s="8" t="s">
        <v>829</v>
      </c>
      <c r="D279" s="8" t="s">
        <v>830</v>
      </c>
      <c r="E279" s="9" t="str">
        <f aca="false">HYPERLINK("https://twitter.com/NTKRNow/status/921271604318998529","921271604318998529")</f>
        <v>921271604318998529</v>
      </c>
      <c r="F279" s="10" t="s">
        <v>60</v>
      </c>
      <c r="G279" s="10" t="n">
        <v>610</v>
      </c>
      <c r="H279" s="10" t="n">
        <v>4</v>
      </c>
      <c r="I279" s="10" t="n">
        <v>0</v>
      </c>
      <c r="J279" s="10" t="n">
        <v>0</v>
      </c>
      <c r="K279" s="10" t="s">
        <v>20</v>
      </c>
      <c r="L279" s="11" t="n">
        <v>42402.810625</v>
      </c>
      <c r="M279" s="12"/>
      <c r="N279" s="12"/>
      <c r="O279" s="9" t="str">
        <f aca="false">HYPERLINK("https://abs.twimg.com/sticky/default_profile_images/default_profile_normal.png","View")</f>
        <v>View</v>
      </c>
      <c r="P279" s="10"/>
    </row>
    <row r="280" customFormat="false" ht="15.75" hidden="false" customHeight="false" outlineLevel="0" collapsed="false">
      <c r="A280" s="6" t="n">
        <v>43028.0053009259</v>
      </c>
      <c r="B280" s="7" t="str">
        <f aca="false">HYPERLINK("https://twitter.com/allstartupsin","@allstartupsin")</f>
        <v>@allstartupsin</v>
      </c>
      <c r="C280" s="7" t="s">
        <v>831</v>
      </c>
      <c r="D280" s="8" t="s">
        <v>832</v>
      </c>
      <c r="E280" s="9" t="str">
        <f aca="false">HYPERLINK("https://twitter.com/allstartupsin/status/921271674661736449","921271674661736449")</f>
        <v>921271674661736449</v>
      </c>
      <c r="F280" s="10" t="s">
        <v>60</v>
      </c>
      <c r="G280" s="10" t="n">
        <v>1605</v>
      </c>
      <c r="H280" s="10" t="n">
        <v>1993</v>
      </c>
      <c r="I280" s="10" t="n">
        <v>0</v>
      </c>
      <c r="J280" s="10" t="n">
        <v>0</v>
      </c>
      <c r="K280" s="10" t="s">
        <v>20</v>
      </c>
      <c r="L280" s="11" t="n">
        <v>41453.3700462963</v>
      </c>
      <c r="M280" s="12" t="s">
        <v>72</v>
      </c>
      <c r="N280" s="12" t="s">
        <v>833</v>
      </c>
      <c r="O280" s="9" t="str">
        <f aca="false">HYPERLINK("https://pbs.twimg.com/profile_images/770675004446941184/DgZiAFjn_normal.jpg","View")</f>
        <v>View</v>
      </c>
      <c r="P280" s="10"/>
    </row>
    <row r="281" customFormat="false" ht="15.75" hidden="false" customHeight="false" outlineLevel="0" collapsed="false">
      <c r="A281" s="6" t="n">
        <v>43028.0053703704</v>
      </c>
      <c r="B281" s="7" t="str">
        <f aca="false">HYPERLINK("https://twitter.com/nneusj","@nneusj")</f>
        <v>@nneusj</v>
      </c>
      <c r="C281" s="8" t="s">
        <v>834</v>
      </c>
      <c r="D281" s="8" t="s">
        <v>403</v>
      </c>
      <c r="E281" s="9" t="str">
        <f aca="false">HYPERLINK("https://twitter.com/nneusj/status/921271698904813568","921271698904813568")</f>
        <v>921271698904813568</v>
      </c>
      <c r="F281" s="10" t="s">
        <v>25</v>
      </c>
      <c r="G281" s="10" t="n">
        <v>240</v>
      </c>
      <c r="H281" s="10" t="n">
        <v>1887</v>
      </c>
      <c r="I281" s="10" t="n">
        <v>36</v>
      </c>
      <c r="J281" s="10" t="n">
        <v>0</v>
      </c>
      <c r="K281" s="10" t="s">
        <v>20</v>
      </c>
      <c r="L281" s="11" t="n">
        <v>42310.5218981481</v>
      </c>
      <c r="M281" s="12"/>
      <c r="N281" s="12"/>
      <c r="O281" s="9" t="str">
        <f aca="false">HYPERLINK("https://pbs.twimg.com/profile_images/661281424570454016/IY6X6O9R_normal.jpg","View")</f>
        <v>View</v>
      </c>
      <c r="P281" s="10"/>
    </row>
    <row r="282" customFormat="false" ht="15.75" hidden="false" customHeight="false" outlineLevel="0" collapsed="false">
      <c r="A282" s="6" t="n">
        <v>43028.0056597222</v>
      </c>
      <c r="B282" s="7" t="str">
        <f aca="false">HYPERLINK("https://twitter.com/rvp","@rvp")</f>
        <v>@rvp</v>
      </c>
      <c r="C282" s="8" t="s">
        <v>835</v>
      </c>
      <c r="D282" s="8" t="s">
        <v>836</v>
      </c>
      <c r="E282" s="9" t="str">
        <f aca="false">HYPERLINK("https://twitter.com/rvp/status/921271804794212352","921271804794212352")</f>
        <v>921271804794212352</v>
      </c>
      <c r="F282" s="10" t="s">
        <v>60</v>
      </c>
      <c r="G282" s="10" t="n">
        <v>3594</v>
      </c>
      <c r="H282" s="10" t="n">
        <v>4993</v>
      </c>
      <c r="I282" s="10" t="n">
        <v>0</v>
      </c>
      <c r="J282" s="10" t="n">
        <v>0</v>
      </c>
      <c r="K282" s="10" t="s">
        <v>20</v>
      </c>
      <c r="L282" s="11" t="n">
        <v>39495.2358912037</v>
      </c>
      <c r="M282" s="12" t="s">
        <v>64</v>
      </c>
      <c r="N282" s="12" t="s">
        <v>837</v>
      </c>
      <c r="O282" s="9" t="str">
        <f aca="false">HYPERLINK("https://pbs.twimg.com/profile_images/49607902/ravi-vs-prasad_normal.jpg","View")</f>
        <v>View</v>
      </c>
      <c r="P282" s="10"/>
    </row>
    <row r="283" customFormat="false" ht="15.75" hidden="false" customHeight="false" outlineLevel="0" collapsed="false">
      <c r="A283" s="6" t="n">
        <v>43028.0065046296</v>
      </c>
      <c r="B283" s="7" t="str">
        <f aca="false">HYPERLINK("https://twitter.com/rashidaldosari","@rashidaldosari")</f>
        <v>@rashidaldosari</v>
      </c>
      <c r="C283" s="8" t="s">
        <v>810</v>
      </c>
      <c r="D283" s="8" t="s">
        <v>625</v>
      </c>
      <c r="E283" s="9" t="str">
        <f aca="false">HYPERLINK("https://twitter.com/rashidaldosari/status/921272110017892357","921272110017892357")</f>
        <v>921272110017892357</v>
      </c>
      <c r="F283" s="10" t="s">
        <v>51</v>
      </c>
      <c r="G283" s="10" t="n">
        <v>2401</v>
      </c>
      <c r="H283" s="10" t="n">
        <v>55</v>
      </c>
      <c r="I283" s="10" t="n">
        <v>5</v>
      </c>
      <c r="J283" s="10" t="n">
        <v>0</v>
      </c>
      <c r="K283" s="10" t="s">
        <v>20</v>
      </c>
      <c r="L283" s="11" t="n">
        <v>40635.110625</v>
      </c>
      <c r="M283" s="12"/>
      <c r="N283" s="12" t="s">
        <v>811</v>
      </c>
      <c r="O283" s="9" t="str">
        <f aca="false">HYPERLINK("https://pbs.twimg.com/profile_images/1389660377/image_normal.jpg","View")</f>
        <v>View</v>
      </c>
      <c r="P283" s="10"/>
    </row>
    <row r="284" customFormat="false" ht="15.75" hidden="false" customHeight="false" outlineLevel="0" collapsed="false">
      <c r="A284" s="6" t="n">
        <v>43028.0067361111</v>
      </c>
      <c r="B284" s="7" t="str">
        <f aca="false">HYPERLINK("https://twitter.com/IAS_Gurukul","@IAS_Gurukul")</f>
        <v>@IAS_Gurukul</v>
      </c>
      <c r="C284" s="8" t="s">
        <v>838</v>
      </c>
      <c r="D284" s="8" t="s">
        <v>839</v>
      </c>
      <c r="E284" s="9" t="str">
        <f aca="false">HYPERLINK("https://twitter.com/IAS_Gurukul/status/921272197624279045","921272197624279045")</f>
        <v>921272197624279045</v>
      </c>
      <c r="F284" s="10" t="s">
        <v>60</v>
      </c>
      <c r="G284" s="10" t="n">
        <v>165</v>
      </c>
      <c r="H284" s="10" t="n">
        <v>70</v>
      </c>
      <c r="I284" s="10" t="n">
        <v>0</v>
      </c>
      <c r="J284" s="10" t="n">
        <v>0</v>
      </c>
      <c r="K284" s="10" t="s">
        <v>20</v>
      </c>
      <c r="L284" s="11" t="n">
        <v>42635.8370486111</v>
      </c>
      <c r="M284" s="12" t="s">
        <v>64</v>
      </c>
      <c r="N284" s="12" t="s">
        <v>840</v>
      </c>
      <c r="O284" s="9" t="str">
        <f aca="false">HYPERLINK("https://pbs.twimg.com/profile_images/898138063557214209/uxDcvkn3_normal.jpg","View")</f>
        <v>View</v>
      </c>
      <c r="P284" s="10"/>
    </row>
    <row r="285" customFormat="false" ht="15.75" hidden="false" customHeight="false" outlineLevel="0" collapsed="false">
      <c r="A285" s="6" t="n">
        <v>43028.0076851852</v>
      </c>
      <c r="B285" s="7" t="str">
        <f aca="false">HYPERLINK("https://twitter.com/muralikumarje","@muralikumarje")</f>
        <v>@muralikumarje</v>
      </c>
      <c r="C285" s="8" t="s">
        <v>841</v>
      </c>
      <c r="D285" s="8" t="s">
        <v>842</v>
      </c>
      <c r="E285" s="9" t="str">
        <f aca="false">HYPERLINK("https://twitter.com/muralikumarje/status/921272541158637568","921272541158637568")</f>
        <v>921272541158637568</v>
      </c>
      <c r="F285" s="10" t="s">
        <v>25</v>
      </c>
      <c r="G285" s="10" t="n">
        <v>103</v>
      </c>
      <c r="H285" s="10" t="n">
        <v>85</v>
      </c>
      <c r="I285" s="10" t="n">
        <v>2</v>
      </c>
      <c r="J285" s="10" t="n">
        <v>0</v>
      </c>
      <c r="K285" s="10" t="s">
        <v>20</v>
      </c>
      <c r="L285" s="11" t="n">
        <v>41033.2837152778</v>
      </c>
      <c r="M285" s="12" t="s">
        <v>843</v>
      </c>
      <c r="N285" s="12" t="s">
        <v>844</v>
      </c>
      <c r="O285" s="9" t="str">
        <f aca="false">HYPERLINK("https://pbs.twimg.com/profile_images/544861659328569345/Q-vIkusJ_normal.jpeg","View")</f>
        <v>View</v>
      </c>
      <c r="P285" s="10"/>
    </row>
    <row r="286" customFormat="false" ht="15.75" hidden="false" customHeight="false" outlineLevel="0" collapsed="false">
      <c r="A286" s="6" t="n">
        <v>43028.0078009259</v>
      </c>
      <c r="B286" s="7" t="str">
        <f aca="false">HYPERLINK("https://twitter.com/GTR_Stevo","@GTR_Stevo")</f>
        <v>@GTR_Stevo</v>
      </c>
      <c r="C286" s="8" t="s">
        <v>845</v>
      </c>
      <c r="D286" s="8" t="s">
        <v>705</v>
      </c>
      <c r="E286" s="9" t="str">
        <f aca="false">HYPERLINK("https://twitter.com/GTR_Stevo/status/921272581193453574","921272581193453574")</f>
        <v>921272581193453574</v>
      </c>
      <c r="F286" s="10" t="s">
        <v>51</v>
      </c>
      <c r="G286" s="10" t="n">
        <v>191</v>
      </c>
      <c r="H286" s="10" t="n">
        <v>146</v>
      </c>
      <c r="I286" s="10" t="n">
        <v>60</v>
      </c>
      <c r="J286" s="10" t="n">
        <v>0</v>
      </c>
      <c r="K286" s="10" t="s">
        <v>20</v>
      </c>
      <c r="L286" s="11" t="n">
        <v>40007.9343287037</v>
      </c>
      <c r="M286" s="12" t="s">
        <v>846</v>
      </c>
      <c r="N286" s="12" t="s">
        <v>847</v>
      </c>
      <c r="O286" s="9" t="str">
        <f aca="false">HYPERLINK("https://pbs.twimg.com/profile_images/877057862018531329/LNNdTuZv_normal.jpg","View")</f>
        <v>View</v>
      </c>
      <c r="P286" s="10"/>
    </row>
    <row r="287" customFormat="false" ht="15.75" hidden="false" customHeight="false" outlineLevel="0" collapsed="false">
      <c r="A287" s="6" t="n">
        <v>43028.0098032407</v>
      </c>
      <c r="B287" s="7" t="str">
        <f aca="false">HYPERLINK("https://twitter.com/stayaway_1972","@stayaway_1972")</f>
        <v>@stayaway_1972</v>
      </c>
      <c r="C287" s="14" t="s">
        <v>848</v>
      </c>
      <c r="D287" s="8" t="s">
        <v>705</v>
      </c>
      <c r="E287" s="9" t="str">
        <f aca="false">HYPERLINK("https://twitter.com/stayaway_1972/status/921273307541880832","921273307541880832")</f>
        <v>921273307541880832</v>
      </c>
      <c r="F287" s="10" t="s">
        <v>25</v>
      </c>
      <c r="G287" s="10" t="n">
        <v>30</v>
      </c>
      <c r="H287" s="10" t="n">
        <v>55</v>
      </c>
      <c r="I287" s="10" t="n">
        <v>60</v>
      </c>
      <c r="J287" s="10" t="n">
        <v>0</v>
      </c>
      <c r="K287" s="10" t="s">
        <v>20</v>
      </c>
      <c r="L287" s="11" t="n">
        <v>42986.8335648148</v>
      </c>
      <c r="M287" s="13" t="s">
        <v>106</v>
      </c>
      <c r="N287" s="13" t="s">
        <v>849</v>
      </c>
      <c r="O287" s="9" t="str">
        <f aca="false">HYPERLINK("https://abs.twimg.com/sticky/default_profile_images/default_profile_normal.png","View")</f>
        <v>View</v>
      </c>
      <c r="P287" s="10"/>
    </row>
    <row r="288" customFormat="false" ht="15.75" hidden="false" customHeight="false" outlineLevel="0" collapsed="false">
      <c r="A288" s="6" t="n">
        <v>43028.010462963</v>
      </c>
      <c r="B288" s="7" t="str">
        <f aca="false">HYPERLINK("https://twitter.com/nternet_in","@nternet_in")</f>
        <v>@nternet_in</v>
      </c>
      <c r="C288" s="7" t="s">
        <v>850</v>
      </c>
      <c r="D288" s="8" t="s">
        <v>851</v>
      </c>
      <c r="E288" s="9" t="str">
        <f aca="false">HYPERLINK("https://twitter.com/nternet_in/status/921273544453099520","921273544453099520")</f>
        <v>921273544453099520</v>
      </c>
      <c r="F288" s="9" t="s">
        <v>852</v>
      </c>
      <c r="G288" s="10" t="n">
        <v>32</v>
      </c>
      <c r="H288" s="10" t="n">
        <v>40</v>
      </c>
      <c r="I288" s="10" t="n">
        <v>0</v>
      </c>
      <c r="J288" s="10" t="n">
        <v>0</v>
      </c>
      <c r="K288" s="10" t="s">
        <v>20</v>
      </c>
      <c r="L288" s="11" t="n">
        <v>42449.9695023148</v>
      </c>
      <c r="M288" s="12"/>
      <c r="N288" s="12"/>
      <c r="O288" s="9" t="str">
        <f aca="false">HYPERLINK("https://pbs.twimg.com/profile_images/711799911839178754/1a7OW4WU_normal.jpg","View")</f>
        <v>View</v>
      </c>
      <c r="P288" s="10"/>
    </row>
    <row r="289" customFormat="false" ht="15.75" hidden="false" customHeight="false" outlineLevel="0" collapsed="false">
      <c r="A289" s="6" t="n">
        <v>43028.0107986111</v>
      </c>
      <c r="B289" s="7" t="str">
        <f aca="false">HYPERLINK("https://twitter.com/ZyiteGadgets","@ZyiteGadgets")</f>
        <v>@ZyiteGadgets</v>
      </c>
      <c r="C289" s="8" t="s">
        <v>171</v>
      </c>
      <c r="D289" s="8" t="s">
        <v>853</v>
      </c>
      <c r="E289" s="9" t="str">
        <f aca="false">HYPERLINK("https://twitter.com/ZyiteGadgets/status/921273668784869376","921273668784869376")</f>
        <v>921273668784869376</v>
      </c>
      <c r="F289" s="10" t="s">
        <v>110</v>
      </c>
      <c r="G289" s="10" t="n">
        <v>3542</v>
      </c>
      <c r="H289" s="10" t="n">
        <v>4844</v>
      </c>
      <c r="I289" s="10" t="n">
        <v>0</v>
      </c>
      <c r="J289" s="10" t="n">
        <v>0</v>
      </c>
      <c r="K289" s="10" t="s">
        <v>20</v>
      </c>
      <c r="L289" s="11" t="n">
        <v>41470.6147800926</v>
      </c>
      <c r="M289" s="15" t="s">
        <v>173</v>
      </c>
      <c r="N289" s="12" t="s">
        <v>174</v>
      </c>
      <c r="O289" s="9" t="str">
        <f aca="false">HYPERLINK("https://pbs.twimg.com/profile_images/487701633489313793/pIxJHFt5_normal.jpeg","View")</f>
        <v>View</v>
      </c>
      <c r="P289" s="10"/>
    </row>
    <row r="290" customFormat="false" ht="15.75" hidden="false" customHeight="false" outlineLevel="0" collapsed="false">
      <c r="A290" s="6" t="n">
        <v>43028.0109259259</v>
      </c>
      <c r="B290" s="7" t="str">
        <f aca="false">HYPERLINK("https://twitter.com/MARIAMU33348374","@MARIAMU33348374")</f>
        <v>@MARIAMU33348374</v>
      </c>
      <c r="C290" s="8" t="s">
        <v>854</v>
      </c>
      <c r="D290" s="8" t="s">
        <v>705</v>
      </c>
      <c r="E290" s="9" t="str">
        <f aca="false">HYPERLINK("https://twitter.com/MARIAMU33348374/status/921273715043680257","921273715043680257")</f>
        <v>921273715043680257</v>
      </c>
      <c r="F290" s="10" t="s">
        <v>25</v>
      </c>
      <c r="G290" s="10" t="n">
        <v>65</v>
      </c>
      <c r="H290" s="10" t="n">
        <v>182</v>
      </c>
      <c r="I290" s="10" t="n">
        <v>60</v>
      </c>
      <c r="J290" s="10" t="n">
        <v>0</v>
      </c>
      <c r="K290" s="10" t="s">
        <v>20</v>
      </c>
      <c r="L290" s="11" t="n">
        <v>40955.5381597222</v>
      </c>
      <c r="M290" s="12"/>
      <c r="N290" s="12"/>
      <c r="O290" s="9" t="str">
        <f aca="false">HYPERLINK("https://abs.twimg.com/sticky/default_profile_images/default_profile_normal.png","View")</f>
        <v>View</v>
      </c>
      <c r="P290" s="10"/>
    </row>
    <row r="291" customFormat="false" ht="15.75" hidden="false" customHeight="false" outlineLevel="0" collapsed="false">
      <c r="A291" s="6" t="n">
        <v>43028.0129861111</v>
      </c>
      <c r="B291" s="7" t="str">
        <f aca="false">HYPERLINK("https://twitter.com/isumitksinha","@isumitksinha")</f>
        <v>@isumitksinha</v>
      </c>
      <c r="C291" s="8" t="s">
        <v>855</v>
      </c>
      <c r="D291" s="8" t="s">
        <v>856</v>
      </c>
      <c r="E291" s="9" t="str">
        <f aca="false">HYPERLINK("https://twitter.com/isumitksinha/status/921274462313607168","921274462313607168")</f>
        <v>921274462313607168</v>
      </c>
      <c r="F291" s="10" t="s">
        <v>55</v>
      </c>
      <c r="G291" s="10" t="n">
        <v>821</v>
      </c>
      <c r="H291" s="10" t="n">
        <v>110</v>
      </c>
      <c r="I291" s="10" t="n">
        <v>0</v>
      </c>
      <c r="J291" s="10" t="n">
        <v>0</v>
      </c>
      <c r="K291" s="10" t="s">
        <v>20</v>
      </c>
      <c r="L291" s="11" t="n">
        <v>40211.2578125</v>
      </c>
      <c r="M291" s="12" t="s">
        <v>857</v>
      </c>
      <c r="N291" s="12" t="s">
        <v>858</v>
      </c>
      <c r="O291" s="9" t="str">
        <f aca="false">HYPERLINK("https://pbs.twimg.com/profile_images/662292972654870528/N3kLvWAZ_normal.jpg","View")</f>
        <v>View</v>
      </c>
      <c r="P291" s="10"/>
    </row>
    <row r="292" customFormat="false" ht="15.75" hidden="false" customHeight="false" outlineLevel="0" collapsed="false">
      <c r="A292" s="6" t="n">
        <v>43028.0140856481</v>
      </c>
      <c r="B292" s="7" t="str">
        <f aca="false">HYPERLINK("https://twitter.com/judets","@judets")</f>
        <v>@judets</v>
      </c>
      <c r="C292" s="8" t="s">
        <v>859</v>
      </c>
      <c r="D292" s="8" t="s">
        <v>842</v>
      </c>
      <c r="E292" s="9" t="str">
        <f aca="false">HYPERLINK("https://twitter.com/judets/status/921274859543347201","921274859543347201")</f>
        <v>921274859543347201</v>
      </c>
      <c r="F292" s="10" t="s">
        <v>98</v>
      </c>
      <c r="G292" s="10" t="n">
        <v>94</v>
      </c>
      <c r="H292" s="10" t="n">
        <v>929</v>
      </c>
      <c r="I292" s="10" t="n">
        <v>2</v>
      </c>
      <c r="J292" s="10" t="n">
        <v>0</v>
      </c>
      <c r="K292" s="10" t="s">
        <v>20</v>
      </c>
      <c r="L292" s="11" t="n">
        <v>40082.3114699074</v>
      </c>
      <c r="M292" s="12" t="s">
        <v>860</v>
      </c>
      <c r="N292" s="12" t="s">
        <v>861</v>
      </c>
      <c r="O292" s="9" t="str">
        <f aca="false">HYPERLINK("https://pbs.twimg.com/profile_images/792650757279404032/9o5vuQkA_normal.jpg","View")</f>
        <v>View</v>
      </c>
      <c r="P292" s="10"/>
    </row>
    <row r="293" customFormat="false" ht="15.75" hidden="false" customHeight="false" outlineLevel="0" collapsed="false">
      <c r="A293" s="6" t="n">
        <v>43028.0153472222</v>
      </c>
      <c r="B293" s="7" t="str">
        <f aca="false">HYPERLINK("https://twitter.com/nneusj","@nneusj")</f>
        <v>@nneusj</v>
      </c>
      <c r="C293" s="8" t="s">
        <v>834</v>
      </c>
      <c r="D293" s="8" t="s">
        <v>705</v>
      </c>
      <c r="E293" s="9" t="str">
        <f aca="false">HYPERLINK("https://twitter.com/nneusj/status/921275314092855299","921275314092855299")</f>
        <v>921275314092855299</v>
      </c>
      <c r="F293" s="10" t="s">
        <v>25</v>
      </c>
      <c r="G293" s="10" t="n">
        <v>240</v>
      </c>
      <c r="H293" s="10" t="n">
        <v>1887</v>
      </c>
      <c r="I293" s="10" t="n">
        <v>60</v>
      </c>
      <c r="J293" s="10" t="n">
        <v>0</v>
      </c>
      <c r="K293" s="10" t="s">
        <v>20</v>
      </c>
      <c r="L293" s="11" t="n">
        <v>42310.5218981481</v>
      </c>
      <c r="M293" s="12"/>
      <c r="N293" s="12"/>
      <c r="O293" s="9" t="str">
        <f aca="false">HYPERLINK("https://pbs.twimg.com/profile_images/661281424570454016/IY6X6O9R_normal.jpg","View")</f>
        <v>View</v>
      </c>
      <c r="P293" s="10"/>
    </row>
    <row r="294" customFormat="false" ht="15.75" hidden="false" customHeight="false" outlineLevel="0" collapsed="false">
      <c r="A294" s="6" t="n">
        <v>43028.0161921296</v>
      </c>
      <c r="B294" s="7" t="str">
        <f aca="false">HYPERLINK("https://twitter.com/DominiqueVanpee","@DominiqueVanpee")</f>
        <v>@DominiqueVanpee</v>
      </c>
      <c r="C294" s="8" t="s">
        <v>862</v>
      </c>
      <c r="D294" s="8" t="s">
        <v>403</v>
      </c>
      <c r="E294" s="9" t="str">
        <f aca="false">HYPERLINK("https://twitter.com/DominiqueVanpee/status/921275622344876032","921275622344876032")</f>
        <v>921275622344876032</v>
      </c>
      <c r="F294" s="10" t="s">
        <v>177</v>
      </c>
      <c r="G294" s="10" t="n">
        <v>1789</v>
      </c>
      <c r="H294" s="10" t="n">
        <v>2546</v>
      </c>
      <c r="I294" s="10" t="n">
        <v>36</v>
      </c>
      <c r="J294" s="10" t="n">
        <v>0</v>
      </c>
      <c r="K294" s="10" t="s">
        <v>20</v>
      </c>
      <c r="L294" s="11" t="n">
        <v>41305.0604976852</v>
      </c>
      <c r="M294" s="12" t="s">
        <v>863</v>
      </c>
      <c r="N294" s="12" t="s">
        <v>864</v>
      </c>
      <c r="O294" s="9" t="str">
        <f aca="false">HYPERLINK("https://pbs.twimg.com/profile_images/3187379824/d5042982950c153c9ef96bc42e851fab_normal.jpeg","View")</f>
        <v>View</v>
      </c>
      <c r="P294" s="10"/>
    </row>
    <row r="295" customFormat="false" ht="15.75" hidden="false" customHeight="false" outlineLevel="0" collapsed="false">
      <c r="A295" s="6" t="n">
        <v>43028.0182986111</v>
      </c>
      <c r="B295" s="7" t="str">
        <f aca="false">HYPERLINK("https://twitter.com/nneusj","@nneusj")</f>
        <v>@nneusj</v>
      </c>
      <c r="C295" s="8" t="s">
        <v>834</v>
      </c>
      <c r="D295" s="8" t="s">
        <v>625</v>
      </c>
      <c r="E295" s="9" t="str">
        <f aca="false">HYPERLINK("https://twitter.com/nneusj/status/921276385456422912","921276385456422912")</f>
        <v>921276385456422912</v>
      </c>
      <c r="F295" s="10" t="s">
        <v>25</v>
      </c>
      <c r="G295" s="10" t="n">
        <v>240</v>
      </c>
      <c r="H295" s="10" t="n">
        <v>1887</v>
      </c>
      <c r="I295" s="10" t="n">
        <v>5</v>
      </c>
      <c r="J295" s="10" t="n">
        <v>0</v>
      </c>
      <c r="K295" s="10" t="s">
        <v>20</v>
      </c>
      <c r="L295" s="11" t="n">
        <v>42310.5218981481</v>
      </c>
      <c r="M295" s="12"/>
      <c r="N295" s="12"/>
      <c r="O295" s="9" t="str">
        <f aca="false">HYPERLINK("https://pbs.twimg.com/profile_images/661281424570454016/IY6X6O9R_normal.jpg","View")</f>
        <v>View</v>
      </c>
      <c r="P295" s="10"/>
    </row>
    <row r="296" customFormat="false" ht="15.75" hidden="false" customHeight="false" outlineLevel="0" collapsed="false">
      <c r="A296" s="6" t="n">
        <v>43028.0183564815</v>
      </c>
      <c r="B296" s="7" t="str">
        <f aca="false">HYPERLINK("https://twitter.com/nneusj","@nneusj")</f>
        <v>@nneusj</v>
      </c>
      <c r="C296" s="8" t="s">
        <v>834</v>
      </c>
      <c r="D296" s="8" t="s">
        <v>647</v>
      </c>
      <c r="E296" s="9" t="str">
        <f aca="false">HYPERLINK("https://twitter.com/nneusj/status/921276404947406848","921276404947406848")</f>
        <v>921276404947406848</v>
      </c>
      <c r="F296" s="10" t="s">
        <v>25</v>
      </c>
      <c r="G296" s="10" t="n">
        <v>240</v>
      </c>
      <c r="H296" s="10" t="n">
        <v>1887</v>
      </c>
      <c r="I296" s="10" t="n">
        <v>9</v>
      </c>
      <c r="J296" s="10" t="n">
        <v>0</v>
      </c>
      <c r="K296" s="10" t="s">
        <v>20</v>
      </c>
      <c r="L296" s="11" t="n">
        <v>42310.5218981481</v>
      </c>
      <c r="M296" s="12"/>
      <c r="N296" s="12"/>
      <c r="O296" s="9" t="str">
        <f aca="false">HYPERLINK("https://pbs.twimg.com/profile_images/661281424570454016/IY6X6O9R_normal.jpg","View")</f>
        <v>View</v>
      </c>
      <c r="P296" s="10"/>
    </row>
    <row r="297" customFormat="false" ht="15.75" hidden="false" customHeight="false" outlineLevel="0" collapsed="false">
      <c r="A297" s="6" t="n">
        <v>43028.0208564815</v>
      </c>
      <c r="B297" s="7" t="str">
        <f aca="false">HYPERLINK("https://twitter.com/StockViz","@StockViz")</f>
        <v>@StockViz</v>
      </c>
      <c r="C297" s="8" t="s">
        <v>865</v>
      </c>
      <c r="D297" s="8" t="s">
        <v>866</v>
      </c>
      <c r="E297" s="9" t="str">
        <f aca="false">HYPERLINK("https://twitter.com/StockViz/status/921277313555218432","921277313555218432")</f>
        <v>921277313555218432</v>
      </c>
      <c r="F297" s="10" t="s">
        <v>867</v>
      </c>
      <c r="G297" s="10" t="n">
        <v>839</v>
      </c>
      <c r="H297" s="10" t="n">
        <v>26</v>
      </c>
      <c r="I297" s="10" t="n">
        <v>2</v>
      </c>
      <c r="J297" s="10" t="n">
        <v>0</v>
      </c>
      <c r="K297" s="10" t="s">
        <v>20</v>
      </c>
      <c r="L297" s="11" t="n">
        <v>40401.0051851852</v>
      </c>
      <c r="M297" s="12" t="s">
        <v>868</v>
      </c>
      <c r="N297" s="12" t="s">
        <v>869</v>
      </c>
      <c r="O297" s="9" t="str">
        <f aca="false">HYPERLINK("https://pbs.twimg.com/profile_images/378800000601111140/86a2964df8b1222bbca523ca8181122c_normal.png","View")</f>
        <v>View</v>
      </c>
      <c r="P297" s="10"/>
    </row>
    <row r="298" customFormat="false" ht="15.75" hidden="false" customHeight="false" outlineLevel="0" collapsed="false">
      <c r="A298" s="6" t="n">
        <v>43028.0224768519</v>
      </c>
      <c r="B298" s="7" t="str">
        <f aca="false">HYPERLINK("https://twitter.com/isumitksinha","@isumitksinha")</f>
        <v>@isumitksinha</v>
      </c>
      <c r="C298" s="8" t="s">
        <v>855</v>
      </c>
      <c r="D298" s="8" t="s">
        <v>870</v>
      </c>
      <c r="E298" s="9" t="str">
        <f aca="false">HYPERLINK("https://twitter.com/isumitksinha/status/921277897956102145","921277897956102145")</f>
        <v>921277897956102145</v>
      </c>
      <c r="F298" s="10" t="s">
        <v>55</v>
      </c>
      <c r="G298" s="10" t="n">
        <v>821</v>
      </c>
      <c r="H298" s="10" t="n">
        <v>110</v>
      </c>
      <c r="I298" s="10" t="n">
        <v>0</v>
      </c>
      <c r="J298" s="10" t="n">
        <v>0</v>
      </c>
      <c r="K298" s="10" t="s">
        <v>20</v>
      </c>
      <c r="L298" s="11" t="n">
        <v>40211.2578125</v>
      </c>
      <c r="M298" s="12" t="s">
        <v>857</v>
      </c>
      <c r="N298" s="12" t="s">
        <v>858</v>
      </c>
      <c r="O298" s="9" t="str">
        <f aca="false">HYPERLINK("https://pbs.twimg.com/profile_images/662292972654870528/N3kLvWAZ_normal.jpg","View")</f>
        <v>View</v>
      </c>
      <c r="P298" s="10"/>
    </row>
    <row r="299" customFormat="false" ht="15.75" hidden="false" customHeight="false" outlineLevel="0" collapsed="false">
      <c r="A299" s="6" t="n">
        <v>43028.0268287037</v>
      </c>
      <c r="B299" s="7" t="str">
        <f aca="false">HYPERLINK("https://twitter.com/yamanetoshi","@yamanetoshi")</f>
        <v>@yamanetoshi</v>
      </c>
      <c r="C299" s="8" t="s">
        <v>871</v>
      </c>
      <c r="D299" s="8" t="s">
        <v>872</v>
      </c>
      <c r="E299" s="9" t="str">
        <f aca="false">HYPERLINK("https://twitter.com/yamanetoshi/status/921279476171907072","921279476171907072")</f>
        <v>921279476171907072</v>
      </c>
      <c r="F299" s="10" t="s">
        <v>873</v>
      </c>
      <c r="G299" s="10" t="n">
        <v>1533</v>
      </c>
      <c r="H299" s="10" t="n">
        <v>1431</v>
      </c>
      <c r="I299" s="10" t="n">
        <v>0</v>
      </c>
      <c r="J299" s="10" t="n">
        <v>0</v>
      </c>
      <c r="K299" s="10" t="s">
        <v>20</v>
      </c>
      <c r="L299" s="11" t="n">
        <v>39154.1881481481</v>
      </c>
      <c r="M299" s="12" t="s">
        <v>874</v>
      </c>
      <c r="N299" s="12"/>
      <c r="O299" s="9" t="str">
        <f aca="false">HYPERLINK("https://pbs.twimg.com/profile_images/54576135/glider_normal.png","View")</f>
        <v>View</v>
      </c>
      <c r="P299" s="10"/>
    </row>
    <row r="300" customFormat="false" ht="15.75" hidden="false" customHeight="false" outlineLevel="0" collapsed="false">
      <c r="A300" s="6" t="n">
        <v>43028.0269097222</v>
      </c>
      <c r="B300" s="7" t="str">
        <f aca="false">HYPERLINK("https://twitter.com/azu_koi","@azu_koi")</f>
        <v>@azu_koi</v>
      </c>
      <c r="C300" s="14" t="s">
        <v>875</v>
      </c>
      <c r="D300" s="8" t="s">
        <v>705</v>
      </c>
      <c r="E300" s="9" t="str">
        <f aca="false">HYPERLINK("https://twitter.com/azu_koi/status/921279504655323137","921279504655323137")</f>
        <v>921279504655323137</v>
      </c>
      <c r="F300" s="10" t="s">
        <v>25</v>
      </c>
      <c r="G300" s="10" t="n">
        <v>69</v>
      </c>
      <c r="H300" s="10" t="n">
        <v>104</v>
      </c>
      <c r="I300" s="10" t="n">
        <v>60</v>
      </c>
      <c r="J300" s="10" t="n">
        <v>0</v>
      </c>
      <c r="K300" s="10" t="s">
        <v>20</v>
      </c>
      <c r="L300" s="11" t="n">
        <v>40261.9409722222</v>
      </c>
      <c r="M300" s="12" t="s">
        <v>574</v>
      </c>
      <c r="N300" s="13" t="s">
        <v>876</v>
      </c>
      <c r="O300" s="9" t="str">
        <f aca="false">HYPERLINK("https://pbs.twimg.com/profile_images/892276067905318912/T6Utf-ER_normal.jpg","View")</f>
        <v>View</v>
      </c>
      <c r="P300" s="10"/>
    </row>
    <row r="301" customFormat="false" ht="15.75" hidden="false" customHeight="false" outlineLevel="0" collapsed="false">
      <c r="A301" s="6" t="n">
        <v>43028.0279398148</v>
      </c>
      <c r="B301" s="7" t="str">
        <f aca="false">HYPERLINK("https://twitter.com/LuciaaVite","@LuciaaVite")</f>
        <v>@LuciaaVite</v>
      </c>
      <c r="C301" s="8" t="s">
        <v>877</v>
      </c>
      <c r="D301" s="8" t="s">
        <v>705</v>
      </c>
      <c r="E301" s="9" t="str">
        <f aca="false">HYPERLINK("https://twitter.com/LuciaaVite/status/921279879877971968","921279879877971968")</f>
        <v>921279879877971968</v>
      </c>
      <c r="F301" s="10" t="s">
        <v>25</v>
      </c>
      <c r="G301" s="10" t="n">
        <v>1015</v>
      </c>
      <c r="H301" s="10" t="n">
        <v>37</v>
      </c>
      <c r="I301" s="10" t="n">
        <v>60</v>
      </c>
      <c r="J301" s="10" t="n">
        <v>0</v>
      </c>
      <c r="K301" s="10" t="s">
        <v>20</v>
      </c>
      <c r="L301" s="11" t="n">
        <v>40149.7464583333</v>
      </c>
      <c r="M301" s="12" t="s">
        <v>878</v>
      </c>
      <c r="N301" s="12"/>
      <c r="O301" s="9" t="str">
        <f aca="false">HYPERLINK("https://pbs.twimg.com/profile_images/921455204570189824/JdDyilYa_normal.jpg","View")</f>
        <v>View</v>
      </c>
      <c r="P301" s="10"/>
    </row>
    <row r="302" customFormat="false" ht="15.75" hidden="false" customHeight="false" outlineLevel="0" collapsed="false">
      <c r="A302" s="6" t="n">
        <v>43028.0290740741</v>
      </c>
      <c r="B302" s="7" t="str">
        <f aca="false">HYPERLINK("https://twitter.com/m_m1941","@m_m1941")</f>
        <v>@m_m1941</v>
      </c>
      <c r="C302" s="14" t="s">
        <v>879</v>
      </c>
      <c r="D302" s="8" t="s">
        <v>705</v>
      </c>
      <c r="E302" s="9" t="str">
        <f aca="false">HYPERLINK("https://twitter.com/m_m1941/status/921280288608567297","921280288608567297")</f>
        <v>921280288608567297</v>
      </c>
      <c r="F302" s="10" t="s">
        <v>51</v>
      </c>
      <c r="G302" s="10" t="n">
        <v>2360</v>
      </c>
      <c r="H302" s="10" t="n">
        <v>40</v>
      </c>
      <c r="I302" s="10" t="n">
        <v>60</v>
      </c>
      <c r="J302" s="10" t="n">
        <v>0</v>
      </c>
      <c r="K302" s="10" t="s">
        <v>20</v>
      </c>
      <c r="L302" s="11" t="n">
        <v>40070.1927083333</v>
      </c>
      <c r="M302" s="13" t="s">
        <v>880</v>
      </c>
      <c r="N302" s="13" t="s">
        <v>881</v>
      </c>
      <c r="O302" s="9" t="str">
        <f aca="false">HYPERLINK("https://pbs.twimg.com/profile_images/449732375803478016/lC-22SeT_normal.jpeg","View")</f>
        <v>View</v>
      </c>
      <c r="P302" s="10"/>
    </row>
    <row r="303" customFormat="false" ht="15.75" hidden="false" customHeight="false" outlineLevel="0" collapsed="false">
      <c r="A303" s="6" t="n">
        <v>43028.0332291667</v>
      </c>
      <c r="B303" s="7" t="str">
        <f aca="false">HYPERLINK("https://twitter.com/LoveJapanMag","@LoveJapanMag")</f>
        <v>@LoveJapanMag</v>
      </c>
      <c r="C303" s="8" t="s">
        <v>882</v>
      </c>
      <c r="D303" s="8" t="s">
        <v>705</v>
      </c>
      <c r="E303" s="9" t="str">
        <f aca="false">HYPERLINK("https://twitter.com/LoveJapanMag/status/921281794703544320","921281794703544320")</f>
        <v>921281794703544320</v>
      </c>
      <c r="F303" s="10" t="s">
        <v>25</v>
      </c>
      <c r="G303" s="10" t="n">
        <v>8213</v>
      </c>
      <c r="H303" s="10" t="n">
        <v>8088</v>
      </c>
      <c r="I303" s="10" t="n">
        <v>60</v>
      </c>
      <c r="J303" s="10" t="n">
        <v>0</v>
      </c>
      <c r="K303" s="10" t="s">
        <v>20</v>
      </c>
      <c r="L303" s="11" t="n">
        <v>41969.6112847222</v>
      </c>
      <c r="M303" s="12" t="s">
        <v>883</v>
      </c>
      <c r="N303" s="12" t="s">
        <v>884</v>
      </c>
      <c r="O303" s="9" t="str">
        <f aca="false">HYPERLINK("https://pbs.twimg.com/profile_images/551078933068648449/b6C6T3K8_normal.png","View")</f>
        <v>View</v>
      </c>
      <c r="P303" s="10"/>
    </row>
    <row r="304" customFormat="false" ht="15.75" hidden="false" customHeight="false" outlineLevel="0" collapsed="false">
      <c r="A304" s="6" t="n">
        <v>43028.0448263889</v>
      </c>
      <c r="B304" s="7" t="str">
        <f aca="false">HYPERLINK("https://twitter.com/hide_traveller","@hide_traveller")</f>
        <v>@hide_traveller</v>
      </c>
      <c r="C304" s="8" t="s">
        <v>885</v>
      </c>
      <c r="D304" s="8" t="s">
        <v>705</v>
      </c>
      <c r="E304" s="9" t="str">
        <f aca="false">HYPERLINK("https://twitter.com/hide_traveller/status/921285998486491137","921285998486491137")</f>
        <v>921285998486491137</v>
      </c>
      <c r="F304" s="10" t="s">
        <v>25</v>
      </c>
      <c r="G304" s="10" t="n">
        <v>2171</v>
      </c>
      <c r="H304" s="10" t="n">
        <v>614</v>
      </c>
      <c r="I304" s="10" t="n">
        <v>60</v>
      </c>
      <c r="J304" s="10" t="n">
        <v>0</v>
      </c>
      <c r="K304" s="10" t="s">
        <v>20</v>
      </c>
      <c r="L304" s="11" t="n">
        <v>40705.2099189815</v>
      </c>
      <c r="M304" s="12" t="s">
        <v>886</v>
      </c>
      <c r="N304" s="12" t="s">
        <v>887</v>
      </c>
      <c r="O304" s="9" t="str">
        <f aca="false">HYPERLINK("https://pbs.twimg.com/profile_images/682806030284144641/FoJxuzzv_normal.jpg","View")</f>
        <v>View</v>
      </c>
      <c r="P304" s="10"/>
    </row>
    <row r="305" customFormat="false" ht="15.75" hidden="false" customHeight="false" outlineLevel="0" collapsed="false">
      <c r="A305" s="6" t="n">
        <v>43028.0476157407</v>
      </c>
      <c r="B305" s="7" t="str">
        <f aca="false">HYPERLINK("https://twitter.com/BrajkovicDb","@BrajkovicDb")</f>
        <v>@BrajkovicDb</v>
      </c>
      <c r="C305" s="8" t="s">
        <v>888</v>
      </c>
      <c r="D305" s="8" t="s">
        <v>360</v>
      </c>
      <c r="E305" s="9" t="str">
        <f aca="false">HYPERLINK("https://twitter.com/BrajkovicDb/status/921287007858434048","921287007858434048")</f>
        <v>921287007858434048</v>
      </c>
      <c r="F305" s="10" t="s">
        <v>51</v>
      </c>
      <c r="G305" s="10" t="n">
        <v>2704</v>
      </c>
      <c r="H305" s="10" t="n">
        <v>4994</v>
      </c>
      <c r="I305" s="10" t="n">
        <v>14</v>
      </c>
      <c r="J305" s="10" t="n">
        <v>0</v>
      </c>
      <c r="K305" s="10" t="s">
        <v>20</v>
      </c>
      <c r="L305" s="11" t="n">
        <v>41257.7667361111</v>
      </c>
      <c r="M305" s="12" t="s">
        <v>889</v>
      </c>
      <c r="N305" s="12" t="s">
        <v>890</v>
      </c>
      <c r="O305" s="9" t="str">
        <f aca="false">HYPERLINK("https://pbs.twimg.com/profile_images/641890444645941248/RKAwbyZ9_normal.jpg","View")</f>
        <v>View</v>
      </c>
      <c r="P305" s="10"/>
    </row>
    <row r="306" customFormat="false" ht="15.75" hidden="false" customHeight="false" outlineLevel="0" collapsed="false">
      <c r="A306" s="6" t="n">
        <v>43028.062025463</v>
      </c>
      <c r="B306" s="7" t="str">
        <f aca="false">HYPERLINK("https://twitter.com/stubreyer","@stubreyer")</f>
        <v>@stubreyer</v>
      </c>
      <c r="C306" s="8" t="s">
        <v>891</v>
      </c>
      <c r="D306" s="8" t="s">
        <v>892</v>
      </c>
      <c r="E306" s="9" t="str">
        <f aca="false">HYPERLINK("https://twitter.com/stubreyer/status/921292231486660608","921292231486660608")</f>
        <v>921292231486660608</v>
      </c>
      <c r="F306" s="10" t="s">
        <v>39</v>
      </c>
      <c r="G306" s="10" t="n">
        <v>1901</v>
      </c>
      <c r="H306" s="10" t="n">
        <v>869</v>
      </c>
      <c r="I306" s="10" t="n">
        <v>0</v>
      </c>
      <c r="J306" s="10" t="n">
        <v>0</v>
      </c>
      <c r="K306" s="10" t="s">
        <v>20</v>
      </c>
      <c r="L306" s="11" t="n">
        <v>39868.3705671296</v>
      </c>
      <c r="M306" s="12" t="s">
        <v>893</v>
      </c>
      <c r="N306" s="12" t="s">
        <v>894</v>
      </c>
      <c r="O306" s="9" t="str">
        <f aca="false">HYPERLINK("https://pbs.twimg.com/profile_images/3392358601/bc6a58aaeed2bc82e8ceb34d2a5e87ed_normal.jpeg","View")</f>
        <v>View</v>
      </c>
      <c r="P306" s="10"/>
    </row>
    <row r="307" customFormat="false" ht="15.75" hidden="false" customHeight="false" outlineLevel="0" collapsed="false">
      <c r="A307" s="6" t="n">
        <v>43028.0629166667</v>
      </c>
      <c r="B307" s="7" t="str">
        <f aca="false">HYPERLINK("https://twitter.com/CreditinCrisis","@CreditinCrisis")</f>
        <v>@CreditinCrisis</v>
      </c>
      <c r="C307" s="8" t="s">
        <v>895</v>
      </c>
      <c r="D307" s="8" t="s">
        <v>896</v>
      </c>
      <c r="E307" s="9" t="str">
        <f aca="false">HYPERLINK("https://twitter.com/CreditinCrisis/status/921292555215687680","921292555215687680")</f>
        <v>921292555215687680</v>
      </c>
      <c r="F307" s="10" t="s">
        <v>110</v>
      </c>
      <c r="G307" s="10" t="n">
        <v>1502</v>
      </c>
      <c r="H307" s="10" t="n">
        <v>1931</v>
      </c>
      <c r="I307" s="10" t="n">
        <v>0</v>
      </c>
      <c r="J307" s="10" t="n">
        <v>0</v>
      </c>
      <c r="K307" s="10" t="s">
        <v>20</v>
      </c>
      <c r="L307" s="11" t="n">
        <v>40019.4244907407</v>
      </c>
      <c r="M307" s="12"/>
      <c r="N307" s="12" t="s">
        <v>897</v>
      </c>
      <c r="O307" s="9" t="str">
        <f aca="false">HYPERLINK("https://pbs.twimg.com/profile_images/378800000686739456/cacba59e58c6201090f33f6251c362ae_normal.jpeg","View")</f>
        <v>View</v>
      </c>
      <c r="P307" s="10"/>
    </row>
    <row r="308" customFormat="false" ht="15.75" hidden="false" customHeight="false" outlineLevel="0" collapsed="false">
      <c r="A308" s="6" t="n">
        <v>43028.0629861111</v>
      </c>
      <c r="B308" s="7" t="str">
        <f aca="false">HYPERLINK("https://twitter.com/FUNDEF","@FUNDEF")</f>
        <v>@FUNDEF</v>
      </c>
      <c r="C308" s="8" t="s">
        <v>898</v>
      </c>
      <c r="D308" s="8" t="s">
        <v>899</v>
      </c>
      <c r="E308" s="9" t="str">
        <f aca="false">HYPERLINK("https://twitter.com/FUNDEF/status/921292578414301184","921292578414301184")</f>
        <v>921292578414301184</v>
      </c>
      <c r="F308" s="10" t="s">
        <v>110</v>
      </c>
      <c r="G308" s="10" t="n">
        <v>44333</v>
      </c>
      <c r="H308" s="10" t="n">
        <v>95</v>
      </c>
      <c r="I308" s="10" t="n">
        <v>1</v>
      </c>
      <c r="J308" s="10" t="n">
        <v>0</v>
      </c>
      <c r="K308" s="10" t="s">
        <v>20</v>
      </c>
      <c r="L308" s="11" t="n">
        <v>41426.6083101852</v>
      </c>
      <c r="M308" s="12" t="s">
        <v>900</v>
      </c>
      <c r="N308" s="12" t="s">
        <v>901</v>
      </c>
      <c r="O308" s="9" t="str">
        <f aca="false">HYPERLINK("https://pbs.twimg.com/profile_images/378800000256833331/02e44f37b48d0eadf9e68a44391e26bc_normal.jpeg","View")</f>
        <v>View</v>
      </c>
      <c r="P308" s="10"/>
    </row>
    <row r="309" customFormat="false" ht="15.75" hidden="false" customHeight="false" outlineLevel="0" collapsed="false">
      <c r="A309" s="6" t="n">
        <v>43028.0630671296</v>
      </c>
      <c r="B309" s="7" t="str">
        <f aca="false">HYPERLINK("https://twitter.com/FUNDEF","@FUNDEF")</f>
        <v>@FUNDEF</v>
      </c>
      <c r="C309" s="8" t="s">
        <v>898</v>
      </c>
      <c r="D309" s="8" t="s">
        <v>902</v>
      </c>
      <c r="E309" s="9" t="str">
        <f aca="false">HYPERLINK("https://twitter.com/FUNDEF/status/921292610890878976","921292610890878976")</f>
        <v>921292610890878976</v>
      </c>
      <c r="F309" s="10" t="s">
        <v>110</v>
      </c>
      <c r="G309" s="10" t="n">
        <v>44333</v>
      </c>
      <c r="H309" s="10" t="n">
        <v>95</v>
      </c>
      <c r="I309" s="10" t="n">
        <v>1</v>
      </c>
      <c r="J309" s="10" t="n">
        <v>0</v>
      </c>
      <c r="K309" s="10" t="s">
        <v>20</v>
      </c>
      <c r="L309" s="11" t="n">
        <v>41426.6083101852</v>
      </c>
      <c r="M309" s="12" t="s">
        <v>900</v>
      </c>
      <c r="N309" s="12" t="s">
        <v>901</v>
      </c>
      <c r="O309" s="9" t="str">
        <f aca="false">HYPERLINK("https://pbs.twimg.com/profile_images/378800000256833331/02e44f37b48d0eadf9e68a44391e26bc_normal.jpeg","View")</f>
        <v>View</v>
      </c>
      <c r="P309" s="10"/>
    </row>
    <row r="310" customFormat="false" ht="15.75" hidden="false" customHeight="false" outlineLevel="0" collapsed="false">
      <c r="A310" s="6" t="n">
        <v>43028.0631481481</v>
      </c>
      <c r="B310" s="7" t="str">
        <f aca="false">HYPERLINK("https://twitter.com/baygui","@baygui")</f>
        <v>@baygui</v>
      </c>
      <c r="C310" s="8" t="s">
        <v>903</v>
      </c>
      <c r="D310" s="8" t="s">
        <v>360</v>
      </c>
      <c r="E310" s="9" t="str">
        <f aca="false">HYPERLINK("https://twitter.com/baygui/status/921292638296395778","921292638296395778")</f>
        <v>921292638296395778</v>
      </c>
      <c r="F310" s="10" t="s">
        <v>25</v>
      </c>
      <c r="G310" s="10" t="n">
        <v>1184</v>
      </c>
      <c r="H310" s="10" t="n">
        <v>1212</v>
      </c>
      <c r="I310" s="10" t="n">
        <v>14</v>
      </c>
      <c r="J310" s="10" t="n">
        <v>0</v>
      </c>
      <c r="K310" s="10" t="s">
        <v>20</v>
      </c>
      <c r="L310" s="11" t="n">
        <v>41574.7904861111</v>
      </c>
      <c r="M310" s="12" t="s">
        <v>904</v>
      </c>
      <c r="N310" s="12" t="s">
        <v>905</v>
      </c>
      <c r="O310" s="9" t="str">
        <f aca="false">HYPERLINK("https://pbs.twimg.com/profile_images/716120290695192576/yCipZdVs_normal.jpg","View")</f>
        <v>View</v>
      </c>
      <c r="P310" s="10"/>
    </row>
    <row r="311" customFormat="false" ht="15.75" hidden="false" customHeight="false" outlineLevel="0" collapsed="false">
      <c r="A311" s="6" t="n">
        <v>43028.0637384259</v>
      </c>
      <c r="B311" s="7" t="str">
        <f aca="false">HYPERLINK("https://twitter.com/PollVoyeur","@PollVoyeur")</f>
        <v>@PollVoyeur</v>
      </c>
      <c r="C311" s="8" t="s">
        <v>906</v>
      </c>
      <c r="D311" s="8" t="s">
        <v>907</v>
      </c>
      <c r="E311" s="9" t="str">
        <f aca="false">HYPERLINK("https://twitter.com/PollVoyeur/status/921292850762956806","921292850762956806")</f>
        <v>921292850762956806</v>
      </c>
      <c r="F311" s="10" t="s">
        <v>39</v>
      </c>
      <c r="G311" s="10" t="n">
        <v>103</v>
      </c>
      <c r="H311" s="10" t="n">
        <v>414</v>
      </c>
      <c r="I311" s="10" t="n">
        <v>1</v>
      </c>
      <c r="J311" s="10" t="n">
        <v>0</v>
      </c>
      <c r="K311" s="10" t="s">
        <v>20</v>
      </c>
      <c r="L311" s="11" t="n">
        <v>43010.8158796296</v>
      </c>
      <c r="M311" s="12"/>
      <c r="N311" s="12" t="s">
        <v>908</v>
      </c>
      <c r="O311" s="9" t="str">
        <f aca="false">HYPERLINK("https://pbs.twimg.com/profile_images/915046961828347904/5BKoFkUy_normal.jpg","View")</f>
        <v>View</v>
      </c>
      <c r="P311" s="10"/>
    </row>
    <row r="312" customFormat="false" ht="15.75" hidden="false" customHeight="false" outlineLevel="0" collapsed="false">
      <c r="A312" s="6" t="n">
        <v>43028.0637731481</v>
      </c>
      <c r="B312" s="7" t="str">
        <f aca="false">HYPERLINK("https://twitter.com/gauravyadav92","@gauravyadav92")</f>
        <v>@gauravyadav92</v>
      </c>
      <c r="C312" s="8" t="s">
        <v>909</v>
      </c>
      <c r="D312" s="8" t="s">
        <v>705</v>
      </c>
      <c r="E312" s="9" t="str">
        <f aca="false">HYPERLINK("https://twitter.com/gauravyadav92/status/921292864151097344","921292864151097344")</f>
        <v>921292864151097344</v>
      </c>
      <c r="F312" s="10" t="s">
        <v>51</v>
      </c>
      <c r="G312" s="10" t="n">
        <v>481</v>
      </c>
      <c r="H312" s="10" t="n">
        <v>198</v>
      </c>
      <c r="I312" s="10" t="n">
        <v>60</v>
      </c>
      <c r="J312" s="10" t="n">
        <v>0</v>
      </c>
      <c r="K312" s="10" t="s">
        <v>20</v>
      </c>
      <c r="L312" s="11" t="n">
        <v>40487.8150115741</v>
      </c>
      <c r="M312" s="12" t="s">
        <v>910</v>
      </c>
      <c r="N312" s="12" t="s">
        <v>911</v>
      </c>
      <c r="O312" s="9" t="str">
        <f aca="false">HYPERLINK("https://pbs.twimg.com/profile_images/378800000028958767/e3b138ecca9f328167440097465f16f7_normal.jpeg","View")</f>
        <v>View</v>
      </c>
      <c r="P312" s="10"/>
    </row>
    <row r="313" customFormat="false" ht="15.75" hidden="false" customHeight="false" outlineLevel="0" collapsed="false">
      <c r="A313" s="6" t="n">
        <v>43028.064537037</v>
      </c>
      <c r="B313" s="7" t="str">
        <f aca="false">HYPERLINK("https://twitter.com/44cstark","@44cstark")</f>
        <v>@44cstark</v>
      </c>
      <c r="C313" s="8" t="s">
        <v>912</v>
      </c>
      <c r="D313" s="8" t="s">
        <v>705</v>
      </c>
      <c r="E313" s="9" t="str">
        <f aca="false">HYPERLINK("https://twitter.com/44cstark/status/921293140723724288","921293140723724288")</f>
        <v>921293140723724288</v>
      </c>
      <c r="F313" s="10" t="s">
        <v>25</v>
      </c>
      <c r="G313" s="10" t="n">
        <v>1359</v>
      </c>
      <c r="H313" s="10" t="n">
        <v>1997</v>
      </c>
      <c r="I313" s="10" t="n">
        <v>60</v>
      </c>
      <c r="J313" s="10" t="n">
        <v>0</v>
      </c>
      <c r="K313" s="10" t="s">
        <v>20</v>
      </c>
      <c r="L313" s="11" t="n">
        <v>41754.9561111111</v>
      </c>
      <c r="M313" s="12" t="s">
        <v>913</v>
      </c>
      <c r="N313" s="12" t="s">
        <v>914</v>
      </c>
      <c r="O313" s="9" t="str">
        <f aca="false">HYPERLINK("https://abs.twimg.com/sticky/default_profile_images/default_profile_normal.png","View")</f>
        <v>View</v>
      </c>
      <c r="P313" s="10"/>
    </row>
    <row r="314" customFormat="false" ht="15.75" hidden="false" customHeight="false" outlineLevel="0" collapsed="false">
      <c r="A314" s="6" t="n">
        <v>43028.0701273148</v>
      </c>
      <c r="B314" s="7" t="str">
        <f aca="false">HYPERLINK("https://twitter.com/KLRTRDR","@KLRTRDR")</f>
        <v>@KLRTRDR</v>
      </c>
      <c r="C314" s="8" t="s">
        <v>915</v>
      </c>
      <c r="D314" s="8" t="s">
        <v>554</v>
      </c>
      <c r="E314" s="9" t="str">
        <f aca="false">HYPERLINK("https://twitter.com/KLRTRDR/status/921295168233287680","921295168233287680")</f>
        <v>921295168233287680</v>
      </c>
      <c r="F314" s="10" t="s">
        <v>51</v>
      </c>
      <c r="G314" s="10" t="n">
        <v>130</v>
      </c>
      <c r="H314" s="10" t="n">
        <v>48</v>
      </c>
      <c r="I314" s="10" t="n">
        <v>14</v>
      </c>
      <c r="J314" s="10" t="n">
        <v>0</v>
      </c>
      <c r="K314" s="10" t="s">
        <v>20</v>
      </c>
      <c r="L314" s="11" t="n">
        <v>42474.6456597222</v>
      </c>
      <c r="M314" s="12"/>
      <c r="N314" s="12" t="s">
        <v>916</v>
      </c>
      <c r="O314" s="9" t="str">
        <f aca="false">HYPERLINK("https://pbs.twimg.com/profile_images/912819365271293952/vcZROjPY_normal.jpg","View")</f>
        <v>View</v>
      </c>
      <c r="P314" s="10"/>
    </row>
    <row r="315" customFormat="false" ht="15.75" hidden="false" customHeight="false" outlineLevel="0" collapsed="false">
      <c r="A315" s="6" t="n">
        <v>43028.0725115741</v>
      </c>
      <c r="B315" s="7" t="str">
        <f aca="false">HYPERLINK("https://twitter.com/sharebossindia","@sharebossindia")</f>
        <v>@sharebossindia</v>
      </c>
      <c r="C315" s="7" t="s">
        <v>917</v>
      </c>
      <c r="D315" s="8" t="s">
        <v>918</v>
      </c>
      <c r="E315" s="9" t="str">
        <f aca="false">HYPERLINK("https://twitter.com/sharebossindia/status/921296031144329216","921296031144329216")</f>
        <v>921296031144329216</v>
      </c>
      <c r="F315" s="10" t="s">
        <v>919</v>
      </c>
      <c r="G315" s="10" t="n">
        <v>1210</v>
      </c>
      <c r="H315" s="10" t="n">
        <v>1</v>
      </c>
      <c r="I315" s="10" t="n">
        <v>0</v>
      </c>
      <c r="J315" s="10" t="n">
        <v>0</v>
      </c>
      <c r="K315" s="10" t="s">
        <v>20</v>
      </c>
      <c r="L315" s="11" t="n">
        <v>42262.3224305556</v>
      </c>
      <c r="M315" s="12"/>
      <c r="N315" s="12" t="s">
        <v>920</v>
      </c>
      <c r="O315" s="9" t="str">
        <f aca="false">HYPERLINK("https://pbs.twimg.com/profile_images/691477939880202244/-eW65KbB_normal.jpg","View")</f>
        <v>View</v>
      </c>
      <c r="P315" s="10"/>
    </row>
    <row r="316" customFormat="false" ht="15.75" hidden="false" customHeight="false" outlineLevel="0" collapsed="false">
      <c r="A316" s="6" t="n">
        <v>43028.0729398148</v>
      </c>
      <c r="B316" s="7" t="str">
        <f aca="false">HYPERLINK("https://twitter.com/nytimesbusiness","@nytimesbusiness")</f>
        <v>@nytimesbusiness</v>
      </c>
      <c r="C316" s="8" t="s">
        <v>921</v>
      </c>
      <c r="D316" s="8" t="s">
        <v>922</v>
      </c>
      <c r="E316" s="9" t="str">
        <f aca="false">HYPERLINK("https://twitter.com/nytimesbusiness/status/921296188141461506","921296188141461506")</f>
        <v>921296188141461506</v>
      </c>
      <c r="F316" s="10" t="s">
        <v>268</v>
      </c>
      <c r="G316" s="10" t="n">
        <v>790924</v>
      </c>
      <c r="H316" s="10" t="n">
        <v>386</v>
      </c>
      <c r="I316" s="10" t="n">
        <v>6</v>
      </c>
      <c r="J316" s="10" t="n">
        <v>6</v>
      </c>
      <c r="K316" s="10" t="s">
        <v>20</v>
      </c>
      <c r="L316" s="11" t="n">
        <v>39162.3261458333</v>
      </c>
      <c r="M316" s="12" t="s">
        <v>491</v>
      </c>
      <c r="N316" s="12" t="s">
        <v>923</v>
      </c>
      <c r="O316" s="9" t="str">
        <f aca="false">HYPERLINK("https://pbs.twimg.com/profile_images/2037622389/NYT_Twitter_Business_normal.png","View")</f>
        <v>View</v>
      </c>
      <c r="P316" s="10"/>
    </row>
    <row r="317" customFormat="false" ht="15.75" hidden="false" customHeight="false" outlineLevel="0" collapsed="false">
      <c r="A317" s="6" t="n">
        <v>43028.0732523148</v>
      </c>
      <c r="B317" s="7" t="str">
        <f aca="false">HYPERLINK("https://twitter.com/BSAFunds","@BSAFunds")</f>
        <v>@BSAFunds</v>
      </c>
      <c r="C317" s="8" t="s">
        <v>924</v>
      </c>
      <c r="D317" s="8" t="s">
        <v>925</v>
      </c>
      <c r="E317" s="9" t="str">
        <f aca="false">HYPERLINK("https://twitter.com/BSAFunds/status/921296300116717574","921296300116717574")</f>
        <v>921296300116717574</v>
      </c>
      <c r="F317" s="10" t="s">
        <v>60</v>
      </c>
      <c r="G317" s="10" t="n">
        <v>20871</v>
      </c>
      <c r="H317" s="10" t="n">
        <v>8926</v>
      </c>
      <c r="I317" s="10" t="n">
        <v>0</v>
      </c>
      <c r="J317" s="10" t="n">
        <v>0</v>
      </c>
      <c r="K317" s="10" t="s">
        <v>20</v>
      </c>
      <c r="L317" s="11" t="n">
        <v>42601.9481828704</v>
      </c>
      <c r="M317" s="12" t="s">
        <v>312</v>
      </c>
      <c r="N317" s="12" t="s">
        <v>926</v>
      </c>
      <c r="O317" s="9" t="str">
        <f aca="false">HYPERLINK("https://pbs.twimg.com/profile_images/912769166960033792/N4LAmrTs_normal.jpg","View")</f>
        <v>View</v>
      </c>
      <c r="P317" s="10"/>
    </row>
    <row r="318" customFormat="false" ht="15.75" hidden="false" customHeight="false" outlineLevel="0" collapsed="false">
      <c r="A318" s="6" t="n">
        <v>43028.0741203704</v>
      </c>
      <c r="B318" s="7" t="str">
        <f aca="false">HYPERLINK("https://twitter.com/mehmet_oztturk","@mehmet_oztturk")</f>
        <v>@mehmet_oztturk</v>
      </c>
      <c r="C318" s="8" t="s">
        <v>927</v>
      </c>
      <c r="D318" s="8" t="s">
        <v>928</v>
      </c>
      <c r="E318" s="9" t="str">
        <f aca="false">HYPERLINK("https://twitter.com/mehmet_oztturk/status/921296615360663552","921296615360663552")</f>
        <v>921296615360663552</v>
      </c>
      <c r="F318" s="10" t="s">
        <v>25</v>
      </c>
      <c r="G318" s="10" t="n">
        <v>137</v>
      </c>
      <c r="H318" s="10" t="n">
        <v>636</v>
      </c>
      <c r="I318" s="10" t="n">
        <v>6</v>
      </c>
      <c r="J318" s="10" t="n">
        <v>0</v>
      </c>
      <c r="K318" s="10" t="s">
        <v>20</v>
      </c>
      <c r="L318" s="11" t="n">
        <v>40633.2148726852</v>
      </c>
      <c r="M318" s="12" t="s">
        <v>929</v>
      </c>
      <c r="N318" s="12" t="s">
        <v>930</v>
      </c>
      <c r="O318" s="9" t="str">
        <f aca="false">HYPERLINK("https://pbs.twimg.com/profile_images/746704077615149056/3Putjfr9_normal.jpg","View")</f>
        <v>View</v>
      </c>
      <c r="P318" s="10"/>
    </row>
    <row r="319" customFormat="false" ht="15.75" hidden="false" customHeight="false" outlineLevel="0" collapsed="false">
      <c r="A319" s="6" t="n">
        <v>43028.0756712963</v>
      </c>
      <c r="B319" s="7" t="str">
        <f aca="false">HYPERLINK("https://twitter.com/sissymmv3","@sissymmv3")</f>
        <v>@sissymmv3</v>
      </c>
      <c r="C319" s="8" t="s">
        <v>931</v>
      </c>
      <c r="D319" s="8" t="s">
        <v>932</v>
      </c>
      <c r="E319" s="9" t="str">
        <f aca="false">HYPERLINK("https://twitter.com/sissymmv3/status/921297176940101632","921297176940101632")</f>
        <v>921297176940101632</v>
      </c>
      <c r="F319" s="10" t="s">
        <v>25</v>
      </c>
      <c r="G319" s="10" t="n">
        <v>55</v>
      </c>
      <c r="H319" s="10" t="n">
        <v>2257</v>
      </c>
      <c r="I319" s="10" t="n">
        <v>1</v>
      </c>
      <c r="J319" s="10" t="n">
        <v>0</v>
      </c>
      <c r="K319" s="10" t="s">
        <v>20</v>
      </c>
      <c r="L319" s="11" t="n">
        <v>40936.6068055556</v>
      </c>
      <c r="M319" s="12" t="s">
        <v>933</v>
      </c>
      <c r="N319" s="12"/>
      <c r="O319" s="9" t="str">
        <f aca="false">HYPERLINK("https://pbs.twimg.com/profile_images/763021691991699458/0rCs2mfK_normal.jpg","View")</f>
        <v>View</v>
      </c>
      <c r="P319" s="10"/>
    </row>
    <row r="320" customFormat="false" ht="15.75" hidden="false" customHeight="false" outlineLevel="0" collapsed="false">
      <c r="A320" s="6" t="n">
        <v>43028.0758333333</v>
      </c>
      <c r="B320" s="7" t="str">
        <f aca="false">HYPERLINK("https://twitter.com/InvestingLatest","@InvestingLatest")</f>
        <v>@InvestingLatest</v>
      </c>
      <c r="C320" s="8" t="s">
        <v>934</v>
      </c>
      <c r="D320" s="8" t="s">
        <v>935</v>
      </c>
      <c r="E320" s="9" t="str">
        <f aca="false">HYPERLINK("https://twitter.com/InvestingLatest/status/921297236486774784","921297236486774784")</f>
        <v>921297236486774784</v>
      </c>
      <c r="F320" s="10" t="s">
        <v>60</v>
      </c>
      <c r="G320" s="10" t="n">
        <v>1538</v>
      </c>
      <c r="H320" s="10" t="n">
        <v>33</v>
      </c>
      <c r="I320" s="10" t="n">
        <v>0</v>
      </c>
      <c r="J320" s="10" t="n">
        <v>0</v>
      </c>
      <c r="K320" s="10" t="s">
        <v>20</v>
      </c>
      <c r="L320" s="11" t="n">
        <v>41946.3308912037</v>
      </c>
      <c r="M320" s="12"/>
      <c r="N320" s="12" t="s">
        <v>936</v>
      </c>
      <c r="O320" s="9" t="str">
        <f aca="false">HYPERLINK("https://pbs.twimg.com/profile_images/529461684297945089/uscUz0UO_normal.jpeg","View")</f>
        <v>View</v>
      </c>
      <c r="P320" s="10"/>
    </row>
    <row r="321" customFormat="false" ht="15.75" hidden="false" customHeight="false" outlineLevel="0" collapsed="false">
      <c r="A321" s="6" t="n">
        <v>43028.080462963</v>
      </c>
      <c r="B321" s="7" t="str">
        <f aca="false">HYPERLINK("https://twitter.com/TIMEWorld","@TIMEWorld")</f>
        <v>@TIMEWorld</v>
      </c>
      <c r="C321" s="8" t="s">
        <v>937</v>
      </c>
      <c r="D321" s="8" t="s">
        <v>938</v>
      </c>
      <c r="E321" s="9" t="str">
        <f aca="false">HYPERLINK("https://twitter.com/TIMEWorld/status/921298913012932608","921298913012932608")</f>
        <v>921298913012932608</v>
      </c>
      <c r="F321" s="10" t="s">
        <v>268</v>
      </c>
      <c r="G321" s="10" t="n">
        <v>63956</v>
      </c>
      <c r="H321" s="10" t="n">
        <v>117</v>
      </c>
      <c r="I321" s="10" t="n">
        <v>0</v>
      </c>
      <c r="J321" s="10" t="n">
        <v>0</v>
      </c>
      <c r="K321" s="10" t="s">
        <v>20</v>
      </c>
      <c r="L321" s="11" t="n">
        <v>39664.3483912037</v>
      </c>
      <c r="M321" s="12"/>
      <c r="N321" s="12" t="s">
        <v>939</v>
      </c>
      <c r="O321" s="9" t="str">
        <f aca="false">HYPERLINK("https://pbs.twimg.com/profile_images/481138361441079298/97ZgTF1Y_normal.jpeg","View")</f>
        <v>View</v>
      </c>
      <c r="P321" s="10"/>
    </row>
    <row r="322" customFormat="false" ht="15.75" hidden="false" customHeight="false" outlineLevel="0" collapsed="false">
      <c r="A322" s="6" t="n">
        <v>43028.0823263889</v>
      </c>
      <c r="B322" s="7" t="str">
        <f aca="false">HYPERLINK("https://twitter.com/latikia","@latikia")</f>
        <v>@latikia</v>
      </c>
      <c r="C322" s="8" t="s">
        <v>940</v>
      </c>
      <c r="D322" s="8" t="s">
        <v>941</v>
      </c>
      <c r="E322" s="9" t="str">
        <f aca="false">HYPERLINK("https://twitter.com/latikia/status/921299589570990080","921299589570990080")</f>
        <v>921299589570990080</v>
      </c>
      <c r="F322" s="10" t="s">
        <v>60</v>
      </c>
      <c r="G322" s="10" t="n">
        <v>2653</v>
      </c>
      <c r="H322" s="10" t="n">
        <v>52</v>
      </c>
      <c r="I322" s="10" t="n">
        <v>0</v>
      </c>
      <c r="J322" s="10" t="n">
        <v>0</v>
      </c>
      <c r="K322" s="10" t="s">
        <v>20</v>
      </c>
      <c r="L322" s="11" t="n">
        <v>41313.9161574074</v>
      </c>
      <c r="M322" s="12" t="s">
        <v>942</v>
      </c>
      <c r="N322" s="12" t="s">
        <v>943</v>
      </c>
      <c r="O322" s="9" t="str">
        <f aca="false">HYPERLINK("https://pbs.twimg.com/profile_images/885991071833964544/8biPz_h0_normal.jpg","View")</f>
        <v>View</v>
      </c>
      <c r="P322" s="10"/>
    </row>
    <row r="323" customFormat="false" ht="15.75" hidden="false" customHeight="false" outlineLevel="0" collapsed="false">
      <c r="A323" s="6" t="n">
        <v>43028.083912037</v>
      </c>
      <c r="B323" s="7" t="str">
        <f aca="false">HYPERLINK("https://twitter.com/imsteveduncan","@imsteveduncan")</f>
        <v>@imsteveduncan</v>
      </c>
      <c r="C323" s="8" t="s">
        <v>944</v>
      </c>
      <c r="D323" s="8" t="s">
        <v>945</v>
      </c>
      <c r="E323" s="9" t="str">
        <f aca="false">HYPERLINK("https://twitter.com/imsteveduncan/status/921300162869383174","921300162869383174")</f>
        <v>921300162869383174</v>
      </c>
      <c r="F323" s="10" t="s">
        <v>60</v>
      </c>
      <c r="G323" s="10" t="n">
        <v>217</v>
      </c>
      <c r="H323" s="10" t="n">
        <v>817</v>
      </c>
      <c r="I323" s="10" t="n">
        <v>0</v>
      </c>
      <c r="J323" s="10" t="n">
        <v>0</v>
      </c>
      <c r="K323" s="10" t="s">
        <v>20</v>
      </c>
      <c r="L323" s="11" t="n">
        <v>42783.3260416667</v>
      </c>
      <c r="M323" s="12" t="s">
        <v>946</v>
      </c>
      <c r="N323" s="12" t="s">
        <v>947</v>
      </c>
      <c r="O323" s="9" t="str">
        <f aca="false">HYPERLINK("https://pbs.twimg.com/profile_images/874135066510729216/gr5-jG8u_normal.jpg","View")</f>
        <v>View</v>
      </c>
      <c r="P323" s="10"/>
    </row>
    <row r="324" customFormat="false" ht="15.75" hidden="false" customHeight="false" outlineLevel="0" collapsed="false">
      <c r="A324" s="6" t="n">
        <v>43028.0839351852</v>
      </c>
      <c r="B324" s="7" t="str">
        <f aca="false">HYPERLINK("https://twitter.com/JROSENBERG1","@JROSENBERG1")</f>
        <v>@JROSENBERG1</v>
      </c>
      <c r="C324" s="8" t="s">
        <v>948</v>
      </c>
      <c r="D324" s="8" t="s">
        <v>949</v>
      </c>
      <c r="E324" s="9" t="str">
        <f aca="false">HYPERLINK("https://twitter.com/JROSENBERG1/status/921300171681619968","921300171681619968")</f>
        <v>921300171681619968</v>
      </c>
      <c r="F324" s="10" t="s">
        <v>60</v>
      </c>
      <c r="G324" s="10" t="n">
        <v>1715</v>
      </c>
      <c r="H324" s="10" t="n">
        <v>864</v>
      </c>
      <c r="I324" s="10" t="n">
        <v>0</v>
      </c>
      <c r="J324" s="10" t="n">
        <v>0</v>
      </c>
      <c r="K324" s="10" t="s">
        <v>20</v>
      </c>
      <c r="L324" s="11" t="n">
        <v>39856.5924421296</v>
      </c>
      <c r="M324" s="12" t="s">
        <v>950</v>
      </c>
      <c r="N324" s="12" t="s">
        <v>951</v>
      </c>
      <c r="O324" s="9" t="str">
        <f aca="false">HYPERLINK("https://pbs.twimg.com/profile_images/923725548219715589/NeGOxDvw_normal.jpg","View")</f>
        <v>View</v>
      </c>
      <c r="P324" s="10"/>
    </row>
    <row r="325" customFormat="false" ht="15.75" hidden="false" customHeight="false" outlineLevel="0" collapsed="false">
      <c r="A325" s="6" t="n">
        <v>43028.0839583333</v>
      </c>
      <c r="B325" s="7" t="str">
        <f aca="false">HYPERLINK("https://twitter.com/lucchaoui","@lucchaoui")</f>
        <v>@lucchaoui</v>
      </c>
      <c r="C325" s="8" t="s">
        <v>952</v>
      </c>
      <c r="D325" s="8" t="s">
        <v>953</v>
      </c>
      <c r="E325" s="9" t="str">
        <f aca="false">HYPERLINK("https://twitter.com/lucchaoui/status/921300178384162817","921300178384162817")</f>
        <v>921300178384162817</v>
      </c>
      <c r="F325" s="10" t="s">
        <v>60</v>
      </c>
      <c r="G325" s="10" t="n">
        <v>397130</v>
      </c>
      <c r="H325" s="10" t="n">
        <v>393</v>
      </c>
      <c r="I325" s="10" t="n">
        <v>0</v>
      </c>
      <c r="J325" s="10" t="n">
        <v>0</v>
      </c>
      <c r="K325" s="10" t="s">
        <v>20</v>
      </c>
      <c r="L325" s="11" t="n">
        <v>39932.4051967593</v>
      </c>
      <c r="M325" s="12" t="s">
        <v>954</v>
      </c>
      <c r="N325" s="12" t="s">
        <v>955</v>
      </c>
      <c r="O325" s="9" t="str">
        <f aca="false">HYPERLINK("https://pbs.twimg.com/profile_images/845679875734196224/DS22r1ae_normal.jpg","View")</f>
        <v>View</v>
      </c>
      <c r="P325" s="10"/>
    </row>
    <row r="326" customFormat="false" ht="15.75" hidden="false" customHeight="false" outlineLevel="0" collapsed="false">
      <c r="A326" s="6" t="n">
        <v>43028.0840277778</v>
      </c>
      <c r="B326" s="7" t="str">
        <f aca="false">HYPERLINK("https://twitter.com/News_Screamer","@News_Screamer")</f>
        <v>@News_Screamer</v>
      </c>
      <c r="C326" s="8" t="s">
        <v>956</v>
      </c>
      <c r="D326" s="8" t="s">
        <v>957</v>
      </c>
      <c r="E326" s="9" t="str">
        <f aca="false">HYPERLINK("https://twitter.com/News_Screamer/status/921300204313366529","921300204313366529")</f>
        <v>921300204313366529</v>
      </c>
      <c r="F326" s="10" t="s">
        <v>60</v>
      </c>
      <c r="G326" s="10" t="n">
        <v>247</v>
      </c>
      <c r="H326" s="10" t="n">
        <v>14</v>
      </c>
      <c r="I326" s="10" t="n">
        <v>0</v>
      </c>
      <c r="J326" s="10" t="n">
        <v>0</v>
      </c>
      <c r="K326" s="10" t="s">
        <v>20</v>
      </c>
      <c r="L326" s="11" t="n">
        <v>42566.8460648148</v>
      </c>
      <c r="M326" s="12"/>
      <c r="N326" s="12" t="s">
        <v>958</v>
      </c>
      <c r="O326" s="9" t="str">
        <f aca="false">HYPERLINK("https://pbs.twimg.com/profile_images/779131500012802049/ICMO9SDW_normal.jpg","View")</f>
        <v>View</v>
      </c>
      <c r="P326" s="10"/>
    </row>
    <row r="327" customFormat="false" ht="15.75" hidden="false" customHeight="false" outlineLevel="0" collapsed="false">
      <c r="A327" s="6" t="n">
        <v>43028.0840277778</v>
      </c>
      <c r="B327" s="7" t="str">
        <f aca="false">HYPERLINK("https://twitter.com/alishaw041788","@alishaw041788")</f>
        <v>@alishaw041788</v>
      </c>
      <c r="C327" s="8" t="s">
        <v>959</v>
      </c>
      <c r="D327" s="8" t="s">
        <v>960</v>
      </c>
      <c r="E327" s="9" t="str">
        <f aca="false">HYPERLINK("https://twitter.com/alishaw041788/status/921300205974249472","921300205974249472")</f>
        <v>921300205974249472</v>
      </c>
      <c r="F327" s="10" t="s">
        <v>60</v>
      </c>
      <c r="G327" s="10" t="n">
        <v>35</v>
      </c>
      <c r="H327" s="10" t="n">
        <v>251</v>
      </c>
      <c r="I327" s="10" t="n">
        <v>0</v>
      </c>
      <c r="J327" s="10" t="n">
        <v>0</v>
      </c>
      <c r="K327" s="10" t="s">
        <v>20</v>
      </c>
      <c r="L327" s="11" t="n">
        <v>40346.2877893519</v>
      </c>
      <c r="M327" s="12"/>
      <c r="N327" s="12"/>
      <c r="O327" s="9" t="str">
        <f aca="false">HYPERLINK("https://pbs.twimg.com/profile_images/892890491473219584/zDIwf7Ts_normal.jpg","View")</f>
        <v>View</v>
      </c>
      <c r="P327" s="10"/>
    </row>
    <row r="328" customFormat="false" ht="15.75" hidden="false" customHeight="false" outlineLevel="0" collapsed="false">
      <c r="A328" s="6" t="n">
        <v>43028.0840509259</v>
      </c>
      <c r="B328" s="7" t="str">
        <f aca="false">HYPERLINK("https://twitter.com/AHA1R","@AHA1R")</f>
        <v>@AHA1R</v>
      </c>
      <c r="C328" s="8" t="s">
        <v>961</v>
      </c>
      <c r="D328" s="8" t="s">
        <v>962</v>
      </c>
      <c r="E328" s="9" t="str">
        <f aca="false">HYPERLINK("https://twitter.com/AHA1R/status/921300213049982977","921300213049982977")</f>
        <v>921300213049982977</v>
      </c>
      <c r="F328" s="10" t="s">
        <v>60</v>
      </c>
      <c r="G328" s="10" t="n">
        <v>6018</v>
      </c>
      <c r="H328" s="10" t="n">
        <v>292</v>
      </c>
      <c r="I328" s="10" t="n">
        <v>0</v>
      </c>
      <c r="J328" s="10" t="n">
        <v>0</v>
      </c>
      <c r="K328" s="10" t="s">
        <v>20</v>
      </c>
      <c r="L328" s="11" t="n">
        <v>41866.115462963</v>
      </c>
      <c r="M328" s="12" t="s">
        <v>963</v>
      </c>
      <c r="N328" s="12" t="s">
        <v>964</v>
      </c>
      <c r="O328" s="9" t="str">
        <f aca="false">HYPERLINK("https://pbs.twimg.com/profile_images/921412196591996928/bAd4X5Yt_normal.jpg","View")</f>
        <v>View</v>
      </c>
      <c r="P328" s="10"/>
    </row>
    <row r="329" customFormat="false" ht="15.75" hidden="false" customHeight="false" outlineLevel="0" collapsed="false">
      <c r="A329" s="6" t="n">
        <v>43028.0840625</v>
      </c>
      <c r="B329" s="7" t="str">
        <f aca="false">HYPERLINK("https://twitter.com/Selenetheone","@Selenetheone")</f>
        <v>@Selenetheone</v>
      </c>
      <c r="C329" s="8" t="s">
        <v>965</v>
      </c>
      <c r="D329" s="8" t="s">
        <v>966</v>
      </c>
      <c r="E329" s="9" t="str">
        <f aca="false">HYPERLINK("https://twitter.com/Selenetheone/status/921300215700901890","921300215700901890")</f>
        <v>921300215700901890</v>
      </c>
      <c r="F329" s="10" t="s">
        <v>60</v>
      </c>
      <c r="G329" s="10" t="n">
        <v>13624</v>
      </c>
      <c r="H329" s="10" t="n">
        <v>12684</v>
      </c>
      <c r="I329" s="10" t="n">
        <v>0</v>
      </c>
      <c r="J329" s="10" t="n">
        <v>0</v>
      </c>
      <c r="K329" s="10" t="s">
        <v>20</v>
      </c>
      <c r="L329" s="11" t="n">
        <v>41591.6093865741</v>
      </c>
      <c r="M329" s="12" t="s">
        <v>967</v>
      </c>
      <c r="N329" s="12" t="s">
        <v>968</v>
      </c>
      <c r="O329" s="9" t="str">
        <f aca="false">HYPERLINK("https://pbs.twimg.com/profile_images/888727222416179201/TwwKx7dB_normal.jpg","View")</f>
        <v>View</v>
      </c>
      <c r="P329" s="10"/>
    </row>
    <row r="330" customFormat="false" ht="15.75" hidden="false" customHeight="false" outlineLevel="0" collapsed="false">
      <c r="A330" s="6" t="n">
        <v>43028.0841435185</v>
      </c>
      <c r="B330" s="7" t="str">
        <f aca="false">HYPERLINK("https://twitter.com/caohaipeng2016","@caohaipeng2016")</f>
        <v>@caohaipeng2016</v>
      </c>
      <c r="C330" s="8" t="s">
        <v>969</v>
      </c>
      <c r="D330" s="8" t="s">
        <v>970</v>
      </c>
      <c r="E330" s="9" t="str">
        <f aca="false">HYPERLINK("https://twitter.com/caohaipeng2016/status/921300245929168897","921300245929168897")</f>
        <v>921300245929168897</v>
      </c>
      <c r="F330" s="10" t="s">
        <v>60</v>
      </c>
      <c r="G330" s="10" t="n">
        <v>8</v>
      </c>
      <c r="H330" s="10" t="n">
        <v>61</v>
      </c>
      <c r="I330" s="10" t="n">
        <v>0</v>
      </c>
      <c r="J330" s="10" t="n">
        <v>0</v>
      </c>
      <c r="K330" s="10" t="s">
        <v>20</v>
      </c>
      <c r="L330" s="11" t="n">
        <v>42467.3473726852</v>
      </c>
      <c r="M330" s="12"/>
      <c r="N330" s="12"/>
      <c r="O330" s="9" t="str">
        <f aca="false">HYPERLINK("https://pbs.twimg.com/profile_images/718096830941147137/RTz9IcNB_normal.jpg","View")</f>
        <v>View</v>
      </c>
      <c r="P330" s="10"/>
    </row>
    <row r="331" customFormat="false" ht="15.75" hidden="false" customHeight="false" outlineLevel="0" collapsed="false">
      <c r="A331" s="6" t="n">
        <v>43028.0843287037</v>
      </c>
      <c r="B331" s="7" t="str">
        <f aca="false">HYPERLINK("https://twitter.com/mirogeorgiev97","@mirogeorgiev97")</f>
        <v>@mirogeorgiev97</v>
      </c>
      <c r="C331" s="8" t="s">
        <v>971</v>
      </c>
      <c r="D331" s="8" t="s">
        <v>972</v>
      </c>
      <c r="E331" s="9" t="str">
        <f aca="false">HYPERLINK("https://twitter.com/mirogeorgiev97/status/921300315164594177","921300315164594177")</f>
        <v>921300315164594177</v>
      </c>
      <c r="F331" s="10" t="s">
        <v>60</v>
      </c>
      <c r="G331" s="10" t="n">
        <v>946</v>
      </c>
      <c r="H331" s="10" t="n">
        <v>4974</v>
      </c>
      <c r="I331" s="10" t="n">
        <v>0</v>
      </c>
      <c r="J331" s="10" t="n">
        <v>0</v>
      </c>
      <c r="K331" s="10" t="s">
        <v>20</v>
      </c>
      <c r="L331" s="11" t="n">
        <v>41999.3802199074</v>
      </c>
      <c r="M331" s="12" t="s">
        <v>973</v>
      </c>
      <c r="N331" s="12" t="s">
        <v>974</v>
      </c>
      <c r="O331" s="9" t="str">
        <f aca="false">HYPERLINK("https://pbs.twimg.com/profile_images/790650212452802560/yknMqKWs_normal.jpg","View")</f>
        <v>View</v>
      </c>
      <c r="P331" s="10"/>
    </row>
    <row r="332" customFormat="false" ht="15.75" hidden="false" customHeight="false" outlineLevel="0" collapsed="false">
      <c r="A332" s="6" t="n">
        <v>43028.0850694444</v>
      </c>
      <c r="B332" s="7" t="str">
        <f aca="false">HYPERLINK("https://twitter.com/hanatama5","@hanatama5")</f>
        <v>@hanatama5</v>
      </c>
      <c r="C332" s="14" t="s">
        <v>975</v>
      </c>
      <c r="D332" s="8" t="s">
        <v>705</v>
      </c>
      <c r="E332" s="9" t="str">
        <f aca="false">HYPERLINK("https://twitter.com/hanatama5/status/921300582698070016","921300582698070016")</f>
        <v>921300582698070016</v>
      </c>
      <c r="F332" s="10" t="s">
        <v>25</v>
      </c>
      <c r="G332" s="10" t="n">
        <v>35</v>
      </c>
      <c r="H332" s="10" t="n">
        <v>48</v>
      </c>
      <c r="I332" s="10" t="n">
        <v>60</v>
      </c>
      <c r="J332" s="10" t="n">
        <v>0</v>
      </c>
      <c r="K332" s="10" t="s">
        <v>20</v>
      </c>
      <c r="L332" s="11" t="n">
        <v>40260.0103935185</v>
      </c>
      <c r="M332" s="12"/>
      <c r="N332" s="13" t="s">
        <v>976</v>
      </c>
      <c r="O332" s="9" t="str">
        <f aca="false">HYPERLINK("https://pbs.twimg.com/profile_images/605278164374294528/z5dU2jnX_normal.jpg","View")</f>
        <v>View</v>
      </c>
      <c r="P332" s="10"/>
    </row>
    <row r="333" customFormat="false" ht="15.75" hidden="false" customHeight="false" outlineLevel="0" collapsed="false">
      <c r="A333" s="6" t="n">
        <v>43028.0850925926</v>
      </c>
      <c r="B333" s="7" t="str">
        <f aca="false">HYPERLINK("https://twitter.com/InvtradeNet","@InvtradeNet")</f>
        <v>@InvtradeNet</v>
      </c>
      <c r="C333" s="8" t="s">
        <v>977</v>
      </c>
      <c r="D333" s="8" t="s">
        <v>978</v>
      </c>
      <c r="E333" s="9" t="str">
        <f aca="false">HYPERLINK("https://twitter.com/InvtradeNet/status/921300589937610758","921300589937610758")</f>
        <v>921300589937610758</v>
      </c>
      <c r="F333" s="9" t="s">
        <v>979</v>
      </c>
      <c r="G333" s="10" t="n">
        <v>931</v>
      </c>
      <c r="H333" s="10" t="n">
        <v>0</v>
      </c>
      <c r="I333" s="10" t="n">
        <v>0</v>
      </c>
      <c r="J333" s="10" t="n">
        <v>0</v>
      </c>
      <c r="K333" s="10" t="s">
        <v>20</v>
      </c>
      <c r="L333" s="11" t="n">
        <v>42134.1670486111</v>
      </c>
      <c r="M333" s="12"/>
      <c r="N333" s="12"/>
      <c r="O333" s="9" t="str">
        <f aca="false">HYPERLINK("https://pbs.twimg.com/profile_images/597409242992267264/Mbml2G-W_normal.jpg","View")</f>
        <v>View</v>
      </c>
      <c r="P333" s="10"/>
    </row>
    <row r="334" customFormat="false" ht="15.75" hidden="false" customHeight="false" outlineLevel="0" collapsed="false">
      <c r="A334" s="6" t="n">
        <v>43028.0853240741</v>
      </c>
      <c r="B334" s="7" t="str">
        <f aca="false">HYPERLINK("https://twitter.com/gabrielle9241","@gabrielle9241")</f>
        <v>@gabrielle9241</v>
      </c>
      <c r="C334" s="8" t="s">
        <v>980</v>
      </c>
      <c r="D334" s="8" t="s">
        <v>981</v>
      </c>
      <c r="E334" s="9" t="str">
        <f aca="false">HYPERLINK("https://twitter.com/gabrielle9241/status/921300673249071104","921300673249071104")</f>
        <v>921300673249071104</v>
      </c>
      <c r="F334" s="10" t="s">
        <v>25</v>
      </c>
      <c r="G334" s="10" t="n">
        <v>78</v>
      </c>
      <c r="H334" s="10" t="n">
        <v>2285</v>
      </c>
      <c r="I334" s="10" t="n">
        <v>1</v>
      </c>
      <c r="J334" s="10" t="n">
        <v>0</v>
      </c>
      <c r="K334" s="10" t="s">
        <v>20</v>
      </c>
      <c r="L334" s="11" t="n">
        <v>40884.4124189815</v>
      </c>
      <c r="M334" s="12" t="s">
        <v>230</v>
      </c>
      <c r="N334" s="12" t="s">
        <v>982</v>
      </c>
      <c r="O334" s="9" t="str">
        <f aca="false">HYPERLINK("https://pbs.twimg.com/profile_images/763010581196632064/zQxAtQ7M_normal.jpg","View")</f>
        <v>View</v>
      </c>
      <c r="P334" s="10"/>
    </row>
    <row r="335" customFormat="false" ht="15.75" hidden="false" customHeight="false" outlineLevel="0" collapsed="false">
      <c r="A335" s="6" t="n">
        <v>43028.0856712963</v>
      </c>
      <c r="B335" s="7" t="str">
        <f aca="false">HYPERLINK("https://twitter.com/mirogeorgiev97","@mirogeorgiev97")</f>
        <v>@mirogeorgiev97</v>
      </c>
      <c r="C335" s="8" t="s">
        <v>971</v>
      </c>
      <c r="D335" s="8" t="s">
        <v>983</v>
      </c>
      <c r="E335" s="9" t="str">
        <f aca="false">HYPERLINK("https://twitter.com/mirogeorgiev97/status/921300802664353792","921300802664353792")</f>
        <v>921300802664353792</v>
      </c>
      <c r="F335" s="10" t="s">
        <v>60</v>
      </c>
      <c r="G335" s="10" t="n">
        <v>946</v>
      </c>
      <c r="H335" s="10" t="n">
        <v>4974</v>
      </c>
      <c r="I335" s="10" t="n">
        <v>0</v>
      </c>
      <c r="J335" s="10" t="n">
        <v>0</v>
      </c>
      <c r="K335" s="10" t="s">
        <v>20</v>
      </c>
      <c r="L335" s="11" t="n">
        <v>41999.3802199074</v>
      </c>
      <c r="M335" s="12" t="s">
        <v>973</v>
      </c>
      <c r="N335" s="12" t="s">
        <v>974</v>
      </c>
      <c r="O335" s="9" t="str">
        <f aca="false">HYPERLINK("https://pbs.twimg.com/profile_images/790650212452802560/yknMqKWs_normal.jpg","View")</f>
        <v>View</v>
      </c>
      <c r="P335" s="10"/>
    </row>
    <row r="336" customFormat="false" ht="15.75" hidden="false" customHeight="false" outlineLevel="0" collapsed="false">
      <c r="A336" s="6" t="n">
        <v>43028.0857175926</v>
      </c>
      <c r="B336" s="7" t="str">
        <f aca="false">HYPERLINK("https://twitter.com/lucchaoui","@lucchaoui")</f>
        <v>@lucchaoui</v>
      </c>
      <c r="C336" s="8" t="s">
        <v>952</v>
      </c>
      <c r="D336" s="8" t="s">
        <v>984</v>
      </c>
      <c r="E336" s="9" t="str">
        <f aca="false">HYPERLINK("https://twitter.com/lucchaoui/status/921300818170695681","921300818170695681")</f>
        <v>921300818170695681</v>
      </c>
      <c r="F336" s="10" t="s">
        <v>60</v>
      </c>
      <c r="G336" s="10" t="n">
        <v>397130</v>
      </c>
      <c r="H336" s="10" t="n">
        <v>393</v>
      </c>
      <c r="I336" s="10" t="n">
        <v>0</v>
      </c>
      <c r="J336" s="10" t="n">
        <v>0</v>
      </c>
      <c r="K336" s="10" t="s">
        <v>20</v>
      </c>
      <c r="L336" s="11" t="n">
        <v>39932.4051967593</v>
      </c>
      <c r="M336" s="12" t="s">
        <v>954</v>
      </c>
      <c r="N336" s="12" t="s">
        <v>955</v>
      </c>
      <c r="O336" s="9" t="str">
        <f aca="false">HYPERLINK("https://pbs.twimg.com/profile_images/845679875734196224/DS22r1ae_normal.jpg","View")</f>
        <v>View</v>
      </c>
      <c r="P336" s="10"/>
    </row>
    <row r="337" customFormat="false" ht="15.75" hidden="false" customHeight="false" outlineLevel="0" collapsed="false">
      <c r="A337" s="6" t="n">
        <v>43028.0857291667</v>
      </c>
      <c r="B337" s="7" t="str">
        <f aca="false">HYPERLINK("https://twitter.com/nephtali12307","@nephtali12307")</f>
        <v>@nephtali12307</v>
      </c>
      <c r="C337" s="8" t="s">
        <v>985</v>
      </c>
      <c r="D337" s="8" t="s">
        <v>986</v>
      </c>
      <c r="E337" s="9" t="str">
        <f aca="false">HYPERLINK("https://twitter.com/nephtali12307/status/921300821656121344","921300821656121344")</f>
        <v>921300821656121344</v>
      </c>
      <c r="F337" s="10" t="s">
        <v>25</v>
      </c>
      <c r="G337" s="10" t="n">
        <v>281</v>
      </c>
      <c r="H337" s="10" t="n">
        <v>317</v>
      </c>
      <c r="I337" s="10" t="n">
        <v>0</v>
      </c>
      <c r="J337" s="10" t="n">
        <v>0</v>
      </c>
      <c r="K337" s="10" t="s">
        <v>20</v>
      </c>
      <c r="L337" s="11" t="n">
        <v>42277.1205902778</v>
      </c>
      <c r="M337" s="12" t="s">
        <v>987</v>
      </c>
      <c r="N337" s="12"/>
      <c r="O337" s="9" t="str">
        <f aca="false">HYPERLINK("https://pbs.twimg.com/profile_images/826581095076528128/hV68mFKi_normal.jpg","View")</f>
        <v>View</v>
      </c>
      <c r="P337" s="10"/>
    </row>
    <row r="338" customFormat="false" ht="15.75" hidden="false" customHeight="false" outlineLevel="0" collapsed="false">
      <c r="A338" s="6" t="n">
        <v>43028.0862962963</v>
      </c>
      <c r="B338" s="7" t="str">
        <f aca="false">HYPERLINK("https://twitter.com/EutheniaADV","@EutheniaADV")</f>
        <v>@EutheniaADV</v>
      </c>
      <c r="C338" s="8" t="s">
        <v>988</v>
      </c>
      <c r="D338" s="8" t="s">
        <v>928</v>
      </c>
      <c r="E338" s="9" t="str">
        <f aca="false">HYPERLINK("https://twitter.com/EutheniaADV/status/921301026011000832","921301026011000832")</f>
        <v>921301026011000832</v>
      </c>
      <c r="F338" s="10" t="s">
        <v>563</v>
      </c>
      <c r="G338" s="10" t="n">
        <v>15390</v>
      </c>
      <c r="H338" s="10" t="n">
        <v>17587</v>
      </c>
      <c r="I338" s="10" t="n">
        <v>6</v>
      </c>
      <c r="J338" s="10" t="n">
        <v>0</v>
      </c>
      <c r="K338" s="10" t="s">
        <v>20</v>
      </c>
      <c r="L338" s="11" t="n">
        <v>41978.5301273148</v>
      </c>
      <c r="M338" s="12" t="s">
        <v>989</v>
      </c>
      <c r="N338" s="12" t="s">
        <v>990</v>
      </c>
      <c r="O338" s="9" t="str">
        <f aca="false">HYPERLINK("https://pbs.twimg.com/profile_images/682291461791047680/1T5lSjZW_normal.png","View")</f>
        <v>View</v>
      </c>
      <c r="P338" s="10"/>
    </row>
    <row r="339" customFormat="false" ht="15.75" hidden="false" customHeight="false" outlineLevel="0" collapsed="false">
      <c r="A339" s="6" t="n">
        <v>43028.0864236111</v>
      </c>
      <c r="B339" s="7" t="str">
        <f aca="false">HYPERLINK("https://twitter.com/PaginaNuova","@PaginaNuova")</f>
        <v>@PaginaNuova</v>
      </c>
      <c r="C339" s="8" t="s">
        <v>991</v>
      </c>
      <c r="D339" s="8" t="s">
        <v>992</v>
      </c>
      <c r="E339" s="9" t="str">
        <f aca="false">HYPERLINK("https://twitter.com/PaginaNuova/status/921301071326334977","921301071326334977")</f>
        <v>921301071326334977</v>
      </c>
      <c r="F339" s="10" t="s">
        <v>60</v>
      </c>
      <c r="G339" s="10" t="n">
        <v>1163</v>
      </c>
      <c r="H339" s="10" t="n">
        <v>512</v>
      </c>
      <c r="I339" s="10" t="n">
        <v>0</v>
      </c>
      <c r="J339" s="10" t="n">
        <v>0</v>
      </c>
      <c r="K339" s="10" t="s">
        <v>20</v>
      </c>
      <c r="L339" s="11" t="n">
        <v>39795.7385416667</v>
      </c>
      <c r="M339" s="12" t="s">
        <v>993</v>
      </c>
      <c r="N339" s="12" t="s">
        <v>994</v>
      </c>
      <c r="O339" s="9" t="str">
        <f aca="false">HYPERLINK("https://pbs.twimg.com/profile_images/733085909457993728/CNCcL-S7_normal.jpg","View")</f>
        <v>View</v>
      </c>
      <c r="P339" s="10"/>
    </row>
    <row r="340" customFormat="false" ht="15.75" hidden="false" customHeight="false" outlineLevel="0" collapsed="false">
      <c r="A340" s="6" t="n">
        <v>43028.0869791667</v>
      </c>
      <c r="B340" s="7" t="str">
        <f aca="false">HYPERLINK("https://twitter.com/thaar","@thaar")</f>
        <v>@thaar</v>
      </c>
      <c r="C340" s="8" t="s">
        <v>995</v>
      </c>
      <c r="D340" s="8" t="s">
        <v>996</v>
      </c>
      <c r="E340" s="9" t="str">
        <f aca="false">HYPERLINK("https://twitter.com/thaar/status/921301273743384576","921301273743384576")</f>
        <v>921301273743384576</v>
      </c>
      <c r="F340" s="10" t="s">
        <v>60</v>
      </c>
      <c r="G340" s="10" t="n">
        <v>28538</v>
      </c>
      <c r="H340" s="10" t="n">
        <v>31291</v>
      </c>
      <c r="I340" s="10" t="n">
        <v>0</v>
      </c>
      <c r="J340" s="10" t="n">
        <v>0</v>
      </c>
      <c r="K340" s="10" t="s">
        <v>20</v>
      </c>
      <c r="L340" s="11" t="n">
        <v>39912.589849537</v>
      </c>
      <c r="M340" s="12" t="s">
        <v>230</v>
      </c>
      <c r="N340" s="12" t="s">
        <v>997</v>
      </c>
      <c r="O340" s="9" t="str">
        <f aca="false">HYPERLINK("https://pbs.twimg.com/profile_images/835478043569307648/RNv4z1CE_normal.jpg","View")</f>
        <v>View</v>
      </c>
      <c r="P340" s="10"/>
    </row>
    <row r="341" customFormat="false" ht="15.75" hidden="false" customHeight="false" outlineLevel="0" collapsed="false">
      <c r="A341" s="6" t="n">
        <v>43028.0869907407</v>
      </c>
      <c r="B341" s="7" t="str">
        <f aca="false">HYPERLINK("https://twitter.com/FairWitness1","@FairWitness1")</f>
        <v>@FairWitness1</v>
      </c>
      <c r="C341" s="8" t="s">
        <v>998</v>
      </c>
      <c r="D341" s="8" t="s">
        <v>928</v>
      </c>
      <c r="E341" s="9" t="str">
        <f aca="false">HYPERLINK("https://twitter.com/FairWitness1/status/921301280588431360","921301280588431360")</f>
        <v>921301280588431360</v>
      </c>
      <c r="F341" s="10" t="s">
        <v>51</v>
      </c>
      <c r="G341" s="10" t="n">
        <v>1003</v>
      </c>
      <c r="H341" s="10" t="n">
        <v>2831</v>
      </c>
      <c r="I341" s="10" t="n">
        <v>6</v>
      </c>
      <c r="J341" s="10" t="n">
        <v>0</v>
      </c>
      <c r="K341" s="10" t="s">
        <v>20</v>
      </c>
      <c r="L341" s="11" t="n">
        <v>40151.4191087963</v>
      </c>
      <c r="M341" s="12"/>
      <c r="N341" s="12" t="s">
        <v>999</v>
      </c>
      <c r="O341" s="9" t="str">
        <f aca="false">HYPERLINK("https://pbs.twimg.com/profile_images/378800000065829026/3ff337dbee7d34e59cfb8762dac9b51d_normal.jpeg","View")</f>
        <v>View</v>
      </c>
      <c r="P341" s="10"/>
    </row>
    <row r="342" customFormat="false" ht="15.75" hidden="false" customHeight="false" outlineLevel="0" collapsed="false">
      <c r="A342" s="6" t="n">
        <v>43028.0875925926</v>
      </c>
      <c r="B342" s="7" t="str">
        <f aca="false">HYPERLINK("https://twitter.com/Taxtreats","@Taxtreats")</f>
        <v>@Taxtreats</v>
      </c>
      <c r="C342" s="8" t="s">
        <v>1000</v>
      </c>
      <c r="D342" s="8" t="s">
        <v>1001</v>
      </c>
      <c r="E342" s="9" t="str">
        <f aca="false">HYPERLINK("https://twitter.com/Taxtreats/status/921301497161371649","921301497161371649")</f>
        <v>921301497161371649</v>
      </c>
      <c r="F342" s="10" t="s">
        <v>60</v>
      </c>
      <c r="G342" s="10" t="n">
        <v>16833</v>
      </c>
      <c r="H342" s="10" t="n">
        <v>11486</v>
      </c>
      <c r="I342" s="10" t="n">
        <v>0</v>
      </c>
      <c r="J342" s="10" t="n">
        <v>0</v>
      </c>
      <c r="K342" s="10" t="s">
        <v>20</v>
      </c>
      <c r="L342" s="11" t="n">
        <v>40856.9059027778</v>
      </c>
      <c r="M342" s="12"/>
      <c r="N342" s="12" t="s">
        <v>1002</v>
      </c>
      <c r="O342" s="9" t="str">
        <f aca="false">HYPERLINK("https://pbs.twimg.com/profile_images/751613438179192832/XQMqihpl_normal.jpg","View")</f>
        <v>View</v>
      </c>
      <c r="P342" s="10"/>
    </row>
    <row r="343" customFormat="false" ht="15.75" hidden="false" customHeight="false" outlineLevel="0" collapsed="false">
      <c r="A343" s="6" t="n">
        <v>43028.0882291667</v>
      </c>
      <c r="B343" s="7" t="str">
        <f aca="false">HYPERLINK("https://twitter.com/TIME","@TIME")</f>
        <v>@TIME</v>
      </c>
      <c r="C343" s="8" t="s">
        <v>1003</v>
      </c>
      <c r="D343" s="8" t="s">
        <v>1004</v>
      </c>
      <c r="E343" s="9" t="str">
        <f aca="false">HYPERLINK("https://twitter.com/TIME/status/921301727684460544","921301727684460544")</f>
        <v>921301727684460544</v>
      </c>
      <c r="F343" s="10" t="s">
        <v>268</v>
      </c>
      <c r="G343" s="10" t="n">
        <v>14839795</v>
      </c>
      <c r="H343" s="10" t="n">
        <v>848</v>
      </c>
      <c r="I343" s="10" t="n">
        <v>34</v>
      </c>
      <c r="J343" s="10" t="n">
        <v>33</v>
      </c>
      <c r="K343" s="10" t="s">
        <v>20</v>
      </c>
      <c r="L343" s="11" t="n">
        <v>39541.2878472222</v>
      </c>
      <c r="M343" s="12"/>
      <c r="N343" s="12" t="s">
        <v>1005</v>
      </c>
      <c r="O343" s="9" t="str">
        <f aca="false">HYPERLINK("https://pbs.twimg.com/profile_images/1700796190/Picture_24_normal.png","View")</f>
        <v>View</v>
      </c>
      <c r="P343" s="10"/>
    </row>
    <row r="344" customFormat="false" ht="15.75" hidden="false" customHeight="false" outlineLevel="0" collapsed="false">
      <c r="A344" s="6" t="n">
        <v>43028.0883680556</v>
      </c>
      <c r="B344" s="7" t="str">
        <f aca="false">HYPERLINK("https://twitter.com/PrivateTeacher","@PrivateTeacher")</f>
        <v>@PrivateTeacher</v>
      </c>
      <c r="C344" s="8" t="s">
        <v>1006</v>
      </c>
      <c r="D344" s="8" t="s">
        <v>1007</v>
      </c>
      <c r="E344" s="9" t="str">
        <f aca="false">HYPERLINK("https://twitter.com/PrivateTeacher/status/921301776195874816","921301776195874816")</f>
        <v>921301776195874816</v>
      </c>
      <c r="F344" s="10" t="s">
        <v>60</v>
      </c>
      <c r="G344" s="10" t="n">
        <v>79306</v>
      </c>
      <c r="H344" s="10" t="n">
        <v>72454</v>
      </c>
      <c r="I344" s="10" t="n">
        <v>0</v>
      </c>
      <c r="J344" s="10" t="n">
        <v>0</v>
      </c>
      <c r="K344" s="10" t="s">
        <v>20</v>
      </c>
      <c r="L344" s="11" t="n">
        <v>40013.4946296296</v>
      </c>
      <c r="M344" s="12" t="s">
        <v>1008</v>
      </c>
      <c r="N344" s="12" t="s">
        <v>1009</v>
      </c>
      <c r="O344" s="9" t="str">
        <f aca="false">HYPERLINK("https://pbs.twimg.com/profile_images/795794703337816065/ji5gptzj_normal.jpg","View")</f>
        <v>View</v>
      </c>
      <c r="P344" s="10"/>
    </row>
    <row r="345" customFormat="false" ht="15.75" hidden="false" customHeight="false" outlineLevel="0" collapsed="false">
      <c r="A345" s="6" t="n">
        <v>43028.0883680556</v>
      </c>
      <c r="B345" s="7" t="str">
        <f aca="false">HYPERLINK("https://twitter.com/PaginaNuova","@PaginaNuova")</f>
        <v>@PaginaNuova</v>
      </c>
      <c r="C345" s="8" t="s">
        <v>991</v>
      </c>
      <c r="D345" s="8" t="s">
        <v>1010</v>
      </c>
      <c r="E345" s="9" t="str">
        <f aca="false">HYPERLINK("https://twitter.com/PaginaNuova/status/921301778091663360","921301778091663360")</f>
        <v>921301778091663360</v>
      </c>
      <c r="F345" s="10" t="s">
        <v>60</v>
      </c>
      <c r="G345" s="10" t="n">
        <v>1163</v>
      </c>
      <c r="H345" s="10" t="n">
        <v>512</v>
      </c>
      <c r="I345" s="10" t="n">
        <v>0</v>
      </c>
      <c r="J345" s="10" t="n">
        <v>0</v>
      </c>
      <c r="K345" s="10" t="s">
        <v>20</v>
      </c>
      <c r="L345" s="11" t="n">
        <v>39795.7385416667</v>
      </c>
      <c r="M345" s="12" t="s">
        <v>993</v>
      </c>
      <c r="N345" s="12" t="s">
        <v>994</v>
      </c>
      <c r="O345" s="9" t="str">
        <f aca="false">HYPERLINK("https://pbs.twimg.com/profile_images/733085909457993728/CNCcL-S7_normal.jpg","View")</f>
        <v>View</v>
      </c>
      <c r="P345" s="10"/>
    </row>
    <row r="346" customFormat="false" ht="15.75" hidden="false" customHeight="false" outlineLevel="0" collapsed="false">
      <c r="A346" s="6" t="n">
        <v>43028.0884837963</v>
      </c>
      <c r="B346" s="7" t="str">
        <f aca="false">HYPERLINK("https://twitter.com/KarloMdz","@KarloMdz")</f>
        <v>@KarloMdz</v>
      </c>
      <c r="C346" s="8" t="s">
        <v>1011</v>
      </c>
      <c r="D346" s="8" t="s">
        <v>1012</v>
      </c>
      <c r="E346" s="9" t="str">
        <f aca="false">HYPERLINK("https://twitter.com/KarloMdz/status/921301820525379584","921301820525379584")</f>
        <v>921301820525379584</v>
      </c>
      <c r="F346" s="10" t="s">
        <v>60</v>
      </c>
      <c r="G346" s="10" t="n">
        <v>311</v>
      </c>
      <c r="H346" s="10" t="n">
        <v>137</v>
      </c>
      <c r="I346" s="10" t="n">
        <v>0</v>
      </c>
      <c r="J346" s="10" t="n">
        <v>0</v>
      </c>
      <c r="K346" s="10" t="s">
        <v>20</v>
      </c>
      <c r="L346" s="11" t="n">
        <v>42132.3644212963</v>
      </c>
      <c r="M346" s="12" t="s">
        <v>1013</v>
      </c>
      <c r="N346" s="12" t="s">
        <v>1014</v>
      </c>
      <c r="O346" s="9" t="str">
        <f aca="false">HYPERLINK("https://pbs.twimg.com/profile_images/830713335117127680/Q5qrinGt_normal.jpg","View")</f>
        <v>View</v>
      </c>
      <c r="P346" s="10"/>
    </row>
    <row r="347" customFormat="false" ht="15.75" hidden="false" customHeight="false" outlineLevel="0" collapsed="false">
      <c r="A347" s="6" t="n">
        <v>43028.0885300926</v>
      </c>
      <c r="B347" s="7" t="str">
        <f aca="false">HYPERLINK("https://twitter.com/DwnCuddles","@DwnCuddles")</f>
        <v>@DwnCuddles</v>
      </c>
      <c r="C347" s="8" t="s">
        <v>1015</v>
      </c>
      <c r="D347" s="8" t="s">
        <v>1016</v>
      </c>
      <c r="E347" s="9" t="str">
        <f aca="false">HYPERLINK("https://twitter.com/DwnCuddles/status/921301837449273344","921301837449273344")</f>
        <v>921301837449273344</v>
      </c>
      <c r="F347" s="10" t="s">
        <v>1017</v>
      </c>
      <c r="G347" s="10" t="n">
        <v>600</v>
      </c>
      <c r="H347" s="10" t="n">
        <v>694</v>
      </c>
      <c r="I347" s="10" t="n">
        <v>34</v>
      </c>
      <c r="J347" s="10" t="n">
        <v>0</v>
      </c>
      <c r="K347" s="10" t="s">
        <v>20</v>
      </c>
      <c r="L347" s="11" t="n">
        <v>42993.2776967593</v>
      </c>
      <c r="M347" s="12" t="s">
        <v>1018</v>
      </c>
      <c r="N347" s="12" t="s">
        <v>1019</v>
      </c>
      <c r="O347" s="9" t="str">
        <f aca="false">HYPERLINK("https://pbs.twimg.com/profile_images/918835189484347394/rxgK69lc_normal.jpg","View")</f>
        <v>View</v>
      </c>
      <c r="P347" s="10"/>
    </row>
    <row r="348" customFormat="false" ht="15.75" hidden="false" customHeight="false" outlineLevel="0" collapsed="false">
      <c r="A348" s="6" t="n">
        <v>43028.08875</v>
      </c>
      <c r="B348" s="7" t="str">
        <f aca="false">HYPERLINK("https://twitter.com/LOUISFANUCCHIIV","@LOUISFANUCCHIIV")</f>
        <v>@LOUISFANUCCHIIV</v>
      </c>
      <c r="C348" s="8" t="s">
        <v>1020</v>
      </c>
      <c r="D348" s="8" t="s">
        <v>1016</v>
      </c>
      <c r="E348" s="9" t="str">
        <f aca="false">HYPERLINK("https://twitter.com/LOUISFANUCCHIIV/status/921301915543076865","921301915543076865")</f>
        <v>921301915543076865</v>
      </c>
      <c r="F348" s="10" t="s">
        <v>25</v>
      </c>
      <c r="G348" s="10" t="n">
        <v>1377</v>
      </c>
      <c r="H348" s="10" t="n">
        <v>2049</v>
      </c>
      <c r="I348" s="10" t="n">
        <v>34</v>
      </c>
      <c r="J348" s="10" t="n">
        <v>0</v>
      </c>
      <c r="K348" s="10" t="s">
        <v>20</v>
      </c>
      <c r="L348" s="11" t="n">
        <v>39867.6672106481</v>
      </c>
      <c r="M348" s="12" t="s">
        <v>1021</v>
      </c>
      <c r="N348" s="12" t="s">
        <v>1022</v>
      </c>
      <c r="O348" s="9" t="str">
        <f aca="false">HYPERLINK("https://pbs.twimg.com/profile_images/1265392208/th_950378113_l_normal.jpg","View")</f>
        <v>View</v>
      </c>
      <c r="P348" s="10"/>
    </row>
    <row r="349" customFormat="false" ht="15.75" hidden="false" customHeight="false" outlineLevel="0" collapsed="false">
      <c r="A349" s="6" t="n">
        <v>43028.0887615741</v>
      </c>
      <c r="B349" s="7" t="str">
        <f aca="false">HYPERLINK("https://twitter.com/ReNellGlover","@ReNellGlover")</f>
        <v>@ReNellGlover</v>
      </c>
      <c r="C349" s="8" t="s">
        <v>1023</v>
      </c>
      <c r="D349" s="8" t="s">
        <v>1016</v>
      </c>
      <c r="E349" s="9" t="str">
        <f aca="false">HYPERLINK("https://twitter.com/ReNellGlover/status/921301921452793858","921301921452793858")</f>
        <v>921301921452793858</v>
      </c>
      <c r="F349" s="10" t="s">
        <v>1024</v>
      </c>
      <c r="G349" s="10" t="n">
        <v>2210</v>
      </c>
      <c r="H349" s="10" t="n">
        <v>5001</v>
      </c>
      <c r="I349" s="10" t="n">
        <v>34</v>
      </c>
      <c r="J349" s="10" t="n">
        <v>0</v>
      </c>
      <c r="K349" s="10" t="s">
        <v>20</v>
      </c>
      <c r="L349" s="11" t="n">
        <v>41479.5363425926</v>
      </c>
      <c r="M349" s="12" t="s">
        <v>1025</v>
      </c>
      <c r="N349" s="12" t="s">
        <v>1026</v>
      </c>
      <c r="O349" s="9" t="str">
        <f aca="false">HYPERLINK("https://pbs.twimg.com/profile_images/842933441733648389/nBQy0843_normal.jpg","View")</f>
        <v>View</v>
      </c>
      <c r="P349" s="10"/>
    </row>
    <row r="350" customFormat="false" ht="15.75" hidden="false" customHeight="false" outlineLevel="0" collapsed="false">
      <c r="A350" s="6" t="n">
        <v>43028.0888425926</v>
      </c>
      <c r="B350" s="7" t="str">
        <f aca="false">HYPERLINK("https://twitter.com/Kingmakertweet","@Kingmakertweet")</f>
        <v>@Kingmakertweet</v>
      </c>
      <c r="C350" s="8" t="s">
        <v>719</v>
      </c>
      <c r="D350" s="8" t="s">
        <v>1016</v>
      </c>
      <c r="E350" s="9" t="str">
        <f aca="false">HYPERLINK("https://twitter.com/Kingmakertweet/status/921301948665511936","921301948665511936")</f>
        <v>921301948665511936</v>
      </c>
      <c r="F350" s="10" t="s">
        <v>25</v>
      </c>
      <c r="G350" s="10" t="n">
        <v>139</v>
      </c>
      <c r="H350" s="10" t="n">
        <v>67</v>
      </c>
      <c r="I350" s="10" t="n">
        <v>34</v>
      </c>
      <c r="J350" s="10" t="n">
        <v>0</v>
      </c>
      <c r="K350" s="10" t="s">
        <v>20</v>
      </c>
      <c r="L350" s="11" t="n">
        <v>41053.0465046296</v>
      </c>
      <c r="M350" s="12"/>
      <c r="N350" s="13" t="s">
        <v>720</v>
      </c>
      <c r="O350" s="9" t="str">
        <f aca="false">HYPERLINK("https://pbs.twimg.com/profile_images/836959111707123712/vw98l-VT_normal.jpg","View")</f>
        <v>View</v>
      </c>
      <c r="P350" s="10"/>
    </row>
    <row r="351" customFormat="false" ht="15.75" hidden="false" customHeight="false" outlineLevel="0" collapsed="false">
      <c r="A351" s="6" t="n">
        <v>43028.088912037</v>
      </c>
      <c r="B351" s="7" t="str">
        <f aca="false">HYPERLINK("https://twitter.com/GloryofGodtv","@GloryofGodtv")</f>
        <v>@GloryofGodtv</v>
      </c>
      <c r="C351" s="8" t="s">
        <v>1027</v>
      </c>
      <c r="D351" s="8" t="s">
        <v>1016</v>
      </c>
      <c r="E351" s="9" t="str">
        <f aca="false">HYPERLINK("https://twitter.com/GloryofGodtv/status/921301973139443712","921301973139443712")</f>
        <v>921301973139443712</v>
      </c>
      <c r="F351" s="10" t="s">
        <v>25</v>
      </c>
      <c r="G351" s="10" t="n">
        <v>437</v>
      </c>
      <c r="H351" s="10" t="n">
        <v>2360</v>
      </c>
      <c r="I351" s="10" t="n">
        <v>34</v>
      </c>
      <c r="J351" s="10" t="n">
        <v>0</v>
      </c>
      <c r="K351" s="10" t="s">
        <v>20</v>
      </c>
      <c r="L351" s="11" t="n">
        <v>43017.9093865741</v>
      </c>
      <c r="M351" s="12" t="s">
        <v>1028</v>
      </c>
      <c r="N351" s="12" t="s">
        <v>1029</v>
      </c>
      <c r="O351" s="9" t="str">
        <f aca="false">HYPERLINK("https://pbs.twimg.com/profile_images/921786718776430592/fxizSAap_normal.jpg","View")</f>
        <v>View</v>
      </c>
      <c r="P351" s="10"/>
    </row>
    <row r="352" customFormat="false" ht="15.75" hidden="false" customHeight="false" outlineLevel="0" collapsed="false">
      <c r="A352" s="6" t="n">
        <v>43028.0890277778</v>
      </c>
      <c r="B352" s="7" t="str">
        <f aca="false">HYPERLINK("https://twitter.com/Selenetheone","@Selenetheone")</f>
        <v>@Selenetheone</v>
      </c>
      <c r="C352" s="8" t="s">
        <v>965</v>
      </c>
      <c r="D352" s="8" t="s">
        <v>1030</v>
      </c>
      <c r="E352" s="9" t="str">
        <f aca="false">HYPERLINK("https://twitter.com/Selenetheone/status/921302016806309888","921302016806309888")</f>
        <v>921302016806309888</v>
      </c>
      <c r="F352" s="10" t="s">
        <v>60</v>
      </c>
      <c r="G352" s="10" t="n">
        <v>13624</v>
      </c>
      <c r="H352" s="10" t="n">
        <v>12684</v>
      </c>
      <c r="I352" s="10" t="n">
        <v>0</v>
      </c>
      <c r="J352" s="10" t="n">
        <v>0</v>
      </c>
      <c r="K352" s="10" t="s">
        <v>20</v>
      </c>
      <c r="L352" s="11" t="n">
        <v>41591.6093865741</v>
      </c>
      <c r="M352" s="12" t="s">
        <v>967</v>
      </c>
      <c r="N352" s="12" t="s">
        <v>968</v>
      </c>
      <c r="O352" s="9" t="str">
        <f aca="false">HYPERLINK("https://pbs.twimg.com/profile_images/888727222416179201/TwwKx7dB_normal.jpg","View")</f>
        <v>View</v>
      </c>
      <c r="P352" s="10"/>
    </row>
    <row r="353" customFormat="false" ht="15.75" hidden="false" customHeight="false" outlineLevel="0" collapsed="false">
      <c r="A353" s="6" t="n">
        <v>43028.0891087963</v>
      </c>
      <c r="B353" s="7" t="str">
        <f aca="false">HYPERLINK("https://twitter.com/farhaadaarif","@farhaadaarif")</f>
        <v>@farhaadaarif</v>
      </c>
      <c r="C353" s="8" t="s">
        <v>1031</v>
      </c>
      <c r="D353" s="8" t="s">
        <v>1032</v>
      </c>
      <c r="E353" s="9" t="str">
        <f aca="false">HYPERLINK("https://twitter.com/farhaadaarif/status/921302048544522241","921302048544522241")</f>
        <v>921302048544522241</v>
      </c>
      <c r="F353" s="10" t="s">
        <v>60</v>
      </c>
      <c r="G353" s="10" t="n">
        <v>704</v>
      </c>
      <c r="H353" s="10" t="n">
        <v>512</v>
      </c>
      <c r="I353" s="10" t="n">
        <v>0</v>
      </c>
      <c r="J353" s="10" t="n">
        <v>0</v>
      </c>
      <c r="K353" s="10" t="s">
        <v>20</v>
      </c>
      <c r="L353" s="11" t="n">
        <v>41804.3271643519</v>
      </c>
      <c r="M353" s="12"/>
      <c r="N353" s="12" t="s">
        <v>1033</v>
      </c>
      <c r="O353" s="9" t="str">
        <f aca="false">HYPERLINK("https://pbs.twimg.com/profile_images/923956796984823809/05olD5HV_normal.jpg","View")</f>
        <v>View</v>
      </c>
      <c r="P353" s="10"/>
    </row>
    <row r="354" customFormat="false" ht="15.75" hidden="false" customHeight="false" outlineLevel="0" collapsed="false">
      <c r="A354" s="6" t="n">
        <v>43028.0898148148</v>
      </c>
      <c r="B354" s="7" t="str">
        <f aca="false">HYPERLINK("https://twitter.com/BanankoJanko","@BanankoJanko")</f>
        <v>@BanankoJanko</v>
      </c>
      <c r="C354" s="8" t="s">
        <v>1034</v>
      </c>
      <c r="D354" s="8" t="s">
        <v>1035</v>
      </c>
      <c r="E354" s="9" t="str">
        <f aca="false">HYPERLINK("https://twitter.com/BanankoJanko/status/921302301352038400","921302301352038400")</f>
        <v>921302301352038400</v>
      </c>
      <c r="F354" s="10" t="s">
        <v>60</v>
      </c>
      <c r="G354" s="10" t="n">
        <v>87</v>
      </c>
      <c r="H354" s="10" t="n">
        <v>53</v>
      </c>
      <c r="I354" s="10" t="n">
        <v>0</v>
      </c>
      <c r="J354" s="10" t="n">
        <v>0</v>
      </c>
      <c r="K354" s="10" t="s">
        <v>20</v>
      </c>
      <c r="L354" s="11" t="n">
        <v>42837.1011458333</v>
      </c>
      <c r="M354" s="12"/>
      <c r="N354" s="15" t="s">
        <v>1036</v>
      </c>
      <c r="O354" s="9" t="str">
        <f aca="false">HYPERLINK("https://pbs.twimg.com/profile_images/852669910123675651/CVUt6bXC_normal.jpg","View")</f>
        <v>View</v>
      </c>
      <c r="P354" s="10"/>
    </row>
    <row r="355" customFormat="false" ht="15.75" hidden="false" customHeight="false" outlineLevel="0" collapsed="false">
      <c r="A355" s="6" t="n">
        <v>43028.0898263889</v>
      </c>
      <c r="B355" s="7" t="str">
        <f aca="false">HYPERLINK("https://twitter.com/the__himanish","@the__himanish")</f>
        <v>@the__himanish</v>
      </c>
      <c r="C355" s="8" t="s">
        <v>382</v>
      </c>
      <c r="D355" s="8" t="s">
        <v>1037</v>
      </c>
      <c r="E355" s="9" t="str">
        <f aca="false">HYPERLINK("https://twitter.com/the__himanish/status/921302305089249280","921302305089249280")</f>
        <v>921302305089249280</v>
      </c>
      <c r="F355" s="10" t="s">
        <v>60</v>
      </c>
      <c r="G355" s="10" t="n">
        <v>1811</v>
      </c>
      <c r="H355" s="10" t="n">
        <v>1625</v>
      </c>
      <c r="I355" s="10" t="n">
        <v>0</v>
      </c>
      <c r="J355" s="10" t="n">
        <v>0</v>
      </c>
      <c r="K355" s="10" t="s">
        <v>20</v>
      </c>
      <c r="L355" s="11" t="n">
        <v>40222.1517824074</v>
      </c>
      <c r="M355" s="12" t="s">
        <v>87</v>
      </c>
      <c r="N355" s="12" t="s">
        <v>384</v>
      </c>
      <c r="O355" s="9" t="str">
        <f aca="false">HYPERLINK("https://pbs.twimg.com/profile_images/914165533918015489/A6iR_gz2_normal.jpg","View")</f>
        <v>View</v>
      </c>
      <c r="P355" s="10"/>
    </row>
    <row r="356" customFormat="false" ht="15.75" hidden="false" customHeight="false" outlineLevel="0" collapsed="false">
      <c r="A356" s="6" t="n">
        <v>43028.0898263889</v>
      </c>
      <c r="B356" s="7" t="str">
        <f aca="false">HYPERLINK("https://twitter.com/radiantmindblog","@radiantmindblog")</f>
        <v>@radiantmindblog</v>
      </c>
      <c r="C356" s="8" t="s">
        <v>1038</v>
      </c>
      <c r="D356" s="8" t="s">
        <v>1016</v>
      </c>
      <c r="E356" s="9" t="str">
        <f aca="false">HYPERLINK("https://twitter.com/radiantmindblog/status/921302307840634880","921302307840634880")</f>
        <v>921302307840634880</v>
      </c>
      <c r="F356" s="10" t="s">
        <v>51</v>
      </c>
      <c r="G356" s="10" t="n">
        <v>82</v>
      </c>
      <c r="H356" s="10" t="n">
        <v>266</v>
      </c>
      <c r="I356" s="10" t="n">
        <v>34</v>
      </c>
      <c r="J356" s="10" t="n">
        <v>0</v>
      </c>
      <c r="K356" s="10" t="s">
        <v>20</v>
      </c>
      <c r="L356" s="11" t="n">
        <v>42282.1130902778</v>
      </c>
      <c r="M356" s="12" t="s">
        <v>1039</v>
      </c>
      <c r="N356" s="12" t="s">
        <v>1040</v>
      </c>
      <c r="O356" s="9" t="str">
        <f aca="false">HYPERLINK("https://pbs.twimg.com/profile_images/920230917804908544/P4TGPn2j_normal.jpg","View")</f>
        <v>View</v>
      </c>
      <c r="P356" s="10"/>
    </row>
    <row r="357" customFormat="false" ht="15.75" hidden="false" customHeight="false" outlineLevel="0" collapsed="false">
      <c r="A357" s="6" t="n">
        <v>43028.0900578704</v>
      </c>
      <c r="B357" s="7" t="str">
        <f aca="false">HYPERLINK("https://twitter.com/gnngnngg","@gnngnngg")</f>
        <v>@gnngnngg</v>
      </c>
      <c r="C357" s="14" t="s">
        <v>1041</v>
      </c>
      <c r="D357" s="8" t="s">
        <v>1016</v>
      </c>
      <c r="E357" s="9" t="str">
        <f aca="false">HYPERLINK("https://twitter.com/gnngnngg/status/921302388878667776","921302388878667776")</f>
        <v>921302388878667776</v>
      </c>
      <c r="F357" s="10" t="s">
        <v>51</v>
      </c>
      <c r="G357" s="10" t="n">
        <v>187</v>
      </c>
      <c r="H357" s="10" t="n">
        <v>248</v>
      </c>
      <c r="I357" s="10" t="n">
        <v>34</v>
      </c>
      <c r="J357" s="10" t="n">
        <v>0</v>
      </c>
      <c r="K357" s="10" t="s">
        <v>20</v>
      </c>
      <c r="L357" s="11" t="n">
        <v>42797.9042361111</v>
      </c>
      <c r="M357" s="12" t="s">
        <v>1042</v>
      </c>
      <c r="N357" s="13" t="s">
        <v>1043</v>
      </c>
      <c r="O357" s="9" t="str">
        <f aca="false">HYPERLINK("https://pbs.twimg.com/profile_images/910682760288772097/fusKyK4y_normal.jpg","View")</f>
        <v>View</v>
      </c>
      <c r="P357" s="10"/>
    </row>
    <row r="358" customFormat="false" ht="15.75" hidden="false" customHeight="false" outlineLevel="0" collapsed="false">
      <c r="A358" s="6" t="n">
        <v>43028.0900925926</v>
      </c>
      <c r="B358" s="7" t="str">
        <f aca="false">HYPERLINK("https://twitter.com/vasilidante","@vasilidante")</f>
        <v>@vasilidante</v>
      </c>
      <c r="C358" s="8" t="s">
        <v>1044</v>
      </c>
      <c r="D358" s="8" t="s">
        <v>1016</v>
      </c>
      <c r="E358" s="9" t="str">
        <f aca="false">HYPERLINK("https://twitter.com/vasilidante/status/921302401407246336","921302401407246336")</f>
        <v>921302401407246336</v>
      </c>
      <c r="F358" s="10" t="s">
        <v>25</v>
      </c>
      <c r="G358" s="10" t="n">
        <v>626</v>
      </c>
      <c r="H358" s="10" t="n">
        <v>1036</v>
      </c>
      <c r="I358" s="10" t="n">
        <v>34</v>
      </c>
      <c r="J358" s="10" t="n">
        <v>0</v>
      </c>
      <c r="K358" s="10" t="s">
        <v>20</v>
      </c>
      <c r="L358" s="11" t="n">
        <v>39994.7511574074</v>
      </c>
      <c r="M358" s="12" t="s">
        <v>1045</v>
      </c>
      <c r="N358" s="12" t="s">
        <v>1046</v>
      </c>
      <c r="O358" s="9" t="str">
        <f aca="false">HYPERLINK("https://pbs.twimg.com/profile_images/763191298601865217/koT6dUDs_normal.jpg","View")</f>
        <v>View</v>
      </c>
      <c r="P358" s="10"/>
    </row>
    <row r="359" customFormat="false" ht="15.75" hidden="false" customHeight="false" outlineLevel="0" collapsed="false">
      <c r="A359" s="6" t="n">
        <v>43028.0901736111</v>
      </c>
      <c r="B359" s="7" t="str">
        <f aca="false">HYPERLINK("https://twitter.com/SocialLifeMiami","@SocialLifeMiami")</f>
        <v>@SocialLifeMiami</v>
      </c>
      <c r="C359" s="8" t="s">
        <v>1047</v>
      </c>
      <c r="D359" s="8" t="s">
        <v>1048</v>
      </c>
      <c r="E359" s="9" t="str">
        <f aca="false">HYPERLINK("https://twitter.com/SocialLifeMiami/status/921302432503693313","921302432503693313")</f>
        <v>921302432503693313</v>
      </c>
      <c r="F359" s="10" t="s">
        <v>60</v>
      </c>
      <c r="G359" s="10" t="n">
        <v>567</v>
      </c>
      <c r="H359" s="10" t="n">
        <v>792</v>
      </c>
      <c r="I359" s="10" t="n">
        <v>0</v>
      </c>
      <c r="J359" s="10" t="n">
        <v>0</v>
      </c>
      <c r="K359" s="10" t="s">
        <v>20</v>
      </c>
      <c r="L359" s="11" t="n">
        <v>42603.6747106482</v>
      </c>
      <c r="M359" s="12" t="s">
        <v>476</v>
      </c>
      <c r="N359" s="12" t="s">
        <v>753</v>
      </c>
      <c r="O359" s="9" t="str">
        <f aca="false">HYPERLINK("https://pbs.twimg.com/profile_images/767547452878647296/oD-Hg_jO_normal.jpg","View")</f>
        <v>View</v>
      </c>
      <c r="P359" s="10"/>
    </row>
    <row r="360" customFormat="false" ht="15.75" hidden="false" customHeight="false" outlineLevel="0" collapsed="false">
      <c r="A360" s="6" t="n">
        <v>43028.0903935185</v>
      </c>
      <c r="B360" s="7" t="str">
        <f aca="false">HYPERLINK("https://twitter.com/krunox123","@krunox123")</f>
        <v>@krunox123</v>
      </c>
      <c r="C360" s="8" t="s">
        <v>1049</v>
      </c>
      <c r="D360" s="8" t="s">
        <v>1050</v>
      </c>
      <c r="E360" s="9" t="str">
        <f aca="false">HYPERLINK("https://twitter.com/krunox123/status/921302513026035713","921302513026035713")</f>
        <v>921302513026035713</v>
      </c>
      <c r="F360" s="10" t="s">
        <v>60</v>
      </c>
      <c r="G360" s="10" t="n">
        <v>10225</v>
      </c>
      <c r="H360" s="10" t="n">
        <v>2</v>
      </c>
      <c r="I360" s="10" t="n">
        <v>0</v>
      </c>
      <c r="J360" s="10" t="n">
        <v>0</v>
      </c>
      <c r="K360" s="10" t="s">
        <v>20</v>
      </c>
      <c r="L360" s="11" t="n">
        <v>40938.2278935185</v>
      </c>
      <c r="M360" s="12" t="s">
        <v>1051</v>
      </c>
      <c r="N360" s="12" t="s">
        <v>1052</v>
      </c>
      <c r="O360" s="9" t="str">
        <f aca="false">HYPERLINK("https://pbs.twimg.com/profile_images/824952382618349568/2SFIkM2x_normal.jpg","View")</f>
        <v>View</v>
      </c>
      <c r="P360" s="10"/>
    </row>
    <row r="361" customFormat="false" ht="15.75" hidden="false" customHeight="false" outlineLevel="0" collapsed="false">
      <c r="A361" s="6" t="n">
        <v>43028.090462963</v>
      </c>
      <c r="B361" s="7" t="str">
        <f aca="false">HYPERLINK("https://twitter.com/SocialLifeLA","@SocialLifeLA")</f>
        <v>@SocialLifeLA</v>
      </c>
      <c r="C361" s="8" t="s">
        <v>750</v>
      </c>
      <c r="D361" s="8" t="s">
        <v>1053</v>
      </c>
      <c r="E361" s="9" t="str">
        <f aca="false">HYPERLINK("https://twitter.com/SocialLifeLA/status/921302538862948352","921302538862948352")</f>
        <v>921302538862948352</v>
      </c>
      <c r="F361" s="10" t="s">
        <v>60</v>
      </c>
      <c r="G361" s="10" t="n">
        <v>200</v>
      </c>
      <c r="H361" s="10" t="n">
        <v>60</v>
      </c>
      <c r="I361" s="10" t="n">
        <v>0</v>
      </c>
      <c r="J361" s="10" t="n">
        <v>0</v>
      </c>
      <c r="K361" s="10" t="s">
        <v>20</v>
      </c>
      <c r="L361" s="11" t="n">
        <v>42604.7538078704</v>
      </c>
      <c r="M361" s="12" t="s">
        <v>752</v>
      </c>
      <c r="N361" s="12" t="s">
        <v>753</v>
      </c>
      <c r="O361" s="9" t="str">
        <f aca="false">HYPERLINK("https://pbs.twimg.com/profile_images/767891928948023296/dUdnMBLO_normal.jpg","View")</f>
        <v>View</v>
      </c>
      <c r="P361" s="10"/>
    </row>
    <row r="362" customFormat="false" ht="15.75" hidden="false" customHeight="false" outlineLevel="0" collapsed="false">
      <c r="A362" s="6" t="n">
        <v>43028.0905787037</v>
      </c>
      <c r="B362" s="7" t="str">
        <f aca="false">HYPERLINK("https://twitter.com/khuumaya","@khuumaya")</f>
        <v>@khuumaya</v>
      </c>
      <c r="C362" s="8" t="s">
        <v>1054</v>
      </c>
      <c r="D362" s="8" t="s">
        <v>1016</v>
      </c>
      <c r="E362" s="9" t="str">
        <f aca="false">HYPERLINK("https://twitter.com/khuumaya/status/921302577333104640","921302577333104640")</f>
        <v>921302577333104640</v>
      </c>
      <c r="F362" s="10" t="s">
        <v>25</v>
      </c>
      <c r="G362" s="10" t="n">
        <v>60</v>
      </c>
      <c r="H362" s="10" t="n">
        <v>177</v>
      </c>
      <c r="I362" s="10" t="n">
        <v>34</v>
      </c>
      <c r="J362" s="10" t="n">
        <v>0</v>
      </c>
      <c r="K362" s="10" t="s">
        <v>20</v>
      </c>
      <c r="L362" s="11" t="n">
        <v>42998.390625</v>
      </c>
      <c r="M362" s="12"/>
      <c r="N362" s="12" t="s">
        <v>1055</v>
      </c>
      <c r="O362" s="9" t="str">
        <f aca="false">HYPERLINK("https://pbs.twimg.com/profile_images/914953921180954624/3liO6ybQ_normal.jpg","View")</f>
        <v>View</v>
      </c>
      <c r="P362" s="10"/>
    </row>
    <row r="363" customFormat="false" ht="15.75" hidden="false" customHeight="false" outlineLevel="0" collapsed="false">
      <c r="A363" s="6" t="n">
        <v>43028.0906944445</v>
      </c>
      <c r="B363" s="7" t="str">
        <f aca="false">HYPERLINK("https://twitter.com/ivolinav","@ivolinav")</f>
        <v>@ivolinav</v>
      </c>
      <c r="C363" s="8" t="s">
        <v>1056</v>
      </c>
      <c r="D363" s="8" t="s">
        <v>1016</v>
      </c>
      <c r="E363" s="9" t="str">
        <f aca="false">HYPERLINK("https://twitter.com/ivolinav/status/921302623042621440","921302623042621440")</f>
        <v>921302623042621440</v>
      </c>
      <c r="F363" s="10" t="s">
        <v>39</v>
      </c>
      <c r="G363" s="10" t="n">
        <v>35</v>
      </c>
      <c r="H363" s="10" t="n">
        <v>217</v>
      </c>
      <c r="I363" s="10" t="n">
        <v>34</v>
      </c>
      <c r="J363" s="10" t="n">
        <v>0</v>
      </c>
      <c r="K363" s="10" t="s">
        <v>20</v>
      </c>
      <c r="L363" s="11" t="n">
        <v>41839.5322800926</v>
      </c>
      <c r="M363" s="12"/>
      <c r="N363" s="12"/>
      <c r="O363" s="9" t="str">
        <f aca="false">HYPERLINK("https://pbs.twimg.com/profile_images/490584811723972608/Dtz_2Nig_normal.jpeg","View")</f>
        <v>View</v>
      </c>
      <c r="P363" s="10"/>
    </row>
    <row r="364" customFormat="false" ht="15.75" hidden="false" customHeight="false" outlineLevel="0" collapsed="false">
      <c r="A364" s="6" t="n">
        <v>43028.09125</v>
      </c>
      <c r="B364" s="7" t="str">
        <f aca="false">HYPERLINK("https://twitter.com/Rolling_Gems","@Rolling_Gems")</f>
        <v>@Rolling_Gems</v>
      </c>
      <c r="C364" s="8" t="s">
        <v>1057</v>
      </c>
      <c r="D364" s="8" t="s">
        <v>1016</v>
      </c>
      <c r="E364" s="9" t="str">
        <f aca="false">HYPERLINK("https://twitter.com/Rolling_Gems/status/921302821412024320","921302821412024320")</f>
        <v>921302821412024320</v>
      </c>
      <c r="F364" s="10" t="s">
        <v>25</v>
      </c>
      <c r="G364" s="10" t="n">
        <v>1019</v>
      </c>
      <c r="H364" s="10" t="n">
        <v>831</v>
      </c>
      <c r="I364" s="10" t="n">
        <v>34</v>
      </c>
      <c r="J364" s="10" t="n">
        <v>0</v>
      </c>
      <c r="K364" s="10" t="s">
        <v>20</v>
      </c>
      <c r="L364" s="11" t="n">
        <v>42400.3997337963</v>
      </c>
      <c r="M364" s="12" t="s">
        <v>1058</v>
      </c>
      <c r="N364" s="12" t="s">
        <v>1059</v>
      </c>
      <c r="O364" s="9" t="str">
        <f aca="false">HYPERLINK("https://pbs.twimg.com/profile_images/923523766227034112/29pSG3WI_normal.jpg","View")</f>
        <v>View</v>
      </c>
      <c r="P364" s="10"/>
    </row>
    <row r="365" customFormat="false" ht="15.75" hidden="false" customHeight="false" outlineLevel="0" collapsed="false">
      <c r="A365" s="6" t="n">
        <v>43028.0912731482</v>
      </c>
      <c r="B365" s="7" t="str">
        <f aca="false">HYPERLINK("https://twitter.com/perogies_gyoza","@perogies_gyoza")</f>
        <v>@perogies_gyoza</v>
      </c>
      <c r="C365" s="8" t="s">
        <v>1060</v>
      </c>
      <c r="D365" s="8" t="s">
        <v>1016</v>
      </c>
      <c r="E365" s="9" t="str">
        <f aca="false">HYPERLINK("https://twitter.com/perogies_gyoza/status/921302830488600583","921302830488600583")</f>
        <v>921302830488600583</v>
      </c>
      <c r="F365" s="10" t="s">
        <v>51</v>
      </c>
      <c r="G365" s="10" t="n">
        <v>999</v>
      </c>
      <c r="H365" s="10" t="n">
        <v>2674</v>
      </c>
      <c r="I365" s="10" t="n">
        <v>34</v>
      </c>
      <c r="J365" s="10" t="n">
        <v>0</v>
      </c>
      <c r="K365" s="10" t="s">
        <v>20</v>
      </c>
      <c r="L365" s="11" t="n">
        <v>40771.9548726852</v>
      </c>
      <c r="M365" s="12" t="s">
        <v>574</v>
      </c>
      <c r="N365" s="12" t="s">
        <v>1061</v>
      </c>
      <c r="O365" s="9" t="str">
        <f aca="false">HYPERLINK("https://pbs.twimg.com/profile_images/485377181439123456/IwgczlWE_normal.jpeg","View")</f>
        <v>View</v>
      </c>
      <c r="P365" s="10"/>
    </row>
    <row r="366" customFormat="false" ht="15.75" hidden="false" customHeight="false" outlineLevel="0" collapsed="false">
      <c r="A366" s="6" t="n">
        <v>43028.091875</v>
      </c>
      <c r="B366" s="7" t="str">
        <f aca="false">HYPERLINK("https://twitter.com/t_hisashi","@t_hisashi")</f>
        <v>@t_hisashi</v>
      </c>
      <c r="C366" s="14" t="s">
        <v>1062</v>
      </c>
      <c r="D366" s="8" t="s">
        <v>705</v>
      </c>
      <c r="E366" s="9" t="str">
        <f aca="false">HYPERLINK("https://twitter.com/t_hisashi/status/921303048516861952","921303048516861952")</f>
        <v>921303048516861952</v>
      </c>
      <c r="F366" s="10" t="s">
        <v>1063</v>
      </c>
      <c r="G366" s="10" t="n">
        <v>5170</v>
      </c>
      <c r="H366" s="10" t="n">
        <v>551</v>
      </c>
      <c r="I366" s="10" t="n">
        <v>60</v>
      </c>
      <c r="J366" s="10" t="n">
        <v>0</v>
      </c>
      <c r="K366" s="10" t="s">
        <v>20</v>
      </c>
      <c r="L366" s="11" t="n">
        <v>40145.284537037</v>
      </c>
      <c r="M366" s="13" t="s">
        <v>1064</v>
      </c>
      <c r="N366" s="12" t="s">
        <v>1065</v>
      </c>
      <c r="O366" s="9" t="str">
        <f aca="false">HYPERLINK("https://pbs.twimg.com/profile_images/863264860145983489/BfUWjAYp_normal.jpg","View")</f>
        <v>View</v>
      </c>
      <c r="P366" s="10"/>
    </row>
    <row r="367" customFormat="false" ht="15.75" hidden="false" customHeight="false" outlineLevel="0" collapsed="false">
      <c r="A367" s="6" t="n">
        <v>43028.0926157407</v>
      </c>
      <c r="B367" s="7" t="str">
        <f aca="false">HYPERLINK("https://twitter.com/YashKVerm","@YashKVerm")</f>
        <v>@YashKVerm</v>
      </c>
      <c r="C367" s="8" t="s">
        <v>1066</v>
      </c>
      <c r="D367" s="8" t="s">
        <v>1016</v>
      </c>
      <c r="E367" s="9" t="str">
        <f aca="false">HYPERLINK("https://twitter.com/YashKVerm/status/921303318240026624","921303318240026624")</f>
        <v>921303318240026624</v>
      </c>
      <c r="F367" s="10" t="s">
        <v>39</v>
      </c>
      <c r="G367" s="10" t="n">
        <v>1872</v>
      </c>
      <c r="H367" s="10" t="n">
        <v>4311</v>
      </c>
      <c r="I367" s="10" t="n">
        <v>34</v>
      </c>
      <c r="J367" s="10" t="n">
        <v>0</v>
      </c>
      <c r="K367" s="10" t="s">
        <v>20</v>
      </c>
      <c r="L367" s="11" t="n">
        <v>41244.3866782407</v>
      </c>
      <c r="M367" s="12"/>
      <c r="N367" s="12"/>
      <c r="O367" s="9" t="str">
        <f aca="false">HYPERLINK("https://pbs.twimg.com/profile_images/461229918366339072/pa6jfXz9_normal.jpeg","View")</f>
        <v>View</v>
      </c>
      <c r="P367" s="10"/>
    </row>
    <row r="368" customFormat="false" ht="15.75" hidden="false" customHeight="false" outlineLevel="0" collapsed="false">
      <c r="A368" s="6" t="n">
        <v>43028.0931944444</v>
      </c>
      <c r="B368" s="7" t="str">
        <f aca="false">HYPERLINK("https://twitter.com/beingkates","@beingkates")</f>
        <v>@beingkates</v>
      </c>
      <c r="C368" s="8" t="s">
        <v>1067</v>
      </c>
      <c r="D368" s="8" t="s">
        <v>1016</v>
      </c>
      <c r="E368" s="9" t="str">
        <f aca="false">HYPERLINK("https://twitter.com/beingkates/status/921303525228990464","921303525228990464")</f>
        <v>921303525228990464</v>
      </c>
      <c r="F368" s="10" t="s">
        <v>51</v>
      </c>
      <c r="G368" s="10" t="n">
        <v>498</v>
      </c>
      <c r="H368" s="10" t="n">
        <v>282</v>
      </c>
      <c r="I368" s="10" t="n">
        <v>34</v>
      </c>
      <c r="J368" s="10" t="n">
        <v>0</v>
      </c>
      <c r="K368" s="10" t="s">
        <v>20</v>
      </c>
      <c r="L368" s="11" t="n">
        <v>40838.049537037</v>
      </c>
      <c r="M368" s="12" t="s">
        <v>1068</v>
      </c>
      <c r="N368" s="12" t="s">
        <v>1069</v>
      </c>
      <c r="O368" s="9" t="str">
        <f aca="false">HYPERLINK("https://pbs.twimg.com/profile_images/906268366754779138/tUEXwXSu_normal.jpg","View")</f>
        <v>View</v>
      </c>
      <c r="P368" s="10"/>
    </row>
    <row r="369" customFormat="false" ht="15.75" hidden="false" customHeight="false" outlineLevel="0" collapsed="false">
      <c r="A369" s="6" t="n">
        <v>43028.0934375</v>
      </c>
      <c r="B369" s="7" t="str">
        <f aca="false">HYPERLINK("https://twitter.com/MarikaMonikAG","@MarikaMonikAG")</f>
        <v>@MarikaMonikAG</v>
      </c>
      <c r="C369" s="8" t="s">
        <v>1070</v>
      </c>
      <c r="D369" s="8" t="s">
        <v>1016</v>
      </c>
      <c r="E369" s="9" t="str">
        <f aca="false">HYPERLINK("https://twitter.com/MarikaMonikAG/status/921303613741285376","921303613741285376")</f>
        <v>921303613741285376</v>
      </c>
      <c r="F369" s="10" t="s">
        <v>51</v>
      </c>
      <c r="G369" s="10" t="n">
        <v>435</v>
      </c>
      <c r="H369" s="10" t="n">
        <v>316</v>
      </c>
      <c r="I369" s="10" t="n">
        <v>34</v>
      </c>
      <c r="J369" s="10" t="n">
        <v>0</v>
      </c>
      <c r="K369" s="10" t="s">
        <v>20</v>
      </c>
      <c r="L369" s="11" t="n">
        <v>39990.3800694444</v>
      </c>
      <c r="M369" s="12" t="s">
        <v>1071</v>
      </c>
      <c r="N369" s="12" t="s">
        <v>1072</v>
      </c>
      <c r="O369" s="9" t="str">
        <f aca="false">HYPERLINK("https://pbs.twimg.com/profile_images/890740639536627712/ubeWYCeI_normal.jpg","View")</f>
        <v>View</v>
      </c>
      <c r="P369" s="10"/>
    </row>
    <row r="370" customFormat="false" ht="15.75" hidden="false" customHeight="false" outlineLevel="0" collapsed="false">
      <c r="A370" s="6" t="n">
        <v>43028.0938773148</v>
      </c>
      <c r="B370" s="7" t="str">
        <f aca="false">HYPERLINK("https://twitter.com/Eurozonian","@Eurozonian")</f>
        <v>@Eurozonian</v>
      </c>
      <c r="C370" s="8" t="s">
        <v>1073</v>
      </c>
      <c r="D370" s="8" t="s">
        <v>1016</v>
      </c>
      <c r="E370" s="9" t="str">
        <f aca="false">HYPERLINK("https://twitter.com/Eurozonian/status/921303773020151808","921303773020151808")</f>
        <v>921303773020151808</v>
      </c>
      <c r="F370" s="10" t="s">
        <v>39</v>
      </c>
      <c r="G370" s="10" t="n">
        <v>647</v>
      </c>
      <c r="H370" s="10" t="n">
        <v>565</v>
      </c>
      <c r="I370" s="10" t="n">
        <v>34</v>
      </c>
      <c r="J370" s="10" t="n">
        <v>0</v>
      </c>
      <c r="K370" s="10" t="s">
        <v>20</v>
      </c>
      <c r="L370" s="11" t="n">
        <v>42770.1752430556</v>
      </c>
      <c r="M370" s="12" t="s">
        <v>1074</v>
      </c>
      <c r="N370" s="12" t="s">
        <v>1075</v>
      </c>
      <c r="O370" s="9" t="str">
        <f aca="false">HYPERLINK("https://pbs.twimg.com/profile_images/870768491879596034/jbD3OVPy_normal.jpg","View")</f>
        <v>View</v>
      </c>
      <c r="P370" s="10"/>
    </row>
    <row r="371" customFormat="false" ht="15.75" hidden="false" customHeight="false" outlineLevel="0" collapsed="false">
      <c r="A371" s="6" t="n">
        <v>43028.0939351852</v>
      </c>
      <c r="B371" s="7" t="str">
        <f aca="false">HYPERLINK("https://twitter.com/EzgiBasaranoglu","@EzgiBasaranoglu")</f>
        <v>@EzgiBasaranoglu</v>
      </c>
      <c r="C371" s="8" t="s">
        <v>1076</v>
      </c>
      <c r="D371" s="8" t="s">
        <v>1016</v>
      </c>
      <c r="E371" s="9" t="str">
        <f aca="false">HYPERLINK("https://twitter.com/EzgiBasaranoglu/status/921303794629140480","921303794629140480")</f>
        <v>921303794629140480</v>
      </c>
      <c r="F371" s="10" t="s">
        <v>39</v>
      </c>
      <c r="G371" s="10" t="n">
        <v>1089</v>
      </c>
      <c r="H371" s="10" t="n">
        <v>834</v>
      </c>
      <c r="I371" s="10" t="n">
        <v>34</v>
      </c>
      <c r="J371" s="10" t="n">
        <v>0</v>
      </c>
      <c r="K371" s="10" t="s">
        <v>20</v>
      </c>
      <c r="L371" s="11" t="n">
        <v>41461.4128819444</v>
      </c>
      <c r="M371" s="12" t="s">
        <v>1077</v>
      </c>
      <c r="N371" s="12" t="s">
        <v>1078</v>
      </c>
      <c r="O371" s="9" t="str">
        <f aca="false">HYPERLINK("https://pbs.twimg.com/profile_images/921314581665984512/0iFzraCn_normal.jpg","View")</f>
        <v>View</v>
      </c>
      <c r="P371" s="10"/>
    </row>
    <row r="372" customFormat="false" ht="15.75" hidden="false" customHeight="false" outlineLevel="0" collapsed="false">
      <c r="A372" s="6" t="n">
        <v>43028.0941666667</v>
      </c>
      <c r="B372" s="7" t="str">
        <f aca="false">HYPERLINK("https://twitter.com/DrAlexConcorde","@DrAlexConcorde")</f>
        <v>@DrAlexConcorde</v>
      </c>
      <c r="C372" s="8" t="s">
        <v>1079</v>
      </c>
      <c r="D372" s="8" t="s">
        <v>1080</v>
      </c>
      <c r="E372" s="9" t="str">
        <f aca="false">HYPERLINK("https://twitter.com/DrAlexConcorde/status/921303878783717376","921303878783717376")</f>
        <v>921303878783717376</v>
      </c>
      <c r="F372" s="10" t="s">
        <v>110</v>
      </c>
      <c r="G372" s="10" t="n">
        <v>53862</v>
      </c>
      <c r="H372" s="10" t="n">
        <v>18446</v>
      </c>
      <c r="I372" s="10" t="n">
        <v>0</v>
      </c>
      <c r="J372" s="10" t="n">
        <v>1</v>
      </c>
      <c r="K372" s="10" t="s">
        <v>20</v>
      </c>
      <c r="L372" s="11" t="n">
        <v>40404.7397800926</v>
      </c>
      <c r="M372" s="12" t="s">
        <v>1081</v>
      </c>
      <c r="N372" s="12" t="s">
        <v>1082</v>
      </c>
      <c r="O372" s="9" t="str">
        <f aca="false">HYPERLINK("https://pbs.twimg.com/profile_images/797176625989382148/l1GiEKWh_normal.jpg","View")</f>
        <v>View</v>
      </c>
      <c r="P372" s="10"/>
    </row>
    <row r="373" customFormat="false" ht="15.75" hidden="false" customHeight="false" outlineLevel="0" collapsed="false">
      <c r="A373" s="6" t="n">
        <v>43028.0944444445</v>
      </c>
      <c r="B373" s="7" t="str">
        <f aca="false">HYPERLINK("https://twitter.com/RavindraSoni1","@RavindraSoni1")</f>
        <v>@RavindraSoni1</v>
      </c>
      <c r="C373" s="8" t="s">
        <v>1083</v>
      </c>
      <c r="D373" s="8" t="s">
        <v>1084</v>
      </c>
      <c r="E373" s="9" t="str">
        <f aca="false">HYPERLINK("https://twitter.com/RavindraSoni1/status/921303978977189890","921303978977189890")</f>
        <v>921303978977189890</v>
      </c>
      <c r="F373" s="9" t="s">
        <v>979</v>
      </c>
      <c r="G373" s="10" t="n">
        <v>281</v>
      </c>
      <c r="H373" s="10" t="n">
        <v>512</v>
      </c>
      <c r="I373" s="10" t="n">
        <v>0</v>
      </c>
      <c r="J373" s="10" t="n">
        <v>0</v>
      </c>
      <c r="K373" s="10" t="s">
        <v>20</v>
      </c>
      <c r="L373" s="11" t="n">
        <v>40703.1341666667</v>
      </c>
      <c r="M373" s="12" t="s">
        <v>1085</v>
      </c>
      <c r="N373" s="12" t="s">
        <v>1086</v>
      </c>
      <c r="O373" s="9" t="str">
        <f aca="false">HYPERLINK("https://pbs.twimg.com/profile_images/809424050770448384/e3p1bqh-_normal.jpg","View")</f>
        <v>View</v>
      </c>
      <c r="P373" s="10"/>
    </row>
    <row r="374" customFormat="false" ht="15.75" hidden="false" customHeight="false" outlineLevel="0" collapsed="false">
      <c r="A374" s="6" t="n">
        <v>43028.0944560185</v>
      </c>
      <c r="B374" s="7" t="str">
        <f aca="false">HYPERLINK("https://twitter.com/nakhon224","@nakhon224")</f>
        <v>@nakhon224</v>
      </c>
      <c r="C374" s="8" t="s">
        <v>1087</v>
      </c>
      <c r="D374" s="8" t="s">
        <v>1088</v>
      </c>
      <c r="E374" s="9" t="str">
        <f aca="false">HYPERLINK("https://twitter.com/nakhon224/status/921303983565787136","921303983565787136")</f>
        <v>921303983565787136</v>
      </c>
      <c r="F374" s="10" t="s">
        <v>60</v>
      </c>
      <c r="G374" s="10" t="n">
        <v>16976</v>
      </c>
      <c r="H374" s="10" t="n">
        <v>5082</v>
      </c>
      <c r="I374" s="10" t="n">
        <v>0</v>
      </c>
      <c r="J374" s="10" t="n">
        <v>0</v>
      </c>
      <c r="K374" s="10" t="s">
        <v>20</v>
      </c>
      <c r="L374" s="11" t="n">
        <v>40115.9020949074</v>
      </c>
      <c r="M374" s="12" t="s">
        <v>1089</v>
      </c>
      <c r="N374" s="12" t="s">
        <v>1090</v>
      </c>
      <c r="O374" s="9" t="str">
        <f aca="false">HYPERLINK("https://pbs.twimg.com/profile_images/2399245020/niwo2t05j664oldr5izd_normal.gif","View")</f>
        <v>View</v>
      </c>
      <c r="P374" s="10"/>
    </row>
    <row r="375" customFormat="false" ht="15.75" hidden="false" customHeight="false" outlineLevel="0" collapsed="false">
      <c r="A375" s="6" t="n">
        <v>43028.0956828704</v>
      </c>
      <c r="B375" s="7" t="str">
        <f aca="false">HYPERLINK("https://twitter.com/x1__5x","@x1__5x")</f>
        <v>@x1__5x</v>
      </c>
      <c r="C375" s="8" t="s">
        <v>259</v>
      </c>
      <c r="D375" s="8" t="s">
        <v>1016</v>
      </c>
      <c r="E375" s="9" t="str">
        <f aca="false">HYPERLINK("https://twitter.com/x1__5x/status/921304428480794624","921304428480794624")</f>
        <v>921304428480794624</v>
      </c>
      <c r="F375" s="10" t="s">
        <v>51</v>
      </c>
      <c r="G375" s="10" t="n">
        <v>35</v>
      </c>
      <c r="H375" s="10" t="n">
        <v>120</v>
      </c>
      <c r="I375" s="10" t="n">
        <v>34</v>
      </c>
      <c r="J375" s="10" t="n">
        <v>0</v>
      </c>
      <c r="K375" s="10" t="s">
        <v>20</v>
      </c>
      <c r="L375" s="11" t="n">
        <v>41880.2024652778</v>
      </c>
      <c r="M375" s="12"/>
      <c r="N375" s="12"/>
      <c r="O375" s="9" t="str">
        <f aca="false">HYPERLINK("https://pbs.twimg.com/profile_images/910313671867486214/vzZtZT6L_normal.jpg","View")</f>
        <v>View</v>
      </c>
      <c r="P375" s="10"/>
    </row>
    <row r="376" customFormat="false" ht="15.75" hidden="false" customHeight="false" outlineLevel="0" collapsed="false">
      <c r="A376" s="6" t="n">
        <v>43028.0959953704</v>
      </c>
      <c r="B376" s="7" t="str">
        <f aca="false">HYPERLINK("https://twitter.com/BanankoJanko","@BanankoJanko")</f>
        <v>@BanankoJanko</v>
      </c>
      <c r="C376" s="8" t="s">
        <v>1034</v>
      </c>
      <c r="D376" s="8" t="s">
        <v>1091</v>
      </c>
      <c r="E376" s="9" t="str">
        <f aca="false">HYPERLINK("https://twitter.com/BanankoJanko/status/921304541290786816","921304541290786816")</f>
        <v>921304541290786816</v>
      </c>
      <c r="F376" s="10" t="s">
        <v>60</v>
      </c>
      <c r="G376" s="10" t="n">
        <v>87</v>
      </c>
      <c r="H376" s="10" t="n">
        <v>53</v>
      </c>
      <c r="I376" s="10" t="n">
        <v>0</v>
      </c>
      <c r="J376" s="10" t="n">
        <v>0</v>
      </c>
      <c r="K376" s="10" t="s">
        <v>20</v>
      </c>
      <c r="L376" s="11" t="n">
        <v>42837.1011458333</v>
      </c>
      <c r="M376" s="12"/>
      <c r="N376" s="15" t="s">
        <v>1036</v>
      </c>
      <c r="O376" s="9" t="str">
        <f aca="false">HYPERLINK("https://pbs.twimg.com/profile_images/852669910123675651/CVUt6bXC_normal.jpg","View")</f>
        <v>View</v>
      </c>
      <c r="P376" s="10"/>
    </row>
    <row r="377" customFormat="false" ht="15.75" hidden="false" customHeight="false" outlineLevel="0" collapsed="false">
      <c r="A377" s="6" t="n">
        <v>43028.0974421296</v>
      </c>
      <c r="B377" s="7" t="str">
        <f aca="false">HYPERLINK("https://twitter.com/supra1Bqteam","@supra1Bqteam")</f>
        <v>@supra1Bqteam</v>
      </c>
      <c r="C377" s="8" t="s">
        <v>1092</v>
      </c>
      <c r="D377" s="8" t="s">
        <v>1093</v>
      </c>
      <c r="E377" s="9" t="str">
        <f aca="false">HYPERLINK("https://twitter.com/supra1Bqteam/status/921305064358268928","921305064358268928")</f>
        <v>921305064358268928</v>
      </c>
      <c r="F377" s="10" t="s">
        <v>60</v>
      </c>
      <c r="G377" s="10" t="n">
        <v>29111</v>
      </c>
      <c r="H377" s="10" t="n">
        <v>27568</v>
      </c>
      <c r="I377" s="10" t="n">
        <v>0</v>
      </c>
      <c r="J377" s="10" t="n">
        <v>0</v>
      </c>
      <c r="K377" s="10" t="s">
        <v>20</v>
      </c>
      <c r="L377" s="11" t="n">
        <v>40930.4692824074</v>
      </c>
      <c r="M377" s="12" t="s">
        <v>1094</v>
      </c>
      <c r="N377" s="12" t="s">
        <v>1095</v>
      </c>
      <c r="O377" s="9" t="str">
        <f aca="false">HYPERLINK("https://pbs.twimg.com/profile_images/752065571068444672/dkKCTbsg_normal.jpg","View")</f>
        <v>View</v>
      </c>
      <c r="P377" s="10"/>
    </row>
    <row r="378" customFormat="false" ht="15.75" hidden="false" customHeight="false" outlineLevel="0" collapsed="false">
      <c r="A378" s="6" t="n">
        <v>43028.0975347222</v>
      </c>
      <c r="B378" s="7" t="str">
        <f aca="false">HYPERLINK("https://twitter.com/thaitvnews","@thaitvnews")</f>
        <v>@thaitvnews</v>
      </c>
      <c r="C378" s="8" t="s">
        <v>1096</v>
      </c>
      <c r="D378" s="8" t="s">
        <v>1097</v>
      </c>
      <c r="E378" s="9" t="str">
        <f aca="false">HYPERLINK("https://twitter.com/thaitvnews/status/921305098856419328","921305098856419328")</f>
        <v>921305098856419328</v>
      </c>
      <c r="F378" s="10" t="s">
        <v>60</v>
      </c>
      <c r="G378" s="10" t="n">
        <v>34589</v>
      </c>
      <c r="H378" s="10" t="n">
        <v>21902</v>
      </c>
      <c r="I378" s="10" t="n">
        <v>0</v>
      </c>
      <c r="J378" s="10" t="n">
        <v>0</v>
      </c>
      <c r="K378" s="10" t="s">
        <v>20</v>
      </c>
      <c r="L378" s="11" t="n">
        <v>40210.8004861111</v>
      </c>
      <c r="M378" s="12"/>
      <c r="N378" s="12" t="s">
        <v>1098</v>
      </c>
      <c r="O378" s="9" t="str">
        <f aca="false">HYPERLINK("https://pbs.twimg.com/profile_images/867228703096532994/JD5niRf4_normal.jpg","View")</f>
        <v>View</v>
      </c>
      <c r="P378" s="10"/>
    </row>
    <row r="379" customFormat="false" ht="15.75" hidden="false" customHeight="false" outlineLevel="0" collapsed="false">
      <c r="A379" s="6" t="n">
        <v>43028.0980092593</v>
      </c>
      <c r="B379" s="7" t="str">
        <f aca="false">HYPERLINK("https://twitter.com/anyaaikt","@anyaaikt")</f>
        <v>@anyaaikt</v>
      </c>
      <c r="C379" s="8" t="s">
        <v>1099</v>
      </c>
      <c r="D379" s="8" t="s">
        <v>1016</v>
      </c>
      <c r="E379" s="9" t="str">
        <f aca="false">HYPERLINK("https://twitter.com/anyaaikt/status/921305270659063809","921305270659063809")</f>
        <v>921305270659063809</v>
      </c>
      <c r="F379" s="10" t="s">
        <v>177</v>
      </c>
      <c r="G379" s="10" t="n">
        <v>23</v>
      </c>
      <c r="H379" s="10" t="n">
        <v>75</v>
      </c>
      <c r="I379" s="10" t="n">
        <v>34</v>
      </c>
      <c r="J379" s="10" t="n">
        <v>0</v>
      </c>
      <c r="K379" s="10" t="s">
        <v>20</v>
      </c>
      <c r="L379" s="11" t="n">
        <v>41531.1868287037</v>
      </c>
      <c r="M379" s="12"/>
      <c r="N379" s="12" t="s">
        <v>1100</v>
      </c>
      <c r="O379" s="9" t="str">
        <f aca="false">HYPERLINK("https://pbs.twimg.com/profile_images/791852235579912193/pupIwf9__normal.jpg","View")</f>
        <v>View</v>
      </c>
      <c r="P379" s="10"/>
    </row>
    <row r="380" customFormat="false" ht="15.75" hidden="false" customHeight="false" outlineLevel="0" collapsed="false">
      <c r="A380" s="6" t="n">
        <v>43028.0980324074</v>
      </c>
      <c r="B380" s="7" t="str">
        <f aca="false">HYPERLINK("https://twitter.com/gobinrya","@gobinrya")</f>
        <v>@gobinrya</v>
      </c>
      <c r="C380" s="8" t="s">
        <v>1101</v>
      </c>
      <c r="D380" s="8" t="s">
        <v>1016</v>
      </c>
      <c r="E380" s="9" t="str">
        <f aca="false">HYPERLINK("https://twitter.com/gobinrya/status/921305279404429313","921305279404429313")</f>
        <v>921305279404429313</v>
      </c>
      <c r="F380" s="10" t="s">
        <v>51</v>
      </c>
      <c r="G380" s="10" t="n">
        <v>308</v>
      </c>
      <c r="H380" s="10" t="n">
        <v>1598</v>
      </c>
      <c r="I380" s="10" t="n">
        <v>34</v>
      </c>
      <c r="J380" s="10" t="n">
        <v>0</v>
      </c>
      <c r="K380" s="10" t="s">
        <v>20</v>
      </c>
      <c r="L380" s="11" t="n">
        <v>40444.7729166667</v>
      </c>
      <c r="M380" s="12" t="s">
        <v>21</v>
      </c>
      <c r="N380" s="12" t="s">
        <v>1102</v>
      </c>
      <c r="O380" s="9" t="str">
        <f aca="false">HYPERLINK("https://pbs.twimg.com/profile_images/903234877620932609/3FGkYfx__normal.jpg","View")</f>
        <v>View</v>
      </c>
      <c r="P380" s="10"/>
    </row>
    <row r="381" customFormat="false" ht="15.75" hidden="false" customHeight="false" outlineLevel="0" collapsed="false">
      <c r="A381" s="6" t="n">
        <v>43028.0985763889</v>
      </c>
      <c r="B381" s="7" t="str">
        <f aca="false">HYPERLINK("https://twitter.com/Rick4312","@Rick4312")</f>
        <v>@Rick4312</v>
      </c>
      <c r="C381" s="8" t="s">
        <v>279</v>
      </c>
      <c r="D381" s="8" t="s">
        <v>1016</v>
      </c>
      <c r="E381" s="9" t="str">
        <f aca="false">HYPERLINK("https://twitter.com/Rick4312/status/921305479321718784","921305479321718784")</f>
        <v>921305479321718784</v>
      </c>
      <c r="F381" s="10" t="s">
        <v>25</v>
      </c>
      <c r="G381" s="10" t="n">
        <v>353</v>
      </c>
      <c r="H381" s="10" t="n">
        <v>342</v>
      </c>
      <c r="I381" s="10" t="n">
        <v>34</v>
      </c>
      <c r="J381" s="10" t="n">
        <v>0</v>
      </c>
      <c r="K381" s="10" t="s">
        <v>20</v>
      </c>
      <c r="L381" s="11" t="n">
        <v>39926.1991898148</v>
      </c>
      <c r="M381" s="12"/>
      <c r="N381" s="12" t="s">
        <v>280</v>
      </c>
      <c r="O381" s="9" t="str">
        <f aca="false">HYPERLINK("https://pbs.twimg.com/profile_images/378800000606169554/baf9e73de18cf5538945e01f8656543c_normal.png","View")</f>
        <v>View</v>
      </c>
      <c r="P381" s="10"/>
    </row>
    <row r="382" customFormat="false" ht="15.75" hidden="false" customHeight="false" outlineLevel="0" collapsed="false">
      <c r="A382" s="6" t="n">
        <v>43028.1001273148</v>
      </c>
      <c r="B382" s="7" t="str">
        <f aca="false">HYPERLINK("https://twitter.com/swarnavaa","@swarnavaa")</f>
        <v>@swarnavaa</v>
      </c>
      <c r="C382" s="8" t="s">
        <v>1103</v>
      </c>
      <c r="D382" s="8" t="s">
        <v>705</v>
      </c>
      <c r="E382" s="9" t="str">
        <f aca="false">HYPERLINK("https://twitter.com/swarnavaa/status/921306038472654848","921306038472654848")</f>
        <v>921306038472654848</v>
      </c>
      <c r="F382" s="10" t="s">
        <v>39</v>
      </c>
      <c r="G382" s="10" t="n">
        <v>33</v>
      </c>
      <c r="H382" s="10" t="n">
        <v>21</v>
      </c>
      <c r="I382" s="10" t="n">
        <v>60</v>
      </c>
      <c r="J382" s="10" t="n">
        <v>0</v>
      </c>
      <c r="K382" s="10" t="s">
        <v>20</v>
      </c>
      <c r="L382" s="11" t="n">
        <v>39989.915150463</v>
      </c>
      <c r="M382" s="12" t="s">
        <v>1104</v>
      </c>
      <c r="N382" s="12" t="s">
        <v>1105</v>
      </c>
      <c r="O382" s="9" t="str">
        <f aca="false">HYPERLINK("https://pbs.twimg.com/profile_images/1905212466/6450_1076572718291_1345430927_30183520_4949491_n_normal.jpg","View")</f>
        <v>View</v>
      </c>
      <c r="P382" s="10"/>
    </row>
    <row r="383" customFormat="false" ht="15.75" hidden="false" customHeight="false" outlineLevel="0" collapsed="false">
      <c r="A383" s="6" t="n">
        <v>43028.1008564815</v>
      </c>
      <c r="B383" s="7" t="str">
        <f aca="false">HYPERLINK("https://twitter.com/anal0gr","@anal0gr")</f>
        <v>@anal0gr</v>
      </c>
      <c r="C383" s="8" t="s">
        <v>1106</v>
      </c>
      <c r="D383" s="8" t="s">
        <v>1107</v>
      </c>
      <c r="E383" s="9" t="str">
        <f aca="false">HYPERLINK("https://twitter.com/anal0gr/status/921306305222070272","921306305222070272")</f>
        <v>921306305222070272</v>
      </c>
      <c r="F383" s="10" t="s">
        <v>60</v>
      </c>
      <c r="G383" s="10" t="n">
        <v>266</v>
      </c>
      <c r="H383" s="10" t="n">
        <v>249</v>
      </c>
      <c r="I383" s="10" t="n">
        <v>0</v>
      </c>
      <c r="J383" s="10" t="n">
        <v>0</v>
      </c>
      <c r="K383" s="10" t="s">
        <v>20</v>
      </c>
      <c r="L383" s="11" t="n">
        <v>40029.1031944444</v>
      </c>
      <c r="M383" s="12" t="s">
        <v>1108</v>
      </c>
      <c r="N383" s="12" t="s">
        <v>1109</v>
      </c>
      <c r="O383" s="9" t="str">
        <f aca="false">HYPERLINK("https://pbs.twimg.com/profile_images/2881480750/e85c86dd5f4d2a30e1b676241d40f3d7_normal.jpeg","View")</f>
        <v>View</v>
      </c>
      <c r="P383" s="10"/>
    </row>
    <row r="384" customFormat="false" ht="15.75" hidden="false" customHeight="false" outlineLevel="0" collapsed="false">
      <c r="A384" s="6" t="n">
        <v>43028.1030787037</v>
      </c>
      <c r="B384" s="7" t="str">
        <f aca="false">HYPERLINK("https://twitter.com/bonestillviral","@bonestillviral")</f>
        <v>@bonestillviral</v>
      </c>
      <c r="C384" s="8" t="s">
        <v>1110</v>
      </c>
      <c r="D384" s="8" t="s">
        <v>1016</v>
      </c>
      <c r="E384" s="9" t="str">
        <f aca="false">HYPERLINK("https://twitter.com/bonestillviral/status/921307108368375808","921307108368375808")</f>
        <v>921307108368375808</v>
      </c>
      <c r="F384" s="10" t="s">
        <v>25</v>
      </c>
      <c r="G384" s="10" t="n">
        <v>377</v>
      </c>
      <c r="H384" s="10" t="n">
        <v>817</v>
      </c>
      <c r="I384" s="10" t="n">
        <v>34</v>
      </c>
      <c r="J384" s="10" t="n">
        <v>0</v>
      </c>
      <c r="K384" s="10" t="s">
        <v>20</v>
      </c>
      <c r="L384" s="11" t="n">
        <v>42605.698125</v>
      </c>
      <c r="M384" s="12" t="s">
        <v>1111</v>
      </c>
      <c r="N384" s="12" t="s">
        <v>1112</v>
      </c>
      <c r="O384" s="9" t="str">
        <f aca="false">HYPERLINK("https://pbs.twimg.com/profile_images/788087626729488385/mJA7RC4U_normal.jpg","View")</f>
        <v>View</v>
      </c>
      <c r="P384" s="10"/>
    </row>
    <row r="385" customFormat="false" ht="15.75" hidden="false" customHeight="false" outlineLevel="0" collapsed="false">
      <c r="A385" s="6" t="n">
        <v>43028.1038078704</v>
      </c>
      <c r="B385" s="7" t="str">
        <f aca="false">HYPERLINK("https://twitter.com/WillSmirk4Food","@WillSmirk4Food")</f>
        <v>@WillSmirk4Food</v>
      </c>
      <c r="C385" s="8" t="s">
        <v>1113</v>
      </c>
      <c r="D385" s="8" t="s">
        <v>1114</v>
      </c>
      <c r="E385" s="9" t="str">
        <f aca="false">HYPERLINK("https://twitter.com/WillSmirk4Food/status/921307373570088961","921307373570088961")</f>
        <v>921307373570088961</v>
      </c>
      <c r="F385" s="10" t="s">
        <v>60</v>
      </c>
      <c r="G385" s="10" t="n">
        <v>911</v>
      </c>
      <c r="H385" s="10" t="n">
        <v>1226</v>
      </c>
      <c r="I385" s="10" t="n">
        <v>0</v>
      </c>
      <c r="J385" s="10" t="n">
        <v>0</v>
      </c>
      <c r="K385" s="10" t="s">
        <v>20</v>
      </c>
      <c r="L385" s="11" t="n">
        <v>39812.7607523148</v>
      </c>
      <c r="M385" s="12" t="s">
        <v>1115</v>
      </c>
      <c r="N385" s="12" t="s">
        <v>1116</v>
      </c>
      <c r="O385" s="9" t="str">
        <f aca="false">HYPERLINK("https://pbs.twimg.com/profile_images/2518253402/mjg6f34ipqr1mik3a4td_normal.jpeg","View")</f>
        <v>View</v>
      </c>
      <c r="P385" s="10"/>
    </row>
    <row r="386" customFormat="false" ht="15.75" hidden="false" customHeight="false" outlineLevel="0" collapsed="false">
      <c r="A386" s="6" t="n">
        <v>43028.1050578704</v>
      </c>
      <c r="B386" s="7" t="str">
        <f aca="false">HYPERLINK("https://twitter.com/sundawei1982","@sundawei1982")</f>
        <v>@sundawei1982</v>
      </c>
      <c r="C386" s="14" t="s">
        <v>1117</v>
      </c>
      <c r="D386" s="8" t="s">
        <v>1016</v>
      </c>
      <c r="E386" s="9" t="str">
        <f aca="false">HYPERLINK("https://twitter.com/sundawei1982/status/921307827930513408","921307827930513408")</f>
        <v>921307827930513408</v>
      </c>
      <c r="F386" s="10" t="s">
        <v>39</v>
      </c>
      <c r="G386" s="10" t="n">
        <v>10472</v>
      </c>
      <c r="H386" s="10" t="n">
        <v>91</v>
      </c>
      <c r="I386" s="10" t="n">
        <v>34</v>
      </c>
      <c r="J386" s="10" t="n">
        <v>0</v>
      </c>
      <c r="K386" s="10" t="s">
        <v>20</v>
      </c>
      <c r="L386" s="11" t="n">
        <v>42991.9792013889</v>
      </c>
      <c r="M386" s="12"/>
      <c r="N386" s="12"/>
      <c r="O386" s="9" t="str">
        <f aca="false">HYPERLINK("https://pbs.twimg.com/profile_images/918311255248584704/MMd6G6ex_normal.jpg","View")</f>
        <v>View</v>
      </c>
      <c r="P386" s="10"/>
    </row>
    <row r="387" customFormat="false" ht="15.75" hidden="false" customHeight="false" outlineLevel="0" collapsed="false">
      <c r="A387" s="6" t="n">
        <v>43028.1064467593</v>
      </c>
      <c r="B387" s="7" t="str">
        <f aca="false">HYPERLINK("https://twitter.com/Minaeli04","@Minaeli04")</f>
        <v>@Minaeli04</v>
      </c>
      <c r="C387" s="8" t="s">
        <v>1118</v>
      </c>
      <c r="D387" s="8" t="s">
        <v>928</v>
      </c>
      <c r="E387" s="9" t="str">
        <f aca="false">HYPERLINK("https://twitter.com/Minaeli04/status/921308327790784512","921308327790784512")</f>
        <v>921308327790784512</v>
      </c>
      <c r="F387" s="10" t="s">
        <v>25</v>
      </c>
      <c r="G387" s="10" t="n">
        <v>52</v>
      </c>
      <c r="H387" s="10" t="n">
        <v>1615</v>
      </c>
      <c r="I387" s="10" t="n">
        <v>6</v>
      </c>
      <c r="J387" s="10" t="n">
        <v>0</v>
      </c>
      <c r="K387" s="10" t="s">
        <v>20</v>
      </c>
      <c r="L387" s="11" t="n">
        <v>41723.6427314815</v>
      </c>
      <c r="M387" s="12" t="s">
        <v>1119</v>
      </c>
      <c r="N387" s="12" t="s">
        <v>1120</v>
      </c>
      <c r="O387" s="9" t="str">
        <f aca="false">HYPERLINK("https://pbs.twimg.com/profile_images/764414033898377216/9_IoS353_normal.jpg","View")</f>
        <v>View</v>
      </c>
      <c r="P387" s="10"/>
    </row>
    <row r="388" customFormat="false" ht="15.75" hidden="false" customHeight="false" outlineLevel="0" collapsed="false">
      <c r="A388" s="6" t="n">
        <v>43028.1068518519</v>
      </c>
      <c r="B388" s="7" t="str">
        <f aca="false">HYPERLINK("https://twitter.com/PolticsNewz","@PolticsNewz")</f>
        <v>@PolticsNewz</v>
      </c>
      <c r="C388" s="8" t="s">
        <v>1121</v>
      </c>
      <c r="D388" s="8" t="s">
        <v>1122</v>
      </c>
      <c r="E388" s="9" t="str">
        <f aca="false">HYPERLINK("https://twitter.com/PolticsNewz/status/921308478240681985","921308478240681985")</f>
        <v>921308478240681985</v>
      </c>
      <c r="F388" s="10" t="s">
        <v>1123</v>
      </c>
      <c r="G388" s="10" t="n">
        <v>26441</v>
      </c>
      <c r="H388" s="10" t="n">
        <v>23998</v>
      </c>
      <c r="I388" s="10" t="n">
        <v>0</v>
      </c>
      <c r="J388" s="10" t="n">
        <v>1</v>
      </c>
      <c r="K388" s="10" t="s">
        <v>20</v>
      </c>
      <c r="L388" s="11" t="n">
        <v>42509.1547569445</v>
      </c>
      <c r="M388" s="12" t="s">
        <v>230</v>
      </c>
      <c r="N388" s="12" t="s">
        <v>1124</v>
      </c>
      <c r="O388" s="9" t="str">
        <f aca="false">HYPERLINK("https://pbs.twimg.com/profile_images/733247246314131456/M6u2U4GO_normal.jpg","View")</f>
        <v>View</v>
      </c>
      <c r="P388" s="10"/>
    </row>
    <row r="389" customFormat="false" ht="15.75" hidden="false" customHeight="false" outlineLevel="0" collapsed="false">
      <c r="A389" s="6" t="n">
        <v>43028.1072569444</v>
      </c>
      <c r="B389" s="7" t="str">
        <f aca="false">HYPERLINK("https://twitter.com/Pura_Moran","@Pura_Moran")</f>
        <v>@Pura_Moran</v>
      </c>
      <c r="C389" s="8" t="s">
        <v>1125</v>
      </c>
      <c r="D389" s="8" t="s">
        <v>1016</v>
      </c>
      <c r="E389" s="9" t="str">
        <f aca="false">HYPERLINK("https://twitter.com/Pura_Moran/status/921308623598440449","921308623598440449")</f>
        <v>921308623598440449</v>
      </c>
      <c r="F389" s="10" t="s">
        <v>39</v>
      </c>
      <c r="G389" s="10" t="n">
        <v>23</v>
      </c>
      <c r="H389" s="10" t="n">
        <v>45</v>
      </c>
      <c r="I389" s="10" t="n">
        <v>34</v>
      </c>
      <c r="J389" s="10" t="n">
        <v>0</v>
      </c>
      <c r="K389" s="10" t="s">
        <v>20</v>
      </c>
      <c r="L389" s="11" t="n">
        <v>41989.5279282407</v>
      </c>
      <c r="M389" s="12" t="s">
        <v>1126</v>
      </c>
      <c r="N389" s="12"/>
      <c r="O389" s="9" t="str">
        <f aca="false">HYPERLINK("https://pbs.twimg.com/profile_images/882701852017668101/DCL0ZUar_normal.jpg","View")</f>
        <v>View</v>
      </c>
      <c r="P389" s="10"/>
    </row>
    <row r="390" customFormat="false" ht="15.75" hidden="false" customHeight="false" outlineLevel="0" collapsed="false">
      <c r="A390" s="6" t="n">
        <v>43028.1076388889</v>
      </c>
      <c r="B390" s="7" t="str">
        <f aca="false">HYPERLINK("https://twitter.com/Steven15i","@Steven15i")</f>
        <v>@Steven15i</v>
      </c>
      <c r="C390" s="8" t="s">
        <v>1127</v>
      </c>
      <c r="D390" s="8" t="s">
        <v>705</v>
      </c>
      <c r="E390" s="9" t="str">
        <f aca="false">HYPERLINK("https://twitter.com/Steven15i/status/921308760068509697","921308760068509697")</f>
        <v>921308760068509697</v>
      </c>
      <c r="F390" s="10" t="s">
        <v>25</v>
      </c>
      <c r="G390" s="10" t="n">
        <v>25</v>
      </c>
      <c r="H390" s="10" t="n">
        <v>66</v>
      </c>
      <c r="I390" s="10" t="n">
        <v>60</v>
      </c>
      <c r="J390" s="10" t="n">
        <v>0</v>
      </c>
      <c r="K390" s="10" t="s">
        <v>20</v>
      </c>
      <c r="L390" s="11" t="n">
        <v>42072.4841087963</v>
      </c>
      <c r="M390" s="12" t="s">
        <v>1128</v>
      </c>
      <c r="N390" s="12"/>
      <c r="O390" s="9" t="str">
        <f aca="false">HYPERLINK("https://pbs.twimg.com/profile_images/718889765274132481/w-5NGrIz_normal.jpg","View")</f>
        <v>View</v>
      </c>
      <c r="P390" s="10"/>
    </row>
    <row r="391" customFormat="false" ht="15.75" hidden="false" customHeight="false" outlineLevel="0" collapsed="false">
      <c r="A391" s="6" t="n">
        <v>43028.1088310185</v>
      </c>
      <c r="B391" s="7" t="str">
        <f aca="false">HYPERLINK("https://twitter.com/IAazar","@IAazar")</f>
        <v>@IAazar</v>
      </c>
      <c r="C391" s="8" t="s">
        <v>822</v>
      </c>
      <c r="D391" s="8" t="s">
        <v>705</v>
      </c>
      <c r="E391" s="9" t="str">
        <f aca="false">HYPERLINK("https://twitter.com/IAazar/status/921309195022020609","921309195022020609")</f>
        <v>921309195022020609</v>
      </c>
      <c r="F391" s="10" t="s">
        <v>823</v>
      </c>
      <c r="G391" s="10" t="n">
        <v>415</v>
      </c>
      <c r="H391" s="10" t="n">
        <v>40</v>
      </c>
      <c r="I391" s="10" t="n">
        <v>60</v>
      </c>
      <c r="J391" s="10" t="n">
        <v>0</v>
      </c>
      <c r="K391" s="10" t="s">
        <v>20</v>
      </c>
      <c r="L391" s="11" t="n">
        <v>41131.8675</v>
      </c>
      <c r="M391" s="12" t="s">
        <v>824</v>
      </c>
      <c r="N391" s="12" t="s">
        <v>825</v>
      </c>
      <c r="O391" s="9" t="str">
        <f aca="false">HYPERLINK("https://pbs.twimg.com/profile_images/909761934953549824/hEOveBa0_normal.jpg","View")</f>
        <v>View</v>
      </c>
      <c r="P391" s="10"/>
    </row>
    <row r="392" customFormat="false" ht="15.75" hidden="false" customHeight="false" outlineLevel="0" collapsed="false">
      <c r="A392" s="6" t="n">
        <v>43028.1102430556</v>
      </c>
      <c r="B392" s="7" t="str">
        <f aca="false">HYPERLINK("https://twitter.com/ayoungthinker","@ayoungthinker")</f>
        <v>@ayoungthinker</v>
      </c>
      <c r="C392" s="8" t="s">
        <v>1129</v>
      </c>
      <c r="D392" s="8" t="s">
        <v>1016</v>
      </c>
      <c r="E392" s="9" t="str">
        <f aca="false">HYPERLINK("https://twitter.com/ayoungthinker/status/921309704567119872","921309704567119872")</f>
        <v>921309704567119872</v>
      </c>
      <c r="F392" s="10" t="s">
        <v>51</v>
      </c>
      <c r="G392" s="10" t="n">
        <v>7</v>
      </c>
      <c r="H392" s="10" t="n">
        <v>135</v>
      </c>
      <c r="I392" s="10" t="n">
        <v>34</v>
      </c>
      <c r="J392" s="10" t="n">
        <v>0</v>
      </c>
      <c r="K392" s="10" t="s">
        <v>20</v>
      </c>
      <c r="L392" s="11" t="n">
        <v>42832.1454861111</v>
      </c>
      <c r="M392" s="12"/>
      <c r="N392" s="12" t="s">
        <v>1130</v>
      </c>
      <c r="O392" s="9" t="str">
        <f aca="false">HYPERLINK("https://pbs.twimg.com/profile_images/850301227090968577/Qj7WUl5E_normal.jpg","View")</f>
        <v>View</v>
      </c>
      <c r="P392" s="10"/>
    </row>
    <row r="393" customFormat="false" ht="15.75" hidden="false" customHeight="false" outlineLevel="0" collapsed="false">
      <c r="A393" s="6" t="n">
        <v>43028.1112847222</v>
      </c>
      <c r="B393" s="7" t="str">
        <f aca="false">HYPERLINK("https://twitter.com/supra1Bqteam","@supra1Bqteam")</f>
        <v>@supra1Bqteam</v>
      </c>
      <c r="C393" s="8" t="s">
        <v>1092</v>
      </c>
      <c r="D393" s="8" t="s">
        <v>1131</v>
      </c>
      <c r="E393" s="9" t="str">
        <f aca="false">HYPERLINK("https://twitter.com/supra1Bqteam/status/921310082071191552","921310082071191552")</f>
        <v>921310082071191552</v>
      </c>
      <c r="F393" s="10" t="s">
        <v>60</v>
      </c>
      <c r="G393" s="10" t="n">
        <v>29111</v>
      </c>
      <c r="H393" s="10" t="n">
        <v>27568</v>
      </c>
      <c r="I393" s="10" t="n">
        <v>0</v>
      </c>
      <c r="J393" s="10" t="n">
        <v>0</v>
      </c>
      <c r="K393" s="10" t="s">
        <v>20</v>
      </c>
      <c r="L393" s="11" t="n">
        <v>40930.4692824074</v>
      </c>
      <c r="M393" s="12" t="s">
        <v>1094</v>
      </c>
      <c r="N393" s="12" t="s">
        <v>1095</v>
      </c>
      <c r="O393" s="9" t="str">
        <f aca="false">HYPERLINK("https://pbs.twimg.com/profile_images/752065571068444672/dkKCTbsg_normal.jpg","View")</f>
        <v>View</v>
      </c>
      <c r="P393" s="10"/>
    </row>
    <row r="394" customFormat="false" ht="15.75" hidden="false" customHeight="false" outlineLevel="0" collapsed="false">
      <c r="A394" s="6" t="n">
        <v>43028.1121759259</v>
      </c>
      <c r="B394" s="7" t="str">
        <f aca="false">HYPERLINK("https://twitter.com/PoliticsNewz","@PoliticsNewz")</f>
        <v>@PoliticsNewz</v>
      </c>
      <c r="C394" s="8" t="s">
        <v>1132</v>
      </c>
      <c r="D394" s="8" t="s">
        <v>1133</v>
      </c>
      <c r="E394" s="9" t="str">
        <f aca="false">HYPERLINK("https://twitter.com/PoliticsNewz/status/921310407469469696","921310407469469696")</f>
        <v>921310407469469696</v>
      </c>
      <c r="F394" s="10" t="s">
        <v>1134</v>
      </c>
      <c r="G394" s="10" t="n">
        <v>56467</v>
      </c>
      <c r="H394" s="10" t="n">
        <v>48950</v>
      </c>
      <c r="I394" s="10" t="n">
        <v>0</v>
      </c>
      <c r="J394" s="10" t="n">
        <v>0</v>
      </c>
      <c r="K394" s="10" t="s">
        <v>20</v>
      </c>
      <c r="L394" s="11" t="n">
        <v>40980.5404976852</v>
      </c>
      <c r="M394" s="12" t="s">
        <v>230</v>
      </c>
      <c r="N394" s="12" t="s">
        <v>1124</v>
      </c>
      <c r="O394" s="9" t="str">
        <f aca="false">HYPERLINK("https://pbs.twimg.com/profile_images/1892022292/logo-politicnewz_normal.jpg","View")</f>
        <v>View</v>
      </c>
      <c r="P394" s="10"/>
    </row>
    <row r="395" customFormat="false" ht="15.75" hidden="false" customHeight="false" outlineLevel="0" collapsed="false">
      <c r="A395" s="6" t="n">
        <v>43028.1141550926</v>
      </c>
      <c r="B395" s="7" t="str">
        <f aca="false">HYPERLINK("https://twitter.com/norihiko_sasaki","@norihiko_sasaki")</f>
        <v>@norihiko_sasaki</v>
      </c>
      <c r="C395" s="14" t="s">
        <v>1135</v>
      </c>
      <c r="D395" s="8" t="s">
        <v>928</v>
      </c>
      <c r="E395" s="9" t="str">
        <f aca="false">HYPERLINK("https://twitter.com/norihiko_sasaki/status/921311121679589378","921311121679589378")</f>
        <v>921311121679589378</v>
      </c>
      <c r="F395" s="10" t="s">
        <v>51</v>
      </c>
      <c r="G395" s="10" t="n">
        <v>9169</v>
      </c>
      <c r="H395" s="10" t="n">
        <v>340</v>
      </c>
      <c r="I395" s="10" t="n">
        <v>6</v>
      </c>
      <c r="J395" s="10" t="n">
        <v>0</v>
      </c>
      <c r="K395" s="10" t="s">
        <v>20</v>
      </c>
      <c r="L395" s="11" t="n">
        <v>40222.7680439815</v>
      </c>
      <c r="M395" s="13" t="s">
        <v>1136</v>
      </c>
      <c r="N395" s="12" t="s">
        <v>1137</v>
      </c>
      <c r="O395" s="9" t="str">
        <f aca="false">HYPERLINK("https://pbs.twimg.com/profile_images/719893799669870592/9iFMvCfk_normal.jpg","View")</f>
        <v>View</v>
      </c>
      <c r="P395" s="10"/>
    </row>
    <row r="396" customFormat="false" ht="15.75" hidden="false" customHeight="false" outlineLevel="0" collapsed="false">
      <c r="A396" s="6" t="n">
        <v>43028.1146296296</v>
      </c>
      <c r="B396" s="7" t="str">
        <f aca="false">HYPERLINK("https://twitter.com/MitziRuth72","@MitziRuth72")</f>
        <v>@MitziRuth72</v>
      </c>
      <c r="C396" s="8" t="s">
        <v>1138</v>
      </c>
      <c r="D396" s="8" t="s">
        <v>1016</v>
      </c>
      <c r="E396" s="9" t="str">
        <f aca="false">HYPERLINK("https://twitter.com/MitziRuth72/status/921311295617482752","921311295617482752")</f>
        <v>921311295617482752</v>
      </c>
      <c r="F396" s="10" t="s">
        <v>25</v>
      </c>
      <c r="G396" s="10" t="n">
        <v>1758</v>
      </c>
      <c r="H396" s="10" t="n">
        <v>4996</v>
      </c>
      <c r="I396" s="10" t="n">
        <v>34</v>
      </c>
      <c r="J396" s="10" t="n">
        <v>0</v>
      </c>
      <c r="K396" s="10" t="s">
        <v>20</v>
      </c>
      <c r="L396" s="11" t="n">
        <v>42572.8841435185</v>
      </c>
      <c r="M396" s="12" t="s">
        <v>1139</v>
      </c>
      <c r="N396" s="12" t="s">
        <v>1140</v>
      </c>
      <c r="O396" s="9" t="str">
        <f aca="false">HYPERLINK("https://pbs.twimg.com/profile_images/910353856818708481/7LSUpXLz_normal.jpg","View")</f>
        <v>View</v>
      </c>
      <c r="P396" s="10"/>
    </row>
    <row r="397" customFormat="false" ht="15.75" hidden="false" customHeight="false" outlineLevel="0" collapsed="false">
      <c r="A397" s="6" t="n">
        <v>43028.115</v>
      </c>
      <c r="B397" s="7" t="str">
        <f aca="false">HYPERLINK("https://twitter.com/emet_news_press","@emet_news_press")</f>
        <v>@emet_news_press</v>
      </c>
      <c r="C397" s="8" t="s">
        <v>1141</v>
      </c>
      <c r="D397" s="8" t="s">
        <v>1142</v>
      </c>
      <c r="E397" s="9" t="str">
        <f aca="false">HYPERLINK("https://twitter.com/emet_news_press/status/921311430309269504","921311430309269504")</f>
        <v>921311430309269504</v>
      </c>
      <c r="F397" s="10" t="s">
        <v>110</v>
      </c>
      <c r="G397" s="10" t="n">
        <v>14266</v>
      </c>
      <c r="H397" s="10" t="n">
        <v>3082</v>
      </c>
      <c r="I397" s="10" t="n">
        <v>1</v>
      </c>
      <c r="J397" s="10" t="n">
        <v>1</v>
      </c>
      <c r="K397" s="10" t="s">
        <v>20</v>
      </c>
      <c r="L397" s="11" t="n">
        <v>42457.1097685185</v>
      </c>
      <c r="M397" s="12" t="s">
        <v>1143</v>
      </c>
      <c r="N397" s="12" t="s">
        <v>1144</v>
      </c>
      <c r="O397" s="9" t="str">
        <f aca="false">HYPERLINK("https://pbs.twimg.com/profile_images/867494379308687362/en57rgx2_normal.jpg","View")</f>
        <v>View</v>
      </c>
      <c r="P397" s="10"/>
    </row>
    <row r="398" customFormat="false" ht="15.75" hidden="false" customHeight="false" outlineLevel="0" collapsed="false">
      <c r="A398" s="6" t="n">
        <v>43028.1160416667</v>
      </c>
      <c r="B398" s="7" t="str">
        <f aca="false">HYPERLINK("https://twitter.com/luissanapacheco","@luissanapacheco")</f>
        <v>@luissanapacheco</v>
      </c>
      <c r="C398" s="8" t="s">
        <v>1145</v>
      </c>
      <c r="D398" s="8" t="s">
        <v>1146</v>
      </c>
      <c r="E398" s="9" t="str">
        <f aca="false">HYPERLINK("https://twitter.com/luissanapacheco/status/921311807423123456","921311807423123456")</f>
        <v>921311807423123456</v>
      </c>
      <c r="F398" s="9" t="s">
        <v>1147</v>
      </c>
      <c r="G398" s="10" t="n">
        <v>4463</v>
      </c>
      <c r="H398" s="10" t="n">
        <v>4717</v>
      </c>
      <c r="I398" s="10" t="n">
        <v>0</v>
      </c>
      <c r="J398" s="10" t="n">
        <v>0</v>
      </c>
      <c r="K398" s="10" t="s">
        <v>20</v>
      </c>
      <c r="L398" s="11" t="n">
        <v>41852.429837963</v>
      </c>
      <c r="M398" s="12" t="s">
        <v>1148</v>
      </c>
      <c r="N398" s="12" t="s">
        <v>1149</v>
      </c>
      <c r="O398" s="9" t="str">
        <f aca="false">HYPERLINK("https://pbs.twimg.com/profile_images/792911005114372096/ORqqvDdy_normal.jpg","View")</f>
        <v>View</v>
      </c>
      <c r="P398" s="10"/>
    </row>
    <row r="399" customFormat="false" ht="15.75" hidden="false" customHeight="false" outlineLevel="0" collapsed="false">
      <c r="A399" s="6" t="n">
        <v>43028.117349537</v>
      </c>
      <c r="B399" s="7" t="str">
        <f aca="false">HYPERLINK("https://twitter.com/RosMathieson","@RosMathieson")</f>
        <v>@RosMathieson</v>
      </c>
      <c r="C399" s="8" t="s">
        <v>302</v>
      </c>
      <c r="D399" s="8" t="s">
        <v>1150</v>
      </c>
      <c r="E399" s="9" t="str">
        <f aca="false">HYPERLINK("https://twitter.com/RosMathieson/status/921312279865389058","921312279865389058")</f>
        <v>921312279865389058</v>
      </c>
      <c r="F399" s="10" t="s">
        <v>39</v>
      </c>
      <c r="G399" s="10" t="n">
        <v>1999</v>
      </c>
      <c r="H399" s="10" t="n">
        <v>1993</v>
      </c>
      <c r="I399" s="10" t="n">
        <v>0</v>
      </c>
      <c r="J399" s="10" t="n">
        <v>0</v>
      </c>
      <c r="K399" s="10" t="s">
        <v>20</v>
      </c>
      <c r="L399" s="11" t="n">
        <v>41038.9627314815</v>
      </c>
      <c r="M399" s="12" t="s">
        <v>186</v>
      </c>
      <c r="N399" s="12" t="s">
        <v>304</v>
      </c>
      <c r="O399" s="9" t="str">
        <f aca="false">HYPERLINK("https://pbs.twimg.com/profile_images/460038040329527296/NvG_2qmK_normal.jpeg","View")</f>
        <v>View</v>
      </c>
      <c r="P399" s="10"/>
    </row>
    <row r="400" customFormat="false" ht="15.75" hidden="false" customHeight="false" outlineLevel="0" collapsed="false">
      <c r="A400" s="6" t="n">
        <v>43028.1199884259</v>
      </c>
      <c r="B400" s="7" t="str">
        <f aca="false">HYPERLINK("https://twitter.com/wittich","@wittich")</f>
        <v>@wittich</v>
      </c>
      <c r="C400" s="8" t="s">
        <v>1151</v>
      </c>
      <c r="D400" s="8" t="s">
        <v>1152</v>
      </c>
      <c r="E400" s="9" t="str">
        <f aca="false">HYPERLINK("https://twitter.com/wittich/status/921313237496365056","921313237496365056")</f>
        <v>921313237496365056</v>
      </c>
      <c r="F400" s="10" t="s">
        <v>55</v>
      </c>
      <c r="G400" s="10" t="n">
        <v>2611</v>
      </c>
      <c r="H400" s="10" t="n">
        <v>1727</v>
      </c>
      <c r="I400" s="10" t="n">
        <v>0</v>
      </c>
      <c r="J400" s="10" t="n">
        <v>0</v>
      </c>
      <c r="K400" s="10" t="s">
        <v>20</v>
      </c>
      <c r="L400" s="11" t="n">
        <v>39375.5249768519</v>
      </c>
      <c r="M400" s="12" t="s">
        <v>1153</v>
      </c>
      <c r="N400" s="12" t="s">
        <v>1154</v>
      </c>
      <c r="O400" s="9" t="str">
        <f aca="false">HYPERLINK("https://pbs.twimg.com/profile_images/840685455729446912/M8OlVjm3_normal.jpg","View")</f>
        <v>View</v>
      </c>
      <c r="P400" s="10"/>
    </row>
    <row r="401" customFormat="false" ht="15.75" hidden="false" customHeight="false" outlineLevel="0" collapsed="false">
      <c r="A401" s="6" t="n">
        <v>43028.1201157407</v>
      </c>
      <c r="B401" s="7" t="str">
        <f aca="false">HYPERLINK("https://twitter.com/jmhamiltonblog","@jmhamiltonblog")</f>
        <v>@jmhamiltonblog</v>
      </c>
      <c r="C401" s="8" t="s">
        <v>1155</v>
      </c>
      <c r="D401" s="8" t="s">
        <v>866</v>
      </c>
      <c r="E401" s="9" t="str">
        <f aca="false">HYPERLINK("https://twitter.com/jmhamiltonblog/status/921313282136444929","921313282136444929")</f>
        <v>921313282136444929</v>
      </c>
      <c r="F401" s="10" t="s">
        <v>39</v>
      </c>
      <c r="G401" s="10" t="n">
        <v>5960</v>
      </c>
      <c r="H401" s="10" t="n">
        <v>5484</v>
      </c>
      <c r="I401" s="10" t="n">
        <v>2</v>
      </c>
      <c r="J401" s="10" t="n">
        <v>0</v>
      </c>
      <c r="K401" s="10" t="s">
        <v>20</v>
      </c>
      <c r="L401" s="11" t="n">
        <v>40565.4844675926</v>
      </c>
      <c r="M401" s="12" t="s">
        <v>1156</v>
      </c>
      <c r="N401" s="12" t="s">
        <v>1157</v>
      </c>
      <c r="O401" s="9" t="str">
        <f aca="false">HYPERLINK("https://pbs.twimg.com/profile_images/1261161568/Camera_Phone_009_normal.jpg","View")</f>
        <v>View</v>
      </c>
      <c r="P401" s="10"/>
    </row>
    <row r="402" customFormat="false" ht="15.75" hidden="false" customHeight="false" outlineLevel="0" collapsed="false">
      <c r="A402" s="6" t="n">
        <v>43028.1218402778</v>
      </c>
      <c r="B402" s="7" t="str">
        <f aca="false">HYPERLINK("https://twitter.com/CharlieCamp6ell","@CharlieCamp6ell")</f>
        <v>@CharlieCamp6ell</v>
      </c>
      <c r="C402" s="8" t="s">
        <v>1158</v>
      </c>
      <c r="D402" s="8" t="s">
        <v>1159</v>
      </c>
      <c r="E402" s="9" t="str">
        <f aca="false">HYPERLINK("https://twitter.com/CharlieCamp6ell/status/921313906781437952","921313906781437952")</f>
        <v>921313906781437952</v>
      </c>
      <c r="F402" s="10" t="s">
        <v>39</v>
      </c>
      <c r="G402" s="10" t="n">
        <v>2939</v>
      </c>
      <c r="H402" s="10" t="n">
        <v>650</v>
      </c>
      <c r="I402" s="10" t="n">
        <v>0</v>
      </c>
      <c r="J402" s="10" t="n">
        <v>0</v>
      </c>
      <c r="K402" s="10" t="s">
        <v>20</v>
      </c>
      <c r="L402" s="11" t="n">
        <v>41250.0352893519</v>
      </c>
      <c r="M402" s="12" t="s">
        <v>1160</v>
      </c>
      <c r="N402" s="12" t="s">
        <v>1161</v>
      </c>
      <c r="O402" s="9" t="str">
        <f aca="false">HYPERLINK("https://pbs.twimg.com/profile_images/473840190037848065/7QITZR_o_normal.jpeg","View")</f>
        <v>View</v>
      </c>
      <c r="P402" s="10"/>
    </row>
    <row r="403" customFormat="false" ht="15.75" hidden="false" customHeight="false" outlineLevel="0" collapsed="false">
      <c r="A403" s="6" t="n">
        <v>43028.1235416667</v>
      </c>
      <c r="B403" s="7" t="str">
        <f aca="false">HYPERLINK("https://twitter.com/Ginkoposts","@Ginkoposts")</f>
        <v>@Ginkoposts</v>
      </c>
      <c r="C403" s="14" t="s">
        <v>1162</v>
      </c>
      <c r="D403" s="8" t="s">
        <v>705</v>
      </c>
      <c r="E403" s="9" t="str">
        <f aca="false">HYPERLINK("https://twitter.com/Ginkoposts/status/921314525806284801","921314525806284801")</f>
        <v>921314525806284801</v>
      </c>
      <c r="F403" s="10" t="s">
        <v>39</v>
      </c>
      <c r="G403" s="10" t="n">
        <v>24503</v>
      </c>
      <c r="H403" s="10" t="n">
        <v>0</v>
      </c>
      <c r="I403" s="10" t="n">
        <v>60</v>
      </c>
      <c r="J403" s="10" t="n">
        <v>0</v>
      </c>
      <c r="K403" s="10" t="s">
        <v>20</v>
      </c>
      <c r="L403" s="11" t="n">
        <v>41627.331087963</v>
      </c>
      <c r="M403" s="12" t="s">
        <v>1163</v>
      </c>
      <c r="N403" s="12" t="s">
        <v>1164</v>
      </c>
      <c r="O403" s="9" t="str">
        <f aca="false">HYPERLINK("https://pbs.twimg.com/profile_images/922794726465720321/9TYXlbyU_normal.jpg","View")</f>
        <v>View</v>
      </c>
      <c r="P403" s="10"/>
    </row>
    <row r="404" customFormat="false" ht="15.75" hidden="false" customHeight="false" outlineLevel="0" collapsed="false">
      <c r="A404" s="6" t="n">
        <v>43028.1250115741</v>
      </c>
      <c r="B404" s="7" t="str">
        <f aca="false">HYPERLINK("https://twitter.com/ABbritabroad","@ABbritabroad")</f>
        <v>@ABbritabroad</v>
      </c>
      <c r="C404" s="8" t="s">
        <v>1165</v>
      </c>
      <c r="D404" s="8" t="s">
        <v>1166</v>
      </c>
      <c r="E404" s="9" t="str">
        <f aca="false">HYPERLINK("https://twitter.com/ABbritabroad/status/921315057237217280","921315057237217280")</f>
        <v>921315057237217280</v>
      </c>
      <c r="F404" s="10" t="s">
        <v>1167</v>
      </c>
      <c r="G404" s="10" t="n">
        <v>1138</v>
      </c>
      <c r="H404" s="10" t="n">
        <v>1097</v>
      </c>
      <c r="I404" s="10" t="n">
        <v>0</v>
      </c>
      <c r="J404" s="10" t="n">
        <v>0</v>
      </c>
      <c r="K404" s="10" t="s">
        <v>20</v>
      </c>
      <c r="L404" s="11" t="n">
        <v>39950.1225925926</v>
      </c>
      <c r="M404" s="12" t="s">
        <v>1168</v>
      </c>
      <c r="N404" s="12" t="s">
        <v>1169</v>
      </c>
      <c r="O404" s="9" t="str">
        <f aca="false">HYPERLINK("https://pbs.twimg.com/profile_images/845277996772741120/fqHf4mVQ_normal.jpg","View")</f>
        <v>View</v>
      </c>
      <c r="P404" s="10"/>
    </row>
    <row r="405" customFormat="false" ht="15.75" hidden="false" customHeight="false" outlineLevel="0" collapsed="false">
      <c r="A405" s="6" t="n">
        <v>43028.1251041667</v>
      </c>
      <c r="B405" s="7" t="str">
        <f aca="false">HYPERLINK("https://twitter.com/LuisBenguerel","@LuisBenguerel")</f>
        <v>@LuisBenguerel</v>
      </c>
      <c r="C405" s="8" t="s">
        <v>1170</v>
      </c>
      <c r="D405" s="8" t="s">
        <v>1171</v>
      </c>
      <c r="E405" s="9" t="str">
        <f aca="false">HYPERLINK("https://twitter.com/LuisBenguerel/status/921315091659853825","921315091659853825")</f>
        <v>921315091659853825</v>
      </c>
      <c r="F405" s="10" t="s">
        <v>39</v>
      </c>
      <c r="G405" s="10" t="n">
        <v>9291</v>
      </c>
      <c r="H405" s="10" t="n">
        <v>919</v>
      </c>
      <c r="I405" s="10" t="n">
        <v>0</v>
      </c>
      <c r="J405" s="10" t="n">
        <v>0</v>
      </c>
      <c r="K405" s="10" t="s">
        <v>20</v>
      </c>
      <c r="L405" s="11" t="n">
        <v>40382.1462847222</v>
      </c>
      <c r="M405" s="12" t="s">
        <v>1172</v>
      </c>
      <c r="N405" s="12" t="s">
        <v>1173</v>
      </c>
      <c r="O405" s="9" t="str">
        <f aca="false">HYPERLINK("https://pbs.twimg.com/profile_images/817308566893760512/X1HiVEKI_normal.jpg","View")</f>
        <v>View</v>
      </c>
      <c r="P405" s="10"/>
    </row>
    <row r="406" customFormat="false" ht="15.75" hidden="false" customHeight="false" outlineLevel="0" collapsed="false">
      <c r="A406" s="6" t="n">
        <v>43028.1295717593</v>
      </c>
      <c r="B406" s="7" t="str">
        <f aca="false">HYPERLINK("https://twitter.com/Jannie_Kayla","@Jannie_Kayla")</f>
        <v>@Jannie_Kayla</v>
      </c>
      <c r="C406" s="8" t="s">
        <v>1174</v>
      </c>
      <c r="D406" s="8" t="s">
        <v>1016</v>
      </c>
      <c r="E406" s="9" t="str">
        <f aca="false">HYPERLINK("https://twitter.com/Jannie_Kayla/status/921316709000269824","921316709000269824")</f>
        <v>921316709000269824</v>
      </c>
      <c r="F406" s="10" t="s">
        <v>563</v>
      </c>
      <c r="G406" s="10" t="n">
        <v>716</v>
      </c>
      <c r="H406" s="10" t="n">
        <v>1065</v>
      </c>
      <c r="I406" s="10" t="n">
        <v>34</v>
      </c>
      <c r="J406" s="10" t="n">
        <v>0</v>
      </c>
      <c r="K406" s="10" t="s">
        <v>20</v>
      </c>
      <c r="L406" s="11" t="n">
        <v>41955.5547569444</v>
      </c>
      <c r="M406" s="12" t="s">
        <v>502</v>
      </c>
      <c r="N406" s="12" t="s">
        <v>1175</v>
      </c>
      <c r="O406" s="9" t="str">
        <f aca="false">HYPERLINK("https://pbs.twimg.com/profile_images/532815686926495746/C67yFSnh_normal.jpeg","View")</f>
        <v>View</v>
      </c>
      <c r="P406" s="10"/>
    </row>
    <row r="407" customFormat="false" ht="15.75" hidden="false" customHeight="false" outlineLevel="0" collapsed="false">
      <c r="A407" s="6" t="n">
        <v>43028.1390740741</v>
      </c>
      <c r="B407" s="7" t="str">
        <f aca="false">HYPERLINK("https://twitter.com/culture_japan","@culture_japan")</f>
        <v>@culture_japan</v>
      </c>
      <c r="C407" s="8" t="s">
        <v>99</v>
      </c>
      <c r="D407" s="8" t="s">
        <v>1176</v>
      </c>
      <c r="E407" s="9" t="str">
        <f aca="false">HYPERLINK("https://twitter.com/culture_japan/status/921320152175726592","921320152175726592")</f>
        <v>921320152175726592</v>
      </c>
      <c r="F407" s="10" t="s">
        <v>101</v>
      </c>
      <c r="G407" s="10" t="n">
        <v>214</v>
      </c>
      <c r="H407" s="10" t="n">
        <v>368</v>
      </c>
      <c r="I407" s="10" t="n">
        <v>0</v>
      </c>
      <c r="J407" s="10" t="n">
        <v>0</v>
      </c>
      <c r="K407" s="10" t="s">
        <v>20</v>
      </c>
      <c r="L407" s="11" t="n">
        <v>42985.2149189815</v>
      </c>
      <c r="M407" s="12" t="s">
        <v>102</v>
      </c>
      <c r="N407" s="12" t="s">
        <v>103</v>
      </c>
      <c r="O407" s="9" t="str">
        <f aca="false">HYPERLINK("https://pbs.twimg.com/profile_images/905765841622495233/8kPmmi5H_normal.jpg","View")</f>
        <v>View</v>
      </c>
      <c r="P407" s="10"/>
    </row>
    <row r="408" customFormat="false" ht="15.75" hidden="false" customHeight="false" outlineLevel="0" collapsed="false">
      <c r="A408" s="6" t="n">
        <v>43028.1411805556</v>
      </c>
      <c r="B408" s="7" t="str">
        <f aca="false">HYPERLINK("https://twitter.com/newssummeduphq","@newssummeduphq")</f>
        <v>@newssummeduphq</v>
      </c>
      <c r="C408" s="8" t="s">
        <v>1177</v>
      </c>
      <c r="D408" s="8" t="s">
        <v>1178</v>
      </c>
      <c r="E408" s="9" t="str">
        <f aca="false">HYPERLINK("https://twitter.com/newssummeduphq/status/921320916025409536","921320916025409536")</f>
        <v>921320916025409536</v>
      </c>
      <c r="F408" s="10" t="s">
        <v>1179</v>
      </c>
      <c r="G408" s="10" t="n">
        <v>432</v>
      </c>
      <c r="H408" s="10" t="n">
        <v>1175</v>
      </c>
      <c r="I408" s="10" t="n">
        <v>0</v>
      </c>
      <c r="J408" s="10" t="n">
        <v>0</v>
      </c>
      <c r="K408" s="10" t="s">
        <v>20</v>
      </c>
      <c r="L408" s="11" t="n">
        <v>42504.2012037037</v>
      </c>
      <c r="M408" s="12" t="s">
        <v>588</v>
      </c>
      <c r="N408" s="12" t="s">
        <v>1180</v>
      </c>
      <c r="O408" s="9" t="str">
        <f aca="false">HYPERLINK("https://pbs.twimg.com/profile_images/731455561695264770/Oj_92lRJ_normal.jpg","View")</f>
        <v>View</v>
      </c>
      <c r="P408" s="10"/>
    </row>
    <row r="409" customFormat="false" ht="15.75" hidden="false" customHeight="false" outlineLevel="0" collapsed="false">
      <c r="A409" s="6" t="n">
        <v>43028.1434375</v>
      </c>
      <c r="B409" s="7" t="str">
        <f aca="false">HYPERLINK("https://twitter.com/Lawsonbulk","@Lawsonbulk")</f>
        <v>@Lawsonbulk</v>
      </c>
      <c r="C409" s="8" t="s">
        <v>1181</v>
      </c>
      <c r="D409" s="8" t="s">
        <v>1182</v>
      </c>
      <c r="E409" s="9" t="str">
        <f aca="false">HYPERLINK("https://twitter.com/Lawsonbulk/status/921321735785517058","921321735785517058")</f>
        <v>921321735785517058</v>
      </c>
      <c r="F409" s="10" t="s">
        <v>39</v>
      </c>
      <c r="G409" s="10" t="n">
        <v>11661</v>
      </c>
      <c r="H409" s="10" t="n">
        <v>8130</v>
      </c>
      <c r="I409" s="10" t="n">
        <v>1</v>
      </c>
      <c r="J409" s="10" t="n">
        <v>0</v>
      </c>
      <c r="K409" s="10" t="s">
        <v>20</v>
      </c>
      <c r="L409" s="11" t="n">
        <v>39892.7152199074</v>
      </c>
      <c r="M409" s="12" t="s">
        <v>1183</v>
      </c>
      <c r="N409" s="12" t="s">
        <v>1184</v>
      </c>
      <c r="O409" s="9" t="str">
        <f aca="false">HYPERLINK("https://pbs.twimg.com/profile_images/1165717176/e2fd589b-9cda-4f29-a669-e97f5283d76d_normal.jpg","View")</f>
        <v>View</v>
      </c>
      <c r="P409" s="10"/>
    </row>
    <row r="410" customFormat="false" ht="15.75" hidden="false" customHeight="false" outlineLevel="0" collapsed="false">
      <c r="A410" s="6" t="n">
        <v>43028.1442592593</v>
      </c>
      <c r="B410" s="7" t="str">
        <f aca="false">HYPERLINK("https://twitter.com/Jane_WI","@Jane_WI")</f>
        <v>@Jane_WI</v>
      </c>
      <c r="C410" s="8" t="s">
        <v>1185</v>
      </c>
      <c r="D410" s="8" t="s">
        <v>1186</v>
      </c>
      <c r="E410" s="9" t="str">
        <f aca="false">HYPERLINK("https://twitter.com/Jane_WI/status/921322032402444288","921322032402444288")</f>
        <v>921322032402444288</v>
      </c>
      <c r="F410" s="10" t="s">
        <v>39</v>
      </c>
      <c r="G410" s="10" t="n">
        <v>4088</v>
      </c>
      <c r="H410" s="10" t="n">
        <v>3806</v>
      </c>
      <c r="I410" s="10" t="n">
        <v>1</v>
      </c>
      <c r="J410" s="10" t="n">
        <v>0</v>
      </c>
      <c r="K410" s="10" t="s">
        <v>20</v>
      </c>
      <c r="L410" s="11" t="n">
        <v>40617.4160532407</v>
      </c>
      <c r="M410" s="12" t="s">
        <v>1187</v>
      </c>
      <c r="N410" s="12" t="s">
        <v>1188</v>
      </c>
      <c r="O410" s="9" t="str">
        <f aca="false">HYPERLINK("https://pbs.twimg.com/profile_images/1362304523/0516111140_normal.jpg","View")</f>
        <v>View</v>
      </c>
      <c r="P410" s="10"/>
    </row>
    <row r="411" customFormat="false" ht="15.75" hidden="false" customHeight="false" outlineLevel="0" collapsed="false">
      <c r="A411" s="6" t="n">
        <v>43028.145162037</v>
      </c>
      <c r="B411" s="7" t="str">
        <f aca="false">HYPERLINK("https://twitter.com/superayucool","@superayucool")</f>
        <v>@superayucool</v>
      </c>
      <c r="C411" s="14" t="s">
        <v>1189</v>
      </c>
      <c r="D411" s="8" t="s">
        <v>1016</v>
      </c>
      <c r="E411" s="9" t="str">
        <f aca="false">HYPERLINK("https://twitter.com/superayucool/status/921322358337445888","921322358337445888")</f>
        <v>921322358337445888</v>
      </c>
      <c r="F411" s="10" t="s">
        <v>25</v>
      </c>
      <c r="G411" s="10" t="n">
        <v>191</v>
      </c>
      <c r="H411" s="10" t="n">
        <v>237</v>
      </c>
      <c r="I411" s="10" t="n">
        <v>34</v>
      </c>
      <c r="J411" s="10" t="n">
        <v>0</v>
      </c>
      <c r="K411" s="10" t="s">
        <v>20</v>
      </c>
      <c r="L411" s="11" t="n">
        <v>41463.3080902778</v>
      </c>
      <c r="M411" s="13" t="s">
        <v>1190</v>
      </c>
      <c r="N411" s="12" t="s">
        <v>1191</v>
      </c>
      <c r="O411" s="9" t="str">
        <f aca="false">HYPERLINK("https://pbs.twimg.com/profile_images/875562497750712320/V92X9nlj_normal.jpg","View")</f>
        <v>View</v>
      </c>
      <c r="P411" s="10"/>
    </row>
    <row r="412" customFormat="false" ht="15.75" hidden="false" customHeight="false" outlineLevel="0" collapsed="false">
      <c r="A412" s="6" t="n">
        <v>43028.1555324074</v>
      </c>
      <c r="B412" s="7" t="str">
        <f aca="false">HYPERLINK("https://twitter.com/RNEPLUS","@RNEPLUS")</f>
        <v>@RNEPLUS</v>
      </c>
      <c r="C412" s="8" t="s">
        <v>1192</v>
      </c>
      <c r="D412" s="8" t="s">
        <v>1193</v>
      </c>
      <c r="E412" s="9" t="str">
        <f aca="false">HYPERLINK("https://twitter.com/RNEPLUS/status/921326116194914304","921326116194914304")</f>
        <v>921326116194914304</v>
      </c>
      <c r="F412" s="10" t="s">
        <v>1194</v>
      </c>
      <c r="G412" s="10" t="n">
        <v>556</v>
      </c>
      <c r="H412" s="10" t="n">
        <v>1260</v>
      </c>
      <c r="I412" s="10" t="n">
        <v>0</v>
      </c>
      <c r="J412" s="10" t="n">
        <v>0</v>
      </c>
      <c r="K412" s="10" t="s">
        <v>20</v>
      </c>
      <c r="L412" s="11" t="n">
        <v>40846.4458564815</v>
      </c>
      <c r="M412" s="12" t="s">
        <v>1195</v>
      </c>
      <c r="N412" s="12" t="s">
        <v>1196</v>
      </c>
      <c r="O412" s="9" t="str">
        <f aca="false">HYPERLINK("https://pbs.twimg.com/profile_images/3765661478/d6b40f4dfa8203532cd6312a104ed8a6_normal.jpeg","View")</f>
        <v>View</v>
      </c>
      <c r="P412" s="10"/>
    </row>
    <row r="413" customFormat="false" ht="15.75" hidden="false" customHeight="false" outlineLevel="0" collapsed="false">
      <c r="A413" s="6" t="n">
        <v>43028.1568865741</v>
      </c>
      <c r="B413" s="7" t="str">
        <f aca="false">HYPERLINK("https://twitter.com/IanHanke","@IanHanke")</f>
        <v>@IanHanke</v>
      </c>
      <c r="C413" s="8" t="s">
        <v>1197</v>
      </c>
      <c r="D413" s="8" t="s">
        <v>1198</v>
      </c>
      <c r="E413" s="9" t="str">
        <f aca="false">HYPERLINK("https://twitter.com/IanHanke/status/921326608362831873","921326608362831873")</f>
        <v>921326608362831873</v>
      </c>
      <c r="F413" s="10" t="s">
        <v>98</v>
      </c>
      <c r="G413" s="10" t="n">
        <v>1646</v>
      </c>
      <c r="H413" s="10" t="n">
        <v>512</v>
      </c>
      <c r="I413" s="10" t="n">
        <v>1</v>
      </c>
      <c r="J413" s="10" t="n">
        <v>0</v>
      </c>
      <c r="K413" s="10" t="s">
        <v>20</v>
      </c>
      <c r="L413" s="11" t="n">
        <v>39958.9551273148</v>
      </c>
      <c r="M413" s="12" t="s">
        <v>1199</v>
      </c>
      <c r="N413" s="12" t="s">
        <v>1200</v>
      </c>
      <c r="O413" s="9" t="str">
        <f aca="false">HYPERLINK("https://pbs.twimg.com/profile_images/872642853394030592/sSFvxo5r_normal.jpg","View")</f>
        <v>View</v>
      </c>
      <c r="P413" s="10"/>
    </row>
    <row r="414" customFormat="false" ht="15.75" hidden="false" customHeight="false" outlineLevel="0" collapsed="false">
      <c r="A414" s="6" t="n">
        <v>43028.185787037</v>
      </c>
      <c r="B414" s="7" t="str">
        <f aca="false">HYPERLINK("https://twitter.com/sureshmenon27","@sureshmenon27")</f>
        <v>@sureshmenon27</v>
      </c>
      <c r="C414" s="8" t="s">
        <v>1201</v>
      </c>
      <c r="D414" s="8" t="s">
        <v>705</v>
      </c>
      <c r="E414" s="9" t="str">
        <f aca="false">HYPERLINK("https://twitter.com/sureshmenon27/status/921337080394977281","921337080394977281")</f>
        <v>921337080394977281</v>
      </c>
      <c r="F414" s="10" t="s">
        <v>25</v>
      </c>
      <c r="G414" s="10" t="n">
        <v>62</v>
      </c>
      <c r="H414" s="10" t="n">
        <v>116</v>
      </c>
      <c r="I414" s="10" t="n">
        <v>60</v>
      </c>
      <c r="J414" s="10" t="n">
        <v>0</v>
      </c>
      <c r="K414" s="10" t="s">
        <v>20</v>
      </c>
      <c r="L414" s="11" t="n">
        <v>42158.2379861111</v>
      </c>
      <c r="M414" s="12" t="s">
        <v>1202</v>
      </c>
      <c r="N414" s="12"/>
      <c r="O414" s="9" t="str">
        <f aca="false">HYPERLINK("https://pbs.twimg.com/profile_images/921747123632209920/tF8zQlw6_normal.jpg","View")</f>
        <v>View</v>
      </c>
      <c r="P414" s="10"/>
    </row>
    <row r="415" customFormat="false" ht="15.75" hidden="false" customHeight="false" outlineLevel="0" collapsed="false">
      <c r="A415" s="6" t="n">
        <v>43028.1871643519</v>
      </c>
      <c r="B415" s="7" t="str">
        <f aca="false">HYPERLINK("https://twitter.com/pelias01","@pelias01")</f>
        <v>@pelias01</v>
      </c>
      <c r="C415" s="8" t="s">
        <v>1203</v>
      </c>
      <c r="D415" s="8" t="s">
        <v>1204</v>
      </c>
      <c r="E415" s="9" t="str">
        <f aca="false">HYPERLINK("https://twitter.com/pelias01/status/921337579122974720","921337579122974720")</f>
        <v>921337579122974720</v>
      </c>
      <c r="F415" s="10" t="s">
        <v>39</v>
      </c>
      <c r="G415" s="10" t="n">
        <v>3304</v>
      </c>
      <c r="H415" s="10" t="n">
        <v>980</v>
      </c>
      <c r="I415" s="10" t="n">
        <v>0</v>
      </c>
      <c r="J415" s="10" t="n">
        <v>0</v>
      </c>
      <c r="K415" s="10" t="s">
        <v>20</v>
      </c>
      <c r="L415" s="11" t="n">
        <v>40716.3519675926</v>
      </c>
      <c r="M415" s="12" t="s">
        <v>1205</v>
      </c>
      <c r="N415" s="12" t="s">
        <v>1206</v>
      </c>
      <c r="O415" s="9" t="str">
        <f aca="false">HYPERLINK("https://pbs.twimg.com/profile_images/1408052895/ale_normal.png","View")</f>
        <v>View</v>
      </c>
      <c r="P415" s="10"/>
    </row>
    <row r="416" customFormat="false" ht="15.75" hidden="false" customHeight="false" outlineLevel="0" collapsed="false">
      <c r="A416" s="6" t="n">
        <v>43028.1940046296</v>
      </c>
      <c r="B416" s="7" t="str">
        <f aca="false">HYPERLINK("https://twitter.com/harris_erman","@harris_erman")</f>
        <v>@harris_erman</v>
      </c>
      <c r="C416" s="8" t="s">
        <v>1207</v>
      </c>
      <c r="D416" s="8" t="s">
        <v>1208</v>
      </c>
      <c r="E416" s="9" t="str">
        <f aca="false">HYPERLINK("https://twitter.com/harris_erman/status/921340057700536321","921340057700536321")</f>
        <v>921340057700536321</v>
      </c>
      <c r="F416" s="10" t="s">
        <v>25</v>
      </c>
      <c r="G416" s="10" t="n">
        <v>3413</v>
      </c>
      <c r="H416" s="10" t="n">
        <v>3075</v>
      </c>
      <c r="I416" s="10" t="n">
        <v>0</v>
      </c>
      <c r="J416" s="10" t="n">
        <v>0</v>
      </c>
      <c r="K416" s="10" t="s">
        <v>20</v>
      </c>
      <c r="L416" s="11" t="n">
        <v>41838.3312152778</v>
      </c>
      <c r="M416" s="12" t="s">
        <v>1209</v>
      </c>
      <c r="N416" s="12" t="s">
        <v>1210</v>
      </c>
      <c r="O416" s="9" t="str">
        <f aca="false">HYPERLINK("https://pbs.twimg.com/profile_images/918070430522515456/cJloB1zI_normal.jpg","View")</f>
        <v>View</v>
      </c>
      <c r="P416" s="10"/>
    </row>
    <row r="417" customFormat="false" ht="15.75" hidden="false" customHeight="false" outlineLevel="0" collapsed="false">
      <c r="A417" s="6" t="n">
        <v>43028.1961689815</v>
      </c>
      <c r="B417" s="7" t="str">
        <f aca="false">HYPERLINK("https://twitter.com/UglyThailandia","@UglyThailandia")</f>
        <v>@UglyThailandia</v>
      </c>
      <c r="C417" s="8" t="s">
        <v>1211</v>
      </c>
      <c r="D417" s="8" t="s">
        <v>647</v>
      </c>
      <c r="E417" s="9" t="str">
        <f aca="false">HYPERLINK("https://twitter.com/UglyThailandia/status/921340843855822848","921340843855822848")</f>
        <v>921340843855822848</v>
      </c>
      <c r="F417" s="10" t="s">
        <v>51</v>
      </c>
      <c r="G417" s="10" t="n">
        <v>76</v>
      </c>
      <c r="H417" s="10" t="n">
        <v>108</v>
      </c>
      <c r="I417" s="10" t="n">
        <v>9</v>
      </c>
      <c r="J417" s="10" t="n">
        <v>0</v>
      </c>
      <c r="K417" s="10" t="s">
        <v>20</v>
      </c>
      <c r="L417" s="11" t="n">
        <v>41784.1400810185</v>
      </c>
      <c r="M417" s="12"/>
      <c r="N417" s="12"/>
      <c r="O417" s="9" t="str">
        <f aca="false">HYPERLINK("https://pbs.twimg.com/profile_images/846373523958382592/-PbZQS8S_normal.jpg","View")</f>
        <v>View</v>
      </c>
      <c r="P417" s="10"/>
    </row>
    <row r="418" customFormat="false" ht="15.75" hidden="false" customHeight="false" outlineLevel="0" collapsed="false">
      <c r="A418" s="6" t="n">
        <v>43028.1965162037</v>
      </c>
      <c r="B418" s="7" t="str">
        <f aca="false">HYPERLINK("https://twitter.com/Zolazrai","@Zolazrai")</f>
        <v>@Zolazrai</v>
      </c>
      <c r="C418" s="8" t="s">
        <v>1212</v>
      </c>
      <c r="D418" s="8" t="s">
        <v>1016</v>
      </c>
      <c r="E418" s="9" t="str">
        <f aca="false">HYPERLINK("https://twitter.com/Zolazrai/status/921340969080860673","921340969080860673")</f>
        <v>921340969080860673</v>
      </c>
      <c r="F418" s="10" t="s">
        <v>51</v>
      </c>
      <c r="G418" s="10" t="n">
        <v>615</v>
      </c>
      <c r="H418" s="10" t="n">
        <v>563</v>
      </c>
      <c r="I418" s="10" t="n">
        <v>34</v>
      </c>
      <c r="J418" s="10" t="n">
        <v>0</v>
      </c>
      <c r="K418" s="10" t="s">
        <v>20</v>
      </c>
      <c r="L418" s="11" t="n">
        <v>40565.0049652778</v>
      </c>
      <c r="M418" s="12" t="s">
        <v>1213</v>
      </c>
      <c r="N418" s="12" t="s">
        <v>1214</v>
      </c>
      <c r="O418" s="9" t="str">
        <f aca="false">HYPERLINK("https://pbs.twimg.com/profile_images/846614955893768192/fXrpe5oC_normal.jpg","View")</f>
        <v>View</v>
      </c>
      <c r="P418" s="10"/>
    </row>
    <row r="419" customFormat="false" ht="15.75" hidden="false" customHeight="false" outlineLevel="0" collapsed="false">
      <c r="A419" s="6" t="n">
        <v>43028.1993865741</v>
      </c>
      <c r="B419" s="7" t="str">
        <f aca="false">HYPERLINK("https://twitter.com/jimkube","@jimkube")</f>
        <v>@jimkube</v>
      </c>
      <c r="C419" s="8" t="s">
        <v>1215</v>
      </c>
      <c r="D419" s="8" t="s">
        <v>705</v>
      </c>
      <c r="E419" s="9" t="str">
        <f aca="false">HYPERLINK("https://twitter.com/jimkube/status/921342011533352960","921342011533352960")</f>
        <v>921342011533352960</v>
      </c>
      <c r="F419" s="10" t="s">
        <v>51</v>
      </c>
      <c r="G419" s="10" t="n">
        <v>107</v>
      </c>
      <c r="H419" s="10" t="n">
        <v>95</v>
      </c>
      <c r="I419" s="10" t="n">
        <v>60</v>
      </c>
      <c r="J419" s="10" t="n">
        <v>0</v>
      </c>
      <c r="K419" s="10" t="s">
        <v>20</v>
      </c>
      <c r="L419" s="11" t="n">
        <v>40773.4977662037</v>
      </c>
      <c r="M419" s="12"/>
      <c r="N419" s="12"/>
      <c r="O419" s="9" t="str">
        <f aca="false">HYPERLINK("https://pbs.twimg.com/profile_images/3537717424/d16f8b2d73c94fed21d21b6152beceb1_normal.jpeg","View")</f>
        <v>View</v>
      </c>
      <c r="P419" s="10"/>
    </row>
    <row r="420" customFormat="false" ht="15.75" hidden="false" customHeight="false" outlineLevel="0" collapsed="false">
      <c r="A420" s="6" t="n">
        <v>43028.2047569444</v>
      </c>
      <c r="B420" s="7" t="str">
        <f aca="false">HYPERLINK("https://twitter.com/Real_Infinity95","@Real_Infinity95")</f>
        <v>@Real_Infinity95</v>
      </c>
      <c r="C420" s="8" t="s">
        <v>1216</v>
      </c>
      <c r="D420" s="8" t="s">
        <v>403</v>
      </c>
      <c r="E420" s="9" t="str">
        <f aca="false">HYPERLINK("https://twitter.com/Real_Infinity95/status/921343956390203392","921343956390203392")</f>
        <v>921343956390203392</v>
      </c>
      <c r="F420" s="10" t="s">
        <v>51</v>
      </c>
      <c r="G420" s="10" t="n">
        <v>1984</v>
      </c>
      <c r="H420" s="10" t="n">
        <v>2145</v>
      </c>
      <c r="I420" s="10" t="n">
        <v>36</v>
      </c>
      <c r="J420" s="10" t="n">
        <v>0</v>
      </c>
      <c r="K420" s="10" t="s">
        <v>20</v>
      </c>
      <c r="L420" s="11" t="n">
        <v>42467.7428356481</v>
      </c>
      <c r="M420" s="12" t="s">
        <v>1217</v>
      </c>
      <c r="N420" s="12" t="s">
        <v>1218</v>
      </c>
      <c r="O420" s="9" t="str">
        <f aca="false">HYPERLINK("https://pbs.twimg.com/profile_images/913895542165528582/D5_giAB-_normal.jpg","View")</f>
        <v>View</v>
      </c>
      <c r="P420" s="10"/>
    </row>
    <row r="421" customFormat="false" ht="15.75" hidden="false" customHeight="false" outlineLevel="0" collapsed="false">
      <c r="A421" s="6" t="n">
        <v>43028.2082638889</v>
      </c>
      <c r="B421" s="7" t="str">
        <f aca="false">HYPERLINK("https://twitter.com/Real_Infinity95","@Real_Infinity95")</f>
        <v>@Real_Infinity95</v>
      </c>
      <c r="C421" s="8" t="s">
        <v>1216</v>
      </c>
      <c r="D421" s="8" t="s">
        <v>360</v>
      </c>
      <c r="E421" s="9" t="str">
        <f aca="false">HYPERLINK("https://twitter.com/Real_Infinity95/status/921345227075579906","921345227075579906")</f>
        <v>921345227075579906</v>
      </c>
      <c r="F421" s="10" t="s">
        <v>51</v>
      </c>
      <c r="G421" s="10" t="n">
        <v>1984</v>
      </c>
      <c r="H421" s="10" t="n">
        <v>2145</v>
      </c>
      <c r="I421" s="10" t="n">
        <v>14</v>
      </c>
      <c r="J421" s="10" t="n">
        <v>0</v>
      </c>
      <c r="K421" s="10" t="s">
        <v>20</v>
      </c>
      <c r="L421" s="11" t="n">
        <v>42467.7428356481</v>
      </c>
      <c r="M421" s="12" t="s">
        <v>1217</v>
      </c>
      <c r="N421" s="12" t="s">
        <v>1218</v>
      </c>
      <c r="O421" s="9" t="str">
        <f aca="false">HYPERLINK("https://pbs.twimg.com/profile_images/913895542165528582/D5_giAB-_normal.jpg","View")</f>
        <v>View</v>
      </c>
      <c r="P421" s="10"/>
    </row>
    <row r="422" customFormat="false" ht="15.75" hidden="false" customHeight="false" outlineLevel="0" collapsed="false">
      <c r="A422" s="6" t="n">
        <v>43028.21</v>
      </c>
      <c r="B422" s="7" t="str">
        <f aca="false">HYPERLINK("https://twitter.com/rae_noelle","@rae_noelle")</f>
        <v>@rae_noelle</v>
      </c>
      <c r="C422" s="8" t="s">
        <v>1219</v>
      </c>
      <c r="D422" s="8" t="s">
        <v>705</v>
      </c>
      <c r="E422" s="9" t="str">
        <f aca="false">HYPERLINK("https://twitter.com/rae_noelle/status/921345854153416704","921345854153416704")</f>
        <v>921345854153416704</v>
      </c>
      <c r="F422" s="10" t="s">
        <v>25</v>
      </c>
      <c r="G422" s="10" t="n">
        <v>1066</v>
      </c>
      <c r="H422" s="10" t="n">
        <v>452</v>
      </c>
      <c r="I422" s="10" t="n">
        <v>60</v>
      </c>
      <c r="J422" s="10" t="n">
        <v>0</v>
      </c>
      <c r="K422" s="10" t="s">
        <v>20</v>
      </c>
      <c r="L422" s="11" t="n">
        <v>41334.6558449074</v>
      </c>
      <c r="M422" s="12"/>
      <c r="N422" s="12" t="s">
        <v>1220</v>
      </c>
      <c r="O422" s="9" t="str">
        <f aca="false">HYPERLINK("https://pbs.twimg.com/profile_images/916422879826382850/Q5GHWP1F_normal.jpg","View")</f>
        <v>View</v>
      </c>
      <c r="P422" s="10"/>
    </row>
    <row r="423" customFormat="false" ht="15.75" hidden="false" customHeight="false" outlineLevel="0" collapsed="false">
      <c r="A423" s="6" t="n">
        <v>43028.2102430556</v>
      </c>
      <c r="B423" s="7" t="str">
        <f aca="false">HYPERLINK("https://twitter.com/HomesSherlock","@HomesSherlock")</f>
        <v>@HomesSherlock</v>
      </c>
      <c r="C423" s="8" t="s">
        <v>1221</v>
      </c>
      <c r="D423" s="8" t="s">
        <v>1222</v>
      </c>
      <c r="E423" s="9" t="str">
        <f aca="false">HYPERLINK("https://twitter.com/HomesSherlock/status/921345943181467649","921345943181467649")</f>
        <v>921345943181467649</v>
      </c>
      <c r="F423" s="10" t="s">
        <v>39</v>
      </c>
      <c r="G423" s="10" t="n">
        <v>84</v>
      </c>
      <c r="H423" s="10" t="n">
        <v>98</v>
      </c>
      <c r="I423" s="10" t="n">
        <v>0</v>
      </c>
      <c r="J423" s="10" t="n">
        <v>0</v>
      </c>
      <c r="K423" s="10" t="s">
        <v>20</v>
      </c>
      <c r="L423" s="11" t="n">
        <v>40188.3791319444</v>
      </c>
      <c r="M423" s="12" t="s">
        <v>1223</v>
      </c>
      <c r="N423" s="12" t="s">
        <v>1224</v>
      </c>
      <c r="O423" s="9" t="str">
        <f aca="false">HYPERLINK("https://pbs.twimg.com/profile_images/855747771277524992/BH0v_rsI_normal.jpg","View")</f>
        <v>View</v>
      </c>
      <c r="P423" s="10"/>
    </row>
    <row r="424" customFormat="false" ht="15.75" hidden="false" customHeight="false" outlineLevel="0" collapsed="false">
      <c r="A424" s="6" t="n">
        <v>43028.2112615741</v>
      </c>
      <c r="B424" s="7" t="str">
        <f aca="false">HYPERLINK("https://twitter.com/abdoul_salaam","@abdoul_salaam")</f>
        <v>@abdoul_salaam</v>
      </c>
      <c r="C424" s="8" t="s">
        <v>1225</v>
      </c>
      <c r="D424" s="8" t="s">
        <v>705</v>
      </c>
      <c r="E424" s="9" t="str">
        <f aca="false">HYPERLINK("https://twitter.com/abdoul_salaam/status/921346313299681280","921346313299681280")</f>
        <v>921346313299681280</v>
      </c>
      <c r="F424" s="10" t="s">
        <v>25</v>
      </c>
      <c r="G424" s="10" t="n">
        <v>279</v>
      </c>
      <c r="H424" s="10" t="n">
        <v>542</v>
      </c>
      <c r="I424" s="10" t="n">
        <v>60</v>
      </c>
      <c r="J424" s="10" t="n">
        <v>0</v>
      </c>
      <c r="K424" s="10" t="s">
        <v>20</v>
      </c>
      <c r="L424" s="11" t="n">
        <v>40765.2802662037</v>
      </c>
      <c r="M424" s="12" t="s">
        <v>1226</v>
      </c>
      <c r="N424" s="12" t="s">
        <v>1227</v>
      </c>
      <c r="O424" s="9" t="str">
        <f aca="false">HYPERLINK("https://pbs.twimg.com/profile_images/428904247409651714/WtSgunRw_normal.jpeg","View")</f>
        <v>View</v>
      </c>
      <c r="P424" s="10"/>
    </row>
    <row r="425" customFormat="false" ht="15.75" hidden="false" customHeight="false" outlineLevel="0" collapsed="false">
      <c r="A425" s="6" t="n">
        <v>43028.2131365741</v>
      </c>
      <c r="B425" s="7" t="str">
        <f aca="false">HYPERLINK("https://twitter.com/ManchurianDevil","@ManchurianDevil")</f>
        <v>@ManchurianDevil</v>
      </c>
      <c r="C425" s="8" t="s">
        <v>1228</v>
      </c>
      <c r="D425" s="8" t="s">
        <v>1229</v>
      </c>
      <c r="E425" s="9" t="str">
        <f aca="false">HYPERLINK("https://twitter.com/ManchurianDevil/status/921346991069724672","921346991069724672")</f>
        <v>921346991069724672</v>
      </c>
      <c r="F425" s="10" t="s">
        <v>39</v>
      </c>
      <c r="G425" s="10" t="n">
        <v>2586</v>
      </c>
      <c r="H425" s="10" t="n">
        <v>4998</v>
      </c>
      <c r="I425" s="10" t="n">
        <v>0</v>
      </c>
      <c r="J425" s="10" t="n">
        <v>0</v>
      </c>
      <c r="K425" s="10" t="s">
        <v>20</v>
      </c>
      <c r="L425" s="11" t="n">
        <v>40204.0449421296</v>
      </c>
      <c r="M425" s="12" t="s">
        <v>1230</v>
      </c>
      <c r="N425" s="12" t="s">
        <v>1231</v>
      </c>
      <c r="O425" s="9" t="str">
        <f aca="false">HYPERLINK("https://pbs.twimg.com/profile_images/3322402956/160bd92477ce47a4db7da262e9b94cbf_normal.png","View")</f>
        <v>View</v>
      </c>
      <c r="P425" s="10"/>
    </row>
    <row r="426" customFormat="false" ht="15.75" hidden="false" customHeight="false" outlineLevel="0" collapsed="false">
      <c r="A426" s="6" t="n">
        <v>43028.2150578704</v>
      </c>
      <c r="B426" s="7" t="str">
        <f aca="false">HYPERLINK("https://twitter.com/all_newsonline1","@all_newsonline1")</f>
        <v>@all_newsonline1</v>
      </c>
      <c r="C426" s="8" t="s">
        <v>1232</v>
      </c>
      <c r="D426" s="8" t="s">
        <v>1233</v>
      </c>
      <c r="E426" s="9" t="str">
        <f aca="false">HYPERLINK("https://twitter.com/all_newsonline1/status/921347687747915776","921347687747915776")</f>
        <v>921347687747915776</v>
      </c>
      <c r="F426" s="10" t="s">
        <v>60</v>
      </c>
      <c r="G426" s="10" t="n">
        <v>888</v>
      </c>
      <c r="H426" s="10" t="n">
        <v>590</v>
      </c>
      <c r="I426" s="10" t="n">
        <v>0</v>
      </c>
      <c r="J426" s="10" t="n">
        <v>0</v>
      </c>
      <c r="K426" s="10" t="s">
        <v>20</v>
      </c>
      <c r="L426" s="11" t="n">
        <v>42724.3415740741</v>
      </c>
      <c r="M426" s="12"/>
      <c r="N426" s="12" t="s">
        <v>1234</v>
      </c>
      <c r="O426" s="9" t="str">
        <f aca="false">HYPERLINK("https://pbs.twimg.com/profile_images/811251050716004352/I8BfZXTc_normal.jpg","View")</f>
        <v>View</v>
      </c>
      <c r="P426" s="10"/>
    </row>
    <row r="427" customFormat="false" ht="15.75" hidden="false" customHeight="false" outlineLevel="0" collapsed="false">
      <c r="A427" s="6" t="n">
        <v>43028.2163657407</v>
      </c>
      <c r="B427" s="7" t="str">
        <f aca="false">HYPERLINK("https://twitter.com/Real_Infinity95","@Real_Infinity95")</f>
        <v>@Real_Infinity95</v>
      </c>
      <c r="C427" s="8" t="s">
        <v>1216</v>
      </c>
      <c r="D427" s="8" t="s">
        <v>1016</v>
      </c>
      <c r="E427" s="9" t="str">
        <f aca="false">HYPERLINK("https://twitter.com/Real_Infinity95/status/921348161746231296","921348161746231296")</f>
        <v>921348161746231296</v>
      </c>
      <c r="F427" s="10" t="s">
        <v>51</v>
      </c>
      <c r="G427" s="10" t="n">
        <v>1984</v>
      </c>
      <c r="H427" s="10" t="n">
        <v>2145</v>
      </c>
      <c r="I427" s="10" t="n">
        <v>34</v>
      </c>
      <c r="J427" s="10" t="n">
        <v>0</v>
      </c>
      <c r="K427" s="10" t="s">
        <v>20</v>
      </c>
      <c r="L427" s="11" t="n">
        <v>42467.7428356481</v>
      </c>
      <c r="M427" s="12" t="s">
        <v>1217</v>
      </c>
      <c r="N427" s="12" t="s">
        <v>1218</v>
      </c>
      <c r="O427" s="9" t="str">
        <f aca="false">HYPERLINK("https://pbs.twimg.com/profile_images/913895542165528582/D5_giAB-_normal.jpg","View")</f>
        <v>View</v>
      </c>
      <c r="P427" s="10"/>
    </row>
    <row r="428" customFormat="false" ht="15.75" hidden="false" customHeight="false" outlineLevel="0" collapsed="false">
      <c r="A428" s="6" t="n">
        <v>43028.2195949074</v>
      </c>
      <c r="B428" s="7" t="str">
        <f aca="false">HYPERLINK("https://twitter.com/asuka_250","@asuka_250")</f>
        <v>@asuka_250</v>
      </c>
      <c r="C428" s="8" t="s">
        <v>1235</v>
      </c>
      <c r="D428" s="8" t="s">
        <v>705</v>
      </c>
      <c r="E428" s="9" t="str">
        <f aca="false">HYPERLINK("https://twitter.com/asuka_250/status/921349332875460609","921349332875460609")</f>
        <v>921349332875460609</v>
      </c>
      <c r="F428" s="10" t="s">
        <v>39</v>
      </c>
      <c r="G428" s="10" t="n">
        <v>30709</v>
      </c>
      <c r="H428" s="10" t="n">
        <v>30516</v>
      </c>
      <c r="I428" s="10" t="n">
        <v>60</v>
      </c>
      <c r="J428" s="10" t="n">
        <v>0</v>
      </c>
      <c r="K428" s="10" t="s">
        <v>20</v>
      </c>
      <c r="L428" s="11" t="n">
        <v>41943.1724768519</v>
      </c>
      <c r="M428" s="12" t="s">
        <v>186</v>
      </c>
      <c r="N428" s="12" t="s">
        <v>1236</v>
      </c>
      <c r="O428" s="9" t="str">
        <f aca="false">HYPERLINK("https://pbs.twimg.com/profile_images/576284037486014464/dhYtI1qZ_normal.jpeg","View")</f>
        <v>View</v>
      </c>
      <c r="P428" s="10"/>
    </row>
    <row r="429" customFormat="false" ht="15.75" hidden="false" customHeight="false" outlineLevel="0" collapsed="false">
      <c r="A429" s="6" t="n">
        <v>43028.2197569444</v>
      </c>
      <c r="B429" s="7" t="str">
        <f aca="false">HYPERLINK("https://twitter.com/cephilippines","@cephilippines")</f>
        <v>@cephilippines</v>
      </c>
      <c r="C429" s="8" t="s">
        <v>1237</v>
      </c>
      <c r="D429" s="8" t="s">
        <v>1238</v>
      </c>
      <c r="E429" s="9" t="str">
        <f aca="false">HYPERLINK("https://twitter.com/cephilippines/status/921349391922769920","921349391922769920")</f>
        <v>921349391922769920</v>
      </c>
      <c r="F429" s="10" t="s">
        <v>39</v>
      </c>
      <c r="G429" s="10" t="n">
        <v>47</v>
      </c>
      <c r="H429" s="10" t="n">
        <v>108</v>
      </c>
      <c r="I429" s="10" t="n">
        <v>0</v>
      </c>
      <c r="J429" s="10" t="n">
        <v>1</v>
      </c>
      <c r="K429" s="10" t="s">
        <v>20</v>
      </c>
      <c r="L429" s="11" t="n">
        <v>40108.0387731482</v>
      </c>
      <c r="M429" s="12" t="s">
        <v>1239</v>
      </c>
      <c r="N429" s="12" t="s">
        <v>1240</v>
      </c>
      <c r="O429" s="9" t="str">
        <f aca="false">HYPERLINK("https://pbs.twimg.com/profile_images/417170165252366336/4SxMVzg1_normal.jpeg","View")</f>
        <v>View</v>
      </c>
      <c r="P429" s="10"/>
    </row>
    <row r="430" customFormat="false" ht="15.75" hidden="false" customHeight="false" outlineLevel="0" collapsed="false">
      <c r="A430" s="6" t="n">
        <v>43028.2304976852</v>
      </c>
      <c r="B430" s="7" t="str">
        <f aca="false">HYPERLINK("https://twitter.com/murayakariuki","@murayakariuki")</f>
        <v>@murayakariuki</v>
      </c>
      <c r="C430" s="8" t="s">
        <v>1241</v>
      </c>
      <c r="D430" s="8" t="s">
        <v>1242</v>
      </c>
      <c r="E430" s="9" t="str">
        <f aca="false">HYPERLINK("https://twitter.com/murayakariuki/status/921353285986148352","921353285986148352")</f>
        <v>921353285986148352</v>
      </c>
      <c r="F430" s="10" t="s">
        <v>39</v>
      </c>
      <c r="G430" s="10" t="n">
        <v>47277</v>
      </c>
      <c r="H430" s="10" t="n">
        <v>1608</v>
      </c>
      <c r="I430" s="10" t="n">
        <v>0</v>
      </c>
      <c r="J430" s="10" t="n">
        <v>0</v>
      </c>
      <c r="K430" s="10" t="s">
        <v>20</v>
      </c>
      <c r="L430" s="11" t="n">
        <v>40303.0466666667</v>
      </c>
      <c r="M430" s="12" t="s">
        <v>1243</v>
      </c>
      <c r="N430" s="12" t="s">
        <v>1244</v>
      </c>
      <c r="O430" s="9" t="str">
        <f aca="false">HYPERLINK("https://pbs.twimg.com/profile_images/424137700203966464/M36qQt1d_normal.jpeg","View")</f>
        <v>View</v>
      </c>
      <c r="P430" s="10"/>
    </row>
    <row r="431" customFormat="false" ht="15.75" hidden="false" customHeight="false" outlineLevel="0" collapsed="false">
      <c r="A431" s="6" t="n">
        <v>43028.2393634259</v>
      </c>
      <c r="B431" s="7" t="str">
        <f aca="false">HYPERLINK("https://twitter.com/DocDocrat","@DocDocrat")</f>
        <v>@DocDocrat</v>
      </c>
      <c r="C431" s="8" t="s">
        <v>1245</v>
      </c>
      <c r="D431" s="8" t="s">
        <v>1016</v>
      </c>
      <c r="E431" s="9" t="str">
        <f aca="false">HYPERLINK("https://twitter.com/DocDocrat/status/921356497287827458","921356497287827458")</f>
        <v>921356497287827458</v>
      </c>
      <c r="F431" s="10" t="s">
        <v>51</v>
      </c>
      <c r="G431" s="10" t="n">
        <v>309</v>
      </c>
      <c r="H431" s="10" t="n">
        <v>389</v>
      </c>
      <c r="I431" s="10" t="n">
        <v>34</v>
      </c>
      <c r="J431" s="10" t="n">
        <v>0</v>
      </c>
      <c r="K431" s="10" t="s">
        <v>20</v>
      </c>
      <c r="L431" s="11" t="n">
        <v>39756.9706365741</v>
      </c>
      <c r="M431" s="12" t="s">
        <v>1246</v>
      </c>
      <c r="N431" s="12" t="s">
        <v>1247</v>
      </c>
      <c r="O431" s="9" t="str">
        <f aca="false">HYPERLINK("https://pbs.twimg.com/profile_images/890467719174291456/NUc-pS73_normal.jpg","View")</f>
        <v>View</v>
      </c>
      <c r="P431" s="10"/>
    </row>
    <row r="432" customFormat="false" ht="15.75" hidden="false" customHeight="false" outlineLevel="0" collapsed="false">
      <c r="A432" s="6" t="n">
        <v>43028.2640625</v>
      </c>
      <c r="B432" s="7" t="str">
        <f aca="false">HYPERLINK("https://twitter.com/mattiaswac","@mattiaswac")</f>
        <v>@mattiaswac</v>
      </c>
      <c r="C432" s="8" t="s">
        <v>1248</v>
      </c>
      <c r="D432" s="8" t="s">
        <v>1249</v>
      </c>
      <c r="E432" s="9" t="str">
        <f aca="false">HYPERLINK("https://twitter.com/mattiaswac/status/921365445587931136","921365445587931136")</f>
        <v>921365445587931136</v>
      </c>
      <c r="F432" s="10" t="s">
        <v>1167</v>
      </c>
      <c r="G432" s="10" t="n">
        <v>2298</v>
      </c>
      <c r="H432" s="10" t="n">
        <v>4451</v>
      </c>
      <c r="I432" s="10" t="n">
        <v>0</v>
      </c>
      <c r="J432" s="10" t="n">
        <v>0</v>
      </c>
      <c r="K432" s="10" t="s">
        <v>20</v>
      </c>
      <c r="L432" s="11" t="n">
        <v>39180.2304050926</v>
      </c>
      <c r="M432" s="12" t="s">
        <v>1250</v>
      </c>
      <c r="N432" s="12" t="s">
        <v>1251</v>
      </c>
      <c r="O432" s="9" t="str">
        <f aca="false">HYPERLINK("https://pbs.twimg.com/profile_images/916727723615248385/grn_cTGH_normal.jpg","View")</f>
        <v>View</v>
      </c>
      <c r="P432" s="10"/>
    </row>
    <row r="433" customFormat="false" ht="15.75" hidden="false" customHeight="false" outlineLevel="0" collapsed="false">
      <c r="A433" s="6" t="n">
        <v>43028.2660763889</v>
      </c>
      <c r="B433" s="7" t="str">
        <f aca="false">HYPERLINK("https://twitter.com/chambalion18","@chambalion18")</f>
        <v>@chambalion18</v>
      </c>
      <c r="C433" s="8" t="s">
        <v>1252</v>
      </c>
      <c r="D433" s="8" t="s">
        <v>705</v>
      </c>
      <c r="E433" s="9" t="str">
        <f aca="false">HYPERLINK("https://twitter.com/chambalion18/status/921366178240614400","921366178240614400")</f>
        <v>921366178240614400</v>
      </c>
      <c r="F433" s="10" t="s">
        <v>25</v>
      </c>
      <c r="G433" s="10" t="n">
        <v>140</v>
      </c>
      <c r="H433" s="10" t="n">
        <v>349</v>
      </c>
      <c r="I433" s="10" t="n">
        <v>60</v>
      </c>
      <c r="J433" s="10" t="n">
        <v>0</v>
      </c>
      <c r="K433" s="10" t="s">
        <v>20</v>
      </c>
      <c r="L433" s="11" t="n">
        <v>41882.5609953704</v>
      </c>
      <c r="M433" s="12" t="s">
        <v>72</v>
      </c>
      <c r="N433" s="12"/>
      <c r="O433" s="9" t="str">
        <f aca="false">HYPERLINK("https://pbs.twimg.com/profile_images/618658190545195008/BrvmMKeA_normal.jpg","View")</f>
        <v>View</v>
      </c>
      <c r="P433" s="10"/>
    </row>
    <row r="434" customFormat="false" ht="15.75" hidden="false" customHeight="false" outlineLevel="0" collapsed="false">
      <c r="A434" s="6" t="n">
        <v>43028.2784143519</v>
      </c>
      <c r="B434" s="7" t="str">
        <f aca="false">HYPERLINK("https://twitter.com/TradersGlobal","@TradersGlobal")</f>
        <v>@TradersGlobal</v>
      </c>
      <c r="C434" s="8" t="s">
        <v>1253</v>
      </c>
      <c r="D434" s="8" t="s">
        <v>554</v>
      </c>
      <c r="E434" s="9" t="str">
        <f aca="false">HYPERLINK("https://twitter.com/TradersGlobal/status/921370647732764673","921370647732764673")</f>
        <v>921370647732764673</v>
      </c>
      <c r="F434" s="10" t="s">
        <v>51</v>
      </c>
      <c r="G434" s="10" t="n">
        <v>403</v>
      </c>
      <c r="H434" s="10" t="n">
        <v>1031</v>
      </c>
      <c r="I434" s="10" t="n">
        <v>14</v>
      </c>
      <c r="J434" s="10" t="n">
        <v>0</v>
      </c>
      <c r="K434" s="10" t="s">
        <v>20</v>
      </c>
      <c r="L434" s="11" t="n">
        <v>41946.7477083333</v>
      </c>
      <c r="M434" s="12" t="s">
        <v>1254</v>
      </c>
      <c r="N434" s="12" t="s">
        <v>1255</v>
      </c>
      <c r="O434" s="9" t="str">
        <f aca="false">HYPERLINK("https://pbs.twimg.com/profile_images/529453562292875264/HCB6B2Os_normal.jpeg","View")</f>
        <v>View</v>
      </c>
      <c r="P434" s="10"/>
    </row>
    <row r="435" customFormat="false" ht="15.75" hidden="false" customHeight="false" outlineLevel="0" collapsed="false">
      <c r="A435" s="6" t="n">
        <v>43028.2855787037</v>
      </c>
      <c r="B435" s="7" t="str">
        <f aca="false">HYPERLINK("https://twitter.com/mgznrdr","@mgznrdr")</f>
        <v>@mgznrdr</v>
      </c>
      <c r="C435" s="8" t="s">
        <v>1256</v>
      </c>
      <c r="D435" s="8" t="s">
        <v>1016</v>
      </c>
      <c r="E435" s="9" t="str">
        <f aca="false">HYPERLINK("https://twitter.com/mgznrdr/status/921373244447383554","921373244447383554")</f>
        <v>921373244447383554</v>
      </c>
      <c r="F435" s="10" t="s">
        <v>98</v>
      </c>
      <c r="G435" s="10" t="n">
        <v>76</v>
      </c>
      <c r="H435" s="10" t="n">
        <v>245</v>
      </c>
      <c r="I435" s="10" t="n">
        <v>34</v>
      </c>
      <c r="J435" s="10" t="n">
        <v>0</v>
      </c>
      <c r="K435" s="10" t="s">
        <v>20</v>
      </c>
      <c r="L435" s="11" t="n">
        <v>42104.6636805556</v>
      </c>
      <c r="M435" s="12" t="s">
        <v>1257</v>
      </c>
      <c r="N435" s="13" t="s">
        <v>1258</v>
      </c>
      <c r="O435" s="9" t="str">
        <f aca="false">HYPERLINK("https://pbs.twimg.com/profile_images/618004945804001280/aOiQlslZ_normal.jpg","View")</f>
        <v>View</v>
      </c>
      <c r="P435" s="10"/>
    </row>
    <row r="436" customFormat="false" ht="15.75" hidden="false" customHeight="false" outlineLevel="0" collapsed="false">
      <c r="A436" s="6" t="n">
        <v>43028.316099537</v>
      </c>
      <c r="B436" s="7" t="str">
        <f aca="false">HYPERLINK("https://twitter.com/nytimesbusiness","@nytimesbusiness")</f>
        <v>@nytimesbusiness</v>
      </c>
      <c r="C436" s="8" t="s">
        <v>921</v>
      </c>
      <c r="D436" s="8" t="s">
        <v>1259</v>
      </c>
      <c r="E436" s="9" t="str">
        <f aca="false">HYPERLINK("https://twitter.com/nytimesbusiness/status/921384305804406784","921384305804406784")</f>
        <v>921384305804406784</v>
      </c>
      <c r="F436" s="10" t="s">
        <v>268</v>
      </c>
      <c r="G436" s="10" t="n">
        <v>790924</v>
      </c>
      <c r="H436" s="10" t="n">
        <v>386</v>
      </c>
      <c r="I436" s="10" t="n">
        <v>3</v>
      </c>
      <c r="J436" s="10" t="n">
        <v>3</v>
      </c>
      <c r="K436" s="10" t="s">
        <v>20</v>
      </c>
      <c r="L436" s="11" t="n">
        <v>39162.3261458333</v>
      </c>
      <c r="M436" s="12" t="s">
        <v>491</v>
      </c>
      <c r="N436" s="12" t="s">
        <v>923</v>
      </c>
      <c r="O436" s="9" t="str">
        <f aca="false">HYPERLINK("https://pbs.twimg.com/profile_images/2037622389/NYT_Twitter_Business_normal.png","View")</f>
        <v>View</v>
      </c>
      <c r="P436" s="10"/>
    </row>
    <row r="437" customFormat="false" ht="15.75" hidden="false" customHeight="false" outlineLevel="0" collapsed="false">
      <c r="A437" s="6" t="n">
        <v>43028.3180208333</v>
      </c>
      <c r="B437" s="7" t="str">
        <f aca="false">HYPERLINK("https://twitter.com/HumbertoZamoraR","@HumbertoZamoraR")</f>
        <v>@HumbertoZamoraR</v>
      </c>
      <c r="C437" s="8" t="s">
        <v>1260</v>
      </c>
      <c r="D437" s="8" t="s">
        <v>1261</v>
      </c>
      <c r="E437" s="9" t="str">
        <f aca="false">HYPERLINK("https://twitter.com/HumbertoZamoraR/status/921385000649547776","921385000649547776")</f>
        <v>921385000649547776</v>
      </c>
      <c r="F437" s="10" t="s">
        <v>39</v>
      </c>
      <c r="G437" s="10" t="n">
        <v>2968</v>
      </c>
      <c r="H437" s="10" t="n">
        <v>5003</v>
      </c>
      <c r="I437" s="10" t="n">
        <v>3</v>
      </c>
      <c r="J437" s="10" t="n">
        <v>0</v>
      </c>
      <c r="K437" s="10" t="s">
        <v>20</v>
      </c>
      <c r="L437" s="11" t="n">
        <v>40195.4462384259</v>
      </c>
      <c r="M437" s="12" t="s">
        <v>1262</v>
      </c>
      <c r="N437" s="12" t="s">
        <v>1263</v>
      </c>
      <c r="O437" s="9" t="str">
        <f aca="false">HYPERLINK("https://pbs.twimg.com/profile_images/700785489884786689/D5kW0s11_normal.jpg","View")</f>
        <v>View</v>
      </c>
      <c r="P437" s="10"/>
    </row>
    <row r="438" customFormat="false" ht="15.75" hidden="false" customHeight="false" outlineLevel="0" collapsed="false">
      <c r="A438" s="6" t="n">
        <v>43028.3223148148</v>
      </c>
      <c r="B438" s="7" t="str">
        <f aca="false">HYPERLINK("https://twitter.com/InvestingLatest","@InvestingLatest")</f>
        <v>@InvestingLatest</v>
      </c>
      <c r="C438" s="8" t="s">
        <v>934</v>
      </c>
      <c r="D438" s="8" t="s">
        <v>1264</v>
      </c>
      <c r="E438" s="9" t="str">
        <f aca="false">HYPERLINK("https://twitter.com/InvestingLatest/status/921386557248098304","921386557248098304")</f>
        <v>921386557248098304</v>
      </c>
      <c r="F438" s="10" t="s">
        <v>60</v>
      </c>
      <c r="G438" s="10" t="n">
        <v>1538</v>
      </c>
      <c r="H438" s="10" t="n">
        <v>33</v>
      </c>
      <c r="I438" s="10" t="n">
        <v>0</v>
      </c>
      <c r="J438" s="10" t="n">
        <v>0</v>
      </c>
      <c r="K438" s="10" t="s">
        <v>20</v>
      </c>
      <c r="L438" s="11" t="n">
        <v>41946.3308912037</v>
      </c>
      <c r="M438" s="12"/>
      <c r="N438" s="12" t="s">
        <v>936</v>
      </c>
      <c r="O438" s="9" t="str">
        <f aca="false">HYPERLINK("https://pbs.twimg.com/profile_images/529461684297945089/uscUz0UO_normal.jpeg","View")</f>
        <v>View</v>
      </c>
      <c r="P438" s="10"/>
    </row>
    <row r="439" customFormat="false" ht="15.75" hidden="false" customHeight="false" outlineLevel="0" collapsed="false">
      <c r="A439" s="6" t="n">
        <v>43028.323275463</v>
      </c>
      <c r="B439" s="7" t="str">
        <f aca="false">HYPERLINK("https://twitter.com/BSAFunds","@BSAFunds")</f>
        <v>@BSAFunds</v>
      </c>
      <c r="C439" s="8" t="s">
        <v>924</v>
      </c>
      <c r="D439" s="8" t="s">
        <v>1265</v>
      </c>
      <c r="E439" s="9" t="str">
        <f aca="false">HYPERLINK("https://twitter.com/BSAFunds/status/921386903928213510","921386903928213510")</f>
        <v>921386903928213510</v>
      </c>
      <c r="F439" s="10" t="s">
        <v>60</v>
      </c>
      <c r="G439" s="10" t="n">
        <v>20871</v>
      </c>
      <c r="H439" s="10" t="n">
        <v>8926</v>
      </c>
      <c r="I439" s="10" t="n">
        <v>0</v>
      </c>
      <c r="J439" s="10" t="n">
        <v>0</v>
      </c>
      <c r="K439" s="10" t="s">
        <v>20</v>
      </c>
      <c r="L439" s="11" t="n">
        <v>42601.9481828704</v>
      </c>
      <c r="M439" s="12" t="s">
        <v>312</v>
      </c>
      <c r="N439" s="12" t="s">
        <v>926</v>
      </c>
      <c r="O439" s="9" t="str">
        <f aca="false">HYPERLINK("https://pbs.twimg.com/profile_images/912769166960033792/N4LAmrTs_normal.jpg","View")</f>
        <v>View</v>
      </c>
      <c r="P439" s="10"/>
    </row>
    <row r="440" customFormat="false" ht="15.75" hidden="false" customHeight="false" outlineLevel="0" collapsed="false">
      <c r="A440" s="6" t="n">
        <v>43028.3433912037</v>
      </c>
      <c r="B440" s="7" t="str">
        <f aca="false">HYPERLINK("https://twitter.com/PaginaNuova","@PaginaNuova")</f>
        <v>@PaginaNuova</v>
      </c>
      <c r="C440" s="8" t="s">
        <v>991</v>
      </c>
      <c r="D440" s="8" t="s">
        <v>1266</v>
      </c>
      <c r="E440" s="9" t="str">
        <f aca="false">HYPERLINK("https://twitter.com/PaginaNuova/status/921394193972514817","921394193972514817")</f>
        <v>921394193972514817</v>
      </c>
      <c r="F440" s="10" t="s">
        <v>60</v>
      </c>
      <c r="G440" s="10" t="n">
        <v>1163</v>
      </c>
      <c r="H440" s="10" t="n">
        <v>512</v>
      </c>
      <c r="I440" s="10" t="n">
        <v>0</v>
      </c>
      <c r="J440" s="10" t="n">
        <v>0</v>
      </c>
      <c r="K440" s="10" t="s">
        <v>20</v>
      </c>
      <c r="L440" s="11" t="n">
        <v>39795.7385416667</v>
      </c>
      <c r="M440" s="12" t="s">
        <v>993</v>
      </c>
      <c r="N440" s="12" t="s">
        <v>994</v>
      </c>
      <c r="O440" s="9" t="str">
        <f aca="false">HYPERLINK("https://pbs.twimg.com/profile_images/733085909457993728/CNCcL-S7_normal.jpg","View")</f>
        <v>View</v>
      </c>
      <c r="P440" s="10"/>
    </row>
    <row r="441" customFormat="false" ht="15.75" hidden="false" customHeight="false" outlineLevel="0" collapsed="false">
      <c r="A441" s="6" t="n">
        <v>43028.3437268519</v>
      </c>
      <c r="B441" s="7" t="str">
        <f aca="false">HYPERLINK("https://twitter.com/walkileaks","@walkileaks")</f>
        <v>@walkileaks</v>
      </c>
      <c r="C441" s="8" t="s">
        <v>1267</v>
      </c>
      <c r="D441" s="8" t="s">
        <v>1268</v>
      </c>
      <c r="E441" s="9" t="str">
        <f aca="false">HYPERLINK("https://twitter.com/walkileaks/status/921394317096341505","921394317096341505")</f>
        <v>921394317096341505</v>
      </c>
      <c r="F441" s="9" t="s">
        <v>979</v>
      </c>
      <c r="G441" s="10" t="n">
        <v>533</v>
      </c>
      <c r="H441" s="10" t="n">
        <v>738</v>
      </c>
      <c r="I441" s="10" t="n">
        <v>0</v>
      </c>
      <c r="J441" s="10" t="n">
        <v>0</v>
      </c>
      <c r="K441" s="10" t="s">
        <v>20</v>
      </c>
      <c r="L441" s="11" t="n">
        <v>41239.3942361111</v>
      </c>
      <c r="M441" s="12" t="s">
        <v>230</v>
      </c>
      <c r="N441" s="12" t="s">
        <v>1269</v>
      </c>
      <c r="O441" s="9" t="str">
        <f aca="false">HYPERLINK("https://pbs.twimg.com/profile_images/782945569501286401/BOfnIaHw_normal.jpg","View")</f>
        <v>View</v>
      </c>
      <c r="P441" s="10"/>
    </row>
    <row r="442" customFormat="false" ht="15.75" hidden="false" customHeight="false" outlineLevel="0" collapsed="false">
      <c r="A442" s="6" t="n">
        <v>43028.3440625</v>
      </c>
      <c r="B442" s="7" t="str">
        <f aca="false">HYPERLINK("https://twitter.com/Anon_Eu","@Anon_Eu")</f>
        <v>@Anon_Eu</v>
      </c>
      <c r="C442" s="8" t="s">
        <v>1270</v>
      </c>
      <c r="D442" s="8" t="s">
        <v>1271</v>
      </c>
      <c r="E442" s="9" t="str">
        <f aca="false">HYPERLINK("https://twitter.com/Anon_Eu/status/921394439670579200","921394439670579200")</f>
        <v>921394439670579200</v>
      </c>
      <c r="F442" s="9" t="s">
        <v>1147</v>
      </c>
      <c r="G442" s="10" t="n">
        <v>13150</v>
      </c>
      <c r="H442" s="10" t="n">
        <v>6968</v>
      </c>
      <c r="I442" s="10" t="n">
        <v>1</v>
      </c>
      <c r="J442" s="10" t="n">
        <v>0</v>
      </c>
      <c r="K442" s="10" t="s">
        <v>20</v>
      </c>
      <c r="L442" s="11" t="n">
        <v>41161.5910416667</v>
      </c>
      <c r="M442" s="12" t="s">
        <v>1272</v>
      </c>
      <c r="N442" s="12" t="s">
        <v>1273</v>
      </c>
      <c r="O442" s="9" t="str">
        <f aca="false">HYPERLINK("https://pbs.twimg.com/profile_images/839870179282669570/K5jLYmlF_normal.jpg","View")</f>
        <v>View</v>
      </c>
      <c r="P442" s="10"/>
    </row>
    <row r="443" customFormat="false" ht="15.75" hidden="false" customHeight="false" outlineLevel="0" collapsed="false">
      <c r="A443" s="6" t="n">
        <v>43028.3441666667</v>
      </c>
      <c r="B443" s="7" t="str">
        <f aca="false">HYPERLINK("https://twitter.com/Zero_Cult","@Zero_Cult")</f>
        <v>@Zero_Cult</v>
      </c>
      <c r="C443" s="8" t="s">
        <v>1274</v>
      </c>
      <c r="D443" s="8" t="s">
        <v>1275</v>
      </c>
      <c r="E443" s="9" t="str">
        <f aca="false">HYPERLINK("https://twitter.com/Zero_Cult/status/921394477956296710","921394477956296710")</f>
        <v>921394477956296710</v>
      </c>
      <c r="F443" s="10" t="s">
        <v>1276</v>
      </c>
      <c r="G443" s="10" t="n">
        <v>1739</v>
      </c>
      <c r="H443" s="10" t="n">
        <v>2116</v>
      </c>
      <c r="I443" s="10" t="n">
        <v>1</v>
      </c>
      <c r="J443" s="10" t="n">
        <v>0</v>
      </c>
      <c r="K443" s="10" t="s">
        <v>20</v>
      </c>
      <c r="L443" s="11" t="n">
        <v>40049.4295717593</v>
      </c>
      <c r="M443" s="12"/>
      <c r="N443" s="12" t="s">
        <v>1277</v>
      </c>
      <c r="O443" s="9" t="str">
        <f aca="false">HYPERLINK("https://pbs.twimg.com/profile_images/915079665110351872/2Z7VkpkU_normal.jpg","View")</f>
        <v>View</v>
      </c>
      <c r="P443" s="10"/>
    </row>
    <row r="444" customFormat="false" ht="15.75" hidden="false" customHeight="false" outlineLevel="0" collapsed="false">
      <c r="A444" s="6" t="n">
        <v>43028.3454976852</v>
      </c>
      <c r="B444" s="7" t="str">
        <f aca="false">HYPERLINK("https://twitter.com/3X04N0N","@3X04N0N")</f>
        <v>@3X04N0N</v>
      </c>
      <c r="C444" s="8" t="s">
        <v>1278</v>
      </c>
      <c r="D444" s="8" t="s">
        <v>1279</v>
      </c>
      <c r="E444" s="9" t="str">
        <f aca="false">HYPERLINK("https://twitter.com/3X04N0N/status/921394957243633668","921394957243633668")</f>
        <v>921394957243633668</v>
      </c>
      <c r="F444" s="10" t="s">
        <v>60</v>
      </c>
      <c r="G444" s="10" t="n">
        <v>922</v>
      </c>
      <c r="H444" s="10" t="n">
        <v>295</v>
      </c>
      <c r="I444" s="10" t="n">
        <v>0</v>
      </c>
      <c r="J444" s="10" t="n">
        <v>0</v>
      </c>
      <c r="K444" s="10" t="s">
        <v>20</v>
      </c>
      <c r="L444" s="11" t="n">
        <v>42066.5668518519</v>
      </c>
      <c r="M444" s="12"/>
      <c r="N444" s="12" t="s">
        <v>1280</v>
      </c>
      <c r="O444" s="9" t="str">
        <f aca="false">HYPERLINK("https://pbs.twimg.com/profile_images/793550507205914625/qBVxzsrU_normal.jpg","View")</f>
        <v>View</v>
      </c>
      <c r="P444" s="10"/>
    </row>
    <row r="445" customFormat="false" ht="15.75" hidden="false" customHeight="false" outlineLevel="0" collapsed="false">
      <c r="A445" s="6" t="n">
        <v>43028.3455787037</v>
      </c>
      <c r="B445" s="7" t="str">
        <f aca="false">HYPERLINK("https://twitter.com/newsly","@newsly")</f>
        <v>@newsly</v>
      </c>
      <c r="C445" s="8" t="s">
        <v>1281</v>
      </c>
      <c r="D445" s="8" t="s">
        <v>1282</v>
      </c>
      <c r="E445" s="9" t="str">
        <f aca="false">HYPERLINK("https://twitter.com/newsly/status/921394988956700677","921394988956700677")</f>
        <v>921394988956700677</v>
      </c>
      <c r="F445" s="10" t="s">
        <v>60</v>
      </c>
      <c r="G445" s="10" t="n">
        <v>313</v>
      </c>
      <c r="H445" s="10" t="n">
        <v>2</v>
      </c>
      <c r="I445" s="10" t="n">
        <v>0</v>
      </c>
      <c r="J445" s="10" t="n">
        <v>0</v>
      </c>
      <c r="K445" s="10" t="s">
        <v>20</v>
      </c>
      <c r="L445" s="11" t="n">
        <v>42393.464224537</v>
      </c>
      <c r="M445" s="12" t="s">
        <v>203</v>
      </c>
      <c r="N445" s="12" t="s">
        <v>1283</v>
      </c>
      <c r="O445" s="9" t="str">
        <f aca="false">HYPERLINK("https://pbs.twimg.com/profile_images/776195317549105152/HsppNplW_normal.jpg","View")</f>
        <v>View</v>
      </c>
      <c r="P445" s="10"/>
    </row>
    <row r="446" customFormat="false" ht="15.75" hidden="false" customHeight="false" outlineLevel="0" collapsed="false">
      <c r="A446" s="6" t="n">
        <v>43028.3467824074</v>
      </c>
      <c r="B446" s="7" t="str">
        <f aca="false">HYPERLINK("https://twitter.com/Independent","@Independent")</f>
        <v>@Independent</v>
      </c>
      <c r="C446" s="8" t="s">
        <v>1284</v>
      </c>
      <c r="D446" s="8" t="s">
        <v>1285</v>
      </c>
      <c r="E446" s="9" t="str">
        <f aca="false">HYPERLINK("https://twitter.com/Independent/status/921395425508282368","921395425508282368")</f>
        <v>921395425508282368</v>
      </c>
      <c r="F446" s="10" t="s">
        <v>276</v>
      </c>
      <c r="G446" s="10" t="n">
        <v>2392804</v>
      </c>
      <c r="H446" s="10" t="n">
        <v>1105</v>
      </c>
      <c r="I446" s="10" t="n">
        <v>13</v>
      </c>
      <c r="J446" s="10" t="n">
        <v>11</v>
      </c>
      <c r="K446" s="10" t="s">
        <v>20</v>
      </c>
      <c r="L446" s="11" t="n">
        <v>39746.7086689815</v>
      </c>
      <c r="M446" s="12" t="s">
        <v>893</v>
      </c>
      <c r="N446" s="12" t="s">
        <v>1286</v>
      </c>
      <c r="O446" s="9" t="str">
        <f aca="false">HYPERLINK("https://pbs.twimg.com/profile_images/583628771972018176/ztJn926g_normal.png","View")</f>
        <v>View</v>
      </c>
      <c r="P446" s="10"/>
    </row>
    <row r="447" customFormat="false" ht="15.75" hidden="false" customHeight="false" outlineLevel="0" collapsed="false">
      <c r="A447" s="6" t="n">
        <v>43028.3471759259</v>
      </c>
      <c r="B447" s="7" t="str">
        <f aca="false">HYPERLINK("https://twitter.com/CalluyWalt","@CalluyWalt")</f>
        <v>@CalluyWalt</v>
      </c>
      <c r="C447" s="8" t="s">
        <v>1287</v>
      </c>
      <c r="D447" s="8" t="s">
        <v>1288</v>
      </c>
      <c r="E447" s="9" t="str">
        <f aca="false">HYPERLINK("https://twitter.com/CalluyWalt/status/921395566436933633","921395566436933633")</f>
        <v>921395566436933633</v>
      </c>
      <c r="F447" s="10" t="s">
        <v>1289</v>
      </c>
      <c r="G447" s="10" t="n">
        <v>198</v>
      </c>
      <c r="H447" s="10" t="n">
        <v>352</v>
      </c>
      <c r="I447" s="10" t="n">
        <v>13</v>
      </c>
      <c r="J447" s="10" t="n">
        <v>0</v>
      </c>
      <c r="K447" s="10" t="s">
        <v>20</v>
      </c>
      <c r="L447" s="11" t="n">
        <v>40885.265</v>
      </c>
      <c r="M447" s="12" t="s">
        <v>1290</v>
      </c>
      <c r="N447" s="12" t="s">
        <v>1291</v>
      </c>
      <c r="O447" s="9" t="str">
        <f aca="false">HYPERLINK("https://pbs.twimg.com/profile_images/1680923654/IMG_0218_normal.jpg","View")</f>
        <v>View</v>
      </c>
      <c r="P447" s="10"/>
    </row>
    <row r="448" customFormat="false" ht="15.75" hidden="false" customHeight="false" outlineLevel="0" collapsed="false">
      <c r="A448" s="6" t="n">
        <v>43028.3481597222</v>
      </c>
      <c r="B448" s="7" t="str">
        <f aca="false">HYPERLINK("https://twitter.com/rafaelangel0812","@rafaelangel0812")</f>
        <v>@rafaelangel0812</v>
      </c>
      <c r="C448" s="8" t="s">
        <v>438</v>
      </c>
      <c r="D448" s="8" t="s">
        <v>1292</v>
      </c>
      <c r="E448" s="9" t="str">
        <f aca="false">HYPERLINK("https://twitter.com/rafaelangel0812/status/921395924399771648","921395924399771648")</f>
        <v>921395924399771648</v>
      </c>
      <c r="F448" s="10" t="s">
        <v>60</v>
      </c>
      <c r="G448" s="10" t="n">
        <v>280</v>
      </c>
      <c r="H448" s="10" t="n">
        <v>285</v>
      </c>
      <c r="I448" s="10" t="n">
        <v>0</v>
      </c>
      <c r="J448" s="10" t="n">
        <v>0</v>
      </c>
      <c r="K448" s="10" t="s">
        <v>20</v>
      </c>
      <c r="L448" s="11" t="n">
        <v>42695.8406597222</v>
      </c>
      <c r="M448" s="12" t="s">
        <v>440</v>
      </c>
      <c r="N448" s="12" t="s">
        <v>441</v>
      </c>
      <c r="O448" s="9" t="str">
        <f aca="false">HYPERLINK("https://pbs.twimg.com/profile_images/844730128311705601/dbv74UTC_normal.jpg","View")</f>
        <v>View</v>
      </c>
      <c r="P448" s="10"/>
    </row>
    <row r="449" customFormat="false" ht="15.75" hidden="false" customHeight="false" outlineLevel="0" collapsed="false">
      <c r="A449" s="6" t="n">
        <v>43028.348275463</v>
      </c>
      <c r="B449" s="7" t="str">
        <f aca="false">HYPERLINK("https://twitter.com/amp18sudip","@amp18sudip")</f>
        <v>@amp18sudip</v>
      </c>
      <c r="C449" s="8" t="s">
        <v>1293</v>
      </c>
      <c r="D449" s="8" t="s">
        <v>1288</v>
      </c>
      <c r="E449" s="9" t="str">
        <f aca="false">HYPERLINK("https://twitter.com/amp18sudip/status/921395965080231936","921395965080231936")</f>
        <v>921395965080231936</v>
      </c>
      <c r="F449" s="10" t="s">
        <v>25</v>
      </c>
      <c r="G449" s="10" t="n">
        <v>262</v>
      </c>
      <c r="H449" s="10" t="n">
        <v>2703</v>
      </c>
      <c r="I449" s="10" t="n">
        <v>13</v>
      </c>
      <c r="J449" s="10" t="n">
        <v>0</v>
      </c>
      <c r="K449" s="10" t="s">
        <v>20</v>
      </c>
      <c r="L449" s="11" t="n">
        <v>41838.6357291667</v>
      </c>
      <c r="M449" s="12"/>
      <c r="N449" s="12"/>
      <c r="O449" s="9" t="str">
        <f aca="false">HYPERLINK("https://pbs.twimg.com/profile_images/548562062004060160/AX7im429_normal.jpeg","View")</f>
        <v>View</v>
      </c>
      <c r="P449" s="10"/>
    </row>
    <row r="450" customFormat="false" ht="15.75" hidden="false" customHeight="false" outlineLevel="0" collapsed="false">
      <c r="A450" s="6" t="n">
        <v>43028.3485300926</v>
      </c>
      <c r="B450" s="7" t="str">
        <f aca="false">HYPERLINK("https://twitter.com/MonicaS67190717","@MonicaS67190717")</f>
        <v>@MonicaS67190717</v>
      </c>
      <c r="C450" s="8" t="s">
        <v>1294</v>
      </c>
      <c r="D450" s="8" t="s">
        <v>1288</v>
      </c>
      <c r="E450" s="9" t="str">
        <f aca="false">HYPERLINK("https://twitter.com/MonicaS67190717/status/921396059192119296","921396059192119296")</f>
        <v>921396059192119296</v>
      </c>
      <c r="F450" s="10" t="s">
        <v>25</v>
      </c>
      <c r="G450" s="10" t="n">
        <v>4656</v>
      </c>
      <c r="H450" s="10" t="n">
        <v>4619</v>
      </c>
      <c r="I450" s="10" t="n">
        <v>13</v>
      </c>
      <c r="J450" s="10" t="n">
        <v>0</v>
      </c>
      <c r="K450" s="10" t="s">
        <v>20</v>
      </c>
      <c r="L450" s="11" t="n">
        <v>41889.2555787037</v>
      </c>
      <c r="M450" s="12" t="s">
        <v>1295</v>
      </c>
      <c r="N450" s="12" t="s">
        <v>1296</v>
      </c>
      <c r="O450" s="9" t="str">
        <f aca="false">HYPERLINK("https://pbs.twimg.com/profile_images/859069990586245123/UUBOVdEw_normal.jpg","View")</f>
        <v>View</v>
      </c>
      <c r="P450" s="10"/>
    </row>
    <row r="451" customFormat="false" ht="15.75" hidden="false" customHeight="false" outlineLevel="0" collapsed="false">
      <c r="A451" s="6" t="n">
        <v>43028.3488888889</v>
      </c>
      <c r="B451" s="7" t="str">
        <f aca="false">HYPERLINK("https://twitter.com/Apocrifos","@Apocrifos")</f>
        <v>@Apocrifos</v>
      </c>
      <c r="C451" s="8" t="s">
        <v>1297</v>
      </c>
      <c r="D451" s="8" t="s">
        <v>1298</v>
      </c>
      <c r="E451" s="9" t="str">
        <f aca="false">HYPERLINK("https://twitter.com/Apocrifos/status/921396187273580546","921396187273580546")</f>
        <v>921396187273580546</v>
      </c>
      <c r="F451" s="10" t="s">
        <v>60</v>
      </c>
      <c r="G451" s="10" t="n">
        <v>777</v>
      </c>
      <c r="H451" s="10" t="n">
        <v>508</v>
      </c>
      <c r="I451" s="10" t="n">
        <v>1</v>
      </c>
      <c r="J451" s="10" t="n">
        <v>0</v>
      </c>
      <c r="K451" s="10" t="s">
        <v>20</v>
      </c>
      <c r="L451" s="11" t="n">
        <v>39961.4268287037</v>
      </c>
      <c r="M451" s="12" t="s">
        <v>551</v>
      </c>
      <c r="N451" s="12" t="s">
        <v>1299</v>
      </c>
      <c r="O451" s="9" t="str">
        <f aca="false">HYPERLINK("https://pbs.twimg.com/profile_images/3672960453/ea0d6104e1c4773a26d48d5437e962d8_normal.jpeg","View")</f>
        <v>View</v>
      </c>
      <c r="P451" s="10"/>
    </row>
    <row r="452" customFormat="false" ht="15.75" hidden="false" customHeight="false" outlineLevel="0" collapsed="false">
      <c r="A452" s="6" t="n">
        <v>43028.3491898148</v>
      </c>
      <c r="B452" s="7" t="str">
        <f aca="false">HYPERLINK("https://twitter.com/Carlanun","@Carlanun")</f>
        <v>@Carlanun</v>
      </c>
      <c r="C452" s="8" t="s">
        <v>1300</v>
      </c>
      <c r="D452" s="8" t="s">
        <v>1288</v>
      </c>
      <c r="E452" s="9" t="str">
        <f aca="false">HYPERLINK("https://twitter.com/Carlanun/status/921396298573664258","921396298573664258")</f>
        <v>921396298573664258</v>
      </c>
      <c r="F452" s="10" t="s">
        <v>39</v>
      </c>
      <c r="G452" s="10" t="n">
        <v>1100</v>
      </c>
      <c r="H452" s="10" t="n">
        <v>343</v>
      </c>
      <c r="I452" s="10" t="n">
        <v>13</v>
      </c>
      <c r="J452" s="10" t="n">
        <v>0</v>
      </c>
      <c r="K452" s="10" t="s">
        <v>20</v>
      </c>
      <c r="L452" s="11" t="n">
        <v>40615.2164236111</v>
      </c>
      <c r="M452" s="12" t="s">
        <v>1301</v>
      </c>
      <c r="N452" s="12" t="s">
        <v>1302</v>
      </c>
      <c r="O452" s="9" t="str">
        <f aca="false">HYPERLINK("https://pbs.twimg.com/profile_images/918472430141825024/F5a3RyiV_normal.jpg","View")</f>
        <v>View</v>
      </c>
      <c r="P452" s="10"/>
    </row>
    <row r="453" customFormat="false" ht="15.75" hidden="false" customHeight="false" outlineLevel="0" collapsed="false">
      <c r="A453" s="6" t="n">
        <v>43028.3493055556</v>
      </c>
      <c r="B453" s="7" t="str">
        <f aca="false">HYPERLINK("https://twitter.com/GEanalyst","@GEanalyst")</f>
        <v>@GEanalyst</v>
      </c>
      <c r="C453" s="8" t="s">
        <v>1303</v>
      </c>
      <c r="D453" s="8" t="s">
        <v>1288</v>
      </c>
      <c r="E453" s="9" t="str">
        <f aca="false">HYPERLINK("https://twitter.com/GEanalyst/status/921396337077129218","921396337077129218")</f>
        <v>921396337077129218</v>
      </c>
      <c r="F453" s="10" t="s">
        <v>25</v>
      </c>
      <c r="G453" s="10" t="n">
        <v>3740</v>
      </c>
      <c r="H453" s="10" t="n">
        <v>4986</v>
      </c>
      <c r="I453" s="10" t="n">
        <v>13</v>
      </c>
      <c r="J453" s="10" t="n">
        <v>0</v>
      </c>
      <c r="K453" s="10" t="s">
        <v>20</v>
      </c>
      <c r="L453" s="11" t="n">
        <v>40878.7592013889</v>
      </c>
      <c r="M453" s="12" t="s">
        <v>1304</v>
      </c>
      <c r="N453" s="12" t="s">
        <v>1305</v>
      </c>
      <c r="O453" s="9" t="str">
        <f aca="false">HYPERLINK("https://pbs.twimg.com/profile_images/742731942982885376/ea7ku0ob_normal.jpg","View")</f>
        <v>View</v>
      </c>
      <c r="P453" s="10"/>
    </row>
    <row r="454" customFormat="false" ht="15.75" hidden="false" customHeight="false" outlineLevel="0" collapsed="false">
      <c r="A454" s="6" t="n">
        <v>43028.3494328704</v>
      </c>
      <c r="B454" s="7" t="str">
        <f aca="false">HYPERLINK("https://twitter.com/Breaking24_7","@Breaking24_7")</f>
        <v>@Breaking24_7</v>
      </c>
      <c r="C454" s="8" t="s">
        <v>1306</v>
      </c>
      <c r="D454" s="8" t="s">
        <v>1307</v>
      </c>
      <c r="E454" s="9" t="str">
        <f aca="false">HYPERLINK("https://twitter.com/Breaking24_7/status/921396383772528641","921396383772528641")</f>
        <v>921396383772528641</v>
      </c>
      <c r="F454" s="10" t="s">
        <v>1308</v>
      </c>
      <c r="G454" s="10" t="n">
        <v>40</v>
      </c>
      <c r="H454" s="10" t="n">
        <v>51</v>
      </c>
      <c r="I454" s="10" t="n">
        <v>1</v>
      </c>
      <c r="J454" s="10" t="n">
        <v>0</v>
      </c>
      <c r="K454" s="10" t="s">
        <v>20</v>
      </c>
      <c r="L454" s="11" t="n">
        <v>42982.1983217593</v>
      </c>
      <c r="M454" s="12" t="s">
        <v>893</v>
      </c>
      <c r="N454" s="12" t="s">
        <v>1309</v>
      </c>
      <c r="O454" s="9" t="str">
        <f aca="false">HYPERLINK("https://pbs.twimg.com/profile_images/904703340902264832/puHB5Dhb_normal.jpg","View")</f>
        <v>View</v>
      </c>
      <c r="P454" s="10"/>
    </row>
    <row r="455" customFormat="false" ht="15.75" hidden="false" customHeight="false" outlineLevel="0" collapsed="false">
      <c r="A455" s="6" t="n">
        <v>43028.3497337963</v>
      </c>
      <c r="B455" s="7" t="str">
        <f aca="false">HYPERLINK("https://twitter.com/greta829","@greta829")</f>
        <v>@greta829</v>
      </c>
      <c r="C455" s="8" t="s">
        <v>1310</v>
      </c>
      <c r="D455" s="8" t="s">
        <v>1288</v>
      </c>
      <c r="E455" s="9" t="str">
        <f aca="false">HYPERLINK("https://twitter.com/greta829/status/921396493658890241","921396493658890241")</f>
        <v>921396493658890241</v>
      </c>
      <c r="F455" s="10" t="s">
        <v>51</v>
      </c>
      <c r="G455" s="10" t="n">
        <v>139</v>
      </c>
      <c r="H455" s="10" t="n">
        <v>205</v>
      </c>
      <c r="I455" s="10" t="n">
        <v>13</v>
      </c>
      <c r="J455" s="10" t="n">
        <v>0</v>
      </c>
      <c r="K455" s="10" t="s">
        <v>20</v>
      </c>
      <c r="L455" s="11" t="n">
        <v>40158.2910532407</v>
      </c>
      <c r="M455" s="12"/>
      <c r="N455" s="12"/>
      <c r="O455" s="9" t="str">
        <f aca="false">HYPERLINK("https://pbs.twimg.com/profile_images/639548929/P1000008_normal.JPG","View")</f>
        <v>View</v>
      </c>
      <c r="P455" s="10"/>
    </row>
    <row r="456" customFormat="false" ht="15.75" hidden="false" customHeight="false" outlineLevel="0" collapsed="false">
      <c r="A456" s="6" t="n">
        <v>43028.3501273148</v>
      </c>
      <c r="B456" s="7" t="str">
        <f aca="false">HYPERLINK("https://twitter.com/KoreaCenterHQ","@KoreaCenterHQ")</f>
        <v>@KoreaCenterHQ</v>
      </c>
      <c r="C456" s="8" t="s">
        <v>1311</v>
      </c>
      <c r="D456" s="8" t="s">
        <v>1312</v>
      </c>
      <c r="E456" s="9" t="str">
        <f aca="false">HYPERLINK("https://twitter.com/KoreaCenterHQ/status/921396637104328704","921396637104328704")</f>
        <v>921396637104328704</v>
      </c>
      <c r="F456" s="10" t="s">
        <v>60</v>
      </c>
      <c r="G456" s="10" t="n">
        <v>70</v>
      </c>
      <c r="H456" s="10" t="n">
        <v>5</v>
      </c>
      <c r="I456" s="10" t="n">
        <v>0</v>
      </c>
      <c r="J456" s="10" t="n">
        <v>0</v>
      </c>
      <c r="K456" s="10" t="s">
        <v>20</v>
      </c>
      <c r="L456" s="11" t="n">
        <v>42259.7855092593</v>
      </c>
      <c r="M456" s="12" t="s">
        <v>1313</v>
      </c>
      <c r="N456" s="12" t="s">
        <v>1314</v>
      </c>
      <c r="O456" s="9" t="str">
        <f aca="false">HYPERLINK("https://pbs.twimg.com/profile_images/902288054987182080/2Zsh6ms3_normal.jpg","View")</f>
        <v>View</v>
      </c>
      <c r="P456" s="10"/>
    </row>
    <row r="457" customFormat="false" ht="15.75" hidden="false" customHeight="false" outlineLevel="0" collapsed="false">
      <c r="A457" s="6" t="n">
        <v>43028.3529398148</v>
      </c>
      <c r="B457" s="7" t="str">
        <f aca="false">HYPERLINK("https://twitter.com/passivemassive8","@passivemassive8")</f>
        <v>@passivemassive8</v>
      </c>
      <c r="C457" s="14" t="s">
        <v>1315</v>
      </c>
      <c r="D457" s="8" t="s">
        <v>1288</v>
      </c>
      <c r="E457" s="9" t="str">
        <f aca="false">HYPERLINK("https://twitter.com/passivemassive8/status/921397655539892226","921397655539892226")</f>
        <v>921397655539892226</v>
      </c>
      <c r="F457" s="10" t="s">
        <v>25</v>
      </c>
      <c r="G457" s="10" t="n">
        <v>97</v>
      </c>
      <c r="H457" s="10" t="n">
        <v>664</v>
      </c>
      <c r="I457" s="10" t="n">
        <v>13</v>
      </c>
      <c r="J457" s="10" t="n">
        <v>0</v>
      </c>
      <c r="K457" s="10" t="s">
        <v>20</v>
      </c>
      <c r="L457" s="11" t="n">
        <v>42615.7104166667</v>
      </c>
      <c r="M457" s="13" t="s">
        <v>1316</v>
      </c>
      <c r="N457" s="13" t="s">
        <v>1317</v>
      </c>
      <c r="O457" s="9" t="str">
        <f aca="false">HYPERLINK("https://pbs.twimg.com/profile_images/894231021297598464/Wq39bPsC_normal.jpg","View")</f>
        <v>View</v>
      </c>
      <c r="P457" s="10"/>
    </row>
    <row r="458" customFormat="false" ht="15.75" hidden="false" customHeight="false" outlineLevel="0" collapsed="false">
      <c r="A458" s="6" t="n">
        <v>43028.3534953704</v>
      </c>
      <c r="B458" s="7" t="str">
        <f aca="false">HYPERLINK("https://twitter.com/RobieCur","@RobieCur")</f>
        <v>@RobieCur</v>
      </c>
      <c r="C458" s="8" t="s">
        <v>1318</v>
      </c>
      <c r="D458" s="8" t="s">
        <v>1288</v>
      </c>
      <c r="E458" s="9" t="str">
        <f aca="false">HYPERLINK("https://twitter.com/RobieCur/status/921397857898385408","921397857898385408")</f>
        <v>921397857898385408</v>
      </c>
      <c r="F458" s="10" t="s">
        <v>51</v>
      </c>
      <c r="G458" s="10" t="n">
        <v>882</v>
      </c>
      <c r="H458" s="10" t="n">
        <v>853</v>
      </c>
      <c r="I458" s="10" t="n">
        <v>13</v>
      </c>
      <c r="J458" s="10" t="n">
        <v>0</v>
      </c>
      <c r="K458" s="10" t="s">
        <v>20</v>
      </c>
      <c r="L458" s="11" t="n">
        <v>41439.8495023148</v>
      </c>
      <c r="M458" s="12" t="s">
        <v>1319</v>
      </c>
      <c r="N458" s="12" t="s">
        <v>1320</v>
      </c>
      <c r="O458" s="9" t="str">
        <f aca="false">HYPERLINK("https://pbs.twimg.com/profile_images/378800000843373524/a79575891ea4dd59fa51fae623dda325_normal.jpeg","View")</f>
        <v>View</v>
      </c>
      <c r="P458" s="10"/>
    </row>
    <row r="459" customFormat="false" ht="15.75" hidden="false" customHeight="false" outlineLevel="0" collapsed="false">
      <c r="A459" s="6" t="n">
        <v>43028.3539583333</v>
      </c>
      <c r="B459" s="7" t="str">
        <f aca="false">HYPERLINK("https://twitter.com/TweetsOfQut","@TweetsOfQut")</f>
        <v>@TweetsOfQut</v>
      </c>
      <c r="C459" s="8" t="s">
        <v>1321</v>
      </c>
      <c r="D459" s="8" t="s">
        <v>1288</v>
      </c>
      <c r="E459" s="9" t="str">
        <f aca="false">HYPERLINK("https://twitter.com/TweetsOfQut/status/921398025829851136","921398025829851136")</f>
        <v>921398025829851136</v>
      </c>
      <c r="F459" s="10" t="s">
        <v>51</v>
      </c>
      <c r="G459" s="10" t="n">
        <v>40</v>
      </c>
      <c r="H459" s="10" t="n">
        <v>87</v>
      </c>
      <c r="I459" s="10" t="n">
        <v>13</v>
      </c>
      <c r="J459" s="10" t="n">
        <v>0</v>
      </c>
      <c r="K459" s="10" t="s">
        <v>20</v>
      </c>
      <c r="L459" s="11" t="n">
        <v>42920.1373842593</v>
      </c>
      <c r="M459" s="12" t="s">
        <v>1322</v>
      </c>
      <c r="N459" s="13" t="s">
        <v>1323</v>
      </c>
      <c r="O459" s="9" t="str">
        <f aca="false">HYPERLINK("https://pbs.twimg.com/profile_images/893777455986622464/anBR13NN_normal.jpg","View")</f>
        <v>View</v>
      </c>
      <c r="P459" s="10"/>
    </row>
    <row r="460" customFormat="false" ht="15.75" hidden="false" customHeight="false" outlineLevel="0" collapsed="false">
      <c r="A460" s="6" t="n">
        <v>43028.3595601852</v>
      </c>
      <c r="B460" s="7" t="str">
        <f aca="false">HYPERLINK("https://twitter.com/Hornet238","@Hornet238")</f>
        <v>@Hornet238</v>
      </c>
      <c r="C460" s="8" t="s">
        <v>1324</v>
      </c>
      <c r="D460" s="8" t="s">
        <v>1325</v>
      </c>
      <c r="E460" s="9" t="str">
        <f aca="false">HYPERLINK("https://twitter.com/Hornet238/status/921400055860486149","921400055860486149")</f>
        <v>921400055860486149</v>
      </c>
      <c r="F460" s="10" t="s">
        <v>39</v>
      </c>
      <c r="G460" s="10" t="n">
        <v>272</v>
      </c>
      <c r="H460" s="10" t="n">
        <v>150</v>
      </c>
      <c r="I460" s="10" t="n">
        <v>0</v>
      </c>
      <c r="J460" s="10" t="n">
        <v>0</v>
      </c>
      <c r="K460" s="10" t="s">
        <v>20</v>
      </c>
      <c r="L460" s="11" t="n">
        <v>41522.3890740741</v>
      </c>
      <c r="M460" s="12" t="s">
        <v>1326</v>
      </c>
      <c r="N460" s="12" t="s">
        <v>1327</v>
      </c>
      <c r="O460" s="9" t="str">
        <f aca="false">HYPERLINK("https://pbs.twimg.com/profile_images/866102490780942336/GQrm4dZT_normal.jpg","View")</f>
        <v>View</v>
      </c>
      <c r="P460" s="10"/>
    </row>
    <row r="461" customFormat="false" ht="15.75" hidden="false" customHeight="false" outlineLevel="0" collapsed="false">
      <c r="A461" s="6" t="n">
        <v>43028.3627314815</v>
      </c>
      <c r="B461" s="7" t="str">
        <f aca="false">HYPERLINK("https://twitter.com/AlsinaJuana","@AlsinaJuana")</f>
        <v>@AlsinaJuana</v>
      </c>
      <c r="C461" s="8" t="s">
        <v>1328</v>
      </c>
      <c r="D461" s="8" t="s">
        <v>1288</v>
      </c>
      <c r="E461" s="9" t="str">
        <f aca="false">HYPERLINK("https://twitter.com/AlsinaJuana/status/921401205988954112","921401205988954112")</f>
        <v>921401205988954112</v>
      </c>
      <c r="F461" s="10" t="s">
        <v>39</v>
      </c>
      <c r="G461" s="10" t="n">
        <v>610</v>
      </c>
      <c r="H461" s="10" t="n">
        <v>223</v>
      </c>
      <c r="I461" s="10" t="n">
        <v>13</v>
      </c>
      <c r="J461" s="10" t="n">
        <v>0</v>
      </c>
      <c r="K461" s="10" t="s">
        <v>20</v>
      </c>
      <c r="L461" s="11" t="n">
        <v>40800.7706365741</v>
      </c>
      <c r="M461" s="12"/>
      <c r="N461" s="12"/>
      <c r="O461" s="9" t="str">
        <f aca="false">HYPERLINK("https://pbs.twimg.com/profile_images/922895285885571075/PyOSFahk_normal.jpg","View")</f>
        <v>View</v>
      </c>
      <c r="P461" s="10"/>
    </row>
    <row r="462" customFormat="false" ht="15.75" hidden="false" customHeight="false" outlineLevel="0" collapsed="false">
      <c r="A462" s="6" t="n">
        <v>43028.3653819445</v>
      </c>
      <c r="B462" s="7" t="str">
        <f aca="false">HYPERLINK("https://twitter.com/Rosamexican01","@Rosamexican01")</f>
        <v>@Rosamexican01</v>
      </c>
      <c r="C462" s="8" t="s">
        <v>1329</v>
      </c>
      <c r="D462" s="8" t="s">
        <v>1330</v>
      </c>
      <c r="E462" s="9" t="str">
        <f aca="false">HYPERLINK("https://twitter.com/Rosamexican01/status/921402164693659648","921402164693659648")</f>
        <v>921402164693659648</v>
      </c>
      <c r="F462" s="10" t="s">
        <v>39</v>
      </c>
      <c r="G462" s="10" t="n">
        <v>3326</v>
      </c>
      <c r="H462" s="10" t="n">
        <v>2445</v>
      </c>
      <c r="I462" s="10" t="n">
        <v>0</v>
      </c>
      <c r="J462" s="10" t="n">
        <v>0</v>
      </c>
      <c r="K462" s="10" t="s">
        <v>20</v>
      </c>
      <c r="L462" s="11" t="n">
        <v>40305.5168634259</v>
      </c>
      <c r="M462" s="12" t="s">
        <v>1331</v>
      </c>
      <c r="N462" s="12" t="s">
        <v>1332</v>
      </c>
      <c r="O462" s="9" t="str">
        <f aca="false">HYPERLINK("https://pbs.twimg.com/profile_images/881508681/Juergen100-4_normal.jpg","View")</f>
        <v>View</v>
      </c>
      <c r="P462" s="10"/>
    </row>
    <row r="463" customFormat="false" ht="15.75" hidden="false" customHeight="false" outlineLevel="0" collapsed="false">
      <c r="A463" s="6" t="n">
        <v>43028.3758333333</v>
      </c>
      <c r="B463" s="7" t="str">
        <f aca="false">HYPERLINK("https://twitter.com/babe471119","@babe471119")</f>
        <v>@babe471119</v>
      </c>
      <c r="C463" s="8" t="s">
        <v>1333</v>
      </c>
      <c r="D463" s="8" t="s">
        <v>1334</v>
      </c>
      <c r="E463" s="9" t="str">
        <f aca="false">HYPERLINK("https://twitter.com/babe471119/status/921405950459858946","921405950459858946")</f>
        <v>921405950459858946</v>
      </c>
      <c r="F463" s="10" t="s">
        <v>39</v>
      </c>
      <c r="G463" s="10" t="n">
        <v>485</v>
      </c>
      <c r="H463" s="10" t="n">
        <v>632</v>
      </c>
      <c r="I463" s="10" t="n">
        <v>0</v>
      </c>
      <c r="J463" s="10" t="n">
        <v>0</v>
      </c>
      <c r="K463" s="10" t="s">
        <v>20</v>
      </c>
      <c r="L463" s="11" t="n">
        <v>40000.3394212963</v>
      </c>
      <c r="M463" s="12" t="s">
        <v>1335</v>
      </c>
      <c r="N463" s="12" t="s">
        <v>1336</v>
      </c>
      <c r="O463" s="9" t="str">
        <f aca="false">HYPERLINK("https://pbs.twimg.com/profile_images/790916464509280256/LJZJ_SOn_normal.jpg","View")</f>
        <v>View</v>
      </c>
      <c r="P463" s="10"/>
    </row>
    <row r="464" customFormat="false" ht="15.75" hidden="false" customHeight="false" outlineLevel="0" collapsed="false">
      <c r="A464" s="6" t="n">
        <v>43028.3803125</v>
      </c>
      <c r="B464" s="7" t="str">
        <f aca="false">HYPERLINK("https://twitter.com/NTKRNow","@NTKRNow")</f>
        <v>@NTKRNow</v>
      </c>
      <c r="C464" s="8" t="s">
        <v>829</v>
      </c>
      <c r="D464" s="8" t="s">
        <v>1337</v>
      </c>
      <c r="E464" s="9" t="str">
        <f aca="false">HYPERLINK("https://twitter.com/NTKRNow/status/921407575387721729","921407575387721729")</f>
        <v>921407575387721729</v>
      </c>
      <c r="F464" s="10" t="s">
        <v>60</v>
      </c>
      <c r="G464" s="10" t="n">
        <v>610</v>
      </c>
      <c r="H464" s="10" t="n">
        <v>4</v>
      </c>
      <c r="I464" s="10" t="n">
        <v>0</v>
      </c>
      <c r="J464" s="10" t="n">
        <v>0</v>
      </c>
      <c r="K464" s="10" t="s">
        <v>20</v>
      </c>
      <c r="L464" s="11" t="n">
        <v>42402.810625</v>
      </c>
      <c r="M464" s="12"/>
      <c r="N464" s="12"/>
      <c r="O464" s="9" t="str">
        <f aca="false">HYPERLINK("https://abs.twimg.com/sticky/default_profile_images/default_profile_normal.png","View")</f>
        <v>View</v>
      </c>
      <c r="P464" s="10"/>
    </row>
    <row r="465" customFormat="false" ht="15.75" hidden="false" customHeight="false" outlineLevel="0" collapsed="false">
      <c r="A465" s="6" t="n">
        <v>43028.4449884259</v>
      </c>
      <c r="B465" s="7" t="str">
        <f aca="false">HYPERLINK("https://twitter.com/razormustdie","@razormustdie")</f>
        <v>@razormustdie</v>
      </c>
      <c r="C465" s="8" t="s">
        <v>1338</v>
      </c>
      <c r="D465" s="8" t="s">
        <v>1339</v>
      </c>
      <c r="E465" s="9" t="str">
        <f aca="false">HYPERLINK("https://twitter.com/razormustdie/status/921431013221265408","921431013221265408")</f>
        <v>921431013221265408</v>
      </c>
      <c r="F465" s="9" t="s">
        <v>1340</v>
      </c>
      <c r="G465" s="10" t="n">
        <v>1632</v>
      </c>
      <c r="H465" s="10" t="n">
        <v>146</v>
      </c>
      <c r="I465" s="10" t="n">
        <v>0</v>
      </c>
      <c r="J465" s="10" t="n">
        <v>0</v>
      </c>
      <c r="K465" s="10" t="s">
        <v>20</v>
      </c>
      <c r="L465" s="11" t="n">
        <v>41043.4581712963</v>
      </c>
      <c r="M465" s="12"/>
      <c r="N465" s="12" t="s">
        <v>1341</v>
      </c>
      <c r="O465" s="9" t="str">
        <f aca="false">HYPERLINK("https://pbs.twimg.com/profile_images/2218409637/anigif_normal.gif","View")</f>
        <v>View</v>
      </c>
      <c r="P465" s="10"/>
    </row>
    <row r="466" customFormat="false" ht="15.75" hidden="false" customHeight="false" outlineLevel="0" collapsed="false">
      <c r="A466" s="6" t="n">
        <v>43028.4685069444</v>
      </c>
      <c r="B466" s="7" t="str">
        <f aca="false">HYPERLINK("https://twitter.com/kimvie","@kimvie")</f>
        <v>@kimvie</v>
      </c>
      <c r="C466" s="8" t="s">
        <v>1342</v>
      </c>
      <c r="D466" s="8" t="s">
        <v>1288</v>
      </c>
      <c r="E466" s="9" t="str">
        <f aca="false">HYPERLINK("https://twitter.com/kimvie/status/921439535527063553","921439535527063553")</f>
        <v>921439535527063553</v>
      </c>
      <c r="F466" s="10" t="s">
        <v>51</v>
      </c>
      <c r="G466" s="10" t="n">
        <v>2591</v>
      </c>
      <c r="H466" s="10" t="n">
        <v>5000</v>
      </c>
      <c r="I466" s="10" t="n">
        <v>13</v>
      </c>
      <c r="J466" s="10" t="n">
        <v>0</v>
      </c>
      <c r="K466" s="10" t="s">
        <v>20</v>
      </c>
      <c r="L466" s="11" t="n">
        <v>39911.8142361111</v>
      </c>
      <c r="M466" s="12"/>
      <c r="N466" s="12" t="s">
        <v>1343</v>
      </c>
      <c r="O466" s="9" t="str">
        <f aca="false">HYPERLINK("https://pbs.twimg.com/profile_images/900901038814887938/-pZjQTHp_normal.jpg","View")</f>
        <v>View</v>
      </c>
      <c r="P466" s="10"/>
    </row>
    <row r="467" customFormat="false" ht="15.75" hidden="false" customHeight="false" outlineLevel="0" collapsed="false">
      <c r="A467" s="6" t="n">
        <v>43028.4719097222</v>
      </c>
      <c r="B467" s="7" t="str">
        <f aca="false">HYPERLINK("https://twitter.com/martfack","@martfack")</f>
        <v>@martfack</v>
      </c>
      <c r="C467" s="8" t="s">
        <v>1344</v>
      </c>
      <c r="D467" s="8" t="s">
        <v>1345</v>
      </c>
      <c r="E467" s="9" t="str">
        <f aca="false">HYPERLINK("https://twitter.com/martfack/status/921440769931493376","921440769931493376")</f>
        <v>921440769931493376</v>
      </c>
      <c r="F467" s="10" t="s">
        <v>51</v>
      </c>
      <c r="G467" s="10" t="n">
        <v>12916</v>
      </c>
      <c r="H467" s="10" t="n">
        <v>997</v>
      </c>
      <c r="I467" s="10" t="n">
        <v>4</v>
      </c>
      <c r="J467" s="10" t="n">
        <v>7</v>
      </c>
      <c r="K467" s="10" t="s">
        <v>20</v>
      </c>
      <c r="L467" s="11" t="n">
        <v>40739.5375694444</v>
      </c>
      <c r="M467" s="12"/>
      <c r="N467" s="12" t="s">
        <v>1346</v>
      </c>
      <c r="O467" s="9" t="str">
        <f aca="false">HYPERLINK("https://pbs.twimg.com/profile_images/800185081599954944/gHDz1A0T_normal.jpg","View")</f>
        <v>View</v>
      </c>
      <c r="P467" s="10"/>
    </row>
    <row r="468" customFormat="false" ht="15.75" hidden="false" customHeight="false" outlineLevel="0" collapsed="false">
      <c r="A468" s="6" t="n">
        <v>43028.4721759259</v>
      </c>
      <c r="B468" s="7" t="str">
        <f aca="false">HYPERLINK("https://twitter.com/kimvie","@kimvie")</f>
        <v>@kimvie</v>
      </c>
      <c r="C468" s="8" t="s">
        <v>1342</v>
      </c>
      <c r="D468" s="8" t="s">
        <v>1347</v>
      </c>
      <c r="E468" s="9" t="str">
        <f aca="false">HYPERLINK("https://twitter.com/kimvie/status/921440867335929857","921440867335929857")</f>
        <v>921440867335929857</v>
      </c>
      <c r="F468" s="10" t="s">
        <v>51</v>
      </c>
      <c r="G468" s="10" t="n">
        <v>2591</v>
      </c>
      <c r="H468" s="10" t="n">
        <v>5000</v>
      </c>
      <c r="I468" s="10" t="n">
        <v>4</v>
      </c>
      <c r="J468" s="10" t="n">
        <v>0</v>
      </c>
      <c r="K468" s="10" t="s">
        <v>20</v>
      </c>
      <c r="L468" s="11" t="n">
        <v>39911.8142361111</v>
      </c>
      <c r="M468" s="12"/>
      <c r="N468" s="12" t="s">
        <v>1343</v>
      </c>
      <c r="O468" s="9" t="str">
        <f aca="false">HYPERLINK("https://pbs.twimg.com/profile_images/900901038814887938/-pZjQTHp_normal.jpg","View")</f>
        <v>View</v>
      </c>
      <c r="P468" s="10"/>
    </row>
    <row r="469" customFormat="false" ht="15.75" hidden="false" customHeight="false" outlineLevel="0" collapsed="false">
      <c r="A469" s="6" t="n">
        <v>43028.4745717593</v>
      </c>
      <c r="B469" s="7" t="str">
        <f aca="false">HYPERLINK("https://twitter.com/TouTzuSays","@TouTzuSays")</f>
        <v>@TouTzuSays</v>
      </c>
      <c r="C469" s="8" t="s">
        <v>1348</v>
      </c>
      <c r="D469" s="8" t="s">
        <v>1349</v>
      </c>
      <c r="E469" s="9" t="str">
        <f aca="false">HYPERLINK("https://twitter.com/TouTzuSays/status/921441733082202112","921441733082202112")</f>
        <v>921441733082202112</v>
      </c>
      <c r="F469" s="10" t="s">
        <v>39</v>
      </c>
      <c r="G469" s="10" t="n">
        <v>17</v>
      </c>
      <c r="H469" s="10" t="n">
        <v>27</v>
      </c>
      <c r="I469" s="10" t="n">
        <v>0</v>
      </c>
      <c r="J469" s="10" t="n">
        <v>0</v>
      </c>
      <c r="K469" s="10" t="s">
        <v>20</v>
      </c>
      <c r="L469" s="11" t="n">
        <v>40016.4397916667</v>
      </c>
      <c r="M469" s="12" t="s">
        <v>1350</v>
      </c>
      <c r="N469" s="12"/>
      <c r="O469" s="9" t="str">
        <f aca="false">HYPERLINK("https://abs.twimg.com/sticky/default_profile_images/default_profile_normal.png","View")</f>
        <v>View</v>
      </c>
      <c r="P469" s="10"/>
    </row>
    <row r="470" customFormat="false" ht="15.75" hidden="false" customHeight="false" outlineLevel="0" collapsed="false">
      <c r="A470" s="6" t="n">
        <v>43028.4753009259</v>
      </c>
      <c r="B470" s="7" t="str">
        <f aca="false">HYPERLINK("https://twitter.com/satokiton","@satokiton")</f>
        <v>@satokiton</v>
      </c>
      <c r="C470" s="8" t="s">
        <v>1351</v>
      </c>
      <c r="D470" s="8" t="s">
        <v>1347</v>
      </c>
      <c r="E470" s="9" t="str">
        <f aca="false">HYPERLINK("https://twitter.com/satokiton/status/921441996505358336","921441996505358336")</f>
        <v>921441996505358336</v>
      </c>
      <c r="F470" s="10" t="s">
        <v>51</v>
      </c>
      <c r="G470" s="10" t="n">
        <v>122</v>
      </c>
      <c r="H470" s="10" t="n">
        <v>144</v>
      </c>
      <c r="I470" s="10" t="n">
        <v>4</v>
      </c>
      <c r="J470" s="10" t="n">
        <v>0</v>
      </c>
      <c r="K470" s="10" t="s">
        <v>20</v>
      </c>
      <c r="L470" s="11" t="n">
        <v>43020.6661574074</v>
      </c>
      <c r="M470" s="13" t="s">
        <v>1352</v>
      </c>
      <c r="N470" s="13" t="s">
        <v>1353</v>
      </c>
      <c r="O470" s="9" t="str">
        <f aca="false">HYPERLINK("https://pbs.twimg.com/profile_images/923824057384034310/HfHQYT6p_normal.jpg","View")</f>
        <v>View</v>
      </c>
      <c r="P470" s="10"/>
    </row>
    <row r="471" customFormat="false" ht="15.75" hidden="false" customHeight="false" outlineLevel="0" collapsed="false">
      <c r="A471" s="6" t="n">
        <v>43028.4778240741</v>
      </c>
      <c r="B471" s="7" t="str">
        <f aca="false">HYPERLINK("https://twitter.com/ukelection_2017","@ukelection_2017")</f>
        <v>@ukelection_2017</v>
      </c>
      <c r="C471" s="8" t="s">
        <v>1354</v>
      </c>
      <c r="D471" s="8" t="s">
        <v>1355</v>
      </c>
      <c r="E471" s="9" t="str">
        <f aca="false">HYPERLINK("https://twitter.com/ukelection_2017/status/921442911840899072","921442911840899072")</f>
        <v>921442911840899072</v>
      </c>
      <c r="F471" s="9" t="s">
        <v>1147</v>
      </c>
      <c r="G471" s="10" t="n">
        <v>549</v>
      </c>
      <c r="H471" s="10" t="n">
        <v>366</v>
      </c>
      <c r="I471" s="10" t="n">
        <v>0</v>
      </c>
      <c r="J471" s="10" t="n">
        <v>0</v>
      </c>
      <c r="K471" s="10" t="s">
        <v>20</v>
      </c>
      <c r="L471" s="11" t="n">
        <v>42848.3948842593</v>
      </c>
      <c r="M471" s="12" t="s">
        <v>1319</v>
      </c>
      <c r="N471" s="12" t="s">
        <v>1356</v>
      </c>
      <c r="O471" s="9" t="str">
        <f aca="false">HYPERLINK("https://pbs.twimg.com/profile_images/864382212820676608/xRoCeHK8_normal.jpg","View")</f>
        <v>View</v>
      </c>
      <c r="P471" s="10"/>
    </row>
    <row r="472" customFormat="false" ht="15.75" hidden="false" customHeight="false" outlineLevel="0" collapsed="false">
      <c r="A472" s="6" t="n">
        <v>43028.4801736111</v>
      </c>
      <c r="B472" s="7" t="str">
        <f aca="false">HYPERLINK("https://twitter.com/JohnLothian","@JohnLothian")</f>
        <v>@JohnLothian</v>
      </c>
      <c r="C472" s="8" t="s">
        <v>1357</v>
      </c>
      <c r="D472" s="8" t="s">
        <v>1358</v>
      </c>
      <c r="E472" s="9" t="str">
        <f aca="false">HYPERLINK("https://twitter.com/JohnLothian/status/921443762156523520","921443762156523520")</f>
        <v>921443762156523520</v>
      </c>
      <c r="F472" s="10" t="s">
        <v>39</v>
      </c>
      <c r="G472" s="10" t="n">
        <v>8644</v>
      </c>
      <c r="H472" s="10" t="n">
        <v>2875</v>
      </c>
      <c r="I472" s="10" t="n">
        <v>0</v>
      </c>
      <c r="J472" s="10" t="n">
        <v>0</v>
      </c>
      <c r="K472" s="10" t="s">
        <v>20</v>
      </c>
      <c r="L472" s="11" t="n">
        <v>39770.2751967593</v>
      </c>
      <c r="M472" s="12" t="s">
        <v>1359</v>
      </c>
      <c r="N472" s="12" t="s">
        <v>1360</v>
      </c>
      <c r="O472" s="9" t="str">
        <f aca="false">HYPERLINK("https://pbs.twimg.com/profile_images/502195871249727488/KM_3GDzM_normal.jpeg","View")</f>
        <v>View</v>
      </c>
      <c r="P472" s="10"/>
    </row>
    <row r="473" customFormat="false" ht="15.75" hidden="false" customHeight="false" outlineLevel="0" collapsed="false">
      <c r="A473" s="6" t="n">
        <v>43028.490775463</v>
      </c>
      <c r="B473" s="7" t="str">
        <f aca="false">HYPERLINK("https://twitter.com/cgnetwork","@cgnetwork")</f>
        <v>@cgnetwork</v>
      </c>
      <c r="C473" s="8" t="s">
        <v>372</v>
      </c>
      <c r="D473" s="8" t="s">
        <v>1361</v>
      </c>
      <c r="E473" s="9" t="str">
        <f aca="false">HYPERLINK("https://twitter.com/cgnetwork/status/921447607548903424","921447607548903424")</f>
        <v>921447607548903424</v>
      </c>
      <c r="F473" s="10" t="s">
        <v>55</v>
      </c>
      <c r="G473" s="10" t="n">
        <v>1176</v>
      </c>
      <c r="H473" s="10" t="n">
        <v>497</v>
      </c>
      <c r="I473" s="10" t="n">
        <v>0</v>
      </c>
      <c r="J473" s="10" t="n">
        <v>0</v>
      </c>
      <c r="K473" s="10" t="s">
        <v>20</v>
      </c>
      <c r="L473" s="11" t="n">
        <v>39992.0619791667</v>
      </c>
      <c r="M473" s="12" t="s">
        <v>374</v>
      </c>
      <c r="N473" s="12" t="s">
        <v>375</v>
      </c>
      <c r="O473" s="9" t="str">
        <f aca="false">HYPERLINK("https://pbs.twimg.com/profile_images/286683233/Francis_Lim_Passport_Size_photo_image.jpg_normal.jpg","View")</f>
        <v>View</v>
      </c>
      <c r="P473" s="10"/>
    </row>
    <row r="474" customFormat="false" ht="15.75" hidden="false" customHeight="false" outlineLevel="0" collapsed="false">
      <c r="A474" s="6" t="n">
        <v>43028.5037847222</v>
      </c>
      <c r="B474" s="7" t="str">
        <f aca="false">HYPERLINK("https://twitter.com/craigmatsuda","@craigmatsuda")</f>
        <v>@craigmatsuda</v>
      </c>
      <c r="C474" s="8" t="s">
        <v>1362</v>
      </c>
      <c r="D474" s="8" t="s">
        <v>1347</v>
      </c>
      <c r="E474" s="9" t="str">
        <f aca="false">HYPERLINK("https://twitter.com/craigmatsuda/status/921452318238765056","921452318238765056")</f>
        <v>921452318238765056</v>
      </c>
      <c r="F474" s="10" t="s">
        <v>51</v>
      </c>
      <c r="G474" s="10" t="n">
        <v>548</v>
      </c>
      <c r="H474" s="10" t="n">
        <v>621</v>
      </c>
      <c r="I474" s="10" t="n">
        <v>4</v>
      </c>
      <c r="J474" s="10" t="n">
        <v>0</v>
      </c>
      <c r="K474" s="10" t="s">
        <v>20</v>
      </c>
      <c r="L474" s="11" t="n">
        <v>39988.0067824074</v>
      </c>
      <c r="M474" s="12" t="s">
        <v>1363</v>
      </c>
      <c r="N474" s="12" t="s">
        <v>1364</v>
      </c>
      <c r="O474" s="9" t="str">
        <f aca="false">HYPERLINK("https://pbs.twimg.com/profile_images/883454080600780800/E2YdcEKZ_normal.jpg","View")</f>
        <v>View</v>
      </c>
      <c r="P474" s="10"/>
    </row>
    <row r="475" customFormat="false" ht="15.75" hidden="false" customHeight="false" outlineLevel="0" collapsed="false">
      <c r="A475" s="6" t="n">
        <v>43028.5263888889</v>
      </c>
      <c r="B475" s="7" t="str">
        <f aca="false">HYPERLINK("https://twitter.com/walabytrack","@walabytrack")</f>
        <v>@walabytrack</v>
      </c>
      <c r="C475" s="8" t="s">
        <v>1365</v>
      </c>
      <c r="D475" s="8" t="s">
        <v>1366</v>
      </c>
      <c r="E475" s="9" t="str">
        <f aca="false">HYPERLINK("https://twitter.com/walabytrack/status/921460511274713088","921460511274713088")</f>
        <v>921460511274713088</v>
      </c>
      <c r="F475" s="10" t="s">
        <v>51</v>
      </c>
      <c r="G475" s="10" t="n">
        <v>1818</v>
      </c>
      <c r="H475" s="10" t="n">
        <v>2251</v>
      </c>
      <c r="I475" s="10" t="n">
        <v>0</v>
      </c>
      <c r="J475" s="10" t="n">
        <v>0</v>
      </c>
      <c r="K475" s="10" t="s">
        <v>20</v>
      </c>
      <c r="L475" s="11" t="n">
        <v>40823.2556944444</v>
      </c>
      <c r="M475" s="12" t="s">
        <v>1367</v>
      </c>
      <c r="N475" s="12" t="s">
        <v>1368</v>
      </c>
      <c r="O475" s="9" t="str">
        <f aca="false">HYPERLINK("https://pbs.twimg.com/profile_images/682483835888517120/WgBq1sJ8_normal.jpg","View")</f>
        <v>View</v>
      </c>
      <c r="P475" s="10"/>
    </row>
    <row r="476" customFormat="false" ht="15.75" hidden="false" customHeight="false" outlineLevel="0" collapsed="false">
      <c r="A476" s="6" t="n">
        <v>43028.5385069444</v>
      </c>
      <c r="B476" s="7" t="str">
        <f aca="false">HYPERLINK("https://twitter.com/pesonaIDnesia","@pesonaIDnesia")</f>
        <v>@pesonaIDnesia</v>
      </c>
      <c r="C476" s="8" t="s">
        <v>1369</v>
      </c>
      <c r="D476" s="8" t="s">
        <v>1370</v>
      </c>
      <c r="E476" s="9" t="str">
        <f aca="false">HYPERLINK("https://twitter.com/pesonaIDnesia/status/921464901012475906","921464901012475906")</f>
        <v>921464901012475906</v>
      </c>
      <c r="F476" s="9" t="s">
        <v>979</v>
      </c>
      <c r="G476" s="10" t="n">
        <v>45</v>
      </c>
      <c r="H476" s="10" t="n">
        <v>37</v>
      </c>
      <c r="I476" s="10" t="n">
        <v>0</v>
      </c>
      <c r="J476" s="10" t="n">
        <v>0</v>
      </c>
      <c r="K476" s="10" t="s">
        <v>20</v>
      </c>
      <c r="L476" s="11" t="n">
        <v>42490.9393518518</v>
      </c>
      <c r="M476" s="12" t="s">
        <v>1371</v>
      </c>
      <c r="N476" s="12" t="s">
        <v>1372</v>
      </c>
      <c r="O476" s="9" t="str">
        <f aca="false">HYPERLINK("https://pbs.twimg.com/profile_images/726645983849762816/Rd6RuvJB_normal.jpg","View")</f>
        <v>View</v>
      </c>
      <c r="P476" s="10"/>
    </row>
    <row r="477" customFormat="false" ht="15.75" hidden="false" customHeight="false" outlineLevel="0" collapsed="false">
      <c r="A477" s="6" t="n">
        <v>43028.5430324074</v>
      </c>
      <c r="B477" s="7" t="str">
        <f aca="false">HYPERLINK("https://twitter.com/Gilbarad","@Gilbarad")</f>
        <v>@Gilbarad</v>
      </c>
      <c r="C477" s="8" t="s">
        <v>1373</v>
      </c>
      <c r="D477" s="8" t="s">
        <v>1374</v>
      </c>
      <c r="E477" s="9" t="str">
        <f aca="false">HYPERLINK("https://twitter.com/Gilbarad/status/921466544844132353","921466544844132353")</f>
        <v>921466544844132353</v>
      </c>
      <c r="F477" s="10" t="s">
        <v>39</v>
      </c>
      <c r="G477" s="10" t="n">
        <v>38</v>
      </c>
      <c r="H477" s="10" t="n">
        <v>88</v>
      </c>
      <c r="I477" s="10" t="n">
        <v>0</v>
      </c>
      <c r="J477" s="10" t="n">
        <v>0</v>
      </c>
      <c r="K477" s="10" t="s">
        <v>20</v>
      </c>
      <c r="L477" s="11" t="n">
        <v>41559.4035069444</v>
      </c>
      <c r="M477" s="12"/>
      <c r="N477" s="12"/>
      <c r="O477" s="9" t="str">
        <f aca="false">HYPERLINK("https://pbs.twimg.com/profile_images/770706838925041664/YS8lszFs_normal.jpg","View")</f>
        <v>View</v>
      </c>
      <c r="P477" s="10"/>
    </row>
    <row r="478" customFormat="false" ht="15.75" hidden="false" customHeight="false" outlineLevel="0" collapsed="false">
      <c r="A478" s="6" t="n">
        <v>43028.5526851852</v>
      </c>
      <c r="B478" s="7" t="str">
        <f aca="false">HYPERLINK("https://twitter.com/NewsyNewsworld","@NewsyNewsworld")</f>
        <v>@NewsyNewsworld</v>
      </c>
      <c r="C478" s="8" t="s">
        <v>1375</v>
      </c>
      <c r="D478" s="8" t="s">
        <v>1376</v>
      </c>
      <c r="E478" s="9" t="str">
        <f aca="false">HYPERLINK("https://twitter.com/NewsyNewsworld/status/921470042872655875","921470042872655875")</f>
        <v>921470042872655875</v>
      </c>
      <c r="F478" s="10" t="s">
        <v>60</v>
      </c>
      <c r="G478" s="10" t="n">
        <v>516</v>
      </c>
      <c r="H478" s="10" t="n">
        <v>9</v>
      </c>
      <c r="I478" s="10" t="n">
        <v>0</v>
      </c>
      <c r="J478" s="10" t="n">
        <v>0</v>
      </c>
      <c r="K478" s="10" t="s">
        <v>20</v>
      </c>
      <c r="L478" s="11" t="n">
        <v>41631.6942939815</v>
      </c>
      <c r="M478" s="12"/>
      <c r="N478" s="12"/>
      <c r="O478" s="9" t="str">
        <f aca="false">HYPERLINK("https://pbs.twimg.com/profile_images/415285432658579457/t8NoToc__normal.png","View")</f>
        <v>View</v>
      </c>
      <c r="P478" s="10"/>
    </row>
    <row r="479" customFormat="false" ht="15.75" hidden="false" customHeight="false" outlineLevel="0" collapsed="false">
      <c r="A479" s="6" t="n">
        <v>43028.5539699074</v>
      </c>
      <c r="B479" s="7" t="str">
        <f aca="false">HYPERLINK("https://twitter.com/HTawfiq1","@HTawfiq1")</f>
        <v>@HTawfiq1</v>
      </c>
      <c r="C479" s="8" t="s">
        <v>1377</v>
      </c>
      <c r="D479" s="8" t="s">
        <v>1378</v>
      </c>
      <c r="E479" s="9" t="str">
        <f aca="false">HYPERLINK("https://twitter.com/HTawfiq1/status/921470505416355841","921470505416355841")</f>
        <v>921470505416355841</v>
      </c>
      <c r="F479" s="10" t="s">
        <v>39</v>
      </c>
      <c r="G479" s="10" t="n">
        <v>805</v>
      </c>
      <c r="H479" s="10" t="n">
        <v>2395</v>
      </c>
      <c r="I479" s="10" t="n">
        <v>0</v>
      </c>
      <c r="J479" s="10" t="n">
        <v>0</v>
      </c>
      <c r="K479" s="10" t="s">
        <v>20</v>
      </c>
      <c r="L479" s="11" t="n">
        <v>42032.1312384259</v>
      </c>
      <c r="M479" s="12" t="s">
        <v>203</v>
      </c>
      <c r="N479" s="12" t="s">
        <v>1379</v>
      </c>
      <c r="O479" s="9" t="str">
        <f aca="false">HYPERLINK("https://pbs.twimg.com/profile_images/761035574388006914/HynRdsQO_normal.jpg","View")</f>
        <v>View</v>
      </c>
      <c r="P479" s="10"/>
    </row>
    <row r="480" customFormat="false" ht="15.75" hidden="false" customHeight="false" outlineLevel="0" collapsed="false">
      <c r="A480" s="6" t="n">
        <v>43028.5574768519</v>
      </c>
      <c r="B480" s="7" t="str">
        <f aca="false">HYPERLINK("https://twitter.com/nic120688","@nic120688")</f>
        <v>@nic120688</v>
      </c>
      <c r="C480" s="8" t="s">
        <v>1380</v>
      </c>
      <c r="D480" s="8" t="s">
        <v>1381</v>
      </c>
      <c r="E480" s="9" t="str">
        <f aca="false">HYPERLINK("https://twitter.com/nic120688/status/921471779331178496","921471779331178496")</f>
        <v>921471779331178496</v>
      </c>
      <c r="F480" s="10" t="s">
        <v>60</v>
      </c>
      <c r="G480" s="10" t="n">
        <v>75</v>
      </c>
      <c r="H480" s="10" t="n">
        <v>42</v>
      </c>
      <c r="I480" s="10" t="n">
        <v>0</v>
      </c>
      <c r="J480" s="10" t="n">
        <v>0</v>
      </c>
      <c r="K480" s="10" t="s">
        <v>20</v>
      </c>
      <c r="L480" s="11" t="n">
        <v>41854.729837963</v>
      </c>
      <c r="M480" s="12"/>
      <c r="N480" s="12" t="s">
        <v>1382</v>
      </c>
      <c r="O480" s="9" t="str">
        <f aca="false">HYPERLINK("https://pbs.twimg.com/profile_images/637274663236694016/Y2oQYdpK_normal.jpg","View")</f>
        <v>View</v>
      </c>
      <c r="P480" s="10"/>
    </row>
    <row r="481" customFormat="false" ht="15.75" hidden="false" customHeight="false" outlineLevel="0" collapsed="false">
      <c r="A481" s="6" t="n">
        <v>43028.5588194445</v>
      </c>
      <c r="B481" s="7" t="str">
        <f aca="false">HYPERLINK("https://twitter.com/GooglePixel_","@GooglePixel_")</f>
        <v>@GooglePixel_</v>
      </c>
      <c r="C481" s="8" t="s">
        <v>1383</v>
      </c>
      <c r="D481" s="8" t="s">
        <v>1384</v>
      </c>
      <c r="E481" s="9" t="str">
        <f aca="false">HYPERLINK("https://twitter.com/GooglePixel_/status/921472263677009921","921472263677009921")</f>
        <v>921472263677009921</v>
      </c>
      <c r="F481" s="10" t="s">
        <v>60</v>
      </c>
      <c r="G481" s="10" t="n">
        <v>124</v>
      </c>
      <c r="H481" s="10" t="n">
        <v>61</v>
      </c>
      <c r="I481" s="10" t="n">
        <v>0</v>
      </c>
      <c r="J481" s="10" t="n">
        <v>0</v>
      </c>
      <c r="K481" s="10" t="s">
        <v>20</v>
      </c>
      <c r="L481" s="11" t="n">
        <v>42336.194537037</v>
      </c>
      <c r="M481" s="12"/>
      <c r="N481" s="12" t="s">
        <v>1385</v>
      </c>
      <c r="O481" s="9" t="str">
        <f aca="false">HYPERLINK("https://pbs.twimg.com/profile_images/801493045191376896/MDIIxyrv_normal.jpg","View")</f>
        <v>View</v>
      </c>
      <c r="P481" s="10"/>
    </row>
    <row r="482" customFormat="false" ht="15.75" hidden="false" customHeight="false" outlineLevel="0" collapsed="false">
      <c r="A482" s="6" t="n">
        <v>43028.5650925926</v>
      </c>
      <c r="B482" s="7" t="str">
        <f aca="false">HYPERLINK("https://twitter.com/Ahk1225","@Ahk1225")</f>
        <v>@Ahk1225</v>
      </c>
      <c r="C482" s="8" t="s">
        <v>1386</v>
      </c>
      <c r="D482" s="8" t="s">
        <v>1261</v>
      </c>
      <c r="E482" s="9" t="str">
        <f aca="false">HYPERLINK("https://twitter.com/Ahk1225/status/921474536855539712","921474536855539712")</f>
        <v>921474536855539712</v>
      </c>
      <c r="F482" s="10" t="s">
        <v>25</v>
      </c>
      <c r="G482" s="10" t="n">
        <v>15</v>
      </c>
      <c r="H482" s="10" t="n">
        <v>117</v>
      </c>
      <c r="I482" s="10" t="n">
        <v>3</v>
      </c>
      <c r="J482" s="10" t="n">
        <v>0</v>
      </c>
      <c r="K482" s="10" t="s">
        <v>20</v>
      </c>
      <c r="L482" s="11" t="n">
        <v>40297.8240509259</v>
      </c>
      <c r="M482" s="12" t="s">
        <v>230</v>
      </c>
      <c r="N482" s="12" t="s">
        <v>1387</v>
      </c>
      <c r="O482" s="9" t="str">
        <f aca="false">HYPERLINK("https://pbs.twimg.com/profile_images/846893483386458112/48IIx10S_normal.jpg","View")</f>
        <v>View</v>
      </c>
      <c r="P482" s="10"/>
    </row>
    <row r="483" customFormat="false" ht="15.75" hidden="false" customHeight="false" outlineLevel="0" collapsed="false">
      <c r="A483" s="6" t="n">
        <v>43028.5720601852</v>
      </c>
      <c r="B483" s="7" t="str">
        <f aca="false">HYPERLINK("https://twitter.com/newsonreddit","@newsonreddit")</f>
        <v>@newsonreddit</v>
      </c>
      <c r="C483" s="8" t="s">
        <v>1388</v>
      </c>
      <c r="D483" s="8" t="s">
        <v>1389</v>
      </c>
      <c r="E483" s="9" t="str">
        <f aca="false">HYPERLINK("https://twitter.com/newsonreddit/status/921477061109338112","921477061109338112")</f>
        <v>921477061109338112</v>
      </c>
      <c r="F483" s="10" t="s">
        <v>60</v>
      </c>
      <c r="G483" s="10" t="n">
        <v>106</v>
      </c>
      <c r="H483" s="10" t="n">
        <v>0</v>
      </c>
      <c r="I483" s="10" t="n">
        <v>0</v>
      </c>
      <c r="J483" s="10" t="n">
        <v>0</v>
      </c>
      <c r="K483" s="10" t="s">
        <v>20</v>
      </c>
      <c r="L483" s="11" t="n">
        <v>42557.4315856481</v>
      </c>
      <c r="M483" s="12"/>
      <c r="N483" s="12" t="s">
        <v>1390</v>
      </c>
      <c r="O483" s="9" t="str">
        <f aca="false">HYPERLINK("https://pbs.twimg.com/profile_images/750875730444189696/U36MDaYz_normal.jpg","View")</f>
        <v>View</v>
      </c>
      <c r="P483" s="10"/>
    </row>
    <row r="484" customFormat="false" ht="15.75" hidden="false" customHeight="false" outlineLevel="0" collapsed="false">
      <c r="A484" s="6" t="n">
        <v>43028.5789351852</v>
      </c>
      <c r="B484" s="7" t="str">
        <f aca="false">HYPERLINK("https://twitter.com/newsfromreddit","@newsfromreddit")</f>
        <v>@newsfromreddit</v>
      </c>
      <c r="C484" s="8" t="s">
        <v>1391</v>
      </c>
      <c r="D484" s="8" t="s">
        <v>1392</v>
      </c>
      <c r="E484" s="9" t="str">
        <f aca="false">HYPERLINK("https://twitter.com/newsfromreddit/status/921479554430111744","921479554430111744")</f>
        <v>921479554430111744</v>
      </c>
      <c r="F484" s="10" t="s">
        <v>60</v>
      </c>
      <c r="G484" s="10" t="n">
        <v>867</v>
      </c>
      <c r="H484" s="10" t="n">
        <v>22</v>
      </c>
      <c r="I484" s="10" t="n">
        <v>0</v>
      </c>
      <c r="J484" s="10" t="n">
        <v>0</v>
      </c>
      <c r="K484" s="10" t="s">
        <v>20</v>
      </c>
      <c r="L484" s="11" t="n">
        <v>42037.2049537037</v>
      </c>
      <c r="M484" s="12"/>
      <c r="N484" s="12" t="s">
        <v>1393</v>
      </c>
      <c r="O484" s="9" t="str">
        <f aca="false">HYPERLINK("https://pbs.twimg.com/profile_images/562254099987447808/s35CGI6u_normal.png","View")</f>
        <v>View</v>
      </c>
      <c r="P484" s="10"/>
    </row>
    <row r="485" customFormat="false" ht="15.75" hidden="false" customHeight="false" outlineLevel="0" collapsed="false">
      <c r="A485" s="6" t="n">
        <v>43028.5875</v>
      </c>
      <c r="B485" s="7" t="str">
        <f aca="false">HYPERLINK("https://twitter.com/ACLWDiannRH","@ACLWDiannRH")</f>
        <v>@ACLWDiannRH</v>
      </c>
      <c r="C485" s="8" t="s">
        <v>1394</v>
      </c>
      <c r="D485" s="8" t="s">
        <v>1395</v>
      </c>
      <c r="E485" s="9" t="str">
        <f aca="false">HYPERLINK("https://twitter.com/ACLWDiannRH/status/921482659460669441","921482659460669441")</f>
        <v>921482659460669441</v>
      </c>
      <c r="F485" s="10" t="s">
        <v>25</v>
      </c>
      <c r="G485" s="10" t="n">
        <v>861</v>
      </c>
      <c r="H485" s="10" t="n">
        <v>1288</v>
      </c>
      <c r="I485" s="10" t="n">
        <v>0</v>
      </c>
      <c r="J485" s="10" t="n">
        <v>0</v>
      </c>
      <c r="K485" s="10" t="s">
        <v>20</v>
      </c>
      <c r="L485" s="11" t="n">
        <v>41165.9891898148</v>
      </c>
      <c r="M485" s="12" t="s">
        <v>1199</v>
      </c>
      <c r="N485" s="12" t="s">
        <v>1396</v>
      </c>
      <c r="O485" s="9" t="str">
        <f aca="false">HYPERLINK("https://pbs.twimg.com/profile_images/516416114503323648/3u2wJxzx_normal.jpeg","View")</f>
        <v>View</v>
      </c>
      <c r="P485" s="10"/>
    </row>
    <row r="486" customFormat="false" ht="15.75" hidden="false" customHeight="false" outlineLevel="0" collapsed="false">
      <c r="A486" s="6" t="n">
        <v>43028.607974537</v>
      </c>
      <c r="B486" s="7" t="str">
        <f aca="false">HYPERLINK("https://twitter.com/SheilaSmithCFR","@SheilaSmithCFR")</f>
        <v>@SheilaSmithCFR</v>
      </c>
      <c r="C486" s="8" t="s">
        <v>1397</v>
      </c>
      <c r="D486" s="8" t="s">
        <v>1347</v>
      </c>
      <c r="E486" s="9" t="str">
        <f aca="false">HYPERLINK("https://twitter.com/SheilaSmithCFR/status/921490076563058694","921490076563058694")</f>
        <v>921490076563058694</v>
      </c>
      <c r="F486" s="10" t="s">
        <v>51</v>
      </c>
      <c r="G486" s="10" t="n">
        <v>4440</v>
      </c>
      <c r="H486" s="10" t="n">
        <v>310</v>
      </c>
      <c r="I486" s="10" t="n">
        <v>4</v>
      </c>
      <c r="J486" s="10" t="n">
        <v>0</v>
      </c>
      <c r="K486" s="10" t="s">
        <v>20</v>
      </c>
      <c r="L486" s="11" t="n">
        <v>40897.7983564815</v>
      </c>
      <c r="M486" s="12" t="s">
        <v>723</v>
      </c>
      <c r="N486" s="12" t="s">
        <v>1398</v>
      </c>
      <c r="O486" s="9" t="str">
        <f aca="false">HYPERLINK("https://pbs.twimg.com/profile_images/474587797337042945/HOSFbOao_normal.jpeg","View")</f>
        <v>View</v>
      </c>
      <c r="P486" s="10"/>
    </row>
    <row r="487" customFormat="false" ht="15.75" hidden="false" customHeight="false" outlineLevel="0" collapsed="false">
      <c r="A487" s="6" t="n">
        <v>43028.6161574074</v>
      </c>
      <c r="B487" s="7" t="str">
        <f aca="false">HYPERLINK("https://twitter.com/BloombergAsia","@BloombergAsia")</f>
        <v>@BloombergAsia</v>
      </c>
      <c r="C487" s="8" t="s">
        <v>1399</v>
      </c>
      <c r="D487" s="8" t="s">
        <v>1400</v>
      </c>
      <c r="E487" s="9" t="str">
        <f aca="false">HYPERLINK("https://twitter.com/BloombergAsia/status/921493041558573057","921493041558573057")</f>
        <v>921493041558573057</v>
      </c>
      <c r="F487" s="10" t="s">
        <v>268</v>
      </c>
      <c r="G487" s="10" t="n">
        <v>28823</v>
      </c>
      <c r="H487" s="10" t="n">
        <v>97</v>
      </c>
      <c r="I487" s="10" t="n">
        <v>1</v>
      </c>
      <c r="J487" s="10" t="n">
        <v>3</v>
      </c>
      <c r="K487" s="10" t="s">
        <v>20</v>
      </c>
      <c r="L487" s="11" t="n">
        <v>41052.2384837963</v>
      </c>
      <c r="M487" s="12"/>
      <c r="N487" s="12" t="s">
        <v>1401</v>
      </c>
      <c r="O487" s="9" t="str">
        <f aca="false">HYPERLINK("https://pbs.twimg.com/profile_images/778129630284902401/gXjFkqGM_normal.jpg","View")</f>
        <v>View</v>
      </c>
      <c r="P487" s="10"/>
    </row>
    <row r="488" customFormat="false" ht="15.75" hidden="false" customHeight="false" outlineLevel="0" collapsed="false">
      <c r="A488" s="6" t="n">
        <v>43028.6259375</v>
      </c>
      <c r="B488" s="7" t="str">
        <f aca="false">HYPERLINK("https://twitter.com/SampanNewspaper","@SampanNewspaper")</f>
        <v>@SampanNewspaper</v>
      </c>
      <c r="C488" s="8" t="s">
        <v>1402</v>
      </c>
      <c r="D488" s="8" t="s">
        <v>1403</v>
      </c>
      <c r="E488" s="9" t="str">
        <f aca="false">HYPERLINK("https://twitter.com/SampanNewspaper/status/921496587800662017","921496587800662017")</f>
        <v>921496587800662017</v>
      </c>
      <c r="F488" s="10" t="s">
        <v>47</v>
      </c>
      <c r="G488" s="10" t="n">
        <v>921</v>
      </c>
      <c r="H488" s="10" t="n">
        <v>1399</v>
      </c>
      <c r="I488" s="10" t="n">
        <v>1</v>
      </c>
      <c r="J488" s="10" t="n">
        <v>0</v>
      </c>
      <c r="K488" s="10" t="s">
        <v>20</v>
      </c>
      <c r="L488" s="11" t="n">
        <v>40798.566400463</v>
      </c>
      <c r="M488" s="12" t="s">
        <v>1404</v>
      </c>
      <c r="N488" s="12" t="s">
        <v>1405</v>
      </c>
      <c r="O488" s="9" t="str">
        <f aca="false">HYPERLINK("https://pbs.twimg.com/profile_images/3096099083/65c830fee21d5a1af2aa8e9dd715053a_normal.jpeg","View")</f>
        <v>View</v>
      </c>
      <c r="P488" s="10"/>
    </row>
    <row r="489" customFormat="false" ht="15.75" hidden="false" customHeight="false" outlineLevel="0" collapsed="false">
      <c r="A489" s="6" t="n">
        <v>43028.6329398148</v>
      </c>
      <c r="B489" s="7" t="str">
        <f aca="false">HYPERLINK("https://twitter.com/mfullilove","@mfullilove")</f>
        <v>@mfullilove</v>
      </c>
      <c r="C489" s="8" t="s">
        <v>1406</v>
      </c>
      <c r="D489" s="8" t="s">
        <v>1407</v>
      </c>
      <c r="E489" s="9" t="str">
        <f aca="false">HYPERLINK("https://twitter.com/mfullilove/status/921499123030802432","921499123030802432")</f>
        <v>921499123030802432</v>
      </c>
      <c r="F489" s="10" t="s">
        <v>51</v>
      </c>
      <c r="G489" s="10" t="n">
        <v>14542</v>
      </c>
      <c r="H489" s="10" t="n">
        <v>1565</v>
      </c>
      <c r="I489" s="10" t="n">
        <v>1</v>
      </c>
      <c r="J489" s="10" t="n">
        <v>1</v>
      </c>
      <c r="K489" s="10" t="s">
        <v>20</v>
      </c>
      <c r="L489" s="11" t="n">
        <v>39963.3075</v>
      </c>
      <c r="M489" s="12" t="s">
        <v>1408</v>
      </c>
      <c r="N489" s="12" t="s">
        <v>1409</v>
      </c>
      <c r="O489" s="9" t="str">
        <f aca="false">HYPERLINK("https://pbs.twimg.com/profile_images/787803739650273280/KUNhpxtv_normal.jpg","View")</f>
        <v>View</v>
      </c>
      <c r="P489" s="10"/>
    </row>
    <row r="490" customFormat="false" ht="15.75" hidden="false" customHeight="false" outlineLevel="0" collapsed="false">
      <c r="A490" s="6" t="n">
        <v>43028.6375347222</v>
      </c>
      <c r="B490" s="7" t="str">
        <f aca="false">HYPERLINK("https://twitter.com/business","@business")</f>
        <v>@business</v>
      </c>
      <c r="C490" s="8" t="s">
        <v>196</v>
      </c>
      <c r="D490" s="8" t="s">
        <v>1410</v>
      </c>
      <c r="E490" s="9" t="str">
        <f aca="false">HYPERLINK("https://twitter.com/business/status/921500788920344577","921500788920344577")</f>
        <v>921500788920344577</v>
      </c>
      <c r="F490" s="10" t="s">
        <v>268</v>
      </c>
      <c r="G490" s="10" t="n">
        <v>4344112</v>
      </c>
      <c r="H490" s="10" t="n">
        <v>1088</v>
      </c>
      <c r="I490" s="10" t="n">
        <v>25</v>
      </c>
      <c r="J490" s="10" t="n">
        <v>29</v>
      </c>
      <c r="K490" s="10" t="s">
        <v>20</v>
      </c>
      <c r="L490" s="11" t="n">
        <v>39926.5453356481</v>
      </c>
      <c r="M490" s="12" t="s">
        <v>199</v>
      </c>
      <c r="N490" s="12" t="s">
        <v>200</v>
      </c>
      <c r="O490" s="9" t="str">
        <f aca="false">HYPERLINK("https://pbs.twimg.com/profile_images/714946924105883648/4fgNVF4H_normal.jpg","View")</f>
        <v>View</v>
      </c>
      <c r="P490" s="10"/>
    </row>
    <row r="491" customFormat="false" ht="15.75" hidden="false" customHeight="false" outlineLevel="0" collapsed="false">
      <c r="A491" s="6" t="n">
        <v>43028.637974537</v>
      </c>
      <c r="B491" s="7" t="str">
        <f aca="false">HYPERLINK("https://twitter.com/YazdJBilimoria","@YazdJBilimoria")</f>
        <v>@YazdJBilimoria</v>
      </c>
      <c r="C491" s="8" t="s">
        <v>1411</v>
      </c>
      <c r="D491" s="8" t="s">
        <v>1412</v>
      </c>
      <c r="E491" s="9" t="str">
        <f aca="false">HYPERLINK("https://twitter.com/YazdJBilimoria/status/921500947741683712","921500947741683712")</f>
        <v>921500947741683712</v>
      </c>
      <c r="F491" s="10" t="s">
        <v>25</v>
      </c>
      <c r="G491" s="10" t="n">
        <v>605</v>
      </c>
      <c r="H491" s="10" t="n">
        <v>397</v>
      </c>
      <c r="I491" s="10" t="n">
        <v>25</v>
      </c>
      <c r="J491" s="10" t="n">
        <v>0</v>
      </c>
      <c r="K491" s="10" t="s">
        <v>20</v>
      </c>
      <c r="L491" s="11" t="n">
        <v>40838.0354050926</v>
      </c>
      <c r="M491" s="12" t="s">
        <v>860</v>
      </c>
      <c r="N491" s="12" t="s">
        <v>1413</v>
      </c>
      <c r="O491" s="9" t="str">
        <f aca="false">HYPERLINK("https://pbs.twimg.com/profile_images/609557791234109440/HngDPdiD_normal.jpg","View")</f>
        <v>View</v>
      </c>
      <c r="P491" s="10"/>
    </row>
    <row r="492" customFormat="false" ht="15.75" hidden="false" customHeight="false" outlineLevel="0" collapsed="false">
      <c r="A492" s="6" t="n">
        <v>43028.63875</v>
      </c>
      <c r="B492" s="7" t="str">
        <f aca="false">HYPERLINK("https://twitter.com/shailendra_nair","@shailendra_nair")</f>
        <v>@shailendra_nair</v>
      </c>
      <c r="C492" s="8" t="s">
        <v>251</v>
      </c>
      <c r="D492" s="8" t="s">
        <v>1414</v>
      </c>
      <c r="E492" s="9" t="str">
        <f aca="false">HYPERLINK("https://twitter.com/shailendra_nair/status/921501229364195328","921501229364195328")</f>
        <v>921501229364195328</v>
      </c>
      <c r="F492" s="10" t="s">
        <v>60</v>
      </c>
      <c r="G492" s="10" t="n">
        <v>3986</v>
      </c>
      <c r="H492" s="10" t="n">
        <v>1042</v>
      </c>
      <c r="I492" s="10" t="n">
        <v>0</v>
      </c>
      <c r="J492" s="10" t="n">
        <v>0</v>
      </c>
      <c r="K492" s="10" t="s">
        <v>20</v>
      </c>
      <c r="L492" s="11" t="n">
        <v>40362.4379861111</v>
      </c>
      <c r="M492" s="12" t="s">
        <v>253</v>
      </c>
      <c r="N492" s="12" t="s">
        <v>254</v>
      </c>
      <c r="O492" s="9" t="str">
        <f aca="false">HYPERLINK("https://pbs.twimg.com/profile_images/884758468879466497/M_w6UjD3_normal.jpg","View")</f>
        <v>View</v>
      </c>
      <c r="P492" s="10"/>
    </row>
    <row r="493" customFormat="false" ht="15.75" hidden="false" customHeight="false" outlineLevel="0" collapsed="false">
      <c r="A493" s="6" t="n">
        <v>43028.638900463</v>
      </c>
      <c r="B493" s="7" t="str">
        <f aca="false">HYPERLINK("https://twitter.com/News365247live","@News365247live")</f>
        <v>@News365247live</v>
      </c>
      <c r="C493" s="8" t="s">
        <v>376</v>
      </c>
      <c r="D493" s="8" t="s">
        <v>1412</v>
      </c>
      <c r="E493" s="9" t="str">
        <f aca="false">HYPERLINK("https://twitter.com/News365247live/status/921501285961973760","921501285961973760")</f>
        <v>921501285961973760</v>
      </c>
      <c r="F493" s="10" t="s">
        <v>377</v>
      </c>
      <c r="G493" s="10" t="n">
        <v>1534</v>
      </c>
      <c r="H493" s="10" t="n">
        <v>5001</v>
      </c>
      <c r="I493" s="10" t="n">
        <v>25</v>
      </c>
      <c r="J493" s="10" t="n">
        <v>0</v>
      </c>
      <c r="K493" s="10" t="s">
        <v>20</v>
      </c>
      <c r="L493" s="11" t="n">
        <v>42728.3420949074</v>
      </c>
      <c r="M493" s="12" t="s">
        <v>357</v>
      </c>
      <c r="N493" s="12" t="s">
        <v>378</v>
      </c>
      <c r="O493" s="9" t="str">
        <f aca="false">HYPERLINK("https://pbs.twimg.com/profile_images/813047771091472384/ZtakiWrG_normal.jpg","View")</f>
        <v>View</v>
      </c>
      <c r="P493" s="10"/>
    </row>
    <row r="494" customFormat="false" ht="15.75" hidden="false" customHeight="false" outlineLevel="0" collapsed="false">
      <c r="A494" s="6" t="n">
        <v>43028.6389351852</v>
      </c>
      <c r="B494" s="7" t="str">
        <f aca="false">HYPERLINK("https://twitter.com/joetrader6","@joetrader6")</f>
        <v>@joetrader6</v>
      </c>
      <c r="C494" s="8" t="s">
        <v>1415</v>
      </c>
      <c r="D494" s="8" t="s">
        <v>1412</v>
      </c>
      <c r="E494" s="9" t="str">
        <f aca="false">HYPERLINK("https://twitter.com/joetrader6/status/921501298238918656","921501298238918656")</f>
        <v>921501298238918656</v>
      </c>
      <c r="F494" s="10" t="s">
        <v>39</v>
      </c>
      <c r="G494" s="10" t="n">
        <v>265</v>
      </c>
      <c r="H494" s="10" t="n">
        <v>450</v>
      </c>
      <c r="I494" s="10" t="n">
        <v>25</v>
      </c>
      <c r="J494" s="10" t="n">
        <v>0</v>
      </c>
      <c r="K494" s="10" t="s">
        <v>20</v>
      </c>
      <c r="L494" s="11" t="n">
        <v>41226.4339930556</v>
      </c>
      <c r="M494" s="12"/>
      <c r="N494" s="12" t="s">
        <v>1416</v>
      </c>
      <c r="O494" s="9" t="str">
        <f aca="false">HYPERLINK("https://pbs.twimg.com/profile_images/2849377721/080037e8101380451d04cb0e7f6c9621_normal.jpeg","View")</f>
        <v>View</v>
      </c>
      <c r="P494" s="10"/>
    </row>
    <row r="495" customFormat="false" ht="15.75" hidden="false" customHeight="false" outlineLevel="0" collapsed="false">
      <c r="A495" s="6" t="n">
        <v>43028.6398032408</v>
      </c>
      <c r="B495" s="7" t="str">
        <f aca="false">HYPERLINK("https://twitter.com/jaimeotero_","@jaimeotero_")</f>
        <v>@jaimeotero_</v>
      </c>
      <c r="C495" s="8" t="s">
        <v>205</v>
      </c>
      <c r="D495" s="8" t="s">
        <v>1417</v>
      </c>
      <c r="E495" s="9" t="str">
        <f aca="false">HYPERLINK("https://twitter.com/jaimeotero_/status/921501611809230848","921501611809230848")</f>
        <v>921501611809230848</v>
      </c>
      <c r="F495" s="10" t="s">
        <v>60</v>
      </c>
      <c r="G495" s="10" t="n">
        <v>34488</v>
      </c>
      <c r="H495" s="10" t="n">
        <v>31251</v>
      </c>
      <c r="I495" s="10" t="n">
        <v>0</v>
      </c>
      <c r="J495" s="10" t="n">
        <v>0</v>
      </c>
      <c r="K495" s="10" t="s">
        <v>20</v>
      </c>
      <c r="L495" s="11" t="n">
        <v>42531.0121990741</v>
      </c>
      <c r="M495" s="12" t="s">
        <v>207</v>
      </c>
      <c r="N495" s="12" t="s">
        <v>208</v>
      </c>
      <c r="O495" s="9" t="str">
        <f aca="false">HYPERLINK("https://pbs.twimg.com/profile_images/849817561281818626/acAU04SD_normal.jpg","View")</f>
        <v>View</v>
      </c>
      <c r="P495" s="10"/>
    </row>
    <row r="496" customFormat="false" ht="15.75" hidden="false" customHeight="false" outlineLevel="0" collapsed="false">
      <c r="A496" s="6" t="n">
        <v>43028.6403935185</v>
      </c>
      <c r="B496" s="7" t="str">
        <f aca="false">HYPERLINK("https://twitter.com/ahinkus1994","@ahinkus1994")</f>
        <v>@ahinkus1994</v>
      </c>
      <c r="C496" s="8" t="s">
        <v>1418</v>
      </c>
      <c r="D496" s="8" t="s">
        <v>1412</v>
      </c>
      <c r="E496" s="9" t="str">
        <f aca="false">HYPERLINK("https://twitter.com/ahinkus1994/status/921501823760035840","921501823760035840")</f>
        <v>921501823760035840</v>
      </c>
      <c r="F496" s="10" t="s">
        <v>39</v>
      </c>
      <c r="G496" s="10" t="n">
        <v>635</v>
      </c>
      <c r="H496" s="10" t="n">
        <v>2774</v>
      </c>
      <c r="I496" s="10" t="n">
        <v>25</v>
      </c>
      <c r="J496" s="10" t="n">
        <v>0</v>
      </c>
      <c r="K496" s="10" t="s">
        <v>20</v>
      </c>
      <c r="L496" s="11" t="n">
        <v>42967.7822222222</v>
      </c>
      <c r="M496" s="12" t="s">
        <v>1419</v>
      </c>
      <c r="N496" s="12" t="s">
        <v>1420</v>
      </c>
      <c r="O496" s="9" t="str">
        <f aca="false">HYPERLINK("https://pbs.twimg.com/profile_images/908126957736480769/liBeQ2we_normal.jpg","View")</f>
        <v>View</v>
      </c>
      <c r="P496" s="10"/>
    </row>
    <row r="497" customFormat="false" ht="15.75" hidden="false" customHeight="false" outlineLevel="0" collapsed="false">
      <c r="A497" s="6" t="n">
        <v>43028.6404050926</v>
      </c>
      <c r="B497" s="7" t="str">
        <f aca="false">HYPERLINK("https://twitter.com/Bullish","@Bullish")</f>
        <v>@Bullish</v>
      </c>
      <c r="C497" s="8" t="s">
        <v>223</v>
      </c>
      <c r="D497" s="8" t="s">
        <v>1421</v>
      </c>
      <c r="E497" s="9" t="str">
        <f aca="false">HYPERLINK("https://twitter.com/Bullish/status/921501828528988161","921501828528988161")</f>
        <v>921501828528988161</v>
      </c>
      <c r="F497" s="10" t="s">
        <v>60</v>
      </c>
      <c r="G497" s="10" t="n">
        <v>184</v>
      </c>
      <c r="H497" s="10" t="n">
        <v>87</v>
      </c>
      <c r="I497" s="10" t="n">
        <v>0</v>
      </c>
      <c r="J497" s="10" t="n">
        <v>0</v>
      </c>
      <c r="K497" s="10" t="s">
        <v>20</v>
      </c>
      <c r="L497" s="11" t="n">
        <v>42618.7530439815</v>
      </c>
      <c r="M497" s="12"/>
      <c r="N497" s="12"/>
      <c r="O497" s="9" t="str">
        <f aca="false">HYPERLINK("https://pbs.twimg.com/profile_images/798692093736599552/UikI9dNE_normal.jpg","View")</f>
        <v>View</v>
      </c>
      <c r="P497" s="10"/>
    </row>
    <row r="498" customFormat="false" ht="15.75" hidden="false" customHeight="false" outlineLevel="0" collapsed="false">
      <c r="A498" s="6" t="n">
        <v>43028.6412152778</v>
      </c>
      <c r="B498" s="7" t="str">
        <f aca="false">HYPERLINK("https://twitter.com/blackbronze7","@blackbronze7")</f>
        <v>@blackbronze7</v>
      </c>
      <c r="C498" s="8" t="s">
        <v>1422</v>
      </c>
      <c r="D498" s="8" t="s">
        <v>1412</v>
      </c>
      <c r="E498" s="9" t="str">
        <f aca="false">HYPERLINK("https://twitter.com/blackbronze7/status/921502122016985090","921502122016985090")</f>
        <v>921502122016985090</v>
      </c>
      <c r="F498" s="10" t="s">
        <v>25</v>
      </c>
      <c r="G498" s="10" t="n">
        <v>171</v>
      </c>
      <c r="H498" s="10" t="n">
        <v>488</v>
      </c>
      <c r="I498" s="10" t="n">
        <v>25</v>
      </c>
      <c r="J498" s="10" t="n">
        <v>0</v>
      </c>
      <c r="K498" s="10" t="s">
        <v>20</v>
      </c>
      <c r="L498" s="11" t="n">
        <v>42914.6663425926</v>
      </c>
      <c r="M498" s="12" t="s">
        <v>1423</v>
      </c>
      <c r="N498" s="12" t="s">
        <v>1424</v>
      </c>
      <c r="O498" s="9" t="str">
        <f aca="false">HYPERLINK("https://pbs.twimg.com/profile_images/883157987032014849/lXZkhKOb_normal.jpg","View")</f>
        <v>View</v>
      </c>
      <c r="P498" s="10"/>
    </row>
    <row r="499" customFormat="false" ht="15.75" hidden="false" customHeight="false" outlineLevel="0" collapsed="false">
      <c r="A499" s="6" t="n">
        <v>43028.6416550926</v>
      </c>
      <c r="B499" s="7" t="str">
        <f aca="false">HYPERLINK("https://twitter.com/Bernard00296402","@Bernard00296402")</f>
        <v>@Bernard00296402</v>
      </c>
      <c r="C499" s="8" t="s">
        <v>1425</v>
      </c>
      <c r="D499" s="8" t="s">
        <v>1412</v>
      </c>
      <c r="E499" s="9" t="str">
        <f aca="false">HYPERLINK("https://twitter.com/Bernard00296402/status/921502282591670272","921502282591670272")</f>
        <v>921502282591670272</v>
      </c>
      <c r="F499" s="10" t="s">
        <v>25</v>
      </c>
      <c r="G499" s="10" t="n">
        <v>9</v>
      </c>
      <c r="H499" s="10" t="n">
        <v>116</v>
      </c>
      <c r="I499" s="10" t="n">
        <v>25</v>
      </c>
      <c r="J499" s="10" t="n">
        <v>0</v>
      </c>
      <c r="K499" s="10" t="s">
        <v>20</v>
      </c>
      <c r="L499" s="11" t="n">
        <v>43021.7480787037</v>
      </c>
      <c r="M499" s="12"/>
      <c r="N499" s="12"/>
      <c r="O499" s="9" t="str">
        <f aca="false">HYPERLINK("https://abs.twimg.com/sticky/default_profile_images/default_profile_normal.png","View")</f>
        <v>View</v>
      </c>
      <c r="P499" s="10"/>
    </row>
    <row r="500" customFormat="false" ht="15.75" hidden="false" customHeight="false" outlineLevel="0" collapsed="false">
      <c r="A500" s="6" t="n">
        <v>43028.6419560185</v>
      </c>
      <c r="B500" s="7" t="str">
        <f aca="false">HYPERLINK("https://twitter.com/Tekki_VR","@Tekki_VR")</f>
        <v>@Tekki_VR</v>
      </c>
      <c r="C500" s="8" t="s">
        <v>225</v>
      </c>
      <c r="D500" s="8" t="s">
        <v>1426</v>
      </c>
      <c r="E500" s="9" t="str">
        <f aca="false">HYPERLINK("https://twitter.com/Tekki_VR/status/921502392939577345","921502392939577345")</f>
        <v>921502392939577345</v>
      </c>
      <c r="F500" s="10" t="s">
        <v>60</v>
      </c>
      <c r="G500" s="10" t="n">
        <v>1895</v>
      </c>
      <c r="H500" s="10" t="n">
        <v>2479</v>
      </c>
      <c r="I500" s="10" t="n">
        <v>0</v>
      </c>
      <c r="J500" s="10" t="n">
        <v>0</v>
      </c>
      <c r="K500" s="10" t="s">
        <v>20</v>
      </c>
      <c r="L500" s="11" t="n">
        <v>42263.5455324074</v>
      </c>
      <c r="M500" s="12" t="s">
        <v>227</v>
      </c>
      <c r="N500" s="12" t="s">
        <v>228</v>
      </c>
      <c r="O500" s="9" t="str">
        <f aca="false">HYPERLINK("https://pbs.twimg.com/profile_images/760662770694098944/h1nSBfE8_normal.jpg","View")</f>
        <v>View</v>
      </c>
      <c r="P500" s="10"/>
    </row>
    <row r="501" customFormat="false" ht="15.75" hidden="false" customHeight="false" outlineLevel="0" collapsed="false">
      <c r="A501" s="6" t="n">
        <v>43028.642025463</v>
      </c>
      <c r="B501" s="7" t="str">
        <f aca="false">HYPERLINK("https://twitter.com/luckyprince30","@luckyprince30")</f>
        <v>@luckyprince30</v>
      </c>
      <c r="C501" s="8" t="s">
        <v>1427</v>
      </c>
      <c r="D501" s="8" t="s">
        <v>1412</v>
      </c>
      <c r="E501" s="9" t="str">
        <f aca="false">HYPERLINK("https://twitter.com/luckyprince30/status/921502416641646592","921502416641646592")</f>
        <v>921502416641646592</v>
      </c>
      <c r="F501" s="10" t="s">
        <v>177</v>
      </c>
      <c r="G501" s="10" t="n">
        <v>572</v>
      </c>
      <c r="H501" s="10" t="n">
        <v>1994</v>
      </c>
      <c r="I501" s="10" t="n">
        <v>25</v>
      </c>
      <c r="J501" s="10" t="n">
        <v>0</v>
      </c>
      <c r="K501" s="10" t="s">
        <v>20</v>
      </c>
      <c r="L501" s="11" t="n">
        <v>39945.9686226852</v>
      </c>
      <c r="M501" s="12" t="s">
        <v>1428</v>
      </c>
      <c r="N501" s="12" t="s">
        <v>1429</v>
      </c>
      <c r="O501" s="9" t="str">
        <f aca="false">HYPERLINK("https://pbs.twimg.com/profile_images/1390110672/120520111197_normal.jpg","View")</f>
        <v>View</v>
      </c>
      <c r="P501" s="10"/>
    </row>
    <row r="502" customFormat="false" ht="15.75" hidden="false" customHeight="false" outlineLevel="0" collapsed="false">
      <c r="A502" s="6" t="n">
        <v>43028.6432060185</v>
      </c>
      <c r="B502" s="7" t="str">
        <f aca="false">HYPERLINK("https://twitter.com/jenkspl64","@jenkspl64")</f>
        <v>@jenkspl64</v>
      </c>
      <c r="C502" s="8" t="s">
        <v>1430</v>
      </c>
      <c r="D502" s="8" t="s">
        <v>1431</v>
      </c>
      <c r="E502" s="9" t="str">
        <f aca="false">HYPERLINK("https://twitter.com/jenkspl64/status/921502846155071488","921502846155071488")</f>
        <v>921502846155071488</v>
      </c>
      <c r="F502" s="10" t="s">
        <v>276</v>
      </c>
      <c r="G502" s="10" t="n">
        <v>106</v>
      </c>
      <c r="H502" s="10" t="n">
        <v>1976</v>
      </c>
      <c r="I502" s="10" t="n">
        <v>1</v>
      </c>
      <c r="J502" s="10" t="n">
        <v>0</v>
      </c>
      <c r="K502" s="10" t="s">
        <v>20</v>
      </c>
      <c r="L502" s="11" t="n">
        <v>41378.9533101852</v>
      </c>
      <c r="M502" s="12" t="s">
        <v>1432</v>
      </c>
      <c r="N502" s="12" t="s">
        <v>1433</v>
      </c>
      <c r="O502" s="9" t="str">
        <f aca="false">HYPERLINK("https://pbs.twimg.com/profile_images/899088601895518208/6mHEX2aR_normal.jpg","View")</f>
        <v>View</v>
      </c>
      <c r="P502" s="10"/>
    </row>
    <row r="503" customFormat="false" ht="15.75" hidden="false" customHeight="false" outlineLevel="0" collapsed="false">
      <c r="A503" s="6" t="n">
        <v>43028.6445833333</v>
      </c>
      <c r="B503" s="7" t="str">
        <f aca="false">HYPERLINK("https://twitter.com/Cansecoboss","@Cansecoboss")</f>
        <v>@Cansecoboss</v>
      </c>
      <c r="C503" s="8" t="s">
        <v>1434</v>
      </c>
      <c r="D503" s="8" t="s">
        <v>1435</v>
      </c>
      <c r="E503" s="9" t="str">
        <f aca="false">HYPERLINK("https://twitter.com/Cansecoboss/status/921503344698552320","921503344698552320")</f>
        <v>921503344698552320</v>
      </c>
      <c r="F503" s="10" t="s">
        <v>25</v>
      </c>
      <c r="G503" s="10" t="n">
        <v>20</v>
      </c>
      <c r="H503" s="10" t="n">
        <v>189</v>
      </c>
      <c r="I503" s="10" t="n">
        <v>1</v>
      </c>
      <c r="J503" s="10" t="n">
        <v>0</v>
      </c>
      <c r="K503" s="10" t="s">
        <v>20</v>
      </c>
      <c r="L503" s="11" t="n">
        <v>42976.9933333333</v>
      </c>
      <c r="M503" s="12" t="s">
        <v>1436</v>
      </c>
      <c r="N503" s="12" t="s">
        <v>1437</v>
      </c>
      <c r="O503" s="9" t="str">
        <f aca="false">HYPERLINK("https://pbs.twimg.com/profile_images/904364236851335168/sGiKrAjr_normal.jpg","View")</f>
        <v>View</v>
      </c>
      <c r="P503" s="10"/>
    </row>
    <row r="504" customFormat="false" ht="15.75" hidden="false" customHeight="false" outlineLevel="0" collapsed="false">
      <c r="A504" s="6" t="n">
        <v>43028.6452083333</v>
      </c>
      <c r="B504" s="7" t="str">
        <f aca="false">HYPERLINK("https://twitter.com/bpolitics","@bpolitics")</f>
        <v>@bpolitics</v>
      </c>
      <c r="C504" s="8" t="s">
        <v>266</v>
      </c>
      <c r="D504" s="8" t="s">
        <v>1438</v>
      </c>
      <c r="E504" s="9" t="str">
        <f aca="false">HYPERLINK("https://twitter.com/bpolitics/status/921503570624679937","921503570624679937")</f>
        <v>921503570624679937</v>
      </c>
      <c r="F504" s="10" t="s">
        <v>268</v>
      </c>
      <c r="G504" s="10" t="n">
        <v>221390</v>
      </c>
      <c r="H504" s="10" t="n">
        <v>868</v>
      </c>
      <c r="I504" s="10" t="n">
        <v>3</v>
      </c>
      <c r="J504" s="10" t="n">
        <v>0</v>
      </c>
      <c r="K504" s="10" t="s">
        <v>20</v>
      </c>
      <c r="L504" s="11" t="n">
        <v>41025.576400463</v>
      </c>
      <c r="M504" s="12"/>
      <c r="N504" s="12" t="s">
        <v>269</v>
      </c>
      <c r="O504" s="9" t="str">
        <f aca="false">HYPERLINK("https://pbs.twimg.com/profile_images/714804098890133504/cUO4gD1A_normal.jpg","View")</f>
        <v>View</v>
      </c>
      <c r="P504" s="10"/>
    </row>
    <row r="505" customFormat="false" ht="15.75" hidden="false" customHeight="false" outlineLevel="0" collapsed="false">
      <c r="A505" s="6" t="n">
        <v>43028.6452083333</v>
      </c>
      <c r="B505" s="7" t="str">
        <f aca="false">HYPERLINK("https://twitter.com/BloombergTV","@BloombergTV")</f>
        <v>@BloombergTV</v>
      </c>
      <c r="C505" s="8" t="s">
        <v>317</v>
      </c>
      <c r="D505" s="8" t="s">
        <v>1439</v>
      </c>
      <c r="E505" s="9" t="str">
        <f aca="false">HYPERLINK("https://twitter.com/BloombergTV/status/921503570754666496","921503570754666496")</f>
        <v>921503570754666496</v>
      </c>
      <c r="F505" s="10" t="s">
        <v>268</v>
      </c>
      <c r="G505" s="10" t="n">
        <v>452899</v>
      </c>
      <c r="H505" s="10" t="n">
        <v>458</v>
      </c>
      <c r="I505" s="10" t="n">
        <v>2</v>
      </c>
      <c r="J505" s="10" t="n">
        <v>2</v>
      </c>
      <c r="K505" s="10" t="s">
        <v>20</v>
      </c>
      <c r="L505" s="11" t="n">
        <v>39927.4899768519</v>
      </c>
      <c r="M505" s="12" t="s">
        <v>319</v>
      </c>
      <c r="N505" s="12" t="s">
        <v>320</v>
      </c>
      <c r="O505" s="9" t="str">
        <f aca="false">HYPERLINK("https://pbs.twimg.com/profile_images/714801760632770560/7My2hMBt_normal.jpg","View")</f>
        <v>View</v>
      </c>
      <c r="P505" s="10"/>
    </row>
    <row r="506" customFormat="false" ht="15.75" hidden="false" customHeight="false" outlineLevel="0" collapsed="false">
      <c r="A506" s="6" t="n">
        <v>43028.6455902778</v>
      </c>
      <c r="B506" s="7" t="str">
        <f aca="false">HYPERLINK("https://twitter.com/swissifg","@swissifg")</f>
        <v>@swissifg</v>
      </c>
      <c r="C506" s="8" t="s">
        <v>247</v>
      </c>
      <c r="D506" s="8" t="s">
        <v>1440</v>
      </c>
      <c r="E506" s="9" t="str">
        <f aca="false">HYPERLINK("https://twitter.com/swissifg/status/921503708697055234","921503708697055234")</f>
        <v>921503708697055234</v>
      </c>
      <c r="F506" s="10" t="s">
        <v>60</v>
      </c>
      <c r="G506" s="10" t="n">
        <v>1202</v>
      </c>
      <c r="H506" s="10" t="n">
        <v>670</v>
      </c>
      <c r="I506" s="10" t="n">
        <v>1</v>
      </c>
      <c r="J506" s="10" t="n">
        <v>0</v>
      </c>
      <c r="K506" s="10" t="s">
        <v>20</v>
      </c>
      <c r="L506" s="11" t="n">
        <v>42499.2341087963</v>
      </c>
      <c r="M506" s="12" t="s">
        <v>249</v>
      </c>
      <c r="N506" s="12" t="s">
        <v>250</v>
      </c>
      <c r="O506" s="9" t="str">
        <f aca="false">HYPERLINK("https://pbs.twimg.com/profile_images/729681805088063489/N4ls5vb8_normal.jpg","View")</f>
        <v>View</v>
      </c>
      <c r="P506" s="10"/>
    </row>
    <row r="507" customFormat="false" ht="15.75" hidden="false" customHeight="false" outlineLevel="0" collapsed="false">
      <c r="A507" s="6" t="n">
        <v>43028.6463773148</v>
      </c>
      <c r="B507" s="7" t="str">
        <f aca="false">HYPERLINK("https://twitter.com/Kessaiksa","@Kessaiksa")</f>
        <v>@Kessaiksa</v>
      </c>
      <c r="C507" s="8" t="s">
        <v>1441</v>
      </c>
      <c r="D507" s="8" t="s">
        <v>1412</v>
      </c>
      <c r="E507" s="9" t="str">
        <f aca="false">HYPERLINK("https://twitter.com/Kessaiksa/status/921503993960042496","921503993960042496")</f>
        <v>921503993960042496</v>
      </c>
      <c r="F507" s="10" t="s">
        <v>39</v>
      </c>
      <c r="G507" s="10" t="n">
        <v>476</v>
      </c>
      <c r="H507" s="10" t="n">
        <v>5002</v>
      </c>
      <c r="I507" s="10" t="n">
        <v>25</v>
      </c>
      <c r="J507" s="10" t="n">
        <v>0</v>
      </c>
      <c r="K507" s="10" t="s">
        <v>20</v>
      </c>
      <c r="L507" s="11" t="n">
        <v>42214.9061226852</v>
      </c>
      <c r="M507" s="12"/>
      <c r="N507" s="12"/>
      <c r="O507" s="9" t="str">
        <f aca="false">HYPERLINK("https://pbs.twimg.com/profile_images/891340975381127168/aMwONaoi_normal.jpg","View")</f>
        <v>View</v>
      </c>
      <c r="P507" s="10"/>
    </row>
    <row r="508" customFormat="false" ht="15.75" hidden="false" customHeight="false" outlineLevel="0" collapsed="false">
      <c r="A508" s="6" t="n">
        <v>43028.6465625</v>
      </c>
      <c r="B508" s="7" t="str">
        <f aca="false">HYPERLINK("https://twitter.com/herna_santigo","@herna_santigo")</f>
        <v>@herna_santigo</v>
      </c>
      <c r="C508" s="8" t="s">
        <v>1442</v>
      </c>
      <c r="D508" s="8" t="s">
        <v>1412</v>
      </c>
      <c r="E508" s="9" t="str">
        <f aca="false">HYPERLINK("https://twitter.com/herna_santigo/status/921504062285271040","921504062285271040")</f>
        <v>921504062285271040</v>
      </c>
      <c r="F508" s="10" t="s">
        <v>98</v>
      </c>
      <c r="G508" s="10" t="n">
        <v>476</v>
      </c>
      <c r="H508" s="10" t="n">
        <v>409</v>
      </c>
      <c r="I508" s="10" t="n">
        <v>25</v>
      </c>
      <c r="J508" s="10" t="n">
        <v>0</v>
      </c>
      <c r="K508" s="10" t="s">
        <v>20</v>
      </c>
      <c r="L508" s="11" t="n">
        <v>42741.5498032407</v>
      </c>
      <c r="M508" s="12"/>
      <c r="N508" s="12"/>
      <c r="O508" s="9" t="str">
        <f aca="false">HYPERLINK("https://pbs.twimg.com/profile_images/825453675627704320/kQCbZ6wu_normal.jpg","View")</f>
        <v>View</v>
      </c>
      <c r="P508" s="10"/>
    </row>
    <row r="509" customFormat="false" ht="15.75" hidden="false" customHeight="false" outlineLevel="0" collapsed="false">
      <c r="A509" s="6" t="n">
        <v>43028.6469328704</v>
      </c>
      <c r="B509" s="7" t="str">
        <f aca="false">HYPERLINK("https://twitter.com/SaraGomezAranci","@SaraGomezAranci")</f>
        <v>@SaraGomezAranci</v>
      </c>
      <c r="C509" s="8" t="s">
        <v>1443</v>
      </c>
      <c r="D509" s="8" t="s">
        <v>1412</v>
      </c>
      <c r="E509" s="9" t="str">
        <f aca="false">HYPERLINK("https://twitter.com/SaraGomezAranci/status/921504197169819648","921504197169819648")</f>
        <v>921504197169819648</v>
      </c>
      <c r="F509" s="10" t="s">
        <v>51</v>
      </c>
      <c r="G509" s="10" t="n">
        <v>1718</v>
      </c>
      <c r="H509" s="10" t="n">
        <v>434</v>
      </c>
      <c r="I509" s="10" t="n">
        <v>25</v>
      </c>
      <c r="J509" s="10" t="n">
        <v>0</v>
      </c>
      <c r="K509" s="10" t="s">
        <v>20</v>
      </c>
      <c r="L509" s="11" t="n">
        <v>41277.0701041667</v>
      </c>
      <c r="M509" s="12"/>
      <c r="N509" s="12" t="s">
        <v>1444</v>
      </c>
      <c r="O509" s="9" t="str">
        <f aca="false">HYPERLINK("https://pbs.twimg.com/profile_images/909880427351068674/WzgGubCv_normal.jpg","View")</f>
        <v>View</v>
      </c>
      <c r="P509" s="10"/>
    </row>
    <row r="510" customFormat="false" ht="15.75" hidden="false" customHeight="false" outlineLevel="0" collapsed="false">
      <c r="A510" s="6" t="n">
        <v>43028.6501157407</v>
      </c>
      <c r="B510" s="7" t="str">
        <f aca="false">HYPERLINK("https://twitter.com/aminukaraye","@aminukaraye")</f>
        <v>@aminukaraye</v>
      </c>
      <c r="C510" s="8" t="s">
        <v>1445</v>
      </c>
      <c r="D510" s="8" t="s">
        <v>1412</v>
      </c>
      <c r="E510" s="9" t="str">
        <f aca="false">HYPERLINK("https://twitter.com/aminukaraye/status/921505346757300229","921505346757300229")</f>
        <v>921505346757300229</v>
      </c>
      <c r="F510" s="10" t="s">
        <v>51</v>
      </c>
      <c r="G510" s="10" t="n">
        <v>650</v>
      </c>
      <c r="H510" s="10" t="n">
        <v>543</v>
      </c>
      <c r="I510" s="10" t="n">
        <v>25</v>
      </c>
      <c r="J510" s="10" t="n">
        <v>0</v>
      </c>
      <c r="K510" s="10" t="s">
        <v>20</v>
      </c>
      <c r="L510" s="11" t="n">
        <v>40892.3006712963</v>
      </c>
      <c r="M510" s="12"/>
      <c r="N510" s="12"/>
      <c r="O510" s="9" t="str">
        <f aca="false">HYPERLINK("https://pbs.twimg.com/profile_images/920348635950469120/YO4usYfT_normal.jpg","View")</f>
        <v>View</v>
      </c>
      <c r="P510" s="10"/>
    </row>
    <row r="511" customFormat="false" ht="15.75" hidden="false" customHeight="false" outlineLevel="0" collapsed="false">
      <c r="A511" s="6" t="n">
        <v>43028.6512037037</v>
      </c>
      <c r="B511" s="7" t="str">
        <f aca="false">HYPERLINK("https://twitter.com/nonnoenzo","@nonnoenzo")</f>
        <v>@nonnoenzo</v>
      </c>
      <c r="C511" s="8" t="s">
        <v>1446</v>
      </c>
      <c r="D511" s="8" t="s">
        <v>1447</v>
      </c>
      <c r="E511" s="9" t="str">
        <f aca="false">HYPERLINK("https://twitter.com/nonnoenzo/status/921505741328052224","921505741328052224")</f>
        <v>921505741328052224</v>
      </c>
      <c r="F511" s="10" t="s">
        <v>177</v>
      </c>
      <c r="G511" s="10" t="n">
        <v>3415</v>
      </c>
      <c r="H511" s="10" t="n">
        <v>4805</v>
      </c>
      <c r="I511" s="10" t="n">
        <v>3</v>
      </c>
      <c r="J511" s="10" t="n">
        <v>0</v>
      </c>
      <c r="K511" s="10" t="s">
        <v>20</v>
      </c>
      <c r="L511" s="11" t="n">
        <v>39868.7631018519</v>
      </c>
      <c r="M511" s="12" t="s">
        <v>1448</v>
      </c>
      <c r="N511" s="12" t="s">
        <v>1449</v>
      </c>
      <c r="O511" s="9" t="str">
        <f aca="false">HYPERLINK("https://pbs.twimg.com/profile_images/912333454209056768/s1Wd-SbW_normal.jpg","View")</f>
        <v>View</v>
      </c>
      <c r="P511" s="10"/>
    </row>
    <row r="512" customFormat="false" ht="15.75" hidden="false" customHeight="false" outlineLevel="0" collapsed="false">
      <c r="A512" s="6" t="n">
        <v>43028.6561805556</v>
      </c>
      <c r="B512" s="7" t="str">
        <f aca="false">HYPERLINK("https://twitter.com/EuropeanMag","@EuropeanMag")</f>
        <v>@EuropeanMag</v>
      </c>
      <c r="C512" s="8" t="s">
        <v>1450</v>
      </c>
      <c r="D512" s="8" t="s">
        <v>1412</v>
      </c>
      <c r="E512" s="9" t="str">
        <f aca="false">HYPERLINK("https://twitter.com/EuropeanMag/status/921507544434135040","921507544434135040")</f>
        <v>921507544434135040</v>
      </c>
      <c r="F512" s="10" t="s">
        <v>25</v>
      </c>
      <c r="G512" s="10" t="n">
        <v>19373</v>
      </c>
      <c r="H512" s="10" t="n">
        <v>20004</v>
      </c>
      <c r="I512" s="10" t="n">
        <v>25</v>
      </c>
      <c r="J512" s="10" t="n">
        <v>0</v>
      </c>
      <c r="K512" s="10" t="s">
        <v>20</v>
      </c>
      <c r="L512" s="11" t="n">
        <v>41540.2410069444</v>
      </c>
      <c r="M512" s="12"/>
      <c r="N512" s="12" t="s">
        <v>1451</v>
      </c>
      <c r="O512" s="9" t="str">
        <f aca="false">HYPERLINK("https://pbs.twimg.com/profile_images/378800000497554567/4d4439d1f157fc6892369a312bb46f3b_normal.jpeg","View")</f>
        <v>View</v>
      </c>
      <c r="P512" s="10"/>
    </row>
    <row r="513" customFormat="false" ht="15.75" hidden="false" customHeight="false" outlineLevel="0" collapsed="false">
      <c r="A513" s="6" t="n">
        <v>43028.6633564815</v>
      </c>
      <c r="B513" s="7" t="str">
        <f aca="false">HYPERLINK("https://twitter.com/batasearoyal","@batasearoyal")</f>
        <v>@batasearoyal</v>
      </c>
      <c r="C513" s="8" t="s">
        <v>1452</v>
      </c>
      <c r="D513" s="8" t="s">
        <v>1453</v>
      </c>
      <c r="E513" s="9" t="str">
        <f aca="false">HYPERLINK("https://twitter.com/batasearoyal/status/921510148484427776","921510148484427776")</f>
        <v>921510148484427776</v>
      </c>
      <c r="F513" s="10" t="s">
        <v>51</v>
      </c>
      <c r="G513" s="10" t="n">
        <v>1105</v>
      </c>
      <c r="H513" s="10" t="n">
        <v>1961</v>
      </c>
      <c r="I513" s="10" t="n">
        <v>0</v>
      </c>
      <c r="J513" s="10" t="n">
        <v>0</v>
      </c>
      <c r="K513" s="10" t="s">
        <v>20</v>
      </c>
      <c r="L513" s="11" t="n">
        <v>40001.1889351852</v>
      </c>
      <c r="M513" s="12" t="s">
        <v>1454</v>
      </c>
      <c r="N513" s="12" t="s">
        <v>1455</v>
      </c>
      <c r="O513" s="9" t="str">
        <f aca="false">HYPERLINK("https://pbs.twimg.com/profile_images/647608021044977664/KHoqmEY2_normal.jpg","View")</f>
        <v>View</v>
      </c>
      <c r="P513" s="10"/>
    </row>
    <row r="514" customFormat="false" ht="15.75" hidden="false" customHeight="false" outlineLevel="0" collapsed="false">
      <c r="A514" s="6" t="n">
        <v>43028.6801967593</v>
      </c>
      <c r="B514" s="7" t="str">
        <f aca="false">HYPERLINK("https://twitter.com/simonhu75996460","@simonhu75996460")</f>
        <v>@simonhu75996460</v>
      </c>
      <c r="C514" s="8" t="s">
        <v>1456</v>
      </c>
      <c r="D514" s="8" t="s">
        <v>1412</v>
      </c>
      <c r="E514" s="9" t="str">
        <f aca="false">HYPERLINK("https://twitter.com/simonhu75996460/status/921516248625827840","921516248625827840")</f>
        <v>921516248625827840</v>
      </c>
      <c r="F514" s="10" t="s">
        <v>51</v>
      </c>
      <c r="G514" s="10" t="n">
        <v>776</v>
      </c>
      <c r="H514" s="10" t="n">
        <v>1332</v>
      </c>
      <c r="I514" s="10" t="n">
        <v>25</v>
      </c>
      <c r="J514" s="10" t="n">
        <v>0</v>
      </c>
      <c r="K514" s="10" t="s">
        <v>20</v>
      </c>
      <c r="L514" s="11" t="n">
        <v>42501.6501967593</v>
      </c>
      <c r="M514" s="12" t="s">
        <v>182</v>
      </c>
      <c r="N514" s="12" t="s">
        <v>1457</v>
      </c>
      <c r="O514" s="9" t="str">
        <f aca="false">HYPERLINK("https://pbs.twimg.com/profile_images/732510445827940352/yo_IoLEQ_normal.jpg","View")</f>
        <v>View</v>
      </c>
      <c r="P514" s="10"/>
    </row>
    <row r="515" customFormat="false" ht="15.75" hidden="false" customHeight="false" outlineLevel="0" collapsed="false">
      <c r="A515" s="6" t="n">
        <v>43028.6829050926</v>
      </c>
      <c r="B515" s="7" t="str">
        <f aca="false">HYPERLINK("https://twitter.com/AdamKungFuDad","@AdamKungFuDad")</f>
        <v>@AdamKungFuDad</v>
      </c>
      <c r="C515" s="8" t="s">
        <v>1458</v>
      </c>
      <c r="D515" s="8" t="s">
        <v>1459</v>
      </c>
      <c r="E515" s="9" t="str">
        <f aca="false">HYPERLINK("https://twitter.com/AdamKungFuDad/status/921517231468662785","921517231468662785")</f>
        <v>921517231468662785</v>
      </c>
      <c r="F515" s="10" t="s">
        <v>25</v>
      </c>
      <c r="G515" s="10" t="n">
        <v>97</v>
      </c>
      <c r="H515" s="10" t="n">
        <v>260</v>
      </c>
      <c r="I515" s="10" t="n">
        <v>1</v>
      </c>
      <c r="J515" s="10" t="n">
        <v>0</v>
      </c>
      <c r="K515" s="10" t="s">
        <v>20</v>
      </c>
      <c r="L515" s="11" t="n">
        <v>41277.1772453704</v>
      </c>
      <c r="M515" s="12" t="s">
        <v>1460</v>
      </c>
      <c r="N515" s="12" t="s">
        <v>1461</v>
      </c>
      <c r="O515" s="9" t="str">
        <f aca="false">HYPERLINK("https://pbs.twimg.com/profile_images/3618850779/4bd68b5efdeb2320c71d4f99d51ca16d_normal.png","View")</f>
        <v>View</v>
      </c>
      <c r="P515" s="10"/>
    </row>
    <row r="516" customFormat="false" ht="15.75" hidden="false" customHeight="false" outlineLevel="0" collapsed="false">
      <c r="A516" s="6" t="n">
        <v>43028.6847800926</v>
      </c>
      <c r="B516" s="7" t="str">
        <f aca="false">HYPERLINK("https://twitter.com/HAZUMA_JPN","@HAZUMA_JPN")</f>
        <v>@HAZUMA_JPN</v>
      </c>
      <c r="C516" s="8" t="s">
        <v>1462</v>
      </c>
      <c r="D516" s="8" t="s">
        <v>1463</v>
      </c>
      <c r="E516" s="9" t="str">
        <f aca="false">HYPERLINK("https://twitter.com/HAZUMA_JPN/status/921517912028057601","921517912028057601")</f>
        <v>921517912028057601</v>
      </c>
      <c r="F516" s="10" t="s">
        <v>39</v>
      </c>
      <c r="G516" s="10" t="n">
        <v>470</v>
      </c>
      <c r="H516" s="10" t="n">
        <v>3162</v>
      </c>
      <c r="I516" s="10" t="n">
        <v>0</v>
      </c>
      <c r="J516" s="10" t="n">
        <v>0</v>
      </c>
      <c r="K516" s="10" t="s">
        <v>20</v>
      </c>
      <c r="L516" s="11" t="n">
        <v>41559.639212963</v>
      </c>
      <c r="M516" s="12" t="s">
        <v>723</v>
      </c>
      <c r="N516" s="12" t="s">
        <v>1464</v>
      </c>
      <c r="O516" s="9" t="str">
        <f aca="false">HYPERLINK("https://pbs.twimg.com/profile_images/770376087977230336/zeh0Ktrm_normal.jpg","View")</f>
        <v>View</v>
      </c>
      <c r="P516" s="10"/>
    </row>
    <row r="517" customFormat="false" ht="15.75" hidden="false" customHeight="false" outlineLevel="0" collapsed="false">
      <c r="A517" s="6" t="n">
        <v>43028.6993518519</v>
      </c>
      <c r="B517" s="7" t="str">
        <f aca="false">HYPERLINK("https://twitter.com/JITCartney","@JITCartney")</f>
        <v>@JITCartney</v>
      </c>
      <c r="C517" s="8" t="s">
        <v>1465</v>
      </c>
      <c r="D517" s="8" t="s">
        <v>1447</v>
      </c>
      <c r="E517" s="9" t="str">
        <f aca="false">HYPERLINK("https://twitter.com/JITCartney/status/921523191562072065","921523191562072065")</f>
        <v>921523191562072065</v>
      </c>
      <c r="F517" s="10" t="s">
        <v>25</v>
      </c>
      <c r="G517" s="10" t="n">
        <v>571</v>
      </c>
      <c r="H517" s="10" t="n">
        <v>533</v>
      </c>
      <c r="I517" s="10" t="n">
        <v>3</v>
      </c>
      <c r="J517" s="10" t="n">
        <v>0</v>
      </c>
      <c r="K517" s="10" t="s">
        <v>20</v>
      </c>
      <c r="L517" s="11" t="n">
        <v>40671.6708217593</v>
      </c>
      <c r="M517" s="12" t="s">
        <v>1466</v>
      </c>
      <c r="N517" s="12" t="s">
        <v>1467</v>
      </c>
      <c r="O517" s="9" t="str">
        <f aca="false">HYPERLINK("https://pbs.twimg.com/profile_images/916210096518189056/wpdcUrQv_normal.jpg","View")</f>
        <v>View</v>
      </c>
      <c r="P517" s="10"/>
    </row>
    <row r="518" customFormat="false" ht="15.75" hidden="false" customHeight="false" outlineLevel="0" collapsed="false">
      <c r="A518" s="6" t="n">
        <v>43028.7067361111</v>
      </c>
      <c r="B518" s="7" t="str">
        <f aca="false">HYPERLINK("https://twitter.com/GoldDmitriy","@GoldDmitriy")</f>
        <v>@GoldDmitriy</v>
      </c>
      <c r="C518" s="8" t="s">
        <v>1468</v>
      </c>
      <c r="D518" s="8" t="s">
        <v>1412</v>
      </c>
      <c r="E518" s="9" t="str">
        <f aca="false">HYPERLINK("https://twitter.com/GoldDmitriy/status/921525865145622528","921525865145622528")</f>
        <v>921525865145622528</v>
      </c>
      <c r="F518" s="10" t="s">
        <v>25</v>
      </c>
      <c r="G518" s="10" t="n">
        <v>161</v>
      </c>
      <c r="H518" s="10" t="n">
        <v>625</v>
      </c>
      <c r="I518" s="10" t="n">
        <v>25</v>
      </c>
      <c r="J518" s="10" t="n">
        <v>0</v>
      </c>
      <c r="K518" s="10" t="s">
        <v>20</v>
      </c>
      <c r="L518" s="11" t="n">
        <v>41878.42125</v>
      </c>
      <c r="M518" s="12" t="s">
        <v>1469</v>
      </c>
      <c r="N518" s="12" t="s">
        <v>1470</v>
      </c>
      <c r="O518" s="9" t="str">
        <f aca="false">HYPERLINK("https://pbs.twimg.com/profile_images/869310608436539393/9mh2sGDv_normal.jpg","View")</f>
        <v>View</v>
      </c>
      <c r="P518" s="10"/>
    </row>
    <row r="519" customFormat="false" ht="15.75" hidden="false" customHeight="false" outlineLevel="0" collapsed="false">
      <c r="A519" s="6" t="n">
        <v>43028.7091087963</v>
      </c>
      <c r="B519" s="7" t="str">
        <f aca="false">HYPERLINK("https://twitter.com/NAR","@NAR")</f>
        <v>@NAR</v>
      </c>
      <c r="C519" s="8" t="s">
        <v>1471</v>
      </c>
      <c r="D519" s="8" t="s">
        <v>1472</v>
      </c>
      <c r="E519" s="9" t="str">
        <f aca="false">HYPERLINK("https://twitter.com/NAR/status/921526725053485056","921526725053485056")</f>
        <v>921526725053485056</v>
      </c>
      <c r="F519" s="10" t="s">
        <v>268</v>
      </c>
      <c r="G519" s="10" t="n">
        <v>57282</v>
      </c>
      <c r="H519" s="10" t="n">
        <v>23</v>
      </c>
      <c r="I519" s="10" t="n">
        <v>4</v>
      </c>
      <c r="J519" s="10" t="n">
        <v>6</v>
      </c>
      <c r="K519" s="10" t="s">
        <v>20</v>
      </c>
      <c r="L519" s="11" t="n">
        <v>40890.8868634259</v>
      </c>
      <c r="M519" s="12" t="s">
        <v>1473</v>
      </c>
      <c r="N519" s="12" t="s">
        <v>1474</v>
      </c>
      <c r="O519" s="9" t="str">
        <f aca="false">HYPERLINK("https://pbs.twimg.com/profile_images/669688096879841280/kyJYc3j-_normal.png","View")</f>
        <v>View</v>
      </c>
      <c r="P519" s="10"/>
    </row>
    <row r="520" customFormat="false" ht="15.75" hidden="false" customHeight="false" outlineLevel="0" collapsed="false">
      <c r="A520" s="6" t="n">
        <v>43028.7104398148</v>
      </c>
      <c r="B520" s="7" t="str">
        <f aca="false">HYPERLINK("https://twitter.com/AdrienSouth","@AdrienSouth")</f>
        <v>@AdrienSouth</v>
      </c>
      <c r="C520" s="8" t="s">
        <v>1475</v>
      </c>
      <c r="D520" s="8" t="s">
        <v>1476</v>
      </c>
      <c r="E520" s="9" t="str">
        <f aca="false">HYPERLINK("https://twitter.com/AdrienSouth/status/921527210682568705","921527210682568705")</f>
        <v>921527210682568705</v>
      </c>
      <c r="F520" s="10" t="s">
        <v>110</v>
      </c>
      <c r="G520" s="10" t="n">
        <v>4</v>
      </c>
      <c r="H520" s="10" t="n">
        <v>35</v>
      </c>
      <c r="I520" s="10" t="n">
        <v>0</v>
      </c>
      <c r="J520" s="10" t="n">
        <v>0</v>
      </c>
      <c r="K520" s="10" t="s">
        <v>20</v>
      </c>
      <c r="L520" s="11" t="n">
        <v>42888.3741666667</v>
      </c>
      <c r="M520" s="12"/>
      <c r="N520" s="12"/>
      <c r="O520" s="9" t="str">
        <f aca="false">HYPERLINK("https://pbs.twimg.com/profile_images/871376657969405953/Ad74O2QV_normal.jpg","View")</f>
        <v>View</v>
      </c>
      <c r="P520" s="10"/>
    </row>
    <row r="521" customFormat="false" ht="15.75" hidden="false" customHeight="false" outlineLevel="0" collapsed="false">
      <c r="A521" s="6" t="n">
        <v>43028.7107407407</v>
      </c>
      <c r="B521" s="7" t="str">
        <f aca="false">HYPERLINK("https://twitter.com/NguyenBojami","@NguyenBojami")</f>
        <v>@NguyenBojami</v>
      </c>
      <c r="C521" s="8" t="s">
        <v>1477</v>
      </c>
      <c r="D521" s="8" t="s">
        <v>1478</v>
      </c>
      <c r="E521" s="9" t="str">
        <f aca="false">HYPERLINK("https://twitter.com/NguyenBojami/status/921527316769132546","921527316769132546")</f>
        <v>921527316769132546</v>
      </c>
      <c r="F521" s="10" t="s">
        <v>110</v>
      </c>
      <c r="G521" s="10" t="n">
        <v>37</v>
      </c>
      <c r="H521" s="10" t="n">
        <v>60</v>
      </c>
      <c r="I521" s="10" t="n">
        <v>0</v>
      </c>
      <c r="J521" s="10" t="n">
        <v>0</v>
      </c>
      <c r="K521" s="10" t="s">
        <v>20</v>
      </c>
      <c r="L521" s="11" t="n">
        <v>42350.5865625</v>
      </c>
      <c r="M521" s="12" t="s">
        <v>1479</v>
      </c>
      <c r="N521" s="12"/>
      <c r="O521" s="9" t="str">
        <f aca="false">HYPERLINK("https://pbs.twimg.com/profile_images/675799364405616640/T2A5_ogp_normal.jpg","View")</f>
        <v>View</v>
      </c>
      <c r="P521" s="10"/>
    </row>
    <row r="522" customFormat="false" ht="15.75" hidden="false" customHeight="false" outlineLevel="0" collapsed="false">
      <c r="A522" s="6" t="n">
        <v>43028.7116319444</v>
      </c>
      <c r="B522" s="7" t="str">
        <f aca="false">HYPERLINK("https://twitter.com/mengpegasus","@mengpegasus")</f>
        <v>@mengpegasus</v>
      </c>
      <c r="C522" s="8" t="s">
        <v>1480</v>
      </c>
      <c r="D522" s="8" t="s">
        <v>1412</v>
      </c>
      <c r="E522" s="9" t="str">
        <f aca="false">HYPERLINK("https://twitter.com/mengpegasus/status/921527643056488448","921527643056488448")</f>
        <v>921527643056488448</v>
      </c>
      <c r="F522" s="10" t="s">
        <v>51</v>
      </c>
      <c r="G522" s="10" t="n">
        <v>5309</v>
      </c>
      <c r="H522" s="10" t="n">
        <v>1922</v>
      </c>
      <c r="I522" s="10" t="n">
        <v>25</v>
      </c>
      <c r="J522" s="10" t="n">
        <v>0</v>
      </c>
      <c r="K522" s="10" t="s">
        <v>20</v>
      </c>
      <c r="L522" s="11" t="n">
        <v>41725.9431828704</v>
      </c>
      <c r="M522" s="12"/>
      <c r="N522" s="13" t="s">
        <v>1481</v>
      </c>
      <c r="O522" s="9" t="str">
        <f aca="false">HYPERLINK("https://pbs.twimg.com/profile_images/808763386838159360/ECYM-3rc_normal.jpg","View")</f>
        <v>View</v>
      </c>
      <c r="P522" s="10"/>
    </row>
    <row r="523" customFormat="false" ht="15.75" hidden="false" customHeight="false" outlineLevel="0" collapsed="false">
      <c r="A523" s="6" t="n">
        <v>43028.7151851852</v>
      </c>
      <c r="B523" s="7" t="str">
        <f aca="false">HYPERLINK("https://twitter.com/GeorgeLavrov","@GeorgeLavrov")</f>
        <v>@GeorgeLavrov</v>
      </c>
      <c r="C523" s="8" t="s">
        <v>1482</v>
      </c>
      <c r="D523" s="8" t="s">
        <v>1483</v>
      </c>
      <c r="E523" s="9" t="str">
        <f aca="false">HYPERLINK("https://twitter.com/GeorgeLavrov/status/921528927524290560","921528927524290560")</f>
        <v>921528927524290560</v>
      </c>
      <c r="F523" s="10" t="s">
        <v>39</v>
      </c>
      <c r="G523" s="10" t="n">
        <v>1177</v>
      </c>
      <c r="H523" s="10" t="n">
        <v>1829</v>
      </c>
      <c r="I523" s="10" t="n">
        <v>4</v>
      </c>
      <c r="J523" s="10" t="n">
        <v>0</v>
      </c>
      <c r="K523" s="10" t="s">
        <v>20</v>
      </c>
      <c r="L523" s="11" t="n">
        <v>40935.1003587963</v>
      </c>
      <c r="M523" s="12" t="s">
        <v>1484</v>
      </c>
      <c r="N523" s="12" t="s">
        <v>1485</v>
      </c>
      <c r="O523" s="9" t="str">
        <f aca="false">HYPERLINK("https://pbs.twimg.com/profile_images/1908271324/George-Lavrov-Twitter_normal.jpg","View")</f>
        <v>View</v>
      </c>
      <c r="P523" s="10"/>
    </row>
    <row r="524" customFormat="false" ht="15.75" hidden="false" customHeight="false" outlineLevel="0" collapsed="false">
      <c r="A524" s="6" t="n">
        <v>43028.7209722222</v>
      </c>
      <c r="B524" s="7" t="str">
        <f aca="false">HYPERLINK("https://twitter.com/Elucidatus","@Elucidatus")</f>
        <v>@Elucidatus</v>
      </c>
      <c r="C524" s="14" t="s">
        <v>1486</v>
      </c>
      <c r="D524" s="8" t="s">
        <v>1487</v>
      </c>
      <c r="E524" s="9" t="str">
        <f aca="false">HYPERLINK("https://twitter.com/Elucidatus/status/921531024244224000","921531024244224000")</f>
        <v>921531024244224000</v>
      </c>
      <c r="F524" s="10" t="s">
        <v>177</v>
      </c>
      <c r="G524" s="10" t="n">
        <v>2535</v>
      </c>
      <c r="H524" s="10" t="n">
        <v>1877</v>
      </c>
      <c r="I524" s="10" t="n">
        <v>0</v>
      </c>
      <c r="J524" s="10" t="n">
        <v>0</v>
      </c>
      <c r="K524" s="10" t="s">
        <v>20</v>
      </c>
      <c r="L524" s="11" t="n">
        <v>40437.9200462963</v>
      </c>
      <c r="M524" s="12" t="s">
        <v>1488</v>
      </c>
      <c r="N524" s="13" t="s">
        <v>1489</v>
      </c>
      <c r="O524" s="9" t="str">
        <f aca="false">HYPERLINK("https://pbs.twimg.com/profile_images/750916711432327168/Wib2pwbG_normal.jpg","View")</f>
        <v>View</v>
      </c>
      <c r="P524" s="10"/>
    </row>
    <row r="525" customFormat="false" ht="15.75" hidden="false" customHeight="false" outlineLevel="0" collapsed="false">
      <c r="A525" s="6" t="n">
        <v>43028.7289236111</v>
      </c>
      <c r="B525" s="7" t="str">
        <f aca="false">HYPERLINK("https://twitter.com/yuuji_K1","@yuuji_K1")</f>
        <v>@yuuji_K1</v>
      </c>
      <c r="C525" s="8" t="s">
        <v>1490</v>
      </c>
      <c r="D525" s="8" t="s">
        <v>1483</v>
      </c>
      <c r="E525" s="9" t="str">
        <f aca="false">HYPERLINK("https://twitter.com/yuuji_K1/status/921533906519601152","921533906519601152")</f>
        <v>921533906519601152</v>
      </c>
      <c r="F525" s="10" t="s">
        <v>51</v>
      </c>
      <c r="G525" s="10" t="n">
        <v>2336</v>
      </c>
      <c r="H525" s="10" t="n">
        <v>2256</v>
      </c>
      <c r="I525" s="10" t="n">
        <v>4</v>
      </c>
      <c r="J525" s="10" t="n">
        <v>0</v>
      </c>
      <c r="K525" s="10" t="s">
        <v>20</v>
      </c>
      <c r="L525" s="11" t="n">
        <v>41720.1160069445</v>
      </c>
      <c r="M525" s="12"/>
      <c r="N525" s="12" t="s">
        <v>1491</v>
      </c>
      <c r="O525" s="9" t="str">
        <f aca="false">HYPERLINK("https://pbs.twimg.com/profile_images/447319649642770432/l3MsVwx__normal.jpeg","View")</f>
        <v>View</v>
      </c>
      <c r="P525" s="10"/>
    </row>
    <row r="526" customFormat="false" ht="15.75" hidden="false" customHeight="false" outlineLevel="0" collapsed="false">
      <c r="A526" s="6" t="n">
        <v>43028.7403240741</v>
      </c>
      <c r="B526" s="7" t="str">
        <f aca="false">HYPERLINK("https://twitter.com/Goofygogo8","@Goofygogo8")</f>
        <v>@Goofygogo8</v>
      </c>
      <c r="C526" s="8" t="s">
        <v>1492</v>
      </c>
      <c r="D526" s="8" t="s">
        <v>1493</v>
      </c>
      <c r="E526" s="9" t="str">
        <f aca="false">HYPERLINK("https://twitter.com/Goofygogo8/status/921538040786427904","921538040786427904")</f>
        <v>921538040786427904</v>
      </c>
      <c r="F526" s="10" t="s">
        <v>177</v>
      </c>
      <c r="G526" s="10" t="n">
        <v>158</v>
      </c>
      <c r="H526" s="10" t="n">
        <v>527</v>
      </c>
      <c r="I526" s="10" t="n">
        <v>0</v>
      </c>
      <c r="J526" s="10" t="n">
        <v>0</v>
      </c>
      <c r="K526" s="10" t="s">
        <v>20</v>
      </c>
      <c r="L526" s="11" t="n">
        <v>42790.6904513889</v>
      </c>
      <c r="M526" s="12"/>
      <c r="N526" s="13" t="s">
        <v>1494</v>
      </c>
      <c r="O526" s="9" t="str">
        <f aca="false">HYPERLINK("https://pbs.twimg.com/profile_images/835291249758224384/jnzbmBVJ_normal.jpg","View")</f>
        <v>View</v>
      </c>
      <c r="P526" s="10"/>
    </row>
    <row r="527" customFormat="false" ht="15.75" hidden="false" customHeight="false" outlineLevel="0" collapsed="false">
      <c r="A527" s="6" t="n">
        <v>43028.7683101852</v>
      </c>
      <c r="B527" s="7" t="str">
        <f aca="false">HYPERLINK("https://twitter.com/Open_XML","@Open_XML")</f>
        <v>@Open_XML</v>
      </c>
      <c r="C527" s="8" t="s">
        <v>1495</v>
      </c>
      <c r="D527" s="8" t="s">
        <v>1496</v>
      </c>
      <c r="E527" s="9" t="str">
        <f aca="false">HYPERLINK("https://twitter.com/Open_XML/status/921548182055657473","921548182055657473")</f>
        <v>921548182055657473</v>
      </c>
      <c r="F527" s="10" t="s">
        <v>25</v>
      </c>
      <c r="G527" s="10" t="n">
        <v>257</v>
      </c>
      <c r="H527" s="10" t="n">
        <v>124</v>
      </c>
      <c r="I527" s="10" t="n">
        <v>0</v>
      </c>
      <c r="J527" s="10" t="n">
        <v>0</v>
      </c>
      <c r="K527" s="10" t="s">
        <v>20</v>
      </c>
      <c r="L527" s="11" t="n">
        <v>40766.9677199074</v>
      </c>
      <c r="M527" s="12" t="s">
        <v>1497</v>
      </c>
      <c r="N527" s="12" t="s">
        <v>1498</v>
      </c>
      <c r="O527" s="9" t="str">
        <f aca="false">HYPERLINK("https://pbs.twimg.com/profile_images/910776190180327429/okVwdInn_normal.jpg","View")</f>
        <v>View</v>
      </c>
      <c r="P527" s="10"/>
    </row>
    <row r="528" customFormat="false" ht="15.75" hidden="false" customHeight="false" outlineLevel="0" collapsed="false">
      <c r="A528" s="6" t="n">
        <v>43028.7729513889</v>
      </c>
      <c r="B528" s="7" t="str">
        <f aca="false">HYPERLINK("https://twitter.com/NeoaNova","@NeoaNova")</f>
        <v>@NeoaNova</v>
      </c>
      <c r="C528" s="8" t="s">
        <v>1499</v>
      </c>
      <c r="D528" s="8" t="s">
        <v>1412</v>
      </c>
      <c r="E528" s="9" t="str">
        <f aca="false">HYPERLINK("https://twitter.com/NeoaNova/status/921549861836636160","921549861836636160")</f>
        <v>921549861836636160</v>
      </c>
      <c r="F528" s="10" t="s">
        <v>39</v>
      </c>
      <c r="G528" s="10" t="n">
        <v>33</v>
      </c>
      <c r="H528" s="10" t="n">
        <v>139</v>
      </c>
      <c r="I528" s="10" t="n">
        <v>25</v>
      </c>
      <c r="J528" s="10" t="n">
        <v>0</v>
      </c>
      <c r="K528" s="10" t="s">
        <v>20</v>
      </c>
      <c r="L528" s="11" t="n">
        <v>41537.0955324074</v>
      </c>
      <c r="M528" s="13" t="s">
        <v>1500</v>
      </c>
      <c r="N528" s="13" t="s">
        <v>1501</v>
      </c>
      <c r="O528" s="9" t="str">
        <f aca="false">HYPERLINK("https://pbs.twimg.com/profile_images/899161488807546880/XuvRZc63_normal.jpg","View")</f>
        <v>View</v>
      </c>
      <c r="P528" s="10"/>
    </row>
    <row r="529" customFormat="false" ht="15.75" hidden="false" customHeight="false" outlineLevel="0" collapsed="false">
      <c r="A529" s="6" t="n">
        <v>43028.8140162037</v>
      </c>
      <c r="B529" s="7" t="str">
        <f aca="false">HYPERLINK("https://twitter.com/engportals1","@engportals1")</f>
        <v>@engportals1</v>
      </c>
      <c r="C529" s="8" t="s">
        <v>1502</v>
      </c>
      <c r="D529" s="8" t="s">
        <v>1503</v>
      </c>
      <c r="E529" s="9" t="str">
        <f aca="false">HYPERLINK("https://twitter.com/engportals1/status/921564742334009344","921564742334009344")</f>
        <v>921564742334009344</v>
      </c>
      <c r="F529" s="10" t="s">
        <v>1504</v>
      </c>
      <c r="G529" s="10" t="n">
        <v>144</v>
      </c>
      <c r="H529" s="10" t="n">
        <v>40</v>
      </c>
      <c r="I529" s="10" t="n">
        <v>0</v>
      </c>
      <c r="J529" s="10" t="n">
        <v>0</v>
      </c>
      <c r="K529" s="10" t="s">
        <v>20</v>
      </c>
      <c r="L529" s="11" t="n">
        <v>42387.4093981482</v>
      </c>
      <c r="M529" s="12"/>
      <c r="N529" s="12"/>
      <c r="O529" s="9" t="str">
        <f aca="false">HYPERLINK("https://pbs.twimg.com/profile_images/697371019951083523/5HNavnYi_normal.jpg","View")</f>
        <v>View</v>
      </c>
      <c r="P529" s="10"/>
    </row>
    <row r="530" customFormat="false" ht="15.75" hidden="false" customHeight="false" outlineLevel="0" collapsed="false">
      <c r="A530" s="6" t="n">
        <v>43028.8215740741</v>
      </c>
      <c r="B530" s="7" t="str">
        <f aca="false">HYPERLINK("https://twitter.com/178kakapo","@178kakapo")</f>
        <v>@178kakapo</v>
      </c>
      <c r="C530" s="8" t="s">
        <v>138</v>
      </c>
      <c r="D530" s="8" t="s">
        <v>149</v>
      </c>
      <c r="E530" s="9" t="str">
        <f aca="false">HYPERLINK("https://twitter.com/178kakapo/status/921567484775301121","921567484775301121")</f>
        <v>921567484775301121</v>
      </c>
      <c r="F530" s="10" t="s">
        <v>39</v>
      </c>
      <c r="G530" s="10" t="n">
        <v>20924</v>
      </c>
      <c r="H530" s="10" t="n">
        <v>18434</v>
      </c>
      <c r="I530" s="10" t="n">
        <v>6</v>
      </c>
      <c r="J530" s="10" t="n">
        <v>0</v>
      </c>
      <c r="K530" s="10" t="s">
        <v>20</v>
      </c>
      <c r="L530" s="11" t="n">
        <v>40674.9428009259</v>
      </c>
      <c r="M530" s="12" t="s">
        <v>140</v>
      </c>
      <c r="N530" s="12" t="s">
        <v>141</v>
      </c>
      <c r="O530" s="9" t="str">
        <f aca="false">HYPERLINK("https://pbs.twimg.com/profile_images/2476808798/p6cqc9mvgsdlhya7nb6p_normal.jpeg","View")</f>
        <v>View</v>
      </c>
      <c r="P530" s="10"/>
    </row>
    <row r="531" customFormat="false" ht="15.75" hidden="false" customHeight="false" outlineLevel="0" collapsed="false">
      <c r="A531" s="6" t="n">
        <v>43028.8471064815</v>
      </c>
      <c r="B531" s="7" t="str">
        <f aca="false">HYPERLINK("https://twitter.com/Leroy_Lynch","@Leroy_Lynch")</f>
        <v>@Leroy_Lynch</v>
      </c>
      <c r="C531" s="8" t="s">
        <v>1505</v>
      </c>
      <c r="D531" s="8" t="s">
        <v>1506</v>
      </c>
      <c r="E531" s="9" t="str">
        <f aca="false">HYPERLINK("https://twitter.com/Leroy_Lynch/status/921576737443422209","921576737443422209")</f>
        <v>921576737443422209</v>
      </c>
      <c r="F531" s="10" t="s">
        <v>39</v>
      </c>
      <c r="G531" s="10" t="n">
        <v>3184</v>
      </c>
      <c r="H531" s="10" t="n">
        <v>2128</v>
      </c>
      <c r="I531" s="10" t="n">
        <v>0</v>
      </c>
      <c r="J531" s="10" t="n">
        <v>0</v>
      </c>
      <c r="K531" s="10" t="s">
        <v>20</v>
      </c>
      <c r="L531" s="11" t="n">
        <v>40810.9897569444</v>
      </c>
      <c r="M531" s="12" t="s">
        <v>1507</v>
      </c>
      <c r="N531" s="12" t="s">
        <v>1508</v>
      </c>
      <c r="O531" s="9" t="str">
        <f aca="false">HYPERLINK("https://pbs.twimg.com/profile_images/813199011192573953/YdNpGd5I_normal.jpg","View")</f>
        <v>View</v>
      </c>
      <c r="P531" s="10"/>
    </row>
    <row r="532" customFormat="false" ht="15.75" hidden="false" customHeight="false" outlineLevel="0" collapsed="false">
      <c r="A532" s="6" t="n">
        <v>43028.8725231482</v>
      </c>
      <c r="B532" s="7" t="str">
        <f aca="false">HYPERLINK("https://twitter.com/vajapeyam","@vajapeyam")</f>
        <v>@vajapeyam</v>
      </c>
      <c r="C532" s="8" t="s">
        <v>1509</v>
      </c>
      <c r="D532" s="8" t="s">
        <v>1510</v>
      </c>
      <c r="E532" s="9" t="str">
        <f aca="false">HYPERLINK("https://twitter.com/vajapeyam/status/921585945551421440","921585945551421440")</f>
        <v>921585945551421440</v>
      </c>
      <c r="F532" s="10" t="s">
        <v>39</v>
      </c>
      <c r="G532" s="10" t="n">
        <v>3712</v>
      </c>
      <c r="H532" s="10" t="n">
        <v>4366</v>
      </c>
      <c r="I532" s="10" t="n">
        <v>0</v>
      </c>
      <c r="J532" s="10" t="n">
        <v>0</v>
      </c>
      <c r="K532" s="10" t="s">
        <v>20</v>
      </c>
      <c r="L532" s="11" t="n">
        <v>41374.8256712963</v>
      </c>
      <c r="M532" s="12" t="s">
        <v>1511</v>
      </c>
      <c r="N532" s="12" t="s">
        <v>1512</v>
      </c>
      <c r="O532" s="9" t="str">
        <f aca="false">HYPERLINK("https://pbs.twimg.com/profile_images/918708972810465280/agqN1hmS_normal.jpg","View")</f>
        <v>View</v>
      </c>
      <c r="P532" s="10"/>
    </row>
    <row r="533" customFormat="false" ht="15.75" hidden="false" customHeight="false" outlineLevel="0" collapsed="false">
      <c r="A533" s="6" t="n">
        <v>43028.8801157407</v>
      </c>
      <c r="B533" s="7" t="str">
        <f aca="false">HYPERLINK("https://twitter.com/dehydratedpaani","@dehydratedpaani")</f>
        <v>@dehydratedpaani</v>
      </c>
      <c r="C533" s="8" t="s">
        <v>1513</v>
      </c>
      <c r="D533" s="8" t="s">
        <v>1412</v>
      </c>
      <c r="E533" s="9" t="str">
        <f aca="false">HYPERLINK("https://twitter.com/dehydratedpaani/status/921588697161654272","921588697161654272")</f>
        <v>921588697161654272</v>
      </c>
      <c r="F533" s="10" t="s">
        <v>39</v>
      </c>
      <c r="G533" s="10" t="n">
        <v>1001</v>
      </c>
      <c r="H533" s="10" t="n">
        <v>251</v>
      </c>
      <c r="I533" s="10" t="n">
        <v>25</v>
      </c>
      <c r="J533" s="10" t="n">
        <v>0</v>
      </c>
      <c r="K533" s="10" t="s">
        <v>20</v>
      </c>
      <c r="L533" s="11" t="n">
        <v>40598.2787152778</v>
      </c>
      <c r="M533" s="12"/>
      <c r="N533" s="12" t="s">
        <v>1514</v>
      </c>
      <c r="O533" s="9" t="str">
        <f aca="false">HYPERLINK("https://pbs.twimg.com/profile_images/906945011975036928/NXaxOUBj_normal.jpg","View")</f>
        <v>View</v>
      </c>
      <c r="P533" s="10"/>
    </row>
    <row r="534" customFormat="false" ht="15.75" hidden="false" customHeight="false" outlineLevel="0" collapsed="false">
      <c r="A534" s="6" t="n">
        <v>43028.8876967593</v>
      </c>
      <c r="B534" s="7" t="str">
        <f aca="false">HYPERLINK("https://twitter.com/vichui","@vichui")</f>
        <v>@vichui</v>
      </c>
      <c r="C534" s="8" t="s">
        <v>1515</v>
      </c>
      <c r="D534" s="8" t="s">
        <v>1483</v>
      </c>
      <c r="E534" s="9" t="str">
        <f aca="false">HYPERLINK("https://twitter.com/vichui/status/921591446381084672","921591446381084672")</f>
        <v>921591446381084672</v>
      </c>
      <c r="F534" s="10" t="s">
        <v>51</v>
      </c>
      <c r="G534" s="10" t="n">
        <v>158</v>
      </c>
      <c r="H534" s="10" t="n">
        <v>155</v>
      </c>
      <c r="I534" s="10" t="n">
        <v>4</v>
      </c>
      <c r="J534" s="10" t="n">
        <v>0</v>
      </c>
      <c r="K534" s="10" t="s">
        <v>20</v>
      </c>
      <c r="L534" s="11" t="n">
        <v>40373.0971875</v>
      </c>
      <c r="M534" s="12" t="s">
        <v>102</v>
      </c>
      <c r="N534" s="12" t="s">
        <v>1516</v>
      </c>
      <c r="O534" s="9" t="str">
        <f aca="false">HYPERLINK("https://pbs.twimg.com/profile_images/436050061915467776/etGYABkf_normal.jpeg","View")</f>
        <v>View</v>
      </c>
      <c r="P534" s="10"/>
    </row>
    <row r="535" customFormat="false" ht="15.75" hidden="false" customHeight="false" outlineLevel="0" collapsed="false">
      <c r="A535" s="6" t="n">
        <v>43028.9022106482</v>
      </c>
      <c r="B535" s="7" t="str">
        <f aca="false">HYPERLINK("https://twitter.com/_Pragnik","@_Pragnik")</f>
        <v>@_Pragnik</v>
      </c>
      <c r="C535" s="8" t="s">
        <v>1517</v>
      </c>
      <c r="D535" s="8" t="s">
        <v>1412</v>
      </c>
      <c r="E535" s="9" t="str">
        <f aca="false">HYPERLINK("https://twitter.com/_Pragnik/status/921596705660854272","921596705660854272")</f>
        <v>921596705660854272</v>
      </c>
      <c r="F535" s="10" t="s">
        <v>25</v>
      </c>
      <c r="G535" s="10" t="n">
        <v>781</v>
      </c>
      <c r="H535" s="10" t="n">
        <v>7</v>
      </c>
      <c r="I535" s="10" t="n">
        <v>25</v>
      </c>
      <c r="J535" s="10" t="n">
        <v>0</v>
      </c>
      <c r="K535" s="10" t="s">
        <v>20</v>
      </c>
      <c r="L535" s="11" t="n">
        <v>42457.7417476852</v>
      </c>
      <c r="M535" s="12"/>
      <c r="N535" s="12" t="s">
        <v>1518</v>
      </c>
      <c r="O535" s="9" t="str">
        <f aca="false">HYPERLINK("https://pbs.twimg.com/profile_images/865438481576624129/3rMR7Ldg_normal.jpg","View")</f>
        <v>View</v>
      </c>
      <c r="P535" s="10"/>
    </row>
    <row r="536" customFormat="false" ht="15.75" hidden="false" customHeight="false" outlineLevel="0" collapsed="false">
      <c r="A536" s="6" t="n">
        <v>43028.9067708333</v>
      </c>
      <c r="B536" s="7" t="str">
        <f aca="false">HYPERLINK("https://twitter.com/GoMaestra","@GoMaestra")</f>
        <v>@GoMaestra</v>
      </c>
      <c r="C536" s="8" t="s">
        <v>1519</v>
      </c>
      <c r="D536" s="8" t="s">
        <v>705</v>
      </c>
      <c r="E536" s="9" t="str">
        <f aca="false">HYPERLINK("https://twitter.com/GoMaestra/status/921598358271045632","921598358271045632")</f>
        <v>921598358271045632</v>
      </c>
      <c r="F536" s="10" t="s">
        <v>177</v>
      </c>
      <c r="G536" s="10" t="n">
        <v>410</v>
      </c>
      <c r="H536" s="10" t="n">
        <v>905</v>
      </c>
      <c r="I536" s="10" t="n">
        <v>60</v>
      </c>
      <c r="J536" s="10" t="n">
        <v>0</v>
      </c>
      <c r="K536" s="10" t="s">
        <v>20</v>
      </c>
      <c r="L536" s="11" t="n">
        <v>41600.8041087963</v>
      </c>
      <c r="M536" s="12"/>
      <c r="N536" s="12" t="s">
        <v>1520</v>
      </c>
      <c r="O536" s="9" t="str">
        <f aca="false">HYPERLINK("https://pbs.twimg.com/profile_images/461012163616718849/7b4APUos_normal.jpeg","View")</f>
        <v>View</v>
      </c>
      <c r="P536" s="10"/>
    </row>
    <row r="537" customFormat="false" ht="15.75" hidden="false" customHeight="false" outlineLevel="0" collapsed="false">
      <c r="A537" s="6" t="n">
        <v>43028.9170023148</v>
      </c>
      <c r="B537" s="7" t="str">
        <f aca="false">HYPERLINK("https://twitter.com/arajhauns","@arajhauns")</f>
        <v>@arajhauns</v>
      </c>
      <c r="C537" s="8" t="s">
        <v>1521</v>
      </c>
      <c r="D537" s="8" t="s">
        <v>1412</v>
      </c>
      <c r="E537" s="9" t="str">
        <f aca="false">HYPERLINK("https://twitter.com/arajhauns/status/921602063787630592","921602063787630592")</f>
        <v>921602063787630592</v>
      </c>
      <c r="F537" s="10" t="s">
        <v>51</v>
      </c>
      <c r="G537" s="10" t="n">
        <v>128</v>
      </c>
      <c r="H537" s="10" t="n">
        <v>345</v>
      </c>
      <c r="I537" s="10" t="n">
        <v>25</v>
      </c>
      <c r="J537" s="10" t="n">
        <v>0</v>
      </c>
      <c r="K537" s="10" t="s">
        <v>20</v>
      </c>
      <c r="L537" s="11" t="n">
        <v>40303.0954398148</v>
      </c>
      <c r="M537" s="12" t="s">
        <v>1522</v>
      </c>
      <c r="N537" s="12" t="s">
        <v>1523</v>
      </c>
      <c r="O537" s="9" t="str">
        <f aca="false">HYPERLINK("https://pbs.twimg.com/profile_images/469107861033734144/lh0f-bwf_normal.png","View")</f>
        <v>View</v>
      </c>
      <c r="P537" s="10"/>
    </row>
    <row r="538" customFormat="false" ht="15.75" hidden="false" customHeight="false" outlineLevel="0" collapsed="false">
      <c r="A538" s="6" t="n">
        <v>43028.9390625</v>
      </c>
      <c r="B538" s="7" t="str">
        <f aca="false">HYPERLINK("https://twitter.com/HiromiKamiyama","@HiromiKamiyama")</f>
        <v>@HiromiKamiyama</v>
      </c>
      <c r="C538" s="8" t="s">
        <v>1524</v>
      </c>
      <c r="D538" s="8" t="s">
        <v>1525</v>
      </c>
      <c r="E538" s="9" t="str">
        <f aca="false">HYPERLINK("https://twitter.com/HiromiKamiyama/status/921610058072387584","921610058072387584")</f>
        <v>921610058072387584</v>
      </c>
      <c r="F538" s="10" t="s">
        <v>51</v>
      </c>
      <c r="G538" s="10" t="n">
        <v>458</v>
      </c>
      <c r="H538" s="10" t="n">
        <v>345</v>
      </c>
      <c r="I538" s="10" t="n">
        <v>0</v>
      </c>
      <c r="J538" s="10" t="n">
        <v>0</v>
      </c>
      <c r="K538" s="10" t="s">
        <v>20</v>
      </c>
      <c r="L538" s="11" t="n">
        <v>40319.068912037</v>
      </c>
      <c r="M538" s="12" t="s">
        <v>574</v>
      </c>
      <c r="N538" s="12" t="s">
        <v>1526</v>
      </c>
      <c r="O538" s="9" t="str">
        <f aca="false">HYPERLINK("https://pbs.twimg.com/profile_images/885490341507252227/QCOL7P0d_normal.jpg","View")</f>
        <v>View</v>
      </c>
      <c r="P538" s="10"/>
    </row>
    <row r="539" customFormat="false" ht="15.75" hidden="false" customHeight="false" outlineLevel="0" collapsed="false">
      <c r="A539" s="6" t="n">
        <v>43028.9494907407</v>
      </c>
      <c r="B539" s="7" t="str">
        <f aca="false">HYPERLINK("https://twitter.com/rachelmealey","@rachelmealey")</f>
        <v>@rachelmealey</v>
      </c>
      <c r="C539" s="8" t="s">
        <v>1527</v>
      </c>
      <c r="D539" s="8" t="s">
        <v>1528</v>
      </c>
      <c r="E539" s="9" t="str">
        <f aca="false">HYPERLINK("https://twitter.com/rachelmealey/status/921613838004322306","921613838004322306")</f>
        <v>921613838004322306</v>
      </c>
      <c r="F539" s="10" t="s">
        <v>51</v>
      </c>
      <c r="G539" s="10" t="n">
        <v>1447</v>
      </c>
      <c r="H539" s="10" t="n">
        <v>741</v>
      </c>
      <c r="I539" s="10" t="n">
        <v>1</v>
      </c>
      <c r="J539" s="10" t="n">
        <v>2</v>
      </c>
      <c r="K539" s="10" t="s">
        <v>20</v>
      </c>
      <c r="L539" s="11" t="n">
        <v>39952.5627662037</v>
      </c>
      <c r="M539" s="12" t="s">
        <v>1529</v>
      </c>
      <c r="N539" s="12" t="s">
        <v>1530</v>
      </c>
      <c r="O539" s="9" t="str">
        <f aca="false">HYPERLINK("https://pbs.twimg.com/profile_images/1269290282/rachelmealey_edit_normal.jpg","View")</f>
        <v>View</v>
      </c>
      <c r="P539" s="10"/>
    </row>
    <row r="540" customFormat="false" ht="15.75" hidden="false" customHeight="false" outlineLevel="0" collapsed="false">
      <c r="A540" s="6" t="n">
        <v>43028.9516087963</v>
      </c>
      <c r="B540" s="7" t="str">
        <f aca="false">HYPERLINK("https://twitter.com/shalin5960","@shalin5960")</f>
        <v>@shalin5960</v>
      </c>
      <c r="C540" s="8" t="s">
        <v>812</v>
      </c>
      <c r="D540" s="8" t="s">
        <v>1531</v>
      </c>
      <c r="E540" s="9" t="str">
        <f aca="false">HYPERLINK("https://twitter.com/shalin5960/status/921614607000788992","921614607000788992")</f>
        <v>921614607000788992</v>
      </c>
      <c r="F540" s="10" t="s">
        <v>60</v>
      </c>
      <c r="G540" s="10" t="n">
        <v>235</v>
      </c>
      <c r="H540" s="10" t="n">
        <v>167</v>
      </c>
      <c r="I540" s="10" t="n">
        <v>0</v>
      </c>
      <c r="J540" s="10" t="n">
        <v>0</v>
      </c>
      <c r="K540" s="10" t="s">
        <v>20</v>
      </c>
      <c r="L540" s="11" t="n">
        <v>40276.4158564815</v>
      </c>
      <c r="M540" s="12" t="s">
        <v>814</v>
      </c>
      <c r="N540" s="12" t="s">
        <v>815</v>
      </c>
      <c r="O540" s="9" t="str">
        <f aca="false">HYPERLINK("https://pbs.twimg.com/profile_images/883907510070935552/d2p-brHu_normal.jpg","View")</f>
        <v>View</v>
      </c>
      <c r="P540" s="10"/>
    </row>
    <row r="541" customFormat="false" ht="15.75" hidden="false" customHeight="false" outlineLevel="0" collapsed="false">
      <c r="A541" s="6" t="n">
        <v>43028.9523032408</v>
      </c>
      <c r="B541" s="7" t="str">
        <f aca="false">HYPERLINK("https://twitter.com/livemint","@livemint")</f>
        <v>@livemint</v>
      </c>
      <c r="C541" s="8" t="s">
        <v>816</v>
      </c>
      <c r="D541" s="8" t="s">
        <v>1532</v>
      </c>
      <c r="E541" s="9" t="str">
        <f aca="false">HYPERLINK("https://twitter.com/livemint/status/921614858830872576","921614858830872576")</f>
        <v>921614858830872576</v>
      </c>
      <c r="F541" s="10" t="s">
        <v>60</v>
      </c>
      <c r="G541" s="10" t="n">
        <v>1692751</v>
      </c>
      <c r="H541" s="10" t="n">
        <v>352</v>
      </c>
      <c r="I541" s="10" t="n">
        <v>2</v>
      </c>
      <c r="J541" s="10" t="n">
        <v>13</v>
      </c>
      <c r="K541" s="10" t="s">
        <v>20</v>
      </c>
      <c r="L541" s="11" t="n">
        <v>39779.0469675926</v>
      </c>
      <c r="M541" s="12" t="s">
        <v>72</v>
      </c>
      <c r="N541" s="12" t="s">
        <v>818</v>
      </c>
      <c r="O541" s="9" t="str">
        <f aca="false">HYPERLINK("https://pbs.twimg.com/profile_images/786768566280458240/10bMmNvU_normal.jpg","View")</f>
        <v>View</v>
      </c>
      <c r="P541" s="10"/>
    </row>
    <row r="542" customFormat="false" ht="15.75" hidden="false" customHeight="false" outlineLevel="0" collapsed="false">
      <c r="A542" s="6" t="n">
        <v>43028.9530092593</v>
      </c>
      <c r="B542" s="7" t="str">
        <f aca="false">HYPERLINK("https://twitter.com/AficionadoYash","@AficionadoYash")</f>
        <v>@AficionadoYash</v>
      </c>
      <c r="C542" s="8" t="s">
        <v>819</v>
      </c>
      <c r="D542" s="8" t="s">
        <v>1533</v>
      </c>
      <c r="E542" s="9" t="str">
        <f aca="false">HYPERLINK("https://twitter.com/AficionadoYash/status/921615113009934336","921615113009934336")</f>
        <v>921615113009934336</v>
      </c>
      <c r="F542" s="10" t="s">
        <v>60</v>
      </c>
      <c r="G542" s="10" t="n">
        <v>2582</v>
      </c>
      <c r="H542" s="10" t="n">
        <v>948</v>
      </c>
      <c r="I542" s="10" t="n">
        <v>0</v>
      </c>
      <c r="J542" s="10" t="n">
        <v>0</v>
      </c>
      <c r="K542" s="10" t="s">
        <v>20</v>
      </c>
      <c r="L542" s="11" t="n">
        <v>40905.1268287037</v>
      </c>
      <c r="M542" s="12" t="s">
        <v>72</v>
      </c>
      <c r="N542" s="12" t="s">
        <v>821</v>
      </c>
      <c r="O542" s="9" t="str">
        <f aca="false">HYPERLINK("https://pbs.twimg.com/profile_images/731065154129928192/gauLWTlp_normal.jpg","View")</f>
        <v>View</v>
      </c>
      <c r="P542" s="10"/>
    </row>
    <row r="543" customFormat="false" ht="15.75" hidden="false" customHeight="false" outlineLevel="0" collapsed="false">
      <c r="A543" s="6" t="n">
        <v>43028.9563888889</v>
      </c>
      <c r="B543" s="7" t="str">
        <f aca="false">HYPERLINK("https://twitter.com/allstartupsin","@allstartupsin")</f>
        <v>@allstartupsin</v>
      </c>
      <c r="C543" s="7" t="s">
        <v>831</v>
      </c>
      <c r="D543" s="8" t="s">
        <v>1534</v>
      </c>
      <c r="E543" s="9" t="str">
        <f aca="false">HYPERLINK("https://twitter.com/allstartupsin/status/921616339558699008","921616339558699008")</f>
        <v>921616339558699008</v>
      </c>
      <c r="F543" s="10" t="s">
        <v>60</v>
      </c>
      <c r="G543" s="10" t="n">
        <v>1604</v>
      </c>
      <c r="H543" s="10" t="n">
        <v>1993</v>
      </c>
      <c r="I543" s="10" t="n">
        <v>0</v>
      </c>
      <c r="J543" s="10" t="n">
        <v>0</v>
      </c>
      <c r="K543" s="10" t="s">
        <v>20</v>
      </c>
      <c r="L543" s="11" t="n">
        <v>41453.3700462963</v>
      </c>
      <c r="M543" s="12" t="s">
        <v>72</v>
      </c>
      <c r="N543" s="12" t="s">
        <v>833</v>
      </c>
      <c r="O543" s="9" t="str">
        <f aca="false">HYPERLINK("https://pbs.twimg.com/profile_images/770675004446941184/DgZiAFjn_normal.jpg","View")</f>
        <v>View</v>
      </c>
      <c r="P543" s="10"/>
    </row>
    <row r="544" customFormat="false" ht="15.75" hidden="false" customHeight="false" outlineLevel="0" collapsed="false">
      <c r="A544" s="6" t="n">
        <v>43028.9592939815</v>
      </c>
      <c r="B544" s="7" t="str">
        <f aca="false">HYPERLINK("https://twitter.com/IAS_Gurukul","@IAS_Gurukul")</f>
        <v>@IAS_Gurukul</v>
      </c>
      <c r="C544" s="8" t="s">
        <v>838</v>
      </c>
      <c r="D544" s="8" t="s">
        <v>1535</v>
      </c>
      <c r="E544" s="9" t="str">
        <f aca="false">HYPERLINK("https://twitter.com/IAS_Gurukul/status/921617393029435392","921617393029435392")</f>
        <v>921617393029435392</v>
      </c>
      <c r="F544" s="10" t="s">
        <v>60</v>
      </c>
      <c r="G544" s="10" t="n">
        <v>165</v>
      </c>
      <c r="H544" s="10" t="n">
        <v>70</v>
      </c>
      <c r="I544" s="10" t="n">
        <v>0</v>
      </c>
      <c r="J544" s="10" t="n">
        <v>0</v>
      </c>
      <c r="K544" s="10" t="s">
        <v>20</v>
      </c>
      <c r="L544" s="11" t="n">
        <v>42635.8370486111</v>
      </c>
      <c r="M544" s="12" t="s">
        <v>64</v>
      </c>
      <c r="N544" s="12" t="s">
        <v>840</v>
      </c>
      <c r="O544" s="9" t="str">
        <f aca="false">HYPERLINK("https://pbs.twimg.com/profile_images/898138063557214209/uxDcvkn3_normal.jpg","View")</f>
        <v>View</v>
      </c>
      <c r="P544" s="10"/>
    </row>
    <row r="545" customFormat="false" ht="15.75" hidden="false" customHeight="false" outlineLevel="0" collapsed="false">
      <c r="A545" s="6" t="n">
        <v>43028.9598726852</v>
      </c>
      <c r="B545" s="7" t="str">
        <f aca="false">HYPERLINK("https://twitter.com/NTKRNow","@NTKRNow")</f>
        <v>@NTKRNow</v>
      </c>
      <c r="C545" s="8" t="s">
        <v>829</v>
      </c>
      <c r="D545" s="8" t="s">
        <v>1536</v>
      </c>
      <c r="E545" s="9" t="str">
        <f aca="false">HYPERLINK("https://twitter.com/NTKRNow/status/921617600752254976","921617600752254976")</f>
        <v>921617600752254976</v>
      </c>
      <c r="F545" s="10" t="s">
        <v>60</v>
      </c>
      <c r="G545" s="10" t="n">
        <v>610</v>
      </c>
      <c r="H545" s="10" t="n">
        <v>4</v>
      </c>
      <c r="I545" s="10" t="n">
        <v>0</v>
      </c>
      <c r="J545" s="10" t="n">
        <v>0</v>
      </c>
      <c r="K545" s="10" t="s">
        <v>20</v>
      </c>
      <c r="L545" s="11" t="n">
        <v>42402.810625</v>
      </c>
      <c r="M545" s="12"/>
      <c r="N545" s="12"/>
      <c r="O545" s="9" t="str">
        <f aca="false">HYPERLINK("https://abs.twimg.com/sticky/default_profile_images/default_profile_normal.png","View")</f>
        <v>View</v>
      </c>
      <c r="P545" s="10"/>
    </row>
    <row r="546" customFormat="false" ht="15.75" hidden="false" customHeight="false" outlineLevel="0" collapsed="false">
      <c r="A546" s="6" t="n">
        <v>43028.9648148148</v>
      </c>
      <c r="B546" s="7" t="str">
        <f aca="false">HYPERLINK("https://twitter.com/culture_japan","@culture_japan")</f>
        <v>@culture_japan</v>
      </c>
      <c r="C546" s="8" t="s">
        <v>99</v>
      </c>
      <c r="D546" s="8" t="s">
        <v>1537</v>
      </c>
      <c r="E546" s="9" t="str">
        <f aca="false">HYPERLINK("https://twitter.com/culture_japan/status/921619390415720448","921619390415720448")</f>
        <v>921619390415720448</v>
      </c>
      <c r="F546" s="10" t="s">
        <v>101</v>
      </c>
      <c r="G546" s="10" t="n">
        <v>214</v>
      </c>
      <c r="H546" s="10" t="n">
        <v>368</v>
      </c>
      <c r="I546" s="10" t="n">
        <v>0</v>
      </c>
      <c r="J546" s="10" t="n">
        <v>0</v>
      </c>
      <c r="K546" s="10" t="s">
        <v>20</v>
      </c>
      <c r="L546" s="11" t="n">
        <v>42985.2149189815</v>
      </c>
      <c r="M546" s="12" t="s">
        <v>102</v>
      </c>
      <c r="N546" s="12" t="s">
        <v>103</v>
      </c>
      <c r="O546" s="9" t="str">
        <f aca="false">HYPERLINK("https://pbs.twimg.com/profile_images/905765841622495233/8kPmmi5H_normal.jpg","View")</f>
        <v>View</v>
      </c>
      <c r="P546" s="10"/>
    </row>
    <row r="547" customFormat="false" ht="15.75" hidden="false" customHeight="false" outlineLevel="0" collapsed="false">
      <c r="A547" s="6" t="n">
        <v>43028.9658796296</v>
      </c>
      <c r="B547" s="7" t="str">
        <f aca="false">HYPERLINK("https://twitter.com/PhamNguyenly","@PhamNguyenly")</f>
        <v>@PhamNguyenly</v>
      </c>
      <c r="C547" s="8" t="s">
        <v>1538</v>
      </c>
      <c r="D547" s="8" t="s">
        <v>1539</v>
      </c>
      <c r="E547" s="9" t="str">
        <f aca="false">HYPERLINK("https://twitter.com/PhamNguyenly/status/921619777768042497","921619777768042497")</f>
        <v>921619777768042497</v>
      </c>
      <c r="F547" s="10" t="s">
        <v>55</v>
      </c>
      <c r="G547" s="10" t="n">
        <v>174</v>
      </c>
      <c r="H547" s="10" t="n">
        <v>48</v>
      </c>
      <c r="I547" s="10" t="n">
        <v>0</v>
      </c>
      <c r="J547" s="10" t="n">
        <v>0</v>
      </c>
      <c r="K547" s="10" t="s">
        <v>20</v>
      </c>
      <c r="L547" s="11" t="n">
        <v>42379.075162037</v>
      </c>
      <c r="M547" s="12"/>
      <c r="N547" s="12"/>
      <c r="O547" s="9" t="str">
        <f aca="false">HYPERLINK("https://pbs.twimg.com/profile_images/686123123029053440/tlIsdN69_normal.jpg","View")</f>
        <v>View</v>
      </c>
      <c r="P547" s="10"/>
    </row>
    <row r="548" customFormat="false" ht="15.75" hidden="false" customHeight="false" outlineLevel="0" collapsed="false">
      <c r="A548" s="6" t="n">
        <v>43028.9694675926</v>
      </c>
      <c r="B548" s="7" t="str">
        <f aca="false">HYPERLINK("https://twitter.com/ZyiteGadgets","@ZyiteGadgets")</f>
        <v>@ZyiteGadgets</v>
      </c>
      <c r="C548" s="8" t="s">
        <v>171</v>
      </c>
      <c r="D548" s="8" t="s">
        <v>1540</v>
      </c>
      <c r="E548" s="9" t="str">
        <f aca="false">HYPERLINK("https://twitter.com/ZyiteGadgets/status/921621076530094080","921621076530094080")</f>
        <v>921621076530094080</v>
      </c>
      <c r="F548" s="10" t="s">
        <v>110</v>
      </c>
      <c r="G548" s="10" t="n">
        <v>3542</v>
      </c>
      <c r="H548" s="10" t="n">
        <v>4844</v>
      </c>
      <c r="I548" s="10" t="n">
        <v>0</v>
      </c>
      <c r="J548" s="10" t="n">
        <v>0</v>
      </c>
      <c r="K548" s="10" t="s">
        <v>20</v>
      </c>
      <c r="L548" s="11" t="n">
        <v>41470.6147800926</v>
      </c>
      <c r="M548" s="15" t="s">
        <v>173</v>
      </c>
      <c r="N548" s="12" t="s">
        <v>174</v>
      </c>
      <c r="O548" s="9" t="str">
        <f aca="false">HYPERLINK("https://pbs.twimg.com/profile_images/487701633489313793/pIxJHFt5_normal.jpeg","View")</f>
        <v>View</v>
      </c>
      <c r="P548" s="10"/>
    </row>
    <row r="549" customFormat="false" ht="15.75" hidden="false" customHeight="false" outlineLevel="0" collapsed="false">
      <c r="A549" s="6" t="n">
        <v>43028.9860416667</v>
      </c>
      <c r="B549" s="7" t="str">
        <f aca="false">HYPERLINK("https://twitter.com/Ash399Ind","@Ash399Ind")</f>
        <v>@Ash399Ind</v>
      </c>
      <c r="C549" s="8" t="s">
        <v>1541</v>
      </c>
      <c r="D549" s="8" t="s">
        <v>1542</v>
      </c>
      <c r="E549" s="9" t="str">
        <f aca="false">HYPERLINK("https://twitter.com/Ash399Ind/status/921627084547547136","921627084547547136")</f>
        <v>921627084547547136</v>
      </c>
      <c r="F549" s="10" t="s">
        <v>25</v>
      </c>
      <c r="G549" s="10" t="n">
        <v>74</v>
      </c>
      <c r="H549" s="10" t="n">
        <v>1493</v>
      </c>
      <c r="I549" s="10" t="n">
        <v>2</v>
      </c>
      <c r="J549" s="10" t="n">
        <v>0</v>
      </c>
      <c r="K549" s="10" t="s">
        <v>20</v>
      </c>
      <c r="L549" s="11" t="n">
        <v>42565.4869212963</v>
      </c>
      <c r="M549" s="12"/>
      <c r="N549" s="12"/>
      <c r="O549" s="9" t="str">
        <f aca="false">HYPERLINK("https://pbs.twimg.com/profile_images/758969140220604417/QXzWH8Lm_normal.jpg","View")</f>
        <v>View</v>
      </c>
      <c r="P549" s="10"/>
    </row>
    <row r="550" customFormat="false" ht="15.75" hidden="false" customHeight="false" outlineLevel="0" collapsed="false">
      <c r="A550" s="6" t="n">
        <v>43029.0155555556</v>
      </c>
      <c r="B550" s="7" t="str">
        <f aca="false">HYPERLINK("https://twitter.com/TRTWorldNow","@TRTWorldNow")</f>
        <v>@TRTWorldNow</v>
      </c>
      <c r="C550" s="8" t="s">
        <v>1543</v>
      </c>
      <c r="D550" s="8" t="s">
        <v>1544</v>
      </c>
      <c r="E550" s="9" t="str">
        <f aca="false">HYPERLINK("https://twitter.com/TRTWorldNow/status/921637781268414465","921637781268414465")</f>
        <v>921637781268414465</v>
      </c>
      <c r="F550" s="9" t="s">
        <v>198</v>
      </c>
      <c r="G550" s="10" t="n">
        <v>1712</v>
      </c>
      <c r="H550" s="10" t="n">
        <v>7</v>
      </c>
      <c r="I550" s="10" t="n">
        <v>1</v>
      </c>
      <c r="J550" s="10" t="n">
        <v>0</v>
      </c>
      <c r="K550" s="10" t="s">
        <v>20</v>
      </c>
      <c r="L550" s="11" t="n">
        <v>42706.0250810185</v>
      </c>
      <c r="M550" s="12" t="s">
        <v>1545</v>
      </c>
      <c r="N550" s="12" t="s">
        <v>1546</v>
      </c>
      <c r="O550" s="9" t="str">
        <f aca="false">HYPERLINK("https://pbs.twimg.com/profile_images/905724163104669696/dZHKlqU0_normal.jpg","View")</f>
        <v>View</v>
      </c>
      <c r="P550" s="10"/>
    </row>
    <row r="551" customFormat="false" ht="15.75" hidden="false" customHeight="false" outlineLevel="0" collapsed="false">
      <c r="A551" s="6" t="n">
        <v>43029.0209953704</v>
      </c>
      <c r="B551" s="7" t="str">
        <f aca="false">HYPERLINK("https://twitter.com/DCSneider","@DCSneider")</f>
        <v>@DCSneider</v>
      </c>
      <c r="C551" s="8" t="s">
        <v>1547</v>
      </c>
      <c r="D551" s="8" t="s">
        <v>1548</v>
      </c>
      <c r="E551" s="9" t="str">
        <f aca="false">HYPERLINK("https://twitter.com/DCSneider/status/921639749760065537","921639749760065537")</f>
        <v>921639749760065537</v>
      </c>
      <c r="F551" s="10" t="s">
        <v>39</v>
      </c>
      <c r="G551" s="10" t="n">
        <v>56</v>
      </c>
      <c r="H551" s="10" t="n">
        <v>75</v>
      </c>
      <c r="I551" s="10" t="n">
        <v>0</v>
      </c>
      <c r="J551" s="10" t="n">
        <v>0</v>
      </c>
      <c r="K551" s="10" t="s">
        <v>20</v>
      </c>
      <c r="L551" s="11" t="n">
        <v>41699.607962963</v>
      </c>
      <c r="M551" s="12"/>
      <c r="N551" s="12"/>
      <c r="O551" s="9" t="str">
        <f aca="false">HYPERLINK("https://abs.twimg.com/sticky/default_profile_images/default_profile_normal.png","View")</f>
        <v>View</v>
      </c>
      <c r="P551" s="10"/>
    </row>
    <row r="552" customFormat="false" ht="15.75" hidden="false" customHeight="false" outlineLevel="0" collapsed="false">
      <c r="A552" s="6" t="n">
        <v>43029.0228703704</v>
      </c>
      <c r="B552" s="7" t="str">
        <f aca="false">HYPERLINK("https://twitter.com/rvrbreeze","@rvrbreeze")</f>
        <v>@rvrbreeze</v>
      </c>
      <c r="C552" s="8" t="s">
        <v>1549</v>
      </c>
      <c r="D552" s="8" t="s">
        <v>1412</v>
      </c>
      <c r="E552" s="9" t="str">
        <f aca="false">HYPERLINK("https://twitter.com/rvrbreeze/status/921640429338202114","921640429338202114")</f>
        <v>921640429338202114</v>
      </c>
      <c r="F552" s="10" t="s">
        <v>25</v>
      </c>
      <c r="G552" s="10" t="n">
        <v>276</v>
      </c>
      <c r="H552" s="10" t="n">
        <v>356</v>
      </c>
      <c r="I552" s="10" t="n">
        <v>25</v>
      </c>
      <c r="J552" s="10" t="n">
        <v>0</v>
      </c>
      <c r="K552" s="10" t="s">
        <v>20</v>
      </c>
      <c r="L552" s="11" t="n">
        <v>40897.3656365741</v>
      </c>
      <c r="M552" s="12" t="s">
        <v>1550</v>
      </c>
      <c r="N552" s="12" t="s">
        <v>1551</v>
      </c>
      <c r="O552" s="9" t="str">
        <f aca="false">HYPERLINK("https://pbs.twimg.com/profile_images/770888712699912192/nNYD1LZY_normal.jpg","View")</f>
        <v>View</v>
      </c>
      <c r="P552" s="10"/>
    </row>
    <row r="553" customFormat="false" ht="15.75" hidden="false" customHeight="false" outlineLevel="0" collapsed="false">
      <c r="A553" s="6" t="n">
        <v>43029.028587963</v>
      </c>
      <c r="B553" s="7" t="str">
        <f aca="false">HYPERLINK("https://twitter.com/trtworld","@trtworld")</f>
        <v>@trtworld</v>
      </c>
      <c r="C553" s="8" t="s">
        <v>1552</v>
      </c>
      <c r="D553" s="8" t="s">
        <v>1553</v>
      </c>
      <c r="E553" s="9" t="str">
        <f aca="false">HYPERLINK("https://twitter.com/trtworld/status/921642503756906496","921642503756906496")</f>
        <v>921642503756906496</v>
      </c>
      <c r="F553" s="9" t="s">
        <v>198</v>
      </c>
      <c r="G553" s="10" t="n">
        <v>113607</v>
      </c>
      <c r="H553" s="10" t="n">
        <v>9</v>
      </c>
      <c r="I553" s="10" t="n">
        <v>5</v>
      </c>
      <c r="J553" s="10" t="n">
        <v>3</v>
      </c>
      <c r="K553" s="10" t="s">
        <v>20</v>
      </c>
      <c r="L553" s="11" t="n">
        <v>42076.183125</v>
      </c>
      <c r="M553" s="12"/>
      <c r="N553" s="12" t="s">
        <v>1554</v>
      </c>
      <c r="O553" s="9" t="str">
        <f aca="false">HYPERLINK("https://pbs.twimg.com/profile_images/604916087180754945/1aMHMBIj_normal.png","View")</f>
        <v>View</v>
      </c>
      <c r="P553" s="10"/>
    </row>
    <row r="554" customFormat="false" ht="15.75" hidden="false" customHeight="false" outlineLevel="0" collapsed="false">
      <c r="A554" s="6" t="n">
        <v>43029.0298958333</v>
      </c>
      <c r="B554" s="7" t="str">
        <f aca="false">HYPERLINK("https://twitter.com/mahinur_12","@mahinur_12")</f>
        <v>@mahinur_12</v>
      </c>
      <c r="C554" s="8" t="s">
        <v>1555</v>
      </c>
      <c r="D554" s="8" t="s">
        <v>1556</v>
      </c>
      <c r="E554" s="9" t="str">
        <f aca="false">HYPERLINK("https://twitter.com/mahinur_12/status/921642976283185154","921642976283185154")</f>
        <v>921642976283185154</v>
      </c>
      <c r="F554" s="10" t="s">
        <v>25</v>
      </c>
      <c r="G554" s="10" t="n">
        <v>175</v>
      </c>
      <c r="H554" s="10" t="n">
        <v>73</v>
      </c>
      <c r="I554" s="10" t="n">
        <v>5</v>
      </c>
      <c r="J554" s="10" t="n">
        <v>0</v>
      </c>
      <c r="K554" s="10" t="s">
        <v>20</v>
      </c>
      <c r="L554" s="11" t="n">
        <v>41064.2671759259</v>
      </c>
      <c r="M554" s="12" t="s">
        <v>1557</v>
      </c>
      <c r="N554" s="12" t="s">
        <v>1558</v>
      </c>
      <c r="O554" s="9" t="str">
        <f aca="false">HYPERLINK("https://pbs.twimg.com/profile_images/852909984799223808/ZlqOZ2ff_normal.jpg","View")</f>
        <v>View</v>
      </c>
      <c r="P554" s="10"/>
    </row>
    <row r="555" customFormat="false" ht="15.75" hidden="false" customHeight="false" outlineLevel="0" collapsed="false">
      <c r="A555" s="6" t="n">
        <v>43029.0352893519</v>
      </c>
      <c r="B555" s="7" t="str">
        <f aca="false">HYPERLINK("https://twitter.com/lajong11","@lajong11")</f>
        <v>@lajong11</v>
      </c>
      <c r="C555" s="8" t="s">
        <v>1559</v>
      </c>
      <c r="D555" s="8" t="s">
        <v>1560</v>
      </c>
      <c r="E555" s="9" t="str">
        <f aca="false">HYPERLINK("https://twitter.com/lajong11/status/921644930258341888","921644930258341888")</f>
        <v>921644930258341888</v>
      </c>
      <c r="F555" s="10" t="s">
        <v>39</v>
      </c>
      <c r="G555" s="10" t="n">
        <v>1557</v>
      </c>
      <c r="H555" s="10" t="n">
        <v>5000</v>
      </c>
      <c r="I555" s="10" t="n">
        <v>0</v>
      </c>
      <c r="J555" s="10" t="n">
        <v>0</v>
      </c>
      <c r="K555" s="10" t="s">
        <v>20</v>
      </c>
      <c r="L555" s="11" t="n">
        <v>40212.8654976852</v>
      </c>
      <c r="M555" s="12" t="s">
        <v>1561</v>
      </c>
      <c r="N555" s="12" t="s">
        <v>1562</v>
      </c>
      <c r="O555" s="9" t="str">
        <f aca="false">HYPERLINK("https://pbs.twimg.com/profile_images/492363960390148096/8MFxRkCa_normal.png","View")</f>
        <v>View</v>
      </c>
      <c r="P555" s="10"/>
    </row>
    <row r="556" customFormat="false" ht="15.75" hidden="false" customHeight="false" outlineLevel="0" collapsed="false">
      <c r="A556" s="6" t="n">
        <v>43029.0500925926</v>
      </c>
      <c r="B556" s="7" t="str">
        <f aca="false">HYPERLINK("https://twitter.com/MehmedKl3","@MehmedKl3")</f>
        <v>@MehmedKl3</v>
      </c>
      <c r="C556" s="8" t="s">
        <v>1563</v>
      </c>
      <c r="D556" s="8" t="s">
        <v>1556</v>
      </c>
      <c r="E556" s="9" t="str">
        <f aca="false">HYPERLINK("https://twitter.com/MehmedKl3/status/921650295729307648","921650295729307648")</f>
        <v>921650295729307648</v>
      </c>
      <c r="F556" s="10" t="s">
        <v>98</v>
      </c>
      <c r="G556" s="10" t="n">
        <v>84</v>
      </c>
      <c r="H556" s="10" t="n">
        <v>339</v>
      </c>
      <c r="I556" s="10" t="n">
        <v>5</v>
      </c>
      <c r="J556" s="10" t="n">
        <v>0</v>
      </c>
      <c r="K556" s="10" t="s">
        <v>20</v>
      </c>
      <c r="L556" s="11" t="n">
        <v>42834.2603703704</v>
      </c>
      <c r="M556" s="12"/>
      <c r="N556" s="12"/>
      <c r="O556" s="9" t="str">
        <f aca="false">HYPERLINK("https://pbs.twimg.com/profile_images/922353943971225601/WeZHK2c9_normal.jpg","View")</f>
        <v>View</v>
      </c>
      <c r="P556" s="10"/>
    </row>
    <row r="557" customFormat="false" ht="15.75" hidden="false" customHeight="false" outlineLevel="0" collapsed="false">
      <c r="A557" s="6" t="n">
        <v>43029.0570833333</v>
      </c>
      <c r="B557" s="7" t="str">
        <f aca="false">HYPERLINK("https://twitter.com/178kakapo","@178kakapo")</f>
        <v>@178kakapo</v>
      </c>
      <c r="C557" s="8" t="s">
        <v>138</v>
      </c>
      <c r="D557" s="8" t="s">
        <v>149</v>
      </c>
      <c r="E557" s="9" t="str">
        <f aca="false">HYPERLINK("https://twitter.com/178kakapo/status/921652828992561152","921652828992561152")</f>
        <v>921652828992561152</v>
      </c>
      <c r="F557" s="10" t="s">
        <v>39</v>
      </c>
      <c r="G557" s="10" t="n">
        <v>20924</v>
      </c>
      <c r="H557" s="10" t="n">
        <v>18434</v>
      </c>
      <c r="I557" s="10" t="n">
        <v>32</v>
      </c>
      <c r="J557" s="10" t="n">
        <v>0</v>
      </c>
      <c r="K557" s="10" t="s">
        <v>20</v>
      </c>
      <c r="L557" s="11" t="n">
        <v>40674.9428009259</v>
      </c>
      <c r="M557" s="12" t="s">
        <v>140</v>
      </c>
      <c r="N557" s="12" t="s">
        <v>141</v>
      </c>
      <c r="O557" s="9" t="str">
        <f aca="false">HYPERLINK("https://pbs.twimg.com/profile_images/2476808798/p6cqc9mvgsdlhya7nb6p_normal.jpeg","View")</f>
        <v>View</v>
      </c>
      <c r="P557" s="10"/>
    </row>
    <row r="558" customFormat="false" ht="15.75" hidden="false" customHeight="false" outlineLevel="0" collapsed="false">
      <c r="A558" s="6" t="n">
        <v>43029.0709259259</v>
      </c>
      <c r="B558" s="7" t="str">
        <f aca="false">HYPERLINK("https://twitter.com/bpolitics","@bpolitics")</f>
        <v>@bpolitics</v>
      </c>
      <c r="C558" s="8" t="s">
        <v>266</v>
      </c>
      <c r="D558" s="8" t="s">
        <v>1564</v>
      </c>
      <c r="E558" s="9" t="str">
        <f aca="false">HYPERLINK("https://twitter.com/bpolitics/status/921657844889522176","921657844889522176")</f>
        <v>921657844889522176</v>
      </c>
      <c r="F558" s="10" t="s">
        <v>268</v>
      </c>
      <c r="G558" s="10" t="n">
        <v>221390</v>
      </c>
      <c r="H558" s="10" t="n">
        <v>868</v>
      </c>
      <c r="I558" s="10" t="n">
        <v>5</v>
      </c>
      <c r="J558" s="10" t="n">
        <v>10</v>
      </c>
      <c r="K558" s="10" t="s">
        <v>20</v>
      </c>
      <c r="L558" s="11" t="n">
        <v>41025.576400463</v>
      </c>
      <c r="M558" s="12"/>
      <c r="N558" s="12" t="s">
        <v>269</v>
      </c>
      <c r="O558" s="9" t="str">
        <f aca="false">HYPERLINK("https://pbs.twimg.com/profile_images/714804098890133504/cUO4gD1A_normal.jpg","View")</f>
        <v>View</v>
      </c>
      <c r="P558" s="10"/>
    </row>
    <row r="559" customFormat="false" ht="15.75" hidden="false" customHeight="false" outlineLevel="0" collapsed="false">
      <c r="A559" s="6" t="n">
        <v>43029.0720023148</v>
      </c>
      <c r="B559" s="7" t="str">
        <f aca="false">HYPERLINK("https://twitter.com/MrWangsap","@MrWangsap")</f>
        <v>@MrWangsap</v>
      </c>
      <c r="C559" s="8" t="s">
        <v>1565</v>
      </c>
      <c r="D559" s="8" t="s">
        <v>1566</v>
      </c>
      <c r="E559" s="9" t="str">
        <f aca="false">HYPERLINK("https://twitter.com/MrWangsap/status/921658233323905024","921658233323905024")</f>
        <v>921658233323905024</v>
      </c>
      <c r="F559" s="10" t="s">
        <v>39</v>
      </c>
      <c r="G559" s="10" t="n">
        <v>3</v>
      </c>
      <c r="H559" s="10" t="n">
        <v>286</v>
      </c>
      <c r="I559" s="10" t="n">
        <v>0</v>
      </c>
      <c r="J559" s="10" t="n">
        <v>0</v>
      </c>
      <c r="K559" s="10" t="s">
        <v>20</v>
      </c>
      <c r="L559" s="11" t="n">
        <v>42795.1698032407</v>
      </c>
      <c r="M559" s="12"/>
      <c r="N559" s="12"/>
      <c r="O559" s="9" t="str">
        <f aca="false">HYPERLINK("https://pbs.twimg.com/profile_images/892565988759162880/D2JMgLxI_normal.jpg","View")</f>
        <v>View</v>
      </c>
      <c r="P559" s="10"/>
    </row>
    <row r="560" customFormat="false" ht="15.75" hidden="false" customHeight="false" outlineLevel="0" collapsed="false">
      <c r="A560" s="6" t="n">
        <v>43029.0725462963</v>
      </c>
      <c r="B560" s="7" t="str">
        <f aca="false">HYPERLINK("https://twitter.com/M_and_Mz_World","@M_and_Mz_World")</f>
        <v>@M_and_Mz_World</v>
      </c>
      <c r="C560" s="8" t="s">
        <v>1567</v>
      </c>
      <c r="D560" s="8" t="s">
        <v>1568</v>
      </c>
      <c r="E560" s="9" t="str">
        <f aca="false">HYPERLINK("https://twitter.com/M_and_Mz_World/status/921658431609585664","921658431609585664")</f>
        <v>921658431609585664</v>
      </c>
      <c r="F560" s="10" t="s">
        <v>51</v>
      </c>
      <c r="G560" s="10" t="n">
        <v>2804</v>
      </c>
      <c r="H560" s="10" t="n">
        <v>4715</v>
      </c>
      <c r="I560" s="10" t="n">
        <v>5</v>
      </c>
      <c r="J560" s="10" t="n">
        <v>0</v>
      </c>
      <c r="K560" s="10" t="s">
        <v>20</v>
      </c>
      <c r="L560" s="11" t="n">
        <v>40361.3272685185</v>
      </c>
      <c r="M560" s="12" t="s">
        <v>1569</v>
      </c>
      <c r="N560" s="12" t="s">
        <v>1570</v>
      </c>
      <c r="O560" s="9" t="str">
        <f aca="false">HYPERLINK("https://pbs.twimg.com/profile_images/635013938195771392/gRNAOvF6_normal.jpg","View")</f>
        <v>View</v>
      </c>
      <c r="P560" s="10"/>
    </row>
    <row r="561" customFormat="false" ht="15.75" hidden="false" customHeight="false" outlineLevel="0" collapsed="false">
      <c r="A561" s="6" t="n">
        <v>43029.0735300926</v>
      </c>
      <c r="B561" s="7" t="str">
        <f aca="false">HYPERLINK("https://twitter.com/EugJHawk","@EugJHawk")</f>
        <v>@EugJHawk</v>
      </c>
      <c r="C561" s="8" t="s">
        <v>1571</v>
      </c>
      <c r="D561" s="8" t="s">
        <v>1568</v>
      </c>
      <c r="E561" s="9" t="str">
        <f aca="false">HYPERLINK("https://twitter.com/EugJHawk/status/921658786883895296","921658786883895296")</f>
        <v>921658786883895296</v>
      </c>
      <c r="F561" s="10" t="s">
        <v>98</v>
      </c>
      <c r="G561" s="10" t="n">
        <v>877</v>
      </c>
      <c r="H561" s="10" t="n">
        <v>1755</v>
      </c>
      <c r="I561" s="10" t="n">
        <v>5</v>
      </c>
      <c r="J561" s="10" t="n">
        <v>0</v>
      </c>
      <c r="K561" s="10" t="s">
        <v>20</v>
      </c>
      <c r="L561" s="11" t="n">
        <v>42851.9537731482</v>
      </c>
      <c r="M561" s="12" t="s">
        <v>1572</v>
      </c>
      <c r="N561" s="12" t="s">
        <v>1573</v>
      </c>
      <c r="O561" s="9" t="str">
        <f aca="false">HYPERLINK("https://pbs.twimg.com/profile_images/914890601820168192/o0EVUWh7_normal.jpg","View")</f>
        <v>View</v>
      </c>
      <c r="P561" s="10"/>
    </row>
    <row r="562" customFormat="false" ht="15.75" hidden="false" customHeight="false" outlineLevel="0" collapsed="false">
      <c r="A562" s="6" t="n">
        <v>43029.088587963</v>
      </c>
      <c r="B562" s="7" t="str">
        <f aca="false">HYPERLINK("https://twitter.com/smaslow_japan","@smaslow_japan")</f>
        <v>@smaslow_japan</v>
      </c>
      <c r="C562" s="8" t="s">
        <v>1574</v>
      </c>
      <c r="D562" s="8" t="s">
        <v>1575</v>
      </c>
      <c r="E562" s="9" t="str">
        <f aca="false">HYPERLINK("https://twitter.com/smaslow_japan/status/921664245149794304","921664245149794304")</f>
        <v>921664245149794304</v>
      </c>
      <c r="F562" s="10" t="s">
        <v>1576</v>
      </c>
      <c r="G562" s="10" t="n">
        <v>950</v>
      </c>
      <c r="H562" s="10" t="n">
        <v>1004</v>
      </c>
      <c r="I562" s="10" t="n">
        <v>0</v>
      </c>
      <c r="J562" s="10" t="n">
        <v>0</v>
      </c>
      <c r="K562" s="10" t="s">
        <v>20</v>
      </c>
      <c r="L562" s="11" t="n">
        <v>40819.5148842593</v>
      </c>
      <c r="M562" s="12" t="s">
        <v>1577</v>
      </c>
      <c r="N562" s="12" t="s">
        <v>1578</v>
      </c>
      <c r="O562" s="9" t="str">
        <f aca="false">HYPERLINK("https://pbs.twimg.com/profile_images/849146726124462081/_QHQQVA2_normal.jpg","View")</f>
        <v>View</v>
      </c>
      <c r="P562" s="10"/>
    </row>
    <row r="563" customFormat="false" ht="15.75" hidden="false" customHeight="false" outlineLevel="0" collapsed="false">
      <c r="A563" s="6" t="n">
        <v>43029.0895486111</v>
      </c>
      <c r="B563" s="7" t="str">
        <f aca="false">HYPERLINK("https://twitter.com/revolution_fr","@revolution_fr")</f>
        <v>@revolution_fr</v>
      </c>
      <c r="C563" s="8" t="s">
        <v>1579</v>
      </c>
      <c r="D563" s="8" t="s">
        <v>1568</v>
      </c>
      <c r="E563" s="9" t="str">
        <f aca="false">HYPERLINK("https://twitter.com/revolution_fr/status/921664592610316289","921664592610316289")</f>
        <v>921664592610316289</v>
      </c>
      <c r="F563" s="10" t="s">
        <v>98</v>
      </c>
      <c r="G563" s="10" t="n">
        <v>2664</v>
      </c>
      <c r="H563" s="10" t="n">
        <v>3625</v>
      </c>
      <c r="I563" s="10" t="n">
        <v>5</v>
      </c>
      <c r="J563" s="10" t="n">
        <v>0</v>
      </c>
      <c r="K563" s="10" t="s">
        <v>20</v>
      </c>
      <c r="L563" s="11" t="n">
        <v>42400.3124305556</v>
      </c>
      <c r="M563" s="12" t="s">
        <v>1580</v>
      </c>
      <c r="N563" s="12" t="s">
        <v>1581</v>
      </c>
      <c r="O563" s="9" t="str">
        <f aca="false">HYPERLINK("https://pbs.twimg.com/profile_images/912005330749575173/gmtBFZtv_normal.jpg","View")</f>
        <v>View</v>
      </c>
      <c r="P563" s="10"/>
    </row>
    <row r="564" customFormat="false" ht="15.75" hidden="false" customHeight="false" outlineLevel="0" collapsed="false">
      <c r="A564" s="6" t="n">
        <v>43029.0903587963</v>
      </c>
      <c r="B564" s="7" t="str">
        <f aca="false">HYPERLINK("https://twitter.com/HITCnews","@HITCnews")</f>
        <v>@HITCnews</v>
      </c>
      <c r="C564" s="8" t="s">
        <v>1582</v>
      </c>
      <c r="D564" s="8" t="s">
        <v>1583</v>
      </c>
      <c r="E564" s="9" t="str">
        <f aca="false">HYPERLINK("https://twitter.com/HITCnews/status/921664886790385664","921664886790385664")</f>
        <v>921664886790385664</v>
      </c>
      <c r="F564" s="10" t="s">
        <v>1584</v>
      </c>
      <c r="G564" s="10" t="n">
        <v>4463</v>
      </c>
      <c r="H564" s="10" t="n">
        <v>161</v>
      </c>
      <c r="I564" s="10" t="n">
        <v>1</v>
      </c>
      <c r="J564" s="10" t="n">
        <v>1</v>
      </c>
      <c r="K564" s="10" t="s">
        <v>20</v>
      </c>
      <c r="L564" s="11" t="n">
        <v>39891.5416666667</v>
      </c>
      <c r="M564" s="12" t="s">
        <v>893</v>
      </c>
      <c r="N564" s="12" t="s">
        <v>1585</v>
      </c>
      <c r="O564" s="9" t="str">
        <f aca="false">HYPERLINK("https://pbs.twimg.com/profile_images/1409703451/hitc-logo_normal.png","View")</f>
        <v>View</v>
      </c>
      <c r="P564" s="10"/>
    </row>
    <row r="565" customFormat="false" ht="15.75" hidden="false" customHeight="false" outlineLevel="0" collapsed="false">
      <c r="A565" s="6" t="n">
        <v>43029.0903703704</v>
      </c>
      <c r="B565" s="7" t="str">
        <f aca="false">HYPERLINK("https://twitter.com/HITCpolitics","@HITCpolitics")</f>
        <v>@HITCpolitics</v>
      </c>
      <c r="C565" s="8" t="s">
        <v>1586</v>
      </c>
      <c r="D565" s="8" t="s">
        <v>1587</v>
      </c>
      <c r="E565" s="9" t="str">
        <f aca="false">HYPERLINK("https://twitter.com/HITCpolitics/status/921664892310052864","921664892310052864")</f>
        <v>921664892310052864</v>
      </c>
      <c r="F565" s="10" t="s">
        <v>1584</v>
      </c>
      <c r="G565" s="10" t="n">
        <v>85</v>
      </c>
      <c r="H565" s="10" t="n">
        <v>8</v>
      </c>
      <c r="I565" s="10" t="n">
        <v>1</v>
      </c>
      <c r="J565" s="10" t="n">
        <v>0</v>
      </c>
      <c r="K565" s="10" t="s">
        <v>20</v>
      </c>
      <c r="L565" s="11" t="n">
        <v>41088.1271759259</v>
      </c>
      <c r="M565" s="12"/>
      <c r="N565" s="12"/>
      <c r="O565" s="9" t="str">
        <f aca="false">HYPERLINK("https://pbs.twimg.com/profile_images/2370216597/hu23c43umkddfvygdndy_normal.png","View")</f>
        <v>View</v>
      </c>
      <c r="P565" s="10"/>
    </row>
    <row r="566" customFormat="false" ht="15.75" hidden="false" customHeight="false" outlineLevel="0" collapsed="false">
      <c r="A566" s="6" t="n">
        <v>43029.090462963</v>
      </c>
      <c r="B566" s="7" t="str">
        <f aca="false">HYPERLINK("https://twitter.com/sambrookg","@sambrookg")</f>
        <v>@sambrookg</v>
      </c>
      <c r="C566" s="8" t="s">
        <v>1588</v>
      </c>
      <c r="D566" s="8" t="s">
        <v>1589</v>
      </c>
      <c r="E566" s="9" t="str">
        <f aca="false">HYPERLINK("https://twitter.com/sambrookg/status/921664924203606016","921664924203606016")</f>
        <v>921664924203606016</v>
      </c>
      <c r="F566" s="10" t="s">
        <v>1167</v>
      </c>
      <c r="G566" s="10" t="n">
        <v>2612</v>
      </c>
      <c r="H566" s="10" t="n">
        <v>2796</v>
      </c>
      <c r="I566" s="10" t="n">
        <v>0</v>
      </c>
      <c r="J566" s="10" t="n">
        <v>0</v>
      </c>
      <c r="K566" s="10" t="s">
        <v>20</v>
      </c>
      <c r="L566" s="11" t="n">
        <v>40024.0122800926</v>
      </c>
      <c r="M566" s="12" t="s">
        <v>1590</v>
      </c>
      <c r="N566" s="12" t="s">
        <v>1591</v>
      </c>
      <c r="O566" s="9" t="str">
        <f aca="false">HYPERLINK("https://pbs.twimg.com/profile_images/1708851496/Daft_Mugshot_New_Small_normal.JPG","View")</f>
        <v>View</v>
      </c>
      <c r="P566" s="10"/>
    </row>
    <row r="567" customFormat="false" ht="15.75" hidden="false" customHeight="false" outlineLevel="0" collapsed="false">
      <c r="A567" s="6" t="n">
        <v>43029.1030555556</v>
      </c>
      <c r="B567" s="7" t="str">
        <f aca="false">HYPERLINK("https://twitter.com/gavmorris","@gavmorris")</f>
        <v>@gavmorris</v>
      </c>
      <c r="C567" s="8" t="s">
        <v>1592</v>
      </c>
      <c r="D567" s="8" t="s">
        <v>1593</v>
      </c>
      <c r="E567" s="9" t="str">
        <f aca="false">HYPERLINK("https://twitter.com/gavmorris/status/921669489736822784","921669489736822784")</f>
        <v>921669489736822784</v>
      </c>
      <c r="F567" s="10" t="s">
        <v>51</v>
      </c>
      <c r="G567" s="10" t="n">
        <v>8264</v>
      </c>
      <c r="H567" s="10" t="n">
        <v>3554</v>
      </c>
      <c r="I567" s="10" t="n">
        <v>1</v>
      </c>
      <c r="J567" s="10" t="n">
        <v>0</v>
      </c>
      <c r="K567" s="10" t="s">
        <v>20</v>
      </c>
      <c r="L567" s="11" t="n">
        <v>39771.825787037</v>
      </c>
      <c r="M567" s="12" t="s">
        <v>1408</v>
      </c>
      <c r="N567" s="12" t="s">
        <v>1594</v>
      </c>
      <c r="O567" s="9" t="str">
        <f aca="false">HYPERLINK("https://pbs.twimg.com/profile_images/797288216961290241/w-xdQQdP_normal.jpg","View")</f>
        <v>View</v>
      </c>
      <c r="P567" s="10"/>
    </row>
    <row r="568" customFormat="false" ht="15.75" hidden="false" customHeight="false" outlineLevel="0" collapsed="false">
      <c r="A568" s="6" t="n">
        <v>43029.1060185185</v>
      </c>
      <c r="B568" s="7" t="str">
        <f aca="false">HYPERLINK("https://twitter.com/MPeadon","@MPeadon")</f>
        <v>@MPeadon</v>
      </c>
      <c r="C568" s="8" t="s">
        <v>1595</v>
      </c>
      <c r="D568" s="8" t="s">
        <v>1596</v>
      </c>
      <c r="E568" s="9" t="str">
        <f aca="false">HYPERLINK("https://twitter.com/MPeadon/status/921670560299433984","921670560299433984")</f>
        <v>921670560299433984</v>
      </c>
      <c r="F568" s="10" t="s">
        <v>51</v>
      </c>
      <c r="G568" s="10" t="n">
        <v>504</v>
      </c>
      <c r="H568" s="10" t="n">
        <v>2157</v>
      </c>
      <c r="I568" s="10" t="n">
        <v>1</v>
      </c>
      <c r="J568" s="10" t="n">
        <v>0</v>
      </c>
      <c r="K568" s="10" t="s">
        <v>20</v>
      </c>
      <c r="L568" s="11" t="n">
        <v>41261.692662037</v>
      </c>
      <c r="M568" s="12" t="s">
        <v>1597</v>
      </c>
      <c r="N568" s="12" t="s">
        <v>1598</v>
      </c>
      <c r="O568" s="9" t="str">
        <f aca="false">HYPERLINK("https://pbs.twimg.com/profile_images/3001464930/ad07206802c3f5dd516eb016309ed6f8_normal.jpeg","View")</f>
        <v>View</v>
      </c>
      <c r="P568" s="10"/>
    </row>
    <row r="569" customFormat="false" ht="15.75" hidden="false" customHeight="false" outlineLevel="0" collapsed="false">
      <c r="A569" s="6" t="n">
        <v>43029.1070486111</v>
      </c>
      <c r="B569" s="7" t="str">
        <f aca="false">HYPERLINK("https://twitter.com/sharebossindia","@sharebossindia")</f>
        <v>@sharebossindia</v>
      </c>
      <c r="C569" s="7" t="s">
        <v>917</v>
      </c>
      <c r="D569" s="8" t="s">
        <v>1599</v>
      </c>
      <c r="E569" s="9" t="str">
        <f aca="false">HYPERLINK("https://twitter.com/sharebossindia/status/921670934771122176","921670934771122176")</f>
        <v>921670934771122176</v>
      </c>
      <c r="F569" s="10" t="s">
        <v>919</v>
      </c>
      <c r="G569" s="10" t="n">
        <v>1210</v>
      </c>
      <c r="H569" s="10" t="n">
        <v>1</v>
      </c>
      <c r="I569" s="10" t="n">
        <v>0</v>
      </c>
      <c r="J569" s="10" t="n">
        <v>0</v>
      </c>
      <c r="K569" s="10" t="s">
        <v>20</v>
      </c>
      <c r="L569" s="11" t="n">
        <v>42262.3224305556</v>
      </c>
      <c r="M569" s="12"/>
      <c r="N569" s="12" t="s">
        <v>920</v>
      </c>
      <c r="O569" s="9" t="str">
        <f aca="false">HYPERLINK("https://pbs.twimg.com/profile_images/691477939880202244/-eW65KbB_normal.jpg","View")</f>
        <v>View</v>
      </c>
      <c r="P569" s="10"/>
    </row>
    <row r="570" customFormat="false" ht="15.75" hidden="false" customHeight="false" outlineLevel="0" collapsed="false">
      <c r="A570" s="6" t="n">
        <v>43029.1090277778</v>
      </c>
      <c r="B570" s="7" t="str">
        <f aca="false">HYPERLINK("https://twitter.com/rapplerdotcom","@rapplerdotcom")</f>
        <v>@rapplerdotcom</v>
      </c>
      <c r="C570" s="8" t="s">
        <v>1600</v>
      </c>
      <c r="D570" s="8" t="s">
        <v>1601</v>
      </c>
      <c r="E570" s="9" t="str">
        <f aca="false">HYPERLINK("https://twitter.com/rapplerdotcom/status/921671652932538368","921671652932538368")</f>
        <v>921671652932538368</v>
      </c>
      <c r="F570" s="10" t="s">
        <v>1167</v>
      </c>
      <c r="G570" s="10" t="n">
        <v>2854239</v>
      </c>
      <c r="H570" s="10" t="n">
        <v>399</v>
      </c>
      <c r="I570" s="10" t="n">
        <v>3</v>
      </c>
      <c r="J570" s="10" t="n">
        <v>24</v>
      </c>
      <c r="K570" s="10" t="s">
        <v>20</v>
      </c>
      <c r="L570" s="11" t="n">
        <v>40730.9820601852</v>
      </c>
      <c r="M570" s="12" t="s">
        <v>1239</v>
      </c>
      <c r="N570" s="12" t="s">
        <v>1602</v>
      </c>
      <c r="O570" s="9" t="str">
        <f aca="false">HYPERLINK("https://pbs.twimg.com/profile_images/882886291687223296/PBbhxROe_normal.jpg","View")</f>
        <v>View</v>
      </c>
      <c r="P570" s="10"/>
    </row>
    <row r="571" customFormat="false" ht="15.75" hidden="false" customHeight="false" outlineLevel="0" collapsed="false">
      <c r="A571" s="6" t="n">
        <v>43029.121099537</v>
      </c>
      <c r="B571" s="7" t="str">
        <f aca="false">HYPERLINK("https://twitter.com/nternet_in","@nternet_in")</f>
        <v>@nternet_in</v>
      </c>
      <c r="C571" s="7" t="s">
        <v>850</v>
      </c>
      <c r="D571" s="8" t="s">
        <v>1603</v>
      </c>
      <c r="E571" s="9" t="str">
        <f aca="false">HYPERLINK("https://twitter.com/nternet_in/status/921676025515429888","921676025515429888")</f>
        <v>921676025515429888</v>
      </c>
      <c r="F571" s="9" t="s">
        <v>852</v>
      </c>
      <c r="G571" s="10" t="n">
        <v>32</v>
      </c>
      <c r="H571" s="10" t="n">
        <v>40</v>
      </c>
      <c r="I571" s="10" t="n">
        <v>0</v>
      </c>
      <c r="J571" s="10" t="n">
        <v>0</v>
      </c>
      <c r="K571" s="10" t="s">
        <v>20</v>
      </c>
      <c r="L571" s="11" t="n">
        <v>42449.9695023148</v>
      </c>
      <c r="M571" s="12"/>
      <c r="N571" s="12"/>
      <c r="O571" s="9" t="str">
        <f aca="false">HYPERLINK("https://pbs.twimg.com/profile_images/711799911839178754/1a7OW4WU_normal.jpg","View")</f>
        <v>View</v>
      </c>
      <c r="P571" s="10"/>
    </row>
    <row r="572" customFormat="false" ht="15.75" hidden="false" customHeight="false" outlineLevel="0" collapsed="false">
      <c r="A572" s="6" t="n">
        <v>43029.121875</v>
      </c>
      <c r="B572" s="7" t="str">
        <f aca="false">HYPERLINK("https://twitter.com/ProfDrCelik","@ProfDrCelik")</f>
        <v>@ProfDrCelik</v>
      </c>
      <c r="C572" s="8" t="s">
        <v>1604</v>
      </c>
      <c r="D572" s="8" t="s">
        <v>1605</v>
      </c>
      <c r="E572" s="9" t="str">
        <f aca="false">HYPERLINK("https://twitter.com/ProfDrCelik/status/921676306936418305","921676306936418305")</f>
        <v>921676306936418305</v>
      </c>
      <c r="F572" s="10" t="s">
        <v>39</v>
      </c>
      <c r="G572" s="10" t="n">
        <v>1172</v>
      </c>
      <c r="H572" s="10" t="n">
        <v>1210</v>
      </c>
      <c r="I572" s="10" t="n">
        <v>1</v>
      </c>
      <c r="J572" s="10" t="n">
        <v>0</v>
      </c>
      <c r="K572" s="10" t="s">
        <v>20</v>
      </c>
      <c r="L572" s="11" t="n">
        <v>41257.3278935185</v>
      </c>
      <c r="M572" s="12" t="s">
        <v>312</v>
      </c>
      <c r="N572" s="12" t="s">
        <v>1604</v>
      </c>
      <c r="O572" s="9" t="str">
        <f aca="false">HYPERLINK("https://pbs.twimg.com/profile_images/921669447651332096/61DRrZJp_normal.jpg","View")</f>
        <v>View</v>
      </c>
      <c r="P572" s="10"/>
    </row>
    <row r="573" customFormat="false" ht="15.75" hidden="false" customHeight="false" outlineLevel="0" collapsed="false">
      <c r="A573" s="6" t="n">
        <v>43029.1312268519</v>
      </c>
      <c r="B573" s="7" t="str">
        <f aca="false">HYPERLINK("https://twitter.com/newssummeduphq","@newssummeduphq")</f>
        <v>@newssummeduphq</v>
      </c>
      <c r="C573" s="8" t="s">
        <v>1177</v>
      </c>
      <c r="D573" s="8" t="s">
        <v>1606</v>
      </c>
      <c r="E573" s="9" t="str">
        <f aca="false">HYPERLINK("https://twitter.com/newssummeduphq/status/921679697619980288","921679697619980288")</f>
        <v>921679697619980288</v>
      </c>
      <c r="F573" s="10" t="s">
        <v>1179</v>
      </c>
      <c r="G573" s="10" t="n">
        <v>432</v>
      </c>
      <c r="H573" s="10" t="n">
        <v>1175</v>
      </c>
      <c r="I573" s="10" t="n">
        <v>0</v>
      </c>
      <c r="J573" s="10" t="n">
        <v>0</v>
      </c>
      <c r="K573" s="10" t="s">
        <v>20</v>
      </c>
      <c r="L573" s="11" t="n">
        <v>42504.2012037037</v>
      </c>
      <c r="M573" s="12" t="s">
        <v>588</v>
      </c>
      <c r="N573" s="12" t="s">
        <v>1180</v>
      </c>
      <c r="O573" s="9" t="str">
        <f aca="false">HYPERLINK("https://pbs.twimg.com/profile_images/731455561695264770/Oj_92lRJ_normal.jpg","View")</f>
        <v>View</v>
      </c>
      <c r="P573" s="10"/>
    </row>
    <row r="574" customFormat="false" ht="15.75" hidden="false" customHeight="false" outlineLevel="0" collapsed="false">
      <c r="A574" s="6" t="n">
        <v>43029.169375</v>
      </c>
      <c r="B574" s="7" t="str">
        <f aca="false">HYPERLINK("https://twitter.com/RavindraSoni1","@RavindraSoni1")</f>
        <v>@RavindraSoni1</v>
      </c>
      <c r="C574" s="8" t="s">
        <v>1083</v>
      </c>
      <c r="D574" s="8" t="s">
        <v>1607</v>
      </c>
      <c r="E574" s="9" t="str">
        <f aca="false">HYPERLINK("https://twitter.com/RavindraSoni1/status/921693520099991553","921693520099991553")</f>
        <v>921693520099991553</v>
      </c>
      <c r="F574" s="9" t="s">
        <v>979</v>
      </c>
      <c r="G574" s="10" t="n">
        <v>281</v>
      </c>
      <c r="H574" s="10" t="n">
        <v>512</v>
      </c>
      <c r="I574" s="10" t="n">
        <v>0</v>
      </c>
      <c r="J574" s="10" t="n">
        <v>0</v>
      </c>
      <c r="K574" s="10" t="s">
        <v>20</v>
      </c>
      <c r="L574" s="11" t="n">
        <v>40703.1341666667</v>
      </c>
      <c r="M574" s="12" t="s">
        <v>1085</v>
      </c>
      <c r="N574" s="12" t="s">
        <v>1086</v>
      </c>
      <c r="O574" s="9" t="str">
        <f aca="false">HYPERLINK("https://pbs.twimg.com/profile_images/809424050770448384/e3p1bqh-_normal.jpg","View")</f>
        <v>View</v>
      </c>
      <c r="P574" s="10"/>
    </row>
    <row r="575" customFormat="false" ht="15.75" hidden="false" customHeight="false" outlineLevel="0" collapsed="false">
      <c r="A575" s="6" t="n">
        <v>43029.1752662037</v>
      </c>
      <c r="B575" s="7" t="str">
        <f aca="false">HYPERLINK("https://twitter.com/BV","@BV")</f>
        <v>@BV</v>
      </c>
      <c r="C575" s="8" t="s">
        <v>1608</v>
      </c>
      <c r="D575" s="8" t="s">
        <v>1609</v>
      </c>
      <c r="E575" s="9" t="str">
        <f aca="false">HYPERLINK("https://twitter.com/BV/status/921695656972095488","921695656972095488")</f>
        <v>921695656972095488</v>
      </c>
      <c r="F575" s="10" t="s">
        <v>268</v>
      </c>
      <c r="G575" s="10" t="n">
        <v>102859</v>
      </c>
      <c r="H575" s="10" t="n">
        <v>210</v>
      </c>
      <c r="I575" s="10" t="n">
        <v>0</v>
      </c>
      <c r="J575" s="10" t="n">
        <v>1</v>
      </c>
      <c r="K575" s="10" t="s">
        <v>20</v>
      </c>
      <c r="L575" s="11" t="n">
        <v>40529.2645601852</v>
      </c>
      <c r="M575" s="12" t="s">
        <v>319</v>
      </c>
      <c r="N575" s="12" t="s">
        <v>1610</v>
      </c>
      <c r="O575" s="9" t="str">
        <f aca="false">HYPERLINK("https://pbs.twimg.com/profile_images/714801471930429440/ZD7pREVV_normal.jpg","View")</f>
        <v>View</v>
      </c>
      <c r="P575" s="10"/>
    </row>
    <row r="576" customFormat="false" ht="15.75" hidden="false" customHeight="false" outlineLevel="0" collapsed="false">
      <c r="A576" s="6" t="n">
        <v>43029.1769907407</v>
      </c>
      <c r="B576" s="7" t="str">
        <f aca="false">HYPERLINK("https://twitter.com/YeHeon","@YeHeon")</f>
        <v>@YeHeon</v>
      </c>
      <c r="C576" s="14" t="s">
        <v>1611</v>
      </c>
      <c r="D576" s="8" t="s">
        <v>1612</v>
      </c>
      <c r="E576" s="9" t="str">
        <f aca="false">HYPERLINK("https://twitter.com/YeHeon/status/921696281084551169","921696281084551169")</f>
        <v>921696281084551169</v>
      </c>
      <c r="F576" s="10" t="s">
        <v>47</v>
      </c>
      <c r="G576" s="10" t="n">
        <v>2594</v>
      </c>
      <c r="H576" s="10" t="n">
        <v>1779</v>
      </c>
      <c r="I576" s="10" t="n">
        <v>0</v>
      </c>
      <c r="J576" s="10" t="n">
        <v>0</v>
      </c>
      <c r="K576" s="10" t="s">
        <v>20</v>
      </c>
      <c r="L576" s="11" t="n">
        <v>40262.7190393519</v>
      </c>
      <c r="M576" s="13" t="s">
        <v>1613</v>
      </c>
      <c r="N576" s="13" t="s">
        <v>1614</v>
      </c>
      <c r="O576" s="9" t="str">
        <f aca="false">HYPERLINK("https://pbs.twimg.com/profile_images/858908745564274688/HOon6_Um_normal.jpg","View")</f>
        <v>View</v>
      </c>
      <c r="P576" s="10"/>
    </row>
    <row r="577" customFormat="false" ht="15.75" hidden="false" customHeight="false" outlineLevel="0" collapsed="false">
      <c r="A577" s="6" t="n">
        <v>43029.1770833333</v>
      </c>
      <c r="B577" s="7" t="str">
        <f aca="false">HYPERLINK("https://twitter.com/BloombergQuint","@BloombergQuint")</f>
        <v>@BloombergQuint</v>
      </c>
      <c r="C577" s="8" t="s">
        <v>692</v>
      </c>
      <c r="D577" s="8" t="s">
        <v>1615</v>
      </c>
      <c r="E577" s="9" t="str">
        <f aca="false">HYPERLINK("https://twitter.com/BloombergQuint/status/921696315137974272","921696315137974272")</f>
        <v>921696315137974272</v>
      </c>
      <c r="F577" s="10" t="s">
        <v>276</v>
      </c>
      <c r="G577" s="10" t="n">
        <v>24550</v>
      </c>
      <c r="H577" s="10" t="n">
        <v>329</v>
      </c>
      <c r="I577" s="10" t="n">
        <v>1</v>
      </c>
      <c r="J577" s="10" t="n">
        <v>8</v>
      </c>
      <c r="K577" s="10" t="s">
        <v>20</v>
      </c>
      <c r="L577" s="11" t="n">
        <v>42458.0631828704</v>
      </c>
      <c r="M577" s="12" t="s">
        <v>253</v>
      </c>
      <c r="N577" s="12" t="s">
        <v>694</v>
      </c>
      <c r="O577" s="9" t="str">
        <f aca="false">HYPERLINK("https://pbs.twimg.com/profile_images/913063487613440001/oU9k6XU7_normal.jpg","View")</f>
        <v>View</v>
      </c>
      <c r="P577" s="10"/>
    </row>
    <row r="578" customFormat="false" ht="15.75" hidden="false" customHeight="false" outlineLevel="0" collapsed="false">
      <c r="A578" s="6" t="n">
        <v>43029.1781481481</v>
      </c>
      <c r="B578" s="7" t="str">
        <f aca="false">HYPERLINK("https://twitter.com/richrake","@richrake")</f>
        <v>@richrake</v>
      </c>
      <c r="C578" s="8" t="s">
        <v>1616</v>
      </c>
      <c r="D578" s="8" t="s">
        <v>1568</v>
      </c>
      <c r="E578" s="9" t="str">
        <f aca="false">HYPERLINK("https://twitter.com/richrake/status/921696699025903616","921696699025903616")</f>
        <v>921696699025903616</v>
      </c>
      <c r="F578" s="10" t="s">
        <v>51</v>
      </c>
      <c r="G578" s="10" t="n">
        <v>466</v>
      </c>
      <c r="H578" s="10" t="n">
        <v>31</v>
      </c>
      <c r="I578" s="10" t="n">
        <v>5</v>
      </c>
      <c r="J578" s="10" t="n">
        <v>0</v>
      </c>
      <c r="K578" s="10" t="s">
        <v>20</v>
      </c>
      <c r="L578" s="11" t="n">
        <v>41189.2074884259</v>
      </c>
      <c r="M578" s="12" t="s">
        <v>1617</v>
      </c>
      <c r="N578" s="12" t="s">
        <v>1618</v>
      </c>
      <c r="O578" s="9" t="str">
        <f aca="false">HYPERLINK("https://pbs.twimg.com/profile_images/762442527123214337/zmrv2RC3_normal.jpg","View")</f>
        <v>View</v>
      </c>
      <c r="P578" s="10"/>
    </row>
    <row r="579" customFormat="false" ht="15.75" hidden="false" customHeight="false" outlineLevel="0" collapsed="false">
      <c r="A579" s="6" t="n">
        <v>43029.1979861111</v>
      </c>
      <c r="B579" s="7" t="str">
        <f aca="false">HYPERLINK("https://twitter.com/Xaniatube","@Xaniatube")</f>
        <v>@Xaniatube</v>
      </c>
      <c r="C579" s="8" t="s">
        <v>1619</v>
      </c>
      <c r="D579" s="8" t="s">
        <v>1620</v>
      </c>
      <c r="E579" s="9" t="str">
        <f aca="false">HYPERLINK("https://twitter.com/Xaniatube/status/921703891384680448","921703891384680448")</f>
        <v>921703891384680448</v>
      </c>
      <c r="F579" s="9" t="s">
        <v>1621</v>
      </c>
      <c r="G579" s="10" t="n">
        <v>2681</v>
      </c>
      <c r="H579" s="10" t="n">
        <v>2306</v>
      </c>
      <c r="I579" s="10" t="n">
        <v>0</v>
      </c>
      <c r="J579" s="10" t="n">
        <v>0</v>
      </c>
      <c r="K579" s="10" t="s">
        <v>20</v>
      </c>
      <c r="L579" s="11" t="n">
        <v>42515.0175462963</v>
      </c>
      <c r="M579" s="12" t="s">
        <v>1622</v>
      </c>
      <c r="N579" s="12" t="s">
        <v>1623</v>
      </c>
      <c r="O579" s="9" t="str">
        <f aca="false">HYPERLINK("https://pbs.twimg.com/profile_images/735982523755470848/RowRrw5R_normal.jpg","View")</f>
        <v>View</v>
      </c>
      <c r="P579" s="10"/>
    </row>
    <row r="580" customFormat="false" ht="15.75" hidden="false" customHeight="false" outlineLevel="0" collapsed="false">
      <c r="A580" s="6" t="n">
        <v>43029.1999074074</v>
      </c>
      <c r="B580" s="7" t="str">
        <f aca="false">HYPERLINK("https://twitter.com/pususuti","@pususuti")</f>
        <v>@pususuti</v>
      </c>
      <c r="C580" s="8" t="s">
        <v>184</v>
      </c>
      <c r="D580" s="8" t="s">
        <v>1624</v>
      </c>
      <c r="E580" s="9" t="str">
        <f aca="false">HYPERLINK("https://twitter.com/pususuti/status/921704586347298816","921704586347298816")</f>
        <v>921704586347298816</v>
      </c>
      <c r="F580" s="10" t="s">
        <v>39</v>
      </c>
      <c r="G580" s="10" t="n">
        <v>42</v>
      </c>
      <c r="H580" s="10" t="n">
        <v>30</v>
      </c>
      <c r="I580" s="10" t="n">
        <v>0</v>
      </c>
      <c r="J580" s="10" t="n">
        <v>0</v>
      </c>
      <c r="K580" s="10" t="s">
        <v>20</v>
      </c>
      <c r="L580" s="11" t="n">
        <v>41620.8949768519</v>
      </c>
      <c r="M580" s="12" t="s">
        <v>186</v>
      </c>
      <c r="N580" s="12" t="s">
        <v>187</v>
      </c>
      <c r="O580" s="9" t="str">
        <f aca="false">HYPERLINK("https://pbs.twimg.com/profile_images/582805322881835010/YKYQBKiR_normal.png","View")</f>
        <v>View</v>
      </c>
      <c r="P580" s="10"/>
    </row>
    <row r="581" customFormat="false" ht="15.75" hidden="false" customHeight="false" outlineLevel="0" collapsed="false">
      <c r="A581" s="6" t="n">
        <v>43029.2003472222</v>
      </c>
      <c r="B581" s="7" t="str">
        <f aca="false">HYPERLINK("https://twitter.com/ei_kun_55","@ei_kun_55")</f>
        <v>@ei_kun_55</v>
      </c>
      <c r="C581" s="8" t="s">
        <v>1625</v>
      </c>
      <c r="D581" s="8" t="s">
        <v>1568</v>
      </c>
      <c r="E581" s="9" t="str">
        <f aca="false">HYPERLINK("https://twitter.com/ei_kun_55/status/921704746028642305","921704746028642305")</f>
        <v>921704746028642305</v>
      </c>
      <c r="F581" s="10" t="s">
        <v>51</v>
      </c>
      <c r="G581" s="10" t="n">
        <v>182</v>
      </c>
      <c r="H581" s="10" t="n">
        <v>824</v>
      </c>
      <c r="I581" s="10" t="n">
        <v>5</v>
      </c>
      <c r="J581" s="10" t="n">
        <v>0</v>
      </c>
      <c r="K581" s="10" t="s">
        <v>20</v>
      </c>
      <c r="L581" s="11" t="n">
        <v>40622.0674421296</v>
      </c>
      <c r="M581" s="12" t="s">
        <v>1626</v>
      </c>
      <c r="N581" s="12" t="s">
        <v>1627</v>
      </c>
      <c r="O581" s="9" t="str">
        <f aca="false">HYPERLINK("https://pbs.twimg.com/profile_images/1280283849/Earth__Clouds__normal.gif","View")</f>
        <v>View</v>
      </c>
      <c r="P581" s="10"/>
    </row>
    <row r="582" customFormat="false" ht="15.75" hidden="false" customHeight="false" outlineLevel="0" collapsed="false">
      <c r="A582" s="6" t="n">
        <v>43029.2020949074</v>
      </c>
      <c r="B582" s="7" t="str">
        <f aca="false">HYPERLINK("https://twitter.com/New_Narrative","@New_Narrative")</f>
        <v>@New_Narrative</v>
      </c>
      <c r="C582" s="8" t="s">
        <v>1628</v>
      </c>
      <c r="D582" s="8" t="s">
        <v>1629</v>
      </c>
      <c r="E582" s="9" t="str">
        <f aca="false">HYPERLINK("https://twitter.com/New_Narrative/status/921705381004496896","921705381004496896")</f>
        <v>921705381004496896</v>
      </c>
      <c r="F582" s="10" t="s">
        <v>51</v>
      </c>
      <c r="G582" s="10" t="n">
        <v>6542</v>
      </c>
      <c r="H582" s="10" t="n">
        <v>12</v>
      </c>
      <c r="I582" s="10" t="n">
        <v>1</v>
      </c>
      <c r="J582" s="10" t="n">
        <v>0</v>
      </c>
      <c r="K582" s="10" t="s">
        <v>20</v>
      </c>
      <c r="L582" s="11" t="n">
        <v>40566.3804166667</v>
      </c>
      <c r="M582" s="12" t="s">
        <v>1630</v>
      </c>
      <c r="N582" s="12" t="s">
        <v>1631</v>
      </c>
      <c r="O582" s="9" t="str">
        <f aca="false">HYPERLINK("https://pbs.twimg.com/profile_images/1548673665/megaphone-kid-cropped_normal.jpg","View")</f>
        <v>View</v>
      </c>
      <c r="P582" s="10"/>
    </row>
    <row r="583" customFormat="false" ht="15.75" hidden="false" customHeight="false" outlineLevel="0" collapsed="false">
      <c r="A583" s="6" t="n">
        <v>43029.2049537037</v>
      </c>
      <c r="B583" s="7" t="str">
        <f aca="false">HYPERLINK("https://twitter.com/watsupeurope","@watsupeurope")</f>
        <v>@watsupeurope</v>
      </c>
      <c r="C583" s="8" t="s">
        <v>1632</v>
      </c>
      <c r="D583" s="8" t="s">
        <v>1633</v>
      </c>
      <c r="E583" s="9" t="str">
        <f aca="false">HYPERLINK("https://twitter.com/watsupeurope/status/921706416263630849","921706416263630849")</f>
        <v>921706416263630849</v>
      </c>
      <c r="F583" s="10" t="s">
        <v>1634</v>
      </c>
      <c r="G583" s="10" t="n">
        <v>4230</v>
      </c>
      <c r="H583" s="10" t="n">
        <v>3115</v>
      </c>
      <c r="I583" s="10" t="n">
        <v>0</v>
      </c>
      <c r="J583" s="10" t="n">
        <v>0</v>
      </c>
      <c r="K583" s="10" t="s">
        <v>20</v>
      </c>
      <c r="L583" s="11" t="n">
        <v>42178.4099421296</v>
      </c>
      <c r="M583" s="12" t="s">
        <v>1635</v>
      </c>
      <c r="N583" s="12" t="s">
        <v>1636</v>
      </c>
      <c r="O583" s="9" t="str">
        <f aca="false">HYPERLINK("https://pbs.twimg.com/profile_images/613389327758815233/tfFM56SD_normal.jpg","View")</f>
        <v>View</v>
      </c>
      <c r="P583" s="10"/>
    </row>
    <row r="584" customFormat="false" ht="15.75" hidden="false" customHeight="false" outlineLevel="0" collapsed="false">
      <c r="A584" s="6" t="n">
        <v>43029.2129513889</v>
      </c>
      <c r="B584" s="7" t="str">
        <f aca="false">HYPERLINK("https://twitter.com/1_newsnet","@1_newsnet")</f>
        <v>@1_newsnet</v>
      </c>
      <c r="C584" s="8" t="s">
        <v>1637</v>
      </c>
      <c r="D584" s="8" t="s">
        <v>1638</v>
      </c>
      <c r="E584" s="9" t="str">
        <f aca="false">HYPERLINK("https://twitter.com/1_newsnet/status/921709315286806528","921709315286806528")</f>
        <v>921709315286806528</v>
      </c>
      <c r="F584" s="10" t="s">
        <v>1639</v>
      </c>
      <c r="G584" s="10" t="n">
        <v>16157</v>
      </c>
      <c r="H584" s="10" t="n">
        <v>147</v>
      </c>
      <c r="I584" s="10" t="n">
        <v>0</v>
      </c>
      <c r="J584" s="10" t="n">
        <v>0</v>
      </c>
      <c r="K584" s="10" t="s">
        <v>20</v>
      </c>
      <c r="L584" s="11" t="n">
        <v>41726.3007638889</v>
      </c>
      <c r="M584" s="12"/>
      <c r="N584" s="12" t="s">
        <v>1640</v>
      </c>
      <c r="O584" s="9" t="str">
        <f aca="false">HYPERLINK("https://pbs.twimg.com/profile_images/475296454257291264/Uj3aJ-3r_normal.jpeg","View")</f>
        <v>View</v>
      </c>
      <c r="P584" s="10"/>
    </row>
    <row r="585" customFormat="false" ht="15.75" hidden="false" customHeight="false" outlineLevel="0" collapsed="false">
      <c r="A585" s="6" t="n">
        <v>43029.2156018519</v>
      </c>
      <c r="B585" s="7" t="str">
        <f aca="false">HYPERLINK("https://twitter.com/RiskAlert","@RiskAlert")</f>
        <v>@RiskAlert</v>
      </c>
      <c r="C585" s="8" t="s">
        <v>1641</v>
      </c>
      <c r="D585" s="8" t="s">
        <v>1642</v>
      </c>
      <c r="E585" s="9" t="str">
        <f aca="false">HYPERLINK("https://twitter.com/RiskAlert/status/921710272103972864","921710272103972864")</f>
        <v>921710272103972864</v>
      </c>
      <c r="F585" s="10" t="s">
        <v>1643</v>
      </c>
      <c r="G585" s="10" t="n">
        <v>3564</v>
      </c>
      <c r="H585" s="10" t="n">
        <v>4997</v>
      </c>
      <c r="I585" s="10" t="n">
        <v>1</v>
      </c>
      <c r="J585" s="10" t="n">
        <v>0</v>
      </c>
      <c r="K585" s="10" t="s">
        <v>20</v>
      </c>
      <c r="L585" s="11" t="n">
        <v>40613.3108796296</v>
      </c>
      <c r="M585" s="12" t="s">
        <v>1644</v>
      </c>
      <c r="N585" s="12" t="s">
        <v>1645</v>
      </c>
      <c r="O585" s="9" t="str">
        <f aca="false">HYPERLINK("https://pbs.twimg.com/profile_images/711376627427479553/a8Y9qrZG_normal.jpg","View")</f>
        <v>View</v>
      </c>
      <c r="P585" s="10"/>
    </row>
    <row r="586" customFormat="false" ht="15.75" hidden="false" customHeight="false" outlineLevel="0" collapsed="false">
      <c r="A586" s="6" t="n">
        <v>43029.2160300926</v>
      </c>
      <c r="B586" s="7" t="str">
        <f aca="false">HYPERLINK("https://twitter.com/TrendingNewsTV","@TrendingNewsTV")</f>
        <v>@TrendingNewsTV</v>
      </c>
      <c r="C586" s="8" t="s">
        <v>1646</v>
      </c>
      <c r="D586" s="8" t="s">
        <v>1647</v>
      </c>
      <c r="E586" s="9" t="str">
        <f aca="false">HYPERLINK("https://twitter.com/TrendingNewsTV/status/921710429029765120","921710429029765120")</f>
        <v>921710429029765120</v>
      </c>
      <c r="F586" s="10" t="s">
        <v>60</v>
      </c>
      <c r="G586" s="10" t="n">
        <v>157</v>
      </c>
      <c r="H586" s="10" t="n">
        <v>16</v>
      </c>
      <c r="I586" s="10" t="n">
        <v>0</v>
      </c>
      <c r="J586" s="10" t="n">
        <v>0</v>
      </c>
      <c r="K586" s="10" t="s">
        <v>20</v>
      </c>
      <c r="L586" s="11" t="n">
        <v>42873.3151851852</v>
      </c>
      <c r="M586" s="12" t="s">
        <v>1648</v>
      </c>
      <c r="N586" s="12" t="s">
        <v>1649</v>
      </c>
      <c r="O586" s="9" t="str">
        <f aca="false">HYPERLINK("https://pbs.twimg.com/profile_images/870695993104252929/yk2g-5OO_normal.jpg","View")</f>
        <v>View</v>
      </c>
      <c r="P586" s="10"/>
    </row>
    <row r="587" customFormat="false" ht="15.75" hidden="false" customHeight="false" outlineLevel="0" collapsed="false">
      <c r="A587" s="6" t="n">
        <v>43029.2283564815</v>
      </c>
      <c r="B587" s="7" t="str">
        <f aca="false">HYPERLINK("https://twitter.com/Samarcharwak","@Samarcharwak")</f>
        <v>@Samarcharwak</v>
      </c>
      <c r="C587" s="8" t="s">
        <v>1650</v>
      </c>
      <c r="D587" s="8" t="s">
        <v>24</v>
      </c>
      <c r="E587" s="9" t="str">
        <f aca="false">HYPERLINK("https://twitter.com/Samarcharwak/status/921714895657189377","921714895657189377")</f>
        <v>921714895657189377</v>
      </c>
      <c r="F587" s="10" t="s">
        <v>51</v>
      </c>
      <c r="G587" s="10" t="n">
        <v>6</v>
      </c>
      <c r="H587" s="10" t="n">
        <v>34</v>
      </c>
      <c r="I587" s="10" t="n">
        <v>51</v>
      </c>
      <c r="J587" s="10" t="n">
        <v>0</v>
      </c>
      <c r="K587" s="10" t="s">
        <v>20</v>
      </c>
      <c r="L587" s="11" t="n">
        <v>43028.0803703704</v>
      </c>
      <c r="M587" s="12"/>
      <c r="N587" s="12"/>
      <c r="O587" s="9" t="str">
        <f aca="false">HYPERLINK("https://pbs.twimg.com/profile_images/921326643951448064/aOcolja9_normal.jpg","View")</f>
        <v>View</v>
      </c>
      <c r="P587" s="10"/>
    </row>
    <row r="588" customFormat="false" ht="15.75" hidden="false" customHeight="false" outlineLevel="0" collapsed="false">
      <c r="A588" s="6" t="n">
        <v>43029.2292361111</v>
      </c>
      <c r="B588" s="7" t="str">
        <f aca="false">HYPERLINK("https://twitter.com/jimmyhoshi","@jimmyhoshi")</f>
        <v>@jimmyhoshi</v>
      </c>
      <c r="C588" s="8" t="s">
        <v>1651</v>
      </c>
      <c r="D588" s="8" t="s">
        <v>1652</v>
      </c>
      <c r="E588" s="9" t="str">
        <f aca="false">HYPERLINK("https://twitter.com/jimmyhoshi/status/921715216475332608","921715216475332608")</f>
        <v>921715216475332608</v>
      </c>
      <c r="F588" s="10" t="s">
        <v>1653</v>
      </c>
      <c r="G588" s="10" t="n">
        <v>8715</v>
      </c>
      <c r="H588" s="10" t="n">
        <v>8482</v>
      </c>
      <c r="I588" s="10" t="n">
        <v>0</v>
      </c>
      <c r="J588" s="10" t="n">
        <v>0</v>
      </c>
      <c r="K588" s="10" t="s">
        <v>20</v>
      </c>
      <c r="L588" s="11" t="n">
        <v>41922.7041087963</v>
      </c>
      <c r="M588" s="12" t="s">
        <v>1654</v>
      </c>
      <c r="N588" s="12" t="s">
        <v>1655</v>
      </c>
      <c r="O588" s="9" t="str">
        <f aca="false">HYPERLINK("https://pbs.twimg.com/profile_images/525551979565555712/q1hl0v2W_normal.png","View")</f>
        <v>View</v>
      </c>
      <c r="P588" s="10"/>
    </row>
    <row r="589" customFormat="false" ht="15.75" hidden="false" customHeight="false" outlineLevel="0" collapsed="false">
      <c r="A589" s="6" t="n">
        <v>43029.2389467593</v>
      </c>
      <c r="B589" s="7" t="str">
        <f aca="false">HYPERLINK("https://twitter.com/training8m","@training8m")</f>
        <v>@training8m</v>
      </c>
      <c r="C589" s="8" t="s">
        <v>1656</v>
      </c>
      <c r="D589" s="8" t="s">
        <v>1657</v>
      </c>
      <c r="E589" s="9" t="str">
        <f aca="false">HYPERLINK("https://twitter.com/training8m/status/921718732480827393","921718732480827393")</f>
        <v>921718732480827393</v>
      </c>
      <c r="F589" s="10" t="s">
        <v>1658</v>
      </c>
      <c r="G589" s="10" t="n">
        <v>1040</v>
      </c>
      <c r="H589" s="10" t="n">
        <v>998</v>
      </c>
      <c r="I589" s="10" t="n">
        <v>0</v>
      </c>
      <c r="J589" s="10" t="n">
        <v>0</v>
      </c>
      <c r="K589" s="10" t="s">
        <v>20</v>
      </c>
      <c r="L589" s="11" t="n">
        <v>40495.8091203704</v>
      </c>
      <c r="M589" s="12" t="s">
        <v>1199</v>
      </c>
      <c r="N589" s="12" t="s">
        <v>1659</v>
      </c>
      <c r="O589" s="9" t="str">
        <f aca="false">HYPERLINK("https://pbs.twimg.com/profile_images/378800000469269095/a9110ad681663df14c7f4d109f2a902b_normal.jpeg","View")</f>
        <v>View</v>
      </c>
      <c r="P589" s="10"/>
    </row>
    <row r="590" customFormat="false" ht="15.75" hidden="false" customHeight="false" outlineLevel="0" collapsed="false">
      <c r="A590" s="6" t="n">
        <v>43029.2415740741</v>
      </c>
      <c r="B590" s="7" t="str">
        <f aca="false">HYPERLINK("https://twitter.com/JCOS_CARRINGTON","@JCOS_CARRINGTON")</f>
        <v>@JCOS_CARRINGTON</v>
      </c>
      <c r="C590" s="8" t="s">
        <v>1660</v>
      </c>
      <c r="D590" s="8" t="s">
        <v>1661</v>
      </c>
      <c r="E590" s="9" t="str">
        <f aca="false">HYPERLINK("https://twitter.com/JCOS_CARRINGTON/status/921719684327546880","921719684327546880")</f>
        <v>921719684327546880</v>
      </c>
      <c r="F590" s="10" t="s">
        <v>1024</v>
      </c>
      <c r="G590" s="10" t="n">
        <v>2441</v>
      </c>
      <c r="H590" s="10" t="n">
        <v>4999</v>
      </c>
      <c r="I590" s="10" t="n">
        <v>0</v>
      </c>
      <c r="J590" s="10" t="n">
        <v>1</v>
      </c>
      <c r="K590" s="10" t="s">
        <v>20</v>
      </c>
      <c r="L590" s="11" t="n">
        <v>39967.9728125</v>
      </c>
      <c r="M590" s="12" t="s">
        <v>1662</v>
      </c>
      <c r="N590" s="12" t="s">
        <v>1663</v>
      </c>
      <c r="O590" s="9" t="str">
        <f aca="false">HYPERLINK("https://pbs.twimg.com/profile_images/914792710170542081/BVZ8JGlE_normal.jpg","View")</f>
        <v>View</v>
      </c>
      <c r="P590" s="10"/>
    </row>
    <row r="591" customFormat="false" ht="15.75" hidden="false" customHeight="false" outlineLevel="0" collapsed="false">
      <c r="A591" s="6" t="n">
        <v>43029.2420949074</v>
      </c>
      <c r="B591" s="7" t="str">
        <f aca="false">HYPERLINK("https://twitter.com/Newsweek_INT","@Newsweek_INT")</f>
        <v>@Newsweek_INT</v>
      </c>
      <c r="C591" s="8" t="s">
        <v>1664</v>
      </c>
      <c r="D591" s="8" t="s">
        <v>1665</v>
      </c>
      <c r="E591" s="9" t="str">
        <f aca="false">HYPERLINK("https://twitter.com/Newsweek_INT/status/921719873121718272","921719873121718272")</f>
        <v>921719873121718272</v>
      </c>
      <c r="F591" s="10" t="s">
        <v>268</v>
      </c>
      <c r="G591" s="10" t="n">
        <v>24080</v>
      </c>
      <c r="H591" s="10" t="n">
        <v>1259</v>
      </c>
      <c r="I591" s="10" t="n">
        <v>1</v>
      </c>
      <c r="J591" s="10" t="n">
        <v>1</v>
      </c>
      <c r="K591" s="10" t="s">
        <v>20</v>
      </c>
      <c r="L591" s="11" t="n">
        <v>40556.494525463</v>
      </c>
      <c r="M591" s="12" t="s">
        <v>893</v>
      </c>
      <c r="N591" s="12" t="s">
        <v>1666</v>
      </c>
      <c r="O591" s="9" t="str">
        <f aca="false">HYPERLINK("https://pbs.twimg.com/profile_images/809726198922219520/_qNMVqXH_normal.jpg","View")</f>
        <v>View</v>
      </c>
      <c r="P591" s="10"/>
    </row>
    <row r="592" customFormat="false" ht="15.75" hidden="false" customHeight="false" outlineLevel="0" collapsed="false">
      <c r="A592" s="6" t="n">
        <v>43029.2481134259</v>
      </c>
      <c r="B592" s="7" t="str">
        <f aca="false">HYPERLINK("https://twitter.com/farhaadaarif","@farhaadaarif")</f>
        <v>@farhaadaarif</v>
      </c>
      <c r="C592" s="8" t="s">
        <v>1031</v>
      </c>
      <c r="D592" s="8" t="s">
        <v>1667</v>
      </c>
      <c r="E592" s="9" t="str">
        <f aca="false">HYPERLINK("https://twitter.com/farhaadaarif/status/921722054054957056","921722054054957056")</f>
        <v>921722054054957056</v>
      </c>
      <c r="F592" s="10" t="s">
        <v>60</v>
      </c>
      <c r="G592" s="10" t="n">
        <v>704</v>
      </c>
      <c r="H592" s="10" t="n">
        <v>512</v>
      </c>
      <c r="I592" s="10" t="n">
        <v>0</v>
      </c>
      <c r="J592" s="10" t="n">
        <v>0</v>
      </c>
      <c r="K592" s="10" t="s">
        <v>20</v>
      </c>
      <c r="L592" s="11" t="n">
        <v>41804.3271643519</v>
      </c>
      <c r="M592" s="12"/>
      <c r="N592" s="12" t="s">
        <v>1033</v>
      </c>
      <c r="O592" s="9" t="str">
        <f aca="false">HYPERLINK("https://pbs.twimg.com/profile_images/923956796984823809/05olD5HV_normal.jpg","View")</f>
        <v>View</v>
      </c>
      <c r="P592" s="10"/>
    </row>
    <row r="593" customFormat="false" ht="15.75" hidden="false" customHeight="false" outlineLevel="0" collapsed="false">
      <c r="A593" s="6" t="n">
        <v>43029.2484143519</v>
      </c>
      <c r="B593" s="7" t="str">
        <f aca="false">HYPERLINK("https://twitter.com/newslivenetwork","@newslivenetwork")</f>
        <v>@newslivenetwork</v>
      </c>
      <c r="C593" s="8" t="s">
        <v>1668</v>
      </c>
      <c r="D593" s="8" t="s">
        <v>1669</v>
      </c>
      <c r="E593" s="9" t="str">
        <f aca="false">HYPERLINK("https://twitter.com/newslivenetwork/status/921722165837357057","921722165837357057")</f>
        <v>921722165837357057</v>
      </c>
      <c r="F593" s="10" t="s">
        <v>55</v>
      </c>
      <c r="G593" s="10" t="n">
        <v>272</v>
      </c>
      <c r="H593" s="10" t="n">
        <v>87</v>
      </c>
      <c r="I593" s="10" t="n">
        <v>0</v>
      </c>
      <c r="J593" s="10" t="n">
        <v>0</v>
      </c>
      <c r="K593" s="10" t="s">
        <v>20</v>
      </c>
      <c r="L593" s="11" t="n">
        <v>42741.4719675926</v>
      </c>
      <c r="M593" s="12" t="s">
        <v>1670</v>
      </c>
      <c r="N593" s="12" t="s">
        <v>1671</v>
      </c>
      <c r="O593" s="9" t="str">
        <f aca="false">HYPERLINK("https://pbs.twimg.com/profile_images/877414144424660992/scfhocj3_normal.jpg","View")</f>
        <v>View</v>
      </c>
      <c r="P593" s="10"/>
    </row>
    <row r="594" customFormat="false" ht="15.75" hidden="false" customHeight="false" outlineLevel="0" collapsed="false">
      <c r="A594" s="6" t="n">
        <v>43029.2521643519</v>
      </c>
      <c r="B594" s="7" t="str">
        <f aca="false">HYPERLINK("https://twitter.com/therealgloria","@therealgloria")</f>
        <v>@therealgloria</v>
      </c>
      <c r="C594" s="8" t="s">
        <v>1672</v>
      </c>
      <c r="D594" s="8" t="s">
        <v>1673</v>
      </c>
      <c r="E594" s="9" t="str">
        <f aca="false">HYPERLINK("https://twitter.com/therealgloria/status/921723524896772096","921723524896772096")</f>
        <v>921723524896772096</v>
      </c>
      <c r="F594" s="10" t="s">
        <v>25</v>
      </c>
      <c r="G594" s="10" t="n">
        <v>354</v>
      </c>
      <c r="H594" s="10" t="n">
        <v>320</v>
      </c>
      <c r="I594" s="10" t="n">
        <v>1</v>
      </c>
      <c r="J594" s="10" t="n">
        <v>0</v>
      </c>
      <c r="K594" s="10" t="s">
        <v>20</v>
      </c>
      <c r="L594" s="11" t="n">
        <v>40683.7693055556</v>
      </c>
      <c r="M594" s="12" t="s">
        <v>1674</v>
      </c>
      <c r="N594" s="12" t="s">
        <v>1675</v>
      </c>
      <c r="O594" s="9" t="str">
        <f aca="false">HYPERLINK("https://pbs.twimg.com/profile_images/694331781571612673/t2pVJOZL_normal.jpg","View")</f>
        <v>View</v>
      </c>
      <c r="P594" s="10"/>
    </row>
    <row r="595" customFormat="false" ht="15.75" hidden="false" customHeight="false" outlineLevel="0" collapsed="false">
      <c r="A595" s="6" t="n">
        <v>43029.2534837963</v>
      </c>
      <c r="B595" s="7" t="str">
        <f aca="false">HYPERLINK("https://twitter.com/CNNnews18","@CNNnews18")</f>
        <v>@CNNnews18</v>
      </c>
      <c r="C595" s="8" t="s">
        <v>70</v>
      </c>
      <c r="D595" s="8" t="s">
        <v>1676</v>
      </c>
      <c r="E595" s="9" t="str">
        <f aca="false">HYPERLINK("https://twitter.com/CNNnews18/status/921724002250448896","921724002250448896")</f>
        <v>921724002250448896</v>
      </c>
      <c r="F595" s="10" t="s">
        <v>276</v>
      </c>
      <c r="G595" s="10" t="n">
        <v>3769900</v>
      </c>
      <c r="H595" s="10" t="n">
        <v>382</v>
      </c>
      <c r="I595" s="10" t="n">
        <v>6</v>
      </c>
      <c r="J595" s="10" t="n">
        <v>23</v>
      </c>
      <c r="K595" s="10" t="s">
        <v>20</v>
      </c>
      <c r="L595" s="11" t="n">
        <v>39234.5632060185</v>
      </c>
      <c r="M595" s="12" t="s">
        <v>72</v>
      </c>
      <c r="N595" s="12" t="s">
        <v>73</v>
      </c>
      <c r="O595" s="9" t="str">
        <f aca="false">HYPERLINK("https://pbs.twimg.com/profile_images/923813836724977664/2wlt99tw_normal.jpg","View")</f>
        <v>View</v>
      </c>
      <c r="P595" s="10"/>
    </row>
    <row r="596" customFormat="false" ht="15.75" hidden="false" customHeight="false" outlineLevel="0" collapsed="false">
      <c r="A596" s="6" t="n">
        <v>43029.2538310185</v>
      </c>
      <c r="B596" s="7" t="str">
        <f aca="false">HYPERLINK("https://twitter.com/ishtkam","@ishtkam")</f>
        <v>@ishtkam</v>
      </c>
      <c r="C596" s="8" t="s">
        <v>78</v>
      </c>
      <c r="D596" s="8" t="s">
        <v>1677</v>
      </c>
      <c r="E596" s="9" t="str">
        <f aca="false">HYPERLINK("https://twitter.com/ishtkam/status/921724128880676864","921724128880676864")</f>
        <v>921724128880676864</v>
      </c>
      <c r="F596" s="10" t="s">
        <v>60</v>
      </c>
      <c r="G596" s="10" t="n">
        <v>1158</v>
      </c>
      <c r="H596" s="10" t="n">
        <v>235</v>
      </c>
      <c r="I596" s="10" t="n">
        <v>0</v>
      </c>
      <c r="J596" s="10" t="n">
        <v>0</v>
      </c>
      <c r="K596" s="10" t="s">
        <v>20</v>
      </c>
      <c r="L596" s="11" t="n">
        <v>40073.0770023148</v>
      </c>
      <c r="M596" s="12" t="s">
        <v>64</v>
      </c>
      <c r="N596" s="12" t="s">
        <v>80</v>
      </c>
      <c r="O596" s="9" t="str">
        <f aca="false">HYPERLINK("https://pbs.twimg.com/profile_images/884365385151074304/cJMA0Zk2_normal.jpg","View")</f>
        <v>View</v>
      </c>
      <c r="P596" s="10"/>
    </row>
    <row r="597" customFormat="false" ht="15.75" hidden="false" customHeight="false" outlineLevel="0" collapsed="false">
      <c r="A597" s="6" t="n">
        <v>43029.2551736111</v>
      </c>
      <c r="B597" s="7" t="str">
        <f aca="false">HYPERLINK("https://twitter.com/RTGWorld","@RTGWorld")</f>
        <v>@RTGWorld</v>
      </c>
      <c r="C597" s="8" t="s">
        <v>1678</v>
      </c>
      <c r="D597" s="8" t="s">
        <v>1679</v>
      </c>
      <c r="E597" s="9" t="str">
        <f aca="false">HYPERLINK("https://twitter.com/RTGWorld/status/921724613339635712","921724613339635712")</f>
        <v>921724613339635712</v>
      </c>
      <c r="F597" s="10" t="s">
        <v>60</v>
      </c>
      <c r="G597" s="10" t="n">
        <v>354</v>
      </c>
      <c r="H597" s="10" t="n">
        <v>5</v>
      </c>
      <c r="I597" s="10" t="n">
        <v>0</v>
      </c>
      <c r="J597" s="10" t="n">
        <v>0</v>
      </c>
      <c r="K597" s="10" t="s">
        <v>20</v>
      </c>
      <c r="L597" s="11" t="n">
        <v>42111.1254976852</v>
      </c>
      <c r="M597" s="12"/>
      <c r="N597" s="12"/>
      <c r="O597" s="9" t="str">
        <f aca="false">HYPERLINK("https://pbs.twimg.com/profile_images/621177630109249536/Dn9SiFvI_normal.png","View")</f>
        <v>View</v>
      </c>
      <c r="P597" s="10"/>
    </row>
    <row r="598" customFormat="false" ht="15.75" hidden="false" customHeight="false" outlineLevel="0" collapsed="false">
      <c r="A598" s="6" t="n">
        <v>43029.2553356482</v>
      </c>
      <c r="B598" s="7" t="str">
        <f aca="false">HYPERLINK("https://twitter.com/rawatsaarVinod","@rawatsaarVinod")</f>
        <v>@rawatsaarVinod</v>
      </c>
      <c r="C598" s="8" t="s">
        <v>1680</v>
      </c>
      <c r="D598" s="8" t="s">
        <v>1681</v>
      </c>
      <c r="E598" s="9" t="str">
        <f aca="false">HYPERLINK("https://twitter.com/rawatsaarVinod/status/921724672273670145","921724672273670145")</f>
        <v>921724672273670145</v>
      </c>
      <c r="F598" s="10" t="s">
        <v>276</v>
      </c>
      <c r="G598" s="10" t="n">
        <v>9</v>
      </c>
      <c r="H598" s="10" t="n">
        <v>41</v>
      </c>
      <c r="I598" s="10" t="n">
        <v>0</v>
      </c>
      <c r="J598" s="10" t="n">
        <v>0</v>
      </c>
      <c r="K598" s="10" t="s">
        <v>20</v>
      </c>
      <c r="L598" s="11" t="n">
        <v>42267.4022337963</v>
      </c>
      <c r="M598" s="12"/>
      <c r="N598" s="12"/>
      <c r="O598" s="9" t="str">
        <f aca="false">HYPERLINK("https://abs.twimg.com/sticky/default_profile_images/default_profile_normal.png","View")</f>
        <v>View</v>
      </c>
      <c r="P598" s="10"/>
    </row>
    <row r="599" customFormat="false" ht="15.75" hidden="false" customHeight="false" outlineLevel="0" collapsed="false">
      <c r="A599" s="6" t="n">
        <v>43029.2553356482</v>
      </c>
      <c r="B599" s="7" t="str">
        <f aca="false">HYPERLINK("https://twitter.com/uniindianews","@uniindianews")</f>
        <v>@uniindianews</v>
      </c>
      <c r="C599" s="8" t="s">
        <v>1682</v>
      </c>
      <c r="D599" s="8" t="s">
        <v>1683</v>
      </c>
      <c r="E599" s="9" t="str">
        <f aca="false">HYPERLINK("https://twitter.com/uniindianews/status/921724672319746049","921724672319746049")</f>
        <v>921724672319746049</v>
      </c>
      <c r="F599" s="10" t="s">
        <v>276</v>
      </c>
      <c r="G599" s="10" t="n">
        <v>1028</v>
      </c>
      <c r="H599" s="10" t="n">
        <v>4</v>
      </c>
      <c r="I599" s="10" t="n">
        <v>0</v>
      </c>
      <c r="J599" s="10" t="n">
        <v>0</v>
      </c>
      <c r="K599" s="10" t="s">
        <v>20</v>
      </c>
      <c r="L599" s="11" t="n">
        <v>42156.292025463</v>
      </c>
      <c r="M599" s="12" t="s">
        <v>1684</v>
      </c>
      <c r="N599" s="12" t="s">
        <v>1685</v>
      </c>
      <c r="O599" s="9" t="str">
        <f aca="false">HYPERLINK("https://pbs.twimg.com/profile_images/605374259389554689/PogxCG3n_normal.jpg","View")</f>
        <v>View</v>
      </c>
      <c r="P599" s="10"/>
    </row>
    <row r="600" customFormat="false" ht="15.75" hidden="false" customHeight="false" outlineLevel="0" collapsed="false">
      <c r="A600" s="6" t="n">
        <v>43029.2565046296</v>
      </c>
      <c r="B600" s="7" t="str">
        <f aca="false">HYPERLINK("https://twitter.com/dishanksharma05","@dishanksharma05")</f>
        <v>@dishanksharma05</v>
      </c>
      <c r="C600" s="8" t="s">
        <v>74</v>
      </c>
      <c r="D600" s="8" t="s">
        <v>1686</v>
      </c>
      <c r="E600" s="9" t="str">
        <f aca="false">HYPERLINK("https://twitter.com/dishanksharma05/status/921725094761820167","921725094761820167")</f>
        <v>921725094761820167</v>
      </c>
      <c r="F600" s="10" t="s">
        <v>60</v>
      </c>
      <c r="G600" s="10" t="n">
        <v>140</v>
      </c>
      <c r="H600" s="10" t="n">
        <v>91</v>
      </c>
      <c r="I600" s="10" t="n">
        <v>0</v>
      </c>
      <c r="J600" s="10" t="n">
        <v>0</v>
      </c>
      <c r="K600" s="10" t="s">
        <v>20</v>
      </c>
      <c r="L600" s="11" t="n">
        <v>41594.2023263889</v>
      </c>
      <c r="M600" s="12" t="s">
        <v>76</v>
      </c>
      <c r="N600" s="12" t="s">
        <v>77</v>
      </c>
      <c r="O600" s="9" t="str">
        <f aca="false">HYPERLINK("https://pbs.twimg.com/profile_images/834402570135228416/-V8NH--M_normal.jpg","View")</f>
        <v>View</v>
      </c>
      <c r="P600" s="10"/>
    </row>
    <row r="601" customFormat="false" ht="15.75" hidden="false" customHeight="false" outlineLevel="0" collapsed="false">
      <c r="A601" s="6" t="n">
        <v>43029.2567476852</v>
      </c>
      <c r="B601" s="7" t="str">
        <f aca="false">HYPERLINK("https://twitter.com/AsukStudio","@AsukStudio")</f>
        <v>@AsukStudio</v>
      </c>
      <c r="C601" s="8" t="s">
        <v>81</v>
      </c>
      <c r="D601" s="8" t="s">
        <v>1687</v>
      </c>
      <c r="E601" s="9" t="str">
        <f aca="false">HYPERLINK("https://twitter.com/AsukStudio/status/921725182611509249","921725182611509249")</f>
        <v>921725182611509249</v>
      </c>
      <c r="F601" s="10" t="s">
        <v>60</v>
      </c>
      <c r="G601" s="10" t="n">
        <v>418</v>
      </c>
      <c r="H601" s="10" t="n">
        <v>1</v>
      </c>
      <c r="I601" s="10" t="n">
        <v>0</v>
      </c>
      <c r="J601" s="10" t="n">
        <v>0</v>
      </c>
      <c r="K601" s="10" t="s">
        <v>20</v>
      </c>
      <c r="L601" s="11" t="n">
        <v>42651.4931944444</v>
      </c>
      <c r="M601" s="12" t="s">
        <v>83</v>
      </c>
      <c r="N601" s="12" t="s">
        <v>84</v>
      </c>
      <c r="O601" s="9" t="str">
        <f aca="false">HYPERLINK("https://pbs.twimg.com/profile_images/915171930105196544/ok1UZWP-_normal.jpg","View")</f>
        <v>View</v>
      </c>
      <c r="P601" s="10"/>
    </row>
    <row r="602" customFormat="false" ht="15.75" hidden="false" customHeight="false" outlineLevel="0" collapsed="false">
      <c r="A602" s="6" t="n">
        <v>43029.2581712963</v>
      </c>
      <c r="B602" s="7" t="str">
        <f aca="false">HYPERLINK("https://twitter.com/openn_eu","@openn_eu")</f>
        <v>@openn_eu</v>
      </c>
      <c r="C602" s="8" t="s">
        <v>1688</v>
      </c>
      <c r="D602" s="8" t="s">
        <v>1689</v>
      </c>
      <c r="E602" s="9" t="str">
        <f aca="false">HYPERLINK("https://twitter.com/openn_eu/status/921725699727163392","921725699727163392")</f>
        <v>921725699727163392</v>
      </c>
      <c r="F602" s="10" t="s">
        <v>55</v>
      </c>
      <c r="G602" s="10" t="n">
        <v>1450</v>
      </c>
      <c r="H602" s="10" t="n">
        <v>6</v>
      </c>
      <c r="I602" s="10" t="n">
        <v>0</v>
      </c>
      <c r="J602" s="10" t="n">
        <v>0</v>
      </c>
      <c r="K602" s="10" t="s">
        <v>20</v>
      </c>
      <c r="L602" s="11" t="n">
        <v>41295.3757638889</v>
      </c>
      <c r="M602" s="12" t="s">
        <v>1690</v>
      </c>
      <c r="N602" s="12" t="s">
        <v>1691</v>
      </c>
      <c r="O602" s="9" t="str">
        <f aca="false">HYPERLINK("https://pbs.twimg.com/profile_images/877293562714611713/5N1JC10a_normal.jpg","View")</f>
        <v>View</v>
      </c>
      <c r="P602" s="10"/>
    </row>
    <row r="603" customFormat="false" ht="15.75" hidden="false" customHeight="false" outlineLevel="0" collapsed="false">
      <c r="A603" s="6" t="n">
        <v>43029.2587847222</v>
      </c>
      <c r="B603" s="7" t="str">
        <f aca="false">HYPERLINK("https://twitter.com/cyrushavo","@cyrushavo")</f>
        <v>@cyrushavo</v>
      </c>
      <c r="C603" s="8" t="s">
        <v>1692</v>
      </c>
      <c r="D603" s="8" t="s">
        <v>1693</v>
      </c>
      <c r="E603" s="9" t="str">
        <f aca="false">HYPERLINK("https://twitter.com/cyrushavo/status/921725924025942016","921725924025942016")</f>
        <v>921725924025942016</v>
      </c>
      <c r="F603" s="10" t="s">
        <v>177</v>
      </c>
      <c r="G603" s="10" t="n">
        <v>533</v>
      </c>
      <c r="H603" s="10" t="n">
        <v>1149</v>
      </c>
      <c r="I603" s="10" t="n">
        <v>6</v>
      </c>
      <c r="J603" s="10" t="n">
        <v>0</v>
      </c>
      <c r="K603" s="10" t="s">
        <v>20</v>
      </c>
      <c r="L603" s="11" t="n">
        <v>40739.2432175926</v>
      </c>
      <c r="M603" s="12" t="s">
        <v>253</v>
      </c>
      <c r="N603" s="12" t="s">
        <v>1694</v>
      </c>
      <c r="O603" s="9" t="str">
        <f aca="false">HYPERLINK("https://pbs.twimg.com/profile_images/892332317695393792/mb1vLwOa_normal.jpg","View")</f>
        <v>View</v>
      </c>
      <c r="P603" s="10"/>
    </row>
    <row r="604" customFormat="false" ht="15.75" hidden="false" customHeight="false" outlineLevel="0" collapsed="false">
      <c r="A604" s="6" t="n">
        <v>43029.267025463</v>
      </c>
      <c r="B604" s="7" t="str">
        <f aca="false">HYPERLINK("https://twitter.com/imax111","@imax111")</f>
        <v>@imax111</v>
      </c>
      <c r="C604" s="8" t="s">
        <v>1695</v>
      </c>
      <c r="D604" s="8" t="s">
        <v>1696</v>
      </c>
      <c r="E604" s="9" t="str">
        <f aca="false">HYPERLINK("https://twitter.com/imax111/status/921728909259034624","921728909259034624")</f>
        <v>921728909259034624</v>
      </c>
      <c r="F604" s="10" t="s">
        <v>60</v>
      </c>
      <c r="G604" s="10" t="n">
        <v>900</v>
      </c>
      <c r="H604" s="10" t="n">
        <v>0</v>
      </c>
      <c r="I604" s="10" t="n">
        <v>0</v>
      </c>
      <c r="J604" s="10" t="n">
        <v>0</v>
      </c>
      <c r="K604" s="10" t="s">
        <v>20</v>
      </c>
      <c r="L604" s="11" t="n">
        <v>39908.7389583333</v>
      </c>
      <c r="M604" s="12" t="s">
        <v>1697</v>
      </c>
      <c r="N604" s="12" t="s">
        <v>1698</v>
      </c>
      <c r="O604" s="9" t="str">
        <f aca="false">HYPERLINK("https://pbs.twimg.com/profile_images/763262084264161280/P0rX_ZUd_normal.jpg","View")</f>
        <v>View</v>
      </c>
      <c r="P604" s="10"/>
    </row>
    <row r="605" customFormat="false" ht="15.75" hidden="false" customHeight="false" outlineLevel="0" collapsed="false">
      <c r="A605" s="6" t="n">
        <v>43029.2683912037</v>
      </c>
      <c r="B605" s="7" t="str">
        <f aca="false">HYPERLINK("https://twitter.com/NotDwaith","@NotDwaith")</f>
        <v>@NotDwaith</v>
      </c>
      <c r="C605" s="8" t="s">
        <v>1699</v>
      </c>
      <c r="D605" s="8" t="s">
        <v>1693</v>
      </c>
      <c r="E605" s="9" t="str">
        <f aca="false">HYPERLINK("https://twitter.com/NotDwaith/status/921729405705101313","921729405705101313")</f>
        <v>921729405705101313</v>
      </c>
      <c r="F605" s="10" t="s">
        <v>25</v>
      </c>
      <c r="G605" s="10" t="n">
        <v>384</v>
      </c>
      <c r="H605" s="10" t="n">
        <v>371</v>
      </c>
      <c r="I605" s="10" t="n">
        <v>6</v>
      </c>
      <c r="J605" s="10" t="n">
        <v>0</v>
      </c>
      <c r="K605" s="10" t="s">
        <v>20</v>
      </c>
      <c r="L605" s="11" t="n">
        <v>40202.0350578704</v>
      </c>
      <c r="M605" s="12" t="s">
        <v>1700</v>
      </c>
      <c r="N605" s="12" t="s">
        <v>1701</v>
      </c>
      <c r="O605" s="9" t="str">
        <f aca="false">HYPERLINK("https://pbs.twimg.com/profile_images/920599046770671617/g2X7QGQ3_normal.jpg","View")</f>
        <v>View</v>
      </c>
      <c r="P605" s="10"/>
    </row>
    <row r="606" customFormat="false" ht="15.75" hidden="false" customHeight="false" outlineLevel="0" collapsed="false">
      <c r="A606" s="6" t="n">
        <v>43029.2703472222</v>
      </c>
      <c r="B606" s="7" t="str">
        <f aca="false">HYPERLINK("https://twitter.com/_dpaj","@_dpaj")</f>
        <v>@_dpaj</v>
      </c>
      <c r="C606" s="8" t="s">
        <v>1702</v>
      </c>
      <c r="D606" s="8" t="s">
        <v>1703</v>
      </c>
      <c r="E606" s="9" t="str">
        <f aca="false">HYPERLINK("https://twitter.com/_dpaj/status/921730114928500736","921730114928500736")</f>
        <v>921730114928500736</v>
      </c>
      <c r="F606" s="10" t="s">
        <v>60</v>
      </c>
      <c r="G606" s="10" t="n">
        <v>5523</v>
      </c>
      <c r="H606" s="10" t="n">
        <v>2431</v>
      </c>
      <c r="I606" s="10" t="n">
        <v>0</v>
      </c>
      <c r="J606" s="10" t="n">
        <v>0</v>
      </c>
      <c r="K606" s="10" t="s">
        <v>20</v>
      </c>
      <c r="L606" s="11" t="n">
        <v>40660.8466203704</v>
      </c>
      <c r="M606" s="12" t="s">
        <v>1704</v>
      </c>
      <c r="N606" s="12" t="s">
        <v>1705</v>
      </c>
      <c r="O606" s="9" t="str">
        <f aca="false">HYPERLINK("https://pbs.twimg.com/profile_images/861497595130253317/PBJ8Ojwp_normal.jpg","View")</f>
        <v>View</v>
      </c>
      <c r="P606" s="10"/>
    </row>
    <row r="607" customFormat="false" ht="15.75" hidden="false" customHeight="false" outlineLevel="0" collapsed="false">
      <c r="A607" s="6" t="n">
        <v>43029.2722337963</v>
      </c>
      <c r="B607" s="7" t="str">
        <f aca="false">HYPERLINK("https://twitter.com/18AKGOYAL","@18AKGOYAL")</f>
        <v>@18AKGOYAL</v>
      </c>
      <c r="C607" s="8" t="s">
        <v>1706</v>
      </c>
      <c r="D607" s="8" t="s">
        <v>1693</v>
      </c>
      <c r="E607" s="9" t="str">
        <f aca="false">HYPERLINK("https://twitter.com/18AKGOYAL/status/921730794833420288","921730794833420288")</f>
        <v>921730794833420288</v>
      </c>
      <c r="F607" s="10" t="s">
        <v>39</v>
      </c>
      <c r="G607" s="10" t="n">
        <v>147</v>
      </c>
      <c r="H607" s="10" t="n">
        <v>346</v>
      </c>
      <c r="I607" s="10" t="n">
        <v>6</v>
      </c>
      <c r="J607" s="10" t="n">
        <v>0</v>
      </c>
      <c r="K607" s="10" t="s">
        <v>20</v>
      </c>
      <c r="L607" s="11" t="n">
        <v>40396.8280671296</v>
      </c>
      <c r="M607" s="12"/>
      <c r="N607" s="12"/>
      <c r="O607" s="9" t="str">
        <f aca="false">HYPERLINK("https://abs.twimg.com/sticky/default_profile_images/default_profile_normal.png","View")</f>
        <v>View</v>
      </c>
      <c r="P607" s="10"/>
    </row>
    <row r="608" customFormat="false" ht="15.75" hidden="false" customHeight="false" outlineLevel="0" collapsed="false">
      <c r="A608" s="6" t="n">
        <v>43029.2801736111</v>
      </c>
      <c r="B608" s="7" t="str">
        <f aca="false">HYPERLINK("https://twitter.com/WPPnZ47OabnF0KO","@WPPnZ47OabnF0KO")</f>
        <v>@WPPnZ47OabnF0KO</v>
      </c>
      <c r="C608" s="8" t="s">
        <v>1707</v>
      </c>
      <c r="D608" s="8" t="s">
        <v>1693</v>
      </c>
      <c r="E608" s="9" t="str">
        <f aca="false">HYPERLINK("https://twitter.com/WPPnZ47OabnF0KO/status/921733675313635329","921733675313635329")</f>
        <v>921733675313635329</v>
      </c>
      <c r="F608" s="10" t="s">
        <v>25</v>
      </c>
      <c r="G608" s="10" t="n">
        <v>1532</v>
      </c>
      <c r="H608" s="10" t="n">
        <v>4288</v>
      </c>
      <c r="I608" s="10" t="n">
        <v>6</v>
      </c>
      <c r="J608" s="10" t="n">
        <v>0</v>
      </c>
      <c r="K608" s="10" t="s">
        <v>20</v>
      </c>
      <c r="L608" s="11" t="n">
        <v>42755.490787037</v>
      </c>
      <c r="M608" s="13" t="s">
        <v>1708</v>
      </c>
      <c r="N608" s="12" t="s">
        <v>1709</v>
      </c>
      <c r="O608" s="9" t="str">
        <f aca="false">HYPERLINK("https://pbs.twimg.com/profile_images/917370651844919297/DHQLZ53J_normal.jpg","View")</f>
        <v>View</v>
      </c>
      <c r="P608" s="10"/>
    </row>
    <row r="609" customFormat="false" ht="15.75" hidden="false" customHeight="false" outlineLevel="0" collapsed="false">
      <c r="A609" s="6" t="n">
        <v>43029.2822800926</v>
      </c>
      <c r="B609" s="7" t="str">
        <f aca="false">HYPERLINK("https://twitter.com/LastMinuteUSVac","@LastMinuteUSVac")</f>
        <v>@LastMinuteUSVac</v>
      </c>
      <c r="C609" s="8" t="s">
        <v>1710</v>
      </c>
      <c r="D609" s="8" t="s">
        <v>1711</v>
      </c>
      <c r="E609" s="9" t="str">
        <f aca="false">HYPERLINK("https://twitter.com/LastMinuteUSVac/status/921734437150298112","921734437150298112")</f>
        <v>921734437150298112</v>
      </c>
      <c r="F609" s="10" t="s">
        <v>60</v>
      </c>
      <c r="G609" s="10" t="n">
        <v>174</v>
      </c>
      <c r="H609" s="10" t="n">
        <v>263</v>
      </c>
      <c r="I609" s="10" t="n">
        <v>0</v>
      </c>
      <c r="J609" s="10" t="n">
        <v>0</v>
      </c>
      <c r="K609" s="10" t="s">
        <v>20</v>
      </c>
      <c r="L609" s="11" t="n">
        <v>42633.5746875</v>
      </c>
      <c r="M609" s="12" t="s">
        <v>1712</v>
      </c>
      <c r="N609" s="12" t="s">
        <v>1713</v>
      </c>
      <c r="O609" s="9" t="str">
        <f aca="false">HYPERLINK("https://pbs.twimg.com/profile_images/778337714504687620/RrI-xcoE_normal.jpg","View")</f>
        <v>View</v>
      </c>
      <c r="P609" s="10"/>
    </row>
    <row r="610" customFormat="false" ht="15.75" hidden="false" customHeight="false" outlineLevel="0" collapsed="false">
      <c r="A610" s="6" t="n">
        <v>43029.2842824074</v>
      </c>
      <c r="B610" s="7" t="str">
        <f aca="false">HYPERLINK("https://twitter.com/opennewswindows","@opennewswindows")</f>
        <v>@opennewswindows</v>
      </c>
      <c r="C610" s="8" t="s">
        <v>1714</v>
      </c>
      <c r="D610" s="8" t="s">
        <v>1715</v>
      </c>
      <c r="E610" s="9" t="str">
        <f aca="false">HYPERLINK("https://twitter.com/opennewswindows/status/921735163989467136","921735163989467136")</f>
        <v>921735163989467136</v>
      </c>
      <c r="F610" s="9" t="s">
        <v>979</v>
      </c>
      <c r="G610" s="10" t="n">
        <v>20</v>
      </c>
      <c r="H610" s="10" t="n">
        <v>110</v>
      </c>
      <c r="I610" s="10" t="n">
        <v>0</v>
      </c>
      <c r="J610" s="10" t="n">
        <v>0</v>
      </c>
      <c r="K610" s="10" t="s">
        <v>20</v>
      </c>
      <c r="L610" s="11" t="n">
        <v>43004.6356481482</v>
      </c>
      <c r="M610" s="12" t="s">
        <v>526</v>
      </c>
      <c r="N610" s="12" t="s">
        <v>1716</v>
      </c>
      <c r="O610" s="9" t="str">
        <f aca="false">HYPERLINK("https://pbs.twimg.com/profile_images/912804383087366144/hQyd6i9c_normal.jpg","View")</f>
        <v>View</v>
      </c>
      <c r="P610" s="10"/>
    </row>
    <row r="611" customFormat="false" ht="15.75" hidden="false" customHeight="false" outlineLevel="0" collapsed="false">
      <c r="A611" s="6" t="n">
        <v>43029.2846180556</v>
      </c>
      <c r="B611" s="7" t="str">
        <f aca="false">HYPERLINK("https://twitter.com/joemaya164","@joemaya164")</f>
        <v>@joemaya164</v>
      </c>
      <c r="C611" s="8" t="s">
        <v>1717</v>
      </c>
      <c r="D611" s="8" t="s">
        <v>1718</v>
      </c>
      <c r="E611" s="9" t="str">
        <f aca="false">HYPERLINK("https://twitter.com/joemaya164/status/921735283535593472","921735283535593472")</f>
        <v>921735283535593472</v>
      </c>
      <c r="F611" s="9" t="s">
        <v>979</v>
      </c>
      <c r="G611" s="10" t="n">
        <v>411</v>
      </c>
      <c r="H611" s="10" t="n">
        <v>993</v>
      </c>
      <c r="I611" s="10" t="n">
        <v>0</v>
      </c>
      <c r="J611" s="10" t="n">
        <v>0</v>
      </c>
      <c r="K611" s="10" t="s">
        <v>20</v>
      </c>
      <c r="L611" s="11" t="n">
        <v>42550.4024305556</v>
      </c>
      <c r="M611" s="12" t="s">
        <v>526</v>
      </c>
      <c r="N611" s="12" t="s">
        <v>1719</v>
      </c>
      <c r="O611" s="9" t="str">
        <f aca="false">HYPERLINK("https://pbs.twimg.com/profile_images/884050860480835584/F1xYkB9H_normal.jpg","View")</f>
        <v>View</v>
      </c>
      <c r="P611" s="10"/>
    </row>
    <row r="612" customFormat="false" ht="15.75" hidden="false" customHeight="false" outlineLevel="0" collapsed="false">
      <c r="A612" s="6" t="n">
        <v>43029.2846412037</v>
      </c>
      <c r="B612" s="7" t="str">
        <f aca="false">HYPERLINK("https://twitter.com/AnointingLawal","@AnointingLawal")</f>
        <v>@AnointingLawal</v>
      </c>
      <c r="C612" s="8" t="s">
        <v>1720</v>
      </c>
      <c r="D612" s="8" t="s">
        <v>1721</v>
      </c>
      <c r="E612" s="9" t="str">
        <f aca="false">HYPERLINK("https://twitter.com/AnointingLawal/status/921735292448489473","921735292448489473")</f>
        <v>921735292448489473</v>
      </c>
      <c r="F612" s="9" t="s">
        <v>979</v>
      </c>
      <c r="G612" s="10" t="n">
        <v>35</v>
      </c>
      <c r="H612" s="10" t="n">
        <v>165</v>
      </c>
      <c r="I612" s="10" t="n">
        <v>0</v>
      </c>
      <c r="J612" s="10" t="n">
        <v>0</v>
      </c>
      <c r="K612" s="10" t="s">
        <v>20</v>
      </c>
      <c r="L612" s="11" t="n">
        <v>42984.7547916667</v>
      </c>
      <c r="M612" s="12" t="s">
        <v>526</v>
      </c>
      <c r="N612" s="12" t="s">
        <v>1722</v>
      </c>
      <c r="O612" s="9" t="str">
        <f aca="false">HYPERLINK("https://pbs.twimg.com/profile_images/907291839874641920/JjBgrCXj_normal.jpg","View")</f>
        <v>View</v>
      </c>
      <c r="P612" s="10"/>
    </row>
    <row r="613" customFormat="false" ht="15.75" hidden="false" customHeight="false" outlineLevel="0" collapsed="false">
      <c r="A613" s="6" t="n">
        <v>43029.2847569444</v>
      </c>
      <c r="B613" s="7" t="str">
        <f aca="false">HYPERLINK("https://twitter.com/AnilKumarKatiy4","@AnilKumarKatiy4")</f>
        <v>@AnilKumarKatiy4</v>
      </c>
      <c r="C613" s="8" t="s">
        <v>1723</v>
      </c>
      <c r="D613" s="8" t="s">
        <v>1693</v>
      </c>
      <c r="E613" s="9" t="str">
        <f aca="false">HYPERLINK("https://twitter.com/AnilKumarKatiy4/status/921735334441902083","921735334441902083")</f>
        <v>921735334441902083</v>
      </c>
      <c r="F613" s="10" t="s">
        <v>25</v>
      </c>
      <c r="G613" s="10" t="n">
        <v>787</v>
      </c>
      <c r="H613" s="10" t="n">
        <v>509</v>
      </c>
      <c r="I613" s="10" t="n">
        <v>6</v>
      </c>
      <c r="J613" s="10" t="n">
        <v>0</v>
      </c>
      <c r="K613" s="10" t="s">
        <v>20</v>
      </c>
      <c r="L613" s="11" t="n">
        <v>42833.3592824074</v>
      </c>
      <c r="M613" s="12" t="s">
        <v>1724</v>
      </c>
      <c r="N613" s="12"/>
      <c r="O613" s="9" t="str">
        <f aca="false">HYPERLINK("https://pbs.twimg.com/profile_images/884401935276789760/ZAtld170_normal.jpg","View")</f>
        <v>View</v>
      </c>
      <c r="P613" s="10"/>
    </row>
    <row r="614" customFormat="false" ht="15.75" hidden="false" customHeight="false" outlineLevel="0" collapsed="false">
      <c r="A614" s="6" t="n">
        <v>43029.2995486111</v>
      </c>
      <c r="B614" s="7" t="str">
        <f aca="false">HYPERLINK("https://twitter.com/mohitvarma007","@mohitvarma007")</f>
        <v>@mohitvarma007</v>
      </c>
      <c r="C614" s="8" t="s">
        <v>1725</v>
      </c>
      <c r="D614" s="8" t="s">
        <v>1726</v>
      </c>
      <c r="E614" s="9" t="str">
        <f aca="false">HYPERLINK("https://twitter.com/mohitvarma007/status/921740693353189377","921740693353189377")</f>
        <v>921740693353189377</v>
      </c>
      <c r="F614" s="10" t="s">
        <v>60</v>
      </c>
      <c r="G614" s="10" t="n">
        <v>798</v>
      </c>
      <c r="H614" s="10" t="n">
        <v>514</v>
      </c>
      <c r="I614" s="10" t="n">
        <v>0</v>
      </c>
      <c r="J614" s="10" t="n">
        <v>0</v>
      </c>
      <c r="K614" s="10" t="s">
        <v>20</v>
      </c>
      <c r="L614" s="11" t="n">
        <v>40234.3227199074</v>
      </c>
      <c r="M614" s="12" t="s">
        <v>87</v>
      </c>
      <c r="N614" s="12" t="s">
        <v>1727</v>
      </c>
      <c r="O614" s="9" t="str">
        <f aca="false">HYPERLINK("https://pbs.twimg.com/profile_images/662823126917472256/V0gQDqJg_normal.jpg","View")</f>
        <v>View</v>
      </c>
      <c r="P614" s="10"/>
    </row>
    <row r="615" customFormat="false" ht="15.75" hidden="false" customHeight="false" outlineLevel="0" collapsed="false">
      <c r="A615" s="6" t="n">
        <v>43029.3015277778</v>
      </c>
      <c r="B615" s="7" t="str">
        <f aca="false">HYPERLINK("https://twitter.com/governn1","@governn1")</f>
        <v>@governn1</v>
      </c>
      <c r="C615" s="8" t="s">
        <v>1728</v>
      </c>
      <c r="D615" s="8" t="s">
        <v>1729</v>
      </c>
      <c r="E615" s="9" t="str">
        <f aca="false">HYPERLINK("https://twitter.com/governn1/status/921741411485175809","921741411485175809")</f>
        <v>921741411485175809</v>
      </c>
      <c r="F615" s="10" t="s">
        <v>55</v>
      </c>
      <c r="G615" s="10" t="n">
        <v>1241</v>
      </c>
      <c r="H615" s="10" t="n">
        <v>1450</v>
      </c>
      <c r="I615" s="10" t="n">
        <v>0</v>
      </c>
      <c r="J615" s="10" t="n">
        <v>0</v>
      </c>
      <c r="K615" s="10" t="s">
        <v>20</v>
      </c>
      <c r="L615" s="11" t="n">
        <v>41569.0128935185</v>
      </c>
      <c r="M615" s="12"/>
      <c r="N615" s="12" t="s">
        <v>1730</v>
      </c>
      <c r="O615" s="9" t="str">
        <f aca="false">HYPERLINK("https://pbs.twimg.com/profile_images/378800000631945254/7212a31c79604adb7b01c21f68c22194_normal.jpeg","View")</f>
        <v>View</v>
      </c>
      <c r="P615" s="10"/>
    </row>
    <row r="616" customFormat="false" ht="15.75" hidden="false" customHeight="false" outlineLevel="0" collapsed="false">
      <c r="A616" s="6" t="n">
        <v>43029.306412037</v>
      </c>
      <c r="B616" s="7" t="str">
        <f aca="false">HYPERLINK("https://twitter.com/Missiya","@Missiya")</f>
        <v>@Missiya</v>
      </c>
      <c r="C616" s="8" t="s">
        <v>1731</v>
      </c>
      <c r="D616" s="8" t="s">
        <v>1732</v>
      </c>
      <c r="E616" s="9" t="str">
        <f aca="false">HYPERLINK("https://twitter.com/Missiya/status/921743183284973568","921743183284973568")</f>
        <v>921743183284973568</v>
      </c>
      <c r="F616" s="10" t="s">
        <v>39</v>
      </c>
      <c r="G616" s="10" t="n">
        <v>2460</v>
      </c>
      <c r="H616" s="10" t="n">
        <v>938</v>
      </c>
      <c r="I616" s="10" t="n">
        <v>0</v>
      </c>
      <c r="J616" s="10" t="n">
        <v>0</v>
      </c>
      <c r="K616" s="10" t="s">
        <v>20</v>
      </c>
      <c r="L616" s="11" t="n">
        <v>40014.2349305556</v>
      </c>
      <c r="M616" s="12" t="s">
        <v>805</v>
      </c>
      <c r="N616" s="12" t="s">
        <v>1733</v>
      </c>
      <c r="O616" s="9" t="str">
        <f aca="false">HYPERLINK("https://pbs.twimg.com/profile_images/802755404778393601/Zh85E46R_normal.jpg","View")</f>
        <v>View</v>
      </c>
      <c r="P616" s="10"/>
    </row>
    <row r="617" customFormat="false" ht="15.75" hidden="false" customHeight="false" outlineLevel="0" collapsed="false">
      <c r="A617" s="6" t="n">
        <v>43029.3068287037</v>
      </c>
      <c r="B617" s="7" t="str">
        <f aca="false">HYPERLINK("https://twitter.com/openn_eu","@openn_eu")</f>
        <v>@openn_eu</v>
      </c>
      <c r="C617" s="8" t="s">
        <v>1688</v>
      </c>
      <c r="D617" s="8" t="s">
        <v>1734</v>
      </c>
      <c r="E617" s="9" t="str">
        <f aca="false">HYPERLINK("https://twitter.com/openn_eu/status/921743333478883328","921743333478883328")</f>
        <v>921743333478883328</v>
      </c>
      <c r="F617" s="10" t="s">
        <v>55</v>
      </c>
      <c r="G617" s="10" t="n">
        <v>1450</v>
      </c>
      <c r="H617" s="10" t="n">
        <v>6</v>
      </c>
      <c r="I617" s="10" t="n">
        <v>0</v>
      </c>
      <c r="J617" s="10" t="n">
        <v>0</v>
      </c>
      <c r="K617" s="10" t="s">
        <v>20</v>
      </c>
      <c r="L617" s="11" t="n">
        <v>41295.3757638889</v>
      </c>
      <c r="M617" s="12" t="s">
        <v>1690</v>
      </c>
      <c r="N617" s="12" t="s">
        <v>1691</v>
      </c>
      <c r="O617" s="9" t="str">
        <f aca="false">HYPERLINK("https://pbs.twimg.com/profile_images/877293562714611713/5N1JC10a_normal.jpg","View")</f>
        <v>View</v>
      </c>
      <c r="P617" s="10"/>
    </row>
    <row r="618" customFormat="false" ht="15.75" hidden="false" customHeight="false" outlineLevel="0" collapsed="false">
      <c r="A618" s="6" t="n">
        <v>43029.3139930556</v>
      </c>
      <c r="B618" s="7" t="str">
        <f aca="false">HYPERLINK("https://twitter.com/actuamericaif","@actuamericaif")</f>
        <v>@actuamericaif</v>
      </c>
      <c r="C618" s="8" t="s">
        <v>1735</v>
      </c>
      <c r="D618" s="8" t="s">
        <v>1736</v>
      </c>
      <c r="E618" s="9" t="str">
        <f aca="false">HYPERLINK("https://twitter.com/actuamericaif/status/921745930684125185","921745930684125185")</f>
        <v>921745930684125185</v>
      </c>
      <c r="F618" s="10" t="s">
        <v>60</v>
      </c>
      <c r="G618" s="10" t="n">
        <v>121</v>
      </c>
      <c r="H618" s="10" t="n">
        <v>0</v>
      </c>
      <c r="I618" s="10" t="n">
        <v>0</v>
      </c>
      <c r="J618" s="10" t="n">
        <v>0</v>
      </c>
      <c r="K618" s="10" t="s">
        <v>20</v>
      </c>
      <c r="L618" s="11" t="n">
        <v>41868.116087963</v>
      </c>
      <c r="M618" s="12"/>
      <c r="N618" s="12" t="s">
        <v>1737</v>
      </c>
      <c r="O618" s="9" t="str">
        <f aca="false">HYPERLINK("https://pbs.twimg.com/profile_images/500943389622534144/uQoUs4ex_normal.jpeg","View")</f>
        <v>View</v>
      </c>
      <c r="P618" s="10"/>
    </row>
    <row r="619" customFormat="false" ht="15.75" hidden="false" customHeight="false" outlineLevel="0" collapsed="false">
      <c r="A619" s="6" t="n">
        <v>43029.3163657407</v>
      </c>
      <c r="B619" s="7" t="str">
        <f aca="false">HYPERLINK("https://twitter.com/worldnews_net","@worldnews_net")</f>
        <v>@worldnews_net</v>
      </c>
      <c r="C619" s="8" t="s">
        <v>1738</v>
      </c>
      <c r="D619" s="8" t="s">
        <v>1739</v>
      </c>
      <c r="E619" s="9" t="str">
        <f aca="false">HYPERLINK("https://twitter.com/worldnews_net/status/921746789023342592","921746789023342592")</f>
        <v>921746789023342592</v>
      </c>
      <c r="F619" s="10" t="s">
        <v>60</v>
      </c>
      <c r="G619" s="10" t="n">
        <v>6454</v>
      </c>
      <c r="H619" s="10" t="n">
        <v>1317</v>
      </c>
      <c r="I619" s="10" t="n">
        <v>0</v>
      </c>
      <c r="J619" s="10" t="n">
        <v>0</v>
      </c>
      <c r="K619" s="10" t="s">
        <v>20</v>
      </c>
      <c r="L619" s="11" t="n">
        <v>42056.080162037</v>
      </c>
      <c r="M619" s="12"/>
      <c r="N619" s="12" t="s">
        <v>1740</v>
      </c>
      <c r="O619" s="9" t="str">
        <f aca="false">HYPERLINK("https://pbs.twimg.com/profile_images/570163852034076672/nbok5qlW_normal.jpeg","View")</f>
        <v>View</v>
      </c>
      <c r="P619" s="10"/>
    </row>
    <row r="620" customFormat="false" ht="15.75" hidden="false" customHeight="false" outlineLevel="0" collapsed="false">
      <c r="A620" s="6" t="n">
        <v>43029.3215972222</v>
      </c>
      <c r="B620" s="7" t="str">
        <f aca="false">HYPERLINK("https://twitter.com/OnlBreakingNews","@OnlBreakingNews")</f>
        <v>@OnlBreakingNews</v>
      </c>
      <c r="C620" s="8" t="s">
        <v>310</v>
      </c>
      <c r="D620" s="8" t="s">
        <v>1741</v>
      </c>
      <c r="E620" s="9" t="str">
        <f aca="false">HYPERLINK("https://twitter.com/OnlBreakingNews/status/921748687184732160","921748687184732160")</f>
        <v>921748687184732160</v>
      </c>
      <c r="F620" s="9" t="s">
        <v>1147</v>
      </c>
      <c r="G620" s="10" t="n">
        <v>483</v>
      </c>
      <c r="H620" s="10" t="n">
        <v>1593</v>
      </c>
      <c r="I620" s="10" t="n">
        <v>0</v>
      </c>
      <c r="J620" s="10" t="n">
        <v>0</v>
      </c>
      <c r="K620" s="10" t="s">
        <v>20</v>
      </c>
      <c r="L620" s="11" t="n">
        <v>42737.9799074074</v>
      </c>
      <c r="M620" s="12" t="s">
        <v>312</v>
      </c>
      <c r="N620" s="12" t="s">
        <v>313</v>
      </c>
      <c r="O620" s="9" t="str">
        <f aca="false">HYPERLINK("https://pbs.twimg.com/profile_images/816193432410591232/Sjz4Kaqf_normal.jpg","View")</f>
        <v>View</v>
      </c>
      <c r="P620" s="10"/>
    </row>
    <row r="621" customFormat="false" ht="15.75" hidden="false" customHeight="false" outlineLevel="0" collapsed="false">
      <c r="A621" s="6" t="n">
        <v>43029.3216319445</v>
      </c>
      <c r="B621" s="7" t="str">
        <f aca="false">HYPERLINK("https://twitter.com/Yumreza","@Yumreza")</f>
        <v>@Yumreza</v>
      </c>
      <c r="C621" s="8" t="s">
        <v>1742</v>
      </c>
      <c r="D621" s="8" t="s">
        <v>1743</v>
      </c>
      <c r="E621" s="9" t="str">
        <f aca="false">HYPERLINK("https://twitter.com/Yumreza/status/921748696705875973","921748696705875973")</f>
        <v>921748696705875973</v>
      </c>
      <c r="F621" s="9" t="s">
        <v>1147</v>
      </c>
      <c r="G621" s="10" t="n">
        <v>780</v>
      </c>
      <c r="H621" s="10" t="n">
        <v>2808</v>
      </c>
      <c r="I621" s="10" t="n">
        <v>0</v>
      </c>
      <c r="J621" s="10" t="n">
        <v>0</v>
      </c>
      <c r="K621" s="10" t="s">
        <v>20</v>
      </c>
      <c r="L621" s="11" t="n">
        <v>40836.2332986111</v>
      </c>
      <c r="M621" s="12" t="s">
        <v>1744</v>
      </c>
      <c r="N621" s="12" t="s">
        <v>1745</v>
      </c>
      <c r="O621" s="9" t="str">
        <f aca="false">HYPERLINK("https://pbs.twimg.com/profile_images/879038697039171584/rPpCOaDE_normal.jpg","View")</f>
        <v>View</v>
      </c>
      <c r="P621" s="10"/>
    </row>
    <row r="622" customFormat="false" ht="15.75" hidden="false" customHeight="false" outlineLevel="0" collapsed="false">
      <c r="A622" s="6" t="n">
        <v>43029.3231134259</v>
      </c>
      <c r="B622" s="7" t="str">
        <f aca="false">HYPERLINK("https://twitter.com/asuka_250","@asuka_250")</f>
        <v>@asuka_250</v>
      </c>
      <c r="C622" s="8" t="s">
        <v>1235</v>
      </c>
      <c r="D622" s="8" t="s">
        <v>1746</v>
      </c>
      <c r="E622" s="9" t="str">
        <f aca="false">HYPERLINK("https://twitter.com/asuka_250/status/921749234675617792","921749234675617792")</f>
        <v>921749234675617792</v>
      </c>
      <c r="F622" s="10" t="s">
        <v>39</v>
      </c>
      <c r="G622" s="10" t="n">
        <v>30709</v>
      </c>
      <c r="H622" s="10" t="n">
        <v>30516</v>
      </c>
      <c r="I622" s="10" t="n">
        <v>8</v>
      </c>
      <c r="J622" s="10" t="n">
        <v>4</v>
      </c>
      <c r="K622" s="10" t="s">
        <v>20</v>
      </c>
      <c r="L622" s="11" t="n">
        <v>41943.1724768519</v>
      </c>
      <c r="M622" s="12" t="s">
        <v>186</v>
      </c>
      <c r="N622" s="12" t="s">
        <v>1236</v>
      </c>
      <c r="O622" s="9" t="str">
        <f aca="false">HYPERLINK("https://pbs.twimg.com/profile_images/576284037486014464/dhYtI1qZ_normal.jpeg","View")</f>
        <v>View</v>
      </c>
      <c r="P622" s="10"/>
    </row>
    <row r="623" customFormat="false" ht="15.75" hidden="false" customHeight="false" outlineLevel="0" collapsed="false">
      <c r="A623" s="6" t="n">
        <v>43029.3232407407</v>
      </c>
      <c r="B623" s="7" t="str">
        <f aca="false">HYPERLINK("https://twitter.com/JOTA_4683","@JOTA_4683")</f>
        <v>@JOTA_4683</v>
      </c>
      <c r="C623" s="14" t="s">
        <v>1747</v>
      </c>
      <c r="D623" s="8" t="s">
        <v>1748</v>
      </c>
      <c r="E623" s="9" t="str">
        <f aca="false">HYPERLINK("https://twitter.com/JOTA_4683/status/921749281186332672","921749281186332672")</f>
        <v>921749281186332672</v>
      </c>
      <c r="F623" s="10" t="s">
        <v>51</v>
      </c>
      <c r="G623" s="10" t="n">
        <v>651</v>
      </c>
      <c r="H623" s="10" t="n">
        <v>554</v>
      </c>
      <c r="I623" s="10" t="n">
        <v>8</v>
      </c>
      <c r="J623" s="10" t="n">
        <v>0</v>
      </c>
      <c r="K623" s="10" t="s">
        <v>20</v>
      </c>
      <c r="L623" s="11" t="n">
        <v>40814.3605787037</v>
      </c>
      <c r="M623" s="12"/>
      <c r="N623" s="12"/>
      <c r="O623" s="9" t="str">
        <f aca="false">HYPERLINK("https://pbs.twimg.com/profile_images/378800000839702070/2bf26f3be0992fd006bcafeab072af4e_normal.jpeg","View")</f>
        <v>View</v>
      </c>
      <c r="P623" s="10"/>
    </row>
    <row r="624" customFormat="false" ht="15.75" hidden="false" customHeight="false" outlineLevel="0" collapsed="false">
      <c r="A624" s="6" t="n">
        <v>43029.3243981482</v>
      </c>
      <c r="B624" s="7" t="str">
        <f aca="false">HYPERLINK("https://twitter.com/WorldNews7777","@WorldNews7777")</f>
        <v>@WorldNews7777</v>
      </c>
      <c r="C624" s="8" t="s">
        <v>1749</v>
      </c>
      <c r="D624" s="8" t="s">
        <v>1750</v>
      </c>
      <c r="E624" s="9" t="str">
        <f aca="false">HYPERLINK("https://twitter.com/WorldNews7777/status/921749698280611840","921749698280611840")</f>
        <v>921749698280611840</v>
      </c>
      <c r="F624" s="10" t="s">
        <v>60</v>
      </c>
      <c r="G624" s="10" t="n">
        <v>6456</v>
      </c>
      <c r="H624" s="10" t="n">
        <v>6318</v>
      </c>
      <c r="I624" s="10" t="n">
        <v>0</v>
      </c>
      <c r="J624" s="10" t="n">
        <v>0</v>
      </c>
      <c r="K624" s="10" t="s">
        <v>20</v>
      </c>
      <c r="L624" s="11" t="n">
        <v>42489.1319444444</v>
      </c>
      <c r="M624" s="12" t="s">
        <v>230</v>
      </c>
      <c r="N624" s="12" t="s">
        <v>1751</v>
      </c>
      <c r="O624" s="9" t="str">
        <f aca="false">HYPERLINK("https://pbs.twimg.com/profile_images/736884749566889984/BtAvBgS4_normal.jpg","View")</f>
        <v>View</v>
      </c>
      <c r="P624" s="10"/>
    </row>
    <row r="625" customFormat="false" ht="15.75" hidden="false" customHeight="false" outlineLevel="0" collapsed="false">
      <c r="A625" s="6" t="n">
        <v>43029.3257638889</v>
      </c>
      <c r="B625" s="7" t="str">
        <f aca="false">HYPERLINK("https://twitter.com/FRANCE24","@FRANCE24")</f>
        <v>@FRANCE24</v>
      </c>
      <c r="C625" s="8" t="s">
        <v>1752</v>
      </c>
      <c r="D625" s="8" t="s">
        <v>1753</v>
      </c>
      <c r="E625" s="9" t="str">
        <f aca="false">HYPERLINK("https://twitter.com/FRANCE24/status/921750197327216640","921750197327216640")</f>
        <v>921750197327216640</v>
      </c>
      <c r="F625" s="9" t="s">
        <v>1147</v>
      </c>
      <c r="G625" s="10" t="n">
        <v>2914404</v>
      </c>
      <c r="H625" s="10" t="n">
        <v>450</v>
      </c>
      <c r="I625" s="10" t="n">
        <v>7</v>
      </c>
      <c r="J625" s="10" t="n">
        <v>14</v>
      </c>
      <c r="K625" s="10" t="s">
        <v>20</v>
      </c>
      <c r="L625" s="11" t="n">
        <v>39164.1116666667</v>
      </c>
      <c r="M625" s="12" t="s">
        <v>1754</v>
      </c>
      <c r="N625" s="12" t="s">
        <v>1755</v>
      </c>
      <c r="O625" s="9" t="str">
        <f aca="false">HYPERLINK("https://pbs.twimg.com/profile_images/875646402247901184/N4GGER3R_normal.jpg","View")</f>
        <v>View</v>
      </c>
      <c r="P625" s="10"/>
    </row>
    <row r="626" customFormat="false" ht="15.75" hidden="false" customHeight="false" outlineLevel="0" collapsed="false">
      <c r="A626" s="6" t="n">
        <v>43029.3258912037</v>
      </c>
      <c r="B626" s="7" t="str">
        <f aca="false">HYPERLINK("https://twitter.com/urutobi","@urutobi")</f>
        <v>@urutobi</v>
      </c>
      <c r="C626" s="14" t="s">
        <v>1756</v>
      </c>
      <c r="D626" s="8" t="s">
        <v>1748</v>
      </c>
      <c r="E626" s="9" t="str">
        <f aca="false">HYPERLINK("https://twitter.com/urutobi/status/921750241988132864","921750241988132864")</f>
        <v>921750241988132864</v>
      </c>
      <c r="F626" s="10" t="s">
        <v>39</v>
      </c>
      <c r="G626" s="10" t="n">
        <v>2131</v>
      </c>
      <c r="H626" s="10" t="n">
        <v>1276</v>
      </c>
      <c r="I626" s="10" t="n">
        <v>8</v>
      </c>
      <c r="J626" s="10" t="n">
        <v>0</v>
      </c>
      <c r="K626" s="10" t="s">
        <v>20</v>
      </c>
      <c r="L626" s="11" t="n">
        <v>39981.7712962963</v>
      </c>
      <c r="M626" s="13" t="s">
        <v>1757</v>
      </c>
      <c r="N626" s="13" t="s">
        <v>1758</v>
      </c>
      <c r="O626" s="9" t="str">
        <f aca="false">HYPERLINK("https://pbs.twimg.com/profile_images/1864131264/f919_normal.jpg","View")</f>
        <v>View</v>
      </c>
      <c r="P626" s="10"/>
    </row>
    <row r="627" customFormat="false" ht="15.75" hidden="false" customHeight="false" outlineLevel="0" collapsed="false">
      <c r="A627" s="6" t="n">
        <v>43029.3259606481</v>
      </c>
      <c r="B627" s="7" t="str">
        <f aca="false">HYPERLINK("https://twitter.com/Allnewsasia","@Allnewsasia")</f>
        <v>@Allnewsasia</v>
      </c>
      <c r="C627" s="8" t="s">
        <v>1759</v>
      </c>
      <c r="D627" s="8" t="s">
        <v>1760</v>
      </c>
      <c r="E627" s="9" t="str">
        <f aca="false">HYPERLINK("https://twitter.com/Allnewsasia/status/921750265375674368","921750265375674368")</f>
        <v>921750265375674368</v>
      </c>
      <c r="F627" s="10" t="s">
        <v>60</v>
      </c>
      <c r="G627" s="10" t="n">
        <v>34883</v>
      </c>
      <c r="H627" s="10" t="n">
        <v>2</v>
      </c>
      <c r="I627" s="10" t="n">
        <v>0</v>
      </c>
      <c r="J627" s="10" t="n">
        <v>1</v>
      </c>
      <c r="K627" s="10" t="s">
        <v>20</v>
      </c>
      <c r="L627" s="11" t="n">
        <v>40575.846087963</v>
      </c>
      <c r="M627" s="12" t="s">
        <v>1761</v>
      </c>
      <c r="N627" s="12" t="s">
        <v>1762</v>
      </c>
      <c r="O627" s="9" t="str">
        <f aca="false">HYPERLINK("https://pbs.twimg.com/profile_images/576605924409802752/He_SuIL8_normal.jpeg","View")</f>
        <v>View</v>
      </c>
      <c r="P627" s="10"/>
    </row>
    <row r="628" customFormat="false" ht="15.75" hidden="false" customHeight="false" outlineLevel="0" collapsed="false">
      <c r="A628" s="6" t="n">
        <v>43029.3259953704</v>
      </c>
      <c r="B628" s="7" t="str">
        <f aca="false">HYPERLINK("https://twitter.com/Di_AngeloT","@Di_AngeloT")</f>
        <v>@Di_AngeloT</v>
      </c>
      <c r="C628" s="8" t="s">
        <v>1763</v>
      </c>
      <c r="D628" s="8" t="s">
        <v>1764</v>
      </c>
      <c r="E628" s="9" t="str">
        <f aca="false">HYPERLINK("https://twitter.com/Di_AngeloT/status/921750279070109698","921750279070109698")</f>
        <v>921750279070109698</v>
      </c>
      <c r="F628" s="10" t="s">
        <v>25</v>
      </c>
      <c r="G628" s="10" t="n">
        <v>583</v>
      </c>
      <c r="H628" s="10" t="n">
        <v>838</v>
      </c>
      <c r="I628" s="10" t="n">
        <v>7</v>
      </c>
      <c r="J628" s="10" t="n">
        <v>0</v>
      </c>
      <c r="K628" s="10" t="s">
        <v>20</v>
      </c>
      <c r="L628" s="11" t="n">
        <v>42522.6851967593</v>
      </c>
      <c r="M628" s="12" t="s">
        <v>1765</v>
      </c>
      <c r="N628" s="12" t="s">
        <v>1766</v>
      </c>
      <c r="O628" s="9" t="str">
        <f aca="false">HYPERLINK("https://pbs.twimg.com/profile_images/738212279863283712/mN3hZGbN_normal.jpg","View")</f>
        <v>View</v>
      </c>
      <c r="P628" s="10"/>
    </row>
    <row r="629" customFormat="false" ht="15.75" hidden="false" customHeight="false" outlineLevel="0" collapsed="false">
      <c r="A629" s="6" t="n">
        <v>43029.3266087963</v>
      </c>
      <c r="B629" s="7" t="str">
        <f aca="false">HYPERLINK("https://twitter.com/weekendround","@weekendround")</f>
        <v>@weekendround</v>
      </c>
      <c r="C629" s="8" t="s">
        <v>1767</v>
      </c>
      <c r="D629" s="8" t="s">
        <v>1768</v>
      </c>
      <c r="E629" s="9" t="str">
        <f aca="false">HYPERLINK("https://twitter.com/weekendround/status/921750500403568641","921750500403568641")</f>
        <v>921750500403568641</v>
      </c>
      <c r="F629" s="10" t="s">
        <v>60</v>
      </c>
      <c r="G629" s="10" t="n">
        <v>6540</v>
      </c>
      <c r="H629" s="10" t="n">
        <v>6078</v>
      </c>
      <c r="I629" s="10" t="n">
        <v>0</v>
      </c>
      <c r="J629" s="10" t="n">
        <v>0</v>
      </c>
      <c r="K629" s="10" t="s">
        <v>20</v>
      </c>
      <c r="L629" s="11" t="n">
        <v>41593.6301041667</v>
      </c>
      <c r="M629" s="12"/>
      <c r="N629" s="12" t="s">
        <v>1769</v>
      </c>
      <c r="O629" s="9" t="str">
        <f aca="false">HYPERLINK("https://pbs.twimg.com/profile_images/378800000744715106/86856bd4709b9effd110ed695c905efc_normal.jpeg","View")</f>
        <v>View</v>
      </c>
      <c r="P629" s="10"/>
    </row>
    <row r="630" customFormat="false" ht="15.75" hidden="false" customHeight="false" outlineLevel="0" collapsed="false">
      <c r="A630" s="6" t="n">
        <v>43029.3269560185</v>
      </c>
      <c r="B630" s="7" t="str">
        <f aca="false">HYPERLINK("https://twitter.com/EuroBurgher","@EuroBurgher")</f>
        <v>@EuroBurgher</v>
      </c>
      <c r="C630" s="8" t="s">
        <v>1770</v>
      </c>
      <c r="D630" s="8" t="s">
        <v>1764</v>
      </c>
      <c r="E630" s="9" t="str">
        <f aca="false">HYPERLINK("https://twitter.com/EuroBurgher/status/921750627075715073","921750627075715073")</f>
        <v>921750627075715073</v>
      </c>
      <c r="F630" s="10" t="s">
        <v>51</v>
      </c>
      <c r="G630" s="10" t="n">
        <v>433</v>
      </c>
      <c r="H630" s="10" t="n">
        <v>847</v>
      </c>
      <c r="I630" s="10" t="n">
        <v>7</v>
      </c>
      <c r="J630" s="10" t="n">
        <v>0</v>
      </c>
      <c r="K630" s="10" t="s">
        <v>20</v>
      </c>
      <c r="L630" s="11" t="n">
        <v>40764.6356828704</v>
      </c>
      <c r="M630" s="12"/>
      <c r="N630" s="12" t="s">
        <v>1771</v>
      </c>
      <c r="O630" s="9" t="str">
        <f aca="false">HYPERLINK("https://pbs.twimg.com/profile_images/891586965681958912/1eUanEoH_normal.jpg","View")</f>
        <v>View</v>
      </c>
      <c r="P630" s="10"/>
    </row>
    <row r="631" customFormat="false" ht="15.75" hidden="false" customHeight="false" outlineLevel="0" collapsed="false">
      <c r="A631" s="6" t="n">
        <v>43029.3277777778</v>
      </c>
      <c r="B631" s="7" t="str">
        <f aca="false">HYPERLINK("https://twitter.com/IamNombewu","@IamNombewu")</f>
        <v>@IamNombewu</v>
      </c>
      <c r="C631" s="8" t="s">
        <v>1772</v>
      </c>
      <c r="D631" s="8" t="s">
        <v>1764</v>
      </c>
      <c r="E631" s="9" t="str">
        <f aca="false">HYPERLINK("https://twitter.com/IamNombewu/status/921750926200893440","921750926200893440")</f>
        <v>921750926200893440</v>
      </c>
      <c r="F631" s="10" t="s">
        <v>1773</v>
      </c>
      <c r="G631" s="10" t="n">
        <v>661</v>
      </c>
      <c r="H631" s="10" t="n">
        <v>379</v>
      </c>
      <c r="I631" s="10" t="n">
        <v>7</v>
      </c>
      <c r="J631" s="10" t="n">
        <v>0</v>
      </c>
      <c r="K631" s="10" t="s">
        <v>20</v>
      </c>
      <c r="L631" s="11" t="n">
        <v>41164.3708680556</v>
      </c>
      <c r="M631" s="12" t="s">
        <v>1774</v>
      </c>
      <c r="N631" s="12" t="s">
        <v>1775</v>
      </c>
      <c r="O631" s="9" t="str">
        <f aca="false">HYPERLINK("https://pbs.twimg.com/profile_images/779507478908301312/hIN1gFzr_normal.jpg","View")</f>
        <v>View</v>
      </c>
      <c r="P631" s="10"/>
    </row>
    <row r="632" customFormat="false" ht="15.75" hidden="false" customHeight="false" outlineLevel="0" collapsed="false">
      <c r="A632" s="6" t="n">
        <v>43029.3281944445</v>
      </c>
      <c r="B632" s="7" t="str">
        <f aca="false">HYPERLINK("https://twitter.com/minamaya13","@minamaya13")</f>
        <v>@minamaya13</v>
      </c>
      <c r="C632" s="8" t="s">
        <v>1776</v>
      </c>
      <c r="D632" s="8" t="s">
        <v>1777</v>
      </c>
      <c r="E632" s="9" t="str">
        <f aca="false">HYPERLINK("https://twitter.com/minamaya13/status/921751076570914816","921751076570914816")</f>
        <v>921751076570914816</v>
      </c>
      <c r="F632" s="10" t="s">
        <v>39</v>
      </c>
      <c r="G632" s="10" t="n">
        <v>62111</v>
      </c>
      <c r="H632" s="10" t="n">
        <v>60504</v>
      </c>
      <c r="I632" s="10" t="n">
        <v>0</v>
      </c>
      <c r="J632" s="10" t="n">
        <v>0</v>
      </c>
      <c r="K632" s="10" t="s">
        <v>20</v>
      </c>
      <c r="L632" s="11" t="n">
        <v>40000.1946064815</v>
      </c>
      <c r="M632" s="12" t="s">
        <v>1778</v>
      </c>
      <c r="N632" s="12" t="s">
        <v>1779</v>
      </c>
      <c r="O632" s="9" t="str">
        <f aca="false">HYPERLINK("https://pbs.twimg.com/profile_images/536530736723922945/y5wnsrLH_normal.png","View")</f>
        <v>View</v>
      </c>
      <c r="P632" s="10"/>
    </row>
    <row r="633" customFormat="false" ht="15.75" hidden="false" customHeight="false" outlineLevel="0" collapsed="false">
      <c r="A633" s="6" t="n">
        <v>43029.3286226852</v>
      </c>
      <c r="B633" s="7" t="str">
        <f aca="false">HYPERLINK("https://twitter.com/tweetnews_net","@tweetnews_net")</f>
        <v>@tweetnews_net</v>
      </c>
      <c r="C633" s="8" t="s">
        <v>1780</v>
      </c>
      <c r="D633" s="8" t="s">
        <v>1764</v>
      </c>
      <c r="E633" s="9" t="str">
        <f aca="false">HYPERLINK("https://twitter.com/tweetnews_net/status/921751230296109058","921751230296109058")</f>
        <v>921751230296109058</v>
      </c>
      <c r="F633" s="10" t="s">
        <v>25</v>
      </c>
      <c r="G633" s="10" t="n">
        <v>391</v>
      </c>
      <c r="H633" s="10" t="n">
        <v>2062</v>
      </c>
      <c r="I633" s="10" t="n">
        <v>7</v>
      </c>
      <c r="J633" s="10" t="n">
        <v>0</v>
      </c>
      <c r="K633" s="10" t="s">
        <v>20</v>
      </c>
      <c r="L633" s="11" t="n">
        <v>42010.0810532407</v>
      </c>
      <c r="M633" s="12" t="s">
        <v>1781</v>
      </c>
      <c r="N633" s="12" t="s">
        <v>1782</v>
      </c>
      <c r="O633" s="9" t="str">
        <f aca="false">HYPERLINK("https://pbs.twimg.com/profile_images/890526445440647170/x_547D33_normal.jpg","View")</f>
        <v>View</v>
      </c>
      <c r="P633" s="10"/>
    </row>
    <row r="634" customFormat="false" ht="15.75" hidden="false" customHeight="false" outlineLevel="0" collapsed="false">
      <c r="A634" s="6" t="n">
        <v>43029.3301273148</v>
      </c>
      <c r="B634" s="7" t="str">
        <f aca="false">HYPERLINK("https://twitter.com/abosife2010","@abosife2010")</f>
        <v>@abosife2010</v>
      </c>
      <c r="C634" s="8" t="s">
        <v>1783</v>
      </c>
      <c r="D634" s="8" t="s">
        <v>1764</v>
      </c>
      <c r="E634" s="9" t="str">
        <f aca="false">HYPERLINK("https://twitter.com/abosife2010/status/921751775719362560","921751775719362560")</f>
        <v>921751775719362560</v>
      </c>
      <c r="F634" s="10" t="s">
        <v>98</v>
      </c>
      <c r="G634" s="10" t="n">
        <v>1164</v>
      </c>
      <c r="H634" s="10" t="n">
        <v>3105</v>
      </c>
      <c r="I634" s="10" t="n">
        <v>7</v>
      </c>
      <c r="J634" s="10" t="n">
        <v>0</v>
      </c>
      <c r="K634" s="10" t="s">
        <v>20</v>
      </c>
      <c r="L634" s="11" t="n">
        <v>40712.519224537</v>
      </c>
      <c r="M634" s="12" t="s">
        <v>1784</v>
      </c>
      <c r="N634" s="12" t="s">
        <v>1785</v>
      </c>
      <c r="O634" s="9" t="str">
        <f aca="false">HYPERLINK("https://pbs.twimg.com/profile_images/869146010953682944/tD96CxJ8_normal.jpg","View")</f>
        <v>View</v>
      </c>
      <c r="P634" s="10"/>
    </row>
    <row r="635" customFormat="false" ht="15.75" hidden="false" customHeight="false" outlineLevel="0" collapsed="false">
      <c r="A635" s="6" t="n">
        <v>43029.3304398148</v>
      </c>
      <c r="B635" s="7" t="str">
        <f aca="false">HYPERLINK("https://twitter.com/toshi_python893","@toshi_python893")</f>
        <v>@toshi_python893</v>
      </c>
      <c r="C635" s="14" t="s">
        <v>1786</v>
      </c>
      <c r="D635" s="8" t="s">
        <v>1748</v>
      </c>
      <c r="E635" s="9" t="str">
        <f aca="false">HYPERLINK("https://twitter.com/toshi_python893/status/921751891767312385","921751891767312385")</f>
        <v>921751891767312385</v>
      </c>
      <c r="F635" s="10" t="s">
        <v>51</v>
      </c>
      <c r="G635" s="10" t="n">
        <v>1945</v>
      </c>
      <c r="H635" s="10" t="n">
        <v>2455</v>
      </c>
      <c r="I635" s="10" t="n">
        <v>8</v>
      </c>
      <c r="J635" s="10" t="n">
        <v>0</v>
      </c>
      <c r="K635" s="10" t="s">
        <v>20</v>
      </c>
      <c r="L635" s="11" t="n">
        <v>40671.3209259259</v>
      </c>
      <c r="M635" s="12"/>
      <c r="N635" s="13" t="s">
        <v>1787</v>
      </c>
      <c r="O635" s="9" t="str">
        <f aca="false">HYPERLINK("https://pbs.twimg.com/profile_images/531234761558065152/lD-jyGs9_normal.jpeg","View")</f>
        <v>View</v>
      </c>
      <c r="P635" s="10"/>
    </row>
    <row r="636" customFormat="false" ht="15.75" hidden="false" customHeight="false" outlineLevel="0" collapsed="false">
      <c r="A636" s="6" t="n">
        <v>43029.3317013889</v>
      </c>
      <c r="B636" s="7" t="str">
        <f aca="false">HYPERLINK("https://twitter.com/marvellous997","@marvellous997")</f>
        <v>@marvellous997</v>
      </c>
      <c r="C636" s="8" t="s">
        <v>1788</v>
      </c>
      <c r="D636" s="8" t="s">
        <v>1789</v>
      </c>
      <c r="E636" s="9" t="str">
        <f aca="false">HYPERLINK("https://twitter.com/marvellous997/status/921752346379669504","921752346379669504")</f>
        <v>921752346379669504</v>
      </c>
      <c r="F636" s="10" t="s">
        <v>55</v>
      </c>
      <c r="G636" s="10" t="n">
        <v>792</v>
      </c>
      <c r="H636" s="10" t="n">
        <v>59</v>
      </c>
      <c r="I636" s="10" t="n">
        <v>0</v>
      </c>
      <c r="J636" s="10" t="n">
        <v>0</v>
      </c>
      <c r="K636" s="10" t="s">
        <v>20</v>
      </c>
      <c r="L636" s="11" t="n">
        <v>41334.1588078704</v>
      </c>
      <c r="M636" s="12" t="s">
        <v>1790</v>
      </c>
      <c r="N636" s="12" t="s">
        <v>1791</v>
      </c>
      <c r="O636" s="9" t="str">
        <f aca="false">HYPERLINK("https://pbs.twimg.com/profile_images/765082261150720000/AKwZsJGh_normal.jpg","View")</f>
        <v>View</v>
      </c>
      <c r="P636" s="10"/>
    </row>
    <row r="637" customFormat="false" ht="15.75" hidden="false" customHeight="false" outlineLevel="0" collapsed="false">
      <c r="A637" s="6" t="n">
        <v>43029.3337152778</v>
      </c>
      <c r="B637" s="7" t="str">
        <f aca="false">HYPERLINK("https://twitter.com/ZyiteGadgets","@ZyiteGadgets")</f>
        <v>@ZyiteGadgets</v>
      </c>
      <c r="C637" s="8" t="s">
        <v>171</v>
      </c>
      <c r="D637" s="8" t="s">
        <v>1792</v>
      </c>
      <c r="E637" s="9" t="str">
        <f aca="false">HYPERLINK("https://twitter.com/ZyiteGadgets/status/921753077836845056","921753077836845056")</f>
        <v>921753077836845056</v>
      </c>
      <c r="F637" s="10" t="s">
        <v>110</v>
      </c>
      <c r="G637" s="10" t="n">
        <v>3542</v>
      </c>
      <c r="H637" s="10" t="n">
        <v>4844</v>
      </c>
      <c r="I637" s="10" t="n">
        <v>0</v>
      </c>
      <c r="J637" s="10" t="n">
        <v>0</v>
      </c>
      <c r="K637" s="10" t="s">
        <v>20</v>
      </c>
      <c r="L637" s="11" t="n">
        <v>41470.6147800926</v>
      </c>
      <c r="M637" s="15" t="s">
        <v>173</v>
      </c>
      <c r="N637" s="12" t="s">
        <v>174</v>
      </c>
      <c r="O637" s="9" t="str">
        <f aca="false">HYPERLINK("https://pbs.twimg.com/profile_images/487701633489313793/pIxJHFt5_normal.jpeg","View")</f>
        <v>View</v>
      </c>
      <c r="P637" s="10"/>
    </row>
    <row r="638" customFormat="false" ht="15.75" hidden="false" customHeight="false" outlineLevel="0" collapsed="false">
      <c r="A638" s="6" t="n">
        <v>43029.3344791667</v>
      </c>
      <c r="B638" s="7" t="str">
        <f aca="false">HYPERLINK("https://twitter.com/globnewsen","@globnewsen")</f>
        <v>@globnewsen</v>
      </c>
      <c r="C638" s="8" t="s">
        <v>1793</v>
      </c>
      <c r="D638" s="8" t="s">
        <v>1794</v>
      </c>
      <c r="E638" s="9" t="str">
        <f aca="false">HYPERLINK("https://twitter.com/globnewsen/status/921753355126484993","921753355126484993")</f>
        <v>921753355126484993</v>
      </c>
      <c r="F638" s="10" t="s">
        <v>60</v>
      </c>
      <c r="G638" s="10" t="n">
        <v>538</v>
      </c>
      <c r="H638" s="10" t="n">
        <v>0</v>
      </c>
      <c r="I638" s="10" t="n">
        <v>0</v>
      </c>
      <c r="J638" s="10" t="n">
        <v>0</v>
      </c>
      <c r="K638" s="10" t="s">
        <v>20</v>
      </c>
      <c r="L638" s="11" t="n">
        <v>41790.5255902778</v>
      </c>
      <c r="M638" s="12"/>
      <c r="N638" s="12"/>
      <c r="O638" s="9" t="str">
        <f aca="false">HYPERLINK("https://abs.twimg.com/sticky/default_profile_images/default_profile_normal.png","View")</f>
        <v>View</v>
      </c>
      <c r="P638" s="10"/>
    </row>
    <row r="639" customFormat="false" ht="15.75" hidden="false" customHeight="false" outlineLevel="0" collapsed="false">
      <c r="A639" s="6" t="n">
        <v>43029.3359722222</v>
      </c>
      <c r="B639" s="7" t="str">
        <f aca="false">HYPERLINK("https://twitter.com/gissele05","@gissele05")</f>
        <v>@gissele05</v>
      </c>
      <c r="C639" s="14" t="s">
        <v>1795</v>
      </c>
      <c r="D639" s="8" t="s">
        <v>1748</v>
      </c>
      <c r="E639" s="9" t="str">
        <f aca="false">HYPERLINK("https://twitter.com/gissele05/status/921753894727778306","921753894727778306")</f>
        <v>921753894727778306</v>
      </c>
      <c r="F639" s="10" t="s">
        <v>25</v>
      </c>
      <c r="G639" s="10" t="n">
        <v>210</v>
      </c>
      <c r="H639" s="10" t="n">
        <v>964</v>
      </c>
      <c r="I639" s="10" t="n">
        <v>8</v>
      </c>
      <c r="J639" s="10" t="n">
        <v>0</v>
      </c>
      <c r="K639" s="10" t="s">
        <v>20</v>
      </c>
      <c r="L639" s="11" t="n">
        <v>40304.2874305556</v>
      </c>
      <c r="M639" s="13" t="s">
        <v>1796</v>
      </c>
      <c r="N639" s="12" t="s">
        <v>1797</v>
      </c>
      <c r="O639" s="9" t="str">
        <f aca="false">HYPERLINK("https://pbs.twimg.com/profile_images/604765040789438464/MHLgyDbG_normal.jpg","View")</f>
        <v>View</v>
      </c>
      <c r="P639" s="10"/>
    </row>
    <row r="640" customFormat="false" ht="15.75" hidden="false" customHeight="false" outlineLevel="0" collapsed="false">
      <c r="A640" s="6" t="n">
        <v>43029.3377083333</v>
      </c>
      <c r="B640" s="7" t="str">
        <f aca="false">HYPERLINK("https://twitter.com/JuergenSauerwa2","@JuergenSauerwa2")</f>
        <v>@JuergenSauerwa2</v>
      </c>
      <c r="C640" s="8" t="s">
        <v>1798</v>
      </c>
      <c r="D640" s="8" t="s">
        <v>1799</v>
      </c>
      <c r="E640" s="9" t="str">
        <f aca="false">HYPERLINK("https://twitter.com/JuergenSauerwa2/status/921754523785449472","921754523785449472")</f>
        <v>921754523785449472</v>
      </c>
      <c r="F640" s="10" t="s">
        <v>47</v>
      </c>
      <c r="G640" s="10" t="n">
        <v>1935</v>
      </c>
      <c r="H640" s="10" t="n">
        <v>2458</v>
      </c>
      <c r="I640" s="10" t="n">
        <v>0</v>
      </c>
      <c r="J640" s="10" t="n">
        <v>0</v>
      </c>
      <c r="K640" s="10" t="s">
        <v>20</v>
      </c>
      <c r="L640" s="11" t="n">
        <v>42391.6409953704</v>
      </c>
      <c r="M640" s="12" t="s">
        <v>1800</v>
      </c>
      <c r="N640" s="12" t="s">
        <v>1801</v>
      </c>
      <c r="O640" s="9" t="str">
        <f aca="false">HYPERLINK("https://pbs.twimg.com/profile_images/846692189866483712/wF8Y2zkr_normal.jpg","View")</f>
        <v>View</v>
      </c>
      <c r="P640" s="10"/>
    </row>
    <row r="641" customFormat="false" ht="15.75" hidden="false" customHeight="false" outlineLevel="0" collapsed="false">
      <c r="A641" s="6" t="n">
        <v>43029.3380787037</v>
      </c>
      <c r="B641" s="7" t="str">
        <f aca="false">HYPERLINK("https://twitter.com/JuergenSauerwa2","@JuergenSauerwa2")</f>
        <v>@JuergenSauerwa2</v>
      </c>
      <c r="C641" s="8" t="s">
        <v>1798</v>
      </c>
      <c r="D641" s="8" t="s">
        <v>1802</v>
      </c>
      <c r="E641" s="9" t="str">
        <f aca="false">HYPERLINK("https://twitter.com/JuergenSauerwa2/status/921754656388403200","921754656388403200")</f>
        <v>921754656388403200</v>
      </c>
      <c r="F641" s="10" t="s">
        <v>1658</v>
      </c>
      <c r="G641" s="10" t="n">
        <v>1935</v>
      </c>
      <c r="H641" s="10" t="n">
        <v>2458</v>
      </c>
      <c r="I641" s="10" t="n">
        <v>0</v>
      </c>
      <c r="J641" s="10" t="n">
        <v>0</v>
      </c>
      <c r="K641" s="10" t="s">
        <v>20</v>
      </c>
      <c r="L641" s="11" t="n">
        <v>42391.6409953704</v>
      </c>
      <c r="M641" s="12" t="s">
        <v>1800</v>
      </c>
      <c r="N641" s="12" t="s">
        <v>1801</v>
      </c>
      <c r="O641" s="9" t="str">
        <f aca="false">HYPERLINK("https://pbs.twimg.com/profile_images/846692189866483712/wF8Y2zkr_normal.jpg","View")</f>
        <v>View</v>
      </c>
      <c r="P641" s="10"/>
    </row>
    <row r="642" customFormat="false" ht="15.75" hidden="false" customHeight="false" outlineLevel="0" collapsed="false">
      <c r="A642" s="6" t="n">
        <v>43029.3390509259</v>
      </c>
      <c r="B642" s="7" t="str">
        <f aca="false">HYPERLINK("https://twitter.com/CollectedN","@CollectedN")</f>
        <v>@CollectedN</v>
      </c>
      <c r="C642" s="8" t="s">
        <v>1803</v>
      </c>
      <c r="D642" s="8" t="s">
        <v>1804</v>
      </c>
      <c r="E642" s="9" t="str">
        <f aca="false">HYPERLINK("https://twitter.com/CollectedN/status/921755011754885121","921755011754885121")</f>
        <v>921755011754885121</v>
      </c>
      <c r="F642" s="10" t="s">
        <v>60</v>
      </c>
      <c r="G642" s="10" t="n">
        <v>21998</v>
      </c>
      <c r="H642" s="10" t="n">
        <v>16536</v>
      </c>
      <c r="I642" s="10" t="n">
        <v>0</v>
      </c>
      <c r="J642" s="10" t="n">
        <v>0</v>
      </c>
      <c r="K642" s="10" t="s">
        <v>20</v>
      </c>
      <c r="L642" s="11" t="n">
        <v>41333.7684027778</v>
      </c>
      <c r="M642" s="12"/>
      <c r="N642" s="12" t="s">
        <v>1805</v>
      </c>
      <c r="O642" s="9" t="str">
        <f aca="false">HYPERLINK("https://pbs.twimg.com/profile_images/705925817277108224/nGS1Ko7F_normal.jpg","View")</f>
        <v>View</v>
      </c>
      <c r="P642" s="10"/>
    </row>
    <row r="643" customFormat="false" ht="15.75" hidden="false" customHeight="false" outlineLevel="0" collapsed="false">
      <c r="A643" s="6" t="n">
        <v>43029.3394675926</v>
      </c>
      <c r="B643" s="7" t="str">
        <f aca="false">HYPERLINK("https://twitter.com/glamama","@glamama")</f>
        <v>@glamama</v>
      </c>
      <c r="C643" s="8" t="s">
        <v>1806</v>
      </c>
      <c r="D643" s="8" t="s">
        <v>1764</v>
      </c>
      <c r="E643" s="9" t="str">
        <f aca="false">HYPERLINK("https://twitter.com/glamama/status/921755159352500225","921755159352500225")</f>
        <v>921755159352500225</v>
      </c>
      <c r="F643" s="10" t="s">
        <v>98</v>
      </c>
      <c r="G643" s="10" t="n">
        <v>2498</v>
      </c>
      <c r="H643" s="10" t="n">
        <v>2452</v>
      </c>
      <c r="I643" s="10" t="n">
        <v>7</v>
      </c>
      <c r="J643" s="10" t="n">
        <v>0</v>
      </c>
      <c r="K643" s="10" t="s">
        <v>20</v>
      </c>
      <c r="L643" s="11" t="n">
        <v>39990.6080324074</v>
      </c>
      <c r="M643" s="12" t="s">
        <v>1807</v>
      </c>
      <c r="N643" s="12" t="s">
        <v>1808</v>
      </c>
      <c r="O643" s="9" t="str">
        <f aca="false">HYPERLINK("https://pbs.twimg.com/profile_images/705405880586481665/quydO2yl_normal.jpg","View")</f>
        <v>View</v>
      </c>
      <c r="P643" s="10"/>
    </row>
    <row r="644" customFormat="false" ht="15.75" hidden="false" customHeight="false" outlineLevel="0" collapsed="false">
      <c r="A644" s="6" t="n">
        <v>43029.3396990741</v>
      </c>
      <c r="B644" s="7" t="str">
        <f aca="false">HYPERLINK("https://twitter.com/France24_en","@France24_en")</f>
        <v>@France24_en</v>
      </c>
      <c r="C644" s="8" t="s">
        <v>1809</v>
      </c>
      <c r="D644" s="8" t="s">
        <v>1810</v>
      </c>
      <c r="E644" s="9" t="str">
        <f aca="false">HYPERLINK("https://twitter.com/France24_en/status/921755245587324928","921755245587324928")</f>
        <v>921755245587324928</v>
      </c>
      <c r="F644" s="9" t="s">
        <v>1147</v>
      </c>
      <c r="G644" s="10" t="n">
        <v>179968</v>
      </c>
      <c r="H644" s="10" t="n">
        <v>1196</v>
      </c>
      <c r="I644" s="10" t="n">
        <v>12</v>
      </c>
      <c r="J644" s="10" t="n">
        <v>6</v>
      </c>
      <c r="K644" s="10" t="s">
        <v>20</v>
      </c>
      <c r="L644" s="11" t="n">
        <v>39890.0992361111</v>
      </c>
      <c r="M644" s="12" t="s">
        <v>1754</v>
      </c>
      <c r="N644" s="12" t="s">
        <v>1811</v>
      </c>
      <c r="O644" s="9" t="str">
        <f aca="false">HYPERLINK("https://pbs.twimg.com/profile_images/875653339530182656/LJAMkNY5_normal.jpg","View")</f>
        <v>View</v>
      </c>
      <c r="P644" s="10"/>
    </row>
    <row r="645" customFormat="false" ht="15.75" hidden="false" customHeight="false" outlineLevel="0" collapsed="false">
      <c r="A645" s="6" t="n">
        <v>43029.3398726852</v>
      </c>
      <c r="B645" s="7" t="str">
        <f aca="false">HYPERLINK("https://twitter.com/AlverezAmanda","@AlverezAmanda")</f>
        <v>@AlverezAmanda</v>
      </c>
      <c r="C645" s="8" t="s">
        <v>1812</v>
      </c>
      <c r="D645" s="8" t="s">
        <v>1813</v>
      </c>
      <c r="E645" s="9" t="str">
        <f aca="false">HYPERLINK("https://twitter.com/AlverezAmanda/status/921755308078260225","921755308078260225")</f>
        <v>921755308078260225</v>
      </c>
      <c r="F645" s="10" t="s">
        <v>39</v>
      </c>
      <c r="G645" s="10" t="n">
        <v>15158</v>
      </c>
      <c r="H645" s="10" t="n">
        <v>14022</v>
      </c>
      <c r="I645" s="10" t="n">
        <v>0</v>
      </c>
      <c r="J645" s="10" t="n">
        <v>1</v>
      </c>
      <c r="K645" s="10" t="s">
        <v>20</v>
      </c>
      <c r="L645" s="11" t="n">
        <v>41584.6166550926</v>
      </c>
      <c r="M645" s="12" t="s">
        <v>1814</v>
      </c>
      <c r="N645" s="12" t="s">
        <v>1815</v>
      </c>
      <c r="O645" s="9" t="str">
        <f aca="false">HYPERLINK("https://pbs.twimg.com/profile_images/666372510514999296/7c8qH9D-_normal.png","View")</f>
        <v>View</v>
      </c>
      <c r="P645" s="10"/>
    </row>
    <row r="646" customFormat="false" ht="15.75" hidden="false" customHeight="false" outlineLevel="0" collapsed="false">
      <c r="A646" s="6" t="n">
        <v>43029.3405092593</v>
      </c>
      <c r="B646" s="7" t="str">
        <f aca="false">HYPERLINK("https://twitter.com/NarrendraM","@NarrendraM")</f>
        <v>@NarrendraM</v>
      </c>
      <c r="C646" s="8" t="s">
        <v>468</v>
      </c>
      <c r="D646" s="8" t="s">
        <v>1816</v>
      </c>
      <c r="E646" s="9" t="str">
        <f aca="false">HYPERLINK("https://twitter.com/NarrendraM/status/921755539943706624","921755539943706624")</f>
        <v>921755539943706624</v>
      </c>
      <c r="F646" s="10" t="s">
        <v>60</v>
      </c>
      <c r="G646" s="10" t="n">
        <v>1999</v>
      </c>
      <c r="H646" s="10" t="n">
        <v>252</v>
      </c>
      <c r="I646" s="10" t="n">
        <v>0</v>
      </c>
      <c r="J646" s="10" t="n">
        <v>0</v>
      </c>
      <c r="K646" s="10" t="s">
        <v>20</v>
      </c>
      <c r="L646" s="11" t="n">
        <v>42471.0737037037</v>
      </c>
      <c r="M646" s="12" t="s">
        <v>253</v>
      </c>
      <c r="N646" s="12" t="s">
        <v>470</v>
      </c>
      <c r="O646" s="9" t="str">
        <f aca="false">HYPERLINK("https://pbs.twimg.com/profile_images/743939643738034176/WkGloI0u_normal.jpg","View")</f>
        <v>View</v>
      </c>
      <c r="P646" s="10"/>
    </row>
    <row r="647" customFormat="false" ht="15.75" hidden="false" customHeight="false" outlineLevel="0" collapsed="false">
      <c r="A647" s="6" t="n">
        <v>43029.3407291667</v>
      </c>
      <c r="B647" s="7" t="str">
        <f aca="false">HYPERLINK("https://twitter.com/KURONOZ","@KURONOZ")</f>
        <v>@KURONOZ</v>
      </c>
      <c r="C647" s="8" t="s">
        <v>1817</v>
      </c>
      <c r="D647" s="8" t="s">
        <v>1818</v>
      </c>
      <c r="E647" s="9" t="str">
        <f aca="false">HYPERLINK("https://twitter.com/KURONOZ/status/921755617752096768","921755617752096768")</f>
        <v>921755617752096768</v>
      </c>
      <c r="F647" s="10" t="s">
        <v>25</v>
      </c>
      <c r="G647" s="10" t="n">
        <v>630</v>
      </c>
      <c r="H647" s="10" t="n">
        <v>732</v>
      </c>
      <c r="I647" s="10" t="n">
        <v>12</v>
      </c>
      <c r="J647" s="10" t="n">
        <v>0</v>
      </c>
      <c r="K647" s="10" t="s">
        <v>20</v>
      </c>
      <c r="L647" s="11" t="n">
        <v>40237.2611805556</v>
      </c>
      <c r="M647" s="12"/>
      <c r="N647" s="12"/>
      <c r="O647" s="9" t="str">
        <f aca="false">HYPERLINK("https://pbs.twimg.com/profile_images/723501739/hpattachfile5_normal.jpg","View")</f>
        <v>View</v>
      </c>
      <c r="P647" s="10"/>
    </row>
    <row r="648" customFormat="false" ht="15.75" hidden="false" customHeight="false" outlineLevel="0" collapsed="false">
      <c r="A648" s="6" t="n">
        <v>43029.3408564815</v>
      </c>
      <c r="B648" s="7" t="str">
        <f aca="false">HYPERLINK("https://twitter.com/18_0152_u","@18_0152_u")</f>
        <v>@18_0152_u</v>
      </c>
      <c r="C648" s="8" t="s">
        <v>1819</v>
      </c>
      <c r="D648" s="8" t="s">
        <v>1818</v>
      </c>
      <c r="E648" s="9" t="str">
        <f aca="false">HYPERLINK("https://twitter.com/18_0152_u/status/921755662895538176","921755662895538176")</f>
        <v>921755662895538176</v>
      </c>
      <c r="F648" s="10" t="s">
        <v>39</v>
      </c>
      <c r="G648" s="10" t="n">
        <v>117</v>
      </c>
      <c r="H648" s="10" t="n">
        <v>366</v>
      </c>
      <c r="I648" s="10" t="n">
        <v>12</v>
      </c>
      <c r="J648" s="10" t="n">
        <v>0</v>
      </c>
      <c r="K648" s="10" t="s">
        <v>20</v>
      </c>
      <c r="L648" s="11" t="n">
        <v>39940.0853009259</v>
      </c>
      <c r="M648" s="12"/>
      <c r="N648" s="12"/>
      <c r="O648" s="9" t="str">
        <f aca="false">HYPERLINK("https://pbs.twimg.com/profile_images/378800000829848535/35255a60f84fdecda956e8834c9d820b_normal.jpeg","View")</f>
        <v>View</v>
      </c>
      <c r="P648" s="10"/>
    </row>
    <row r="649" customFormat="false" ht="15.75" hidden="false" customHeight="false" outlineLevel="0" collapsed="false">
      <c r="A649" s="6" t="n">
        <v>43029.3411805556</v>
      </c>
      <c r="B649" s="7" t="str">
        <f aca="false">HYPERLINK("https://twitter.com/AAvelino03","@AAvelino03")</f>
        <v>@AAvelino03</v>
      </c>
      <c r="C649" s="8" t="s">
        <v>1820</v>
      </c>
      <c r="D649" s="8" t="s">
        <v>1818</v>
      </c>
      <c r="E649" s="9" t="str">
        <f aca="false">HYPERLINK("https://twitter.com/AAvelino03/status/921755782772862979","921755782772862979")</f>
        <v>921755782772862979</v>
      </c>
      <c r="F649" s="10" t="s">
        <v>39</v>
      </c>
      <c r="G649" s="10" t="n">
        <v>557</v>
      </c>
      <c r="H649" s="10" t="n">
        <v>3311</v>
      </c>
      <c r="I649" s="10" t="n">
        <v>12</v>
      </c>
      <c r="J649" s="10" t="n">
        <v>0</v>
      </c>
      <c r="K649" s="10" t="s">
        <v>20</v>
      </c>
      <c r="L649" s="11" t="n">
        <v>41776.273912037</v>
      </c>
      <c r="M649" s="12" t="s">
        <v>1821</v>
      </c>
      <c r="N649" s="12" t="s">
        <v>1822</v>
      </c>
      <c r="O649" s="9" t="str">
        <f aca="false">HYPERLINK("https://pbs.twimg.com/profile_images/808314567268843522/ZItKIPkt_normal.jpg","View")</f>
        <v>View</v>
      </c>
      <c r="P649" s="10"/>
    </row>
    <row r="650" customFormat="false" ht="15.75" hidden="false" customHeight="false" outlineLevel="0" collapsed="false">
      <c r="A650" s="6" t="n">
        <v>43029.3442939815</v>
      </c>
      <c r="B650" s="7" t="str">
        <f aca="false">HYPERLINK("https://twitter.com/ZyiteGadgets","@ZyiteGadgets")</f>
        <v>@ZyiteGadgets</v>
      </c>
      <c r="C650" s="8" t="s">
        <v>171</v>
      </c>
      <c r="D650" s="8" t="s">
        <v>1823</v>
      </c>
      <c r="E650" s="9" t="str">
        <f aca="false">HYPERLINK("https://twitter.com/ZyiteGadgets/status/921756909077745664","921756909077745664")</f>
        <v>921756909077745664</v>
      </c>
      <c r="F650" s="10" t="s">
        <v>110</v>
      </c>
      <c r="G650" s="10" t="n">
        <v>3542</v>
      </c>
      <c r="H650" s="10" t="n">
        <v>4844</v>
      </c>
      <c r="I650" s="10" t="n">
        <v>0</v>
      </c>
      <c r="J650" s="10" t="n">
        <v>0</v>
      </c>
      <c r="K650" s="10" t="s">
        <v>20</v>
      </c>
      <c r="L650" s="11" t="n">
        <v>41470.6147800926</v>
      </c>
      <c r="M650" s="15" t="s">
        <v>173</v>
      </c>
      <c r="N650" s="12" t="s">
        <v>174</v>
      </c>
      <c r="O650" s="9" t="str">
        <f aca="false">HYPERLINK("https://pbs.twimg.com/profile_images/487701633489313793/pIxJHFt5_normal.jpeg","View")</f>
        <v>View</v>
      </c>
      <c r="P650" s="10"/>
    </row>
    <row r="651" customFormat="false" ht="15.75" hidden="false" customHeight="false" outlineLevel="0" collapsed="false">
      <c r="A651" s="6" t="n">
        <v>43029.3460648148</v>
      </c>
      <c r="B651" s="7" t="str">
        <f aca="false">HYPERLINK("https://twitter.com/yua_camila","@yua_camila")</f>
        <v>@yua_camila</v>
      </c>
      <c r="C651" s="8" t="s">
        <v>1824</v>
      </c>
      <c r="D651" s="8" t="s">
        <v>1825</v>
      </c>
      <c r="E651" s="9" t="str">
        <f aca="false">HYPERLINK("https://twitter.com/yua_camila/status/921757551795957761","921757551795957761")</f>
        <v>921757551795957761</v>
      </c>
      <c r="F651" s="10" t="s">
        <v>51</v>
      </c>
      <c r="G651" s="10" t="n">
        <v>36</v>
      </c>
      <c r="H651" s="10" t="n">
        <v>123</v>
      </c>
      <c r="I651" s="10" t="n">
        <v>0</v>
      </c>
      <c r="J651" s="10" t="n">
        <v>0</v>
      </c>
      <c r="K651" s="10" t="s">
        <v>20</v>
      </c>
      <c r="L651" s="11" t="n">
        <v>43014.292962963</v>
      </c>
      <c r="M651" s="12" t="s">
        <v>1826</v>
      </c>
      <c r="N651" s="12" t="s">
        <v>1827</v>
      </c>
      <c r="O651" s="9" t="str">
        <f aca="false">HYPERLINK("https://pbs.twimg.com/profile_images/923555035421622272/dzv0P734_normal.jpg","View")</f>
        <v>View</v>
      </c>
      <c r="P651" s="10"/>
    </row>
    <row r="652" customFormat="false" ht="15.75" hidden="false" customHeight="false" outlineLevel="0" collapsed="false">
      <c r="A652" s="6" t="n">
        <v>43029.3469328704</v>
      </c>
      <c r="B652" s="7" t="str">
        <f aca="false">HYPERLINK("https://twitter.com/maltiq","@maltiq")</f>
        <v>@maltiq</v>
      </c>
      <c r="C652" s="8" t="s">
        <v>1828</v>
      </c>
      <c r="D652" s="8" t="s">
        <v>1818</v>
      </c>
      <c r="E652" s="9" t="str">
        <f aca="false">HYPERLINK("https://twitter.com/maltiq/status/921757868621144064","921757868621144064")</f>
        <v>921757868621144064</v>
      </c>
      <c r="F652" s="10" t="s">
        <v>177</v>
      </c>
      <c r="G652" s="10" t="n">
        <v>8362</v>
      </c>
      <c r="H652" s="10" t="n">
        <v>2727</v>
      </c>
      <c r="I652" s="10" t="n">
        <v>12</v>
      </c>
      <c r="J652" s="10" t="n">
        <v>0</v>
      </c>
      <c r="K652" s="10" t="s">
        <v>20</v>
      </c>
      <c r="L652" s="11" t="n">
        <v>39779.1478240741</v>
      </c>
      <c r="M652" s="12"/>
      <c r="N652" s="12" t="s">
        <v>1829</v>
      </c>
      <c r="O652" s="9" t="str">
        <f aca="false">HYPERLINK("https://pbs.twimg.com/profile_images/888002727443283969/kPUDhIHe_normal.jpg","View")</f>
        <v>View</v>
      </c>
      <c r="P652" s="10"/>
    </row>
    <row r="653" customFormat="false" ht="15.75" hidden="false" customHeight="false" outlineLevel="0" collapsed="false">
      <c r="A653" s="6" t="n">
        <v>43029.3542592593</v>
      </c>
      <c r="B653" s="7" t="str">
        <f aca="false">HYPERLINK("https://twitter.com/JNilssonWright","@JNilssonWright")</f>
        <v>@JNilssonWright</v>
      </c>
      <c r="C653" s="8" t="s">
        <v>1830</v>
      </c>
      <c r="D653" s="8" t="s">
        <v>1831</v>
      </c>
      <c r="E653" s="9" t="str">
        <f aca="false">HYPERLINK("https://twitter.com/JNilssonWright/status/921760521078083584","921760521078083584")</f>
        <v>921760521078083584</v>
      </c>
      <c r="F653" s="10" t="s">
        <v>39</v>
      </c>
      <c r="G653" s="10" t="n">
        <v>1311</v>
      </c>
      <c r="H653" s="10" t="n">
        <v>925</v>
      </c>
      <c r="I653" s="10" t="n">
        <v>1</v>
      </c>
      <c r="J653" s="10" t="n">
        <v>2</v>
      </c>
      <c r="K653" s="10" t="s">
        <v>20</v>
      </c>
      <c r="L653" s="11" t="n">
        <v>39967.7257407407</v>
      </c>
      <c r="M653" s="12" t="s">
        <v>1832</v>
      </c>
      <c r="N653" s="12" t="s">
        <v>1833</v>
      </c>
      <c r="O653" s="9" t="str">
        <f aca="false">HYPERLINK("https://pbs.twimg.com/profile_images/651470531213021184/YGCR7BrJ_normal.jpg","View")</f>
        <v>View</v>
      </c>
      <c r="P653" s="10"/>
    </row>
    <row r="654" customFormat="false" ht="15.75" hidden="false" customHeight="false" outlineLevel="0" collapsed="false">
      <c r="A654" s="6" t="n">
        <v>43029.3556828704</v>
      </c>
      <c r="B654" s="7" t="str">
        <f aca="false">HYPERLINK("https://twitter.com/goodshippequod","@goodshippequod")</f>
        <v>@goodshippequod</v>
      </c>
      <c r="C654" s="8" t="s">
        <v>1834</v>
      </c>
      <c r="D654" s="8" t="s">
        <v>1818</v>
      </c>
      <c r="E654" s="9" t="str">
        <f aca="false">HYPERLINK("https://twitter.com/goodshippequod/status/921761039389265920","921761039389265920")</f>
        <v>921761039389265920</v>
      </c>
      <c r="F654" s="10" t="s">
        <v>39</v>
      </c>
      <c r="G654" s="10" t="n">
        <v>2309</v>
      </c>
      <c r="H654" s="10" t="n">
        <v>1931</v>
      </c>
      <c r="I654" s="10" t="n">
        <v>12</v>
      </c>
      <c r="J654" s="10" t="n">
        <v>0</v>
      </c>
      <c r="K654" s="10" t="s">
        <v>20</v>
      </c>
      <c r="L654" s="11" t="n">
        <v>42214.063125</v>
      </c>
      <c r="M654" s="12"/>
      <c r="N654" s="12" t="s">
        <v>1835</v>
      </c>
      <c r="O654" s="9" t="str">
        <f aca="false">HYPERLINK("https://pbs.twimg.com/profile_images/889029461328441344/QD9IoyVT_normal.jpg","View")</f>
        <v>View</v>
      </c>
      <c r="P654" s="10"/>
    </row>
    <row r="655" customFormat="false" ht="15.75" hidden="false" customHeight="false" outlineLevel="0" collapsed="false">
      <c r="A655" s="6" t="n">
        <v>43029.3650694444</v>
      </c>
      <c r="B655" s="7" t="str">
        <f aca="false">HYPERLINK("https://twitter.com/PMunozLorite","@PMunozLorite")</f>
        <v>@PMunozLorite</v>
      </c>
      <c r="C655" s="8" t="s">
        <v>351</v>
      </c>
      <c r="D655" s="8" t="s">
        <v>1836</v>
      </c>
      <c r="E655" s="9" t="str">
        <f aca="false">HYPERLINK("https://twitter.com/PMunozLorite/status/921764440369958912","921764440369958912")</f>
        <v>921764440369958912</v>
      </c>
      <c r="F655" s="10" t="s">
        <v>110</v>
      </c>
      <c r="G655" s="10" t="n">
        <v>2678</v>
      </c>
      <c r="H655" s="10" t="n">
        <v>4946</v>
      </c>
      <c r="I655" s="10" t="n">
        <v>0</v>
      </c>
      <c r="J655" s="10" t="n">
        <v>0</v>
      </c>
      <c r="K655" s="10" t="s">
        <v>20</v>
      </c>
      <c r="L655" s="11" t="n">
        <v>39769.5892939815</v>
      </c>
      <c r="M655" s="12" t="s">
        <v>353</v>
      </c>
      <c r="N655" s="12" t="s">
        <v>354</v>
      </c>
      <c r="O655" s="9" t="str">
        <f aca="false">HYPERLINK("https://pbs.twimg.com/profile_images/574247662901403648/LzeOfYmt_normal.jpeg","View")</f>
        <v>View</v>
      </c>
      <c r="P655" s="10"/>
    </row>
    <row r="656" customFormat="false" ht="15.75" hidden="false" customHeight="false" outlineLevel="0" collapsed="false">
      <c r="A656" s="6" t="n">
        <v>43029.3685648148</v>
      </c>
      <c r="B656" s="7" t="str">
        <f aca="false">HYPERLINK("https://twitter.com/supra1Bqteam","@supra1Bqteam")</f>
        <v>@supra1Bqteam</v>
      </c>
      <c r="C656" s="8" t="s">
        <v>1092</v>
      </c>
      <c r="D656" s="8" t="s">
        <v>1837</v>
      </c>
      <c r="E656" s="9" t="str">
        <f aca="false">HYPERLINK("https://twitter.com/supra1Bqteam/status/921765705581817859","921765705581817859")</f>
        <v>921765705581817859</v>
      </c>
      <c r="F656" s="10" t="s">
        <v>60</v>
      </c>
      <c r="G656" s="10" t="n">
        <v>29111</v>
      </c>
      <c r="H656" s="10" t="n">
        <v>27568</v>
      </c>
      <c r="I656" s="10" t="n">
        <v>0</v>
      </c>
      <c r="J656" s="10" t="n">
        <v>0</v>
      </c>
      <c r="K656" s="10" t="s">
        <v>20</v>
      </c>
      <c r="L656" s="11" t="n">
        <v>40930.4692824074</v>
      </c>
      <c r="M656" s="12" t="s">
        <v>1094</v>
      </c>
      <c r="N656" s="12" t="s">
        <v>1095</v>
      </c>
      <c r="O656" s="9" t="str">
        <f aca="false">HYPERLINK("https://pbs.twimg.com/profile_images/752065571068444672/dkKCTbsg_normal.jpg","View")</f>
        <v>View</v>
      </c>
      <c r="P656" s="10"/>
    </row>
    <row r="657" customFormat="false" ht="15.75" hidden="false" customHeight="false" outlineLevel="0" collapsed="false">
      <c r="A657" s="6" t="n">
        <v>43029.3696759259</v>
      </c>
      <c r="B657" s="7" t="str">
        <f aca="false">HYPERLINK("https://twitter.com/EndTimesSynapse","@EndTimesSynapse")</f>
        <v>@EndTimesSynapse</v>
      </c>
      <c r="C657" s="8" t="s">
        <v>1838</v>
      </c>
      <c r="D657" s="8" t="s">
        <v>1839</v>
      </c>
      <c r="E657" s="9" t="str">
        <f aca="false">HYPERLINK("https://twitter.com/EndTimesSynapse/status/921766108402802689","921766108402802689")</f>
        <v>921766108402802689</v>
      </c>
      <c r="F657" s="10" t="s">
        <v>60</v>
      </c>
      <c r="G657" s="10" t="n">
        <v>245</v>
      </c>
      <c r="H657" s="10" t="n">
        <v>16</v>
      </c>
      <c r="I657" s="10" t="n">
        <v>0</v>
      </c>
      <c r="J657" s="10" t="n">
        <v>0</v>
      </c>
      <c r="K657" s="10" t="s">
        <v>20</v>
      </c>
      <c r="L657" s="11" t="n">
        <v>42788.6279166667</v>
      </c>
      <c r="M657" s="12" t="s">
        <v>230</v>
      </c>
      <c r="N657" s="12" t="s">
        <v>1840</v>
      </c>
      <c r="O657" s="9" t="str">
        <f aca="false">HYPERLINK("https://pbs.twimg.com/profile_images/835018552000172032/K0DwUlwu_normal.jpg","View")</f>
        <v>View</v>
      </c>
      <c r="P657" s="10"/>
    </row>
    <row r="658" customFormat="false" ht="15.75" hidden="false" customHeight="false" outlineLevel="0" collapsed="false">
      <c r="A658" s="6" t="n">
        <v>43029.3717592593</v>
      </c>
      <c r="B658" s="7" t="str">
        <f aca="false">HYPERLINK("https://twitter.com/3NovicesEngland","@3NovicesEngland")</f>
        <v>@3NovicesEngland</v>
      </c>
      <c r="C658" s="8" t="s">
        <v>1841</v>
      </c>
      <c r="D658" s="8" t="s">
        <v>1842</v>
      </c>
      <c r="E658" s="9" t="str">
        <f aca="false">HYPERLINK("https://twitter.com/3NovicesEngland/status/921766864644136965","921766864644136965")</f>
        <v>921766864644136965</v>
      </c>
      <c r="F658" s="10" t="s">
        <v>60</v>
      </c>
      <c r="G658" s="10" t="n">
        <v>621</v>
      </c>
      <c r="H658" s="10" t="n">
        <v>661</v>
      </c>
      <c r="I658" s="10" t="n">
        <v>0</v>
      </c>
      <c r="J658" s="10" t="n">
        <v>0</v>
      </c>
      <c r="K658" s="10" t="s">
        <v>20</v>
      </c>
      <c r="L658" s="11" t="n">
        <v>42275.9884606482</v>
      </c>
      <c r="M658" s="12" t="s">
        <v>1843</v>
      </c>
      <c r="N658" s="12" t="s">
        <v>1844</v>
      </c>
      <c r="O658" s="9" t="str">
        <f aca="false">HYPERLINK("https://pbs.twimg.com/profile_images/648750140677722112/fbdWot4z_normal.jpg","View")</f>
        <v>View</v>
      </c>
      <c r="P658" s="10"/>
    </row>
    <row r="659" customFormat="false" ht="15.75" hidden="false" customHeight="false" outlineLevel="0" collapsed="false">
      <c r="A659" s="6" t="n">
        <v>43029.3766898148</v>
      </c>
      <c r="B659" s="7" t="str">
        <f aca="false">HYPERLINK("https://twitter.com/aublanc1015","@aublanc1015")</f>
        <v>@aublanc1015</v>
      </c>
      <c r="C659" s="8" t="s">
        <v>1845</v>
      </c>
      <c r="D659" s="8" t="s">
        <v>1818</v>
      </c>
      <c r="E659" s="9" t="str">
        <f aca="false">HYPERLINK("https://twitter.com/aublanc1015/status/921768649626591232","921768649626591232")</f>
        <v>921768649626591232</v>
      </c>
      <c r="F659" s="10" t="s">
        <v>51</v>
      </c>
      <c r="G659" s="10" t="n">
        <v>26</v>
      </c>
      <c r="H659" s="10" t="n">
        <v>59</v>
      </c>
      <c r="I659" s="10" t="n">
        <v>12</v>
      </c>
      <c r="J659" s="10" t="n">
        <v>0</v>
      </c>
      <c r="K659" s="10" t="s">
        <v>20</v>
      </c>
      <c r="L659" s="11" t="n">
        <v>41070.0406597222</v>
      </c>
      <c r="M659" s="12" t="s">
        <v>1846</v>
      </c>
      <c r="N659" s="12"/>
      <c r="O659" s="9" t="str">
        <f aca="false">HYPERLINK("https://pbs.twimg.com/profile_images/586442469799133185/O3_eAaOU_normal.jpg","View")</f>
        <v>View</v>
      </c>
      <c r="P659" s="10"/>
    </row>
    <row r="660" customFormat="false" ht="15.75" hidden="false" customHeight="false" outlineLevel="0" collapsed="false">
      <c r="A660" s="6" t="n">
        <v>43029.3795486111</v>
      </c>
      <c r="B660" s="7" t="str">
        <f aca="false">HYPERLINK("https://twitter.com/politique__FR","@politique__FR")</f>
        <v>@politique__FR</v>
      </c>
      <c r="C660" s="8" t="s">
        <v>1847</v>
      </c>
      <c r="D660" s="8" t="s">
        <v>1818</v>
      </c>
      <c r="E660" s="9" t="str">
        <f aca="false">HYPERLINK("https://twitter.com/politique__FR/status/921769685024235520","921769685024235520")</f>
        <v>921769685024235520</v>
      </c>
      <c r="F660" s="10" t="s">
        <v>51</v>
      </c>
      <c r="G660" s="10" t="n">
        <v>4598</v>
      </c>
      <c r="H660" s="10" t="n">
        <v>4137</v>
      </c>
      <c r="I660" s="10" t="n">
        <v>12</v>
      </c>
      <c r="J660" s="10" t="n">
        <v>0</v>
      </c>
      <c r="K660" s="10" t="s">
        <v>20</v>
      </c>
      <c r="L660" s="11" t="n">
        <v>41871.7056944444</v>
      </c>
      <c r="M660" s="12" t="s">
        <v>1848</v>
      </c>
      <c r="N660" s="12" t="s">
        <v>1849</v>
      </c>
      <c r="O660" s="9" t="str">
        <f aca="false">HYPERLINK("https://pbs.twimg.com/profile_images/502242917113544704/4d3N78uw_normal.jpeg","View")</f>
        <v>View</v>
      </c>
      <c r="P660" s="10"/>
    </row>
    <row r="661" customFormat="false" ht="15.75" hidden="false" customHeight="false" outlineLevel="0" collapsed="false">
      <c r="A661" s="6" t="n">
        <v>43029.3799537037</v>
      </c>
      <c r="B661" s="7" t="str">
        <f aca="false">HYPERLINK("https://twitter.com/nukewarnews","@nukewarnews")</f>
        <v>@nukewarnews</v>
      </c>
      <c r="C661" s="8" t="s">
        <v>1850</v>
      </c>
      <c r="D661" s="8" t="s">
        <v>1851</v>
      </c>
      <c r="E661" s="9" t="str">
        <f aca="false">HYPERLINK("https://twitter.com/nukewarnews/status/921769831984066560","921769831984066560")</f>
        <v>921769831984066560</v>
      </c>
      <c r="F661" s="9" t="s">
        <v>1147</v>
      </c>
      <c r="G661" s="10" t="n">
        <v>933</v>
      </c>
      <c r="H661" s="10" t="n">
        <v>97</v>
      </c>
      <c r="I661" s="10" t="n">
        <v>3</v>
      </c>
      <c r="J661" s="10" t="n">
        <v>3</v>
      </c>
      <c r="K661" s="10" t="s">
        <v>20</v>
      </c>
      <c r="L661" s="11" t="n">
        <v>42670.0912731482</v>
      </c>
      <c r="M661" s="12"/>
      <c r="N661" s="12" t="s">
        <v>1852</v>
      </c>
      <c r="O661" s="9" t="str">
        <f aca="false">HYPERLINK("https://pbs.twimg.com/profile_images/806875555832401921/5O7oifuk_normal.jpg","View")</f>
        <v>View</v>
      </c>
      <c r="P661" s="10"/>
    </row>
    <row r="662" customFormat="false" ht="15.75" hidden="false" customHeight="false" outlineLevel="0" collapsed="false">
      <c r="A662" s="6" t="n">
        <v>43029.3839351852</v>
      </c>
      <c r="B662" s="7" t="str">
        <f aca="false">HYPERLINK("https://twitter.com/PolticsNewz","@PolticsNewz")</f>
        <v>@PolticsNewz</v>
      </c>
      <c r="C662" s="8" t="s">
        <v>1121</v>
      </c>
      <c r="D662" s="8" t="s">
        <v>1853</v>
      </c>
      <c r="E662" s="9" t="str">
        <f aca="false">HYPERLINK("https://twitter.com/PolticsNewz/status/921771275835596800","921771275835596800")</f>
        <v>921771275835596800</v>
      </c>
      <c r="F662" s="10" t="s">
        <v>1123</v>
      </c>
      <c r="G662" s="10" t="n">
        <v>26441</v>
      </c>
      <c r="H662" s="10" t="n">
        <v>23998</v>
      </c>
      <c r="I662" s="10" t="n">
        <v>0</v>
      </c>
      <c r="J662" s="10" t="n">
        <v>0</v>
      </c>
      <c r="K662" s="10" t="s">
        <v>20</v>
      </c>
      <c r="L662" s="11" t="n">
        <v>42509.1547569445</v>
      </c>
      <c r="M662" s="12" t="s">
        <v>230</v>
      </c>
      <c r="N662" s="12" t="s">
        <v>1124</v>
      </c>
      <c r="O662" s="9" t="str">
        <f aca="false">HYPERLINK("https://pbs.twimg.com/profile_images/733247246314131456/M6u2U4GO_normal.jpg","View")</f>
        <v>View</v>
      </c>
      <c r="P662" s="10"/>
    </row>
    <row r="663" customFormat="false" ht="15.75" hidden="false" customHeight="false" outlineLevel="0" collapsed="false">
      <c r="A663" s="6" t="n">
        <v>43029.3844675926</v>
      </c>
      <c r="B663" s="7" t="str">
        <f aca="false">HYPERLINK("https://twitter.com/PoliticsNewz","@PoliticsNewz")</f>
        <v>@PoliticsNewz</v>
      </c>
      <c r="C663" s="8" t="s">
        <v>1132</v>
      </c>
      <c r="D663" s="8" t="s">
        <v>1854</v>
      </c>
      <c r="E663" s="9" t="str">
        <f aca="false">HYPERLINK("https://twitter.com/PoliticsNewz/status/921771468215783426","921771468215783426")</f>
        <v>921771468215783426</v>
      </c>
      <c r="F663" s="10" t="s">
        <v>1134</v>
      </c>
      <c r="G663" s="10" t="n">
        <v>56467</v>
      </c>
      <c r="H663" s="10" t="n">
        <v>48950</v>
      </c>
      <c r="I663" s="10" t="n">
        <v>0</v>
      </c>
      <c r="J663" s="10" t="n">
        <v>1</v>
      </c>
      <c r="K663" s="10" t="s">
        <v>20</v>
      </c>
      <c r="L663" s="11" t="n">
        <v>40980.5404976852</v>
      </c>
      <c r="M663" s="12" t="s">
        <v>230</v>
      </c>
      <c r="N663" s="12" t="s">
        <v>1124</v>
      </c>
      <c r="O663" s="9" t="str">
        <f aca="false">HYPERLINK("https://pbs.twimg.com/profile_images/1892022292/logo-politicnewz_normal.jpg","View")</f>
        <v>View</v>
      </c>
      <c r="P663" s="10"/>
    </row>
    <row r="664" customFormat="false" ht="15.75" hidden="false" customHeight="false" outlineLevel="0" collapsed="false">
      <c r="A664" s="6" t="n">
        <v>43029.3890277778</v>
      </c>
      <c r="B664" s="7" t="str">
        <f aca="false">HYPERLINK("https://twitter.com/EndGameShowWW3","@EndGameShowWW3")</f>
        <v>@EndGameShowWW3</v>
      </c>
      <c r="C664" s="8" t="s">
        <v>1855</v>
      </c>
      <c r="D664" s="8" t="s">
        <v>1856</v>
      </c>
      <c r="E664" s="9" t="str">
        <f aca="false">HYPERLINK("https://twitter.com/EndGameShowWW3/status/921773123229405184","921773123229405184")</f>
        <v>921773123229405184</v>
      </c>
      <c r="F664" s="10" t="s">
        <v>39</v>
      </c>
      <c r="G664" s="10" t="n">
        <v>2172</v>
      </c>
      <c r="H664" s="10" t="n">
        <v>2234</v>
      </c>
      <c r="I664" s="10" t="n">
        <v>2</v>
      </c>
      <c r="J664" s="10" t="n">
        <v>1</v>
      </c>
      <c r="K664" s="10" t="s">
        <v>20</v>
      </c>
      <c r="L664" s="11" t="n">
        <v>39920.9094907407</v>
      </c>
      <c r="M664" s="12" t="s">
        <v>1857</v>
      </c>
      <c r="N664" s="12" t="s">
        <v>1858</v>
      </c>
      <c r="O664" s="9" t="str">
        <f aca="false">HYPERLINK("https://pbs.twimg.com/profile_images/888800800465502208/2ddN68Oq_normal.jpg","View")</f>
        <v>View</v>
      </c>
      <c r="P664" s="10"/>
    </row>
    <row r="665" customFormat="false" ht="15.75" hidden="false" customHeight="false" outlineLevel="0" collapsed="false">
      <c r="A665" s="6" t="n">
        <v>43029.3891550926</v>
      </c>
      <c r="B665" s="7" t="str">
        <f aca="false">HYPERLINK("https://twitter.com/supra1Bqteam","@supra1Bqteam")</f>
        <v>@supra1Bqteam</v>
      </c>
      <c r="C665" s="8" t="s">
        <v>1092</v>
      </c>
      <c r="D665" s="8" t="s">
        <v>1859</v>
      </c>
      <c r="E665" s="9" t="str">
        <f aca="false">HYPERLINK("https://twitter.com/supra1Bqteam/status/921773168200740866","921773168200740866")</f>
        <v>921773168200740866</v>
      </c>
      <c r="F665" s="10" t="s">
        <v>60</v>
      </c>
      <c r="G665" s="10" t="n">
        <v>29111</v>
      </c>
      <c r="H665" s="10" t="n">
        <v>27568</v>
      </c>
      <c r="I665" s="10" t="n">
        <v>0</v>
      </c>
      <c r="J665" s="10" t="n">
        <v>1</v>
      </c>
      <c r="K665" s="10" t="s">
        <v>20</v>
      </c>
      <c r="L665" s="11" t="n">
        <v>40930.4692824074</v>
      </c>
      <c r="M665" s="12" t="s">
        <v>1094</v>
      </c>
      <c r="N665" s="12" t="s">
        <v>1095</v>
      </c>
      <c r="O665" s="9" t="str">
        <f aca="false">HYPERLINK("https://pbs.twimg.com/profile_images/752065571068444672/dkKCTbsg_normal.jpg","View")</f>
        <v>View</v>
      </c>
      <c r="P665" s="10"/>
    </row>
    <row r="666" customFormat="false" ht="15.75" hidden="false" customHeight="false" outlineLevel="0" collapsed="false">
      <c r="A666" s="6" t="n">
        <v>43029.3907638889</v>
      </c>
      <c r="B666" s="7" t="str">
        <f aca="false">HYPERLINK("https://twitter.com/InsdataInter","@InsdataInter")</f>
        <v>@InsdataInter</v>
      </c>
      <c r="C666" s="8" t="s">
        <v>1860</v>
      </c>
      <c r="D666" s="8" t="s">
        <v>1412</v>
      </c>
      <c r="E666" s="9" t="str">
        <f aca="false">HYPERLINK("https://twitter.com/InsdataInter/status/921773751510892544","921773751510892544")</f>
        <v>921773751510892544</v>
      </c>
      <c r="F666" s="10" t="s">
        <v>51</v>
      </c>
      <c r="G666" s="10" t="n">
        <v>1729</v>
      </c>
      <c r="H666" s="10" t="n">
        <v>2947</v>
      </c>
      <c r="I666" s="10" t="n">
        <v>25</v>
      </c>
      <c r="J666" s="10" t="n">
        <v>0</v>
      </c>
      <c r="K666" s="10" t="s">
        <v>20</v>
      </c>
      <c r="L666" s="11" t="n">
        <v>41533.3899768519</v>
      </c>
      <c r="M666" s="12" t="s">
        <v>1861</v>
      </c>
      <c r="N666" s="12"/>
      <c r="O666" s="9" t="str">
        <f aca="false">HYPERLINK("https://pbs.twimg.com/profile_images/378800000501893520/b4582cd3ce52a7c47133d606b639176e_normal.jpeg","View")</f>
        <v>View</v>
      </c>
      <c r="P666" s="10"/>
    </row>
    <row r="667" customFormat="false" ht="15.75" hidden="false" customHeight="false" outlineLevel="0" collapsed="false">
      <c r="A667" s="6" t="n">
        <v>43029.3937384259</v>
      </c>
      <c r="B667" s="7" t="str">
        <f aca="false">HYPERLINK("https://twitter.com/wengler_mark","@wengler_mark")</f>
        <v>@wengler_mark</v>
      </c>
      <c r="C667" s="8" t="s">
        <v>1862</v>
      </c>
      <c r="D667" s="8" t="s">
        <v>1863</v>
      </c>
      <c r="E667" s="9" t="str">
        <f aca="false">HYPERLINK("https://twitter.com/wengler_mark/status/921774828666880002","921774828666880002")</f>
        <v>921774828666880002</v>
      </c>
      <c r="F667" s="10" t="s">
        <v>25</v>
      </c>
      <c r="G667" s="10" t="n">
        <v>54</v>
      </c>
      <c r="H667" s="10" t="n">
        <v>861</v>
      </c>
      <c r="I667" s="10" t="n">
        <v>3</v>
      </c>
      <c r="J667" s="10" t="n">
        <v>0</v>
      </c>
      <c r="K667" s="10" t="s">
        <v>20</v>
      </c>
      <c r="L667" s="11" t="n">
        <v>42676.3063773148</v>
      </c>
      <c r="M667" s="12" t="s">
        <v>1864</v>
      </c>
      <c r="N667" s="12" t="s">
        <v>1865</v>
      </c>
      <c r="O667" s="9" t="str">
        <f aca="false">HYPERLINK("https://pbs.twimg.com/profile_images/897171426578444292/UI9upPwr_normal.jpg","View")</f>
        <v>View</v>
      </c>
      <c r="P667" s="10"/>
    </row>
    <row r="668" customFormat="false" ht="15.75" hidden="false" customHeight="false" outlineLevel="0" collapsed="false">
      <c r="A668" s="6" t="n">
        <v>43029.3993865741</v>
      </c>
      <c r="B668" s="7" t="str">
        <f aca="false">HYPERLINK("https://twitter.com/iamlivin4god","@iamlivin4god")</f>
        <v>@iamlivin4god</v>
      </c>
      <c r="C668" s="8" t="s">
        <v>1866</v>
      </c>
      <c r="D668" s="8" t="s">
        <v>1867</v>
      </c>
      <c r="E668" s="9" t="str">
        <f aca="false">HYPERLINK("https://twitter.com/iamlivin4god/status/921776877152423936","921776877152423936")</f>
        <v>921776877152423936</v>
      </c>
      <c r="F668" s="10" t="s">
        <v>39</v>
      </c>
      <c r="G668" s="10" t="n">
        <v>468</v>
      </c>
      <c r="H668" s="10" t="n">
        <v>2176</v>
      </c>
      <c r="I668" s="10" t="n">
        <v>2</v>
      </c>
      <c r="J668" s="10" t="n">
        <v>0</v>
      </c>
      <c r="K668" s="10" t="s">
        <v>20</v>
      </c>
      <c r="L668" s="11" t="n">
        <v>41210.8652893519</v>
      </c>
      <c r="M668" s="12" t="s">
        <v>502</v>
      </c>
      <c r="N668" s="12" t="s">
        <v>1868</v>
      </c>
      <c r="O668" s="9" t="str">
        <f aca="false">HYPERLINK("https://pbs.twimg.com/profile_images/690332839410184192/F5SvVCZ9_normal.jpg","View")</f>
        <v>View</v>
      </c>
      <c r="P668" s="10"/>
    </row>
    <row r="669" customFormat="false" ht="15.75" hidden="false" customHeight="false" outlineLevel="0" collapsed="false">
      <c r="A669" s="6" t="n">
        <v>43029.3995949074</v>
      </c>
      <c r="B669" s="7" t="str">
        <f aca="false">HYPERLINK("https://twitter.com/JapanUnmasked","@JapanUnmasked")</f>
        <v>@JapanUnmasked</v>
      </c>
      <c r="C669" s="8" t="s">
        <v>1869</v>
      </c>
      <c r="D669" s="8" t="s">
        <v>1870</v>
      </c>
      <c r="E669" s="9" t="str">
        <f aca="false">HYPERLINK("https://twitter.com/JapanUnmasked/status/921776949453905921","921776949453905921")</f>
        <v>921776949453905921</v>
      </c>
      <c r="F669" s="10" t="s">
        <v>60</v>
      </c>
      <c r="G669" s="10" t="n">
        <v>80718</v>
      </c>
      <c r="H669" s="10" t="n">
        <v>1</v>
      </c>
      <c r="I669" s="10" t="n">
        <v>0</v>
      </c>
      <c r="J669" s="10" t="n">
        <v>0</v>
      </c>
      <c r="K669" s="10" t="s">
        <v>20</v>
      </c>
      <c r="L669" s="11" t="n">
        <v>40392.5348148148</v>
      </c>
      <c r="M669" s="12" t="s">
        <v>574</v>
      </c>
      <c r="N669" s="12" t="s">
        <v>1871</v>
      </c>
      <c r="O669" s="9" t="str">
        <f aca="false">HYPERLINK("https://pbs.twimg.com/profile_images/789409489128607745/43ijRGjc_normal.jpg","View")</f>
        <v>View</v>
      </c>
      <c r="P669" s="10"/>
    </row>
    <row r="670" customFormat="false" ht="15.75" hidden="false" customHeight="false" outlineLevel="0" collapsed="false">
      <c r="A670" s="6" t="n">
        <v>43029.4017361111</v>
      </c>
      <c r="B670" s="7" t="str">
        <f aca="false">HYPERLINK("https://twitter.com/perryblair59","@perryblair59")</f>
        <v>@perryblair59</v>
      </c>
      <c r="C670" s="8" t="s">
        <v>1872</v>
      </c>
      <c r="D670" s="8" t="s">
        <v>1873</v>
      </c>
      <c r="E670" s="9" t="str">
        <f aca="false">HYPERLINK("https://twitter.com/perryblair59/status/921777725148422144","921777725148422144")</f>
        <v>921777725148422144</v>
      </c>
      <c r="F670" s="10" t="s">
        <v>39</v>
      </c>
      <c r="G670" s="10" t="n">
        <v>11</v>
      </c>
      <c r="H670" s="10" t="n">
        <v>20</v>
      </c>
      <c r="I670" s="10" t="n">
        <v>0</v>
      </c>
      <c r="J670" s="10" t="n">
        <v>0</v>
      </c>
      <c r="K670" s="10" t="s">
        <v>20</v>
      </c>
      <c r="L670" s="11" t="n">
        <v>42676.4878819444</v>
      </c>
      <c r="M670" s="12"/>
      <c r="N670" s="12" t="s">
        <v>1874</v>
      </c>
      <c r="O670" s="9" t="str">
        <f aca="false">HYPERLINK("https://pbs.twimg.com/profile_images/860846517103546371/KacQfICa_normal.jpg","View")</f>
        <v>View</v>
      </c>
      <c r="P670" s="10"/>
    </row>
    <row r="671" customFormat="false" ht="15.75" hidden="false" customHeight="false" outlineLevel="0" collapsed="false">
      <c r="A671" s="6" t="n">
        <v>43029.4018634259</v>
      </c>
      <c r="B671" s="7" t="str">
        <f aca="false">HYPERLINK("https://twitter.com/justin23448669","@justin23448669")</f>
        <v>@justin23448669</v>
      </c>
      <c r="C671" s="8" t="s">
        <v>1875</v>
      </c>
      <c r="D671" s="8" t="s">
        <v>1876</v>
      </c>
      <c r="E671" s="9" t="str">
        <f aca="false">HYPERLINK("https://twitter.com/justin23448669/status/921777772246155265","921777772246155265")</f>
        <v>921777772246155265</v>
      </c>
      <c r="F671" s="10" t="s">
        <v>25</v>
      </c>
      <c r="G671" s="10" t="n">
        <v>168</v>
      </c>
      <c r="H671" s="10" t="n">
        <v>459</v>
      </c>
      <c r="I671" s="10" t="n">
        <v>0</v>
      </c>
      <c r="J671" s="10" t="n">
        <v>0</v>
      </c>
      <c r="K671" s="10" t="s">
        <v>20</v>
      </c>
      <c r="L671" s="11" t="n">
        <v>42426.9602199074</v>
      </c>
      <c r="M671" s="12" t="s">
        <v>1877</v>
      </c>
      <c r="N671" s="12"/>
      <c r="O671" s="9" t="str">
        <f aca="false">HYPERLINK("https://pbs.twimg.com/profile_images/787871920142385152/YF5fP5an_normal.jpg","View")</f>
        <v>View</v>
      </c>
      <c r="P671" s="10"/>
    </row>
    <row r="672" customFormat="false" ht="15.75" hidden="false" customHeight="false" outlineLevel="0" collapsed="false">
      <c r="A672" s="6" t="n">
        <v>43029.4049652778</v>
      </c>
      <c r="B672" s="7" t="str">
        <f aca="false">HYPERLINK("https://twitter.com/cravyajay","@cravyajay")</f>
        <v>@cravyajay</v>
      </c>
      <c r="C672" s="8" t="s">
        <v>1878</v>
      </c>
      <c r="D672" s="8" t="s">
        <v>1542</v>
      </c>
      <c r="E672" s="9" t="str">
        <f aca="false">HYPERLINK("https://twitter.com/cravyajay/status/921778896529321985","921778896529321985")</f>
        <v>921778896529321985</v>
      </c>
      <c r="F672" s="10" t="s">
        <v>51</v>
      </c>
      <c r="G672" s="10" t="n">
        <v>510</v>
      </c>
      <c r="H672" s="10" t="n">
        <v>1066</v>
      </c>
      <c r="I672" s="10" t="n">
        <v>2</v>
      </c>
      <c r="J672" s="10" t="n">
        <v>0</v>
      </c>
      <c r="K672" s="10" t="s">
        <v>20</v>
      </c>
      <c r="L672" s="11" t="n">
        <v>41273.3392476852</v>
      </c>
      <c r="M672" s="12" t="s">
        <v>72</v>
      </c>
      <c r="N672" s="12" t="s">
        <v>1879</v>
      </c>
      <c r="O672" s="9" t="str">
        <f aca="false">HYPERLINK("https://pbs.twimg.com/profile_images/631758033090035712/QIlW9kkj_normal.jpg","View")</f>
        <v>View</v>
      </c>
      <c r="P672" s="10"/>
    </row>
    <row r="673" customFormat="false" ht="15.75" hidden="false" customHeight="false" outlineLevel="0" collapsed="false">
      <c r="A673" s="6" t="n">
        <v>43029.4096296296</v>
      </c>
      <c r="B673" s="7" t="str">
        <f aca="false">HYPERLINK("https://twitter.com/Rocketnews1","@Rocketnews1")</f>
        <v>@Rocketnews1</v>
      </c>
      <c r="C673" s="8" t="s">
        <v>1880</v>
      </c>
      <c r="D673" s="8" t="s">
        <v>1881</v>
      </c>
      <c r="E673" s="9" t="str">
        <f aca="false">HYPERLINK("https://twitter.com/Rocketnews1/status/921780586267791360","921780586267791360")</f>
        <v>921780586267791360</v>
      </c>
      <c r="F673" s="10" t="s">
        <v>1882</v>
      </c>
      <c r="G673" s="10" t="n">
        <v>181</v>
      </c>
      <c r="H673" s="10" t="n">
        <v>15</v>
      </c>
      <c r="I673" s="10" t="n">
        <v>0</v>
      </c>
      <c r="J673" s="10" t="n">
        <v>0</v>
      </c>
      <c r="K673" s="10" t="s">
        <v>20</v>
      </c>
      <c r="L673" s="11" t="n">
        <v>41354.3074189815</v>
      </c>
      <c r="M673" s="12"/>
      <c r="N673" s="12" t="s">
        <v>1883</v>
      </c>
      <c r="O673" s="9" t="str">
        <f aca="false">HYPERLINK("https://pbs.twimg.com/profile_images/3409516523/1b0e7afc97e354cf330487934ec5a462_normal.jpeg","View")</f>
        <v>View</v>
      </c>
      <c r="P673" s="10"/>
    </row>
    <row r="674" customFormat="false" ht="15.75" hidden="false" customHeight="false" outlineLevel="0" collapsed="false">
      <c r="A674" s="6" t="n">
        <v>43029.4148958333</v>
      </c>
      <c r="B674" s="7" t="str">
        <f aca="false">HYPERLINK("https://twitter.com/ParisFranceNews","@ParisFranceNews")</f>
        <v>@ParisFranceNews</v>
      </c>
      <c r="C674" s="8" t="s">
        <v>1884</v>
      </c>
      <c r="D674" s="8" t="s">
        <v>1885</v>
      </c>
      <c r="E674" s="9" t="str">
        <f aca="false">HYPERLINK("https://twitter.com/ParisFranceNews/status/921782495905017857","921782495905017857")</f>
        <v>921782495905017857</v>
      </c>
      <c r="F674" s="10" t="s">
        <v>39</v>
      </c>
      <c r="G674" s="10" t="n">
        <v>3677</v>
      </c>
      <c r="H674" s="10" t="n">
        <v>4270</v>
      </c>
      <c r="I674" s="10" t="n">
        <v>0</v>
      </c>
      <c r="J674" s="10" t="n">
        <v>0</v>
      </c>
      <c r="K674" s="10" t="s">
        <v>20</v>
      </c>
      <c r="L674" s="11" t="n">
        <v>41000.109837963</v>
      </c>
      <c r="M674" s="12" t="s">
        <v>805</v>
      </c>
      <c r="N674" s="12" t="s">
        <v>1886</v>
      </c>
      <c r="O674" s="9" t="str">
        <f aca="false">HYPERLINK("https://pbs.twimg.com/profile_images/2007919170/parisnews_normal.png","View")</f>
        <v>View</v>
      </c>
      <c r="P674" s="10"/>
    </row>
    <row r="675" customFormat="false" ht="15.75" hidden="false" customHeight="false" outlineLevel="0" collapsed="false">
      <c r="A675" s="6" t="n">
        <v>43029.4164467593</v>
      </c>
      <c r="B675" s="7" t="str">
        <f aca="false">HYPERLINK("https://twitter.com/CaboDelgado","@CaboDelgado")</f>
        <v>@CaboDelgado</v>
      </c>
      <c r="C675" s="8" t="s">
        <v>1887</v>
      </c>
      <c r="D675" s="8" t="s">
        <v>1888</v>
      </c>
      <c r="E675" s="9" t="str">
        <f aca="false">HYPERLINK("https://twitter.com/CaboDelgado/status/921783057274867713","921783057274867713")</f>
        <v>921783057274867713</v>
      </c>
      <c r="F675" s="10" t="s">
        <v>25</v>
      </c>
      <c r="G675" s="10" t="n">
        <v>125</v>
      </c>
      <c r="H675" s="10" t="n">
        <v>432</v>
      </c>
      <c r="I675" s="10" t="n">
        <v>0</v>
      </c>
      <c r="J675" s="10" t="n">
        <v>0</v>
      </c>
      <c r="K675" s="10" t="s">
        <v>20</v>
      </c>
      <c r="L675" s="11" t="n">
        <v>40470.1153935185</v>
      </c>
      <c r="M675" s="12" t="s">
        <v>1889</v>
      </c>
      <c r="N675" s="12" t="s">
        <v>1890</v>
      </c>
      <c r="O675" s="9" t="str">
        <f aca="false">HYPERLINK("https://pbs.twimg.com/profile_images/428249377983836161/VdZ6aOlr_normal.jpeg","View")</f>
        <v>View</v>
      </c>
      <c r="P675" s="10"/>
    </row>
    <row r="676" customFormat="false" ht="15.75" hidden="false" customHeight="false" outlineLevel="0" collapsed="false">
      <c r="A676" s="6" t="n">
        <v>43029.416712963</v>
      </c>
      <c r="B676" s="7" t="str">
        <f aca="false">HYPERLINK("https://twitter.com/thetimes","@thetimes")</f>
        <v>@thetimes</v>
      </c>
      <c r="C676" s="8" t="s">
        <v>1891</v>
      </c>
      <c r="D676" s="8" t="s">
        <v>1892</v>
      </c>
      <c r="E676" s="9" t="str">
        <f aca="false">HYPERLINK("https://twitter.com/thetimes/status/921783155702599685","921783155702599685")</f>
        <v>921783155702599685</v>
      </c>
      <c r="F676" s="10" t="s">
        <v>1893</v>
      </c>
      <c r="G676" s="10" t="n">
        <v>1049613</v>
      </c>
      <c r="H676" s="10" t="n">
        <v>674</v>
      </c>
      <c r="I676" s="10" t="n">
        <v>5</v>
      </c>
      <c r="J676" s="10" t="n">
        <v>5</v>
      </c>
      <c r="K676" s="10" t="s">
        <v>20</v>
      </c>
      <c r="L676" s="11" t="n">
        <v>39219.274525463</v>
      </c>
      <c r="M676" s="12" t="s">
        <v>893</v>
      </c>
      <c r="N676" s="12" t="s">
        <v>1894</v>
      </c>
      <c r="O676" s="9" t="str">
        <f aca="false">HYPERLINK("https://pbs.twimg.com/profile_images/881879546101891073/KoNl5qpa_normal.jpg","View")</f>
        <v>View</v>
      </c>
      <c r="P676" s="10"/>
    </row>
    <row r="677" customFormat="false" ht="15.75" hidden="false" customHeight="false" outlineLevel="0" collapsed="false">
      <c r="A677" s="6" t="n">
        <v>43029.4168055556</v>
      </c>
      <c r="B677" s="7" t="str">
        <f aca="false">HYPERLINK("https://twitter.com/Newsweek","@Newsweek")</f>
        <v>@Newsweek</v>
      </c>
      <c r="C677" s="8" t="s">
        <v>1895</v>
      </c>
      <c r="D677" s="8" t="s">
        <v>1896</v>
      </c>
      <c r="E677" s="9" t="str">
        <f aca="false">HYPERLINK("https://twitter.com/Newsweek/status/921783189072498689","921783189072498689")</f>
        <v>921783189072498689</v>
      </c>
      <c r="F677" s="10" t="s">
        <v>268</v>
      </c>
      <c r="G677" s="10" t="n">
        <v>3374205</v>
      </c>
      <c r="H677" s="10" t="n">
        <v>75</v>
      </c>
      <c r="I677" s="10" t="n">
        <v>11</v>
      </c>
      <c r="J677" s="10" t="n">
        <v>9</v>
      </c>
      <c r="K677" s="10" t="s">
        <v>20</v>
      </c>
      <c r="L677" s="11" t="n">
        <v>39170.5355439815</v>
      </c>
      <c r="M677" s="12" t="s">
        <v>491</v>
      </c>
      <c r="N677" s="12" t="s">
        <v>1897</v>
      </c>
      <c r="O677" s="9" t="str">
        <f aca="false">HYPERLINK("https://pbs.twimg.com/profile_images/741603495929905152/di0NxkFa_normal.jpg","View")</f>
        <v>View</v>
      </c>
      <c r="P677" s="10"/>
    </row>
    <row r="678" customFormat="false" ht="15.75" hidden="false" customHeight="false" outlineLevel="0" collapsed="false">
      <c r="A678" s="6" t="n">
        <v>43029.4176388889</v>
      </c>
      <c r="B678" s="7" t="str">
        <f aca="false">HYPERLINK("https://twitter.com/1mpu9n3r","@1mpu9n3r")</f>
        <v>@1mpu9n3r</v>
      </c>
      <c r="C678" s="8" t="s">
        <v>1898</v>
      </c>
      <c r="D678" s="8" t="s">
        <v>1899</v>
      </c>
      <c r="E678" s="9" t="str">
        <f aca="false">HYPERLINK("https://twitter.com/1mpu9n3r/status/921783487568515073","921783487568515073")</f>
        <v>921783487568515073</v>
      </c>
      <c r="F678" s="10" t="s">
        <v>25</v>
      </c>
      <c r="G678" s="10" t="n">
        <v>267</v>
      </c>
      <c r="H678" s="10" t="n">
        <v>315</v>
      </c>
      <c r="I678" s="10" t="n">
        <v>11</v>
      </c>
      <c r="J678" s="10" t="n">
        <v>0</v>
      </c>
      <c r="K678" s="10" t="s">
        <v>20</v>
      </c>
      <c r="L678" s="11" t="n">
        <v>42944.2884143519</v>
      </c>
      <c r="M678" s="12" t="s">
        <v>1900</v>
      </c>
      <c r="N678" s="12" t="s">
        <v>1901</v>
      </c>
      <c r="O678" s="9" t="str">
        <f aca="false">HYPERLINK("https://pbs.twimg.com/profile_images/907593706664071169/nIEnZEt3_normal.jpg","View")</f>
        <v>View</v>
      </c>
      <c r="P678" s="10"/>
    </row>
    <row r="679" customFormat="false" ht="15.75" hidden="false" customHeight="false" outlineLevel="0" collapsed="false">
      <c r="A679" s="6" t="n">
        <v>43029.4176967593</v>
      </c>
      <c r="B679" s="7" t="str">
        <f aca="false">HYPERLINK("https://twitter.com/headwatersesh","@headwatersesh")</f>
        <v>@headwatersesh</v>
      </c>
      <c r="C679" s="8" t="s">
        <v>1902</v>
      </c>
      <c r="D679" s="8" t="s">
        <v>1899</v>
      </c>
      <c r="E679" s="9" t="str">
        <f aca="false">HYPERLINK("https://twitter.com/headwatersesh/status/921783508703494145","921783508703494145")</f>
        <v>921783508703494145</v>
      </c>
      <c r="F679" s="10" t="s">
        <v>51</v>
      </c>
      <c r="G679" s="10" t="n">
        <v>1084</v>
      </c>
      <c r="H679" s="10" t="n">
        <v>4577</v>
      </c>
      <c r="I679" s="10" t="n">
        <v>11</v>
      </c>
      <c r="J679" s="10" t="n">
        <v>0</v>
      </c>
      <c r="K679" s="10" t="s">
        <v>20</v>
      </c>
      <c r="L679" s="11" t="n">
        <v>42627.8421527778</v>
      </c>
      <c r="M679" s="12" t="s">
        <v>1903</v>
      </c>
      <c r="N679" s="12" t="s">
        <v>1904</v>
      </c>
      <c r="O679" s="9" t="str">
        <f aca="false">HYPERLINK("https://pbs.twimg.com/profile_images/896136006679670788/iYTLld1H_normal.jpg","View")</f>
        <v>View</v>
      </c>
      <c r="P679" s="10"/>
    </row>
    <row r="680" customFormat="false" ht="15.75" hidden="false" customHeight="false" outlineLevel="0" collapsed="false">
      <c r="A680" s="6" t="n">
        <v>43029.4179513889</v>
      </c>
      <c r="B680" s="7" t="str">
        <f aca="false">HYPERLINK("https://twitter.com/mlqdinh","@mlqdinh")</f>
        <v>@mlqdinh</v>
      </c>
      <c r="C680" s="8" t="s">
        <v>1905</v>
      </c>
      <c r="D680" s="8" t="s">
        <v>1899</v>
      </c>
      <c r="E680" s="9" t="str">
        <f aca="false">HYPERLINK("https://twitter.com/mlqdinh/status/921783602815287296","921783602815287296")</f>
        <v>921783602815287296</v>
      </c>
      <c r="F680" s="10" t="s">
        <v>98</v>
      </c>
      <c r="G680" s="10" t="n">
        <v>35</v>
      </c>
      <c r="H680" s="10" t="n">
        <v>220</v>
      </c>
      <c r="I680" s="10" t="n">
        <v>11</v>
      </c>
      <c r="J680" s="10" t="n">
        <v>0</v>
      </c>
      <c r="K680" s="10" t="s">
        <v>20</v>
      </c>
      <c r="L680" s="11" t="n">
        <v>40483.7477777778</v>
      </c>
      <c r="M680" s="12" t="s">
        <v>1906</v>
      </c>
      <c r="N680" s="12" t="s">
        <v>1907</v>
      </c>
      <c r="O680" s="9" t="str">
        <f aca="false">HYPERLINK("https://pbs.twimg.com/profile_images/611787801974083584/457prqi2_normal.jpg","View")</f>
        <v>View</v>
      </c>
      <c r="P680" s="10"/>
    </row>
    <row r="681" customFormat="false" ht="15.75" hidden="false" customHeight="false" outlineLevel="0" collapsed="false">
      <c r="A681" s="6" t="n">
        <v>43029.4183217593</v>
      </c>
      <c r="B681" s="7" t="str">
        <f aca="false">HYPERLINK("https://twitter.com/BSAFunds","@BSAFunds")</f>
        <v>@BSAFunds</v>
      </c>
      <c r="C681" s="8" t="s">
        <v>924</v>
      </c>
      <c r="D681" s="8" t="s">
        <v>1908</v>
      </c>
      <c r="E681" s="9" t="str">
        <f aca="false">HYPERLINK("https://twitter.com/BSAFunds/status/921783739088277504","921783739088277504")</f>
        <v>921783739088277504</v>
      </c>
      <c r="F681" s="10" t="s">
        <v>60</v>
      </c>
      <c r="G681" s="10" t="n">
        <v>20871</v>
      </c>
      <c r="H681" s="10" t="n">
        <v>8926</v>
      </c>
      <c r="I681" s="10" t="n">
        <v>0</v>
      </c>
      <c r="J681" s="10" t="n">
        <v>0</v>
      </c>
      <c r="K681" s="10" t="s">
        <v>20</v>
      </c>
      <c r="L681" s="11" t="n">
        <v>42601.9481828704</v>
      </c>
      <c r="M681" s="12" t="s">
        <v>312</v>
      </c>
      <c r="N681" s="12" t="s">
        <v>926</v>
      </c>
      <c r="O681" s="9" t="str">
        <f aca="false">HYPERLINK("https://pbs.twimg.com/profile_images/912769166960033792/N4LAmrTs_normal.jpg","View")</f>
        <v>View</v>
      </c>
      <c r="P681" s="10"/>
    </row>
    <row r="682" customFormat="false" ht="15.75" hidden="false" customHeight="false" outlineLevel="0" collapsed="false">
      <c r="A682" s="6" t="n">
        <v>43029.4240856482</v>
      </c>
      <c r="B682" s="7" t="str">
        <f aca="false">HYPERLINK("https://twitter.com/JasonPridgenMi","@JasonPridgenMi")</f>
        <v>@JasonPridgenMi</v>
      </c>
      <c r="C682" s="8" t="s">
        <v>1909</v>
      </c>
      <c r="D682" s="8" t="s">
        <v>1910</v>
      </c>
      <c r="E682" s="9" t="str">
        <f aca="false">HYPERLINK("https://twitter.com/JasonPridgenMi/status/921785824789835776","921785824789835776")</f>
        <v>921785824789835776</v>
      </c>
      <c r="F682" s="10" t="s">
        <v>1911</v>
      </c>
      <c r="G682" s="10" t="n">
        <v>1445</v>
      </c>
      <c r="H682" s="10" t="n">
        <v>1314</v>
      </c>
      <c r="I682" s="10" t="n">
        <v>5</v>
      </c>
      <c r="J682" s="10" t="n">
        <v>0</v>
      </c>
      <c r="K682" s="10" t="s">
        <v>20</v>
      </c>
      <c r="L682" s="11" t="n">
        <v>41433.3542592593</v>
      </c>
      <c r="M682" s="12" t="s">
        <v>1912</v>
      </c>
      <c r="N682" s="12" t="s">
        <v>1913</v>
      </c>
      <c r="O682" s="9" t="str">
        <f aca="false">HYPERLINK("https://pbs.twimg.com/profile_images/3772116148/3ea7c125b840478de4ec6ed014e3ecfc_normal.jpeg","View")</f>
        <v>View</v>
      </c>
      <c r="P682" s="10"/>
    </row>
    <row r="683" customFormat="false" ht="15.75" hidden="false" customHeight="false" outlineLevel="0" collapsed="false">
      <c r="A683" s="6" t="n">
        <v>43029.4247337963</v>
      </c>
      <c r="B683" s="7" t="str">
        <f aca="false">HYPERLINK("https://twitter.com/makisstasinos","@makisstasinos")</f>
        <v>@makisstasinos</v>
      </c>
      <c r="C683" s="8" t="s">
        <v>1914</v>
      </c>
      <c r="D683" s="8" t="s">
        <v>1910</v>
      </c>
      <c r="E683" s="9" t="str">
        <f aca="false">HYPERLINK("https://twitter.com/makisstasinos/status/921786058890711040","921786058890711040")</f>
        <v>921786058890711040</v>
      </c>
      <c r="F683" s="10" t="s">
        <v>177</v>
      </c>
      <c r="G683" s="10" t="n">
        <v>454</v>
      </c>
      <c r="H683" s="10" t="n">
        <v>498</v>
      </c>
      <c r="I683" s="10" t="n">
        <v>5</v>
      </c>
      <c r="J683" s="10" t="n">
        <v>0</v>
      </c>
      <c r="K683" s="10" t="s">
        <v>20</v>
      </c>
      <c r="L683" s="11" t="n">
        <v>41119.4202430556</v>
      </c>
      <c r="M683" s="12" t="s">
        <v>1915</v>
      </c>
      <c r="N683" s="12" t="s">
        <v>1916</v>
      </c>
      <c r="O683" s="9" t="str">
        <f aca="false">HYPERLINK("https://pbs.twimg.com/profile_images/378800000524335150/ee36ec3215ee61bc1d3a1f0476348c69_normal.jpeg","View")</f>
        <v>View</v>
      </c>
      <c r="P683" s="10"/>
    </row>
    <row r="684" customFormat="false" ht="15.75" hidden="false" customHeight="false" outlineLevel="0" collapsed="false">
      <c r="A684" s="6" t="n">
        <v>43029.4249421296</v>
      </c>
      <c r="B684" s="7" t="str">
        <f aca="false">HYPERLINK("https://twitter.com/porridgeisgood","@porridgeisgood")</f>
        <v>@porridgeisgood</v>
      </c>
      <c r="C684" s="8" t="s">
        <v>1917</v>
      </c>
      <c r="D684" s="8" t="s">
        <v>1818</v>
      </c>
      <c r="E684" s="9" t="str">
        <f aca="false">HYPERLINK("https://twitter.com/porridgeisgood/status/921786134887305216","921786134887305216")</f>
        <v>921786134887305216</v>
      </c>
      <c r="F684" s="10" t="s">
        <v>51</v>
      </c>
      <c r="G684" s="10" t="n">
        <v>3007</v>
      </c>
      <c r="H684" s="10" t="n">
        <v>2421</v>
      </c>
      <c r="I684" s="10" t="n">
        <v>12</v>
      </c>
      <c r="J684" s="10" t="n">
        <v>0</v>
      </c>
      <c r="K684" s="10" t="s">
        <v>20</v>
      </c>
      <c r="L684" s="11" t="n">
        <v>41891.526712963</v>
      </c>
      <c r="M684" s="12"/>
      <c r="N684" s="12"/>
      <c r="O684" s="9" t="str">
        <f aca="false">HYPERLINK("https://pbs.twimg.com/profile_images/920128046795055110/q_tpU9HX_normal.jpg","View")</f>
        <v>View</v>
      </c>
      <c r="P684" s="10"/>
    </row>
    <row r="685" customFormat="false" ht="15.75" hidden="false" customHeight="false" outlineLevel="0" collapsed="false">
      <c r="A685" s="6" t="n">
        <v>43029.4253009259</v>
      </c>
      <c r="B685" s="7" t="str">
        <f aca="false">HYPERLINK("https://twitter.com/Bliadhnaichean","@Bliadhnaichean")</f>
        <v>@Bliadhnaichean</v>
      </c>
      <c r="C685" s="8" t="s">
        <v>1918</v>
      </c>
      <c r="D685" s="8" t="s">
        <v>1818</v>
      </c>
      <c r="E685" s="9" t="str">
        <f aca="false">HYPERLINK("https://twitter.com/Bliadhnaichean/status/921786266189955073","921786266189955073")</f>
        <v>921786266189955073</v>
      </c>
      <c r="F685" s="10" t="s">
        <v>98</v>
      </c>
      <c r="G685" s="10" t="n">
        <v>2241</v>
      </c>
      <c r="H685" s="10" t="n">
        <v>437</v>
      </c>
      <c r="I685" s="10" t="n">
        <v>12</v>
      </c>
      <c r="J685" s="10" t="n">
        <v>0</v>
      </c>
      <c r="K685" s="10" t="s">
        <v>20</v>
      </c>
      <c r="L685" s="11" t="n">
        <v>40738.4901851852</v>
      </c>
      <c r="M685" s="12" t="s">
        <v>1919</v>
      </c>
      <c r="N685" s="12" t="s">
        <v>1920</v>
      </c>
      <c r="O685" s="9" t="str">
        <f aca="false">HYPERLINK("https://pbs.twimg.com/profile_images/3351870634/761f907b6e30e473ec0b57631cdf127e_normal.jpeg","View")</f>
        <v>View</v>
      </c>
      <c r="P685" s="10"/>
    </row>
    <row r="686" customFormat="false" ht="15.75" hidden="false" customHeight="false" outlineLevel="0" collapsed="false">
      <c r="A686" s="6" t="n">
        <v>43029.4268287037</v>
      </c>
      <c r="B686" s="7" t="str">
        <f aca="false">HYPERLINK("https://twitter.com/writetodelight","@writetodelight")</f>
        <v>@writetodelight</v>
      </c>
      <c r="C686" s="8" t="s">
        <v>1921</v>
      </c>
      <c r="D686" s="8" t="s">
        <v>1910</v>
      </c>
      <c r="E686" s="9" t="str">
        <f aca="false">HYPERLINK("https://twitter.com/writetodelight/status/921786821146750977","921786821146750977")</f>
        <v>921786821146750977</v>
      </c>
      <c r="F686" s="10" t="s">
        <v>1017</v>
      </c>
      <c r="G686" s="10" t="n">
        <v>131</v>
      </c>
      <c r="H686" s="10" t="n">
        <v>38</v>
      </c>
      <c r="I686" s="10" t="n">
        <v>5</v>
      </c>
      <c r="J686" s="10" t="n">
        <v>0</v>
      </c>
      <c r="K686" s="10" t="s">
        <v>20</v>
      </c>
      <c r="L686" s="11" t="n">
        <v>41808.1518055556</v>
      </c>
      <c r="M686" s="12"/>
      <c r="N686" s="12" t="s">
        <v>1922</v>
      </c>
      <c r="O686" s="9" t="str">
        <f aca="false">HYPERLINK("https://pbs.twimg.com/profile_images/884666311128870912/Wgfc_YUA_normal.jpg","View")</f>
        <v>View</v>
      </c>
      <c r="P686" s="10"/>
    </row>
    <row r="687" customFormat="false" ht="15.75" hidden="false" customHeight="false" outlineLevel="0" collapsed="false">
      <c r="A687" s="6" t="n">
        <v>43029.4276273148</v>
      </c>
      <c r="B687" s="7" t="str">
        <f aca="false">HYPERLINK("https://twitter.com/DishMurphy","@DishMurphy")</f>
        <v>@DishMurphy</v>
      </c>
      <c r="C687" s="8" t="s">
        <v>1923</v>
      </c>
      <c r="D687" s="8" t="s">
        <v>1899</v>
      </c>
      <c r="E687" s="9" t="str">
        <f aca="false">HYPERLINK("https://twitter.com/DishMurphy/status/921787107802275842","921787107802275842")</f>
        <v>921787107802275842</v>
      </c>
      <c r="F687" s="10" t="s">
        <v>51</v>
      </c>
      <c r="G687" s="10" t="n">
        <v>346</v>
      </c>
      <c r="H687" s="10" t="n">
        <v>750</v>
      </c>
      <c r="I687" s="10" t="n">
        <v>11</v>
      </c>
      <c r="J687" s="10" t="n">
        <v>0</v>
      </c>
      <c r="K687" s="10" t="s">
        <v>20</v>
      </c>
      <c r="L687" s="11" t="n">
        <v>42167.5650694445</v>
      </c>
      <c r="M687" s="12" t="s">
        <v>230</v>
      </c>
      <c r="N687" s="12" t="s">
        <v>1924</v>
      </c>
      <c r="O687" s="9" t="str">
        <f aca="false">HYPERLINK("https://pbs.twimg.com/profile_images/823388145966313473/sJi_sYAi_normal.jpg","View")</f>
        <v>View</v>
      </c>
      <c r="P687" s="10"/>
    </row>
    <row r="688" customFormat="false" ht="15.75" hidden="false" customHeight="false" outlineLevel="0" collapsed="false">
      <c r="A688" s="6" t="n">
        <v>43029.4320717593</v>
      </c>
      <c r="B688" s="7" t="str">
        <f aca="false">HYPERLINK("https://twitter.com/karaguzel_","@karaguzel_")</f>
        <v>@karaguzel_</v>
      </c>
      <c r="C688" s="8" t="s">
        <v>1925</v>
      </c>
      <c r="D688" s="8" t="s">
        <v>1556</v>
      </c>
      <c r="E688" s="9" t="str">
        <f aca="false">HYPERLINK("https://twitter.com/karaguzel_/status/921788719115403265","921788719115403265")</f>
        <v>921788719115403265</v>
      </c>
      <c r="F688" s="10" t="s">
        <v>51</v>
      </c>
      <c r="G688" s="10" t="n">
        <v>55</v>
      </c>
      <c r="H688" s="10" t="n">
        <v>103</v>
      </c>
      <c r="I688" s="10" t="n">
        <v>5</v>
      </c>
      <c r="J688" s="10" t="n">
        <v>0</v>
      </c>
      <c r="K688" s="10" t="s">
        <v>20</v>
      </c>
      <c r="L688" s="11" t="n">
        <v>40868.4727199074</v>
      </c>
      <c r="M688" s="12"/>
      <c r="N688" s="12"/>
      <c r="O688" s="9" t="str">
        <f aca="false">HYPERLINK("https://pbs.twimg.com/profile_images/849999499980414976/FqC9kYZi_normal.jpg","View")</f>
        <v>View</v>
      </c>
      <c r="P688" s="10"/>
    </row>
    <row r="689" customFormat="false" ht="15.75" hidden="false" customHeight="false" outlineLevel="0" collapsed="false">
      <c r="A689" s="6" t="n">
        <v>43029.4435648148</v>
      </c>
      <c r="B689" s="7" t="str">
        <f aca="false">HYPERLINK("https://twitter.com/silverslumber77","@silverslumber77")</f>
        <v>@silverslumber77</v>
      </c>
      <c r="C689" s="8" t="s">
        <v>1926</v>
      </c>
      <c r="D689" s="8" t="s">
        <v>1910</v>
      </c>
      <c r="E689" s="9" t="str">
        <f aca="false">HYPERLINK("https://twitter.com/silverslumber77/status/921792885170647040","921792885170647040")</f>
        <v>921792885170647040</v>
      </c>
      <c r="F689" s="10" t="s">
        <v>39</v>
      </c>
      <c r="G689" s="10" t="n">
        <v>149</v>
      </c>
      <c r="H689" s="10" t="n">
        <v>127</v>
      </c>
      <c r="I689" s="10" t="n">
        <v>5</v>
      </c>
      <c r="J689" s="10" t="n">
        <v>0</v>
      </c>
      <c r="K689" s="10" t="s">
        <v>20</v>
      </c>
      <c r="L689" s="11" t="n">
        <v>40189.1200462963</v>
      </c>
      <c r="M689" s="12"/>
      <c r="N689" s="12"/>
      <c r="O689" s="9" t="str">
        <f aca="false">HYPERLINK("https://pbs.twimg.com/profile_images/778123860/0_normal.jpg","View")</f>
        <v>View</v>
      </c>
      <c r="P689" s="10"/>
    </row>
    <row r="690" customFormat="false" ht="15.75" hidden="false" customHeight="false" outlineLevel="0" collapsed="false">
      <c r="A690" s="6" t="n">
        <v>43029.4449421296</v>
      </c>
      <c r="B690" s="7" t="str">
        <f aca="false">HYPERLINK("https://twitter.com/CA_Streaming","@CA_Streaming")</f>
        <v>@CA_Streaming</v>
      </c>
      <c r="C690" s="8" t="s">
        <v>1927</v>
      </c>
      <c r="D690" s="8" t="s">
        <v>1818</v>
      </c>
      <c r="E690" s="9" t="str">
        <f aca="false">HYPERLINK("https://twitter.com/CA_Streaming/status/921793383319949312","921793383319949312")</f>
        <v>921793383319949312</v>
      </c>
      <c r="F690" s="10" t="s">
        <v>51</v>
      </c>
      <c r="G690" s="10" t="n">
        <v>926</v>
      </c>
      <c r="H690" s="10" t="n">
        <v>3525</v>
      </c>
      <c r="I690" s="10" t="n">
        <v>12</v>
      </c>
      <c r="J690" s="10" t="n">
        <v>0</v>
      </c>
      <c r="K690" s="10" t="s">
        <v>20</v>
      </c>
      <c r="L690" s="11" t="n">
        <v>42282.0750810185</v>
      </c>
      <c r="M690" s="12" t="s">
        <v>1928</v>
      </c>
      <c r="N690" s="12" t="s">
        <v>1929</v>
      </c>
      <c r="O690" s="9" t="str">
        <f aca="false">HYPERLINK("https://pbs.twimg.com/profile_images/651009082401275905/mRcyMlhX_normal.png","View")</f>
        <v>View</v>
      </c>
      <c r="P690" s="10"/>
    </row>
    <row r="691" customFormat="false" ht="15.75" hidden="false" customHeight="false" outlineLevel="0" collapsed="false">
      <c r="A691" s="6" t="n">
        <v>43029.4682523148</v>
      </c>
      <c r="B691" s="7" t="str">
        <f aca="false">HYPERLINK("https://twitter.com/NewsDingo","@NewsDingo")</f>
        <v>@NewsDingo</v>
      </c>
      <c r="C691" s="8" t="s">
        <v>1930</v>
      </c>
      <c r="D691" s="8" t="s">
        <v>1931</v>
      </c>
      <c r="E691" s="9" t="str">
        <f aca="false">HYPERLINK("https://twitter.com/NewsDingo/status/921801831562534912","921801831562534912")</f>
        <v>921801831562534912</v>
      </c>
      <c r="F691" s="10" t="s">
        <v>1932</v>
      </c>
      <c r="G691" s="10" t="n">
        <v>141</v>
      </c>
      <c r="H691" s="10" t="n">
        <v>55</v>
      </c>
      <c r="I691" s="10" t="n">
        <v>0</v>
      </c>
      <c r="J691" s="10" t="n">
        <v>0</v>
      </c>
      <c r="K691" s="10" t="s">
        <v>20</v>
      </c>
      <c r="L691" s="11" t="n">
        <v>40282.5263657407</v>
      </c>
      <c r="M691" s="12" t="s">
        <v>1933</v>
      </c>
      <c r="N691" s="12" t="s">
        <v>1934</v>
      </c>
      <c r="O691" s="9" t="str">
        <f aca="false">HYPERLINK("https://pbs.twimg.com/profile_images/823485261/news_dingo_48_normal.gif","View")</f>
        <v>View</v>
      </c>
      <c r="P691" s="10"/>
    </row>
    <row r="692" customFormat="false" ht="15.75" hidden="false" customHeight="false" outlineLevel="0" collapsed="false">
      <c r="A692" s="6" t="n">
        <v>43029.4702430556</v>
      </c>
      <c r="B692" s="7" t="str">
        <f aca="false">HYPERLINK("https://twitter.com/Mark4124NH","@Mark4124NH")</f>
        <v>@Mark4124NH</v>
      </c>
      <c r="C692" s="8" t="s">
        <v>1935</v>
      </c>
      <c r="D692" s="8" t="s">
        <v>1899</v>
      </c>
      <c r="E692" s="9" t="str">
        <f aca="false">HYPERLINK("https://twitter.com/Mark4124NH/status/921802553683214337","921802553683214337")</f>
        <v>921802553683214337</v>
      </c>
      <c r="F692" s="10" t="s">
        <v>25</v>
      </c>
      <c r="G692" s="10" t="n">
        <v>2306</v>
      </c>
      <c r="H692" s="10" t="n">
        <v>3259</v>
      </c>
      <c r="I692" s="10" t="n">
        <v>11</v>
      </c>
      <c r="J692" s="10" t="n">
        <v>0</v>
      </c>
      <c r="K692" s="10" t="s">
        <v>20</v>
      </c>
      <c r="L692" s="11" t="n">
        <v>39993.7375578704</v>
      </c>
      <c r="M692" s="12" t="s">
        <v>1936</v>
      </c>
      <c r="N692" s="12" t="s">
        <v>1937</v>
      </c>
      <c r="O692" s="9" t="str">
        <f aca="false">HYPERLINK("https://pbs.twimg.com/profile_images/888606895325536256/6QQPSmKk_normal.jpg","View")</f>
        <v>View</v>
      </c>
      <c r="P692" s="10"/>
    </row>
    <row r="693" customFormat="false" ht="15.75" hidden="false" customHeight="false" outlineLevel="0" collapsed="false">
      <c r="A693" s="6" t="n">
        <v>43029.4794328704</v>
      </c>
      <c r="B693" s="7" t="str">
        <f aca="false">HYPERLINK("https://twitter.com/NewsDingo","@NewsDingo")</f>
        <v>@NewsDingo</v>
      </c>
      <c r="C693" s="8" t="s">
        <v>1930</v>
      </c>
      <c r="D693" s="8" t="s">
        <v>1938</v>
      </c>
      <c r="E693" s="9" t="str">
        <f aca="false">HYPERLINK("https://twitter.com/NewsDingo/status/921805883268567040","921805883268567040")</f>
        <v>921805883268567040</v>
      </c>
      <c r="F693" s="10" t="s">
        <v>1932</v>
      </c>
      <c r="G693" s="10" t="n">
        <v>141</v>
      </c>
      <c r="H693" s="10" t="n">
        <v>55</v>
      </c>
      <c r="I693" s="10" t="n">
        <v>0</v>
      </c>
      <c r="J693" s="10" t="n">
        <v>0</v>
      </c>
      <c r="K693" s="10" t="s">
        <v>20</v>
      </c>
      <c r="L693" s="11" t="n">
        <v>40282.5263657407</v>
      </c>
      <c r="M693" s="12" t="s">
        <v>1933</v>
      </c>
      <c r="N693" s="12" t="s">
        <v>1934</v>
      </c>
      <c r="O693" s="9" t="str">
        <f aca="false">HYPERLINK("https://pbs.twimg.com/profile_images/823485261/news_dingo_48_normal.gif","View")</f>
        <v>View</v>
      </c>
      <c r="P693" s="10"/>
    </row>
    <row r="694" customFormat="false" ht="15.75" hidden="false" customHeight="false" outlineLevel="0" collapsed="false">
      <c r="A694" s="6" t="n">
        <v>43029.489525463</v>
      </c>
      <c r="B694" s="7" t="str">
        <f aca="false">HYPERLINK("https://twitter.com/mysourcespot","@mysourcespot")</f>
        <v>@mysourcespot</v>
      </c>
      <c r="C694" s="8" t="s">
        <v>1939</v>
      </c>
      <c r="D694" s="8" t="s">
        <v>1940</v>
      </c>
      <c r="E694" s="9" t="str">
        <f aca="false">HYPERLINK("https://twitter.com/mysourcespot/status/921809538940133376","921809538940133376")</f>
        <v>921809538940133376</v>
      </c>
      <c r="F694" s="9" t="s">
        <v>979</v>
      </c>
      <c r="G694" s="10" t="n">
        <v>77</v>
      </c>
      <c r="H694" s="10" t="n">
        <v>784</v>
      </c>
      <c r="I694" s="10" t="n">
        <v>0</v>
      </c>
      <c r="J694" s="10" t="n">
        <v>0</v>
      </c>
      <c r="K694" s="10" t="s">
        <v>20</v>
      </c>
      <c r="L694" s="11" t="n">
        <v>42766.0634027778</v>
      </c>
      <c r="M694" s="12"/>
      <c r="N694" s="12"/>
      <c r="O694" s="9" t="str">
        <f aca="false">HYPERLINK("https://pbs.twimg.com/profile_images/826363423927713794/FKQplekc_normal.jpg","View")</f>
        <v>View</v>
      </c>
      <c r="P694" s="10"/>
    </row>
    <row r="695" customFormat="false" ht="15.75" hidden="false" customHeight="false" outlineLevel="0" collapsed="false">
      <c r="A695" s="6" t="n">
        <v>43029.4995833333</v>
      </c>
      <c r="B695" s="7" t="str">
        <f aca="false">HYPERLINK("https://twitter.com/periodicalw","@periodicalw")</f>
        <v>@periodicalw</v>
      </c>
      <c r="C695" s="8" t="s">
        <v>1941</v>
      </c>
      <c r="D695" s="8" t="s">
        <v>1942</v>
      </c>
      <c r="E695" s="9" t="str">
        <f aca="false">HYPERLINK("https://twitter.com/periodicalw/status/921813186462011393","921813186462011393")</f>
        <v>921813186462011393</v>
      </c>
      <c r="F695" s="10" t="s">
        <v>60</v>
      </c>
      <c r="G695" s="10" t="n">
        <v>12</v>
      </c>
      <c r="H695" s="10" t="n">
        <v>0</v>
      </c>
      <c r="I695" s="10" t="n">
        <v>0</v>
      </c>
      <c r="J695" s="10" t="n">
        <v>0</v>
      </c>
      <c r="K695" s="10" t="s">
        <v>20</v>
      </c>
      <c r="L695" s="11" t="n">
        <v>42054.98625</v>
      </c>
      <c r="M695" s="12"/>
      <c r="N695" s="12" t="s">
        <v>1943</v>
      </c>
      <c r="O695" s="9" t="str">
        <f aca="false">HYPERLINK("https://pbs.twimg.com/profile_images/919747762345906181/R3fj25Fb_normal.jpg","View")</f>
        <v>View</v>
      </c>
      <c r="P695" s="10"/>
    </row>
    <row r="696" customFormat="false" ht="15.75" hidden="false" customHeight="false" outlineLevel="0" collapsed="false">
      <c r="A696" s="6" t="n">
        <v>43029.4996643519</v>
      </c>
      <c r="B696" s="7" t="str">
        <f aca="false">HYPERLINK("https://twitter.com/nyiint","@nyiint")</f>
        <v>@nyiint</v>
      </c>
      <c r="C696" s="8" t="s">
        <v>1944</v>
      </c>
      <c r="D696" s="8" t="s">
        <v>1945</v>
      </c>
      <c r="E696" s="9" t="str">
        <f aca="false">HYPERLINK("https://twitter.com/nyiint/status/921813215360806912","921813215360806912")</f>
        <v>921813215360806912</v>
      </c>
      <c r="F696" s="10" t="s">
        <v>60</v>
      </c>
      <c r="G696" s="10" t="n">
        <v>15</v>
      </c>
      <c r="H696" s="10" t="n">
        <v>0</v>
      </c>
      <c r="I696" s="10" t="n">
        <v>0</v>
      </c>
      <c r="J696" s="10" t="n">
        <v>0</v>
      </c>
      <c r="K696" s="10" t="s">
        <v>20</v>
      </c>
      <c r="L696" s="11" t="n">
        <v>42982.2382175926</v>
      </c>
      <c r="M696" s="12" t="s">
        <v>1946</v>
      </c>
      <c r="N696" s="12" t="s">
        <v>1947</v>
      </c>
      <c r="O696" s="9" t="str">
        <f aca="false">HYPERLINK("https://pbs.twimg.com/profile_images/912810467730403330/LNww9UbF_normal.jpg","View")</f>
        <v>View</v>
      </c>
      <c r="P696" s="10"/>
    </row>
    <row r="697" customFormat="false" ht="15.75" hidden="false" customHeight="false" outlineLevel="0" collapsed="false">
      <c r="A697" s="6" t="n">
        <v>43029.4997800926</v>
      </c>
      <c r="B697" s="7" t="str">
        <f aca="false">HYPERLINK("https://twitter.com/ColumnistWorld","@ColumnistWorld")</f>
        <v>@ColumnistWorld</v>
      </c>
      <c r="C697" s="8" t="s">
        <v>1948</v>
      </c>
      <c r="D697" s="8" t="s">
        <v>1949</v>
      </c>
      <c r="E697" s="9" t="str">
        <f aca="false">HYPERLINK("https://twitter.com/ColumnistWorld/status/921813258687967232","921813258687967232")</f>
        <v>921813258687967232</v>
      </c>
      <c r="F697" s="10" t="s">
        <v>60</v>
      </c>
      <c r="G697" s="10" t="n">
        <v>26</v>
      </c>
      <c r="H697" s="10" t="n">
        <v>0</v>
      </c>
      <c r="I697" s="10" t="n">
        <v>0</v>
      </c>
      <c r="J697" s="10" t="n">
        <v>0</v>
      </c>
      <c r="K697" s="10" t="s">
        <v>20</v>
      </c>
      <c r="L697" s="11" t="n">
        <v>42370.4836805556</v>
      </c>
      <c r="M697" s="12"/>
      <c r="N697" s="12" t="s">
        <v>1950</v>
      </c>
      <c r="O697" s="9" t="str">
        <f aca="false">HYPERLINK("https://pbs.twimg.com/profile_images/918677245367111680/nbvPzXP0_normal.jpg","View")</f>
        <v>View</v>
      </c>
      <c r="P697" s="10"/>
    </row>
    <row r="698" customFormat="false" ht="15.75" hidden="false" customHeight="false" outlineLevel="0" collapsed="false">
      <c r="A698" s="6" t="n">
        <v>43029.5011342593</v>
      </c>
      <c r="B698" s="7" t="str">
        <f aca="false">HYPERLINK("https://twitter.com/TribuneWorld","@TribuneWorld")</f>
        <v>@TribuneWorld</v>
      </c>
      <c r="C698" s="8" t="s">
        <v>1951</v>
      </c>
      <c r="D698" s="8" t="s">
        <v>1952</v>
      </c>
      <c r="E698" s="9" t="str">
        <f aca="false">HYPERLINK("https://twitter.com/TribuneWorld/status/921813749027270657","921813749027270657")</f>
        <v>921813749027270657</v>
      </c>
      <c r="F698" s="10" t="s">
        <v>60</v>
      </c>
      <c r="G698" s="10" t="n">
        <v>95</v>
      </c>
      <c r="H698" s="10" t="n">
        <v>0</v>
      </c>
      <c r="I698" s="10" t="n">
        <v>0</v>
      </c>
      <c r="J698" s="10" t="n">
        <v>0</v>
      </c>
      <c r="K698" s="10" t="s">
        <v>20</v>
      </c>
      <c r="L698" s="11" t="n">
        <v>42502.3521990741</v>
      </c>
      <c r="M698" s="12" t="s">
        <v>357</v>
      </c>
      <c r="N698" s="12" t="s">
        <v>1953</v>
      </c>
      <c r="O698" s="9" t="str">
        <f aca="false">HYPERLINK("https://pbs.twimg.com/profile_images/884044391823712256/EmtohZxH_normal.jpg","View")</f>
        <v>View</v>
      </c>
      <c r="P698" s="10"/>
    </row>
    <row r="699" customFormat="false" ht="15.75" hidden="false" customHeight="false" outlineLevel="0" collapsed="false">
      <c r="A699" s="6" t="n">
        <v>43029.5029513889</v>
      </c>
      <c r="B699" s="7" t="str">
        <f aca="false">HYPERLINK("https://twitter.com/ebirobu","@ebirobu")</f>
        <v>@ebirobu</v>
      </c>
      <c r="C699" s="8" t="s">
        <v>1954</v>
      </c>
      <c r="D699" s="8" t="s">
        <v>1748</v>
      </c>
      <c r="E699" s="9" t="str">
        <f aca="false">HYPERLINK("https://twitter.com/ebirobu/status/921814407625154560","921814407625154560")</f>
        <v>921814407625154560</v>
      </c>
      <c r="F699" s="10" t="s">
        <v>51</v>
      </c>
      <c r="G699" s="10" t="n">
        <v>1002</v>
      </c>
      <c r="H699" s="10" t="n">
        <v>1854</v>
      </c>
      <c r="I699" s="10" t="n">
        <v>8</v>
      </c>
      <c r="J699" s="10" t="n">
        <v>0</v>
      </c>
      <c r="K699" s="10" t="s">
        <v>20</v>
      </c>
      <c r="L699" s="11" t="n">
        <v>40781.4045717593</v>
      </c>
      <c r="M699" s="13" t="s">
        <v>1955</v>
      </c>
      <c r="N699" s="13" t="s">
        <v>1956</v>
      </c>
      <c r="O699" s="9" t="str">
        <f aca="false">HYPERLINK("https://pbs.twimg.com/profile_images/1879374758/icon_Toro_normal.jpg","View")</f>
        <v>View</v>
      </c>
      <c r="P699" s="10"/>
    </row>
    <row r="700" customFormat="false" ht="15.75" hidden="false" customHeight="false" outlineLevel="0" collapsed="false">
      <c r="A700" s="6" t="n">
        <v>43029.5030439815</v>
      </c>
      <c r="B700" s="7" t="str">
        <f aca="false">HYPERLINK("https://twitter.com/AllNewsNetWorld","@AllNewsNetWorld")</f>
        <v>@AllNewsNetWorld</v>
      </c>
      <c r="C700" s="8" t="s">
        <v>1957</v>
      </c>
      <c r="D700" s="8" t="s">
        <v>1958</v>
      </c>
      <c r="E700" s="9" t="str">
        <f aca="false">HYPERLINK("https://twitter.com/AllNewsNetWorld/status/921814440164675584","921814440164675584")</f>
        <v>921814440164675584</v>
      </c>
      <c r="F700" s="10" t="s">
        <v>60</v>
      </c>
      <c r="G700" s="10" t="n">
        <v>32</v>
      </c>
      <c r="H700" s="10" t="n">
        <v>19</v>
      </c>
      <c r="I700" s="10" t="n">
        <v>0</v>
      </c>
      <c r="J700" s="10" t="n">
        <v>0</v>
      </c>
      <c r="K700" s="10" t="s">
        <v>20</v>
      </c>
      <c r="L700" s="11" t="n">
        <v>41463.4961458333</v>
      </c>
      <c r="M700" s="12"/>
      <c r="N700" s="12"/>
      <c r="O700" s="9" t="str">
        <f aca="false">HYPERLINK("https://abs.twimg.com/sticky/default_profile_images/default_profile_normal.png","View")</f>
        <v>View</v>
      </c>
      <c r="P700" s="10"/>
    </row>
    <row r="701" customFormat="false" ht="15.75" hidden="false" customHeight="false" outlineLevel="0" collapsed="false">
      <c r="A701" s="6" t="n">
        <v>43029.5105902778</v>
      </c>
      <c r="B701" s="7" t="str">
        <f aca="false">HYPERLINK("https://twitter.com/Oscardelrio46g1","@Oscardelrio46g1")</f>
        <v>@Oscardelrio46g1</v>
      </c>
      <c r="C701" s="8" t="s">
        <v>1959</v>
      </c>
      <c r="D701" s="8" t="s">
        <v>1960</v>
      </c>
      <c r="E701" s="9" t="str">
        <f aca="false">HYPERLINK("https://twitter.com/Oscardelrio46g1/status/921817175085723650","921817175085723650")</f>
        <v>921817175085723650</v>
      </c>
      <c r="F701" s="10" t="s">
        <v>51</v>
      </c>
      <c r="G701" s="10" t="n">
        <v>293</v>
      </c>
      <c r="H701" s="10" t="n">
        <v>211</v>
      </c>
      <c r="I701" s="10" t="n">
        <v>0</v>
      </c>
      <c r="J701" s="10" t="n">
        <v>0</v>
      </c>
      <c r="K701" s="10" t="s">
        <v>20</v>
      </c>
      <c r="L701" s="11" t="n">
        <v>42213.7261921296</v>
      </c>
      <c r="M701" s="12" t="s">
        <v>1961</v>
      </c>
      <c r="N701" s="12" t="s">
        <v>1962</v>
      </c>
      <c r="O701" s="9" t="str">
        <f aca="false">HYPERLINK("https://pbs.twimg.com/profile_images/743469552088948738/f46iXFIl_normal.jpg","View")</f>
        <v>View</v>
      </c>
      <c r="P701" s="10"/>
    </row>
    <row r="702" customFormat="false" ht="15.75" hidden="false" customHeight="false" outlineLevel="0" collapsed="false">
      <c r="A702" s="6" t="n">
        <v>43029.5116782407</v>
      </c>
      <c r="B702" s="7" t="str">
        <f aca="false">HYPERLINK("https://twitter.com/pykalisto_pasi","@pykalisto_pasi")</f>
        <v>@pykalisto_pasi</v>
      </c>
      <c r="C702" s="8" t="s">
        <v>1963</v>
      </c>
      <c r="D702" s="8" t="s">
        <v>1910</v>
      </c>
      <c r="E702" s="9" t="str">
        <f aca="false">HYPERLINK("https://twitter.com/pykalisto_pasi/status/921817568624758786","921817568624758786")</f>
        <v>921817568624758786</v>
      </c>
      <c r="F702" s="10" t="s">
        <v>1017</v>
      </c>
      <c r="G702" s="10" t="n">
        <v>207</v>
      </c>
      <c r="H702" s="10" t="n">
        <v>898</v>
      </c>
      <c r="I702" s="10" t="n">
        <v>5</v>
      </c>
      <c r="J702" s="10" t="n">
        <v>0</v>
      </c>
      <c r="K702" s="10" t="s">
        <v>20</v>
      </c>
      <c r="L702" s="11" t="n">
        <v>42037.4310185185</v>
      </c>
      <c r="M702" s="12" t="s">
        <v>1964</v>
      </c>
      <c r="N702" s="12" t="s">
        <v>1965</v>
      </c>
      <c r="O702" s="9" t="str">
        <f aca="false">HYPERLINK("https://pbs.twimg.com/profile_images/562315580473368577/XT5bstHM_normal.jpeg","View")</f>
        <v>View</v>
      </c>
      <c r="P702" s="10"/>
    </row>
    <row r="703" customFormat="false" ht="15.75" hidden="false" customHeight="false" outlineLevel="0" collapsed="false">
      <c r="A703" s="6" t="n">
        <v>43029.5184606482</v>
      </c>
      <c r="B703" s="7" t="str">
        <f aca="false">HYPERLINK("https://twitter.com/ladywhitepeace1","@ladywhitepeace1")</f>
        <v>@ladywhitepeace1</v>
      </c>
      <c r="C703" s="8" t="s">
        <v>1966</v>
      </c>
      <c r="D703" s="8" t="s">
        <v>1967</v>
      </c>
      <c r="E703" s="9" t="str">
        <f aca="false">HYPERLINK("https://twitter.com/ladywhitepeace1/status/921820025668878338","921820025668878338")</f>
        <v>921820025668878338</v>
      </c>
      <c r="F703" s="10" t="s">
        <v>51</v>
      </c>
      <c r="G703" s="10" t="n">
        <v>8996</v>
      </c>
      <c r="H703" s="10" t="n">
        <v>2922</v>
      </c>
      <c r="I703" s="10" t="n">
        <v>0</v>
      </c>
      <c r="J703" s="10" t="n">
        <v>0</v>
      </c>
      <c r="K703" s="10" t="s">
        <v>20</v>
      </c>
      <c r="L703" s="11" t="n">
        <v>40875.3281134259</v>
      </c>
      <c r="M703" s="12" t="s">
        <v>1968</v>
      </c>
      <c r="N703" s="12" t="s">
        <v>1969</v>
      </c>
      <c r="O703" s="9" t="str">
        <f aca="false">HYPERLINK("https://pbs.twimg.com/profile_images/892089484971458561/Yw7yQOrz_normal.jpg","View")</f>
        <v>View</v>
      </c>
      <c r="P703" s="10"/>
    </row>
    <row r="704" customFormat="false" ht="15.75" hidden="false" customHeight="false" outlineLevel="0" collapsed="false">
      <c r="A704" s="6" t="n">
        <v>43029.5247453704</v>
      </c>
      <c r="B704" s="7" t="str">
        <f aca="false">HYPERLINK("https://twitter.com/rinkeshind","@rinkeshind")</f>
        <v>@rinkeshind</v>
      </c>
      <c r="C704" s="8" t="s">
        <v>1970</v>
      </c>
      <c r="D704" s="8" t="s">
        <v>1971</v>
      </c>
      <c r="E704" s="9" t="str">
        <f aca="false">HYPERLINK("https://twitter.com/rinkeshind/status/921822304333578240","921822304333578240")</f>
        <v>921822304333578240</v>
      </c>
      <c r="F704" s="10" t="s">
        <v>25</v>
      </c>
      <c r="G704" s="10" t="n">
        <v>32</v>
      </c>
      <c r="H704" s="10" t="n">
        <v>62</v>
      </c>
      <c r="I704" s="10" t="n">
        <v>1</v>
      </c>
      <c r="J704" s="10" t="n">
        <v>0</v>
      </c>
      <c r="K704" s="10" t="s">
        <v>20</v>
      </c>
      <c r="L704" s="11" t="n">
        <v>40871.9704398148</v>
      </c>
      <c r="M704" s="12" t="s">
        <v>1972</v>
      </c>
      <c r="N704" s="12" t="s">
        <v>1973</v>
      </c>
      <c r="O704" s="9" t="str">
        <f aca="false">HYPERLINK("https://pbs.twimg.com/profile_images/921448204381536256/BmliwwwC_normal.jpg","View")</f>
        <v>View</v>
      </c>
      <c r="P704" s="10"/>
    </row>
    <row r="705" customFormat="false" ht="15.75" hidden="false" customHeight="false" outlineLevel="0" collapsed="false">
      <c r="A705" s="6" t="n">
        <v>43029.5362962963</v>
      </c>
      <c r="B705" s="7" t="str">
        <f aca="false">HYPERLINK("https://twitter.com/NTKRNow","@NTKRNow")</f>
        <v>@NTKRNow</v>
      </c>
      <c r="C705" s="8" t="s">
        <v>829</v>
      </c>
      <c r="D705" s="8" t="s">
        <v>1974</v>
      </c>
      <c r="E705" s="9" t="str">
        <f aca="false">HYPERLINK("https://twitter.com/NTKRNow/status/921826490551078913","921826490551078913")</f>
        <v>921826490551078913</v>
      </c>
      <c r="F705" s="10" t="s">
        <v>60</v>
      </c>
      <c r="G705" s="10" t="n">
        <v>610</v>
      </c>
      <c r="H705" s="10" t="n">
        <v>4</v>
      </c>
      <c r="I705" s="10" t="n">
        <v>0</v>
      </c>
      <c r="J705" s="10" t="n">
        <v>0</v>
      </c>
      <c r="K705" s="10" t="s">
        <v>20</v>
      </c>
      <c r="L705" s="11" t="n">
        <v>42402.810625</v>
      </c>
      <c r="M705" s="12"/>
      <c r="N705" s="12"/>
      <c r="O705" s="9" t="str">
        <f aca="false">HYPERLINK("https://abs.twimg.com/sticky/default_profile_images/default_profile_normal.png","View")</f>
        <v>View</v>
      </c>
      <c r="P705" s="10"/>
    </row>
    <row r="706" customFormat="false" ht="15.75" hidden="false" customHeight="false" outlineLevel="0" collapsed="false">
      <c r="A706" s="6" t="n">
        <v>43029.5390509259</v>
      </c>
      <c r="B706" s="7" t="str">
        <f aca="false">HYPERLINK("https://twitter.com/MarieVallaF24","@MarieVallaF24")</f>
        <v>@MarieVallaF24</v>
      </c>
      <c r="C706" s="8" t="s">
        <v>1975</v>
      </c>
      <c r="D706" s="8" t="s">
        <v>1976</v>
      </c>
      <c r="E706" s="9" t="str">
        <f aca="false">HYPERLINK("https://twitter.com/MarieVallaF24/status/921827489516748800","921827489516748800")</f>
        <v>921827489516748800</v>
      </c>
      <c r="F706" s="10" t="s">
        <v>39</v>
      </c>
      <c r="G706" s="10" t="n">
        <v>1550</v>
      </c>
      <c r="H706" s="10" t="n">
        <v>660</v>
      </c>
      <c r="I706" s="10" t="n">
        <v>1</v>
      </c>
      <c r="J706" s="10" t="n">
        <v>1</v>
      </c>
      <c r="K706" s="10" t="s">
        <v>20</v>
      </c>
      <c r="L706" s="11" t="n">
        <v>41477.142349537</v>
      </c>
      <c r="M706" s="12" t="s">
        <v>1754</v>
      </c>
      <c r="N706" s="12" t="s">
        <v>1977</v>
      </c>
      <c r="O706" s="9" t="str">
        <f aca="false">HYPERLINK("https://pbs.twimg.com/profile_images/537207264080171008/etNO35Yo_normal.jpeg","View")</f>
        <v>View</v>
      </c>
      <c r="P706" s="10"/>
    </row>
    <row r="707" customFormat="false" ht="15.75" hidden="false" customHeight="false" outlineLevel="0" collapsed="false">
      <c r="A707" s="6" t="n">
        <v>43029.5454861111</v>
      </c>
      <c r="B707" s="7" t="str">
        <f aca="false">HYPERLINK("https://twitter.com/NewsInnOfficial","@NewsInnOfficial")</f>
        <v>@NewsInnOfficial</v>
      </c>
      <c r="C707" s="8" t="s">
        <v>1978</v>
      </c>
      <c r="D707" s="8" t="s">
        <v>1979</v>
      </c>
      <c r="E707" s="9" t="str">
        <f aca="false">HYPERLINK("https://twitter.com/NewsInnOfficial/status/921829818886475777","921829818886475777")</f>
        <v>921829818886475777</v>
      </c>
      <c r="F707" s="9" t="s">
        <v>1980</v>
      </c>
      <c r="G707" s="10" t="n">
        <v>3184</v>
      </c>
      <c r="H707" s="10" t="n">
        <v>423</v>
      </c>
      <c r="I707" s="10" t="n">
        <v>0</v>
      </c>
      <c r="J707" s="10" t="n">
        <v>0</v>
      </c>
      <c r="K707" s="10" t="s">
        <v>20</v>
      </c>
      <c r="L707" s="11" t="n">
        <v>42261.0373032407</v>
      </c>
      <c r="M707" s="12"/>
      <c r="N707" s="12" t="s">
        <v>1981</v>
      </c>
      <c r="O707" s="9" t="str">
        <f aca="false">HYPERLINK("https://pbs.twimg.com/profile_images/643332184808357888/iflwS-R9_normal.png","View")</f>
        <v>View</v>
      </c>
      <c r="P707" s="10"/>
    </row>
    <row r="708" customFormat="false" ht="15.75" hidden="false" customHeight="false" outlineLevel="0" collapsed="false">
      <c r="A708" s="6" t="n">
        <v>43029.5604398148</v>
      </c>
      <c r="B708" s="7" t="str">
        <f aca="false">HYPERLINK("https://twitter.com/France_paris_","@France_paris_")</f>
        <v>@France_paris_</v>
      </c>
      <c r="C708" s="8" t="s">
        <v>1982</v>
      </c>
      <c r="D708" s="8" t="s">
        <v>1983</v>
      </c>
      <c r="E708" s="9" t="str">
        <f aca="false">HYPERLINK("https://twitter.com/France_paris_/status/921835240770772992","921835240770772992")</f>
        <v>921835240770772992</v>
      </c>
      <c r="F708" s="9" t="s">
        <v>1147</v>
      </c>
      <c r="G708" s="10" t="n">
        <v>341</v>
      </c>
      <c r="H708" s="10" t="n">
        <v>131</v>
      </c>
      <c r="I708" s="10" t="n">
        <v>0</v>
      </c>
      <c r="J708" s="10" t="n">
        <v>0</v>
      </c>
      <c r="K708" s="10" t="s">
        <v>20</v>
      </c>
      <c r="L708" s="11" t="n">
        <v>40425.3068287037</v>
      </c>
      <c r="M708" s="12"/>
      <c r="N708" s="12" t="s">
        <v>1984</v>
      </c>
      <c r="O708" s="9" t="str">
        <f aca="false">HYPERLINK("https://pbs.twimg.com/profile_images/1117155437/france_normal.jpg","View")</f>
        <v>View</v>
      </c>
      <c r="P708" s="10"/>
    </row>
    <row r="709" customFormat="false" ht="15.75" hidden="false" customHeight="false" outlineLevel="0" collapsed="false">
      <c r="A709" s="6" t="n">
        <v>43029.5604398148</v>
      </c>
      <c r="B709" s="7" t="str">
        <f aca="false">HYPERLINK("https://twitter.com/FranceForum","@FranceForum")</f>
        <v>@FranceForum</v>
      </c>
      <c r="C709" s="8" t="s">
        <v>1985</v>
      </c>
      <c r="D709" s="8" t="s">
        <v>1986</v>
      </c>
      <c r="E709" s="9" t="str">
        <f aca="false">HYPERLINK("https://twitter.com/FranceForum/status/921835241022435328","921835241022435328")</f>
        <v>921835241022435328</v>
      </c>
      <c r="F709" s="9" t="s">
        <v>1147</v>
      </c>
      <c r="G709" s="10" t="n">
        <v>12161</v>
      </c>
      <c r="H709" s="10" t="n">
        <v>11188</v>
      </c>
      <c r="I709" s="10" t="n">
        <v>0</v>
      </c>
      <c r="J709" s="10" t="n">
        <v>0</v>
      </c>
      <c r="K709" s="10" t="s">
        <v>20</v>
      </c>
      <c r="L709" s="11" t="n">
        <v>40333.0665046296</v>
      </c>
      <c r="M709" s="12"/>
      <c r="N709" s="12" t="s">
        <v>1987</v>
      </c>
      <c r="O709" s="9" t="str">
        <f aca="false">HYPERLINK("https://pbs.twimg.com/profile_images/958637794/france_normal.jpg","View")</f>
        <v>View</v>
      </c>
      <c r="P709" s="10"/>
    </row>
    <row r="710" customFormat="false" ht="15.75" hidden="false" customHeight="false" outlineLevel="0" collapsed="false">
      <c r="A710" s="6" t="n">
        <v>43029.5739930556</v>
      </c>
      <c r="B710" s="7" t="str">
        <f aca="false">HYPERLINK("https://twitter.com/__neiro","@__neiro")</f>
        <v>@__neiro</v>
      </c>
      <c r="C710" s="8" t="s">
        <v>1988</v>
      </c>
      <c r="D710" s="8" t="s">
        <v>1818</v>
      </c>
      <c r="E710" s="9" t="str">
        <f aca="false">HYPERLINK("https://twitter.com/__neiro/status/921840149704691712","921840149704691712")</f>
        <v>921840149704691712</v>
      </c>
      <c r="F710" s="10" t="s">
        <v>51</v>
      </c>
      <c r="G710" s="10" t="n">
        <v>309</v>
      </c>
      <c r="H710" s="10" t="n">
        <v>545</v>
      </c>
      <c r="I710" s="10" t="n">
        <v>12</v>
      </c>
      <c r="J710" s="10" t="n">
        <v>0</v>
      </c>
      <c r="K710" s="10" t="s">
        <v>20</v>
      </c>
      <c r="L710" s="11" t="n">
        <v>41265.681099537</v>
      </c>
      <c r="M710" s="12" t="s">
        <v>1989</v>
      </c>
      <c r="N710" s="12" t="s">
        <v>1990</v>
      </c>
      <c r="O710" s="9" t="str">
        <f aca="false">HYPERLINK("https://pbs.twimg.com/profile_images/844083789043240960/5bM9V38m_normal.jpg","View")</f>
        <v>View</v>
      </c>
      <c r="P710" s="10"/>
    </row>
    <row r="711" customFormat="false" ht="15.75" hidden="false" customHeight="false" outlineLevel="0" collapsed="false">
      <c r="A711" s="6" t="n">
        <v>43029.5809837963</v>
      </c>
      <c r="B711" s="7" t="str">
        <f aca="false">HYPERLINK("https://twitter.com/mtgeiger1184","@mtgeiger1184")</f>
        <v>@mtgeiger1184</v>
      </c>
      <c r="C711" s="8" t="s">
        <v>1991</v>
      </c>
      <c r="D711" s="8" t="s">
        <v>1992</v>
      </c>
      <c r="E711" s="9" t="str">
        <f aca="false">HYPERLINK("https://twitter.com/mtgeiger1184/status/921842685236752384","921842685236752384")</f>
        <v>921842685236752384</v>
      </c>
      <c r="F711" s="10" t="s">
        <v>25</v>
      </c>
      <c r="G711" s="10" t="n">
        <v>899</v>
      </c>
      <c r="H711" s="10" t="n">
        <v>587</v>
      </c>
      <c r="I711" s="10" t="n">
        <v>0</v>
      </c>
      <c r="J711" s="10" t="n">
        <v>0</v>
      </c>
      <c r="K711" s="10" t="s">
        <v>20</v>
      </c>
      <c r="L711" s="11" t="n">
        <v>42629.6531481482</v>
      </c>
      <c r="M711" s="12" t="s">
        <v>1993</v>
      </c>
      <c r="N711" s="12" t="s">
        <v>1994</v>
      </c>
      <c r="O711" s="9" t="str">
        <f aca="false">HYPERLINK("https://pbs.twimg.com/profile_images/890558369576009729/8v6Z42SP_normal.jpg","View")</f>
        <v>View</v>
      </c>
      <c r="P711" s="10"/>
    </row>
    <row r="712" customFormat="false" ht="15.75" hidden="false" customHeight="false" outlineLevel="0" collapsed="false">
      <c r="A712" s="6" t="n">
        <v>43029.5819675926</v>
      </c>
      <c r="B712" s="7" t="str">
        <f aca="false">HYPERLINK("https://twitter.com/SheilaSmithCFR","@SheilaSmithCFR")</f>
        <v>@SheilaSmithCFR</v>
      </c>
      <c r="C712" s="8" t="s">
        <v>1397</v>
      </c>
      <c r="D712" s="8" t="s">
        <v>1995</v>
      </c>
      <c r="E712" s="9" t="str">
        <f aca="false">HYPERLINK("https://twitter.com/SheilaSmithCFR/status/921843041547276294","921843041547276294")</f>
        <v>921843041547276294</v>
      </c>
      <c r="F712" s="10" t="s">
        <v>51</v>
      </c>
      <c r="G712" s="10" t="n">
        <v>4440</v>
      </c>
      <c r="H712" s="10" t="n">
        <v>310</v>
      </c>
      <c r="I712" s="10" t="n">
        <v>1</v>
      </c>
      <c r="J712" s="10" t="n">
        <v>0</v>
      </c>
      <c r="K712" s="10" t="s">
        <v>20</v>
      </c>
      <c r="L712" s="11" t="n">
        <v>40897.7983564815</v>
      </c>
      <c r="M712" s="12" t="s">
        <v>723</v>
      </c>
      <c r="N712" s="12" t="s">
        <v>1398</v>
      </c>
      <c r="O712" s="9" t="str">
        <f aca="false">HYPERLINK("https://pbs.twimg.com/profile_images/474587797337042945/HOSFbOao_normal.jpeg","View")</f>
        <v>View</v>
      </c>
      <c r="P712" s="10"/>
    </row>
    <row r="713" customFormat="false" ht="15.75" hidden="false" customHeight="false" outlineLevel="0" collapsed="false">
      <c r="A713" s="6" t="n">
        <v>43029.6169097222</v>
      </c>
      <c r="B713" s="7" t="str">
        <f aca="false">HYPERLINK("https://twitter.com/holmgren85","@holmgren85")</f>
        <v>@holmgren85</v>
      </c>
      <c r="C713" s="8" t="s">
        <v>1996</v>
      </c>
      <c r="D713" s="8" t="s">
        <v>1997</v>
      </c>
      <c r="E713" s="9" t="str">
        <f aca="false">HYPERLINK("https://twitter.com/holmgren85/status/921855702905344006","921855702905344006")</f>
        <v>921855702905344006</v>
      </c>
      <c r="F713" s="10" t="s">
        <v>39</v>
      </c>
      <c r="G713" s="10" t="n">
        <v>499</v>
      </c>
      <c r="H713" s="10" t="n">
        <v>1417</v>
      </c>
      <c r="I713" s="10" t="n">
        <v>0</v>
      </c>
      <c r="J713" s="10" t="n">
        <v>0</v>
      </c>
      <c r="K713" s="10" t="s">
        <v>20</v>
      </c>
      <c r="L713" s="11" t="n">
        <v>39864.4004513889</v>
      </c>
      <c r="M713" s="12"/>
      <c r="N713" s="12"/>
      <c r="O713" s="9" t="str">
        <f aca="false">HYPERLINK("https://pbs.twimg.com/profile_images/433403172120305664/qy1meeJE_normal.jpeg","View")</f>
        <v>View</v>
      </c>
      <c r="P713" s="10"/>
    </row>
    <row r="714" customFormat="false" ht="15.75" hidden="false" customHeight="false" outlineLevel="0" collapsed="false">
      <c r="A714" s="6" t="n">
        <v>43029.6201851852</v>
      </c>
      <c r="B714" s="7" t="str">
        <f aca="false">HYPERLINK("https://twitter.com/NorthKorea24","@NorthKorea24")</f>
        <v>@NorthKorea24</v>
      </c>
      <c r="C714" s="8" t="s">
        <v>1998</v>
      </c>
      <c r="D714" s="8" t="s">
        <v>1999</v>
      </c>
      <c r="E714" s="9" t="str">
        <f aca="false">HYPERLINK("https://twitter.com/NorthKorea24/status/921856888815304705","921856888815304705")</f>
        <v>921856888815304705</v>
      </c>
      <c r="F714" s="9" t="s">
        <v>1147</v>
      </c>
      <c r="G714" s="10" t="n">
        <v>218</v>
      </c>
      <c r="H714" s="10" t="n">
        <v>6</v>
      </c>
      <c r="I714" s="10" t="n">
        <v>0</v>
      </c>
      <c r="J714" s="10" t="n">
        <v>0</v>
      </c>
      <c r="K714" s="10" t="s">
        <v>20</v>
      </c>
      <c r="L714" s="11" t="n">
        <v>41310.6488425926</v>
      </c>
      <c r="M714" s="12"/>
      <c r="N714" s="12"/>
      <c r="O714" s="9" t="str">
        <f aca="false">HYPERLINK("https://pbs.twimg.com/profile_images/3213409564/bb9f56266c0aebffae9cc5e0217ec7be_normal.jpeg","View")</f>
        <v>View</v>
      </c>
      <c r="P714" s="10"/>
    </row>
    <row r="715" customFormat="false" ht="15.75" hidden="false" customHeight="false" outlineLevel="0" collapsed="false">
      <c r="A715" s="6" t="n">
        <v>43029.6256481481</v>
      </c>
      <c r="B715" s="7" t="str">
        <f aca="false">HYPERLINK("https://twitter.com/pootan_viking","@pootan_viking")</f>
        <v>@pootan_viking</v>
      </c>
      <c r="C715" s="8" t="s">
        <v>2000</v>
      </c>
      <c r="D715" s="8" t="s">
        <v>2001</v>
      </c>
      <c r="E715" s="9" t="str">
        <f aca="false">HYPERLINK("https://twitter.com/pootan_viking/status/921858868585496576","921858868585496576")</f>
        <v>921858868585496576</v>
      </c>
      <c r="F715" s="10" t="s">
        <v>39</v>
      </c>
      <c r="G715" s="10" t="n">
        <v>1421</v>
      </c>
      <c r="H715" s="10" t="n">
        <v>1841</v>
      </c>
      <c r="I715" s="10" t="n">
        <v>0</v>
      </c>
      <c r="J715" s="10" t="n">
        <v>0</v>
      </c>
      <c r="K715" s="10" t="s">
        <v>20</v>
      </c>
      <c r="L715" s="11" t="n">
        <v>40629.0678472222</v>
      </c>
      <c r="M715" s="13" t="s">
        <v>2002</v>
      </c>
      <c r="N715" s="12" t="s">
        <v>2003</v>
      </c>
      <c r="O715" s="9" t="str">
        <f aca="false">HYPERLINK("https://pbs.twimg.com/profile_images/863172685030805504/fMxWd-p7_normal.jpg","View")</f>
        <v>View</v>
      </c>
      <c r="P715" s="10"/>
    </row>
    <row r="716" customFormat="false" ht="15.75" hidden="false" customHeight="false" outlineLevel="0" collapsed="false">
      <c r="A716" s="6" t="n">
        <v>43029.6258564815</v>
      </c>
      <c r="B716" s="7" t="str">
        <f aca="false">HYPERLINK("https://twitter.com/shimokawataku","@shimokawataku")</f>
        <v>@shimokawataku</v>
      </c>
      <c r="C716" s="14" t="s">
        <v>2004</v>
      </c>
      <c r="D716" s="8" t="s">
        <v>1899</v>
      </c>
      <c r="E716" s="9" t="str">
        <f aca="false">HYPERLINK("https://twitter.com/shimokawataku/status/921858947279085568","921858947279085568")</f>
        <v>921858947279085568</v>
      </c>
      <c r="F716" s="16" t="s">
        <v>808</v>
      </c>
      <c r="G716" s="10" t="n">
        <v>65</v>
      </c>
      <c r="H716" s="10" t="n">
        <v>68</v>
      </c>
      <c r="I716" s="10" t="n">
        <v>11</v>
      </c>
      <c r="J716" s="10" t="n">
        <v>0</v>
      </c>
      <c r="K716" s="10" t="s">
        <v>20</v>
      </c>
      <c r="L716" s="11" t="n">
        <v>40651.4761574074</v>
      </c>
      <c r="M716" s="12"/>
      <c r="N716" s="13" t="s">
        <v>2005</v>
      </c>
      <c r="O716" s="9" t="str">
        <f aca="false">HYPERLINK("https://pbs.twimg.com/profile_images/554654558962466816/zDp_U_Vk_normal.jpeg","View")</f>
        <v>View</v>
      </c>
      <c r="P716" s="10"/>
    </row>
    <row r="717" customFormat="false" ht="15.75" hidden="false" customHeight="false" outlineLevel="0" collapsed="false">
      <c r="A717" s="6" t="n">
        <v>43029.6421180556</v>
      </c>
      <c r="B717" s="7" t="str">
        <f aca="false">HYPERLINK("https://twitter.com/DailySabah","@DailySabah")</f>
        <v>@DailySabah</v>
      </c>
      <c r="C717" s="8" t="s">
        <v>2006</v>
      </c>
      <c r="D717" s="8" t="s">
        <v>2007</v>
      </c>
      <c r="E717" s="9" t="str">
        <f aca="false">HYPERLINK("https://twitter.com/DailySabah/status/921864837726130176","921864837726130176")</f>
        <v>921864837726130176</v>
      </c>
      <c r="F717" s="10" t="s">
        <v>39</v>
      </c>
      <c r="G717" s="10" t="n">
        <v>358846</v>
      </c>
      <c r="H717" s="10" t="n">
        <v>6</v>
      </c>
      <c r="I717" s="10" t="n">
        <v>1</v>
      </c>
      <c r="J717" s="10" t="n">
        <v>7</v>
      </c>
      <c r="K717" s="10" t="s">
        <v>20</v>
      </c>
      <c r="L717" s="11" t="n">
        <v>41613.4639699074</v>
      </c>
      <c r="M717" s="12" t="s">
        <v>2008</v>
      </c>
      <c r="N717" s="12" t="s">
        <v>2009</v>
      </c>
      <c r="O717" s="9" t="str">
        <f aca="false">HYPERLINK("https://pbs.twimg.com/profile_images/876030622166331392/1gZlP217_normal.jpg","View")</f>
        <v>View</v>
      </c>
      <c r="P717" s="10"/>
    </row>
    <row r="718" customFormat="false" ht="15.75" hidden="false" customHeight="false" outlineLevel="0" collapsed="false">
      <c r="A718" s="6" t="n">
        <v>43029.645775463</v>
      </c>
      <c r="B718" s="7" t="str">
        <f aca="false">HYPERLINK("https://twitter.com/frontier2ban","@frontier2ban")</f>
        <v>@frontier2ban</v>
      </c>
      <c r="C718" s="14" t="s">
        <v>2010</v>
      </c>
      <c r="D718" s="8" t="s">
        <v>2011</v>
      </c>
      <c r="E718" s="9" t="str">
        <f aca="false">HYPERLINK("https://twitter.com/frontier2ban/status/921866164652920832","921866164652920832")</f>
        <v>921866164652920832</v>
      </c>
      <c r="F718" s="10" t="s">
        <v>39</v>
      </c>
      <c r="G718" s="10" t="n">
        <v>1416</v>
      </c>
      <c r="H718" s="10" t="n">
        <v>842</v>
      </c>
      <c r="I718" s="10" t="n">
        <v>0</v>
      </c>
      <c r="J718" s="10" t="n">
        <v>0</v>
      </c>
      <c r="K718" s="10" t="s">
        <v>20</v>
      </c>
      <c r="L718" s="11" t="n">
        <v>40384.5677314815</v>
      </c>
      <c r="M718" s="12" t="s">
        <v>2012</v>
      </c>
      <c r="N718" s="13" t="s">
        <v>2013</v>
      </c>
      <c r="O718" s="9" t="str">
        <f aca="false">HYPERLINK("https://pbs.twimg.com/profile_images/680129166721855488/8OI73d9O_normal.jpg","View")</f>
        <v>View</v>
      </c>
      <c r="P718" s="10"/>
    </row>
    <row r="719" customFormat="false" ht="15.75" hidden="false" customHeight="false" outlineLevel="0" collapsed="false">
      <c r="A719" s="6" t="n">
        <v>43029.6608564815</v>
      </c>
      <c r="B719" s="7" t="str">
        <f aca="false">HYPERLINK("https://twitter.com/TRTWorldNow","@TRTWorldNow")</f>
        <v>@TRTWorldNow</v>
      </c>
      <c r="C719" s="8" t="s">
        <v>1543</v>
      </c>
      <c r="D719" s="8" t="s">
        <v>2014</v>
      </c>
      <c r="E719" s="9" t="str">
        <f aca="false">HYPERLINK("https://twitter.com/TRTWorldNow/status/921871627901591552","921871627901591552")</f>
        <v>921871627901591552</v>
      </c>
      <c r="F719" s="9" t="s">
        <v>198</v>
      </c>
      <c r="G719" s="10" t="n">
        <v>1712</v>
      </c>
      <c r="H719" s="10" t="n">
        <v>7</v>
      </c>
      <c r="I719" s="10" t="n">
        <v>6</v>
      </c>
      <c r="J719" s="10" t="n">
        <v>4</v>
      </c>
      <c r="K719" s="10" t="s">
        <v>20</v>
      </c>
      <c r="L719" s="11" t="n">
        <v>42706.0250810185</v>
      </c>
      <c r="M719" s="12" t="s">
        <v>1545</v>
      </c>
      <c r="N719" s="12" t="s">
        <v>1546</v>
      </c>
      <c r="O719" s="9" t="str">
        <f aca="false">HYPERLINK("https://pbs.twimg.com/profile_images/905724163104669696/dZHKlqU0_normal.jpg","View")</f>
        <v>View</v>
      </c>
      <c r="P719" s="10"/>
    </row>
    <row r="720" customFormat="false" ht="15.75" hidden="false" customHeight="false" outlineLevel="0" collapsed="false">
      <c r="A720" s="6" t="n">
        <v>43029.6665625</v>
      </c>
      <c r="B720" s="7" t="str">
        <f aca="false">HYPERLINK("https://twitter.com/asuka_250","@asuka_250")</f>
        <v>@asuka_250</v>
      </c>
      <c r="C720" s="8" t="s">
        <v>1235</v>
      </c>
      <c r="D720" s="8" t="s">
        <v>2015</v>
      </c>
      <c r="E720" s="9" t="str">
        <f aca="false">HYPERLINK("https://twitter.com/asuka_250/status/921873694888148993","921873694888148993")</f>
        <v>921873694888148993</v>
      </c>
      <c r="F720" s="10" t="s">
        <v>25</v>
      </c>
      <c r="G720" s="10" t="n">
        <v>30709</v>
      </c>
      <c r="H720" s="10" t="n">
        <v>30516</v>
      </c>
      <c r="I720" s="10" t="n">
        <v>6</v>
      </c>
      <c r="J720" s="10" t="n">
        <v>0</v>
      </c>
      <c r="K720" s="10" t="s">
        <v>20</v>
      </c>
      <c r="L720" s="11" t="n">
        <v>41943.1724768519</v>
      </c>
      <c r="M720" s="12" t="s">
        <v>186</v>
      </c>
      <c r="N720" s="12" t="s">
        <v>1236</v>
      </c>
      <c r="O720" s="9" t="str">
        <f aca="false">HYPERLINK("https://pbs.twimg.com/profile_images/576284037486014464/dhYtI1qZ_normal.jpeg","View")</f>
        <v>View</v>
      </c>
      <c r="P720" s="10"/>
    </row>
    <row r="721" customFormat="false" ht="15.75" hidden="false" customHeight="false" outlineLevel="0" collapsed="false">
      <c r="A721" s="6" t="n">
        <v>43029.6694560185</v>
      </c>
      <c r="B721" s="7" t="str">
        <f aca="false">HYPERLINK("https://twitter.com/asuka_250","@asuka_250")</f>
        <v>@asuka_250</v>
      </c>
      <c r="C721" s="8" t="s">
        <v>1235</v>
      </c>
      <c r="D721" s="8" t="s">
        <v>2016</v>
      </c>
      <c r="E721" s="9" t="str">
        <f aca="false">HYPERLINK("https://twitter.com/asuka_250/status/921874746848960512","921874746848960512")</f>
        <v>921874746848960512</v>
      </c>
      <c r="F721" s="10" t="s">
        <v>39</v>
      </c>
      <c r="G721" s="10" t="n">
        <v>30709</v>
      </c>
      <c r="H721" s="10" t="n">
        <v>30516</v>
      </c>
      <c r="I721" s="10" t="n">
        <v>19</v>
      </c>
      <c r="J721" s="10" t="n">
        <v>5</v>
      </c>
      <c r="K721" s="10" t="s">
        <v>20</v>
      </c>
      <c r="L721" s="11" t="n">
        <v>41943.1724768519</v>
      </c>
      <c r="M721" s="12" t="s">
        <v>186</v>
      </c>
      <c r="N721" s="12" t="s">
        <v>1236</v>
      </c>
      <c r="O721" s="9" t="str">
        <f aca="false">HYPERLINK("https://pbs.twimg.com/profile_images/576284037486014464/dhYtI1qZ_normal.jpeg","View")</f>
        <v>View</v>
      </c>
      <c r="P721" s="10"/>
    </row>
    <row r="722" customFormat="false" ht="15.75" hidden="false" customHeight="false" outlineLevel="0" collapsed="false">
      <c r="A722" s="6" t="n">
        <v>43029.6702546296</v>
      </c>
      <c r="B722" s="7" t="str">
        <f aca="false">HYPERLINK("https://twitter.com/upset259","@upset259")</f>
        <v>@upset259</v>
      </c>
      <c r="C722" s="8" t="s">
        <v>2017</v>
      </c>
      <c r="D722" s="8" t="s">
        <v>2018</v>
      </c>
      <c r="E722" s="9" t="str">
        <f aca="false">HYPERLINK("https://twitter.com/upset259/status/921875036302016512","921875036302016512")</f>
        <v>921875036302016512</v>
      </c>
      <c r="F722" s="10" t="s">
        <v>39</v>
      </c>
      <c r="G722" s="10" t="n">
        <v>646</v>
      </c>
      <c r="H722" s="10" t="n">
        <v>664</v>
      </c>
      <c r="I722" s="10" t="n">
        <v>19</v>
      </c>
      <c r="J722" s="10" t="n">
        <v>0</v>
      </c>
      <c r="K722" s="10" t="s">
        <v>20</v>
      </c>
      <c r="L722" s="11" t="n">
        <v>40894.2412152778</v>
      </c>
      <c r="M722" s="12" t="s">
        <v>2019</v>
      </c>
      <c r="N722" s="13" t="s">
        <v>2020</v>
      </c>
      <c r="O722" s="9" t="str">
        <f aca="false">HYPERLINK("https://pbs.twimg.com/profile_images/916080835056386048/QBk2I3L__normal.jpg","View")</f>
        <v>View</v>
      </c>
      <c r="P722" s="10"/>
    </row>
    <row r="723" customFormat="false" ht="15.75" hidden="false" customHeight="false" outlineLevel="0" collapsed="false">
      <c r="A723" s="6" t="n">
        <v>43029.6711458333</v>
      </c>
      <c r="B723" s="7" t="str">
        <f aca="false">HYPERLINK("https://twitter.com/Worldpeacesott","@Worldpeacesott")</f>
        <v>@Worldpeacesott</v>
      </c>
      <c r="C723" s="8" t="s">
        <v>2021</v>
      </c>
      <c r="D723" s="8" t="s">
        <v>2018</v>
      </c>
      <c r="E723" s="9" t="str">
        <f aca="false">HYPERLINK("https://twitter.com/Worldpeacesott/status/921875357245980672","921875357245980672")</f>
        <v>921875357245980672</v>
      </c>
      <c r="F723" s="10" t="s">
        <v>51</v>
      </c>
      <c r="G723" s="10" t="n">
        <v>308</v>
      </c>
      <c r="H723" s="10" t="n">
        <v>349</v>
      </c>
      <c r="I723" s="10" t="n">
        <v>19</v>
      </c>
      <c r="J723" s="10" t="n">
        <v>0</v>
      </c>
      <c r="K723" s="10" t="s">
        <v>20</v>
      </c>
      <c r="L723" s="11" t="n">
        <v>40969.1210416667</v>
      </c>
      <c r="M723" s="12" t="s">
        <v>574</v>
      </c>
      <c r="N723" s="12" t="s">
        <v>2022</v>
      </c>
      <c r="O723" s="9" t="str">
        <f aca="false">HYPERLINK("https://pbs.twimg.com/profile_images/616813776227045376/Cir6F42A_normal.jpg","View")</f>
        <v>View</v>
      </c>
      <c r="P723" s="10"/>
    </row>
    <row r="724" customFormat="false" ht="15.75" hidden="false" customHeight="false" outlineLevel="0" collapsed="false">
      <c r="A724" s="6" t="n">
        <v>43029.6711458333</v>
      </c>
      <c r="B724" s="7" t="str">
        <f aca="false">HYPERLINK("https://twitter.com/SZ0KQuPtbo31kkL","@SZ0KQuPtbo31kkL")</f>
        <v>@SZ0KQuPtbo31kkL</v>
      </c>
      <c r="C724" s="8" t="s">
        <v>2023</v>
      </c>
      <c r="D724" s="8" t="s">
        <v>2018</v>
      </c>
      <c r="E724" s="9" t="str">
        <f aca="false">HYPERLINK("https://twitter.com/SZ0KQuPtbo31kkL/status/921875358437203968","921875358437203968")</f>
        <v>921875358437203968</v>
      </c>
      <c r="F724" s="10" t="s">
        <v>25</v>
      </c>
      <c r="G724" s="10" t="n">
        <v>1060</v>
      </c>
      <c r="H724" s="10" t="n">
        <v>935</v>
      </c>
      <c r="I724" s="10" t="n">
        <v>19</v>
      </c>
      <c r="J724" s="10" t="n">
        <v>0</v>
      </c>
      <c r="K724" s="10" t="s">
        <v>20</v>
      </c>
      <c r="L724" s="11" t="n">
        <v>42317.8986805556</v>
      </c>
      <c r="M724" s="12"/>
      <c r="N724" s="12"/>
      <c r="O724" s="9" t="str">
        <f aca="false">HYPERLINK("https://pbs.twimg.com/profile_images/730800451369590785/idxOkIhs_normal.jpg","View")</f>
        <v>View</v>
      </c>
      <c r="P724" s="10"/>
    </row>
    <row r="725" customFormat="false" ht="15.75" hidden="false" customHeight="false" outlineLevel="0" collapsed="false">
      <c r="A725" s="6" t="n">
        <v>43029.6726388889</v>
      </c>
      <c r="B725" s="7" t="str">
        <f aca="false">HYPERLINK("https://twitter.com/trtworld","@trtworld")</f>
        <v>@trtworld</v>
      </c>
      <c r="C725" s="8" t="s">
        <v>1552</v>
      </c>
      <c r="D725" s="8" t="s">
        <v>2015</v>
      </c>
      <c r="E725" s="9" t="str">
        <f aca="false">HYPERLINK("https://twitter.com/trtworld/status/921875898365874177","921875898365874177")</f>
        <v>921875898365874177</v>
      </c>
      <c r="F725" s="10" t="s">
        <v>39</v>
      </c>
      <c r="G725" s="10" t="n">
        <v>113610</v>
      </c>
      <c r="H725" s="10" t="n">
        <v>9</v>
      </c>
      <c r="I725" s="10" t="n">
        <v>6</v>
      </c>
      <c r="J725" s="10" t="n">
        <v>0</v>
      </c>
      <c r="K725" s="10" t="s">
        <v>20</v>
      </c>
      <c r="L725" s="11" t="n">
        <v>42076.183125</v>
      </c>
      <c r="M725" s="12"/>
      <c r="N725" s="12" t="s">
        <v>1554</v>
      </c>
      <c r="O725" s="9" t="str">
        <f aca="false">HYPERLINK("https://pbs.twimg.com/profile_images/604916087180754945/1aMHMBIj_normal.png","View")</f>
        <v>View</v>
      </c>
      <c r="P725" s="10"/>
    </row>
    <row r="726" customFormat="false" ht="15.75" hidden="false" customHeight="false" outlineLevel="0" collapsed="false">
      <c r="A726" s="6" t="n">
        <v>43029.673275463</v>
      </c>
      <c r="B726" s="7" t="str">
        <f aca="false">HYPERLINK("https://twitter.com/twtuncaysahin","@twtuncaysahin")</f>
        <v>@twtuncaysahin</v>
      </c>
      <c r="C726" s="8" t="s">
        <v>2024</v>
      </c>
      <c r="D726" s="8" t="s">
        <v>2015</v>
      </c>
      <c r="E726" s="9" t="str">
        <f aca="false">HYPERLINK("https://twitter.com/twtuncaysahin/status/921876129903935488","921876129903935488")</f>
        <v>921876129903935488</v>
      </c>
      <c r="F726" s="10" t="s">
        <v>25</v>
      </c>
      <c r="G726" s="10" t="n">
        <v>643</v>
      </c>
      <c r="H726" s="10" t="n">
        <v>1486</v>
      </c>
      <c r="I726" s="10" t="n">
        <v>6</v>
      </c>
      <c r="J726" s="10" t="n">
        <v>0</v>
      </c>
      <c r="K726" s="10" t="s">
        <v>20</v>
      </c>
      <c r="L726" s="11" t="n">
        <v>41375.0419560185</v>
      </c>
      <c r="M726" s="12" t="s">
        <v>2025</v>
      </c>
      <c r="N726" s="12" t="s">
        <v>2026</v>
      </c>
      <c r="O726" s="9" t="str">
        <f aca="false">HYPERLINK("https://pbs.twimg.com/profile_images/872553801764528129/7n5VCchK_normal.jpg","View")</f>
        <v>View</v>
      </c>
      <c r="P726" s="10"/>
    </row>
    <row r="727" customFormat="false" ht="15.75" hidden="false" customHeight="false" outlineLevel="0" collapsed="false">
      <c r="A727" s="6" t="n">
        <v>43029.6740162037</v>
      </c>
      <c r="B727" s="7" t="str">
        <f aca="false">HYPERLINK("https://twitter.com/tvThirdEyeB","@tvThirdEyeB")</f>
        <v>@tvThirdEyeB</v>
      </c>
      <c r="C727" s="8" t="s">
        <v>2027</v>
      </c>
      <c r="D727" s="8" t="s">
        <v>2028</v>
      </c>
      <c r="E727" s="9" t="str">
        <f aca="false">HYPERLINK("https://twitter.com/tvThirdEyeB/status/921876396103704576","921876396103704576")</f>
        <v>921876396103704576</v>
      </c>
      <c r="F727" s="10" t="s">
        <v>2029</v>
      </c>
      <c r="G727" s="10" t="n">
        <v>31</v>
      </c>
      <c r="H727" s="10" t="n">
        <v>0</v>
      </c>
      <c r="I727" s="10" t="n">
        <v>0</v>
      </c>
      <c r="J727" s="10" t="n">
        <v>0</v>
      </c>
      <c r="K727" s="10" t="s">
        <v>20</v>
      </c>
      <c r="L727" s="11" t="n">
        <v>42972.5932638889</v>
      </c>
      <c r="M727" s="12" t="s">
        <v>588</v>
      </c>
      <c r="N727" s="12" t="s">
        <v>2030</v>
      </c>
      <c r="O727" s="9" t="str">
        <f aca="false">HYPERLINK("https://pbs.twimg.com/profile_images/910606884565950464/P-E5U0ei_normal.jpg","View")</f>
        <v>View</v>
      </c>
      <c r="P727" s="10"/>
    </row>
    <row r="728" customFormat="false" ht="15.75" hidden="false" customHeight="false" outlineLevel="0" collapsed="false">
      <c r="A728" s="6" t="n">
        <v>43029.6745601852</v>
      </c>
      <c r="B728" s="7" t="str">
        <f aca="false">HYPERLINK("https://twitter.com/LvrFox","@LvrFox")</f>
        <v>@LvrFox</v>
      </c>
      <c r="C728" s="8" t="s">
        <v>244</v>
      </c>
      <c r="D728" s="8" t="s">
        <v>2018</v>
      </c>
      <c r="E728" s="9" t="str">
        <f aca="false">HYPERLINK("https://twitter.com/LvrFox/status/921876596507607040","921876596507607040")</f>
        <v>921876596507607040</v>
      </c>
      <c r="F728" s="10" t="s">
        <v>39</v>
      </c>
      <c r="G728" s="10" t="n">
        <v>731</v>
      </c>
      <c r="H728" s="10" t="n">
        <v>1476</v>
      </c>
      <c r="I728" s="10" t="n">
        <v>19</v>
      </c>
      <c r="J728" s="10" t="n">
        <v>0</v>
      </c>
      <c r="K728" s="10" t="s">
        <v>20</v>
      </c>
      <c r="L728" s="11" t="n">
        <v>42639.554525463</v>
      </c>
      <c r="M728" s="12" t="s">
        <v>245</v>
      </c>
      <c r="N728" s="12" t="s">
        <v>246</v>
      </c>
      <c r="O728" s="9" t="str">
        <f aca="false">HYPERLINK("https://pbs.twimg.com/profile_images/843416641622884352/dhXOAcVP_normal.jpg","View")</f>
        <v>View</v>
      </c>
      <c r="P728" s="10"/>
    </row>
    <row r="729" customFormat="false" ht="15.75" hidden="false" customHeight="false" outlineLevel="0" collapsed="false">
      <c r="A729" s="6" t="n">
        <v>43029.6747222222</v>
      </c>
      <c r="B729" s="7" t="str">
        <f aca="false">HYPERLINK("https://twitter.com/tvThirdEyeB","@tvThirdEyeB")</f>
        <v>@tvThirdEyeB</v>
      </c>
      <c r="C729" s="8" t="s">
        <v>2027</v>
      </c>
      <c r="D729" s="8" t="s">
        <v>2031</v>
      </c>
      <c r="E729" s="9" t="str">
        <f aca="false">HYPERLINK("https://twitter.com/tvThirdEyeB/status/921876653046824960","921876653046824960")</f>
        <v>921876653046824960</v>
      </c>
      <c r="F729" s="10" t="s">
        <v>2029</v>
      </c>
      <c r="G729" s="10" t="n">
        <v>31</v>
      </c>
      <c r="H729" s="10" t="n">
        <v>0</v>
      </c>
      <c r="I729" s="10" t="n">
        <v>0</v>
      </c>
      <c r="J729" s="10" t="n">
        <v>0</v>
      </c>
      <c r="K729" s="10" t="s">
        <v>20</v>
      </c>
      <c r="L729" s="11" t="n">
        <v>42972.5932638889</v>
      </c>
      <c r="M729" s="12" t="s">
        <v>588</v>
      </c>
      <c r="N729" s="12" t="s">
        <v>2030</v>
      </c>
      <c r="O729" s="9" t="str">
        <f aca="false">HYPERLINK("https://pbs.twimg.com/profile_images/910606884565950464/P-E5U0ei_normal.jpg","View")</f>
        <v>View</v>
      </c>
      <c r="P729" s="10"/>
    </row>
    <row r="730" customFormat="false" ht="15.75" hidden="false" customHeight="false" outlineLevel="0" collapsed="false">
      <c r="A730" s="6" t="n">
        <v>43029.6747916667</v>
      </c>
      <c r="B730" s="7" t="str">
        <f aca="false">HYPERLINK("https://twitter.com/bazzittoo","@bazzittoo")</f>
        <v>@bazzittoo</v>
      </c>
      <c r="C730" s="8" t="s">
        <v>2032</v>
      </c>
      <c r="D730" s="8" t="s">
        <v>2033</v>
      </c>
      <c r="E730" s="9" t="str">
        <f aca="false">HYPERLINK("https://twitter.com/bazzittoo/status/921876680540647424","921876680540647424")</f>
        <v>921876680540647424</v>
      </c>
      <c r="F730" s="10" t="s">
        <v>39</v>
      </c>
      <c r="G730" s="10" t="n">
        <v>116</v>
      </c>
      <c r="H730" s="10" t="n">
        <v>335</v>
      </c>
      <c r="I730" s="10" t="n">
        <v>0</v>
      </c>
      <c r="J730" s="10" t="n">
        <v>0</v>
      </c>
      <c r="K730" s="10" t="s">
        <v>20</v>
      </c>
      <c r="L730" s="11" t="n">
        <v>40950.2246296296</v>
      </c>
      <c r="M730" s="12" t="s">
        <v>2034</v>
      </c>
      <c r="N730" s="12" t="s">
        <v>2035</v>
      </c>
      <c r="O730" s="9" t="str">
        <f aca="false">HYPERLINK("https://pbs.twimg.com/profile_images/775111499622838272/6IDB6xr6_normal.jpg","View")</f>
        <v>View</v>
      </c>
      <c r="P730" s="10"/>
    </row>
    <row r="731" customFormat="false" ht="15.75" hidden="false" customHeight="false" outlineLevel="0" collapsed="false">
      <c r="A731" s="6" t="n">
        <v>43029.6762152778</v>
      </c>
      <c r="B731" s="7" t="str">
        <f aca="false">HYPERLINK("https://twitter.com/shinobun1208","@shinobun1208")</f>
        <v>@shinobun1208</v>
      </c>
      <c r="C731" s="14" t="s">
        <v>2036</v>
      </c>
      <c r="D731" s="8" t="s">
        <v>2018</v>
      </c>
      <c r="E731" s="9" t="str">
        <f aca="false">HYPERLINK("https://twitter.com/shinobun1208/status/921877194338529280","921877194338529280")</f>
        <v>921877194338529280</v>
      </c>
      <c r="F731" s="10" t="s">
        <v>39</v>
      </c>
      <c r="G731" s="10" t="n">
        <v>2873</v>
      </c>
      <c r="H731" s="10" t="n">
        <v>2734</v>
      </c>
      <c r="I731" s="10" t="n">
        <v>19</v>
      </c>
      <c r="J731" s="10" t="n">
        <v>0</v>
      </c>
      <c r="K731" s="10" t="s">
        <v>20</v>
      </c>
      <c r="L731" s="11" t="n">
        <v>40707.4025115741</v>
      </c>
      <c r="M731" s="12"/>
      <c r="N731" s="13" t="s">
        <v>2037</v>
      </c>
      <c r="O731" s="9" t="str">
        <f aca="false">HYPERLINK("https://pbs.twimg.com/profile_images/416164935098327041/97vY6P2Z_normal.jpeg","View")</f>
        <v>View</v>
      </c>
      <c r="P731" s="10"/>
    </row>
    <row r="732" customFormat="false" ht="15.75" hidden="false" customHeight="false" outlineLevel="0" collapsed="false">
      <c r="A732" s="6" t="n">
        <v>43029.6812731481</v>
      </c>
      <c r="B732" s="7" t="str">
        <f aca="false">HYPERLINK("https://twitter.com/gissele05","@gissele05")</f>
        <v>@gissele05</v>
      </c>
      <c r="C732" s="14" t="s">
        <v>1795</v>
      </c>
      <c r="D732" s="8" t="s">
        <v>2018</v>
      </c>
      <c r="E732" s="9" t="str">
        <f aca="false">HYPERLINK("https://twitter.com/gissele05/status/921879027488505861","921879027488505861")</f>
        <v>921879027488505861</v>
      </c>
      <c r="F732" s="10" t="s">
        <v>25</v>
      </c>
      <c r="G732" s="10" t="n">
        <v>210</v>
      </c>
      <c r="H732" s="10" t="n">
        <v>964</v>
      </c>
      <c r="I732" s="10" t="n">
        <v>19</v>
      </c>
      <c r="J732" s="10" t="n">
        <v>0</v>
      </c>
      <c r="K732" s="10" t="s">
        <v>20</v>
      </c>
      <c r="L732" s="11" t="n">
        <v>40304.2874305556</v>
      </c>
      <c r="M732" s="13" t="s">
        <v>1796</v>
      </c>
      <c r="N732" s="12" t="s">
        <v>1797</v>
      </c>
      <c r="O732" s="9" t="str">
        <f aca="false">HYPERLINK("https://pbs.twimg.com/profile_images/604765040789438464/MHLgyDbG_normal.jpg","View")</f>
        <v>View</v>
      </c>
      <c r="P732" s="10"/>
    </row>
    <row r="733" customFormat="false" ht="15.75" hidden="false" customHeight="false" outlineLevel="0" collapsed="false">
      <c r="A733" s="6" t="n">
        <v>43029.6841435185</v>
      </c>
      <c r="B733" s="7" t="str">
        <f aca="false">HYPERLINK("https://twitter.com/JDungelhoeff","@JDungelhoeff")</f>
        <v>@JDungelhoeff</v>
      </c>
      <c r="C733" s="8" t="s">
        <v>2038</v>
      </c>
      <c r="D733" s="8" t="s">
        <v>2039</v>
      </c>
      <c r="E733" s="9" t="str">
        <f aca="false">HYPERLINK("https://twitter.com/JDungelhoeff/status/921880067919159296","921880067919159296")</f>
        <v>921880067919159296</v>
      </c>
      <c r="F733" s="10" t="s">
        <v>51</v>
      </c>
      <c r="G733" s="10" t="n">
        <v>2541</v>
      </c>
      <c r="H733" s="10" t="n">
        <v>982</v>
      </c>
      <c r="I733" s="10" t="n">
        <v>1</v>
      </c>
      <c r="J733" s="10" t="n">
        <v>0</v>
      </c>
      <c r="K733" s="10" t="s">
        <v>20</v>
      </c>
      <c r="L733" s="11" t="n">
        <v>40472.470474537</v>
      </c>
      <c r="M733" s="12" t="s">
        <v>2040</v>
      </c>
      <c r="N733" s="12" t="s">
        <v>2041</v>
      </c>
      <c r="O733" s="9" t="str">
        <f aca="false">HYPERLINK("https://pbs.twimg.com/profile_images/921758303033597953/C_efGrBM_normal.jpg","View")</f>
        <v>View</v>
      </c>
      <c r="P733" s="10"/>
    </row>
    <row r="734" customFormat="false" ht="15.75" hidden="false" customHeight="false" outlineLevel="0" collapsed="false">
      <c r="A734" s="6" t="n">
        <v>43029.6855902778</v>
      </c>
      <c r="B734" s="7" t="str">
        <f aca="false">HYPERLINK("https://twitter.com/BreakingNewss3","@BreakingNewss3")</f>
        <v>@BreakingNewss3</v>
      </c>
      <c r="C734" s="8" t="s">
        <v>310</v>
      </c>
      <c r="D734" s="8" t="s">
        <v>2042</v>
      </c>
      <c r="E734" s="9" t="str">
        <f aca="false">HYPERLINK("https://twitter.com/BreakingNewss3/status/921880590596689921","921880590596689921")</f>
        <v>921880590596689921</v>
      </c>
      <c r="F734" s="10" t="s">
        <v>60</v>
      </c>
      <c r="G734" s="10" t="n">
        <v>651</v>
      </c>
      <c r="H734" s="10" t="n">
        <v>0</v>
      </c>
      <c r="I734" s="10" t="n">
        <v>0</v>
      </c>
      <c r="J734" s="10" t="n">
        <v>0</v>
      </c>
      <c r="K734" s="10" t="s">
        <v>20</v>
      </c>
      <c r="L734" s="11" t="n">
        <v>42440.1721643519</v>
      </c>
      <c r="M734" s="12"/>
      <c r="N734" s="12" t="s">
        <v>2043</v>
      </c>
      <c r="O734" s="9" t="str">
        <f aca="false">HYPERLINK("https://pbs.twimg.com/profile_images/708263927298154496/Ql9mPtxJ_normal.jpg","View")</f>
        <v>View</v>
      </c>
      <c r="P734" s="10"/>
    </row>
    <row r="735" customFormat="false" ht="15.75" hidden="false" customHeight="false" outlineLevel="0" collapsed="false">
      <c r="A735" s="6" t="n">
        <v>43029.6869791667</v>
      </c>
      <c r="B735" s="7" t="str">
        <f aca="false">HYPERLINK("https://twitter.com/RodgerVarley","@RodgerVarley")</f>
        <v>@RodgerVarley</v>
      </c>
      <c r="C735" s="8" t="s">
        <v>2044</v>
      </c>
      <c r="D735" s="8" t="s">
        <v>2045</v>
      </c>
      <c r="E735" s="9" t="str">
        <f aca="false">HYPERLINK("https://twitter.com/RodgerVarley/status/921881096782057472","921881096782057472")</f>
        <v>921881096782057472</v>
      </c>
      <c r="F735" s="10" t="s">
        <v>39</v>
      </c>
      <c r="G735" s="10" t="n">
        <v>1582</v>
      </c>
      <c r="H735" s="10" t="n">
        <v>1297</v>
      </c>
      <c r="I735" s="10" t="n">
        <v>0</v>
      </c>
      <c r="J735" s="10" t="n">
        <v>0</v>
      </c>
      <c r="K735" s="10" t="s">
        <v>20</v>
      </c>
      <c r="L735" s="11" t="n">
        <v>40884.7713194445</v>
      </c>
      <c r="M735" s="12"/>
      <c r="N735" s="12" t="s">
        <v>2046</v>
      </c>
      <c r="O735" s="9" t="str">
        <f aca="false">HYPERLINK("https://pbs.twimg.com/profile_images/616029081579073544/zwaZXukD_normal.jpg","View")</f>
        <v>View</v>
      </c>
      <c r="P735" s="10"/>
    </row>
    <row r="736" customFormat="false" ht="15.75" hidden="false" customHeight="false" outlineLevel="0" collapsed="false">
      <c r="A736" s="6" t="n">
        <v>43029.6884837963</v>
      </c>
      <c r="B736" s="7" t="str">
        <f aca="false">HYPERLINK("https://twitter.com/NewzTwe","@NewzTwe")</f>
        <v>@NewzTwe</v>
      </c>
      <c r="C736" s="7" t="s">
        <v>2047</v>
      </c>
      <c r="D736" s="8" t="s">
        <v>2048</v>
      </c>
      <c r="E736" s="9" t="str">
        <f aca="false">HYPERLINK("https://twitter.com/NewzTwe/status/921881640846155776","921881640846155776")</f>
        <v>921881640846155776</v>
      </c>
      <c r="F736" s="10" t="s">
        <v>60</v>
      </c>
      <c r="G736" s="10" t="n">
        <v>122</v>
      </c>
      <c r="H736" s="10" t="n">
        <v>887</v>
      </c>
      <c r="I736" s="10" t="n">
        <v>0</v>
      </c>
      <c r="J736" s="10" t="n">
        <v>0</v>
      </c>
      <c r="K736" s="10" t="s">
        <v>20</v>
      </c>
      <c r="L736" s="11" t="n">
        <v>42795.953125</v>
      </c>
      <c r="M736" s="12" t="s">
        <v>72</v>
      </c>
      <c r="N736" s="12" t="s">
        <v>2049</v>
      </c>
      <c r="O736" s="9" t="str">
        <f aca="false">HYPERLINK("https://pbs.twimg.com/profile_images/837933558257766400/ii-PJYaf_normal.jpg","View")</f>
        <v>View</v>
      </c>
      <c r="P736" s="10"/>
    </row>
    <row r="737" customFormat="false" ht="15.75" hidden="false" customHeight="false" outlineLevel="0" collapsed="false">
      <c r="A737" s="6" t="n">
        <v>43029.6898958333</v>
      </c>
      <c r="B737" s="7" t="str">
        <f aca="false">HYPERLINK("https://twitter.com/lucidezbr","@lucidezbr")</f>
        <v>@lucidezbr</v>
      </c>
      <c r="C737" s="8" t="s">
        <v>2050</v>
      </c>
      <c r="D737" s="8" t="s">
        <v>2051</v>
      </c>
      <c r="E737" s="9" t="str">
        <f aca="false">HYPERLINK("https://twitter.com/lucidezbr/status/921882152760995840","921882152760995840")</f>
        <v>921882152760995840</v>
      </c>
      <c r="F737" s="10" t="s">
        <v>39</v>
      </c>
      <c r="G737" s="10" t="n">
        <v>572</v>
      </c>
      <c r="H737" s="10" t="n">
        <v>2694</v>
      </c>
      <c r="I737" s="10" t="n">
        <v>0</v>
      </c>
      <c r="J737" s="10" t="n">
        <v>0</v>
      </c>
      <c r="K737" s="10" t="s">
        <v>20</v>
      </c>
      <c r="L737" s="11" t="n">
        <v>41297.39375</v>
      </c>
      <c r="M737" s="12" t="s">
        <v>2052</v>
      </c>
      <c r="N737" s="12" t="s">
        <v>2053</v>
      </c>
      <c r="O737" s="9" t="str">
        <f aca="false">HYPERLINK("https://pbs.twimg.com/profile_images/840126790349684736/6dibuOvr_normal.jpg","View")</f>
        <v>View</v>
      </c>
      <c r="P737" s="10"/>
    </row>
    <row r="738" customFormat="false" ht="15.75" hidden="false" customHeight="false" outlineLevel="0" collapsed="false">
      <c r="A738" s="6" t="n">
        <v>43029.6986458333</v>
      </c>
      <c r="B738" s="7" t="str">
        <f aca="false">HYPERLINK("https://twitter.com/SurvivalTopGear","@SurvivalTopGear")</f>
        <v>@SurvivalTopGear</v>
      </c>
      <c r="C738" s="8" t="s">
        <v>2054</v>
      </c>
      <c r="D738" s="8" t="s">
        <v>2055</v>
      </c>
      <c r="E738" s="9" t="str">
        <f aca="false">HYPERLINK("https://twitter.com/SurvivalTopGear/status/921885323084292096","921885323084292096")</f>
        <v>921885323084292096</v>
      </c>
      <c r="F738" s="9" t="s">
        <v>1147</v>
      </c>
      <c r="G738" s="10" t="n">
        <v>3050</v>
      </c>
      <c r="H738" s="10" t="n">
        <v>4870</v>
      </c>
      <c r="I738" s="10" t="n">
        <v>0</v>
      </c>
      <c r="J738" s="10" t="n">
        <v>0</v>
      </c>
      <c r="K738" s="10" t="s">
        <v>20</v>
      </c>
      <c r="L738" s="11" t="n">
        <v>42549.3757986111</v>
      </c>
      <c r="M738" s="12" t="s">
        <v>132</v>
      </c>
      <c r="N738" s="12" t="s">
        <v>2056</v>
      </c>
      <c r="O738" s="9" t="str">
        <f aca="false">HYPERLINK("https://pbs.twimg.com/profile_images/835484203903037445/8XneK5HP_normal.jpg","View")</f>
        <v>View</v>
      </c>
      <c r="P738" s="10"/>
    </row>
    <row r="739" customFormat="false" ht="15.75" hidden="false" customHeight="false" outlineLevel="0" collapsed="false">
      <c r="A739" s="6" t="n">
        <v>43029.6990046296</v>
      </c>
      <c r="B739" s="7" t="str">
        <f aca="false">HYPERLINK("https://twitter.com/walkileaks","@walkileaks")</f>
        <v>@walkileaks</v>
      </c>
      <c r="C739" s="8" t="s">
        <v>1267</v>
      </c>
      <c r="D739" s="8" t="s">
        <v>2057</v>
      </c>
      <c r="E739" s="9" t="str">
        <f aca="false">HYPERLINK("https://twitter.com/walkileaks/status/921885452310843393","921885452310843393")</f>
        <v>921885452310843393</v>
      </c>
      <c r="F739" s="9" t="s">
        <v>979</v>
      </c>
      <c r="G739" s="10" t="n">
        <v>533</v>
      </c>
      <c r="H739" s="10" t="n">
        <v>738</v>
      </c>
      <c r="I739" s="10" t="n">
        <v>0</v>
      </c>
      <c r="J739" s="10" t="n">
        <v>0</v>
      </c>
      <c r="K739" s="10" t="s">
        <v>20</v>
      </c>
      <c r="L739" s="11" t="n">
        <v>41239.3942361111</v>
      </c>
      <c r="M739" s="12" t="s">
        <v>230</v>
      </c>
      <c r="N739" s="12" t="s">
        <v>1269</v>
      </c>
      <c r="O739" s="9" t="str">
        <f aca="false">HYPERLINK("https://pbs.twimg.com/profile_images/782945569501286401/BOfnIaHw_normal.jpg","View")</f>
        <v>View</v>
      </c>
      <c r="P739" s="10"/>
    </row>
    <row r="740" customFormat="false" ht="15.75" hidden="false" customHeight="false" outlineLevel="0" collapsed="false">
      <c r="A740" s="6" t="n">
        <v>43029.6993518519</v>
      </c>
      <c r="B740" s="7" t="str">
        <f aca="false">HYPERLINK("https://twitter.com/guardianworld","@guardianworld")</f>
        <v>@guardianworld</v>
      </c>
      <c r="C740" s="8" t="s">
        <v>2058</v>
      </c>
      <c r="D740" s="8" t="s">
        <v>2059</v>
      </c>
      <c r="E740" s="9" t="str">
        <f aca="false">HYPERLINK("https://twitter.com/guardianworld/status/921885580429991936","921885580429991936")</f>
        <v>921885580429991936</v>
      </c>
      <c r="F740" s="9" t="s">
        <v>1147</v>
      </c>
      <c r="G740" s="10" t="n">
        <v>527853</v>
      </c>
      <c r="H740" s="10" t="n">
        <v>397</v>
      </c>
      <c r="I740" s="10" t="n">
        <v>12</v>
      </c>
      <c r="J740" s="10" t="n">
        <v>6</v>
      </c>
      <c r="K740" s="10" t="s">
        <v>20</v>
      </c>
      <c r="L740" s="11" t="n">
        <v>40346.3089930556</v>
      </c>
      <c r="M740" s="12" t="s">
        <v>893</v>
      </c>
      <c r="N740" s="12" t="s">
        <v>2060</v>
      </c>
      <c r="O740" s="9" t="str">
        <f aca="false">HYPERLINK("https://pbs.twimg.com/profile_images/564785448090750976/8rX_2Cb1_normal.png","View")</f>
        <v>View</v>
      </c>
      <c r="P740" s="10"/>
    </row>
    <row r="741" customFormat="false" ht="15.75" hidden="false" customHeight="false" outlineLevel="0" collapsed="false">
      <c r="A741" s="6" t="n">
        <v>43029.6998726852</v>
      </c>
      <c r="B741" s="7" t="str">
        <f aca="false">HYPERLINK("https://twitter.com/asuka_250","@asuka_250")</f>
        <v>@asuka_250</v>
      </c>
      <c r="C741" s="8" t="s">
        <v>1235</v>
      </c>
      <c r="D741" s="8" t="s">
        <v>2061</v>
      </c>
      <c r="E741" s="9" t="str">
        <f aca="false">HYPERLINK("https://twitter.com/asuka_250/status/921885769605640192","921885769605640192")</f>
        <v>921885769605640192</v>
      </c>
      <c r="F741" s="10" t="s">
        <v>25</v>
      </c>
      <c r="G741" s="10" t="n">
        <v>30709</v>
      </c>
      <c r="H741" s="10" t="n">
        <v>30516</v>
      </c>
      <c r="I741" s="10" t="n">
        <v>12</v>
      </c>
      <c r="J741" s="10" t="n">
        <v>0</v>
      </c>
      <c r="K741" s="10" t="s">
        <v>20</v>
      </c>
      <c r="L741" s="11" t="n">
        <v>41943.1724768519</v>
      </c>
      <c r="M741" s="12" t="s">
        <v>186</v>
      </c>
      <c r="N741" s="12" t="s">
        <v>1236</v>
      </c>
      <c r="O741" s="9" t="str">
        <f aca="false">HYPERLINK("https://pbs.twimg.com/profile_images/576284037486014464/dhYtI1qZ_normal.jpeg","View")</f>
        <v>View</v>
      </c>
      <c r="P741" s="10"/>
    </row>
    <row r="742" customFormat="false" ht="15.75" hidden="false" customHeight="false" outlineLevel="0" collapsed="false">
      <c r="A742" s="6" t="n">
        <v>43029.6999189815</v>
      </c>
      <c r="B742" s="7" t="str">
        <f aca="false">HYPERLINK("https://twitter.com/mutsusoken","@mutsusoken")</f>
        <v>@mutsusoken</v>
      </c>
      <c r="C742" s="14" t="s">
        <v>2062</v>
      </c>
      <c r="D742" s="8" t="s">
        <v>2061</v>
      </c>
      <c r="E742" s="9" t="str">
        <f aca="false">HYPERLINK("https://twitter.com/mutsusoken/status/921885784931631104","921885784931631104")</f>
        <v>921885784931631104</v>
      </c>
      <c r="F742" s="10" t="s">
        <v>51</v>
      </c>
      <c r="G742" s="10" t="n">
        <v>722</v>
      </c>
      <c r="H742" s="10" t="n">
        <v>1003</v>
      </c>
      <c r="I742" s="10" t="n">
        <v>12</v>
      </c>
      <c r="J742" s="10" t="n">
        <v>0</v>
      </c>
      <c r="K742" s="10" t="s">
        <v>20</v>
      </c>
      <c r="L742" s="11" t="n">
        <v>41257.7458564815</v>
      </c>
      <c r="M742" s="12" t="s">
        <v>574</v>
      </c>
      <c r="N742" s="13" t="s">
        <v>2063</v>
      </c>
      <c r="O742" s="9" t="str">
        <f aca="false">HYPERLINK("https://pbs.twimg.com/profile_images/2976760403/51bbd1956ef1a3378f939f563df2efe2_normal.jpeg","View")</f>
        <v>View</v>
      </c>
      <c r="P742" s="10"/>
    </row>
    <row r="743" customFormat="false" ht="15.75" hidden="false" customHeight="false" outlineLevel="0" collapsed="false">
      <c r="A743" s="6" t="n">
        <v>43029.7004861111</v>
      </c>
      <c r="B743" s="7" t="str">
        <f aca="false">HYPERLINK("https://twitter.com/AAltarek","@AAltarek")</f>
        <v>@AAltarek</v>
      </c>
      <c r="C743" s="8" t="s">
        <v>2064</v>
      </c>
      <c r="D743" s="8" t="s">
        <v>2015</v>
      </c>
      <c r="E743" s="9" t="str">
        <f aca="false">HYPERLINK("https://twitter.com/AAltarek/status/921885988032581638","921885988032581638")</f>
        <v>921885988032581638</v>
      </c>
      <c r="F743" s="10" t="s">
        <v>51</v>
      </c>
      <c r="G743" s="10" t="n">
        <v>3571</v>
      </c>
      <c r="H743" s="10" t="n">
        <v>498</v>
      </c>
      <c r="I743" s="10" t="n">
        <v>6</v>
      </c>
      <c r="J743" s="10" t="n">
        <v>0</v>
      </c>
      <c r="K743" s="10" t="s">
        <v>20</v>
      </c>
      <c r="L743" s="11" t="n">
        <v>41005.3245949074</v>
      </c>
      <c r="M743" s="12" t="s">
        <v>893</v>
      </c>
      <c r="N743" s="12"/>
      <c r="O743" s="9" t="str">
        <f aca="false">HYPERLINK("https://pbs.twimg.com/profile_images/820092708547084288/-o88HOg8_normal.jpg","View")</f>
        <v>View</v>
      </c>
      <c r="P743" s="10"/>
    </row>
    <row r="744" customFormat="false" ht="15.75" hidden="false" customHeight="false" outlineLevel="0" collapsed="false">
      <c r="A744" s="6" t="n">
        <v>43029.7009375</v>
      </c>
      <c r="B744" s="7" t="str">
        <f aca="false">HYPERLINK("https://twitter.com/paulomcheleno","@paulomcheleno")</f>
        <v>@paulomcheleno</v>
      </c>
      <c r="C744" s="8" t="s">
        <v>2065</v>
      </c>
      <c r="D744" s="8" t="s">
        <v>2061</v>
      </c>
      <c r="E744" s="9" t="str">
        <f aca="false">HYPERLINK("https://twitter.com/paulomcheleno/status/921886155448209408","921886155448209408")</f>
        <v>921886155448209408</v>
      </c>
      <c r="F744" s="10" t="s">
        <v>25</v>
      </c>
      <c r="G744" s="10" t="n">
        <v>66</v>
      </c>
      <c r="H744" s="10" t="n">
        <v>292</v>
      </c>
      <c r="I744" s="10" t="n">
        <v>12</v>
      </c>
      <c r="J744" s="10" t="n">
        <v>0</v>
      </c>
      <c r="K744" s="10" t="s">
        <v>20</v>
      </c>
      <c r="L744" s="11" t="n">
        <v>42002.5537152778</v>
      </c>
      <c r="M744" s="12" t="s">
        <v>2066</v>
      </c>
      <c r="N744" s="12" t="s">
        <v>2067</v>
      </c>
      <c r="O744" s="9" t="str">
        <f aca="false">HYPERLINK("https://pbs.twimg.com/profile_images/891321576947417089/x31jAyu1_normal.jpg","View")</f>
        <v>View</v>
      </c>
      <c r="P744" s="10"/>
    </row>
    <row r="745" customFormat="false" ht="15.75" hidden="false" customHeight="false" outlineLevel="0" collapsed="false">
      <c r="A745" s="6" t="n">
        <v>43029.7014699074</v>
      </c>
      <c r="B745" s="7" t="str">
        <f aca="false">HYPERLINK("https://twitter.com/the__himanish","@the__himanish")</f>
        <v>@the__himanish</v>
      </c>
      <c r="C745" s="8" t="s">
        <v>382</v>
      </c>
      <c r="D745" s="8" t="s">
        <v>2068</v>
      </c>
      <c r="E745" s="9" t="str">
        <f aca="false">HYPERLINK("https://twitter.com/the__himanish/status/921886346721091584","921886346721091584")</f>
        <v>921886346721091584</v>
      </c>
      <c r="F745" s="10" t="s">
        <v>60</v>
      </c>
      <c r="G745" s="10" t="n">
        <v>1811</v>
      </c>
      <c r="H745" s="10" t="n">
        <v>1625</v>
      </c>
      <c r="I745" s="10" t="n">
        <v>0</v>
      </c>
      <c r="J745" s="10" t="n">
        <v>0</v>
      </c>
      <c r="K745" s="10" t="s">
        <v>20</v>
      </c>
      <c r="L745" s="11" t="n">
        <v>40222.1517824074</v>
      </c>
      <c r="M745" s="12" t="s">
        <v>87</v>
      </c>
      <c r="N745" s="12" t="s">
        <v>384</v>
      </c>
      <c r="O745" s="9" t="str">
        <f aca="false">HYPERLINK("https://pbs.twimg.com/profile_images/914165533918015489/A6iR_gz2_normal.jpg","View")</f>
        <v>View</v>
      </c>
      <c r="P745" s="10"/>
    </row>
    <row r="746" customFormat="false" ht="15.75" hidden="false" customHeight="false" outlineLevel="0" collapsed="false">
      <c r="A746" s="6" t="n">
        <v>43029.7017708333</v>
      </c>
      <c r="B746" s="7" t="str">
        <f aca="false">HYPERLINK("https://twitter.com/newslivenetwork","@newslivenetwork")</f>
        <v>@newslivenetwork</v>
      </c>
      <c r="C746" s="8" t="s">
        <v>1668</v>
      </c>
      <c r="D746" s="8" t="s">
        <v>2069</v>
      </c>
      <c r="E746" s="9" t="str">
        <f aca="false">HYPERLINK("https://twitter.com/newslivenetwork/status/921886455596769286","921886455596769286")</f>
        <v>921886455596769286</v>
      </c>
      <c r="F746" s="10" t="s">
        <v>55</v>
      </c>
      <c r="G746" s="10" t="n">
        <v>272</v>
      </c>
      <c r="H746" s="10" t="n">
        <v>87</v>
      </c>
      <c r="I746" s="10" t="n">
        <v>0</v>
      </c>
      <c r="J746" s="10" t="n">
        <v>0</v>
      </c>
      <c r="K746" s="10" t="s">
        <v>20</v>
      </c>
      <c r="L746" s="11" t="n">
        <v>42741.4719675926</v>
      </c>
      <c r="M746" s="12" t="s">
        <v>1670</v>
      </c>
      <c r="N746" s="12" t="s">
        <v>1671</v>
      </c>
      <c r="O746" s="9" t="str">
        <f aca="false">HYPERLINK("https://pbs.twimg.com/profile_images/877414144424660992/scfhocj3_normal.jpg","View")</f>
        <v>View</v>
      </c>
      <c r="P746" s="10"/>
    </row>
    <row r="747" customFormat="false" ht="15.75" hidden="false" customHeight="false" outlineLevel="0" collapsed="false">
      <c r="A747" s="6" t="n">
        <v>43029.7027430556</v>
      </c>
      <c r="B747" s="7" t="str">
        <f aca="false">HYPERLINK("https://twitter.com/happyumisan","@happyumisan")</f>
        <v>@happyumisan</v>
      </c>
      <c r="C747" s="14" t="s">
        <v>2070</v>
      </c>
      <c r="D747" s="8" t="s">
        <v>2018</v>
      </c>
      <c r="E747" s="9" t="str">
        <f aca="false">HYPERLINK("https://twitter.com/happyumisan/status/921886806995451904","921886806995451904")</f>
        <v>921886806995451904</v>
      </c>
      <c r="F747" s="10" t="s">
        <v>51</v>
      </c>
      <c r="G747" s="10" t="n">
        <v>157</v>
      </c>
      <c r="H747" s="10" t="n">
        <v>132</v>
      </c>
      <c r="I747" s="10" t="n">
        <v>19</v>
      </c>
      <c r="J747" s="10" t="n">
        <v>0</v>
      </c>
      <c r="K747" s="10" t="s">
        <v>20</v>
      </c>
      <c r="L747" s="11" t="n">
        <v>40879.7269907407</v>
      </c>
      <c r="M747" s="12" t="s">
        <v>574</v>
      </c>
      <c r="N747" s="13" t="s">
        <v>2071</v>
      </c>
      <c r="O747" s="9" t="str">
        <f aca="false">HYPERLINK("https://pbs.twimg.com/profile_images/1671383053/PB250690-700_normal.jpg","View")</f>
        <v>View</v>
      </c>
      <c r="P747" s="10"/>
    </row>
    <row r="748" customFormat="false" ht="15.75" hidden="false" customHeight="false" outlineLevel="0" collapsed="false">
      <c r="A748" s="6" t="n">
        <v>43029.7027430556</v>
      </c>
      <c r="B748" s="7" t="str">
        <f aca="false">HYPERLINK("https://twitter.com/shankargallery","@shankargallery")</f>
        <v>@shankargallery</v>
      </c>
      <c r="C748" s="8" t="s">
        <v>2072</v>
      </c>
      <c r="D748" s="8" t="s">
        <v>2073</v>
      </c>
      <c r="E748" s="9" t="str">
        <f aca="false">HYPERLINK("https://twitter.com/shankargallery/status/921886808463564802","921886808463564802")</f>
        <v>921886808463564802</v>
      </c>
      <c r="F748" s="10" t="s">
        <v>2074</v>
      </c>
      <c r="G748" s="10" t="n">
        <v>8532</v>
      </c>
      <c r="H748" s="10" t="n">
        <v>8156</v>
      </c>
      <c r="I748" s="10" t="n">
        <v>0</v>
      </c>
      <c r="J748" s="10" t="n">
        <v>0</v>
      </c>
      <c r="K748" s="10" t="s">
        <v>20</v>
      </c>
      <c r="L748" s="11" t="n">
        <v>39213.5175925926</v>
      </c>
      <c r="M748" s="12" t="s">
        <v>2075</v>
      </c>
      <c r="N748" s="15" t="s">
        <v>2076</v>
      </c>
      <c r="O748" s="9" t="str">
        <f aca="false">HYPERLINK("https://pbs.twimg.com/profile_images/476104395847790592/nQaMS96N_normal.jpeg","View")</f>
        <v>View</v>
      </c>
      <c r="P748" s="10"/>
    </row>
    <row r="749" customFormat="false" ht="15.75" hidden="false" customHeight="false" outlineLevel="0" collapsed="false">
      <c r="A749" s="6" t="n">
        <v>43029.7031712963</v>
      </c>
      <c r="B749" s="7" t="str">
        <f aca="false">HYPERLINK("https://twitter.com/mbwManzoni","@mbwManzoni")</f>
        <v>@mbwManzoni</v>
      </c>
      <c r="C749" s="8" t="s">
        <v>45</v>
      </c>
      <c r="D749" s="8" t="s">
        <v>2077</v>
      </c>
      <c r="E749" s="9" t="str">
        <f aca="false">HYPERLINK("https://twitter.com/mbwManzoni/status/921886962453307392","921886962453307392")</f>
        <v>921886962453307392</v>
      </c>
      <c r="F749" s="10" t="s">
        <v>47</v>
      </c>
      <c r="G749" s="10" t="n">
        <v>503</v>
      </c>
      <c r="H749" s="10" t="n">
        <v>1161</v>
      </c>
      <c r="I749" s="10" t="n">
        <v>0</v>
      </c>
      <c r="J749" s="10" t="n">
        <v>0</v>
      </c>
      <c r="K749" s="10" t="s">
        <v>20</v>
      </c>
      <c r="L749" s="11" t="n">
        <v>40440.4984259259</v>
      </c>
      <c r="M749" s="12" t="s">
        <v>48</v>
      </c>
      <c r="N749" s="12" t="s">
        <v>49</v>
      </c>
      <c r="O749" s="9" t="str">
        <f aca="false">HYPERLINK("https://pbs.twimg.com/profile_images/876267141082861569/P5HrOcEH_normal.jpg","View")</f>
        <v>View</v>
      </c>
      <c r="P749" s="10"/>
    </row>
    <row r="750" customFormat="false" ht="15.75" hidden="false" customHeight="false" outlineLevel="0" collapsed="false">
      <c r="A750" s="6" t="n">
        <v>43029.7033333333</v>
      </c>
      <c r="B750" s="7" t="str">
        <f aca="false">HYPERLINK("https://twitter.com/GuardianAus","@GuardianAus")</f>
        <v>@GuardianAus</v>
      </c>
      <c r="C750" s="8" t="s">
        <v>2078</v>
      </c>
      <c r="D750" s="8" t="s">
        <v>2079</v>
      </c>
      <c r="E750" s="9" t="str">
        <f aca="false">HYPERLINK("https://twitter.com/GuardianAus/status/921887022519869440","921887022519869440")</f>
        <v>921887022519869440</v>
      </c>
      <c r="F750" s="10" t="s">
        <v>268</v>
      </c>
      <c r="G750" s="10" t="n">
        <v>167597</v>
      </c>
      <c r="H750" s="10" t="n">
        <v>117</v>
      </c>
      <c r="I750" s="10" t="n">
        <v>2</v>
      </c>
      <c r="J750" s="10" t="n">
        <v>0</v>
      </c>
      <c r="K750" s="10" t="s">
        <v>20</v>
      </c>
      <c r="L750" s="11" t="n">
        <v>41289.303287037</v>
      </c>
      <c r="M750" s="12" t="s">
        <v>1199</v>
      </c>
      <c r="N750" s="12" t="s">
        <v>2080</v>
      </c>
      <c r="O750" s="9" t="str">
        <f aca="false">HYPERLINK("https://pbs.twimg.com/profile_images/875549008407576576/wNTVvshs_normal.jpg","View")</f>
        <v>View</v>
      </c>
      <c r="P750" s="10"/>
    </row>
    <row r="751" customFormat="false" ht="15.75" hidden="false" customHeight="false" outlineLevel="0" collapsed="false">
      <c r="A751" s="6" t="n">
        <v>43029.7036458333</v>
      </c>
      <c r="B751" s="7" t="str">
        <f aca="false">HYPERLINK("https://twitter.com/MexicoNewsBot","@MexicoNewsBot")</f>
        <v>@MexicoNewsBot</v>
      </c>
      <c r="C751" s="8" t="s">
        <v>53</v>
      </c>
      <c r="D751" s="8" t="s">
        <v>2081</v>
      </c>
      <c r="E751" s="9" t="str">
        <f aca="false">HYPERLINK("https://twitter.com/MexicoNewsBot/status/921887135665479680","921887135665479680")</f>
        <v>921887135665479680</v>
      </c>
      <c r="F751" s="10" t="s">
        <v>55</v>
      </c>
      <c r="G751" s="10" t="n">
        <v>474</v>
      </c>
      <c r="H751" s="10" t="n">
        <v>183</v>
      </c>
      <c r="I751" s="10" t="n">
        <v>0</v>
      </c>
      <c r="J751" s="10" t="n">
        <v>0</v>
      </c>
      <c r="K751" s="10" t="s">
        <v>20</v>
      </c>
      <c r="L751" s="11" t="n">
        <v>41845.7457523148</v>
      </c>
      <c r="M751" s="12"/>
      <c r="N751" s="12"/>
      <c r="O751" s="9" t="str">
        <f aca="false">HYPERLINK("https://pbs.twimg.com/profile_images/492864938445000704/QxvpQrRZ_normal.jpeg","View")</f>
        <v>View</v>
      </c>
      <c r="P751" s="10"/>
    </row>
    <row r="752" customFormat="false" ht="15.75" hidden="false" customHeight="false" outlineLevel="0" collapsed="false">
      <c r="A752" s="6" t="n">
        <v>43029.7042939815</v>
      </c>
      <c r="B752" s="7" t="str">
        <f aca="false">HYPERLINK("https://twitter.com/nusasepatu","@nusasepatu")</f>
        <v>@nusasepatu</v>
      </c>
      <c r="C752" s="8" t="s">
        <v>2082</v>
      </c>
      <c r="D752" s="8" t="s">
        <v>2083</v>
      </c>
      <c r="E752" s="9" t="str">
        <f aca="false">HYPERLINK("https://twitter.com/nusasepatu/status/921887369837580289","921887369837580289")</f>
        <v>921887369837580289</v>
      </c>
      <c r="F752" s="10" t="s">
        <v>60</v>
      </c>
      <c r="G752" s="10" t="n">
        <v>9660</v>
      </c>
      <c r="H752" s="10" t="n">
        <v>60</v>
      </c>
      <c r="I752" s="10" t="n">
        <v>0</v>
      </c>
      <c r="J752" s="10" t="n">
        <v>0</v>
      </c>
      <c r="K752" s="10" t="s">
        <v>20</v>
      </c>
      <c r="L752" s="11" t="n">
        <v>42100.2371759259</v>
      </c>
      <c r="M752" s="12" t="s">
        <v>2084</v>
      </c>
      <c r="N752" s="12" t="s">
        <v>2085</v>
      </c>
      <c r="O752" s="9" t="str">
        <f aca="false">HYPERLINK("https://pbs.twimg.com/profile_images/757500649319739392/XI08kMsz_normal.jpg","View")</f>
        <v>View</v>
      </c>
      <c r="P752" s="10"/>
    </row>
    <row r="753" customFormat="false" ht="15.75" hidden="false" customHeight="false" outlineLevel="0" collapsed="false">
      <c r="A753" s="6" t="n">
        <v>43029.7043402778</v>
      </c>
      <c r="B753" s="7" t="str">
        <f aca="false">HYPERLINK("https://twitter.com/sopicali","@sopicali")</f>
        <v>@sopicali</v>
      </c>
      <c r="C753" s="8" t="s">
        <v>2086</v>
      </c>
      <c r="D753" s="8" t="s">
        <v>2087</v>
      </c>
      <c r="E753" s="9" t="str">
        <f aca="false">HYPERLINK("https://twitter.com/sopicali/status/921887385213984768","921887385213984768")</f>
        <v>921887385213984768</v>
      </c>
      <c r="F753" s="10" t="s">
        <v>60</v>
      </c>
      <c r="G753" s="10" t="n">
        <v>44</v>
      </c>
      <c r="H753" s="10" t="n">
        <v>170</v>
      </c>
      <c r="I753" s="10" t="n">
        <v>0</v>
      </c>
      <c r="J753" s="10" t="n">
        <v>0</v>
      </c>
      <c r="K753" s="10" t="s">
        <v>20</v>
      </c>
      <c r="L753" s="11" t="n">
        <v>40546.6565277778</v>
      </c>
      <c r="M753" s="12"/>
      <c r="N753" s="12"/>
      <c r="O753" s="9" t="str">
        <f aca="false">HYPERLINK("https://pbs.twimg.com/profile_images/1900200896/alhie_sm11_normal.jpg","View")</f>
        <v>View</v>
      </c>
      <c r="P753" s="10"/>
    </row>
    <row r="754" customFormat="false" ht="15.75" hidden="false" customHeight="false" outlineLevel="0" collapsed="false">
      <c r="A754" s="6" t="n">
        <v>43029.7043402778</v>
      </c>
      <c r="B754" s="7" t="str">
        <f aca="false">HYPERLINK("https://twitter.com/imax111","@imax111")</f>
        <v>@imax111</v>
      </c>
      <c r="C754" s="8" t="s">
        <v>1695</v>
      </c>
      <c r="D754" s="8" t="s">
        <v>2088</v>
      </c>
      <c r="E754" s="9" t="str">
        <f aca="false">HYPERLINK("https://twitter.com/imax111/status/921887386929418240","921887386929418240")</f>
        <v>921887386929418240</v>
      </c>
      <c r="F754" s="10" t="s">
        <v>60</v>
      </c>
      <c r="G754" s="10" t="n">
        <v>900</v>
      </c>
      <c r="H754" s="10" t="n">
        <v>0</v>
      </c>
      <c r="I754" s="10" t="n">
        <v>0</v>
      </c>
      <c r="J754" s="10" t="n">
        <v>0</v>
      </c>
      <c r="K754" s="10" t="s">
        <v>20</v>
      </c>
      <c r="L754" s="11" t="n">
        <v>39908.7389583333</v>
      </c>
      <c r="M754" s="12" t="s">
        <v>1697</v>
      </c>
      <c r="N754" s="12" t="s">
        <v>1698</v>
      </c>
      <c r="O754" s="9" t="str">
        <f aca="false">HYPERLINK("https://pbs.twimg.com/profile_images/763262084264161280/P0rX_ZUd_normal.jpg","View")</f>
        <v>View</v>
      </c>
      <c r="P754" s="10"/>
    </row>
    <row r="755" customFormat="false" ht="15.75" hidden="false" customHeight="false" outlineLevel="0" collapsed="false">
      <c r="A755" s="6" t="n">
        <v>43029.7043518519</v>
      </c>
      <c r="B755" s="7" t="str">
        <f aca="false">HYPERLINK("https://twitter.com/GgNewsCA","@GgNewsCA")</f>
        <v>@GgNewsCA</v>
      </c>
      <c r="C755" s="8" t="s">
        <v>2089</v>
      </c>
      <c r="D755" s="8" t="s">
        <v>2090</v>
      </c>
      <c r="E755" s="9" t="str">
        <f aca="false">HYPERLINK("https://twitter.com/GgNewsCA/status/921887391593275392","921887391593275392")</f>
        <v>921887391593275392</v>
      </c>
      <c r="F755" s="10" t="s">
        <v>60</v>
      </c>
      <c r="G755" s="10" t="n">
        <v>802</v>
      </c>
      <c r="H755" s="10" t="n">
        <v>119</v>
      </c>
      <c r="I755" s="10" t="n">
        <v>0</v>
      </c>
      <c r="J755" s="10" t="n">
        <v>0</v>
      </c>
      <c r="K755" s="10" t="s">
        <v>20</v>
      </c>
      <c r="L755" s="11" t="n">
        <v>41680.7382986111</v>
      </c>
      <c r="M755" s="12"/>
      <c r="N755" s="12" t="s">
        <v>2091</v>
      </c>
      <c r="O755" s="9" t="str">
        <f aca="false">HYPERLINK("https://pbs.twimg.com/profile_images/433054278446366720/6TSJYgRu_normal.png","View")</f>
        <v>View</v>
      </c>
      <c r="P755" s="10"/>
    </row>
    <row r="756" customFormat="false" ht="15.75" hidden="false" customHeight="false" outlineLevel="0" collapsed="false">
      <c r="A756" s="6" t="n">
        <v>43029.7056018518</v>
      </c>
      <c r="B756" s="7" t="str">
        <f aca="false">HYPERLINK("https://twitter.com/fujitayuh","@fujitayuh")</f>
        <v>@fujitayuh</v>
      </c>
      <c r="C756" s="8" t="s">
        <v>2092</v>
      </c>
      <c r="D756" s="8" t="s">
        <v>1899</v>
      </c>
      <c r="E756" s="9" t="str">
        <f aca="false">HYPERLINK("https://twitter.com/fujitayuh/status/921887842858496000","921887842858496000")</f>
        <v>921887842858496000</v>
      </c>
      <c r="F756" s="10" t="s">
        <v>177</v>
      </c>
      <c r="G756" s="10" t="n">
        <v>457</v>
      </c>
      <c r="H756" s="10" t="n">
        <v>265</v>
      </c>
      <c r="I756" s="10" t="n">
        <v>11</v>
      </c>
      <c r="J756" s="10" t="n">
        <v>0</v>
      </c>
      <c r="K756" s="10" t="s">
        <v>20</v>
      </c>
      <c r="L756" s="11" t="n">
        <v>40208.2397222222</v>
      </c>
      <c r="M756" s="12" t="s">
        <v>2093</v>
      </c>
      <c r="N756" s="13" t="s">
        <v>2094</v>
      </c>
      <c r="O756" s="9" t="str">
        <f aca="false">HYPERLINK("https://pbs.twimg.com/profile_images/667191542/800px-Four_of_the_Seven_Sisters_normal.jpg","View")</f>
        <v>View</v>
      </c>
      <c r="P756" s="10"/>
    </row>
    <row r="757" customFormat="false" ht="15.75" hidden="false" customHeight="false" outlineLevel="0" collapsed="false">
      <c r="A757" s="6" t="n">
        <v>43029.7059722222</v>
      </c>
      <c r="B757" s="7" t="str">
        <f aca="false">HYPERLINK("https://twitter.com/teiboutaskforce","@teiboutaskforce")</f>
        <v>@teiboutaskforce</v>
      </c>
      <c r="C757" s="14" t="s">
        <v>2095</v>
      </c>
      <c r="D757" s="8" t="s">
        <v>2061</v>
      </c>
      <c r="E757" s="9" t="str">
        <f aca="false">HYPERLINK("https://twitter.com/teiboutaskforce/status/921887979592753153","921887979592753153")</f>
        <v>921887979592753153</v>
      </c>
      <c r="F757" s="10" t="s">
        <v>39</v>
      </c>
      <c r="G757" s="10" t="n">
        <v>667</v>
      </c>
      <c r="H757" s="10" t="n">
        <v>1848</v>
      </c>
      <c r="I757" s="10" t="n">
        <v>12</v>
      </c>
      <c r="J757" s="10" t="n">
        <v>0</v>
      </c>
      <c r="K757" s="10" t="s">
        <v>20</v>
      </c>
      <c r="L757" s="11" t="n">
        <v>41075.3502662037</v>
      </c>
      <c r="M757" s="12"/>
      <c r="N757" s="13" t="s">
        <v>2096</v>
      </c>
      <c r="O757" s="9" t="str">
        <f aca="false">HYPERLINK("https://pbs.twimg.com/profile_images/2310647624/s83838_normal.jpg","View")</f>
        <v>View</v>
      </c>
      <c r="P757" s="10"/>
    </row>
    <row r="758" customFormat="false" ht="15.75" hidden="false" customHeight="false" outlineLevel="0" collapsed="false">
      <c r="A758" s="6" t="n">
        <v>43029.707037037</v>
      </c>
      <c r="B758" s="7" t="str">
        <f aca="false">HYPERLINK("https://twitter.com/DJLNR","@DJLNR")</f>
        <v>@DJLNR</v>
      </c>
      <c r="C758" s="8" t="s">
        <v>2097</v>
      </c>
      <c r="D758" s="8" t="s">
        <v>2098</v>
      </c>
      <c r="E758" s="9" t="str">
        <f aca="false">HYPERLINK("https://twitter.com/DJLNR/status/921888365011783680","921888365011783680")</f>
        <v>921888365011783680</v>
      </c>
      <c r="F758" s="10" t="s">
        <v>60</v>
      </c>
      <c r="G758" s="10" t="n">
        <v>598</v>
      </c>
      <c r="H758" s="10" t="n">
        <v>292</v>
      </c>
      <c r="I758" s="10" t="n">
        <v>0</v>
      </c>
      <c r="J758" s="10" t="n">
        <v>0</v>
      </c>
      <c r="K758" s="10" t="s">
        <v>20</v>
      </c>
      <c r="L758" s="11" t="n">
        <v>40688.0078125</v>
      </c>
      <c r="M758" s="12" t="s">
        <v>1843</v>
      </c>
      <c r="N758" s="12" t="s">
        <v>2099</v>
      </c>
      <c r="O758" s="9" t="str">
        <f aca="false">HYPERLINK("https://pbs.twimg.com/profile_images/627437968974872576/SIshWruB_normal.jpg","View")</f>
        <v>View</v>
      </c>
      <c r="P758" s="10"/>
    </row>
    <row r="759" customFormat="false" ht="15.75" hidden="false" customHeight="false" outlineLevel="0" collapsed="false">
      <c r="A759" s="6" t="n">
        <v>43029.7075347222</v>
      </c>
      <c r="B759" s="7" t="str">
        <f aca="false">HYPERLINK("https://twitter.com/happyumisan","@happyumisan")</f>
        <v>@happyumisan</v>
      </c>
      <c r="C759" s="14" t="s">
        <v>2070</v>
      </c>
      <c r="D759" s="8" t="s">
        <v>2061</v>
      </c>
      <c r="E759" s="9" t="str">
        <f aca="false">HYPERLINK("https://twitter.com/happyumisan/status/921888543747710976","921888543747710976")</f>
        <v>921888543747710976</v>
      </c>
      <c r="F759" s="10" t="s">
        <v>51</v>
      </c>
      <c r="G759" s="10" t="n">
        <v>157</v>
      </c>
      <c r="H759" s="10" t="n">
        <v>132</v>
      </c>
      <c r="I759" s="10" t="n">
        <v>12</v>
      </c>
      <c r="J759" s="10" t="n">
        <v>0</v>
      </c>
      <c r="K759" s="10" t="s">
        <v>20</v>
      </c>
      <c r="L759" s="11" t="n">
        <v>40879.7269907407</v>
      </c>
      <c r="M759" s="12" t="s">
        <v>574</v>
      </c>
      <c r="N759" s="13" t="s">
        <v>2071</v>
      </c>
      <c r="O759" s="9" t="str">
        <f aca="false">HYPERLINK("https://pbs.twimg.com/profile_images/1671383053/PB250690-700_normal.jpg","View")</f>
        <v>View</v>
      </c>
      <c r="P759" s="10"/>
    </row>
    <row r="760" customFormat="false" ht="15.75" hidden="false" customHeight="false" outlineLevel="0" collapsed="false">
      <c r="A760" s="6" t="n">
        <v>43029.7078935185</v>
      </c>
      <c r="B760" s="7" t="str">
        <f aca="false">HYPERLINK("https://twitter.com/worldnewsbox","@worldnewsbox")</f>
        <v>@worldnewsbox</v>
      </c>
      <c r="C760" s="8" t="s">
        <v>2100</v>
      </c>
      <c r="D760" s="8" t="s">
        <v>2101</v>
      </c>
      <c r="E760" s="9" t="str">
        <f aca="false">HYPERLINK("https://twitter.com/worldnewsbox/status/921888675205713920","921888675205713920")</f>
        <v>921888675205713920</v>
      </c>
      <c r="F760" s="10" t="s">
        <v>60</v>
      </c>
      <c r="G760" s="10" t="n">
        <v>140</v>
      </c>
      <c r="H760" s="10" t="n">
        <v>0</v>
      </c>
      <c r="I760" s="10" t="n">
        <v>0</v>
      </c>
      <c r="J760" s="10" t="n">
        <v>0</v>
      </c>
      <c r="K760" s="10" t="s">
        <v>20</v>
      </c>
      <c r="L760" s="11" t="n">
        <v>42048.4426388889</v>
      </c>
      <c r="M760" s="12" t="s">
        <v>2102</v>
      </c>
      <c r="N760" s="12"/>
      <c r="O760" s="9" t="str">
        <f aca="false">HYPERLINK("https://pbs.twimg.com/profile_images/566373479780347904/cRWsNt3U_normal.png","View")</f>
        <v>View</v>
      </c>
      <c r="P760" s="10"/>
    </row>
    <row r="761" customFormat="false" ht="15.75" hidden="false" customHeight="false" outlineLevel="0" collapsed="false">
      <c r="A761" s="6" t="n">
        <v>43029.7098148148</v>
      </c>
      <c r="B761" s="7" t="str">
        <f aca="false">HYPERLINK("https://twitter.com/kimjongeuan","@kimjongeuan")</f>
        <v>@kimjongeuan</v>
      </c>
      <c r="C761" s="8" t="s">
        <v>2103</v>
      </c>
      <c r="D761" s="8" t="s">
        <v>2104</v>
      </c>
      <c r="E761" s="9" t="str">
        <f aca="false">HYPERLINK("https://twitter.com/kimjongeuan/status/921889372441419776","921889372441419776")</f>
        <v>921889372441419776</v>
      </c>
      <c r="F761" s="10" t="s">
        <v>51</v>
      </c>
      <c r="G761" s="10" t="n">
        <v>167</v>
      </c>
      <c r="H761" s="10" t="n">
        <v>516</v>
      </c>
      <c r="I761" s="10" t="n">
        <v>2</v>
      </c>
      <c r="J761" s="10" t="n">
        <v>0</v>
      </c>
      <c r="K761" s="10" t="s">
        <v>20</v>
      </c>
      <c r="L761" s="11" t="n">
        <v>40741.8174884259</v>
      </c>
      <c r="M761" s="12" t="s">
        <v>1039</v>
      </c>
      <c r="N761" s="12" t="s">
        <v>2105</v>
      </c>
      <c r="O761" s="9" t="str">
        <f aca="false">HYPERLINK("https://pbs.twimg.com/profile_images/891203990888697856/PhNFYpx0_normal.jpg","View")</f>
        <v>View</v>
      </c>
      <c r="P761" s="10"/>
    </row>
    <row r="762" customFormat="false" ht="15.75" hidden="false" customHeight="false" outlineLevel="0" collapsed="false">
      <c r="A762" s="6" t="n">
        <v>43029.7098263889</v>
      </c>
      <c r="B762" s="7" t="str">
        <f aca="false">HYPERLINK("https://twitter.com/UK140","@UK140")</f>
        <v>@UK140</v>
      </c>
      <c r="C762" s="8" t="s">
        <v>2106</v>
      </c>
      <c r="D762" s="8" t="s">
        <v>2107</v>
      </c>
      <c r="E762" s="9" t="str">
        <f aca="false">HYPERLINK("https://twitter.com/UK140/status/921889376623386624","921889376623386624")</f>
        <v>921889376623386624</v>
      </c>
      <c r="F762" s="10" t="s">
        <v>110</v>
      </c>
      <c r="G762" s="10" t="n">
        <v>246</v>
      </c>
      <c r="H762" s="10" t="n">
        <v>10</v>
      </c>
      <c r="I762" s="10" t="n">
        <v>1</v>
      </c>
      <c r="J762" s="10" t="n">
        <v>0</v>
      </c>
      <c r="K762" s="10" t="s">
        <v>20</v>
      </c>
      <c r="L762" s="11" t="n">
        <v>40909.0803009259</v>
      </c>
      <c r="M762" s="12" t="s">
        <v>1466</v>
      </c>
      <c r="N762" s="12" t="s">
        <v>2108</v>
      </c>
      <c r="O762" s="9" t="str">
        <f aca="false">HYPERLINK("https://pbs.twimg.com/profile_images/1727115787/1238378_uk_map_normal.jpg","View")</f>
        <v>View</v>
      </c>
      <c r="P762" s="10"/>
    </row>
    <row r="763" customFormat="false" ht="15.75" hidden="false" customHeight="false" outlineLevel="0" collapsed="false">
      <c r="A763" s="6" t="n">
        <v>43029.7103009259</v>
      </c>
      <c r="B763" s="7" t="str">
        <f aca="false">HYPERLINK("https://twitter.com/PMunozLorite","@PMunozLorite")</f>
        <v>@PMunozLorite</v>
      </c>
      <c r="C763" s="8" t="s">
        <v>351</v>
      </c>
      <c r="D763" s="8" t="s">
        <v>2109</v>
      </c>
      <c r="E763" s="9" t="str">
        <f aca="false">HYPERLINK("https://twitter.com/PMunozLorite/status/921889547406987264","921889547406987264")</f>
        <v>921889547406987264</v>
      </c>
      <c r="F763" s="10" t="s">
        <v>110</v>
      </c>
      <c r="G763" s="10" t="n">
        <v>2678</v>
      </c>
      <c r="H763" s="10" t="n">
        <v>4946</v>
      </c>
      <c r="I763" s="10" t="n">
        <v>0</v>
      </c>
      <c r="J763" s="10" t="n">
        <v>0</v>
      </c>
      <c r="K763" s="10" t="s">
        <v>20</v>
      </c>
      <c r="L763" s="11" t="n">
        <v>39769.5892939815</v>
      </c>
      <c r="M763" s="12" t="s">
        <v>353</v>
      </c>
      <c r="N763" s="12" t="s">
        <v>354</v>
      </c>
      <c r="O763" s="9" t="str">
        <f aca="false">HYPERLINK("https://pbs.twimg.com/profile_images/574247662901403648/LzeOfYmt_normal.jpeg","View")</f>
        <v>View</v>
      </c>
      <c r="P763" s="10"/>
    </row>
    <row r="764" customFormat="false" ht="15.75" hidden="false" customHeight="false" outlineLevel="0" collapsed="false">
      <c r="A764" s="6" t="n">
        <v>43029.7103587963</v>
      </c>
      <c r="B764" s="7" t="str">
        <f aca="false">HYPERLINK("https://twitter.com/finance_news__","@finance_news__")</f>
        <v>@finance_news__</v>
      </c>
      <c r="C764" s="8" t="s">
        <v>2110</v>
      </c>
      <c r="D764" s="8" t="s">
        <v>2111</v>
      </c>
      <c r="E764" s="9" t="str">
        <f aca="false">HYPERLINK("https://twitter.com/finance_news__/status/921889566675689474","921889566675689474")</f>
        <v>921889566675689474</v>
      </c>
      <c r="F764" s="10" t="s">
        <v>110</v>
      </c>
      <c r="G764" s="10" t="n">
        <v>2450</v>
      </c>
      <c r="H764" s="10" t="n">
        <v>2088</v>
      </c>
      <c r="I764" s="10" t="n">
        <v>0</v>
      </c>
      <c r="J764" s="10" t="n">
        <v>0</v>
      </c>
      <c r="K764" s="10" t="s">
        <v>20</v>
      </c>
      <c r="L764" s="11" t="n">
        <v>40846.8175925926</v>
      </c>
      <c r="M764" s="12" t="s">
        <v>2112</v>
      </c>
      <c r="N764" s="12" t="s">
        <v>2113</v>
      </c>
      <c r="O764" s="9" t="str">
        <f aca="false">HYPERLINK("https://pbs.twimg.com/profile_images/1614931390/j0289552_1d1333f0_normal.png","View")</f>
        <v>View</v>
      </c>
      <c r="P764" s="10"/>
    </row>
    <row r="765" customFormat="false" ht="15.75" hidden="false" customHeight="false" outlineLevel="0" collapsed="false">
      <c r="A765" s="6" t="n">
        <v>43029.711400463</v>
      </c>
      <c r="B765" s="7" t="str">
        <f aca="false">HYPERLINK("https://twitter.com/omentando","@omentando")</f>
        <v>@omentando</v>
      </c>
      <c r="C765" s="8" t="s">
        <v>2114</v>
      </c>
      <c r="D765" s="8" t="s">
        <v>2115</v>
      </c>
      <c r="E765" s="9" t="str">
        <f aca="false">HYPERLINK("https://twitter.com/omentando/status/921889946423701504","921889946423701504")</f>
        <v>921889946423701504</v>
      </c>
      <c r="F765" s="10" t="s">
        <v>51</v>
      </c>
      <c r="G765" s="10" t="n">
        <v>959</v>
      </c>
      <c r="H765" s="10" t="n">
        <v>450</v>
      </c>
      <c r="I765" s="10" t="n">
        <v>1</v>
      </c>
      <c r="J765" s="10" t="n">
        <v>0</v>
      </c>
      <c r="K765" s="10" t="s">
        <v>20</v>
      </c>
      <c r="L765" s="11" t="n">
        <v>42725.7935532407</v>
      </c>
      <c r="M765" s="12" t="s">
        <v>2116</v>
      </c>
      <c r="N765" s="12" t="s">
        <v>2117</v>
      </c>
      <c r="O765" s="9" t="str">
        <f aca="false">HYPERLINK("https://pbs.twimg.com/profile_images/916867222164951040/GZJaFPNs_normal.jpg","View")</f>
        <v>View</v>
      </c>
      <c r="P765" s="10"/>
    </row>
    <row r="766" customFormat="false" ht="15.75" hidden="false" customHeight="false" outlineLevel="0" collapsed="false">
      <c r="A766" s="6" t="n">
        <v>43029.7128935185</v>
      </c>
      <c r="B766" s="7" t="str">
        <f aca="false">HYPERLINK("https://twitter.com/NicholasKinberg","@NicholasKinberg")</f>
        <v>@NicholasKinberg</v>
      </c>
      <c r="C766" s="8" t="s">
        <v>2118</v>
      </c>
      <c r="D766" s="8" t="s">
        <v>2104</v>
      </c>
      <c r="E766" s="9" t="str">
        <f aca="false">HYPERLINK("https://twitter.com/NicholasKinberg/status/921890487866454018","921890487866454018")</f>
        <v>921890487866454018</v>
      </c>
      <c r="F766" s="10" t="s">
        <v>25</v>
      </c>
      <c r="G766" s="10" t="n">
        <v>135</v>
      </c>
      <c r="H766" s="10" t="n">
        <v>2284</v>
      </c>
      <c r="I766" s="10" t="n">
        <v>2</v>
      </c>
      <c r="J766" s="10" t="n">
        <v>0</v>
      </c>
      <c r="K766" s="10" t="s">
        <v>20</v>
      </c>
      <c r="L766" s="11" t="n">
        <v>42576.838587963</v>
      </c>
      <c r="M766" s="12" t="s">
        <v>2119</v>
      </c>
      <c r="N766" s="12" t="s">
        <v>2120</v>
      </c>
      <c r="O766" s="9" t="str">
        <f aca="false">HYPERLINK("https://pbs.twimg.com/profile_images/838116791100518401/KtlOeByn_normal.jpg","View")</f>
        <v>View</v>
      </c>
      <c r="P766" s="10"/>
    </row>
    <row r="767" customFormat="false" ht="15.75" hidden="false" customHeight="false" outlineLevel="0" collapsed="false">
      <c r="A767" s="6" t="n">
        <v>43029.7139583333</v>
      </c>
      <c r="B767" s="7" t="str">
        <f aca="false">HYPERLINK("https://twitter.com/Japan_Guide1","@Japan_Guide1")</f>
        <v>@Japan_Guide1</v>
      </c>
      <c r="C767" s="8" t="s">
        <v>2121</v>
      </c>
      <c r="D767" s="8" t="s">
        <v>2122</v>
      </c>
      <c r="E767" s="9" t="str">
        <f aca="false">HYPERLINK("https://twitter.com/Japan_Guide1/status/921890870365863937","921890870365863937")</f>
        <v>921890870365863937</v>
      </c>
      <c r="F767" s="10" t="s">
        <v>39</v>
      </c>
      <c r="G767" s="10" t="n">
        <v>129</v>
      </c>
      <c r="H767" s="10" t="n">
        <v>8</v>
      </c>
      <c r="I767" s="10" t="n">
        <v>0</v>
      </c>
      <c r="J767" s="10" t="n">
        <v>0</v>
      </c>
      <c r="K767" s="10" t="s">
        <v>20</v>
      </c>
      <c r="L767" s="11" t="n">
        <v>41757.8528819444</v>
      </c>
      <c r="M767" s="12" t="s">
        <v>574</v>
      </c>
      <c r="N767" s="12" t="s">
        <v>2123</v>
      </c>
      <c r="O767" s="9" t="str">
        <f aca="false">HYPERLINK("https://pbs.twimg.com/profile_images/461037999447240704/PtnAzrJz_normal.jpeg","View")</f>
        <v>View</v>
      </c>
      <c r="P767" s="10"/>
    </row>
    <row r="768" customFormat="false" ht="15.75" hidden="false" customHeight="false" outlineLevel="0" collapsed="false">
      <c r="A768" s="6" t="n">
        <v>43029.7141782407</v>
      </c>
      <c r="B768" s="7" t="str">
        <f aca="false">HYPERLINK("https://twitter.com/Japan_Guide1","@Japan_Guide1")</f>
        <v>@Japan_Guide1</v>
      </c>
      <c r="C768" s="8" t="s">
        <v>2121</v>
      </c>
      <c r="D768" s="8" t="s">
        <v>2124</v>
      </c>
      <c r="E768" s="9" t="str">
        <f aca="false">HYPERLINK("https://twitter.com/Japan_Guide1/status/921890952242794496","921890952242794496")</f>
        <v>921890952242794496</v>
      </c>
      <c r="F768" s="10" t="s">
        <v>1658</v>
      </c>
      <c r="G768" s="10" t="n">
        <v>129</v>
      </c>
      <c r="H768" s="10" t="n">
        <v>8</v>
      </c>
      <c r="I768" s="10" t="n">
        <v>0</v>
      </c>
      <c r="J768" s="10" t="n">
        <v>0</v>
      </c>
      <c r="K768" s="10" t="s">
        <v>20</v>
      </c>
      <c r="L768" s="11" t="n">
        <v>41757.8528819444</v>
      </c>
      <c r="M768" s="12" t="s">
        <v>574</v>
      </c>
      <c r="N768" s="12" t="s">
        <v>2123</v>
      </c>
      <c r="O768" s="9" t="str">
        <f aca="false">HYPERLINK("https://pbs.twimg.com/profile_images/461037999447240704/PtnAzrJz_normal.jpeg","View")</f>
        <v>View</v>
      </c>
      <c r="P768" s="10"/>
    </row>
    <row r="769" customFormat="false" ht="15.75" hidden="false" customHeight="false" outlineLevel="0" collapsed="false">
      <c r="A769" s="6" t="n">
        <v>43029.715474537</v>
      </c>
      <c r="B769" s="7" t="str">
        <f aca="false">HYPERLINK("https://twitter.com/MyDailyReporter","@MyDailyReporter")</f>
        <v>@MyDailyReporter</v>
      </c>
      <c r="C769" s="8" t="s">
        <v>2125</v>
      </c>
      <c r="D769" s="8" t="s">
        <v>2126</v>
      </c>
      <c r="E769" s="9" t="str">
        <f aca="false">HYPERLINK("https://twitter.com/MyDailyReporter/status/921891422005014528","921891422005014528")</f>
        <v>921891422005014528</v>
      </c>
      <c r="F769" s="10" t="s">
        <v>60</v>
      </c>
      <c r="G769" s="10" t="n">
        <v>299</v>
      </c>
      <c r="H769" s="10" t="n">
        <v>0</v>
      </c>
      <c r="I769" s="10" t="n">
        <v>0</v>
      </c>
      <c r="J769" s="10" t="n">
        <v>0</v>
      </c>
      <c r="K769" s="10" t="s">
        <v>20</v>
      </c>
      <c r="L769" s="11" t="n">
        <v>42308.4636458333</v>
      </c>
      <c r="M769" s="12"/>
      <c r="N769" s="12"/>
      <c r="O769" s="9" t="str">
        <f aca="false">HYPERLINK("https://pbs.twimg.com/profile_images/660520809585315841/YEKGmz9g_normal.png","View")</f>
        <v>View</v>
      </c>
      <c r="P769" s="10"/>
    </row>
    <row r="770" customFormat="false" ht="15.75" hidden="false" customHeight="false" outlineLevel="0" collapsed="false">
      <c r="A770" s="6" t="n">
        <v>43029.7181712963</v>
      </c>
      <c r="B770" s="7" t="str">
        <f aca="false">HYPERLINK("https://twitter.com/HAZUMA_JPN","@HAZUMA_JPN")</f>
        <v>@HAZUMA_JPN</v>
      </c>
      <c r="C770" s="8" t="s">
        <v>1462</v>
      </c>
      <c r="D770" s="8" t="s">
        <v>705</v>
      </c>
      <c r="E770" s="9" t="str">
        <f aca="false">HYPERLINK("https://twitter.com/HAZUMA_JPN/status/921892397277241344","921892397277241344")</f>
        <v>921892397277241344</v>
      </c>
      <c r="F770" s="10" t="s">
        <v>51</v>
      </c>
      <c r="G770" s="10" t="n">
        <v>470</v>
      </c>
      <c r="H770" s="10" t="n">
        <v>3162</v>
      </c>
      <c r="I770" s="10" t="n">
        <v>60</v>
      </c>
      <c r="J770" s="10" t="n">
        <v>0</v>
      </c>
      <c r="K770" s="10" t="s">
        <v>20</v>
      </c>
      <c r="L770" s="11" t="n">
        <v>41559.639212963</v>
      </c>
      <c r="M770" s="12" t="s">
        <v>723</v>
      </c>
      <c r="N770" s="12" t="s">
        <v>1464</v>
      </c>
      <c r="O770" s="9" t="str">
        <f aca="false">HYPERLINK("https://pbs.twimg.com/profile_images/770376087977230336/zeh0Ktrm_normal.jpg","View")</f>
        <v>View</v>
      </c>
      <c r="P770" s="10"/>
    </row>
    <row r="771" customFormat="false" ht="15.75" hidden="false" customHeight="false" outlineLevel="0" collapsed="false">
      <c r="A771" s="6" t="n">
        <v>43029.7187847222</v>
      </c>
      <c r="B771" s="7" t="str">
        <f aca="false">HYPERLINK("https://twitter.com/DannyShookNews","@DannyShookNews")</f>
        <v>@DannyShookNews</v>
      </c>
      <c r="C771" s="8" t="s">
        <v>2127</v>
      </c>
      <c r="D771" s="8" t="s">
        <v>2128</v>
      </c>
      <c r="E771" s="9" t="str">
        <f aca="false">HYPERLINK("https://twitter.com/DannyShookNews/status/921892622561693697","921892622561693697")</f>
        <v>921892622561693697</v>
      </c>
      <c r="F771" s="10" t="s">
        <v>55</v>
      </c>
      <c r="G771" s="10" t="n">
        <v>61062</v>
      </c>
      <c r="H771" s="10" t="n">
        <v>59185</v>
      </c>
      <c r="I771" s="10" t="n">
        <v>0</v>
      </c>
      <c r="J771" s="10" t="n">
        <v>0</v>
      </c>
      <c r="K771" s="10" t="s">
        <v>20</v>
      </c>
      <c r="L771" s="11" t="n">
        <v>39781.5483217593</v>
      </c>
      <c r="M771" s="12" t="s">
        <v>2129</v>
      </c>
      <c r="N771" s="12" t="s">
        <v>2130</v>
      </c>
      <c r="O771" s="9" t="str">
        <f aca="false">HYPERLINK("https://pbs.twimg.com/profile_images/922757246030893056/QhggPdOG_normal.jpg","View")</f>
        <v>View</v>
      </c>
      <c r="P771" s="10"/>
    </row>
    <row r="772" customFormat="false" ht="15.75" hidden="false" customHeight="false" outlineLevel="0" collapsed="false">
      <c r="A772" s="6" t="n">
        <v>43029.719375</v>
      </c>
      <c r="B772" s="7" t="str">
        <f aca="false">HYPERLINK("https://twitter.com/WorldNews7777","@WorldNews7777")</f>
        <v>@WorldNews7777</v>
      </c>
      <c r="C772" s="8" t="s">
        <v>1749</v>
      </c>
      <c r="D772" s="8" t="s">
        <v>2131</v>
      </c>
      <c r="E772" s="9" t="str">
        <f aca="false">HYPERLINK("https://twitter.com/WorldNews7777/status/921892836051648513","921892836051648513")</f>
        <v>921892836051648513</v>
      </c>
      <c r="F772" s="10" t="s">
        <v>55</v>
      </c>
      <c r="G772" s="10" t="n">
        <v>6455</v>
      </c>
      <c r="H772" s="10" t="n">
        <v>6318</v>
      </c>
      <c r="I772" s="10" t="n">
        <v>0</v>
      </c>
      <c r="J772" s="10" t="n">
        <v>0</v>
      </c>
      <c r="K772" s="10" t="s">
        <v>20</v>
      </c>
      <c r="L772" s="11" t="n">
        <v>42489.1319444444</v>
      </c>
      <c r="M772" s="12" t="s">
        <v>230</v>
      </c>
      <c r="N772" s="12" t="s">
        <v>1751</v>
      </c>
      <c r="O772" s="9" t="str">
        <f aca="false">HYPERLINK("https://pbs.twimg.com/profile_images/736884749566889984/BtAvBgS4_normal.jpg","View")</f>
        <v>View</v>
      </c>
      <c r="P772" s="10"/>
    </row>
    <row r="773" customFormat="false" ht="15.75" hidden="false" customHeight="false" outlineLevel="0" collapsed="false">
      <c r="A773" s="6" t="n">
        <v>43029.7196180556</v>
      </c>
      <c r="B773" s="7" t="str">
        <f aca="false">HYPERLINK("https://twitter.com/kristoferkawas","@kristoferkawas")</f>
        <v>@kristoferkawas</v>
      </c>
      <c r="C773" s="8" t="s">
        <v>2132</v>
      </c>
      <c r="D773" s="8" t="s">
        <v>2133</v>
      </c>
      <c r="E773" s="9" t="str">
        <f aca="false">HYPERLINK("https://twitter.com/kristoferkawas/status/921892924815634433","921892924815634433")</f>
        <v>921892924815634433</v>
      </c>
      <c r="F773" s="10" t="s">
        <v>60</v>
      </c>
      <c r="G773" s="10" t="n">
        <v>3074</v>
      </c>
      <c r="H773" s="10" t="n">
        <v>14</v>
      </c>
      <c r="I773" s="10" t="n">
        <v>0</v>
      </c>
      <c r="J773" s="10" t="n">
        <v>0</v>
      </c>
      <c r="K773" s="10" t="s">
        <v>20</v>
      </c>
      <c r="L773" s="11" t="n">
        <v>40432.4156828704</v>
      </c>
      <c r="M773" s="12" t="s">
        <v>2134</v>
      </c>
      <c r="N773" s="12" t="s">
        <v>2135</v>
      </c>
      <c r="O773" s="9" t="str">
        <f aca="false">HYPERLINK("https://pbs.twimg.com/profile_images/662564447542636544/LvMoxlK3_normal.jpg","View")</f>
        <v>View</v>
      </c>
      <c r="P773" s="10"/>
    </row>
    <row r="774" customFormat="false" ht="15.75" hidden="false" customHeight="false" outlineLevel="0" collapsed="false">
      <c r="A774" s="6" t="n">
        <v>43029.7204050926</v>
      </c>
      <c r="B774" s="7" t="str">
        <f aca="false">HYPERLINK("https://twitter.com/globalissuesweb","@globalissuesweb")</f>
        <v>@globalissuesweb</v>
      </c>
      <c r="C774" s="8" t="s">
        <v>2136</v>
      </c>
      <c r="D774" s="8" t="s">
        <v>2137</v>
      </c>
      <c r="E774" s="9" t="str">
        <f aca="false">HYPERLINK("https://twitter.com/globalissuesweb/status/921893206396153856","921893206396153856")</f>
        <v>921893206396153856</v>
      </c>
      <c r="F774" s="9" t="s">
        <v>2138</v>
      </c>
      <c r="G774" s="10" t="n">
        <v>155503</v>
      </c>
      <c r="H774" s="10" t="n">
        <v>2419</v>
      </c>
      <c r="I774" s="10" t="n">
        <v>0</v>
      </c>
      <c r="J774" s="10" t="n">
        <v>0</v>
      </c>
      <c r="K774" s="10" t="s">
        <v>20</v>
      </c>
      <c r="L774" s="11" t="n">
        <v>40037.4634143518</v>
      </c>
      <c r="M774" s="12" t="s">
        <v>2139</v>
      </c>
      <c r="N774" s="12" t="s">
        <v>2140</v>
      </c>
      <c r="O774" s="9" t="str">
        <f aca="false">HYPERLINK("https://pbs.twimg.com/profile_images/2634696934/fbbd02b9e0ac76801b12e7fdecdf68be_normal.jpeg","View")</f>
        <v>View</v>
      </c>
      <c r="P774" s="10"/>
    </row>
    <row r="775" customFormat="false" ht="15.75" hidden="false" customHeight="false" outlineLevel="0" collapsed="false">
      <c r="A775" s="6" t="n">
        <v>43029.7207523148</v>
      </c>
      <c r="B775" s="7" t="str">
        <f aca="false">HYPERLINK("https://twitter.com/ZyiteGadgets","@ZyiteGadgets")</f>
        <v>@ZyiteGadgets</v>
      </c>
      <c r="C775" s="8" t="s">
        <v>171</v>
      </c>
      <c r="D775" s="8" t="s">
        <v>2141</v>
      </c>
      <c r="E775" s="9" t="str">
        <f aca="false">HYPERLINK("https://twitter.com/ZyiteGadgets/status/921893333483520000","921893333483520000")</f>
        <v>921893333483520000</v>
      </c>
      <c r="F775" s="10" t="s">
        <v>110</v>
      </c>
      <c r="G775" s="10" t="n">
        <v>3542</v>
      </c>
      <c r="H775" s="10" t="n">
        <v>4844</v>
      </c>
      <c r="I775" s="10" t="n">
        <v>0</v>
      </c>
      <c r="J775" s="10" t="n">
        <v>0</v>
      </c>
      <c r="K775" s="10" t="s">
        <v>20</v>
      </c>
      <c r="L775" s="11" t="n">
        <v>41470.6147800926</v>
      </c>
      <c r="M775" s="15" t="s">
        <v>173</v>
      </c>
      <c r="N775" s="12" t="s">
        <v>174</v>
      </c>
      <c r="O775" s="9" t="str">
        <f aca="false">HYPERLINK("https://pbs.twimg.com/profile_images/487701633489313793/pIxJHFt5_normal.jpeg","View")</f>
        <v>View</v>
      </c>
      <c r="P775" s="10"/>
    </row>
    <row r="776" customFormat="false" ht="15.75" hidden="false" customHeight="false" outlineLevel="0" collapsed="false">
      <c r="A776" s="6" t="n">
        <v>43029.7207986111</v>
      </c>
      <c r="B776" s="7" t="str">
        <f aca="false">HYPERLINK("https://twitter.com/weather_tweet__","@weather_tweet__")</f>
        <v>@weather_tweet__</v>
      </c>
      <c r="C776" s="8" t="s">
        <v>2142</v>
      </c>
      <c r="D776" s="8" t="s">
        <v>2143</v>
      </c>
      <c r="E776" s="9" t="str">
        <f aca="false">HYPERLINK("https://twitter.com/weather_tweet__/status/921893352412532736","921893352412532736")</f>
        <v>921893352412532736</v>
      </c>
      <c r="F776" s="10" t="s">
        <v>110</v>
      </c>
      <c r="G776" s="10" t="n">
        <v>1797</v>
      </c>
      <c r="H776" s="10" t="n">
        <v>2201</v>
      </c>
      <c r="I776" s="10" t="n">
        <v>0</v>
      </c>
      <c r="J776" s="10" t="n">
        <v>0</v>
      </c>
      <c r="K776" s="10" t="s">
        <v>20</v>
      </c>
      <c r="L776" s="11" t="n">
        <v>40846.7854976852</v>
      </c>
      <c r="M776" s="12" t="s">
        <v>2144</v>
      </c>
      <c r="N776" s="12" t="s">
        <v>2145</v>
      </c>
      <c r="O776" s="9" t="str">
        <f aca="false">HYPERLINK("https://pbs.twimg.com/profile_images/1614866896/2011-08-21_2334.pngforum_normal.png","View")</f>
        <v>View</v>
      </c>
      <c r="P776" s="10"/>
    </row>
    <row r="777" customFormat="false" ht="15.75" hidden="false" customHeight="false" outlineLevel="0" collapsed="false">
      <c r="A777" s="6" t="n">
        <v>43029.7209143519</v>
      </c>
      <c r="B777" s="7" t="str">
        <f aca="false">HYPERLINK("https://twitter.com/PS641600","@PS641600")</f>
        <v>@PS641600</v>
      </c>
      <c r="C777" s="8" t="s">
        <v>2146</v>
      </c>
      <c r="D777" s="8" t="s">
        <v>2147</v>
      </c>
      <c r="E777" s="9" t="str">
        <f aca="false">HYPERLINK("https://twitter.com/PS641600/status/921893392510062593","921893392510062593")</f>
        <v>921893392510062593</v>
      </c>
      <c r="F777" s="10" t="s">
        <v>159</v>
      </c>
      <c r="G777" s="10" t="n">
        <v>3978</v>
      </c>
      <c r="H777" s="10" t="n">
        <v>4083</v>
      </c>
      <c r="I777" s="10" t="n">
        <v>0</v>
      </c>
      <c r="J777" s="10" t="n">
        <v>0</v>
      </c>
      <c r="K777" s="10" t="s">
        <v>20</v>
      </c>
      <c r="L777" s="11" t="n">
        <v>40521.6192361111</v>
      </c>
      <c r="M777" s="12" t="s">
        <v>2148</v>
      </c>
      <c r="N777" s="12" t="s">
        <v>2149</v>
      </c>
      <c r="O777" s="9" t="str">
        <f aca="false">HYPERLINK("https://pbs.twimg.com/profile_images/907275579438850048/mAQAJ-Qp_normal.jpg","View")</f>
        <v>View</v>
      </c>
      <c r="P777" s="10"/>
    </row>
    <row r="778" customFormat="false" ht="15.75" hidden="false" customHeight="false" outlineLevel="0" collapsed="false">
      <c r="A778" s="6" t="n">
        <v>43029.7241203704</v>
      </c>
      <c r="B778" s="7" t="str">
        <f aca="false">HYPERLINK("https://twitter.com/PhamNguyenly","@PhamNguyenly")</f>
        <v>@PhamNguyenly</v>
      </c>
      <c r="C778" s="8" t="s">
        <v>1538</v>
      </c>
      <c r="D778" s="8" t="s">
        <v>2150</v>
      </c>
      <c r="E778" s="9" t="str">
        <f aca="false">HYPERLINK("https://twitter.com/PhamNguyenly/status/921894554256789504","921894554256789504")</f>
        <v>921894554256789504</v>
      </c>
      <c r="F778" s="10" t="s">
        <v>55</v>
      </c>
      <c r="G778" s="10" t="n">
        <v>174</v>
      </c>
      <c r="H778" s="10" t="n">
        <v>48</v>
      </c>
      <c r="I778" s="10" t="n">
        <v>0</v>
      </c>
      <c r="J778" s="10" t="n">
        <v>0</v>
      </c>
      <c r="K778" s="10" t="s">
        <v>20</v>
      </c>
      <c r="L778" s="11" t="n">
        <v>42379.075162037</v>
      </c>
      <c r="M778" s="12"/>
      <c r="N778" s="12"/>
      <c r="O778" s="9" t="str">
        <f aca="false">HYPERLINK("https://pbs.twimg.com/profile_images/686123123029053440/tlIsdN69_normal.jpg","View")</f>
        <v>View</v>
      </c>
      <c r="P778" s="10"/>
    </row>
    <row r="779" customFormat="false" ht="15.75" hidden="false" customHeight="false" outlineLevel="0" collapsed="false">
      <c r="A779" s="6" t="n">
        <v>43029.7249305556</v>
      </c>
      <c r="B779" s="7" t="str">
        <f aca="false">HYPERLINK("https://twitter.com/cgnetwork","@cgnetwork")</f>
        <v>@cgnetwork</v>
      </c>
      <c r="C779" s="8" t="s">
        <v>372</v>
      </c>
      <c r="D779" s="8" t="s">
        <v>2151</v>
      </c>
      <c r="E779" s="9" t="str">
        <f aca="false">HYPERLINK("https://twitter.com/cgnetwork/status/921894849464414210","921894849464414210")</f>
        <v>921894849464414210</v>
      </c>
      <c r="F779" s="10" t="s">
        <v>55</v>
      </c>
      <c r="G779" s="10" t="n">
        <v>1176</v>
      </c>
      <c r="H779" s="10" t="n">
        <v>497</v>
      </c>
      <c r="I779" s="10" t="n">
        <v>0</v>
      </c>
      <c r="J779" s="10" t="n">
        <v>0</v>
      </c>
      <c r="K779" s="10" t="s">
        <v>20</v>
      </c>
      <c r="L779" s="11" t="n">
        <v>39992.0619791667</v>
      </c>
      <c r="M779" s="12" t="s">
        <v>374</v>
      </c>
      <c r="N779" s="12" t="s">
        <v>375</v>
      </c>
      <c r="O779" s="9" t="str">
        <f aca="false">HYPERLINK("https://pbs.twimg.com/profile_images/286683233/Francis_Lim_Passport_Size_photo_image.jpg_normal.jpg","View")</f>
        <v>View</v>
      </c>
      <c r="P779" s="10"/>
    </row>
    <row r="780" customFormat="false" ht="15.75" hidden="false" customHeight="false" outlineLevel="0" collapsed="false">
      <c r="A780" s="6" t="n">
        <v>43029.7250115741</v>
      </c>
      <c r="B780" s="7" t="str">
        <f aca="false">HYPERLINK("https://twitter.com/LudmilaVajenina","@LudmilaVajenina")</f>
        <v>@LudmilaVajenina</v>
      </c>
      <c r="C780" s="8" t="s">
        <v>2152</v>
      </c>
      <c r="D780" s="8" t="s">
        <v>2153</v>
      </c>
      <c r="E780" s="9" t="str">
        <f aca="false">HYPERLINK("https://twitter.com/LudmilaVajenina/status/921894877528551425","921894877528551425")</f>
        <v>921894877528551425</v>
      </c>
      <c r="F780" s="10" t="s">
        <v>55</v>
      </c>
      <c r="G780" s="10" t="n">
        <v>1168</v>
      </c>
      <c r="H780" s="10" t="n">
        <v>354</v>
      </c>
      <c r="I780" s="10" t="n">
        <v>0</v>
      </c>
      <c r="J780" s="10" t="n">
        <v>0</v>
      </c>
      <c r="K780" s="10" t="s">
        <v>20</v>
      </c>
      <c r="L780" s="11" t="n">
        <v>41317.9959143519</v>
      </c>
      <c r="M780" s="12" t="s">
        <v>2154</v>
      </c>
      <c r="N780" s="12" t="s">
        <v>2155</v>
      </c>
      <c r="O780" s="9" t="str">
        <f aca="false">HYPERLINK("https://pbs.twimg.com/profile_images/756336220666462208/Kx0hCcZ-_normal.jpg","View")</f>
        <v>View</v>
      </c>
      <c r="P780" s="10"/>
    </row>
    <row r="781" customFormat="false" ht="15.75" hidden="false" customHeight="false" outlineLevel="0" collapsed="false">
      <c r="A781" s="6" t="n">
        <v>43029.7265625</v>
      </c>
      <c r="B781" s="7" t="str">
        <f aca="false">HYPERLINK("https://twitter.com/JmdsCourse","@JmdsCourse")</f>
        <v>@JmdsCourse</v>
      </c>
      <c r="C781" s="8" t="s">
        <v>2156</v>
      </c>
      <c r="D781" s="8" t="s">
        <v>2157</v>
      </c>
      <c r="E781" s="9" t="str">
        <f aca="false">HYPERLINK("https://twitter.com/JmdsCourse/status/921895438940364801","921895438940364801")</f>
        <v>921895438940364801</v>
      </c>
      <c r="F781" s="10" t="s">
        <v>60</v>
      </c>
      <c r="G781" s="10" t="n">
        <v>42</v>
      </c>
      <c r="H781" s="10" t="n">
        <v>12</v>
      </c>
      <c r="I781" s="10" t="n">
        <v>0</v>
      </c>
      <c r="J781" s="10" t="n">
        <v>0</v>
      </c>
      <c r="K781" s="10" t="s">
        <v>20</v>
      </c>
      <c r="L781" s="11" t="n">
        <v>41400.2837152778</v>
      </c>
      <c r="M781" s="12"/>
      <c r="N781" s="12"/>
      <c r="O781" s="9" t="str">
        <f aca="false">HYPERLINK("https://pbs.twimg.com/profile_images/3622220713/eb440734a195de766658e0480a4eeb4e_normal.jpeg","View")</f>
        <v>View</v>
      </c>
      <c r="P781" s="10"/>
    </row>
    <row r="782" customFormat="false" ht="15.75" hidden="false" customHeight="false" outlineLevel="0" collapsed="false">
      <c r="A782" s="6" t="n">
        <v>43029.7267013889</v>
      </c>
      <c r="B782" s="7" t="str">
        <f aca="false">HYPERLINK("https://twitter.com/ongmvktgnm78","@ongmvktgnm78")</f>
        <v>@ongmvktgnm78</v>
      </c>
      <c r="C782" s="8" t="s">
        <v>2158</v>
      </c>
      <c r="D782" s="8" t="s">
        <v>2018</v>
      </c>
      <c r="E782" s="9" t="str">
        <f aca="false">HYPERLINK("https://twitter.com/ongmvktgnm78/status/921895489468952577","921895489468952577")</f>
        <v>921895489468952577</v>
      </c>
      <c r="F782" s="10" t="s">
        <v>25</v>
      </c>
      <c r="G782" s="10" t="n">
        <v>42</v>
      </c>
      <c r="H782" s="10" t="n">
        <v>46</v>
      </c>
      <c r="I782" s="10" t="n">
        <v>19</v>
      </c>
      <c r="J782" s="10" t="n">
        <v>0</v>
      </c>
      <c r="K782" s="10" t="s">
        <v>20</v>
      </c>
      <c r="L782" s="11" t="n">
        <v>42683.8588425926</v>
      </c>
      <c r="M782" s="12"/>
      <c r="N782" s="12"/>
      <c r="O782" s="9" t="str">
        <f aca="false">HYPERLINK("https://abs.twimg.com/sticky/default_profile_images/default_profile_normal.png","View")</f>
        <v>View</v>
      </c>
      <c r="P782" s="10"/>
    </row>
    <row r="783" customFormat="false" ht="15.75" hidden="false" customHeight="false" outlineLevel="0" collapsed="false">
      <c r="A783" s="6" t="n">
        <v>43029.7285416667</v>
      </c>
      <c r="B783" s="7" t="str">
        <f aca="false">HYPERLINK("https://twitter.com/CaseyBillX","@CaseyBillX")</f>
        <v>@CaseyBillX</v>
      </c>
      <c r="C783" s="8" t="s">
        <v>2159</v>
      </c>
      <c r="D783" s="8" t="s">
        <v>2018</v>
      </c>
      <c r="E783" s="9" t="str">
        <f aca="false">HYPERLINK("https://twitter.com/CaseyBillX/status/921896156044521472","921896156044521472")</f>
        <v>921896156044521472</v>
      </c>
      <c r="F783" s="10" t="s">
        <v>2160</v>
      </c>
      <c r="G783" s="10" t="n">
        <v>2485</v>
      </c>
      <c r="H783" s="10" t="n">
        <v>5001</v>
      </c>
      <c r="I783" s="10" t="n">
        <v>19</v>
      </c>
      <c r="J783" s="10" t="n">
        <v>0</v>
      </c>
      <c r="K783" s="10" t="s">
        <v>20</v>
      </c>
      <c r="L783" s="11" t="n">
        <v>42997.1530208333</v>
      </c>
      <c r="M783" s="12"/>
      <c r="N783" s="12"/>
      <c r="O783" s="9" t="str">
        <f aca="false">HYPERLINK("https://pbs.twimg.com/profile_images/910103474003525633/_kzNa9NX_normal.jpg","View")</f>
        <v>View</v>
      </c>
      <c r="P783" s="10"/>
    </row>
    <row r="784" customFormat="false" ht="15.75" hidden="false" customHeight="false" outlineLevel="0" collapsed="false">
      <c r="A784" s="6" t="n">
        <v>43029.7293981482</v>
      </c>
      <c r="B784" s="7" t="str">
        <f aca="false">HYPERLINK("https://twitter.com/wittich","@wittich")</f>
        <v>@wittich</v>
      </c>
      <c r="C784" s="8" t="s">
        <v>1151</v>
      </c>
      <c r="D784" s="8" t="s">
        <v>2161</v>
      </c>
      <c r="E784" s="9" t="str">
        <f aca="false">HYPERLINK("https://twitter.com/wittich/status/921896469027852288","921896469027852288")</f>
        <v>921896469027852288</v>
      </c>
      <c r="F784" s="10" t="s">
        <v>55</v>
      </c>
      <c r="G784" s="10" t="n">
        <v>2611</v>
      </c>
      <c r="H784" s="10" t="n">
        <v>1727</v>
      </c>
      <c r="I784" s="10" t="n">
        <v>0</v>
      </c>
      <c r="J784" s="10" t="n">
        <v>0</v>
      </c>
      <c r="K784" s="10" t="s">
        <v>20</v>
      </c>
      <c r="L784" s="11" t="n">
        <v>39375.5249768519</v>
      </c>
      <c r="M784" s="12" t="s">
        <v>1153</v>
      </c>
      <c r="N784" s="12" t="s">
        <v>1154</v>
      </c>
      <c r="O784" s="9" t="str">
        <f aca="false">HYPERLINK("https://pbs.twimg.com/profile_images/840685455729446912/M8OlVjm3_normal.jpg","View")</f>
        <v>View</v>
      </c>
      <c r="P784" s="10"/>
    </row>
    <row r="785" customFormat="false" ht="15.75" hidden="false" customHeight="false" outlineLevel="0" collapsed="false">
      <c r="A785" s="6" t="n">
        <v>43029.7299537037</v>
      </c>
      <c r="B785" s="7" t="str">
        <f aca="false">HYPERLINK("https://twitter.com/DeMOCKERYcy","@DeMOCKERYcy")</f>
        <v>@DeMOCKERYcy</v>
      </c>
      <c r="C785" s="8" t="s">
        <v>2162</v>
      </c>
      <c r="D785" s="8" t="s">
        <v>2163</v>
      </c>
      <c r="E785" s="9" t="str">
        <f aca="false">HYPERLINK("https://twitter.com/DeMOCKERYcy/status/921896668487995394","921896668487995394")</f>
        <v>921896668487995394</v>
      </c>
      <c r="F785" s="10" t="s">
        <v>60</v>
      </c>
      <c r="G785" s="10" t="n">
        <v>2212</v>
      </c>
      <c r="H785" s="10" t="n">
        <v>708</v>
      </c>
      <c r="I785" s="10" t="n">
        <v>0</v>
      </c>
      <c r="J785" s="10" t="n">
        <v>0</v>
      </c>
      <c r="K785" s="10" t="s">
        <v>20</v>
      </c>
      <c r="L785" s="11" t="n">
        <v>41401.1149652778</v>
      </c>
      <c r="M785" s="12" t="s">
        <v>2164</v>
      </c>
      <c r="N785" s="12" t="s">
        <v>2165</v>
      </c>
      <c r="O785" s="9" t="str">
        <f aca="false">HYPERLINK("https://pbs.twimg.com/profile_images/905014922035302408/uBnynb0Z_normal.jpg","View")</f>
        <v>View</v>
      </c>
      <c r="P785" s="10"/>
    </row>
    <row r="786" customFormat="false" ht="15.75" hidden="false" customHeight="false" outlineLevel="0" collapsed="false">
      <c r="A786" s="6" t="n">
        <v>43029.7311921296</v>
      </c>
      <c r="B786" s="7" t="str">
        <f aca="false">HYPERLINK("https://twitter.com/AutoDCMation01","@AutoDCMation01")</f>
        <v>@AutoDCMation01</v>
      </c>
      <c r="C786" s="8" t="s">
        <v>2166</v>
      </c>
      <c r="D786" s="8" t="s">
        <v>2167</v>
      </c>
      <c r="E786" s="9" t="str">
        <f aca="false">HYPERLINK("https://twitter.com/AutoDCMation01/status/921897119572807680","921897119572807680")</f>
        <v>921897119572807680</v>
      </c>
      <c r="F786" s="10" t="s">
        <v>110</v>
      </c>
      <c r="G786" s="10" t="n">
        <v>30</v>
      </c>
      <c r="H786" s="10" t="n">
        <v>10</v>
      </c>
      <c r="I786" s="10" t="n">
        <v>0</v>
      </c>
      <c r="J786" s="10" t="n">
        <v>0</v>
      </c>
      <c r="K786" s="10" t="s">
        <v>20</v>
      </c>
      <c r="L786" s="11" t="n">
        <v>41697.5004166667</v>
      </c>
      <c r="M786" s="12"/>
      <c r="N786" s="12"/>
      <c r="O786" s="9" t="str">
        <f aca="false">HYPERLINK("https://pbs.twimg.com/profile_images/497541261515976704/iv1P-1fG_normal.jpeg","View")</f>
        <v>View</v>
      </c>
      <c r="P786" s="10"/>
    </row>
    <row r="787" customFormat="false" ht="15.75" hidden="false" customHeight="false" outlineLevel="0" collapsed="false">
      <c r="A787" s="6" t="n">
        <v>43029.7324305556</v>
      </c>
      <c r="B787" s="7" t="str">
        <f aca="false">HYPERLINK("https://twitter.com/zohaibayyaz","@zohaibayyaz")</f>
        <v>@zohaibayyaz</v>
      </c>
      <c r="C787" s="8" t="s">
        <v>2168</v>
      </c>
      <c r="D787" s="8" t="s">
        <v>2169</v>
      </c>
      <c r="E787" s="9" t="str">
        <f aca="false">HYPERLINK("https://twitter.com/zohaibayyaz/status/921897564672331776","921897564672331776")</f>
        <v>921897564672331776</v>
      </c>
      <c r="F787" s="10" t="s">
        <v>51</v>
      </c>
      <c r="G787" s="10" t="n">
        <v>65</v>
      </c>
      <c r="H787" s="10" t="n">
        <v>29</v>
      </c>
      <c r="I787" s="10" t="n">
        <v>0</v>
      </c>
      <c r="J787" s="10" t="n">
        <v>0</v>
      </c>
      <c r="K787" s="10" t="s">
        <v>20</v>
      </c>
      <c r="L787" s="11" t="n">
        <v>40571.6192939815</v>
      </c>
      <c r="M787" s="12" t="s">
        <v>2170</v>
      </c>
      <c r="N787" s="12" t="s">
        <v>2171</v>
      </c>
      <c r="O787" s="9" t="str">
        <f aca="false">HYPERLINK("https://pbs.twimg.com/profile_images/545526468118597632/At901tq__normal.jpeg","View")</f>
        <v>View</v>
      </c>
      <c r="P787" s="10"/>
    </row>
    <row r="788" customFormat="false" ht="15.75" hidden="false" customHeight="false" outlineLevel="0" collapsed="false">
      <c r="A788" s="6" t="n">
        <v>43029.7334027778</v>
      </c>
      <c r="B788" s="7" t="str">
        <f aca="false">HYPERLINK("https://twitter.com/mvkgshinya","@mvkgshinya")</f>
        <v>@mvkgshinya</v>
      </c>
      <c r="C788" s="14" t="s">
        <v>2172</v>
      </c>
      <c r="D788" s="8" t="s">
        <v>2018</v>
      </c>
      <c r="E788" s="9" t="str">
        <f aca="false">HYPERLINK("https://twitter.com/mvkgshinya/status/921897917723447297","921897917723447297")</f>
        <v>921897917723447297</v>
      </c>
      <c r="F788" s="10" t="s">
        <v>25</v>
      </c>
      <c r="G788" s="10" t="n">
        <v>1010</v>
      </c>
      <c r="H788" s="10" t="n">
        <v>1107</v>
      </c>
      <c r="I788" s="10" t="n">
        <v>19</v>
      </c>
      <c r="J788" s="10" t="n">
        <v>0</v>
      </c>
      <c r="K788" s="10" t="s">
        <v>20</v>
      </c>
      <c r="L788" s="11" t="n">
        <v>40941.2619212963</v>
      </c>
      <c r="M788" s="13" t="s">
        <v>2173</v>
      </c>
      <c r="N788" s="13" t="s">
        <v>2174</v>
      </c>
      <c r="O788" s="9" t="str">
        <f aca="false">HYPERLINK("https://pbs.twimg.com/profile_images/727446279802867712/fivaqPog_normal.jpg","View")</f>
        <v>View</v>
      </c>
      <c r="P788" s="10"/>
    </row>
    <row r="789" customFormat="false" ht="15.75" hidden="false" customHeight="false" outlineLevel="0" collapsed="false">
      <c r="A789" s="6" t="n">
        <v>43029.7351736111</v>
      </c>
      <c r="B789" s="7" t="str">
        <f aca="false">HYPERLINK("https://twitter.com/GuardianUS","@GuardianUS")</f>
        <v>@GuardianUS</v>
      </c>
      <c r="C789" s="8" t="s">
        <v>2175</v>
      </c>
      <c r="D789" s="8" t="s">
        <v>2176</v>
      </c>
      <c r="E789" s="9" t="str">
        <f aca="false">HYPERLINK("https://twitter.com/GuardianUS/status/921898558399352832","921898558399352832")</f>
        <v>921898558399352832</v>
      </c>
      <c r="F789" s="10" t="s">
        <v>268</v>
      </c>
      <c r="G789" s="10" t="n">
        <v>195237</v>
      </c>
      <c r="H789" s="10" t="n">
        <v>713</v>
      </c>
      <c r="I789" s="10" t="n">
        <v>3</v>
      </c>
      <c r="J789" s="10" t="n">
        <v>2</v>
      </c>
      <c r="K789" s="10" t="s">
        <v>20</v>
      </c>
      <c r="L789" s="11" t="n">
        <v>39689.3278703704</v>
      </c>
      <c r="M789" s="12" t="s">
        <v>230</v>
      </c>
      <c r="N789" s="12" t="s">
        <v>2177</v>
      </c>
      <c r="O789" s="9" t="str">
        <f aca="false">HYPERLINK("https://pbs.twimg.com/profile_images/888149953008156673/-jwMr5r3_normal.jpg","View")</f>
        <v>View</v>
      </c>
      <c r="P789" s="10"/>
    </row>
    <row r="790" customFormat="false" ht="15.75" hidden="false" customHeight="false" outlineLevel="0" collapsed="false">
      <c r="A790" s="6" t="n">
        <v>43029.7367476852</v>
      </c>
      <c r="B790" s="7" t="str">
        <f aca="false">HYPERLINK("https://twitter.com/Lady_Fabi","@Lady_Fabi")</f>
        <v>@Lady_Fabi</v>
      </c>
      <c r="C790" s="8" t="s">
        <v>2178</v>
      </c>
      <c r="D790" s="8" t="s">
        <v>2179</v>
      </c>
      <c r="E790" s="9" t="str">
        <f aca="false">HYPERLINK("https://twitter.com/Lady_Fabi/status/921899130779242496","921899130779242496")</f>
        <v>921899130779242496</v>
      </c>
      <c r="F790" s="10" t="s">
        <v>39</v>
      </c>
      <c r="G790" s="10" t="n">
        <v>469</v>
      </c>
      <c r="H790" s="10" t="n">
        <v>1120</v>
      </c>
      <c r="I790" s="10" t="n">
        <v>3</v>
      </c>
      <c r="J790" s="10" t="n">
        <v>0</v>
      </c>
      <c r="K790" s="10" t="s">
        <v>20</v>
      </c>
      <c r="L790" s="11" t="n">
        <v>40397.7963078704</v>
      </c>
      <c r="M790" s="12"/>
      <c r="N790" s="12"/>
      <c r="O790" s="9" t="str">
        <f aca="false">HYPERLINK("https://pbs.twimg.com/profile_images/917453566218002435/z5wO5mv8_normal.jpg","View")</f>
        <v>View</v>
      </c>
      <c r="P790" s="10"/>
    </row>
    <row r="791" customFormat="false" ht="15.75" hidden="false" customHeight="false" outlineLevel="0" collapsed="false">
      <c r="A791" s="6" t="n">
        <v>43029.7385185185</v>
      </c>
      <c r="B791" s="7" t="str">
        <f aca="false">HYPERLINK("https://twitter.com/MEsufally","@MEsufally")</f>
        <v>@MEsufally</v>
      </c>
      <c r="C791" s="8" t="s">
        <v>2180</v>
      </c>
      <c r="D791" s="8" t="s">
        <v>2181</v>
      </c>
      <c r="E791" s="9" t="str">
        <f aca="false">HYPERLINK("https://twitter.com/MEsufally/status/921899772104998913","921899772104998913")</f>
        <v>921899772104998913</v>
      </c>
      <c r="F791" s="10" t="s">
        <v>25</v>
      </c>
      <c r="G791" s="10" t="n">
        <v>758</v>
      </c>
      <c r="H791" s="10" t="n">
        <v>2074</v>
      </c>
      <c r="I791" s="10" t="n">
        <v>2</v>
      </c>
      <c r="J791" s="10" t="n">
        <v>0</v>
      </c>
      <c r="K791" s="10" t="s">
        <v>20</v>
      </c>
      <c r="L791" s="11" t="n">
        <v>41741.069224537</v>
      </c>
      <c r="M791" s="12" t="s">
        <v>2182</v>
      </c>
      <c r="N791" s="12" t="s">
        <v>2183</v>
      </c>
      <c r="O791" s="9" t="str">
        <f aca="false">HYPERLINK("https://pbs.twimg.com/profile_images/454902098807648256/EQr7SO_J_normal.jpeg","View")</f>
        <v>View</v>
      </c>
      <c r="P791" s="10"/>
    </row>
    <row r="792" customFormat="false" ht="15.75" hidden="false" customHeight="false" outlineLevel="0" collapsed="false">
      <c r="A792" s="6" t="n">
        <v>43029.7407060185</v>
      </c>
      <c r="B792" s="7" t="str">
        <f aca="false">HYPERLINK("https://twitter.com/ZyiteGadgets","@ZyiteGadgets")</f>
        <v>@ZyiteGadgets</v>
      </c>
      <c r="C792" s="8" t="s">
        <v>171</v>
      </c>
      <c r="D792" s="8" t="s">
        <v>2184</v>
      </c>
      <c r="E792" s="9" t="str">
        <f aca="false">HYPERLINK("https://twitter.com/ZyiteGadgets/status/921900564346228736","921900564346228736")</f>
        <v>921900564346228736</v>
      </c>
      <c r="F792" s="10" t="s">
        <v>110</v>
      </c>
      <c r="G792" s="10" t="n">
        <v>3542</v>
      </c>
      <c r="H792" s="10" t="n">
        <v>4844</v>
      </c>
      <c r="I792" s="10" t="n">
        <v>0</v>
      </c>
      <c r="J792" s="10" t="n">
        <v>0</v>
      </c>
      <c r="K792" s="10" t="s">
        <v>20</v>
      </c>
      <c r="L792" s="11" t="n">
        <v>41470.6147800926</v>
      </c>
      <c r="M792" s="15" t="s">
        <v>173</v>
      </c>
      <c r="N792" s="12" t="s">
        <v>174</v>
      </c>
      <c r="O792" s="9" t="str">
        <f aca="false">HYPERLINK("https://pbs.twimg.com/profile_images/487701633489313793/pIxJHFt5_normal.jpeg","View")</f>
        <v>View</v>
      </c>
      <c r="P792" s="10"/>
    </row>
    <row r="793" customFormat="false" ht="15.75" hidden="false" customHeight="false" outlineLevel="0" collapsed="false">
      <c r="A793" s="6" t="n">
        <v>43029.7409143519</v>
      </c>
      <c r="B793" s="7" t="str">
        <f aca="false">HYPERLINK("https://twitter.com/JapanVisitor","@JapanVisitor")</f>
        <v>@JapanVisitor</v>
      </c>
      <c r="C793" s="8" t="s">
        <v>2185</v>
      </c>
      <c r="D793" s="8" t="s">
        <v>2186</v>
      </c>
      <c r="E793" s="9" t="str">
        <f aca="false">HYPERLINK("https://twitter.com/JapanVisitor/status/921900642695659521","921900642695659521")</f>
        <v>921900642695659521</v>
      </c>
      <c r="F793" s="10" t="s">
        <v>39</v>
      </c>
      <c r="G793" s="10" t="n">
        <v>7403</v>
      </c>
      <c r="H793" s="10" t="n">
        <v>1959</v>
      </c>
      <c r="I793" s="10" t="n">
        <v>0</v>
      </c>
      <c r="J793" s="10" t="n">
        <v>1</v>
      </c>
      <c r="K793" s="10" t="s">
        <v>20</v>
      </c>
      <c r="L793" s="11" t="n">
        <v>39522.4120949074</v>
      </c>
      <c r="M793" s="12" t="s">
        <v>2187</v>
      </c>
      <c r="N793" s="12" t="s">
        <v>2188</v>
      </c>
      <c r="O793" s="9" t="str">
        <f aca="false">HYPERLINK("https://pbs.twimg.com/profile_images/59821609/jv-logo_normal.jpg","View")</f>
        <v>View</v>
      </c>
      <c r="P793" s="10"/>
    </row>
    <row r="794" customFormat="false" ht="15.75" hidden="false" customHeight="false" outlineLevel="0" collapsed="false">
      <c r="A794" s="6" t="n">
        <v>43029.7409259259</v>
      </c>
      <c r="B794" s="7" t="str">
        <f aca="false">HYPERLINK("https://twitter.com/AuLacViet","@AuLacViet")</f>
        <v>@AuLacViet</v>
      </c>
      <c r="C794" s="8" t="s">
        <v>2189</v>
      </c>
      <c r="D794" s="8" t="s">
        <v>2190</v>
      </c>
      <c r="E794" s="9" t="str">
        <f aca="false">HYPERLINK("https://twitter.com/AuLacViet/status/921900643392131073","921900643392131073")</f>
        <v>921900643392131073</v>
      </c>
      <c r="F794" s="10" t="s">
        <v>110</v>
      </c>
      <c r="G794" s="10" t="n">
        <v>222</v>
      </c>
      <c r="H794" s="10" t="n">
        <v>37</v>
      </c>
      <c r="I794" s="10" t="n">
        <v>0</v>
      </c>
      <c r="J794" s="10" t="n">
        <v>0</v>
      </c>
      <c r="K794" s="10" t="s">
        <v>20</v>
      </c>
      <c r="L794" s="11" t="n">
        <v>41767.6080902778</v>
      </c>
      <c r="M794" s="12"/>
      <c r="N794" s="12"/>
      <c r="O794" s="9" t="str">
        <f aca="false">HYPERLINK("https://pbs.twimg.com/profile_images/464521741218242560/bYbvU3fM_normal.jpeg","View")</f>
        <v>View</v>
      </c>
      <c r="P794" s="10"/>
    </row>
    <row r="795" customFormat="false" ht="15.75" hidden="false" customHeight="false" outlineLevel="0" collapsed="false">
      <c r="A795" s="6" t="n">
        <v>43029.7411805556</v>
      </c>
      <c r="B795" s="7" t="str">
        <f aca="false">HYPERLINK("https://twitter.com/AndersenAlexan","@AndersenAlexan")</f>
        <v>@AndersenAlexan</v>
      </c>
      <c r="C795" s="8" t="s">
        <v>2191</v>
      </c>
      <c r="D795" s="8" t="s">
        <v>2192</v>
      </c>
      <c r="E795" s="9" t="str">
        <f aca="false">HYPERLINK("https://twitter.com/AndersenAlexan/status/921900735486447616","921900735486447616")</f>
        <v>921900735486447616</v>
      </c>
      <c r="F795" s="10" t="s">
        <v>110</v>
      </c>
      <c r="G795" s="10" t="n">
        <v>15</v>
      </c>
      <c r="H795" s="10" t="n">
        <v>113</v>
      </c>
      <c r="I795" s="10" t="n">
        <v>0</v>
      </c>
      <c r="J795" s="10" t="n">
        <v>0</v>
      </c>
      <c r="K795" s="10" t="s">
        <v>20</v>
      </c>
      <c r="L795" s="11" t="n">
        <v>42679.7150578704</v>
      </c>
      <c r="M795" s="12"/>
      <c r="N795" s="12"/>
      <c r="O795" s="9" t="str">
        <f aca="false">HYPERLINK("https://pbs.twimg.com/profile_images/795056505988915200/s8Ll8uI-_normal.jpg","View")</f>
        <v>View</v>
      </c>
      <c r="P795" s="10"/>
    </row>
    <row r="796" customFormat="false" ht="15.75" hidden="false" customHeight="false" outlineLevel="0" collapsed="false">
      <c r="A796" s="6" t="n">
        <v>43029.7430439815</v>
      </c>
      <c r="B796" s="7" t="str">
        <f aca="false">HYPERLINK("https://twitter.com/jmhamiltonblog","@jmhamiltonblog")</f>
        <v>@jmhamiltonblog</v>
      </c>
      <c r="C796" s="8" t="s">
        <v>1155</v>
      </c>
      <c r="D796" s="8" t="s">
        <v>2179</v>
      </c>
      <c r="E796" s="9" t="str">
        <f aca="false">HYPERLINK("https://twitter.com/jmhamiltonblog/status/921901411658620928","921901411658620928")</f>
        <v>921901411658620928</v>
      </c>
      <c r="F796" s="10" t="s">
        <v>39</v>
      </c>
      <c r="G796" s="10" t="n">
        <v>5959</v>
      </c>
      <c r="H796" s="10" t="n">
        <v>5484</v>
      </c>
      <c r="I796" s="10" t="n">
        <v>3</v>
      </c>
      <c r="J796" s="10" t="n">
        <v>0</v>
      </c>
      <c r="K796" s="10" t="s">
        <v>20</v>
      </c>
      <c r="L796" s="11" t="n">
        <v>40565.4844675926</v>
      </c>
      <c r="M796" s="12" t="s">
        <v>1156</v>
      </c>
      <c r="N796" s="12" t="s">
        <v>1157</v>
      </c>
      <c r="O796" s="9" t="str">
        <f aca="false">HYPERLINK("https://pbs.twimg.com/profile_images/1261161568/Camera_Phone_009_normal.jpg","View")</f>
        <v>View</v>
      </c>
      <c r="P796" s="10"/>
    </row>
    <row r="797" customFormat="false" ht="15.75" hidden="false" customHeight="false" outlineLevel="0" collapsed="false">
      <c r="A797" s="6" t="n">
        <v>43029.7434837963</v>
      </c>
      <c r="B797" s="7" t="str">
        <f aca="false">HYPERLINK("https://twitter.com/olukunle01","@olukunle01")</f>
        <v>@olukunle01</v>
      </c>
      <c r="C797" s="8" t="s">
        <v>2193</v>
      </c>
      <c r="D797" s="8" t="s">
        <v>2194</v>
      </c>
      <c r="E797" s="9" t="str">
        <f aca="false">HYPERLINK("https://twitter.com/olukunle01/status/921901570014531585","921901570014531585")</f>
        <v>921901570014531585</v>
      </c>
      <c r="F797" s="10" t="s">
        <v>55</v>
      </c>
      <c r="G797" s="10" t="n">
        <v>62</v>
      </c>
      <c r="H797" s="10" t="n">
        <v>270</v>
      </c>
      <c r="I797" s="10" t="n">
        <v>0</v>
      </c>
      <c r="J797" s="10" t="n">
        <v>0</v>
      </c>
      <c r="K797" s="10" t="s">
        <v>20</v>
      </c>
      <c r="L797" s="11" t="n">
        <v>42103.4915046296</v>
      </c>
      <c r="M797" s="12"/>
      <c r="N797" s="12"/>
      <c r="O797" s="9" t="str">
        <f aca="false">HYPERLINK("https://pbs.twimg.com/profile_images/750783216059969536/h3QOaA1n_normal.jpg","View")</f>
        <v>View</v>
      </c>
      <c r="P797" s="10"/>
    </row>
    <row r="798" customFormat="false" ht="15.75" hidden="false" customHeight="false" outlineLevel="0" collapsed="false">
      <c r="A798" s="6" t="n">
        <v>43029.7445023148</v>
      </c>
      <c r="B798" s="7" t="str">
        <f aca="false">HYPERLINK("https://twitter.com/mangeshdamre","@mangeshdamre")</f>
        <v>@mangeshdamre</v>
      </c>
      <c r="C798" s="8" t="s">
        <v>2195</v>
      </c>
      <c r="D798" s="8" t="s">
        <v>2196</v>
      </c>
      <c r="E798" s="9" t="str">
        <f aca="false">HYPERLINK("https://twitter.com/mangeshdamre/status/921901939327164416","921901939327164416")</f>
        <v>921901939327164416</v>
      </c>
      <c r="F798" s="10" t="s">
        <v>55</v>
      </c>
      <c r="G798" s="10" t="n">
        <v>72</v>
      </c>
      <c r="H798" s="10" t="n">
        <v>33</v>
      </c>
      <c r="I798" s="10" t="n">
        <v>0</v>
      </c>
      <c r="J798" s="10" t="n">
        <v>0</v>
      </c>
      <c r="K798" s="10" t="s">
        <v>20</v>
      </c>
      <c r="L798" s="11" t="n">
        <v>40468.9849305556</v>
      </c>
      <c r="M798" s="12" t="s">
        <v>2197</v>
      </c>
      <c r="N798" s="12" t="s">
        <v>2198</v>
      </c>
      <c r="O798" s="9" t="str">
        <f aca="false">HYPERLINK("https://pbs.twimg.com/profile_images/879399779314397184/0pyy35jd_normal.jpg","View")</f>
        <v>View</v>
      </c>
      <c r="P798" s="10"/>
    </row>
    <row r="799" customFormat="false" ht="15.75" hidden="false" customHeight="false" outlineLevel="0" collapsed="false">
      <c r="A799" s="6" t="n">
        <v>43029.7502314815</v>
      </c>
      <c r="B799" s="7" t="str">
        <f aca="false">HYPERLINK("https://twitter.com/SSMoghadam","@SSMoghadam")</f>
        <v>@SSMoghadam</v>
      </c>
      <c r="C799" s="8" t="s">
        <v>2199</v>
      </c>
      <c r="D799" s="8" t="s">
        <v>2200</v>
      </c>
      <c r="E799" s="9" t="str">
        <f aca="false">HYPERLINK("https://twitter.com/SSMoghadam/status/921904018628243456","921904018628243456")</f>
        <v>921904018628243456</v>
      </c>
      <c r="F799" s="10" t="s">
        <v>51</v>
      </c>
      <c r="G799" s="10" t="n">
        <v>1165</v>
      </c>
      <c r="H799" s="10" t="n">
        <v>4997</v>
      </c>
      <c r="I799" s="10" t="n">
        <v>1</v>
      </c>
      <c r="J799" s="10" t="n">
        <v>1</v>
      </c>
      <c r="K799" s="10" t="s">
        <v>20</v>
      </c>
      <c r="L799" s="11" t="n">
        <v>40476.6638425926</v>
      </c>
      <c r="M799" s="12" t="s">
        <v>723</v>
      </c>
      <c r="N799" s="12" t="s">
        <v>2201</v>
      </c>
      <c r="O799" s="9" t="str">
        <f aca="false">HYPERLINK("https://pbs.twimg.com/profile_images/922528875837566981/5JQW3icD_normal.jpg","View")</f>
        <v>View</v>
      </c>
      <c r="P799" s="10"/>
    </row>
    <row r="800" customFormat="false" ht="15.75" hidden="false" customHeight="false" outlineLevel="0" collapsed="false">
      <c r="A800" s="6" t="n">
        <v>43029.7513541667</v>
      </c>
      <c r="B800" s="7" t="str">
        <f aca="false">HYPERLINK("https://twitter.com/ClipTrends","@ClipTrends")</f>
        <v>@ClipTrends</v>
      </c>
      <c r="C800" s="8" t="s">
        <v>2202</v>
      </c>
      <c r="D800" s="8" t="s">
        <v>2203</v>
      </c>
      <c r="E800" s="9" t="str">
        <f aca="false">HYPERLINK("https://twitter.com/ClipTrends/status/921904423755853824","921904423755853824")</f>
        <v>921904423755853824</v>
      </c>
      <c r="F800" s="10" t="s">
        <v>2204</v>
      </c>
      <c r="G800" s="10" t="n">
        <v>5786</v>
      </c>
      <c r="H800" s="10" t="n">
        <v>7</v>
      </c>
      <c r="I800" s="10" t="n">
        <v>1</v>
      </c>
      <c r="J800" s="10" t="n">
        <v>0</v>
      </c>
      <c r="K800" s="10" t="s">
        <v>20</v>
      </c>
      <c r="L800" s="11" t="n">
        <v>42648.3711921296</v>
      </c>
      <c r="M800" s="12" t="s">
        <v>752</v>
      </c>
      <c r="N800" s="12" t="s">
        <v>2205</v>
      </c>
      <c r="O800" s="9" t="str">
        <f aca="false">HYPERLINK("https://pbs.twimg.com/profile_images/784323646235877379/XyiczfNb_normal.jpg","View")</f>
        <v>View</v>
      </c>
      <c r="P800" s="10"/>
    </row>
    <row r="801" customFormat="false" ht="15.75" hidden="false" customHeight="false" outlineLevel="0" collapsed="false">
      <c r="A801" s="6" t="n">
        <v>43029.7539583333</v>
      </c>
      <c r="B801" s="7" t="str">
        <f aca="false">HYPERLINK("https://twitter.com/GboruM","@GboruM")</f>
        <v>@GboruM</v>
      </c>
      <c r="C801" s="8" t="s">
        <v>2206</v>
      </c>
      <c r="D801" s="8" t="s">
        <v>2207</v>
      </c>
      <c r="E801" s="9" t="str">
        <f aca="false">HYPERLINK("https://twitter.com/GboruM/status/921905365851279360","921905365851279360")</f>
        <v>921905365851279360</v>
      </c>
      <c r="F801" s="10" t="s">
        <v>55</v>
      </c>
      <c r="G801" s="10" t="n">
        <v>12129</v>
      </c>
      <c r="H801" s="10" t="n">
        <v>287</v>
      </c>
      <c r="I801" s="10" t="n">
        <v>0</v>
      </c>
      <c r="J801" s="10" t="n">
        <v>0</v>
      </c>
      <c r="K801" s="10" t="s">
        <v>20</v>
      </c>
      <c r="L801" s="11" t="n">
        <v>41246.9268518519</v>
      </c>
      <c r="M801" s="12" t="s">
        <v>1670</v>
      </c>
      <c r="N801" s="12" t="s">
        <v>2208</v>
      </c>
      <c r="O801" s="9" t="str">
        <f aca="false">HYPERLINK("https://pbs.twimg.com/profile_images/923809863121166336/FPYIgixr_normal.jpg","View")</f>
        <v>View</v>
      </c>
      <c r="P801" s="10"/>
    </row>
    <row r="802" customFormat="false" ht="15.75" hidden="false" customHeight="false" outlineLevel="0" collapsed="false">
      <c r="A802" s="6" t="n">
        <v>43029.7570486111</v>
      </c>
      <c r="B802" s="7" t="str">
        <f aca="false">HYPERLINK("https://twitter.com/Rosamexican01","@Rosamexican01")</f>
        <v>@Rosamexican01</v>
      </c>
      <c r="C802" s="8" t="s">
        <v>1329</v>
      </c>
      <c r="D802" s="8" t="s">
        <v>2209</v>
      </c>
      <c r="E802" s="9" t="str">
        <f aca="false">HYPERLINK("https://twitter.com/Rosamexican01/status/921906487340994561","921906487340994561")</f>
        <v>921906487340994561</v>
      </c>
      <c r="F802" s="10" t="s">
        <v>39</v>
      </c>
      <c r="G802" s="10" t="n">
        <v>3324</v>
      </c>
      <c r="H802" s="10" t="n">
        <v>2445</v>
      </c>
      <c r="I802" s="10" t="n">
        <v>0</v>
      </c>
      <c r="J802" s="10" t="n">
        <v>0</v>
      </c>
      <c r="K802" s="10" t="s">
        <v>20</v>
      </c>
      <c r="L802" s="11" t="n">
        <v>40305.5168634259</v>
      </c>
      <c r="M802" s="12" t="s">
        <v>1331</v>
      </c>
      <c r="N802" s="12" t="s">
        <v>1332</v>
      </c>
      <c r="O802" s="9" t="str">
        <f aca="false">HYPERLINK("https://pbs.twimg.com/profile_images/881508681/Juergen100-4_normal.jpg","View")</f>
        <v>View</v>
      </c>
      <c r="P802" s="10"/>
    </row>
    <row r="803" customFormat="false" ht="15.75" hidden="false" customHeight="false" outlineLevel="0" collapsed="false">
      <c r="A803" s="6" t="n">
        <v>43029.7587037037</v>
      </c>
      <c r="B803" s="7" t="str">
        <f aca="false">HYPERLINK("https://twitter.com/tvThirdEyeB","@tvThirdEyeB")</f>
        <v>@tvThirdEyeB</v>
      </c>
      <c r="C803" s="8" t="s">
        <v>2027</v>
      </c>
      <c r="D803" s="8" t="s">
        <v>2210</v>
      </c>
      <c r="E803" s="9" t="str">
        <f aca="false">HYPERLINK("https://twitter.com/tvThirdEyeB/status/921907086803451905","921907086803451905")</f>
        <v>921907086803451905</v>
      </c>
      <c r="F803" s="10" t="s">
        <v>2029</v>
      </c>
      <c r="G803" s="10" t="n">
        <v>31</v>
      </c>
      <c r="H803" s="10" t="n">
        <v>0</v>
      </c>
      <c r="I803" s="10" t="n">
        <v>0</v>
      </c>
      <c r="J803" s="10" t="n">
        <v>0</v>
      </c>
      <c r="K803" s="10" t="s">
        <v>20</v>
      </c>
      <c r="L803" s="11" t="n">
        <v>42972.5932638889</v>
      </c>
      <c r="M803" s="12" t="s">
        <v>588</v>
      </c>
      <c r="N803" s="12" t="s">
        <v>2030</v>
      </c>
      <c r="O803" s="9" t="str">
        <f aca="false">HYPERLINK("https://pbs.twimg.com/profile_images/910606884565950464/P-E5U0ei_normal.jpg","View")</f>
        <v>View</v>
      </c>
      <c r="P803" s="10"/>
    </row>
    <row r="804" customFormat="false" ht="15.75" hidden="false" customHeight="false" outlineLevel="0" collapsed="false">
      <c r="A804" s="6" t="n">
        <v>43029.7589583333</v>
      </c>
      <c r="B804" s="7" t="str">
        <f aca="false">HYPERLINK("https://twitter.com/polls_fr_you","@polls_fr_you")</f>
        <v>@polls_fr_you</v>
      </c>
      <c r="C804" s="8" t="s">
        <v>2211</v>
      </c>
      <c r="D804" s="8" t="s">
        <v>2212</v>
      </c>
      <c r="E804" s="9" t="str">
        <f aca="false">HYPERLINK("https://twitter.com/polls_fr_you/status/921907179849838592","921907179849838592")</f>
        <v>921907179849838592</v>
      </c>
      <c r="F804" s="10" t="s">
        <v>2213</v>
      </c>
      <c r="G804" s="10" t="n">
        <v>135</v>
      </c>
      <c r="H804" s="10" t="n">
        <v>0</v>
      </c>
      <c r="I804" s="10" t="n">
        <v>1</v>
      </c>
      <c r="J804" s="10" t="n">
        <v>0</v>
      </c>
      <c r="K804" s="10" t="s">
        <v>20</v>
      </c>
      <c r="L804" s="11" t="n">
        <v>42906.9221990741</v>
      </c>
      <c r="M804" s="12" t="s">
        <v>370</v>
      </c>
      <c r="N804" s="12" t="s">
        <v>2214</v>
      </c>
      <c r="O804" s="9" t="str">
        <f aca="false">HYPERLINK("https://pbs.twimg.com/profile_images/920517037084020738/y4GfogTi_normal.jpg","View")</f>
        <v>View</v>
      </c>
      <c r="P804" s="10"/>
    </row>
    <row r="805" customFormat="false" ht="15.75" hidden="false" customHeight="false" outlineLevel="0" collapsed="false">
      <c r="A805" s="6" t="n">
        <v>43029.7597337963</v>
      </c>
      <c r="B805" s="7" t="str">
        <f aca="false">HYPERLINK("https://twitter.com/UnitedNewsofUSA","@UnitedNewsofUSA")</f>
        <v>@UnitedNewsofUSA</v>
      </c>
      <c r="C805" s="8" t="s">
        <v>2215</v>
      </c>
      <c r="D805" s="8" t="s">
        <v>2216</v>
      </c>
      <c r="E805" s="9" t="str">
        <f aca="false">HYPERLINK("https://twitter.com/UnitedNewsofUSA/status/921907459475886082","921907459475886082")</f>
        <v>921907459475886082</v>
      </c>
      <c r="F805" s="10" t="s">
        <v>55</v>
      </c>
      <c r="G805" s="10" t="n">
        <v>831</v>
      </c>
      <c r="H805" s="10" t="n">
        <v>353</v>
      </c>
      <c r="I805" s="10" t="n">
        <v>0</v>
      </c>
      <c r="J805" s="10" t="n">
        <v>0</v>
      </c>
      <c r="K805" s="10" t="s">
        <v>20</v>
      </c>
      <c r="L805" s="11" t="n">
        <v>40484.9197685185</v>
      </c>
      <c r="M805" s="12" t="s">
        <v>2217</v>
      </c>
      <c r="N805" s="12" t="s">
        <v>2218</v>
      </c>
      <c r="O805" s="9" t="str">
        <f aca="false">HYPERLINK("https://pbs.twimg.com/profile_images/1158652175/Avatar250x250_normal.jpg","View")</f>
        <v>View</v>
      </c>
      <c r="P805" s="10"/>
    </row>
    <row r="806" customFormat="false" ht="15.75" hidden="false" customHeight="false" outlineLevel="0" collapsed="false">
      <c r="A806" s="6" t="n">
        <v>43029.7608333333</v>
      </c>
      <c r="B806" s="7" t="str">
        <f aca="false">HYPERLINK("https://twitter.com/Jiro_MYZK","@Jiro_MYZK")</f>
        <v>@Jiro_MYZK</v>
      </c>
      <c r="C806" s="8" t="s">
        <v>2219</v>
      </c>
      <c r="D806" s="8" t="s">
        <v>2220</v>
      </c>
      <c r="E806" s="9" t="str">
        <f aca="false">HYPERLINK("https://twitter.com/Jiro_MYZK/status/921907860186918912","921907860186918912")</f>
        <v>921907860186918912</v>
      </c>
      <c r="F806" s="10" t="s">
        <v>39</v>
      </c>
      <c r="G806" s="10" t="n">
        <v>466</v>
      </c>
      <c r="H806" s="10" t="n">
        <v>209</v>
      </c>
      <c r="I806" s="10" t="n">
        <v>0</v>
      </c>
      <c r="J806" s="10" t="n">
        <v>0</v>
      </c>
      <c r="K806" s="10" t="s">
        <v>20</v>
      </c>
      <c r="L806" s="11" t="n">
        <v>40314.2729398148</v>
      </c>
      <c r="M806" s="12" t="s">
        <v>1473</v>
      </c>
      <c r="N806" s="13" t="s">
        <v>2221</v>
      </c>
      <c r="O806" s="9" t="str">
        <f aca="false">HYPERLINK("https://pbs.twimg.com/profile_images/2596215148/bm1nj1gnxgykd24q5lxp_normal.png","View")</f>
        <v>View</v>
      </c>
      <c r="P806" s="10"/>
    </row>
    <row r="807" customFormat="false" ht="15.75" hidden="false" customHeight="false" outlineLevel="0" collapsed="false">
      <c r="A807" s="6" t="n">
        <v>43029.7625347222</v>
      </c>
      <c r="B807" s="7" t="str">
        <f aca="false">HYPERLINK("https://twitter.com/Video_Contagion","@Video_Contagion")</f>
        <v>@Video_Contagion</v>
      </c>
      <c r="C807" s="8" t="s">
        <v>2222</v>
      </c>
      <c r="D807" s="8" t="s">
        <v>2223</v>
      </c>
      <c r="E807" s="9" t="str">
        <f aca="false">HYPERLINK("https://twitter.com/Video_Contagion/status/921908474233131008","921908474233131008")</f>
        <v>921908474233131008</v>
      </c>
      <c r="F807" s="10" t="s">
        <v>60</v>
      </c>
      <c r="G807" s="10" t="n">
        <v>28</v>
      </c>
      <c r="H807" s="10" t="n">
        <v>16</v>
      </c>
      <c r="I807" s="10" t="n">
        <v>0</v>
      </c>
      <c r="J807" s="10" t="n">
        <v>0</v>
      </c>
      <c r="K807" s="10" t="s">
        <v>20</v>
      </c>
      <c r="L807" s="11" t="n">
        <v>42971.3886458333</v>
      </c>
      <c r="M807" s="12" t="s">
        <v>2224</v>
      </c>
      <c r="N807" s="12" t="s">
        <v>2225</v>
      </c>
      <c r="O807" s="9" t="str">
        <f aca="false">HYPERLINK("https://pbs.twimg.com/profile_images/900781492011487232/Ki7ANhIV_normal.jpg","View")</f>
        <v>View</v>
      </c>
      <c r="P807" s="10"/>
    </row>
    <row r="808" customFormat="false" ht="15.75" hidden="false" customHeight="false" outlineLevel="0" collapsed="false">
      <c r="A808" s="6" t="n">
        <v>43029.7645949074</v>
      </c>
      <c r="B808" s="7" t="str">
        <f aca="false">HYPERLINK("https://twitter.com/Mehr6a6","@Mehr6a6")</f>
        <v>@Mehr6a6</v>
      </c>
      <c r="C808" s="8" t="s">
        <v>2226</v>
      </c>
      <c r="D808" s="8" t="s">
        <v>2227</v>
      </c>
      <c r="E808" s="9" t="str">
        <f aca="false">HYPERLINK("https://twitter.com/Mehr6a6/status/921909222689902592","921909222689902592")</f>
        <v>921909222689902592</v>
      </c>
      <c r="F808" s="10" t="s">
        <v>25</v>
      </c>
      <c r="G808" s="10" t="n">
        <v>1164</v>
      </c>
      <c r="H808" s="10" t="n">
        <v>1529</v>
      </c>
      <c r="I808" s="10" t="n">
        <v>0</v>
      </c>
      <c r="J808" s="10" t="n">
        <v>0</v>
      </c>
      <c r="K808" s="10" t="s">
        <v>20</v>
      </c>
      <c r="L808" s="11" t="n">
        <v>41110.6978587963</v>
      </c>
      <c r="M808" s="12" t="s">
        <v>21</v>
      </c>
      <c r="N808" s="12" t="s">
        <v>2228</v>
      </c>
      <c r="O808" s="9" t="str">
        <f aca="false">HYPERLINK("https://pbs.twimg.com/profile_images/920093562599026688/laQpG8IU_normal.jpg","View")</f>
        <v>View</v>
      </c>
      <c r="P808" s="10"/>
    </row>
    <row r="809" customFormat="false" ht="15.75" hidden="false" customHeight="false" outlineLevel="0" collapsed="false">
      <c r="A809" s="6" t="n">
        <v>43029.7655208333</v>
      </c>
      <c r="B809" s="7" t="str">
        <f aca="false">HYPERLINK("https://twitter.com/FXTraderHub","@FXTraderHub")</f>
        <v>@FXTraderHub</v>
      </c>
      <c r="C809" s="8" t="s">
        <v>2229</v>
      </c>
      <c r="D809" s="8" t="s">
        <v>2230</v>
      </c>
      <c r="E809" s="9" t="str">
        <f aca="false">HYPERLINK("https://twitter.com/FXTraderHub/status/921909555772231680","921909555772231680")</f>
        <v>921909555772231680</v>
      </c>
      <c r="F809" s="10" t="s">
        <v>60</v>
      </c>
      <c r="G809" s="10" t="n">
        <v>763</v>
      </c>
      <c r="H809" s="10" t="n">
        <v>295</v>
      </c>
      <c r="I809" s="10" t="n">
        <v>0</v>
      </c>
      <c r="J809" s="10" t="n">
        <v>0</v>
      </c>
      <c r="K809" s="10" t="s">
        <v>20</v>
      </c>
      <c r="L809" s="11" t="n">
        <v>40648.6529861111</v>
      </c>
      <c r="M809" s="12" t="s">
        <v>319</v>
      </c>
      <c r="N809" s="12"/>
      <c r="O809" s="9" t="str">
        <f aca="false">HYPERLINK("https://pbs.twimg.com/profile_images/1339812736/trader3hd_normal.jpg","View")</f>
        <v>View</v>
      </c>
      <c r="P809" s="10"/>
    </row>
    <row r="810" customFormat="false" ht="15.75" hidden="false" customHeight="false" outlineLevel="0" collapsed="false">
      <c r="A810" s="6" t="n">
        <v>43029.7687268519</v>
      </c>
      <c r="B810" s="7" t="str">
        <f aca="false">HYPERLINK("https://twitter.com/RamjankiA","@RamjankiA")</f>
        <v>@RamjankiA</v>
      </c>
      <c r="C810" s="8" t="s">
        <v>2231</v>
      </c>
      <c r="D810" s="8" t="s">
        <v>2232</v>
      </c>
      <c r="E810" s="9" t="str">
        <f aca="false">HYPERLINK("https://twitter.com/RamjankiA/status/921910718638702592","921910718638702592")</f>
        <v>921910718638702592</v>
      </c>
      <c r="F810" s="10" t="s">
        <v>25</v>
      </c>
      <c r="G810" s="10" t="n">
        <v>15</v>
      </c>
      <c r="H810" s="10" t="n">
        <v>3</v>
      </c>
      <c r="I810" s="10" t="n">
        <v>0</v>
      </c>
      <c r="J810" s="10" t="n">
        <v>1</v>
      </c>
      <c r="K810" s="10" t="s">
        <v>20</v>
      </c>
      <c r="L810" s="11" t="n">
        <v>42294.9131597222</v>
      </c>
      <c r="M810" s="12"/>
      <c r="N810" s="12"/>
      <c r="O810" s="9" t="str">
        <f aca="false">HYPERLINK("https://pbs.twimg.com/profile_images/891982096205438977/84x30Lf-_normal.jpg","View")</f>
        <v>View</v>
      </c>
      <c r="P810" s="10"/>
    </row>
    <row r="811" customFormat="false" ht="15.75" hidden="false" customHeight="false" outlineLevel="0" collapsed="false">
      <c r="A811" s="6" t="n">
        <v>43029.7715509259</v>
      </c>
      <c r="B811" s="7" t="str">
        <f aca="false">HYPERLINK("https://twitter.com/microcarpa1","@microcarpa1")</f>
        <v>@microcarpa1</v>
      </c>
      <c r="C811" s="8" t="s">
        <v>2233</v>
      </c>
      <c r="D811" s="8" t="s">
        <v>2018</v>
      </c>
      <c r="E811" s="9" t="str">
        <f aca="false">HYPERLINK("https://twitter.com/microcarpa1/status/921911742975721472","921911742975721472")</f>
        <v>921911742975721472</v>
      </c>
      <c r="F811" s="10" t="s">
        <v>39</v>
      </c>
      <c r="G811" s="10" t="n">
        <v>3350</v>
      </c>
      <c r="H811" s="10" t="n">
        <v>1824</v>
      </c>
      <c r="I811" s="10" t="n">
        <v>19</v>
      </c>
      <c r="J811" s="10" t="n">
        <v>0</v>
      </c>
      <c r="K811" s="10" t="s">
        <v>20</v>
      </c>
      <c r="L811" s="11" t="n">
        <v>40693.9875462963</v>
      </c>
      <c r="M811" s="12" t="s">
        <v>2234</v>
      </c>
      <c r="N811" s="13" t="s">
        <v>2235</v>
      </c>
      <c r="O811" s="9" t="str">
        <f aca="false">HYPERLINK("https://pbs.twimg.com/profile_images/626392070387707904/vr8wv00l_normal.jpg","View")</f>
        <v>View</v>
      </c>
      <c r="P811" s="10"/>
    </row>
    <row r="812" customFormat="false" ht="15.75" hidden="false" customHeight="false" outlineLevel="0" collapsed="false">
      <c r="A812" s="6" t="n">
        <v>43029.7864351852</v>
      </c>
      <c r="B812" s="7" t="str">
        <f aca="false">HYPERLINK("https://twitter.com/WarWorldNews","@WarWorldNews")</f>
        <v>@WarWorldNews</v>
      </c>
      <c r="C812" s="8" t="s">
        <v>2236</v>
      </c>
      <c r="D812" s="8" t="s">
        <v>2237</v>
      </c>
      <c r="E812" s="9" t="str">
        <f aca="false">HYPERLINK("https://twitter.com/WarWorldNews/status/921917138352394240","921917138352394240")</f>
        <v>921917138352394240</v>
      </c>
      <c r="F812" s="10" t="s">
        <v>60</v>
      </c>
      <c r="G812" s="10" t="n">
        <v>147</v>
      </c>
      <c r="H812" s="10" t="n">
        <v>0</v>
      </c>
      <c r="I812" s="10" t="n">
        <v>0</v>
      </c>
      <c r="J812" s="10" t="n">
        <v>0</v>
      </c>
      <c r="K812" s="10" t="s">
        <v>20</v>
      </c>
      <c r="L812" s="11" t="n">
        <v>41838.0924768519</v>
      </c>
      <c r="M812" s="12"/>
      <c r="N812" s="12" t="s">
        <v>2238</v>
      </c>
      <c r="O812" s="9" t="str">
        <f aca="false">HYPERLINK("https://pbs.twimg.com/profile_images/490071988421943296/mN5_bRex_normal.jpeg","View")</f>
        <v>View</v>
      </c>
      <c r="P812" s="10"/>
    </row>
    <row r="813" customFormat="false" ht="15.75" hidden="false" customHeight="false" outlineLevel="0" collapsed="false">
      <c r="A813" s="6" t="n">
        <v>43029.7881018519</v>
      </c>
      <c r="B813" s="7" t="str">
        <f aca="false">HYPERLINK("https://twitter.com/ecodaren","@ecodaren")</f>
        <v>@ecodaren</v>
      </c>
      <c r="C813" s="8" t="s">
        <v>2239</v>
      </c>
      <c r="D813" s="8" t="s">
        <v>2240</v>
      </c>
      <c r="E813" s="9" t="str">
        <f aca="false">HYPERLINK("https://twitter.com/ecodaren/status/921917741862232064","921917741862232064")</f>
        <v>921917741862232064</v>
      </c>
      <c r="F813" s="10" t="s">
        <v>39</v>
      </c>
      <c r="G813" s="10" t="n">
        <v>3186</v>
      </c>
      <c r="H813" s="10" t="n">
        <v>666</v>
      </c>
      <c r="I813" s="10" t="n">
        <v>0</v>
      </c>
      <c r="J813" s="10" t="n">
        <v>0</v>
      </c>
      <c r="K813" s="10" t="s">
        <v>20</v>
      </c>
      <c r="L813" s="11" t="n">
        <v>40242.9772569445</v>
      </c>
      <c r="M813" s="12" t="s">
        <v>2241</v>
      </c>
      <c r="N813" s="12" t="s">
        <v>2242</v>
      </c>
      <c r="O813" s="9" t="str">
        <f aca="false">HYPERLINK("https://pbs.twimg.com/profile_images/735550709/imgffbe007fzikbzj_normal.jpg","View")</f>
        <v>View</v>
      </c>
      <c r="P813" s="10"/>
    </row>
    <row r="814" customFormat="false" ht="15.75" hidden="false" customHeight="false" outlineLevel="0" collapsed="false">
      <c r="A814" s="6" t="n">
        <v>43029.7886805556</v>
      </c>
      <c r="B814" s="7" t="str">
        <f aca="false">HYPERLINK("https://twitter.com/Sunada_bashi","@Sunada_bashi")</f>
        <v>@Sunada_bashi</v>
      </c>
      <c r="C814" s="14" t="s">
        <v>2243</v>
      </c>
      <c r="D814" s="8" t="s">
        <v>2179</v>
      </c>
      <c r="E814" s="9" t="str">
        <f aca="false">HYPERLINK("https://twitter.com/Sunada_bashi/status/921917949073436673","921917949073436673")</f>
        <v>921917949073436673</v>
      </c>
      <c r="F814" s="10" t="s">
        <v>51</v>
      </c>
      <c r="G814" s="10" t="n">
        <v>1106</v>
      </c>
      <c r="H814" s="10" t="n">
        <v>752</v>
      </c>
      <c r="I814" s="10" t="n">
        <v>3</v>
      </c>
      <c r="J814" s="10" t="n">
        <v>0</v>
      </c>
      <c r="K814" s="10" t="s">
        <v>20</v>
      </c>
      <c r="L814" s="11" t="n">
        <v>42064.9377083333</v>
      </c>
      <c r="M814" s="12" t="s">
        <v>2244</v>
      </c>
      <c r="N814" s="12" t="s">
        <v>2245</v>
      </c>
      <c r="O814" s="9" t="str">
        <f aca="false">HYPERLINK("https://pbs.twimg.com/profile_images/912685546375307264/H7T2cyHv_normal.jpg","View")</f>
        <v>View</v>
      </c>
      <c r="P814" s="10"/>
    </row>
    <row r="815" customFormat="false" ht="15.75" hidden="false" customHeight="false" outlineLevel="0" collapsed="false">
      <c r="A815" s="6" t="n">
        <v>43029.7898842593</v>
      </c>
      <c r="B815" s="7" t="str">
        <f aca="false">HYPERLINK("https://twitter.com/takshakpai","@takshakpai")</f>
        <v>@takshakpai</v>
      </c>
      <c r="C815" s="8" t="s">
        <v>2246</v>
      </c>
      <c r="D815" s="8" t="s">
        <v>2247</v>
      </c>
      <c r="E815" s="9" t="str">
        <f aca="false">HYPERLINK("https://twitter.com/takshakpai/status/921918388045201409","921918388045201409")</f>
        <v>921918388045201409</v>
      </c>
      <c r="F815" s="10" t="s">
        <v>25</v>
      </c>
      <c r="G815" s="10" t="n">
        <v>517</v>
      </c>
      <c r="H815" s="10" t="n">
        <v>1141</v>
      </c>
      <c r="I815" s="10" t="n">
        <v>1</v>
      </c>
      <c r="J815" s="10" t="n">
        <v>0</v>
      </c>
      <c r="K815" s="10" t="s">
        <v>20</v>
      </c>
      <c r="L815" s="11" t="n">
        <v>42148.2223958333</v>
      </c>
      <c r="M815" s="12" t="s">
        <v>2248</v>
      </c>
      <c r="N815" s="12" t="s">
        <v>2249</v>
      </c>
      <c r="O815" s="9" t="str">
        <f aca="false">HYPERLINK("https://pbs.twimg.com/profile_images/848988774151278593/8tluHfEN_normal.jpg","View")</f>
        <v>View</v>
      </c>
      <c r="P815" s="10"/>
    </row>
    <row r="816" customFormat="false" ht="15.75" hidden="false" customHeight="false" outlineLevel="0" collapsed="false">
      <c r="A816" s="6" t="n">
        <v>43029.7910300926</v>
      </c>
      <c r="B816" s="7" t="str">
        <f aca="false">HYPERLINK("https://twitter.com/radionz","@radionz")</f>
        <v>@radionz</v>
      </c>
      <c r="C816" s="8" t="s">
        <v>2250</v>
      </c>
      <c r="D816" s="8" t="s">
        <v>2251</v>
      </c>
      <c r="E816" s="9" t="str">
        <f aca="false">HYPERLINK("https://twitter.com/radionz/status/921918802719252480","921918802719252480")</f>
        <v>921918802719252480</v>
      </c>
      <c r="F816" s="10" t="s">
        <v>39</v>
      </c>
      <c r="G816" s="10" t="n">
        <v>24561</v>
      </c>
      <c r="H816" s="10" t="n">
        <v>196</v>
      </c>
      <c r="I816" s="10" t="n">
        <v>0</v>
      </c>
      <c r="J816" s="10" t="n">
        <v>1</v>
      </c>
      <c r="K816" s="10" t="s">
        <v>20</v>
      </c>
      <c r="L816" s="11" t="n">
        <v>39960.6558564815</v>
      </c>
      <c r="M816" s="12" t="s">
        <v>2252</v>
      </c>
      <c r="N816" s="12" t="s">
        <v>2253</v>
      </c>
      <c r="O816" s="9" t="str">
        <f aca="false">HYPERLINK("https://pbs.twimg.com/profile_images/754908611969560576/UC40CR4a_normal.jpg","View")</f>
        <v>View</v>
      </c>
      <c r="P816" s="10"/>
    </row>
    <row r="817" customFormat="false" ht="15.75" hidden="false" customHeight="false" outlineLevel="0" collapsed="false">
      <c r="A817" s="6" t="n">
        <v>43029.7978819444</v>
      </c>
      <c r="B817" s="7" t="str">
        <f aca="false">HYPERLINK("https://twitter.com/VishaalBhat","@VishaalBhat")</f>
        <v>@VishaalBhat</v>
      </c>
      <c r="C817" s="8" t="s">
        <v>2254</v>
      </c>
      <c r="D817" s="8" t="s">
        <v>2255</v>
      </c>
      <c r="E817" s="9" t="str">
        <f aca="false">HYPERLINK("https://twitter.com/VishaalBhat/status/921921283624804355","921921283624804355")</f>
        <v>921921283624804355</v>
      </c>
      <c r="F817" s="10" t="s">
        <v>25</v>
      </c>
      <c r="G817" s="10" t="n">
        <v>475</v>
      </c>
      <c r="H817" s="10" t="n">
        <v>69</v>
      </c>
      <c r="I817" s="10" t="n">
        <v>1</v>
      </c>
      <c r="J817" s="10" t="n">
        <v>0</v>
      </c>
      <c r="K817" s="10" t="s">
        <v>20</v>
      </c>
      <c r="L817" s="11" t="n">
        <v>40141.3724884259</v>
      </c>
      <c r="M817" s="12" t="s">
        <v>2256</v>
      </c>
      <c r="N817" s="12" t="s">
        <v>2257</v>
      </c>
      <c r="O817" s="9" t="str">
        <f aca="false">HYPERLINK("https://pbs.twimg.com/profile_images/912364788163866624/iFMiCMhm_normal.jpg","View")</f>
        <v>View</v>
      </c>
      <c r="P817" s="10"/>
    </row>
    <row r="818" customFormat="false" ht="15.75" hidden="false" customHeight="false" outlineLevel="0" collapsed="false">
      <c r="A818" s="6" t="n">
        <v>43029.7993055556</v>
      </c>
      <c r="B818" s="7" t="str">
        <f aca="false">HYPERLINK("https://twitter.com/RaiJon16","@RaiJon16")</f>
        <v>@RaiJon16</v>
      </c>
      <c r="C818" s="8" t="s">
        <v>2258</v>
      </c>
      <c r="D818" s="8" t="s">
        <v>2018</v>
      </c>
      <c r="E818" s="9" t="str">
        <f aca="false">HYPERLINK("https://twitter.com/RaiJon16/status/921921801403469824","921921801403469824")</f>
        <v>921921801403469824</v>
      </c>
      <c r="F818" s="10" t="s">
        <v>2259</v>
      </c>
      <c r="G818" s="10" t="n">
        <v>224</v>
      </c>
      <c r="H818" s="10" t="n">
        <v>2016</v>
      </c>
      <c r="I818" s="10" t="n">
        <v>19</v>
      </c>
      <c r="J818" s="10" t="n">
        <v>0</v>
      </c>
      <c r="K818" s="10" t="s">
        <v>20</v>
      </c>
      <c r="L818" s="11" t="n">
        <v>42904.5836921296</v>
      </c>
      <c r="M818" s="12" t="s">
        <v>230</v>
      </c>
      <c r="N818" s="12" t="s">
        <v>2260</v>
      </c>
      <c r="O818" s="9" t="str">
        <f aca="false">HYPERLINK("https://pbs.twimg.com/profile_images/876545803329974273/A_UKlGD7_normal.jpg","View")</f>
        <v>View</v>
      </c>
      <c r="P818" s="10"/>
    </row>
    <row r="819" customFormat="false" ht="15.75" hidden="false" customHeight="false" outlineLevel="0" collapsed="false">
      <c r="A819" s="6" t="n">
        <v>43029.8025462963</v>
      </c>
      <c r="B819" s="7" t="str">
        <f aca="false">HYPERLINK("https://twitter.com/axbxcxrr","@axbxcxrr")</f>
        <v>@axbxcxrr</v>
      </c>
      <c r="C819" s="8" t="s">
        <v>2261</v>
      </c>
      <c r="D819" s="8" t="s">
        <v>2262</v>
      </c>
      <c r="E819" s="9" t="str">
        <f aca="false">HYPERLINK("https://twitter.com/axbxcxrr/status/921922974931755009","921922974931755009")</f>
        <v>921922974931755009</v>
      </c>
      <c r="F819" s="10" t="s">
        <v>39</v>
      </c>
      <c r="G819" s="10" t="n">
        <v>813</v>
      </c>
      <c r="H819" s="10" t="n">
        <v>950</v>
      </c>
      <c r="I819" s="10" t="n">
        <v>0</v>
      </c>
      <c r="J819" s="10" t="n">
        <v>0</v>
      </c>
      <c r="K819" s="10" t="s">
        <v>20</v>
      </c>
      <c r="L819" s="11" t="n">
        <v>40260.8624652778</v>
      </c>
      <c r="M819" s="13" t="s">
        <v>106</v>
      </c>
      <c r="N819" s="12" t="s">
        <v>2263</v>
      </c>
      <c r="O819" s="9" t="str">
        <f aca="false">HYPERLINK("https://pbs.twimg.com/profile_images/921376975301705729/LVL9qggr_normal.jpg","View")</f>
        <v>View</v>
      </c>
      <c r="P819" s="10"/>
    </row>
    <row r="820" customFormat="false" ht="15.75" hidden="false" customHeight="false" outlineLevel="0" collapsed="false">
      <c r="A820" s="6" t="n">
        <v>43029.8138657407</v>
      </c>
      <c r="B820" s="7" t="str">
        <f aca="false">HYPERLINK("https://twitter.com/rachael_rudolph","@rachael_rudolph")</f>
        <v>@rachael_rudolph</v>
      </c>
      <c r="C820" s="8" t="s">
        <v>2264</v>
      </c>
      <c r="D820" s="8" t="s">
        <v>2265</v>
      </c>
      <c r="E820" s="9" t="str">
        <f aca="false">HYPERLINK("https://twitter.com/rachael_rudolph/status/921927075547684864","921927075547684864")</f>
        <v>921927075547684864</v>
      </c>
      <c r="F820" s="10" t="s">
        <v>39</v>
      </c>
      <c r="G820" s="10" t="n">
        <v>1018</v>
      </c>
      <c r="H820" s="10" t="n">
        <v>886</v>
      </c>
      <c r="I820" s="10" t="n">
        <v>0</v>
      </c>
      <c r="J820" s="10" t="n">
        <v>0</v>
      </c>
      <c r="K820" s="10" t="s">
        <v>20</v>
      </c>
      <c r="L820" s="11" t="n">
        <v>39854.8925925926</v>
      </c>
      <c r="M820" s="12" t="s">
        <v>2266</v>
      </c>
      <c r="N820" s="12" t="s">
        <v>2267</v>
      </c>
      <c r="O820" s="9" t="str">
        <f aca="false">HYPERLINK("https://pbs.twimg.com/profile_images/920503382795849729/2Ma1U-Jk_normal.jpg","View")</f>
        <v>View</v>
      </c>
      <c r="P820" s="10"/>
    </row>
    <row r="821" customFormat="false" ht="15.75" hidden="false" customHeight="false" outlineLevel="0" collapsed="false">
      <c r="A821" s="6" t="n">
        <v>43029.8153472222</v>
      </c>
      <c r="B821" s="7" t="str">
        <f aca="false">HYPERLINK("https://twitter.com/zentrade_online","@zentrade_online")</f>
        <v>@zentrade_online</v>
      </c>
      <c r="C821" s="8" t="s">
        <v>2268</v>
      </c>
      <c r="D821" s="8" t="s">
        <v>2269</v>
      </c>
      <c r="E821" s="9" t="str">
        <f aca="false">HYPERLINK("https://twitter.com/zentrade_online/status/921927613903450115","921927613903450115")</f>
        <v>921927613903450115</v>
      </c>
      <c r="F821" s="10" t="s">
        <v>2270</v>
      </c>
      <c r="G821" s="10" t="n">
        <v>8237</v>
      </c>
      <c r="H821" s="10" t="n">
        <v>7941</v>
      </c>
      <c r="I821" s="10" t="n">
        <v>0</v>
      </c>
      <c r="J821" s="10" t="n">
        <v>0</v>
      </c>
      <c r="K821" s="10" t="s">
        <v>20</v>
      </c>
      <c r="L821" s="11" t="n">
        <v>41546.2430902778</v>
      </c>
      <c r="M821" s="12"/>
      <c r="N821" s="12" t="s">
        <v>2271</v>
      </c>
      <c r="O821" s="9" t="str">
        <f aca="false">HYPERLINK("https://pbs.twimg.com/profile_images/867686891021365249/_DEEw4nW_normal.jpg","View")</f>
        <v>View</v>
      </c>
      <c r="P821" s="10"/>
    </row>
    <row r="822" customFormat="false" ht="15.75" hidden="false" customHeight="false" outlineLevel="0" collapsed="false">
      <c r="A822" s="6" t="n">
        <v>43029.8387037037</v>
      </c>
      <c r="B822" s="7" t="str">
        <f aca="false">HYPERLINK("https://twitter.com/newscenterPHL1","@newscenterPHL1")</f>
        <v>@newscenterPHL1</v>
      </c>
      <c r="C822" s="8" t="s">
        <v>2272</v>
      </c>
      <c r="D822" s="8" t="s">
        <v>2273</v>
      </c>
      <c r="E822" s="9" t="str">
        <f aca="false">HYPERLINK("https://twitter.com/newscenterPHL1/status/921936078583369728","921936078583369728")</f>
        <v>921936078583369728</v>
      </c>
      <c r="F822" s="10" t="s">
        <v>51</v>
      </c>
      <c r="G822" s="10" t="n">
        <v>686</v>
      </c>
      <c r="H822" s="10" t="n">
        <v>1968</v>
      </c>
      <c r="I822" s="10" t="n">
        <v>3</v>
      </c>
      <c r="J822" s="10" t="n">
        <v>0</v>
      </c>
      <c r="K822" s="10" t="s">
        <v>20</v>
      </c>
      <c r="L822" s="11" t="n">
        <v>40585.0102199074</v>
      </c>
      <c r="M822" s="12"/>
      <c r="N822" s="12"/>
      <c r="O822" s="9" t="str">
        <f aca="false">HYPERLINK("https://abs.twimg.com/sticky/default_profile_images/default_profile_normal.png","View")</f>
        <v>View</v>
      </c>
      <c r="P822" s="10"/>
    </row>
    <row r="823" customFormat="false" ht="15.75" hidden="false" customHeight="false" outlineLevel="0" collapsed="false">
      <c r="A823" s="6" t="n">
        <v>43029.8400347222</v>
      </c>
      <c r="B823" s="7" t="str">
        <f aca="false">HYPERLINK("https://twitter.com/tvThirdEyeB","@tvThirdEyeB")</f>
        <v>@tvThirdEyeB</v>
      </c>
      <c r="C823" s="8" t="s">
        <v>2027</v>
      </c>
      <c r="D823" s="8" t="s">
        <v>2274</v>
      </c>
      <c r="E823" s="9" t="str">
        <f aca="false">HYPERLINK("https://twitter.com/tvThirdEyeB/status/921936561255604225","921936561255604225")</f>
        <v>921936561255604225</v>
      </c>
      <c r="F823" s="10" t="s">
        <v>2029</v>
      </c>
      <c r="G823" s="10" t="n">
        <v>31</v>
      </c>
      <c r="H823" s="10" t="n">
        <v>0</v>
      </c>
      <c r="I823" s="10" t="n">
        <v>0</v>
      </c>
      <c r="J823" s="10" t="n">
        <v>0</v>
      </c>
      <c r="K823" s="10" t="s">
        <v>20</v>
      </c>
      <c r="L823" s="11" t="n">
        <v>42972.5932638889</v>
      </c>
      <c r="M823" s="12" t="s">
        <v>588</v>
      </c>
      <c r="N823" s="12" t="s">
        <v>2030</v>
      </c>
      <c r="O823" s="9" t="str">
        <f aca="false">HYPERLINK("https://pbs.twimg.com/profile_images/910606884565950464/P-E5U0ei_normal.jpg","View")</f>
        <v>View</v>
      </c>
      <c r="P823" s="10"/>
    </row>
    <row r="824" customFormat="false" ht="15.75" hidden="false" customHeight="false" outlineLevel="0" collapsed="false">
      <c r="A824" s="6" t="n">
        <v>43029.8410416667</v>
      </c>
      <c r="B824" s="7" t="str">
        <f aca="false">HYPERLINK("https://twitter.com/lnwsrilanka","@lnwsrilanka")</f>
        <v>@lnwsrilanka</v>
      </c>
      <c r="C824" s="7" t="s">
        <v>2275</v>
      </c>
      <c r="D824" s="8" t="s">
        <v>2276</v>
      </c>
      <c r="E824" s="9" t="str">
        <f aca="false">HYPERLINK("https://twitter.com/lnwsrilanka/status/921936923693867010","921936923693867010")</f>
        <v>921936923693867010</v>
      </c>
      <c r="F824" s="10" t="s">
        <v>47</v>
      </c>
      <c r="G824" s="10" t="n">
        <v>885</v>
      </c>
      <c r="H824" s="10" t="n">
        <v>222</v>
      </c>
      <c r="I824" s="10" t="n">
        <v>0</v>
      </c>
      <c r="J824" s="10" t="n">
        <v>0</v>
      </c>
      <c r="K824" s="10" t="s">
        <v>20</v>
      </c>
      <c r="L824" s="11" t="n">
        <v>40324.9767361111</v>
      </c>
      <c r="M824" s="12" t="s">
        <v>2277</v>
      </c>
      <c r="N824" s="12" t="s">
        <v>2278</v>
      </c>
      <c r="O824" s="9" t="str">
        <f aca="false">HYPERLINK("https://pbs.twimg.com/profile_images/756775613218775040/LepLpxRZ_normal.jpg","View")</f>
        <v>View</v>
      </c>
      <c r="P824" s="10"/>
    </row>
    <row r="825" customFormat="false" ht="15.75" hidden="false" customHeight="false" outlineLevel="0" collapsed="false">
      <c r="A825" s="6" t="n">
        <v>43029.8413541667</v>
      </c>
      <c r="B825" s="7" t="str">
        <f aca="false">HYPERLINK("https://twitter.com/tvThirdEyeB","@tvThirdEyeB")</f>
        <v>@tvThirdEyeB</v>
      </c>
      <c r="C825" s="8" t="s">
        <v>2027</v>
      </c>
      <c r="D825" s="8" t="s">
        <v>2279</v>
      </c>
      <c r="E825" s="9" t="str">
        <f aca="false">HYPERLINK("https://twitter.com/tvThirdEyeB/status/921937039615934464","921937039615934464")</f>
        <v>921937039615934464</v>
      </c>
      <c r="F825" s="10" t="s">
        <v>2029</v>
      </c>
      <c r="G825" s="10" t="n">
        <v>31</v>
      </c>
      <c r="H825" s="10" t="n">
        <v>0</v>
      </c>
      <c r="I825" s="10" t="n">
        <v>0</v>
      </c>
      <c r="J825" s="10" t="n">
        <v>0</v>
      </c>
      <c r="K825" s="10" t="s">
        <v>20</v>
      </c>
      <c r="L825" s="11" t="n">
        <v>42972.5932638889</v>
      </c>
      <c r="M825" s="12" t="s">
        <v>588</v>
      </c>
      <c r="N825" s="12" t="s">
        <v>2030</v>
      </c>
      <c r="O825" s="9" t="str">
        <f aca="false">HYPERLINK("https://pbs.twimg.com/profile_images/910606884565950464/P-E5U0ei_normal.jpg","View")</f>
        <v>View</v>
      </c>
      <c r="P825" s="10"/>
    </row>
    <row r="826" customFormat="false" ht="15.75" hidden="false" customHeight="false" outlineLevel="0" collapsed="false">
      <c r="A826" s="6" t="n">
        <v>43029.845</v>
      </c>
      <c r="B826" s="7" t="str">
        <f aca="false">HYPERLINK("https://twitter.com/asuka_250","@asuka_250")</f>
        <v>@asuka_250</v>
      </c>
      <c r="C826" s="8" t="s">
        <v>1235</v>
      </c>
      <c r="D826" s="8" t="s">
        <v>2280</v>
      </c>
      <c r="E826" s="9" t="str">
        <f aca="false">HYPERLINK("https://twitter.com/asuka_250/status/921938361799008256","921938361799008256")</f>
        <v>921938361799008256</v>
      </c>
      <c r="F826" s="10" t="s">
        <v>25</v>
      </c>
      <c r="G826" s="10" t="n">
        <v>30707</v>
      </c>
      <c r="H826" s="10" t="n">
        <v>30518</v>
      </c>
      <c r="I826" s="10" t="n">
        <v>6</v>
      </c>
      <c r="J826" s="10" t="n">
        <v>1</v>
      </c>
      <c r="K826" s="10" t="s">
        <v>20</v>
      </c>
      <c r="L826" s="11" t="n">
        <v>41943.1724768519</v>
      </c>
      <c r="M826" s="12" t="s">
        <v>186</v>
      </c>
      <c r="N826" s="12" t="s">
        <v>1236</v>
      </c>
      <c r="O826" s="9" t="str">
        <f aca="false">HYPERLINK("https://pbs.twimg.com/profile_images/576284037486014464/dhYtI1qZ_normal.jpeg","View")</f>
        <v>View</v>
      </c>
      <c r="P826" s="10"/>
    </row>
    <row r="827" customFormat="false" ht="15.75" hidden="false" customHeight="false" outlineLevel="0" collapsed="false">
      <c r="A827" s="6" t="n">
        <v>43029.8463657407</v>
      </c>
      <c r="B827" s="7" t="str">
        <f aca="false">HYPERLINK("https://twitter.com/BartholomewOga","@BartholomewOga")</f>
        <v>@BartholomewOga</v>
      </c>
      <c r="C827" s="8" t="s">
        <v>2281</v>
      </c>
      <c r="D827" s="8" t="s">
        <v>2282</v>
      </c>
      <c r="E827" s="9" t="str">
        <f aca="false">HYPERLINK("https://twitter.com/BartholomewOga/status/921938855405613057","921938855405613057")</f>
        <v>921938855405613057</v>
      </c>
      <c r="F827" s="10" t="s">
        <v>39</v>
      </c>
      <c r="G827" s="10" t="n">
        <v>998</v>
      </c>
      <c r="H827" s="10" t="n">
        <v>1183</v>
      </c>
      <c r="I827" s="10" t="n">
        <v>6</v>
      </c>
      <c r="J827" s="10" t="n">
        <v>0</v>
      </c>
      <c r="K827" s="10" t="s">
        <v>20</v>
      </c>
      <c r="L827" s="11" t="n">
        <v>40850.1049074074</v>
      </c>
      <c r="M827" s="12" t="s">
        <v>194</v>
      </c>
      <c r="N827" s="13" t="s">
        <v>2283</v>
      </c>
      <c r="O827" s="9" t="str">
        <f aca="false">HYPERLINK("https://pbs.twimg.com/profile_images/1655402524/2011070510300002_normal.jpg","View")</f>
        <v>View</v>
      </c>
      <c r="P827" s="10"/>
    </row>
    <row r="828" customFormat="false" ht="15.75" hidden="false" customHeight="false" outlineLevel="0" collapsed="false">
      <c r="A828" s="6" t="n">
        <v>43029.8465856481</v>
      </c>
      <c r="B828" s="7" t="str">
        <f aca="false">HYPERLINK("https://twitter.com/ei_kun_55","@ei_kun_55")</f>
        <v>@ei_kun_55</v>
      </c>
      <c r="C828" s="8" t="s">
        <v>1625</v>
      </c>
      <c r="D828" s="8" t="s">
        <v>2282</v>
      </c>
      <c r="E828" s="9" t="str">
        <f aca="false">HYPERLINK("https://twitter.com/ei_kun_55/status/921938932937265152","921938932937265152")</f>
        <v>921938932937265152</v>
      </c>
      <c r="F828" s="10" t="s">
        <v>51</v>
      </c>
      <c r="G828" s="10" t="n">
        <v>182</v>
      </c>
      <c r="H828" s="10" t="n">
        <v>824</v>
      </c>
      <c r="I828" s="10" t="n">
        <v>6</v>
      </c>
      <c r="J828" s="10" t="n">
        <v>0</v>
      </c>
      <c r="K828" s="10" t="s">
        <v>20</v>
      </c>
      <c r="L828" s="11" t="n">
        <v>40622.0674421296</v>
      </c>
      <c r="M828" s="12" t="s">
        <v>1626</v>
      </c>
      <c r="N828" s="12" t="s">
        <v>1627</v>
      </c>
      <c r="O828" s="9" t="str">
        <f aca="false">HYPERLINK("https://pbs.twimg.com/profile_images/1280283849/Earth__Clouds__normal.gif","View")</f>
        <v>View</v>
      </c>
      <c r="P828" s="10"/>
    </row>
    <row r="829" customFormat="false" ht="15.75" hidden="false" customHeight="false" outlineLevel="0" collapsed="false">
      <c r="A829" s="6" t="n">
        <v>43029.8486458333</v>
      </c>
      <c r="B829" s="7" t="str">
        <f aca="false">HYPERLINK("https://twitter.com/YourAnonRevolt","@YourAnonRevolt")</f>
        <v>@YourAnonRevolt</v>
      </c>
      <c r="C829" s="8" t="s">
        <v>2284</v>
      </c>
      <c r="D829" s="8" t="s">
        <v>2282</v>
      </c>
      <c r="E829" s="9" t="str">
        <f aca="false">HYPERLINK("https://twitter.com/YourAnonRevolt/status/921939682765692928","921939682765692928")</f>
        <v>921939682765692928</v>
      </c>
      <c r="F829" s="10" t="s">
        <v>39</v>
      </c>
      <c r="G829" s="10" t="n">
        <v>11186</v>
      </c>
      <c r="H829" s="10" t="n">
        <v>4106</v>
      </c>
      <c r="I829" s="10" t="n">
        <v>6</v>
      </c>
      <c r="J829" s="10" t="n">
        <v>0</v>
      </c>
      <c r="K829" s="10" t="s">
        <v>20</v>
      </c>
      <c r="L829" s="11" t="n">
        <v>42478.1002199074</v>
      </c>
      <c r="M829" s="12" t="s">
        <v>2285</v>
      </c>
      <c r="N829" s="12" t="s">
        <v>2286</v>
      </c>
      <c r="O829" s="9" t="str">
        <f aca="false">HYPERLINK("https://pbs.twimg.com/profile_images/881398153030713344/FN9uhI_M_normal.jpg","View")</f>
        <v>View</v>
      </c>
      <c r="P829" s="10"/>
    </row>
    <row r="830" customFormat="false" ht="15.75" hidden="false" customHeight="false" outlineLevel="0" collapsed="false">
      <c r="A830" s="6" t="n">
        <v>43029.8534143518</v>
      </c>
      <c r="B830" s="7" t="str">
        <f aca="false">HYPERLINK("https://twitter.com/urutobi","@urutobi")</f>
        <v>@urutobi</v>
      </c>
      <c r="C830" s="14" t="s">
        <v>1756</v>
      </c>
      <c r="D830" s="8" t="s">
        <v>2282</v>
      </c>
      <c r="E830" s="9" t="str">
        <f aca="false">HYPERLINK("https://twitter.com/urutobi/status/921941410424614912","921941410424614912")</f>
        <v>921941410424614912</v>
      </c>
      <c r="F830" s="10" t="s">
        <v>39</v>
      </c>
      <c r="G830" s="10" t="n">
        <v>2131</v>
      </c>
      <c r="H830" s="10" t="n">
        <v>1276</v>
      </c>
      <c r="I830" s="10" t="n">
        <v>6</v>
      </c>
      <c r="J830" s="10" t="n">
        <v>0</v>
      </c>
      <c r="K830" s="10" t="s">
        <v>20</v>
      </c>
      <c r="L830" s="11" t="n">
        <v>39981.7712962963</v>
      </c>
      <c r="M830" s="13" t="s">
        <v>1757</v>
      </c>
      <c r="N830" s="13" t="s">
        <v>1758</v>
      </c>
      <c r="O830" s="9" t="str">
        <f aca="false">HYPERLINK("https://pbs.twimg.com/profile_images/1864131264/f919_normal.jpg","View")</f>
        <v>View</v>
      </c>
      <c r="P830" s="10"/>
    </row>
    <row r="831" customFormat="false" ht="15.75" hidden="false" customHeight="false" outlineLevel="0" collapsed="false">
      <c r="A831" s="6" t="n">
        <v>43029.8676041667</v>
      </c>
      <c r="B831" s="7" t="str">
        <f aca="false">HYPERLINK("https://twitter.com/firstpost","@firstpost")</f>
        <v>@firstpost</v>
      </c>
      <c r="C831" s="8" t="s">
        <v>2287</v>
      </c>
      <c r="D831" s="8" t="s">
        <v>2288</v>
      </c>
      <c r="E831" s="9" t="str">
        <f aca="false">HYPERLINK("https://twitter.com/firstpost/status/921946553379520512","921946553379520512")</f>
        <v>921946553379520512</v>
      </c>
      <c r="F831" s="10" t="s">
        <v>39</v>
      </c>
      <c r="G831" s="10" t="n">
        <v>1872010</v>
      </c>
      <c r="H831" s="10" t="n">
        <v>1000</v>
      </c>
      <c r="I831" s="10" t="n">
        <v>4</v>
      </c>
      <c r="J831" s="10" t="n">
        <v>13</v>
      </c>
      <c r="K831" s="10" t="s">
        <v>20</v>
      </c>
      <c r="L831" s="11" t="n">
        <v>40597.214837963</v>
      </c>
      <c r="M831" s="12" t="s">
        <v>253</v>
      </c>
      <c r="N831" s="12" t="s">
        <v>2289</v>
      </c>
      <c r="O831" s="9" t="str">
        <f aca="false">HYPERLINK("https://pbs.twimg.com/profile_images/696601463322075137/svSxRGyn_normal.jpg","View")</f>
        <v>View</v>
      </c>
      <c r="P831" s="10"/>
    </row>
    <row r="832" customFormat="false" ht="15.75" hidden="false" customHeight="false" outlineLevel="0" collapsed="false">
      <c r="A832" s="6" t="n">
        <v>43029.8715277778</v>
      </c>
      <c r="B832" s="7" t="str">
        <f aca="false">HYPERLINK("https://twitter.com/SCMP_News","@SCMP_News")</f>
        <v>@SCMP_News</v>
      </c>
      <c r="C832" s="8" t="s">
        <v>2290</v>
      </c>
      <c r="D832" s="8" t="s">
        <v>2291</v>
      </c>
      <c r="E832" s="9" t="str">
        <f aca="false">HYPERLINK("https://twitter.com/SCMP_News/status/921947973692649473","921947973692649473")</f>
        <v>921947973692649473</v>
      </c>
      <c r="F832" s="10" t="s">
        <v>1167</v>
      </c>
      <c r="G832" s="10" t="n">
        <v>506508</v>
      </c>
      <c r="H832" s="10" t="n">
        <v>345</v>
      </c>
      <c r="I832" s="10" t="n">
        <v>5</v>
      </c>
      <c r="J832" s="10" t="n">
        <v>5</v>
      </c>
      <c r="K832" s="10" t="s">
        <v>20</v>
      </c>
      <c r="L832" s="11" t="n">
        <v>39884.077662037</v>
      </c>
      <c r="M832" s="12" t="s">
        <v>68</v>
      </c>
      <c r="N832" s="12" t="s">
        <v>2292</v>
      </c>
      <c r="O832" s="9" t="str">
        <f aca="false">HYPERLINK("https://pbs.twimg.com/profile_images/593315521707159552/nSAjByJO_normal.png","View")</f>
        <v>View</v>
      </c>
      <c r="P832" s="10"/>
    </row>
    <row r="833" customFormat="false" ht="15.75" hidden="false" customHeight="false" outlineLevel="0" collapsed="false">
      <c r="A833" s="6" t="n">
        <v>43029.8717824074</v>
      </c>
      <c r="B833" s="7" t="str">
        <f aca="false">HYPERLINK("https://twitter.com/azuitshi","@azuitshi")</f>
        <v>@azuitshi</v>
      </c>
      <c r="C833" s="8" t="s">
        <v>85</v>
      </c>
      <c r="D833" s="8" t="s">
        <v>2293</v>
      </c>
      <c r="E833" s="9" t="str">
        <f aca="false">HYPERLINK("https://twitter.com/azuitshi/status/921948066407682048","921948066407682048")</f>
        <v>921948066407682048</v>
      </c>
      <c r="F833" s="10" t="s">
        <v>51</v>
      </c>
      <c r="G833" s="10" t="n">
        <v>1627</v>
      </c>
      <c r="H833" s="10" t="n">
        <v>1234</v>
      </c>
      <c r="I833" s="10" t="n">
        <v>4</v>
      </c>
      <c r="J833" s="10" t="n">
        <v>0</v>
      </c>
      <c r="K833" s="10" t="s">
        <v>20</v>
      </c>
      <c r="L833" s="11" t="n">
        <v>39861.1814930556</v>
      </c>
      <c r="M833" s="12" t="s">
        <v>87</v>
      </c>
      <c r="N833" s="13" t="s">
        <v>88</v>
      </c>
      <c r="O833" s="9" t="str">
        <f aca="false">HYPERLINK("https://pbs.twimg.com/profile_images/3099670019/0a1047174954b4381141086707c611c7_normal.jpeg","View")</f>
        <v>View</v>
      </c>
      <c r="P833" s="10"/>
    </row>
    <row r="834" customFormat="false" ht="15.75" hidden="false" customHeight="false" outlineLevel="0" collapsed="false">
      <c r="A834" s="6" t="n">
        <v>43029.8724189815</v>
      </c>
      <c r="B834" s="7" t="str">
        <f aca="false">HYPERLINK("https://twitter.com/OChuluunbileg","@OChuluunbileg")</f>
        <v>@OChuluunbileg</v>
      </c>
      <c r="C834" s="8" t="s">
        <v>2294</v>
      </c>
      <c r="D834" s="8" t="s">
        <v>2295</v>
      </c>
      <c r="E834" s="9" t="str">
        <f aca="false">HYPERLINK("https://twitter.com/OChuluunbileg/status/921948298088349696","921948298088349696")</f>
        <v>921948298088349696</v>
      </c>
      <c r="F834" s="10" t="s">
        <v>25</v>
      </c>
      <c r="G834" s="10" t="n">
        <v>30156</v>
      </c>
      <c r="H834" s="10" t="n">
        <v>3159</v>
      </c>
      <c r="I834" s="10" t="n">
        <v>5</v>
      </c>
      <c r="J834" s="10" t="n">
        <v>0</v>
      </c>
      <c r="K834" s="10" t="s">
        <v>20</v>
      </c>
      <c r="L834" s="11" t="n">
        <v>40172.4624421296</v>
      </c>
      <c r="M834" s="12" t="s">
        <v>2296</v>
      </c>
      <c r="N834" s="12" t="s">
        <v>2297</v>
      </c>
      <c r="O834" s="9" t="str">
        <f aca="false">HYPERLINK("https://pbs.twimg.com/profile_images/918506400262758401/A1WKUEwg_normal.jpg","View")</f>
        <v>View</v>
      </c>
      <c r="P834" s="10"/>
    </row>
    <row r="835" customFormat="false" ht="15.75" hidden="false" customHeight="false" outlineLevel="0" collapsed="false">
      <c r="A835" s="6" t="n">
        <v>43029.8730555556</v>
      </c>
      <c r="B835" s="7" t="str">
        <f aca="false">HYPERLINK("https://twitter.com/jmohanmalik","@jmohanmalik")</f>
        <v>@jmohanmalik</v>
      </c>
      <c r="C835" s="8" t="s">
        <v>2298</v>
      </c>
      <c r="D835" s="8" t="s">
        <v>2299</v>
      </c>
      <c r="E835" s="9" t="str">
        <f aca="false">HYPERLINK("https://twitter.com/jmohanmalik/status/921948526447169536","921948526447169536")</f>
        <v>921948526447169536</v>
      </c>
      <c r="F835" s="10" t="s">
        <v>1658</v>
      </c>
      <c r="G835" s="10" t="n">
        <v>1975</v>
      </c>
      <c r="H835" s="10" t="n">
        <v>529</v>
      </c>
      <c r="I835" s="10" t="n">
        <v>1</v>
      </c>
      <c r="J835" s="10" t="n">
        <v>1</v>
      </c>
      <c r="K835" s="10" t="s">
        <v>20</v>
      </c>
      <c r="L835" s="11" t="n">
        <v>41884.0906018519</v>
      </c>
      <c r="M835" s="12" t="s">
        <v>2300</v>
      </c>
      <c r="N835" s="12" t="s">
        <v>2301</v>
      </c>
      <c r="O835" s="9" t="str">
        <f aca="false">HYPERLINK("https://pbs.twimg.com/profile_images/912066022391259137/lLHyVmX-_normal.jpg","View")</f>
        <v>View</v>
      </c>
      <c r="P835" s="10"/>
    </row>
    <row r="836" customFormat="false" ht="15.75" hidden="false" customHeight="false" outlineLevel="0" collapsed="false">
      <c r="A836" s="6" t="n">
        <v>43029.8732638889</v>
      </c>
      <c r="B836" s="7" t="str">
        <f aca="false">HYPERLINK("https://twitter.com/IndiasBigdebate","@IndiasBigdebate")</f>
        <v>@IndiasBigdebate</v>
      </c>
      <c r="C836" s="8" t="s">
        <v>2302</v>
      </c>
      <c r="D836" s="8" t="s">
        <v>2293</v>
      </c>
      <c r="E836" s="9" t="str">
        <f aca="false">HYPERLINK("https://twitter.com/IndiasBigdebate/status/921948603655921664","921948603655921664")</f>
        <v>921948603655921664</v>
      </c>
      <c r="F836" s="10" t="s">
        <v>25</v>
      </c>
      <c r="G836" s="10" t="n">
        <v>1137</v>
      </c>
      <c r="H836" s="10" t="n">
        <v>195</v>
      </c>
      <c r="I836" s="10" t="n">
        <v>4</v>
      </c>
      <c r="J836" s="10" t="n">
        <v>0</v>
      </c>
      <c r="K836" s="10" t="s">
        <v>20</v>
      </c>
      <c r="L836" s="11" t="n">
        <v>42216.4747916667</v>
      </c>
      <c r="M836" s="12" t="s">
        <v>72</v>
      </c>
      <c r="N836" s="12" t="s">
        <v>2303</v>
      </c>
      <c r="O836" s="9" t="str">
        <f aca="false">HYPERLINK("https://pbs.twimg.com/profile_images/747690422248538112/8vtnmm--_normal.jpg","View")</f>
        <v>View</v>
      </c>
      <c r="P836" s="10"/>
    </row>
    <row r="837" customFormat="false" ht="15.75" hidden="false" customHeight="false" outlineLevel="0" collapsed="false">
      <c r="A837" s="6" t="n">
        <v>43029.873275463</v>
      </c>
      <c r="B837" s="7" t="str">
        <f aca="false">HYPERLINK("https://twitter.com/AJ_Messy","@AJ_Messy")</f>
        <v>@AJ_Messy</v>
      </c>
      <c r="C837" s="8" t="s">
        <v>2304</v>
      </c>
      <c r="D837" s="8" t="s">
        <v>2295</v>
      </c>
      <c r="E837" s="9" t="str">
        <f aca="false">HYPERLINK("https://twitter.com/AJ_Messy/status/921948607338643456","921948607338643456")</f>
        <v>921948607338643456</v>
      </c>
      <c r="F837" s="10" t="s">
        <v>51</v>
      </c>
      <c r="G837" s="10" t="n">
        <v>58</v>
      </c>
      <c r="H837" s="10" t="n">
        <v>274</v>
      </c>
      <c r="I837" s="10" t="n">
        <v>5</v>
      </c>
      <c r="J837" s="10" t="n">
        <v>0</v>
      </c>
      <c r="K837" s="10" t="s">
        <v>20</v>
      </c>
      <c r="L837" s="11" t="n">
        <v>40245.8525462963</v>
      </c>
      <c r="M837" s="12" t="s">
        <v>2305</v>
      </c>
      <c r="N837" s="12" t="s">
        <v>2306</v>
      </c>
      <c r="O837" s="9" t="str">
        <f aca="false">HYPERLINK("https://pbs.twimg.com/profile_images/541610723689103360/udDDHipP_normal.jpeg","View")</f>
        <v>View</v>
      </c>
      <c r="P837" s="10"/>
    </row>
    <row r="838" customFormat="false" ht="15.75" hidden="false" customHeight="false" outlineLevel="0" collapsed="false">
      <c r="A838" s="6" t="n">
        <v>43029.8738773148</v>
      </c>
      <c r="B838" s="7" t="str">
        <f aca="false">HYPERLINK("https://twitter.com/k650416","@k650416")</f>
        <v>@k650416</v>
      </c>
      <c r="C838" s="8" t="s">
        <v>2307</v>
      </c>
      <c r="D838" s="8" t="s">
        <v>1899</v>
      </c>
      <c r="E838" s="9" t="str">
        <f aca="false">HYPERLINK("https://twitter.com/k650416/status/921948824410529794","921948824410529794")</f>
        <v>921948824410529794</v>
      </c>
      <c r="F838" s="10" t="s">
        <v>177</v>
      </c>
      <c r="G838" s="10" t="n">
        <v>113</v>
      </c>
      <c r="H838" s="10" t="n">
        <v>478</v>
      </c>
      <c r="I838" s="10" t="n">
        <v>11</v>
      </c>
      <c r="J838" s="10" t="n">
        <v>0</v>
      </c>
      <c r="K838" s="10" t="s">
        <v>20</v>
      </c>
      <c r="L838" s="11" t="n">
        <v>40316.8067824074</v>
      </c>
      <c r="M838" s="12"/>
      <c r="N838" s="12"/>
      <c r="O838" s="9" t="str">
        <f aca="false">HYPERLINK("https://abs.twimg.com/sticky/default_profile_images/default_profile_normal.png","View")</f>
        <v>View</v>
      </c>
      <c r="P838" s="10"/>
    </row>
    <row r="839" customFormat="false" ht="15.75" hidden="false" customHeight="false" outlineLevel="0" collapsed="false">
      <c r="A839" s="6" t="n">
        <v>43029.875</v>
      </c>
      <c r="B839" s="7" t="str">
        <f aca="false">HYPERLINK("https://twitter.com/FinancialReview","@FinancialReview")</f>
        <v>@FinancialReview</v>
      </c>
      <c r="C839" s="8" t="s">
        <v>2308</v>
      </c>
      <c r="D839" s="8" t="s">
        <v>2309</v>
      </c>
      <c r="E839" s="9" t="str">
        <f aca="false">HYPERLINK("https://twitter.com/FinancialReview/status/921949231866187776","921949231866187776")</f>
        <v>921949231866187776</v>
      </c>
      <c r="F839" s="10" t="s">
        <v>276</v>
      </c>
      <c r="G839" s="10" t="n">
        <v>258207</v>
      </c>
      <c r="H839" s="10" t="n">
        <v>257</v>
      </c>
      <c r="I839" s="10" t="n">
        <v>3</v>
      </c>
      <c r="J839" s="10" t="n">
        <v>2</v>
      </c>
      <c r="K839" s="10" t="s">
        <v>20</v>
      </c>
      <c r="L839" s="11" t="n">
        <v>39828.7477893518</v>
      </c>
      <c r="M839" s="12" t="s">
        <v>1199</v>
      </c>
      <c r="N839" s="12" t="s">
        <v>2310</v>
      </c>
      <c r="O839" s="9" t="str">
        <f aca="false">HYPERLINK("https://pbs.twimg.com/profile_images/818701236086018050/SlypZOjt_normal.jpg","View")</f>
        <v>View</v>
      </c>
      <c r="P839" s="10"/>
    </row>
    <row r="840" customFormat="false" ht="15.75" hidden="false" customHeight="false" outlineLevel="0" collapsed="false">
      <c r="A840" s="6" t="n">
        <v>43029.876724537</v>
      </c>
      <c r="B840" s="7" t="str">
        <f aca="false">HYPERLINK("https://twitter.com/joemaya164","@joemaya164")</f>
        <v>@joemaya164</v>
      </c>
      <c r="C840" s="8" t="s">
        <v>1717</v>
      </c>
      <c r="D840" s="8" t="s">
        <v>2311</v>
      </c>
      <c r="E840" s="9" t="str">
        <f aca="false">HYPERLINK("https://twitter.com/joemaya164/status/921949856335265792","921949856335265792")</f>
        <v>921949856335265792</v>
      </c>
      <c r="F840" s="9" t="s">
        <v>979</v>
      </c>
      <c r="G840" s="10" t="n">
        <v>411</v>
      </c>
      <c r="H840" s="10" t="n">
        <v>993</v>
      </c>
      <c r="I840" s="10" t="n">
        <v>0</v>
      </c>
      <c r="J840" s="10" t="n">
        <v>0</v>
      </c>
      <c r="K840" s="10" t="s">
        <v>20</v>
      </c>
      <c r="L840" s="11" t="n">
        <v>42550.4024305556</v>
      </c>
      <c r="M840" s="12" t="s">
        <v>526</v>
      </c>
      <c r="N840" s="12" t="s">
        <v>1719</v>
      </c>
      <c r="O840" s="9" t="str">
        <f aca="false">HYPERLINK("https://pbs.twimg.com/profile_images/884050860480835584/F1xYkB9H_normal.jpg","View")</f>
        <v>View</v>
      </c>
      <c r="P840" s="10"/>
    </row>
    <row r="841" customFormat="false" ht="15.75" hidden="false" customHeight="false" outlineLevel="0" collapsed="false">
      <c r="A841" s="6" t="n">
        <v>43029.8767476852</v>
      </c>
      <c r="B841" s="7" t="str">
        <f aca="false">HYPERLINK("https://twitter.com/AnointingLawal","@AnointingLawal")</f>
        <v>@AnointingLawal</v>
      </c>
      <c r="C841" s="8" t="s">
        <v>1720</v>
      </c>
      <c r="D841" s="8" t="s">
        <v>2312</v>
      </c>
      <c r="E841" s="9" t="str">
        <f aca="false">HYPERLINK("https://twitter.com/AnointingLawal/status/921949863541116929","921949863541116929")</f>
        <v>921949863541116929</v>
      </c>
      <c r="F841" s="9" t="s">
        <v>979</v>
      </c>
      <c r="G841" s="10" t="n">
        <v>35</v>
      </c>
      <c r="H841" s="10" t="n">
        <v>165</v>
      </c>
      <c r="I841" s="10" t="n">
        <v>0</v>
      </c>
      <c r="J841" s="10" t="n">
        <v>0</v>
      </c>
      <c r="K841" s="10" t="s">
        <v>20</v>
      </c>
      <c r="L841" s="11" t="n">
        <v>42984.7547916667</v>
      </c>
      <c r="M841" s="12" t="s">
        <v>526</v>
      </c>
      <c r="N841" s="12" t="s">
        <v>1722</v>
      </c>
      <c r="O841" s="9" t="str">
        <f aca="false">HYPERLINK("https://pbs.twimg.com/profile_images/907291839874641920/JjBgrCXj_normal.jpg","View")</f>
        <v>View</v>
      </c>
      <c r="P841" s="10"/>
    </row>
    <row r="842" customFormat="false" ht="15.75" hidden="false" customHeight="false" outlineLevel="0" collapsed="false">
      <c r="A842" s="6" t="n">
        <v>43029.8784490741</v>
      </c>
      <c r="B842" s="7" t="str">
        <f aca="false">HYPERLINK("https://twitter.com/vsarrulmozhy","@vsarrulmozhy")</f>
        <v>@vsarrulmozhy</v>
      </c>
      <c r="C842" s="8" t="s">
        <v>2313</v>
      </c>
      <c r="D842" s="8" t="s">
        <v>2314</v>
      </c>
      <c r="E842" s="9" t="str">
        <f aca="false">HYPERLINK("https://twitter.com/vsarrulmozhy/status/921950483148918784","921950483148918784")</f>
        <v>921950483148918784</v>
      </c>
      <c r="F842" s="10" t="s">
        <v>39</v>
      </c>
      <c r="G842" s="10" t="n">
        <v>653</v>
      </c>
      <c r="H842" s="10" t="n">
        <v>677</v>
      </c>
      <c r="I842" s="10" t="n">
        <v>0</v>
      </c>
      <c r="J842" s="10" t="n">
        <v>0</v>
      </c>
      <c r="K842" s="10" t="s">
        <v>20</v>
      </c>
      <c r="L842" s="11" t="n">
        <v>42797.9590162037</v>
      </c>
      <c r="M842" s="12" t="s">
        <v>2315</v>
      </c>
      <c r="N842" s="12" t="s">
        <v>2316</v>
      </c>
      <c r="O842" s="9" t="str">
        <f aca="false">HYPERLINK("https://pbs.twimg.com/profile_images/892434173943848966/7APY8YFN_normal.jpg","View")</f>
        <v>View</v>
      </c>
      <c r="P842" s="10"/>
    </row>
    <row r="843" customFormat="false" ht="15.75" hidden="false" customHeight="false" outlineLevel="0" collapsed="false">
      <c r="A843" s="6" t="n">
        <v>43029.8787615741</v>
      </c>
      <c r="B843" s="7" t="str">
        <f aca="false">HYPERLINK("https://twitter.com/TedMcdonnell","@TedMcdonnell")</f>
        <v>@TedMcdonnell</v>
      </c>
      <c r="C843" s="8" t="s">
        <v>2317</v>
      </c>
      <c r="D843" s="8" t="s">
        <v>2318</v>
      </c>
      <c r="E843" s="9" t="str">
        <f aca="false">HYPERLINK("https://twitter.com/TedMcdonnell/status/921950594687934464","921950594687934464")</f>
        <v>921950594687934464</v>
      </c>
      <c r="F843" s="10" t="s">
        <v>51</v>
      </c>
      <c r="G843" s="10" t="n">
        <v>12468</v>
      </c>
      <c r="H843" s="10" t="n">
        <v>2105</v>
      </c>
      <c r="I843" s="10" t="n">
        <v>3</v>
      </c>
      <c r="J843" s="10" t="n">
        <v>0</v>
      </c>
      <c r="K843" s="10" t="s">
        <v>20</v>
      </c>
      <c r="L843" s="11" t="n">
        <v>39951.2537037037</v>
      </c>
      <c r="M843" s="12" t="s">
        <v>1039</v>
      </c>
      <c r="N843" s="12" t="s">
        <v>2319</v>
      </c>
      <c r="O843" s="9" t="str">
        <f aca="false">HYPERLINK("https://pbs.twimg.com/profile_images/923420025800687616/JRNSpalP_normal.jpg","View")</f>
        <v>View</v>
      </c>
      <c r="P843" s="10"/>
    </row>
    <row r="844" customFormat="false" ht="15.75" hidden="false" customHeight="false" outlineLevel="0" collapsed="false">
      <c r="A844" s="6" t="n">
        <v>43029.882037037</v>
      </c>
      <c r="B844" s="7" t="str">
        <f aca="false">HYPERLINK("https://twitter.com/FinancialXpress","@FinancialXpress")</f>
        <v>@FinancialXpress</v>
      </c>
      <c r="C844" s="8" t="s">
        <v>2320</v>
      </c>
      <c r="D844" s="8" t="s">
        <v>2321</v>
      </c>
      <c r="E844" s="9" t="str">
        <f aca="false">HYPERLINK("https://twitter.com/FinancialXpress/status/921951782162464768","921951782162464768")</f>
        <v>921951782162464768</v>
      </c>
      <c r="F844" s="10" t="s">
        <v>39</v>
      </c>
      <c r="G844" s="10" t="n">
        <v>385177</v>
      </c>
      <c r="H844" s="10" t="n">
        <v>70</v>
      </c>
      <c r="I844" s="10" t="n">
        <v>0</v>
      </c>
      <c r="J844" s="10" t="n">
        <v>1</v>
      </c>
      <c r="K844" s="10" t="s">
        <v>20</v>
      </c>
      <c r="L844" s="11" t="n">
        <v>39988.187025463</v>
      </c>
      <c r="M844" s="12" t="s">
        <v>64</v>
      </c>
      <c r="N844" s="12" t="s">
        <v>2322</v>
      </c>
      <c r="O844" s="9" t="str">
        <f aca="false">HYPERLINK("https://pbs.twimg.com/profile_images/1195554309/FE-for-Facebook_normal.jpg","View")</f>
        <v>View</v>
      </c>
      <c r="P844" s="10"/>
    </row>
    <row r="845" customFormat="false" ht="15.75" hidden="false" customHeight="false" outlineLevel="0" collapsed="false">
      <c r="A845" s="6" t="n">
        <v>43029.8826388889</v>
      </c>
      <c r="B845" s="7" t="str">
        <f aca="false">HYPERLINK("https://twitter.com/Ritulritul","@Ritulritul")</f>
        <v>@Ritulritul</v>
      </c>
      <c r="C845" s="8" t="s">
        <v>2323</v>
      </c>
      <c r="D845" s="8" t="s">
        <v>2293</v>
      </c>
      <c r="E845" s="9" t="str">
        <f aca="false">HYPERLINK("https://twitter.com/Ritulritul/status/921952001822306305","921952001822306305")</f>
        <v>921952001822306305</v>
      </c>
      <c r="F845" s="10" t="s">
        <v>51</v>
      </c>
      <c r="G845" s="10" t="n">
        <v>142</v>
      </c>
      <c r="H845" s="10" t="n">
        <v>434</v>
      </c>
      <c r="I845" s="10" t="n">
        <v>4</v>
      </c>
      <c r="J845" s="10" t="n">
        <v>0</v>
      </c>
      <c r="K845" s="10" t="s">
        <v>20</v>
      </c>
      <c r="L845" s="11" t="n">
        <v>40822.1766782407</v>
      </c>
      <c r="M845" s="12"/>
      <c r="N845" s="12" t="s">
        <v>2324</v>
      </c>
      <c r="O845" s="9" t="str">
        <f aca="false">HYPERLINK("https://pbs.twimg.com/profile_images/891402273879805953/1mSd8uol_normal.jpg","View")</f>
        <v>View</v>
      </c>
      <c r="P845" s="10"/>
    </row>
    <row r="846" customFormat="false" ht="15.75" hidden="false" customHeight="false" outlineLevel="0" collapsed="false">
      <c r="A846" s="6" t="n">
        <v>43029.8851157407</v>
      </c>
      <c r="B846" s="7" t="str">
        <f aca="false">HYPERLINK("https://twitter.com/seriruan","@seriruan")</f>
        <v>@seriruan</v>
      </c>
      <c r="C846" s="8" t="s">
        <v>2325</v>
      </c>
      <c r="D846" s="8" t="s">
        <v>2015</v>
      </c>
      <c r="E846" s="9" t="str">
        <f aca="false">HYPERLINK("https://twitter.com/seriruan/status/921952897335672833","921952897335672833")</f>
        <v>921952897335672833</v>
      </c>
      <c r="F846" s="10" t="s">
        <v>51</v>
      </c>
      <c r="G846" s="10" t="n">
        <v>1136</v>
      </c>
      <c r="H846" s="10" t="n">
        <v>633</v>
      </c>
      <c r="I846" s="10" t="n">
        <v>6</v>
      </c>
      <c r="J846" s="10" t="n">
        <v>0</v>
      </c>
      <c r="K846" s="10" t="s">
        <v>20</v>
      </c>
      <c r="L846" s="11" t="n">
        <v>40411.3304166667</v>
      </c>
      <c r="M846" s="13" t="s">
        <v>2326</v>
      </c>
      <c r="N846" s="12" t="s">
        <v>2327</v>
      </c>
      <c r="O846" s="9" t="str">
        <f aca="false">HYPERLINK("https://pbs.twimg.com/profile_images/2494095138/0ddc9dsdyav16aehwe5y_normal.jpeg","View")</f>
        <v>View</v>
      </c>
      <c r="P846" s="10"/>
    </row>
    <row r="847" customFormat="false" ht="15.75" hidden="false" customHeight="false" outlineLevel="0" collapsed="false">
      <c r="A847" s="6" t="n">
        <v>43029.8870949074</v>
      </c>
      <c r="B847" s="7" t="str">
        <f aca="false">HYPERLINK("https://twitter.com/Planet_Deb","@Planet_Deb")</f>
        <v>@Planet_Deb</v>
      </c>
      <c r="C847" s="8" t="s">
        <v>2328</v>
      </c>
      <c r="D847" s="8" t="s">
        <v>2329</v>
      </c>
      <c r="E847" s="9" t="str">
        <f aca="false">HYPERLINK("https://twitter.com/Planet_Deb/status/921953615471828992","921953615471828992")</f>
        <v>921953615471828992</v>
      </c>
      <c r="F847" s="10" t="s">
        <v>25</v>
      </c>
      <c r="G847" s="10" t="n">
        <v>148</v>
      </c>
      <c r="H847" s="10" t="n">
        <v>82</v>
      </c>
      <c r="I847" s="10" t="n">
        <v>0</v>
      </c>
      <c r="J847" s="10" t="n">
        <v>0</v>
      </c>
      <c r="K847" s="10" t="s">
        <v>20</v>
      </c>
      <c r="L847" s="11" t="n">
        <v>42602.2856828704</v>
      </c>
      <c r="M847" s="12" t="s">
        <v>68</v>
      </c>
      <c r="N847" s="12" t="s">
        <v>2330</v>
      </c>
      <c r="O847" s="9" t="str">
        <f aca="false">HYPERLINK("https://pbs.twimg.com/profile_images/767018140081369088/gUskxisO_normal.jpg","View")</f>
        <v>View</v>
      </c>
      <c r="P847" s="10"/>
    </row>
    <row r="848" customFormat="false" ht="15.75" hidden="false" customHeight="false" outlineLevel="0" collapsed="false">
      <c r="A848" s="6" t="n">
        <v>43029.8892824074</v>
      </c>
      <c r="B848" s="7" t="str">
        <f aca="false">HYPERLINK("https://twitter.com/WSJAsia","@WSJAsia")</f>
        <v>@WSJAsia</v>
      </c>
      <c r="C848" s="8" t="s">
        <v>2331</v>
      </c>
      <c r="D848" s="8" t="s">
        <v>2332</v>
      </c>
      <c r="E848" s="9" t="str">
        <f aca="false">HYPERLINK("https://twitter.com/WSJAsia/status/921954407738232833","921954407738232833")</f>
        <v>921954407738232833</v>
      </c>
      <c r="F848" s="10" t="s">
        <v>268</v>
      </c>
      <c r="G848" s="10" t="n">
        <v>78343</v>
      </c>
      <c r="H848" s="10" t="n">
        <v>592</v>
      </c>
      <c r="I848" s="10" t="n">
        <v>1</v>
      </c>
      <c r="J848" s="10" t="n">
        <v>2</v>
      </c>
      <c r="K848" s="10" t="s">
        <v>20</v>
      </c>
      <c r="L848" s="11" t="n">
        <v>39904.3932060185</v>
      </c>
      <c r="M848" s="12" t="s">
        <v>2333</v>
      </c>
      <c r="N848" s="12" t="s">
        <v>2334</v>
      </c>
      <c r="O848" s="9" t="str">
        <f aca="false">HYPERLINK("https://pbs.twimg.com/profile_images/460715358765080576/2R12kKHI_normal.png","View")</f>
        <v>View</v>
      </c>
      <c r="P848" s="10"/>
    </row>
    <row r="849" customFormat="false" ht="15.75" hidden="false" customHeight="false" outlineLevel="0" collapsed="false">
      <c r="A849" s="6" t="n">
        <v>43029.8892824074</v>
      </c>
      <c r="B849" s="7" t="str">
        <f aca="false">HYPERLINK("https://twitter.com/WSJ","@WSJ")</f>
        <v>@WSJ</v>
      </c>
      <c r="C849" s="8" t="s">
        <v>2335</v>
      </c>
      <c r="D849" s="8" t="s">
        <v>2336</v>
      </c>
      <c r="E849" s="9" t="str">
        <f aca="false">HYPERLINK("https://twitter.com/WSJ/status/921954407801028608","921954407801028608")</f>
        <v>921954407801028608</v>
      </c>
      <c r="F849" s="10" t="s">
        <v>268</v>
      </c>
      <c r="G849" s="10" t="n">
        <v>15032681</v>
      </c>
      <c r="H849" s="10" t="n">
        <v>1094</v>
      </c>
      <c r="I849" s="10" t="n">
        <v>51</v>
      </c>
      <c r="J849" s="10" t="n">
        <v>71</v>
      </c>
      <c r="K849" s="10" t="s">
        <v>20</v>
      </c>
      <c r="L849" s="11" t="n">
        <v>39172.9737615741</v>
      </c>
      <c r="M849" s="12" t="s">
        <v>491</v>
      </c>
      <c r="N849" s="12" t="s">
        <v>2337</v>
      </c>
      <c r="O849" s="9" t="str">
        <f aca="false">HYPERLINK("https://pbs.twimg.com/profile_images/685113343204585473/jV72Zljq_normal.jpg","View")</f>
        <v>View</v>
      </c>
      <c r="P849" s="10"/>
    </row>
    <row r="850" customFormat="false" ht="15.75" hidden="false" customHeight="false" outlineLevel="0" collapsed="false">
      <c r="A850" s="6" t="n">
        <v>43029.8895717593</v>
      </c>
      <c r="B850" s="7" t="str">
        <f aca="false">HYPERLINK("https://twitter.com/IshaniDg","@IshaniDg")</f>
        <v>@IshaniDg</v>
      </c>
      <c r="C850" s="8" t="s">
        <v>2338</v>
      </c>
      <c r="D850" s="8" t="s">
        <v>2339</v>
      </c>
      <c r="E850" s="9" t="str">
        <f aca="false">HYPERLINK("https://twitter.com/IshaniDg/status/921954513124179968","921954513124179968")</f>
        <v>921954513124179968</v>
      </c>
      <c r="F850" s="10" t="s">
        <v>51</v>
      </c>
      <c r="G850" s="10" t="n">
        <v>1168</v>
      </c>
      <c r="H850" s="10" t="n">
        <v>2221</v>
      </c>
      <c r="I850" s="10" t="n">
        <v>51</v>
      </c>
      <c r="J850" s="10" t="n">
        <v>0</v>
      </c>
      <c r="K850" s="10" t="s">
        <v>20</v>
      </c>
      <c r="L850" s="11" t="n">
        <v>40887.0230324074</v>
      </c>
      <c r="M850" s="12" t="s">
        <v>2340</v>
      </c>
      <c r="N850" s="12" t="s">
        <v>2341</v>
      </c>
      <c r="O850" s="9" t="str">
        <f aca="false">HYPERLINK("https://pbs.twimg.com/profile_images/521368241533251584/lSMqqIjG_normal.jpeg","View")</f>
        <v>View</v>
      </c>
      <c r="P850" s="10"/>
    </row>
    <row r="851" customFormat="false" ht="15.75" hidden="false" customHeight="false" outlineLevel="0" collapsed="false">
      <c r="A851" s="6" t="n">
        <v>43029.8896527778</v>
      </c>
      <c r="B851" s="7" t="str">
        <f aca="false">HYPERLINK("https://twitter.com/searcherJ","@searcherJ")</f>
        <v>@searcherJ</v>
      </c>
      <c r="C851" s="8" t="s">
        <v>2342</v>
      </c>
      <c r="D851" s="8" t="s">
        <v>2339</v>
      </c>
      <c r="E851" s="9" t="str">
        <f aca="false">HYPERLINK("https://twitter.com/searcherJ/status/921954541926465536","921954541926465536")</f>
        <v>921954541926465536</v>
      </c>
      <c r="F851" s="10" t="s">
        <v>51</v>
      </c>
      <c r="G851" s="10" t="n">
        <v>4944</v>
      </c>
      <c r="H851" s="10" t="n">
        <v>588</v>
      </c>
      <c r="I851" s="10" t="n">
        <v>51</v>
      </c>
      <c r="J851" s="10" t="n">
        <v>0</v>
      </c>
      <c r="K851" s="10" t="s">
        <v>20</v>
      </c>
      <c r="L851" s="11" t="n">
        <v>40028.9526041667</v>
      </c>
      <c r="M851" s="12" t="s">
        <v>2343</v>
      </c>
      <c r="N851" s="12" t="s">
        <v>730</v>
      </c>
      <c r="O851" s="9" t="str">
        <f aca="false">HYPERLINK("https://pbs.twimg.com/profile_images/884051580747632640/VNaNI3Aw_normal.jpg","View")</f>
        <v>View</v>
      </c>
      <c r="P851" s="10"/>
    </row>
    <row r="852" customFormat="false" ht="15.75" hidden="false" customHeight="false" outlineLevel="0" collapsed="false">
      <c r="A852" s="6" t="n">
        <v>43029.8896643519</v>
      </c>
      <c r="B852" s="7" t="str">
        <f aca="false">HYPERLINK("https://twitter.com/SHIROKUMA86","@SHIROKUMA86")</f>
        <v>@SHIROKUMA86</v>
      </c>
      <c r="C852" s="14" t="s">
        <v>2344</v>
      </c>
      <c r="D852" s="8" t="s">
        <v>2339</v>
      </c>
      <c r="E852" s="9" t="str">
        <f aca="false">HYPERLINK("https://twitter.com/SHIROKUMA86/status/921954543914467329","921954543914467329")</f>
        <v>921954543914467329</v>
      </c>
      <c r="F852" s="10" t="s">
        <v>25</v>
      </c>
      <c r="G852" s="10" t="n">
        <v>355</v>
      </c>
      <c r="H852" s="10" t="n">
        <v>728</v>
      </c>
      <c r="I852" s="10" t="n">
        <v>51</v>
      </c>
      <c r="J852" s="10" t="n">
        <v>0</v>
      </c>
      <c r="K852" s="10" t="s">
        <v>20</v>
      </c>
      <c r="L852" s="11" t="n">
        <v>40395.7743402778</v>
      </c>
      <c r="M852" s="12" t="s">
        <v>2345</v>
      </c>
      <c r="N852" s="12" t="s">
        <v>2346</v>
      </c>
      <c r="O852" s="9" t="str">
        <f aca="false">HYPERLINK("https://pbs.twimg.com/profile_images/804172641850441730/dzU43uSU_normal.jpg","View")</f>
        <v>View</v>
      </c>
      <c r="P852" s="10"/>
    </row>
    <row r="853" customFormat="false" ht="15.75" hidden="false" customHeight="false" outlineLevel="0" collapsed="false">
      <c r="A853" s="6" t="n">
        <v>43029.8896875</v>
      </c>
      <c r="B853" s="7" t="str">
        <f aca="false">HYPERLINK("https://twitter.com/walidmrealtor","@walidmrealtor")</f>
        <v>@walidmrealtor</v>
      </c>
      <c r="C853" s="8" t="s">
        <v>2347</v>
      </c>
      <c r="D853" s="8" t="s">
        <v>2339</v>
      </c>
      <c r="E853" s="9" t="str">
        <f aca="false">HYPERLINK("https://twitter.com/walidmrealtor/status/921954554786209792","921954554786209792")</f>
        <v>921954554786209792</v>
      </c>
      <c r="F853" s="9" t="s">
        <v>1147</v>
      </c>
      <c r="G853" s="10" t="n">
        <v>38669</v>
      </c>
      <c r="H853" s="10" t="n">
        <v>993</v>
      </c>
      <c r="I853" s="10" t="n">
        <v>51</v>
      </c>
      <c r="J853" s="10" t="n">
        <v>0</v>
      </c>
      <c r="K853" s="10" t="s">
        <v>20</v>
      </c>
      <c r="L853" s="11" t="n">
        <v>39825.5107291667</v>
      </c>
      <c r="M853" s="12" t="s">
        <v>2348</v>
      </c>
      <c r="N853" s="12" t="s">
        <v>2349</v>
      </c>
      <c r="O853" s="9" t="str">
        <f aca="false">HYPERLINK("https://pbs.twimg.com/profile_images/784868625681379328/cJrVjf1q_normal.jpg","View")</f>
        <v>View</v>
      </c>
      <c r="P853" s="10"/>
    </row>
    <row r="854" customFormat="false" ht="15.75" hidden="false" customHeight="false" outlineLevel="0" collapsed="false">
      <c r="A854" s="6" t="n">
        <v>43029.8897453704</v>
      </c>
      <c r="B854" s="7" t="str">
        <f aca="false">HYPERLINK("https://twitter.com/serge_poznanski","@serge_poznanski")</f>
        <v>@serge_poznanski</v>
      </c>
      <c r="C854" s="8" t="s">
        <v>212</v>
      </c>
      <c r="D854" s="8" t="s">
        <v>2350</v>
      </c>
      <c r="E854" s="9" t="str">
        <f aca="false">HYPERLINK("https://twitter.com/serge_poznanski/status/921954577393610752","921954577393610752")</f>
        <v>921954577393610752</v>
      </c>
      <c r="F854" s="10" t="s">
        <v>60</v>
      </c>
      <c r="G854" s="10" t="n">
        <v>1424</v>
      </c>
      <c r="H854" s="10" t="n">
        <v>2136</v>
      </c>
      <c r="I854" s="10" t="n">
        <v>0</v>
      </c>
      <c r="J854" s="10" t="n">
        <v>0</v>
      </c>
      <c r="K854" s="10" t="s">
        <v>20</v>
      </c>
      <c r="L854" s="11" t="n">
        <v>42271.4744560185</v>
      </c>
      <c r="M854" s="12"/>
      <c r="N854" s="12"/>
      <c r="O854" s="9" t="str">
        <f aca="false">HYPERLINK("https://pbs.twimg.com/profile_images/647277253240291328/3GezjFCJ_normal.jpg","View")</f>
        <v>View</v>
      </c>
      <c r="P854" s="10"/>
    </row>
    <row r="855" customFormat="false" ht="15.75" hidden="false" customHeight="false" outlineLevel="0" collapsed="false">
      <c r="A855" s="6" t="n">
        <v>43029.8907060185</v>
      </c>
      <c r="B855" s="7" t="str">
        <f aca="false">HYPERLINK("https://twitter.com/ubu369","@ubu369")</f>
        <v>@ubu369</v>
      </c>
      <c r="C855" s="8" t="s">
        <v>2351</v>
      </c>
      <c r="D855" s="8" t="s">
        <v>2339</v>
      </c>
      <c r="E855" s="9" t="str">
        <f aca="false">HYPERLINK("https://twitter.com/ubu369/status/921954924086173696","921954924086173696")</f>
        <v>921954924086173696</v>
      </c>
      <c r="F855" s="10" t="s">
        <v>51</v>
      </c>
      <c r="G855" s="10" t="n">
        <v>1209</v>
      </c>
      <c r="H855" s="10" t="n">
        <v>209</v>
      </c>
      <c r="I855" s="10" t="n">
        <v>51</v>
      </c>
      <c r="J855" s="10" t="n">
        <v>0</v>
      </c>
      <c r="K855" s="10" t="s">
        <v>20</v>
      </c>
      <c r="L855" s="11" t="n">
        <v>39445.2021643519</v>
      </c>
      <c r="M855" s="12" t="s">
        <v>2352</v>
      </c>
      <c r="N855" s="12" t="s">
        <v>2353</v>
      </c>
      <c r="O855" s="9" t="str">
        <f aca="false">HYPERLINK("https://pbs.twimg.com/profile_images/894474491857850369/9LKOrbyS_normal.jpg","View")</f>
        <v>View</v>
      </c>
      <c r="P855" s="10"/>
    </row>
    <row r="856" customFormat="false" ht="15.75" hidden="false" customHeight="false" outlineLevel="0" collapsed="false">
      <c r="A856" s="6" t="n">
        <v>43029.891099537</v>
      </c>
      <c r="B856" s="7" t="str">
        <f aca="false">HYPERLINK("https://twitter.com/jackfpaylor","@jackfpaylor")</f>
        <v>@jackfpaylor</v>
      </c>
      <c r="C856" s="8" t="s">
        <v>2354</v>
      </c>
      <c r="D856" s="8" t="s">
        <v>2355</v>
      </c>
      <c r="E856" s="9" t="str">
        <f aca="false">HYPERLINK("https://twitter.com/jackfpaylor/status/921955067976183808","921955067976183808")</f>
        <v>921955067976183808</v>
      </c>
      <c r="F856" s="10" t="s">
        <v>60</v>
      </c>
      <c r="G856" s="10" t="n">
        <v>4578</v>
      </c>
      <c r="H856" s="10" t="n">
        <v>4996</v>
      </c>
      <c r="I856" s="10" t="n">
        <v>0</v>
      </c>
      <c r="J856" s="10" t="n">
        <v>0</v>
      </c>
      <c r="K856" s="10" t="s">
        <v>20</v>
      </c>
      <c r="L856" s="11" t="n">
        <v>42880.7746180556</v>
      </c>
      <c r="M856" s="12" t="s">
        <v>2356</v>
      </c>
      <c r="N856" s="12" t="s">
        <v>2357</v>
      </c>
      <c r="O856" s="9" t="str">
        <f aca="false">HYPERLINK("https://pbs.twimg.com/profile_images/911761399902334976/emBMaAAb_normal.jpg","View")</f>
        <v>View</v>
      </c>
      <c r="P856" s="10"/>
    </row>
    <row r="857" customFormat="false" ht="15.75" hidden="false" customHeight="false" outlineLevel="0" collapsed="false">
      <c r="A857" s="6" t="n">
        <v>43029.8911921296</v>
      </c>
      <c r="B857" s="7" t="str">
        <f aca="false">HYPERLINK("https://twitter.com/salqahtani1111","@salqahtani1111")</f>
        <v>@salqahtani1111</v>
      </c>
      <c r="C857" s="8" t="s">
        <v>2358</v>
      </c>
      <c r="D857" s="8" t="s">
        <v>2359</v>
      </c>
      <c r="E857" s="9" t="str">
        <f aca="false">HYPERLINK("https://twitter.com/salqahtani1111/status/921955097625669632","921955097625669632")</f>
        <v>921955097625669632</v>
      </c>
      <c r="F857" s="10" t="s">
        <v>60</v>
      </c>
      <c r="G857" s="10" t="n">
        <v>80</v>
      </c>
      <c r="H857" s="10" t="n">
        <v>355</v>
      </c>
      <c r="I857" s="10" t="n">
        <v>0</v>
      </c>
      <c r="J857" s="10" t="n">
        <v>0</v>
      </c>
      <c r="K857" s="10" t="s">
        <v>20</v>
      </c>
      <c r="L857" s="11" t="n">
        <v>42389.4186805556</v>
      </c>
      <c r="M857" s="12" t="s">
        <v>2360</v>
      </c>
      <c r="N857" s="12" t="s">
        <v>2361</v>
      </c>
      <c r="O857" s="9" t="str">
        <f aca="false">HYPERLINK("https://pbs.twimg.com/profile_images/862802411659952129/c6waLNgv_normal.jpg","View")</f>
        <v>View</v>
      </c>
      <c r="P857" s="10"/>
    </row>
    <row r="858" customFormat="false" ht="15.75" hidden="false" customHeight="false" outlineLevel="0" collapsed="false">
      <c r="A858" s="6" t="n">
        <v>43029.8913888889</v>
      </c>
      <c r="B858" s="7" t="str">
        <f aca="false">HYPERLINK("https://twitter.com/CaptBitcoin","@CaptBitcoin")</f>
        <v>@CaptBitcoin</v>
      </c>
      <c r="C858" s="8" t="s">
        <v>2362</v>
      </c>
      <c r="D858" s="8" t="s">
        <v>2339</v>
      </c>
      <c r="E858" s="9" t="str">
        <f aca="false">HYPERLINK("https://twitter.com/CaptBitcoin/status/921955171369930752","921955171369930752")</f>
        <v>921955171369930752</v>
      </c>
      <c r="F858" s="10" t="s">
        <v>98</v>
      </c>
      <c r="G858" s="10" t="n">
        <v>646</v>
      </c>
      <c r="H858" s="10" t="n">
        <v>518</v>
      </c>
      <c r="I858" s="10" t="n">
        <v>51</v>
      </c>
      <c r="J858" s="10" t="n">
        <v>0</v>
      </c>
      <c r="K858" s="10" t="s">
        <v>20</v>
      </c>
      <c r="L858" s="11" t="n">
        <v>42430.4185185185</v>
      </c>
      <c r="M858" s="12"/>
      <c r="N858" s="12" t="s">
        <v>2363</v>
      </c>
      <c r="O858" s="9" t="str">
        <f aca="false">HYPERLINK("https://pbs.twimg.com/profile_images/707033416772878336/4HNAvsym_normal.jpg","View")</f>
        <v>View</v>
      </c>
      <c r="P858" s="10"/>
    </row>
    <row r="859" customFormat="false" ht="15.75" hidden="false" customHeight="false" outlineLevel="0" collapsed="false">
      <c r="A859" s="6" t="n">
        <v>43029.8915856482</v>
      </c>
      <c r="B859" s="7" t="str">
        <f aca="false">HYPERLINK("https://twitter.com/mbashees","@mbashees")</f>
        <v>@mbashees</v>
      </c>
      <c r="C859" s="8" t="s">
        <v>2342</v>
      </c>
      <c r="D859" s="8" t="s">
        <v>2339</v>
      </c>
      <c r="E859" s="9" t="str">
        <f aca="false">HYPERLINK("https://twitter.com/mbashees/status/921955242974912513","921955242974912513")</f>
        <v>921955242974912513</v>
      </c>
      <c r="F859" s="10" t="s">
        <v>51</v>
      </c>
      <c r="G859" s="10" t="n">
        <v>3094</v>
      </c>
      <c r="H859" s="10" t="n">
        <v>741</v>
      </c>
      <c r="I859" s="10" t="n">
        <v>51</v>
      </c>
      <c r="J859" s="10" t="n">
        <v>0</v>
      </c>
      <c r="K859" s="10" t="s">
        <v>20</v>
      </c>
      <c r="L859" s="11" t="n">
        <v>40409.8122569445</v>
      </c>
      <c r="M859" s="12" t="s">
        <v>2364</v>
      </c>
      <c r="N859" s="12" t="s">
        <v>2365</v>
      </c>
      <c r="O859" s="9" t="str">
        <f aca="false">HYPERLINK("https://pbs.twimg.com/profile_images/914164267435175937/UC-rsfyz_normal.jpg","View")</f>
        <v>View</v>
      </c>
      <c r="P859" s="10"/>
    </row>
    <row r="860" customFormat="false" ht="15.75" hidden="false" customHeight="false" outlineLevel="0" collapsed="false">
      <c r="A860" s="6" t="n">
        <v>43029.8918518519</v>
      </c>
      <c r="B860" s="7" t="str">
        <f aca="false">HYPERLINK("https://twitter.com/KarloMdz","@KarloMdz")</f>
        <v>@KarloMdz</v>
      </c>
      <c r="C860" s="8" t="s">
        <v>1011</v>
      </c>
      <c r="D860" s="8" t="s">
        <v>2366</v>
      </c>
      <c r="E860" s="9" t="str">
        <f aca="false">HYPERLINK("https://twitter.com/KarloMdz/status/921955338508697601","921955338508697601")</f>
        <v>921955338508697601</v>
      </c>
      <c r="F860" s="10" t="s">
        <v>60</v>
      </c>
      <c r="G860" s="10" t="n">
        <v>311</v>
      </c>
      <c r="H860" s="10" t="n">
        <v>137</v>
      </c>
      <c r="I860" s="10" t="n">
        <v>0</v>
      </c>
      <c r="J860" s="10" t="n">
        <v>0</v>
      </c>
      <c r="K860" s="10" t="s">
        <v>20</v>
      </c>
      <c r="L860" s="11" t="n">
        <v>42132.3644212963</v>
      </c>
      <c r="M860" s="12" t="s">
        <v>1013</v>
      </c>
      <c r="N860" s="12" t="s">
        <v>1014</v>
      </c>
      <c r="O860" s="9" t="str">
        <f aca="false">HYPERLINK("https://pbs.twimg.com/profile_images/830713335117127680/Q5qrinGt_normal.jpg","View")</f>
        <v>View</v>
      </c>
      <c r="P860" s="10"/>
    </row>
    <row r="861" customFormat="false" ht="15.75" hidden="false" customHeight="false" outlineLevel="0" collapsed="false">
      <c r="A861" s="6" t="n">
        <v>43029.8918518519</v>
      </c>
      <c r="B861" s="7" t="str">
        <f aca="false">HYPERLINK("https://twitter.com/thouautumn","@thouautumn")</f>
        <v>@thouautumn</v>
      </c>
      <c r="C861" s="8" t="s">
        <v>2367</v>
      </c>
      <c r="D861" s="8" t="s">
        <v>2339</v>
      </c>
      <c r="E861" s="9" t="str">
        <f aca="false">HYPERLINK("https://twitter.com/thouautumn/status/921955339745947648","921955339745947648")</f>
        <v>921955339745947648</v>
      </c>
      <c r="F861" s="10" t="s">
        <v>39</v>
      </c>
      <c r="G861" s="10" t="n">
        <v>2932</v>
      </c>
      <c r="H861" s="10" t="n">
        <v>2487</v>
      </c>
      <c r="I861" s="10" t="n">
        <v>51</v>
      </c>
      <c r="J861" s="10" t="n">
        <v>0</v>
      </c>
      <c r="K861" s="10" t="s">
        <v>20</v>
      </c>
      <c r="L861" s="11" t="n">
        <v>40614.9462615741</v>
      </c>
      <c r="M861" s="12"/>
      <c r="N861" s="13" t="s">
        <v>2368</v>
      </c>
      <c r="O861" s="9" t="str">
        <f aca="false">HYPERLINK("https://pbs.twimg.com/profile_images/2338616423/pkgqlfbeisrk4a1fgh6z_normal.png","View")</f>
        <v>View</v>
      </c>
      <c r="P861" s="10"/>
    </row>
    <row r="862" customFormat="false" ht="15.75" hidden="false" customHeight="false" outlineLevel="0" collapsed="false">
      <c r="A862" s="6" t="n">
        <v>43029.8920833333</v>
      </c>
      <c r="B862" s="7" t="str">
        <f aca="false">HYPERLINK("https://twitter.com/lucrjviola","@lucrjviola")</f>
        <v>@lucrjviola</v>
      </c>
      <c r="C862" s="8" t="s">
        <v>2369</v>
      </c>
      <c r="D862" s="8" t="s">
        <v>2339</v>
      </c>
      <c r="E862" s="9" t="str">
        <f aca="false">HYPERLINK("https://twitter.com/lucrjviola/status/921955422457815040","921955422457815040")</f>
        <v>921955422457815040</v>
      </c>
      <c r="F862" s="10" t="s">
        <v>51</v>
      </c>
      <c r="G862" s="10" t="n">
        <v>2835</v>
      </c>
      <c r="H862" s="10" t="n">
        <v>2541</v>
      </c>
      <c r="I862" s="10" t="n">
        <v>51</v>
      </c>
      <c r="J862" s="10" t="n">
        <v>0</v>
      </c>
      <c r="K862" s="10" t="s">
        <v>20</v>
      </c>
      <c r="L862" s="11" t="n">
        <v>39924.4885648148</v>
      </c>
      <c r="M862" s="12"/>
      <c r="N862" s="12" t="s">
        <v>2370</v>
      </c>
      <c r="O862" s="9" t="str">
        <f aca="false">HYPERLINK("https://pbs.twimg.com/profile_images/776156636813615108/zHvqTJ5g_normal.jpg","View")</f>
        <v>View</v>
      </c>
      <c r="P862" s="10"/>
    </row>
    <row r="863" customFormat="false" ht="15.75" hidden="false" customHeight="false" outlineLevel="0" collapsed="false">
      <c r="A863" s="6" t="n">
        <v>43029.8921875</v>
      </c>
      <c r="B863" s="7" t="str">
        <f aca="false">HYPERLINK("https://twitter.com/AshaGomez_","@AshaGomez_")</f>
        <v>@AshaGomez_</v>
      </c>
      <c r="C863" s="8" t="s">
        <v>2371</v>
      </c>
      <c r="D863" s="8" t="s">
        <v>2339</v>
      </c>
      <c r="E863" s="9" t="str">
        <f aca="false">HYPERLINK("https://twitter.com/AshaGomez_/status/921955459225063424","921955459225063424")</f>
        <v>921955459225063424</v>
      </c>
      <c r="F863" s="10" t="s">
        <v>98</v>
      </c>
      <c r="G863" s="10" t="n">
        <v>296</v>
      </c>
      <c r="H863" s="10" t="n">
        <v>1402</v>
      </c>
      <c r="I863" s="10" t="n">
        <v>51</v>
      </c>
      <c r="J863" s="10" t="n">
        <v>0</v>
      </c>
      <c r="K863" s="10" t="s">
        <v>20</v>
      </c>
      <c r="L863" s="11" t="n">
        <v>42878.5163888889</v>
      </c>
      <c r="M863" s="12"/>
      <c r="N863" s="12" t="s">
        <v>2372</v>
      </c>
      <c r="O863" s="9" t="str">
        <f aca="false">HYPERLINK("https://pbs.twimg.com/profile_images/904418035250974721/dgFnJxyX_normal.jpg","View")</f>
        <v>View</v>
      </c>
      <c r="P863" s="10"/>
    </row>
    <row r="864" customFormat="false" ht="15.75" hidden="false" customHeight="false" outlineLevel="0" collapsed="false">
      <c r="A864" s="6" t="n">
        <v>43029.8923842593</v>
      </c>
      <c r="B864" s="7" t="str">
        <f aca="false">HYPERLINK("https://twitter.com/wayneewald6","@wayneewald6")</f>
        <v>@wayneewald6</v>
      </c>
      <c r="C864" s="8" t="s">
        <v>2373</v>
      </c>
      <c r="D864" s="8" t="s">
        <v>2339</v>
      </c>
      <c r="E864" s="9" t="str">
        <f aca="false">HYPERLINK("https://twitter.com/wayneewald6/status/921955533174779905","921955533174779905")</f>
        <v>921955533174779905</v>
      </c>
      <c r="F864" s="10" t="s">
        <v>39</v>
      </c>
      <c r="G864" s="10" t="n">
        <v>73</v>
      </c>
      <c r="H864" s="10" t="n">
        <v>597</v>
      </c>
      <c r="I864" s="10" t="n">
        <v>51</v>
      </c>
      <c r="J864" s="10" t="n">
        <v>0</v>
      </c>
      <c r="K864" s="10" t="s">
        <v>20</v>
      </c>
      <c r="L864" s="11" t="n">
        <v>42939.3914351852</v>
      </c>
      <c r="M864" s="12"/>
      <c r="N864" s="12"/>
      <c r="O864" s="9" t="str">
        <f aca="false">HYPERLINK("https://pbs.twimg.com/profile_images/889177641814773761/bEhhrzH7_normal.jpg","View")</f>
        <v>View</v>
      </c>
      <c r="P864" s="10"/>
    </row>
    <row r="865" customFormat="false" ht="15.75" hidden="false" customHeight="false" outlineLevel="0" collapsed="false">
      <c r="A865" s="6" t="n">
        <v>43029.8923958333</v>
      </c>
      <c r="B865" s="7" t="str">
        <f aca="false">HYPERLINK("https://twitter.com/feedbackoptions","@feedbackoptions")</f>
        <v>@feedbackoptions</v>
      </c>
      <c r="C865" s="8" t="s">
        <v>2374</v>
      </c>
      <c r="D865" s="8" t="s">
        <v>2339</v>
      </c>
      <c r="E865" s="9" t="str">
        <f aca="false">HYPERLINK("https://twitter.com/feedbackoptions/status/921955537188802560","921955537188802560")</f>
        <v>921955537188802560</v>
      </c>
      <c r="F865" s="10" t="s">
        <v>51</v>
      </c>
      <c r="G865" s="10" t="n">
        <v>59</v>
      </c>
      <c r="H865" s="10" t="n">
        <v>276</v>
      </c>
      <c r="I865" s="10" t="n">
        <v>51</v>
      </c>
      <c r="J865" s="10" t="n">
        <v>0</v>
      </c>
      <c r="K865" s="10" t="s">
        <v>20</v>
      </c>
      <c r="L865" s="11" t="n">
        <v>42925.2414699074</v>
      </c>
      <c r="M865" s="12"/>
      <c r="N865" s="12"/>
      <c r="O865" s="9" t="str">
        <f aca="false">HYPERLINK("https://pbs.twimg.com/profile_images/884927071037902848/4NrU-v7r_normal.jpg","View")</f>
        <v>View</v>
      </c>
      <c r="P865" s="10"/>
    </row>
    <row r="866" customFormat="false" ht="15.75" hidden="false" customHeight="false" outlineLevel="0" collapsed="false">
      <c r="A866" s="6" t="n">
        <v>43029.8924074074</v>
      </c>
      <c r="B866" s="7" t="str">
        <f aca="false">HYPERLINK("https://twitter.com/wsj_once","@wsj_once")</f>
        <v>@wsj_once</v>
      </c>
      <c r="C866" s="8" t="s">
        <v>2375</v>
      </c>
      <c r="D866" s="8" t="s">
        <v>2339</v>
      </c>
      <c r="E866" s="9" t="str">
        <f aca="false">HYPERLINK("https://twitter.com/wsj_once/status/921955538711252992","921955538711252992")</f>
        <v>921955538711252992</v>
      </c>
      <c r="F866" s="10" t="s">
        <v>737</v>
      </c>
      <c r="G866" s="10" t="n">
        <v>68</v>
      </c>
      <c r="H866" s="10" t="n">
        <v>0</v>
      </c>
      <c r="I866" s="10" t="n">
        <v>51</v>
      </c>
      <c r="J866" s="10" t="n">
        <v>0</v>
      </c>
      <c r="K866" s="10" t="s">
        <v>20</v>
      </c>
      <c r="L866" s="11" t="n">
        <v>42758.8956018519</v>
      </c>
      <c r="M866" s="12"/>
      <c r="N866" s="12" t="s">
        <v>2376</v>
      </c>
      <c r="O866" s="9" t="str">
        <f aca="false">HYPERLINK("https://pbs.twimg.com/profile_images/823940129786134528/unGg-KRZ_normal.jpg","View")</f>
        <v>View</v>
      </c>
      <c r="P866" s="10"/>
    </row>
    <row r="867" customFormat="false" ht="15.75" hidden="false" customHeight="false" outlineLevel="0" collapsed="false">
      <c r="A867" s="6" t="n">
        <v>43029.8926041667</v>
      </c>
      <c r="B867" s="7" t="str">
        <f aca="false">HYPERLINK("https://twitter.com/mlnangalama","@mlnangalama")</f>
        <v>@mlnangalama</v>
      </c>
      <c r="C867" s="8" t="s">
        <v>255</v>
      </c>
      <c r="D867" s="8" t="s">
        <v>2377</v>
      </c>
      <c r="E867" s="9" t="str">
        <f aca="false">HYPERLINK("https://twitter.com/mlnangalama/status/921955613235712000","921955613235712000")</f>
        <v>921955613235712000</v>
      </c>
      <c r="F867" s="10" t="s">
        <v>60</v>
      </c>
      <c r="G867" s="10" t="n">
        <v>2370</v>
      </c>
      <c r="H867" s="10" t="n">
        <v>1584</v>
      </c>
      <c r="I867" s="10" t="n">
        <v>0</v>
      </c>
      <c r="J867" s="10" t="n">
        <v>0</v>
      </c>
      <c r="K867" s="10" t="s">
        <v>20</v>
      </c>
      <c r="L867" s="11" t="n">
        <v>41041.5437847222</v>
      </c>
      <c r="M867" s="12" t="s">
        <v>257</v>
      </c>
      <c r="N867" s="12" t="s">
        <v>258</v>
      </c>
      <c r="O867" s="9" t="str">
        <f aca="false">HYPERLINK("https://pbs.twimg.com/profile_images/900915882444173313/biUHzvpx_normal.jpg","View")</f>
        <v>View</v>
      </c>
      <c r="P867" s="10"/>
    </row>
    <row r="868" customFormat="false" ht="15.75" hidden="false" customHeight="false" outlineLevel="0" collapsed="false">
      <c r="A868" s="6" t="n">
        <v>43029.8936574074</v>
      </c>
      <c r="B868" s="7" t="str">
        <f aca="false">HYPERLINK("https://twitter.com/conejitonoel","@conejitonoel")</f>
        <v>@conejitonoel</v>
      </c>
      <c r="C868" s="8" t="s">
        <v>2378</v>
      </c>
      <c r="D868" s="8" t="s">
        <v>2018</v>
      </c>
      <c r="E868" s="9" t="str">
        <f aca="false">HYPERLINK("https://twitter.com/conejitonoel/status/921955993218453504","921955993218453504")</f>
        <v>921955993218453504</v>
      </c>
      <c r="F868" s="10" t="s">
        <v>51</v>
      </c>
      <c r="G868" s="10" t="n">
        <v>679</v>
      </c>
      <c r="H868" s="10" t="n">
        <v>96</v>
      </c>
      <c r="I868" s="10" t="n">
        <v>19</v>
      </c>
      <c r="J868" s="10" t="n">
        <v>0</v>
      </c>
      <c r="K868" s="10" t="s">
        <v>20</v>
      </c>
      <c r="L868" s="11" t="n">
        <v>40723.1965277778</v>
      </c>
      <c r="M868" s="12" t="s">
        <v>574</v>
      </c>
      <c r="N868" s="13" t="s">
        <v>2379</v>
      </c>
      <c r="O868" s="9" t="str">
        <f aca="false">HYPERLINK("https://pbs.twimg.com/profile_images/894728723680829440/dsPrCOvM_normal.jpg","View")</f>
        <v>View</v>
      </c>
      <c r="P868" s="10"/>
    </row>
    <row r="869" customFormat="false" ht="15.75" hidden="false" customHeight="false" outlineLevel="0" collapsed="false">
      <c r="A869" s="6" t="n">
        <v>43029.8937847222</v>
      </c>
      <c r="B869" s="7" t="str">
        <f aca="false">HYPERLINK("https://twitter.com/Le_cristal1","@Le_cristal1")</f>
        <v>@Le_cristal1</v>
      </c>
      <c r="C869" s="8" t="s">
        <v>2380</v>
      </c>
      <c r="D869" s="8" t="s">
        <v>2381</v>
      </c>
      <c r="E869" s="9" t="str">
        <f aca="false">HYPERLINK("https://twitter.com/Le_cristal1/status/921956038139453440","921956038139453440")</f>
        <v>921956038139453440</v>
      </c>
      <c r="F869" s="10" t="s">
        <v>51</v>
      </c>
      <c r="G869" s="10" t="n">
        <v>119</v>
      </c>
      <c r="H869" s="10" t="n">
        <v>288</v>
      </c>
      <c r="I869" s="10" t="n">
        <v>1</v>
      </c>
      <c r="J869" s="10" t="n">
        <v>0</v>
      </c>
      <c r="K869" s="10" t="s">
        <v>20</v>
      </c>
      <c r="L869" s="11" t="n">
        <v>41259.1764699074</v>
      </c>
      <c r="M869" s="12"/>
      <c r="N869" s="12" t="s">
        <v>2382</v>
      </c>
      <c r="O869" s="9" t="str">
        <f aca="false">HYPERLINK("https://pbs.twimg.com/profile_images/668642852910436352/loJ9_bkt_normal.png","View")</f>
        <v>View</v>
      </c>
      <c r="P869" s="10"/>
    </row>
    <row r="870" customFormat="false" ht="15.75" hidden="false" customHeight="false" outlineLevel="0" collapsed="false">
      <c r="A870" s="6" t="n">
        <v>43029.8937847222</v>
      </c>
      <c r="B870" s="7" t="str">
        <f aca="false">HYPERLINK("https://twitter.com/Bullish","@Bullish")</f>
        <v>@Bullish</v>
      </c>
      <c r="C870" s="8" t="s">
        <v>223</v>
      </c>
      <c r="D870" s="8" t="s">
        <v>2383</v>
      </c>
      <c r="E870" s="9" t="str">
        <f aca="false">HYPERLINK("https://twitter.com/Bullish/status/921956040974925825","921956040974925825")</f>
        <v>921956040974925825</v>
      </c>
      <c r="F870" s="10" t="s">
        <v>60</v>
      </c>
      <c r="G870" s="10" t="n">
        <v>184</v>
      </c>
      <c r="H870" s="10" t="n">
        <v>87</v>
      </c>
      <c r="I870" s="10" t="n">
        <v>0</v>
      </c>
      <c r="J870" s="10" t="n">
        <v>1</v>
      </c>
      <c r="K870" s="10" t="s">
        <v>20</v>
      </c>
      <c r="L870" s="11" t="n">
        <v>42618.7530439815</v>
      </c>
      <c r="M870" s="12"/>
      <c r="N870" s="12"/>
      <c r="O870" s="9" t="str">
        <f aca="false">HYPERLINK("https://pbs.twimg.com/profile_images/798692093736599552/UikI9dNE_normal.jpg","View")</f>
        <v>View</v>
      </c>
      <c r="P870" s="10"/>
    </row>
    <row r="871" customFormat="false" ht="15.75" hidden="false" customHeight="false" outlineLevel="0" collapsed="false">
      <c r="A871" s="6" t="n">
        <v>43029.8939699074</v>
      </c>
      <c r="B871" s="7" t="str">
        <f aca="false">HYPERLINK("https://twitter.com/livechannelfeed","@livechannelfeed")</f>
        <v>@livechannelfeed</v>
      </c>
      <c r="C871" s="8" t="s">
        <v>2384</v>
      </c>
      <c r="D871" s="8" t="s">
        <v>2385</v>
      </c>
      <c r="E871" s="9" t="str">
        <f aca="false">HYPERLINK("https://twitter.com/livechannelfeed/status/921956105466638336","921956105466638336")</f>
        <v>921956105466638336</v>
      </c>
      <c r="F871" s="10" t="s">
        <v>60</v>
      </c>
      <c r="G871" s="10" t="n">
        <v>3925</v>
      </c>
      <c r="H871" s="10" t="n">
        <v>3266</v>
      </c>
      <c r="I871" s="10" t="n">
        <v>0</v>
      </c>
      <c r="J871" s="10" t="n">
        <v>0</v>
      </c>
      <c r="K871" s="10" t="s">
        <v>20</v>
      </c>
      <c r="L871" s="11" t="n">
        <v>42710.8456365741</v>
      </c>
      <c r="M871" s="12" t="s">
        <v>312</v>
      </c>
      <c r="N871" s="12" t="s">
        <v>2386</v>
      </c>
      <c r="O871" s="9" t="str">
        <f aca="false">HYPERLINK("https://pbs.twimg.com/profile_images/806606820504731649/rCR1WeBs_normal.jpg","View")</f>
        <v>View</v>
      </c>
      <c r="P871" s="10"/>
    </row>
    <row r="872" customFormat="false" ht="15.75" hidden="false" customHeight="false" outlineLevel="0" collapsed="false">
      <c r="A872" s="6" t="n">
        <v>43029.8939699074</v>
      </c>
      <c r="B872" s="7" t="str">
        <f aca="false">HYPERLINK("https://twitter.com/TirtaNews","@TirtaNews")</f>
        <v>@TirtaNews</v>
      </c>
      <c r="C872" s="8" t="s">
        <v>2387</v>
      </c>
      <c r="D872" s="8" t="s">
        <v>2388</v>
      </c>
      <c r="E872" s="9" t="str">
        <f aca="false">HYPERLINK("https://twitter.com/TirtaNews/status/921956106418696192","921956106418696192")</f>
        <v>921956106418696192</v>
      </c>
      <c r="F872" s="10" t="s">
        <v>60</v>
      </c>
      <c r="G872" s="10" t="n">
        <v>185</v>
      </c>
      <c r="H872" s="10" t="n">
        <v>66</v>
      </c>
      <c r="I872" s="10" t="n">
        <v>0</v>
      </c>
      <c r="J872" s="10" t="n">
        <v>0</v>
      </c>
      <c r="K872" s="10" t="s">
        <v>20</v>
      </c>
      <c r="L872" s="11" t="n">
        <v>41894.3403009259</v>
      </c>
      <c r="M872" s="12"/>
      <c r="N872" s="12"/>
      <c r="O872" s="9" t="str">
        <f aca="false">HYPERLINK("https://pbs.twimg.com/profile_images/510469173214846976/ZLGHsEM0_normal.png","View")</f>
        <v>View</v>
      </c>
      <c r="P872" s="10"/>
    </row>
    <row r="873" customFormat="false" ht="15.75" hidden="false" customHeight="false" outlineLevel="0" collapsed="false">
      <c r="A873" s="6" t="n">
        <v>43029.8940162037</v>
      </c>
      <c r="B873" s="7" t="str">
        <f aca="false">HYPERLINK("https://twitter.com/Hugo89744023","@Hugo89744023")</f>
        <v>@Hugo89744023</v>
      </c>
      <c r="C873" s="8" t="s">
        <v>2389</v>
      </c>
      <c r="D873" s="8" t="s">
        <v>2339</v>
      </c>
      <c r="E873" s="9" t="str">
        <f aca="false">HYPERLINK("https://twitter.com/Hugo89744023/status/921956124798210048","921956124798210048")</f>
        <v>921956124798210048</v>
      </c>
      <c r="F873" s="10" t="s">
        <v>51</v>
      </c>
      <c r="G873" s="10" t="n">
        <v>1082</v>
      </c>
      <c r="H873" s="10" t="n">
        <v>4449</v>
      </c>
      <c r="I873" s="10" t="n">
        <v>51</v>
      </c>
      <c r="J873" s="10" t="n">
        <v>0</v>
      </c>
      <c r="K873" s="10" t="s">
        <v>20</v>
      </c>
      <c r="L873" s="11" t="n">
        <v>43027.8303703704</v>
      </c>
      <c r="M873" s="12" t="s">
        <v>2390</v>
      </c>
      <c r="N873" s="12" t="s">
        <v>2391</v>
      </c>
      <c r="O873" s="9" t="str">
        <f aca="false">HYPERLINK("https://pbs.twimg.com/profile_images/923715014065819648/klcDf3mF_normal.jpg","View")</f>
        <v>View</v>
      </c>
      <c r="P873" s="10"/>
    </row>
    <row r="874" customFormat="false" ht="15.75" hidden="false" customHeight="false" outlineLevel="0" collapsed="false">
      <c r="A874" s="6" t="n">
        <v>43029.894212963</v>
      </c>
      <c r="B874" s="7" t="str">
        <f aca="false">HYPERLINK("https://twitter.com/DaleyDaley09","@DaleyDaley09")</f>
        <v>@DaleyDaley09</v>
      </c>
      <c r="C874" s="8" t="s">
        <v>2392</v>
      </c>
      <c r="D874" s="8" t="s">
        <v>2339</v>
      </c>
      <c r="E874" s="9" t="str">
        <f aca="false">HYPERLINK("https://twitter.com/DaleyDaley09/status/921956194352234501","921956194352234501")</f>
        <v>921956194352234501</v>
      </c>
      <c r="F874" s="10" t="s">
        <v>51</v>
      </c>
      <c r="G874" s="10" t="n">
        <v>577</v>
      </c>
      <c r="H874" s="10" t="n">
        <v>781</v>
      </c>
      <c r="I874" s="10" t="n">
        <v>51</v>
      </c>
      <c r="J874" s="10" t="n">
        <v>0</v>
      </c>
      <c r="K874" s="10" t="s">
        <v>20</v>
      </c>
      <c r="L874" s="11" t="n">
        <v>42790.5772685185</v>
      </c>
      <c r="M874" s="12" t="s">
        <v>1961</v>
      </c>
      <c r="N874" s="12" t="s">
        <v>2393</v>
      </c>
      <c r="O874" s="9" t="str">
        <f aca="false">HYPERLINK("https://pbs.twimg.com/profile_images/922258266972938240/imiu-2LO_normal.jpg","View")</f>
        <v>View</v>
      </c>
      <c r="P874" s="10"/>
    </row>
    <row r="875" customFormat="false" ht="15.75" hidden="false" customHeight="false" outlineLevel="0" collapsed="false">
      <c r="A875" s="6" t="n">
        <v>43029.8943634259</v>
      </c>
      <c r="B875" s="7" t="str">
        <f aca="false">HYPERLINK("https://twitter.com/amirhimself","@amirhimself")</f>
        <v>@amirhimself</v>
      </c>
      <c r="C875" s="8" t="s">
        <v>2394</v>
      </c>
      <c r="D875" s="8" t="s">
        <v>2339</v>
      </c>
      <c r="E875" s="9" t="str">
        <f aca="false">HYPERLINK("https://twitter.com/amirhimself/status/921956247447810049","921956247447810049")</f>
        <v>921956247447810049</v>
      </c>
      <c r="F875" s="10" t="s">
        <v>25</v>
      </c>
      <c r="G875" s="10" t="n">
        <v>4210</v>
      </c>
      <c r="H875" s="10" t="n">
        <v>673</v>
      </c>
      <c r="I875" s="10" t="n">
        <v>51</v>
      </c>
      <c r="J875" s="10" t="n">
        <v>0</v>
      </c>
      <c r="K875" s="10" t="s">
        <v>20</v>
      </c>
      <c r="L875" s="11" t="n">
        <v>40621.4986226852</v>
      </c>
      <c r="M875" s="12" t="s">
        <v>2395</v>
      </c>
      <c r="N875" s="12" t="s">
        <v>2396</v>
      </c>
      <c r="O875" s="9" t="str">
        <f aca="false">HYPERLINK("https://pbs.twimg.com/profile_images/898921090902183941/sM2-fief_normal.jpg","View")</f>
        <v>View</v>
      </c>
      <c r="P875" s="10"/>
    </row>
    <row r="876" customFormat="false" ht="15.75" hidden="false" customHeight="false" outlineLevel="0" collapsed="false">
      <c r="A876" s="6" t="n">
        <v>43029.8944907407</v>
      </c>
      <c r="B876" s="7" t="str">
        <f aca="false">HYPERLINK("https://twitter.com/Sorgitzak","@Sorgitzak")</f>
        <v>@Sorgitzak</v>
      </c>
      <c r="C876" s="8" t="s">
        <v>421</v>
      </c>
      <c r="D876" s="8" t="s">
        <v>2397</v>
      </c>
      <c r="E876" s="9" t="str">
        <f aca="false">HYPERLINK("https://twitter.com/Sorgitzak/status/921956294227001344","921956294227001344")</f>
        <v>921956294227001344</v>
      </c>
      <c r="F876" s="10" t="s">
        <v>60</v>
      </c>
      <c r="G876" s="10" t="n">
        <v>719</v>
      </c>
      <c r="H876" s="10" t="n">
        <v>1309</v>
      </c>
      <c r="I876" s="10" t="n">
        <v>0</v>
      </c>
      <c r="J876" s="10" t="n">
        <v>0</v>
      </c>
      <c r="K876" s="10" t="s">
        <v>20</v>
      </c>
      <c r="L876" s="11" t="n">
        <v>39990.5521527778</v>
      </c>
      <c r="M876" s="12" t="s">
        <v>423</v>
      </c>
      <c r="N876" s="12"/>
      <c r="O876" s="9" t="str">
        <f aca="false">HYPERLINK("https://pbs.twimg.com/profile_images/284404970/sorgitzak_normal.JPG","View")</f>
        <v>View</v>
      </c>
      <c r="P876" s="10"/>
    </row>
    <row r="877" customFormat="false" ht="15.75" hidden="false" customHeight="false" outlineLevel="0" collapsed="false">
      <c r="A877" s="6" t="n">
        <v>43029.8945138889</v>
      </c>
      <c r="B877" s="7" t="str">
        <f aca="false">HYPERLINK("https://twitter.com/News_Kenya","@News_Kenya")</f>
        <v>@News_Kenya</v>
      </c>
      <c r="C877" s="8" t="s">
        <v>2398</v>
      </c>
      <c r="D877" s="8" t="s">
        <v>2399</v>
      </c>
      <c r="E877" s="9" t="str">
        <f aca="false">HYPERLINK("https://twitter.com/News_Kenya/status/921956304435929088","921956304435929088")</f>
        <v>921956304435929088</v>
      </c>
      <c r="F877" s="9" t="s">
        <v>1147</v>
      </c>
      <c r="G877" s="10" t="n">
        <v>8677</v>
      </c>
      <c r="H877" s="10" t="n">
        <v>94</v>
      </c>
      <c r="I877" s="10" t="n">
        <v>0</v>
      </c>
      <c r="J877" s="10" t="n">
        <v>0</v>
      </c>
      <c r="K877" s="10" t="s">
        <v>20</v>
      </c>
      <c r="L877" s="11" t="n">
        <v>40462.1729513889</v>
      </c>
      <c r="M877" s="12" t="s">
        <v>2400</v>
      </c>
      <c r="N877" s="12" t="s">
        <v>2401</v>
      </c>
      <c r="O877" s="9" t="str">
        <f aca="false">HYPERLINK("https://pbs.twimg.com/profile_images/506858708819668992/5_k94GRn_normal.png","View")</f>
        <v>View</v>
      </c>
      <c r="P877" s="10"/>
    </row>
    <row r="878" customFormat="false" ht="15.75" hidden="false" customHeight="false" outlineLevel="0" collapsed="false">
      <c r="A878" s="6" t="n">
        <v>43029.8945833333</v>
      </c>
      <c r="B878" s="7" t="str">
        <f aca="false">HYPERLINK("https://twitter.com/Velxx2","@Velxx2")</f>
        <v>@Velxx2</v>
      </c>
      <c r="C878" s="8" t="s">
        <v>2402</v>
      </c>
      <c r="D878" s="8" t="s">
        <v>2339</v>
      </c>
      <c r="E878" s="9" t="str">
        <f aca="false">HYPERLINK("https://twitter.com/Velxx2/status/921956328393887744","921956328393887744")</f>
        <v>921956328393887744</v>
      </c>
      <c r="F878" s="10" t="s">
        <v>177</v>
      </c>
      <c r="G878" s="10" t="n">
        <v>173</v>
      </c>
      <c r="H878" s="10" t="n">
        <v>206</v>
      </c>
      <c r="I878" s="10" t="n">
        <v>51</v>
      </c>
      <c r="J878" s="10" t="n">
        <v>0</v>
      </c>
      <c r="K878" s="10" t="s">
        <v>20</v>
      </c>
      <c r="L878" s="11" t="n">
        <v>41241.7697569444</v>
      </c>
      <c r="M878" s="12"/>
      <c r="N878" s="12"/>
      <c r="O878" s="9" t="str">
        <f aca="false">HYPERLINK("https://pbs.twimg.com/profile_images/781912799698100224/mRqGurMo_normal.jpg","View")</f>
        <v>View</v>
      </c>
      <c r="P878" s="10"/>
    </row>
    <row r="879" customFormat="false" ht="15.75" hidden="false" customHeight="false" outlineLevel="0" collapsed="false">
      <c r="A879" s="6" t="n">
        <v>43029.8945833333</v>
      </c>
      <c r="B879" s="7" t="str">
        <f aca="false">HYPERLINK("https://twitter.com/InvestingLatest","@InvestingLatest")</f>
        <v>@InvestingLatest</v>
      </c>
      <c r="C879" s="8" t="s">
        <v>934</v>
      </c>
      <c r="D879" s="8" t="s">
        <v>2403</v>
      </c>
      <c r="E879" s="9" t="str">
        <f aca="false">HYPERLINK("https://twitter.com/InvestingLatest/status/921956330184855552","921956330184855552")</f>
        <v>921956330184855552</v>
      </c>
      <c r="F879" s="10" t="s">
        <v>60</v>
      </c>
      <c r="G879" s="10" t="n">
        <v>1538</v>
      </c>
      <c r="H879" s="10" t="n">
        <v>33</v>
      </c>
      <c r="I879" s="10" t="n">
        <v>0</v>
      </c>
      <c r="J879" s="10" t="n">
        <v>0</v>
      </c>
      <c r="K879" s="10" t="s">
        <v>20</v>
      </c>
      <c r="L879" s="11" t="n">
        <v>41946.3308912037</v>
      </c>
      <c r="M879" s="12"/>
      <c r="N879" s="12" t="s">
        <v>936</v>
      </c>
      <c r="O879" s="9" t="str">
        <f aca="false">HYPERLINK("https://pbs.twimg.com/profile_images/529461684297945089/uscUz0UO_normal.jpeg","View")</f>
        <v>View</v>
      </c>
      <c r="P879" s="10"/>
    </row>
    <row r="880" customFormat="false" ht="15.75" hidden="false" customHeight="false" outlineLevel="0" collapsed="false">
      <c r="A880" s="6" t="n">
        <v>43029.8948148148</v>
      </c>
      <c r="B880" s="7" t="str">
        <f aca="false">HYPERLINK("https://twitter.com/TheGabhain","@TheGabhain")</f>
        <v>@TheGabhain</v>
      </c>
      <c r="C880" s="8" t="s">
        <v>2404</v>
      </c>
      <c r="D880" s="8" t="s">
        <v>2339</v>
      </c>
      <c r="E880" s="9" t="str">
        <f aca="false">HYPERLINK("https://twitter.com/TheGabhain/status/921956412846149633","921956412846149633")</f>
        <v>921956412846149633</v>
      </c>
      <c r="F880" s="10" t="s">
        <v>25</v>
      </c>
      <c r="G880" s="10" t="n">
        <v>259</v>
      </c>
      <c r="H880" s="10" t="n">
        <v>786</v>
      </c>
      <c r="I880" s="10" t="n">
        <v>51</v>
      </c>
      <c r="J880" s="10" t="n">
        <v>0</v>
      </c>
      <c r="K880" s="10" t="s">
        <v>20</v>
      </c>
      <c r="L880" s="11" t="n">
        <v>40827.7506481481</v>
      </c>
      <c r="M880" s="12" t="s">
        <v>2405</v>
      </c>
      <c r="N880" s="12" t="s">
        <v>2406</v>
      </c>
      <c r="O880" s="9" t="str">
        <f aca="false">HYPERLINK("https://pbs.twimg.com/profile_images/771777236458434560/kcDM2fBt_normal.jpg","View")</f>
        <v>View</v>
      </c>
      <c r="P880" s="10"/>
    </row>
    <row r="881" customFormat="false" ht="15.75" hidden="false" customHeight="false" outlineLevel="0" collapsed="false">
      <c r="A881" s="6" t="n">
        <v>43029.8952546296</v>
      </c>
      <c r="B881" s="7" t="str">
        <f aca="false">HYPERLINK("https://twitter.com/bdnews24","@bdnews24")</f>
        <v>@bdnews24</v>
      </c>
      <c r="C881" s="8" t="s">
        <v>216</v>
      </c>
      <c r="D881" s="8" t="s">
        <v>2407</v>
      </c>
      <c r="E881" s="9" t="str">
        <f aca="false">HYPERLINK("https://twitter.com/bdnews24/status/921956570702938112","921956570702938112")</f>
        <v>921956570702938112</v>
      </c>
      <c r="F881" s="10" t="s">
        <v>60</v>
      </c>
      <c r="G881" s="10" t="n">
        <v>215604</v>
      </c>
      <c r="H881" s="10" t="n">
        <v>67887</v>
      </c>
      <c r="I881" s="10" t="n">
        <v>0</v>
      </c>
      <c r="J881" s="10" t="n">
        <v>0</v>
      </c>
      <c r="K881" s="10" t="s">
        <v>20</v>
      </c>
      <c r="L881" s="11" t="n">
        <v>39844.4680439815</v>
      </c>
      <c r="M881" s="12" t="s">
        <v>218</v>
      </c>
      <c r="N881" s="12" t="s">
        <v>219</v>
      </c>
      <c r="O881" s="9" t="str">
        <f aca="false">HYPERLINK("https://pbs.twimg.com/profile_images/718433521509994497/4iW9RC_r_normal.jpg","View")</f>
        <v>View</v>
      </c>
      <c r="P881" s="10"/>
    </row>
    <row r="882" customFormat="false" ht="15.75" hidden="false" customHeight="false" outlineLevel="0" collapsed="false">
      <c r="A882" s="6" t="n">
        <v>43029.8954166667</v>
      </c>
      <c r="B882" s="7" t="str">
        <f aca="false">HYPERLINK("https://twitter.com/TheBFRoom","@TheBFRoom")</f>
        <v>@TheBFRoom</v>
      </c>
      <c r="C882" s="8" t="s">
        <v>674</v>
      </c>
      <c r="D882" s="8" t="s">
        <v>2408</v>
      </c>
      <c r="E882" s="9" t="str">
        <f aca="false">HYPERLINK("https://twitter.com/TheBFRoom/status/921956628651565057","921956628651565057")</f>
        <v>921956628651565057</v>
      </c>
      <c r="F882" s="10" t="s">
        <v>60</v>
      </c>
      <c r="G882" s="10" t="n">
        <v>3259</v>
      </c>
      <c r="H882" s="10" t="n">
        <v>3958</v>
      </c>
      <c r="I882" s="10" t="n">
        <v>0</v>
      </c>
      <c r="J882" s="10" t="n">
        <v>0</v>
      </c>
      <c r="K882" s="10" t="s">
        <v>20</v>
      </c>
      <c r="L882" s="11" t="n">
        <v>42761.325162037</v>
      </c>
      <c r="M882" s="12" t="s">
        <v>230</v>
      </c>
      <c r="N882" s="12" t="s">
        <v>676</v>
      </c>
      <c r="O882" s="9" t="str">
        <f aca="false">HYPERLINK("https://pbs.twimg.com/profile_images/898379268778020864/0u1zlj_B_normal.jpg","View")</f>
        <v>View</v>
      </c>
      <c r="P882" s="10"/>
    </row>
    <row r="883" customFormat="false" ht="15.75" hidden="false" customHeight="false" outlineLevel="0" collapsed="false">
      <c r="A883" s="6" t="n">
        <v>43029.8958796296</v>
      </c>
      <c r="B883" s="7" t="str">
        <f aca="false">HYPERLINK("https://twitter.com/yoshifumi92","@yoshifumi92")</f>
        <v>@yoshifumi92</v>
      </c>
      <c r="C883" s="14" t="s">
        <v>2409</v>
      </c>
      <c r="D883" s="8" t="s">
        <v>2339</v>
      </c>
      <c r="E883" s="9" t="str">
        <f aca="false">HYPERLINK("https://twitter.com/yoshifumi92/status/921956796519948289","921956796519948289")</f>
        <v>921956796519948289</v>
      </c>
      <c r="F883" s="10" t="s">
        <v>98</v>
      </c>
      <c r="G883" s="10" t="n">
        <v>992</v>
      </c>
      <c r="H883" s="10" t="n">
        <v>2281</v>
      </c>
      <c r="I883" s="10" t="n">
        <v>51</v>
      </c>
      <c r="J883" s="10" t="n">
        <v>0</v>
      </c>
      <c r="K883" s="10" t="s">
        <v>20</v>
      </c>
      <c r="L883" s="11" t="n">
        <v>41111.6810069445</v>
      </c>
      <c r="M883" s="12"/>
      <c r="N883" s="13" t="s">
        <v>2410</v>
      </c>
      <c r="O883" s="9" t="str">
        <f aca="false">HYPERLINK("https://pbs.twimg.com/profile_images/815854495552835585/hcdU5Ygi_normal.jpg","View")</f>
        <v>View</v>
      </c>
      <c r="P883" s="10"/>
    </row>
    <row r="884" customFormat="false" ht="15.75" hidden="false" customHeight="false" outlineLevel="0" collapsed="false">
      <c r="A884" s="6" t="n">
        <v>43029.8958796296</v>
      </c>
      <c r="B884" s="7" t="str">
        <f aca="false">HYPERLINK("https://twitter.com/NYY001","@NYY001")</f>
        <v>@NYY001</v>
      </c>
      <c r="C884" s="8" t="s">
        <v>2411</v>
      </c>
      <c r="D884" s="8" t="s">
        <v>2412</v>
      </c>
      <c r="E884" s="9" t="str">
        <f aca="false">HYPERLINK("https://twitter.com/NYY001/status/921956800009785344","921956800009785344")</f>
        <v>921956800009785344</v>
      </c>
      <c r="F884" s="10" t="s">
        <v>2413</v>
      </c>
      <c r="G884" s="10" t="n">
        <v>3057</v>
      </c>
      <c r="H884" s="10" t="n">
        <v>2965</v>
      </c>
      <c r="I884" s="10" t="n">
        <v>0</v>
      </c>
      <c r="J884" s="10" t="n">
        <v>0</v>
      </c>
      <c r="K884" s="10" t="s">
        <v>20</v>
      </c>
      <c r="L884" s="11" t="n">
        <v>40606.4283449074</v>
      </c>
      <c r="M884" s="12" t="s">
        <v>2414</v>
      </c>
      <c r="N884" s="12" t="s">
        <v>2415</v>
      </c>
      <c r="O884" s="9" t="str">
        <f aca="false">HYPERLINK("https://pbs.twimg.com/profile_images/866489676982562816/T0JF8WAI_normal.jpg","View")</f>
        <v>View</v>
      </c>
      <c r="P884" s="10"/>
    </row>
    <row r="885" customFormat="false" ht="15.75" hidden="false" customHeight="false" outlineLevel="0" collapsed="false">
      <c r="A885" s="6" t="n">
        <v>43029.8959722222</v>
      </c>
      <c r="B885" s="7" t="str">
        <f aca="false">HYPERLINK("https://twitter.com/tosekeras","@tosekeras")</f>
        <v>@tosekeras</v>
      </c>
      <c r="C885" s="8" t="s">
        <v>2416</v>
      </c>
      <c r="D885" s="8" t="s">
        <v>2339</v>
      </c>
      <c r="E885" s="9" t="str">
        <f aca="false">HYPERLINK("https://twitter.com/tosekeras/status/921956832846938112","921956832846938112")</f>
        <v>921956832846938112</v>
      </c>
      <c r="F885" s="10" t="s">
        <v>39</v>
      </c>
      <c r="G885" s="10" t="n">
        <v>4</v>
      </c>
      <c r="H885" s="10" t="n">
        <v>0</v>
      </c>
      <c r="I885" s="10" t="n">
        <v>51</v>
      </c>
      <c r="J885" s="10" t="n">
        <v>0</v>
      </c>
      <c r="K885" s="10" t="s">
        <v>20</v>
      </c>
      <c r="L885" s="11" t="n">
        <v>43028.4575231481</v>
      </c>
      <c r="M885" s="12"/>
      <c r="N885" s="12" t="s">
        <v>2417</v>
      </c>
      <c r="O885" s="9" t="str">
        <f aca="false">HYPERLINK("https://pbs.twimg.com/profile_images/921532952273547270/ME-btF_f_normal.jpg","View")</f>
        <v>View</v>
      </c>
      <c r="P885" s="10"/>
    </row>
    <row r="886" customFormat="false" ht="15.75" hidden="false" customHeight="false" outlineLevel="0" collapsed="false">
      <c r="A886" s="6" t="n">
        <v>43029.8960185185</v>
      </c>
      <c r="B886" s="7" t="str">
        <f aca="false">HYPERLINK("https://twitter.com/BillTurcke","@BillTurcke")</f>
        <v>@BillTurcke</v>
      </c>
      <c r="C886" s="8" t="s">
        <v>2418</v>
      </c>
      <c r="D886" s="8" t="s">
        <v>2419</v>
      </c>
      <c r="E886" s="9" t="str">
        <f aca="false">HYPERLINK("https://twitter.com/BillTurcke/status/921956847904608256","921956847904608256")</f>
        <v>921956847904608256</v>
      </c>
      <c r="F886" s="10" t="s">
        <v>60</v>
      </c>
      <c r="G886" s="10" t="n">
        <v>329</v>
      </c>
      <c r="H886" s="10" t="n">
        <v>471</v>
      </c>
      <c r="I886" s="10" t="n">
        <v>0</v>
      </c>
      <c r="J886" s="10" t="n">
        <v>0</v>
      </c>
      <c r="K886" s="10" t="s">
        <v>20</v>
      </c>
      <c r="L886" s="11" t="n">
        <v>42882.6207986111</v>
      </c>
      <c r="M886" s="12" t="s">
        <v>502</v>
      </c>
      <c r="N886" s="12" t="s">
        <v>2420</v>
      </c>
      <c r="O886" s="9" t="str">
        <f aca="false">HYPERLINK("https://pbs.twimg.com/profile_images/923892619167649792/sisC2DYy_normal.jpg","View")</f>
        <v>View</v>
      </c>
      <c r="P886" s="10"/>
    </row>
    <row r="887" customFormat="false" ht="15.75" hidden="false" customHeight="false" outlineLevel="0" collapsed="false">
      <c r="A887" s="6" t="n">
        <v>43029.8963310185</v>
      </c>
      <c r="B887" s="7" t="str">
        <f aca="false">HYPERLINK("https://twitter.com/the__himanish","@the__himanish")</f>
        <v>@the__himanish</v>
      </c>
      <c r="C887" s="8" t="s">
        <v>382</v>
      </c>
      <c r="D887" s="8" t="s">
        <v>2421</v>
      </c>
      <c r="E887" s="9" t="str">
        <f aca="false">HYPERLINK("https://twitter.com/the__himanish/status/921956960265744384","921956960265744384")</f>
        <v>921956960265744384</v>
      </c>
      <c r="F887" s="10" t="s">
        <v>60</v>
      </c>
      <c r="G887" s="10" t="n">
        <v>1811</v>
      </c>
      <c r="H887" s="10" t="n">
        <v>1625</v>
      </c>
      <c r="I887" s="10" t="n">
        <v>0</v>
      </c>
      <c r="J887" s="10" t="n">
        <v>0</v>
      </c>
      <c r="K887" s="10" t="s">
        <v>20</v>
      </c>
      <c r="L887" s="11" t="n">
        <v>40222.1517824074</v>
      </c>
      <c r="M887" s="12" t="s">
        <v>87</v>
      </c>
      <c r="N887" s="12" t="s">
        <v>384</v>
      </c>
      <c r="O887" s="9" t="str">
        <f aca="false">HYPERLINK("https://pbs.twimg.com/profile_images/914165533918015489/A6iR_gz2_normal.jpg","View")</f>
        <v>View</v>
      </c>
      <c r="P887" s="10"/>
    </row>
    <row r="888" customFormat="false" ht="15.75" hidden="false" customHeight="false" outlineLevel="0" collapsed="false">
      <c r="A888" s="6" t="n">
        <v>43029.8964351852</v>
      </c>
      <c r="B888" s="7" t="str">
        <f aca="false">HYPERLINK("https://twitter.com/RealTimeHack","@RealTimeHack")</f>
        <v>@RealTimeHack</v>
      </c>
      <c r="C888" s="8" t="s">
        <v>2422</v>
      </c>
      <c r="D888" s="8" t="s">
        <v>2423</v>
      </c>
      <c r="E888" s="9" t="str">
        <f aca="false">HYPERLINK("https://twitter.com/RealTimeHack/status/921956999579033600","921956999579033600")</f>
        <v>921956999579033600</v>
      </c>
      <c r="F888" s="10" t="s">
        <v>60</v>
      </c>
      <c r="G888" s="10" t="n">
        <v>2184</v>
      </c>
      <c r="H888" s="10" t="n">
        <v>1282</v>
      </c>
      <c r="I888" s="10" t="n">
        <v>0</v>
      </c>
      <c r="J888" s="10" t="n">
        <v>0</v>
      </c>
      <c r="K888" s="10" t="s">
        <v>20</v>
      </c>
      <c r="L888" s="11" t="n">
        <v>40641.3992013889</v>
      </c>
      <c r="M888" s="12" t="s">
        <v>2424</v>
      </c>
      <c r="N888" s="12" t="s">
        <v>2425</v>
      </c>
      <c r="O888" s="9" t="str">
        <f aca="false">HYPERLINK("https://pbs.twimg.com/profile_images/1304602852/Nuke_Egg_normal.gif","View")</f>
        <v>View</v>
      </c>
      <c r="P888" s="10"/>
    </row>
    <row r="889" customFormat="false" ht="15.75" hidden="false" customHeight="false" outlineLevel="0" collapsed="false">
      <c r="A889" s="6" t="n">
        <v>43029.896712963</v>
      </c>
      <c r="B889" s="7" t="str">
        <f aca="false">HYPERLINK("https://twitter.com/Tomo220_","@Tomo220_")</f>
        <v>@Tomo220_</v>
      </c>
      <c r="C889" s="8" t="s">
        <v>2426</v>
      </c>
      <c r="D889" s="8" t="s">
        <v>2339</v>
      </c>
      <c r="E889" s="9" t="str">
        <f aca="false">HYPERLINK("https://twitter.com/Tomo220_/status/921957098841300992","921957098841300992")</f>
        <v>921957098841300992</v>
      </c>
      <c r="F889" s="10" t="s">
        <v>51</v>
      </c>
      <c r="G889" s="10" t="n">
        <v>933</v>
      </c>
      <c r="H889" s="10" t="n">
        <v>690</v>
      </c>
      <c r="I889" s="10" t="n">
        <v>51</v>
      </c>
      <c r="J889" s="10" t="n">
        <v>0</v>
      </c>
      <c r="K889" s="10" t="s">
        <v>20</v>
      </c>
      <c r="L889" s="11" t="n">
        <v>40123.1184606482</v>
      </c>
      <c r="M889" s="13" t="s">
        <v>2427</v>
      </c>
      <c r="N889" s="13" t="s">
        <v>2428</v>
      </c>
      <c r="O889" s="9" t="str">
        <f aca="false">HYPERLINK("https://pbs.twimg.com/profile_images/877785774288060416/w2EjHxGp_normal.jpg","View")</f>
        <v>View</v>
      </c>
      <c r="P889" s="10"/>
    </row>
    <row r="890" customFormat="false" ht="15.75" hidden="false" customHeight="false" outlineLevel="0" collapsed="false">
      <c r="A890" s="6" t="n">
        <v>43029.8968171296</v>
      </c>
      <c r="B890" s="7" t="str">
        <f aca="false">HYPERLINK("https://twitter.com/LeDouxUSA","@LeDouxUSA")</f>
        <v>@LeDouxUSA</v>
      </c>
      <c r="C890" s="8" t="s">
        <v>2429</v>
      </c>
      <c r="D890" s="8" t="s">
        <v>2339</v>
      </c>
      <c r="E890" s="9" t="str">
        <f aca="false">HYPERLINK("https://twitter.com/LeDouxUSA/status/921957139328802816","921957139328802816")</f>
        <v>921957139328802816</v>
      </c>
      <c r="F890" s="10" t="s">
        <v>51</v>
      </c>
      <c r="G890" s="10" t="n">
        <v>1506</v>
      </c>
      <c r="H890" s="10" t="n">
        <v>1808</v>
      </c>
      <c r="I890" s="10" t="n">
        <v>51</v>
      </c>
      <c r="J890" s="10" t="n">
        <v>0</v>
      </c>
      <c r="K890" s="10" t="s">
        <v>20</v>
      </c>
      <c r="L890" s="11" t="n">
        <v>39557.7449305556</v>
      </c>
      <c r="M890" s="12" t="s">
        <v>2430</v>
      </c>
      <c r="N890" s="12" t="s">
        <v>2431</v>
      </c>
      <c r="O890" s="9" t="str">
        <f aca="false">HYPERLINK("https://pbs.twimg.com/profile_images/890428056006868993/TxiELVEA_normal.jpg","View")</f>
        <v>View</v>
      </c>
      <c r="P890" s="10"/>
    </row>
    <row r="891" customFormat="false" ht="15.75" hidden="false" customHeight="false" outlineLevel="0" collapsed="false">
      <c r="A891" s="6" t="n">
        <v>43029.8974189815</v>
      </c>
      <c r="B891" s="7" t="str">
        <f aca="false">HYPERLINK("https://twitter.com/NelsonKanoa","@NelsonKanoa")</f>
        <v>@NelsonKanoa</v>
      </c>
      <c r="C891" s="8" t="s">
        <v>2432</v>
      </c>
      <c r="D891" s="8" t="s">
        <v>2339</v>
      </c>
      <c r="E891" s="9" t="str">
        <f aca="false">HYPERLINK("https://twitter.com/NelsonKanoa/status/921957355419443200","921957355419443200")</f>
        <v>921957355419443200</v>
      </c>
      <c r="F891" s="10" t="s">
        <v>25</v>
      </c>
      <c r="G891" s="10" t="n">
        <v>750</v>
      </c>
      <c r="H891" s="10" t="n">
        <v>726</v>
      </c>
      <c r="I891" s="10" t="n">
        <v>51</v>
      </c>
      <c r="J891" s="10" t="n">
        <v>0</v>
      </c>
      <c r="K891" s="10" t="s">
        <v>20</v>
      </c>
      <c r="L891" s="11" t="n">
        <v>42623.8354166667</v>
      </c>
      <c r="M891" s="12" t="s">
        <v>2433</v>
      </c>
      <c r="N891" s="12" t="s">
        <v>2434</v>
      </c>
      <c r="O891" s="9" t="str">
        <f aca="false">HYPERLINK("https://pbs.twimg.com/profile_images/841434364164550657/4nd0LfWq_normal.jpg","View")</f>
        <v>View</v>
      </c>
      <c r="P891" s="10"/>
    </row>
    <row r="892" customFormat="false" ht="15.75" hidden="false" customHeight="false" outlineLevel="0" collapsed="false">
      <c r="A892" s="6" t="n">
        <v>43029.8977083333</v>
      </c>
      <c r="B892" s="7" t="str">
        <f aca="false">HYPERLINK("https://twitter.com/kenbridge1","@kenbridge1")</f>
        <v>@kenbridge1</v>
      </c>
      <c r="C892" s="8" t="s">
        <v>2435</v>
      </c>
      <c r="D892" s="8" t="s">
        <v>2339</v>
      </c>
      <c r="E892" s="9" t="str">
        <f aca="false">HYPERLINK("https://twitter.com/kenbridge1/status/921957462021771264","921957462021771264")</f>
        <v>921957462021771264</v>
      </c>
      <c r="F892" s="10" t="s">
        <v>51</v>
      </c>
      <c r="G892" s="10" t="n">
        <v>669</v>
      </c>
      <c r="H892" s="10" t="n">
        <v>1256</v>
      </c>
      <c r="I892" s="10" t="n">
        <v>51</v>
      </c>
      <c r="J892" s="10" t="n">
        <v>0</v>
      </c>
      <c r="K892" s="10" t="s">
        <v>20</v>
      </c>
      <c r="L892" s="11" t="n">
        <v>40598.0030439815</v>
      </c>
      <c r="M892" s="12" t="s">
        <v>2436</v>
      </c>
      <c r="N892" s="12" t="s">
        <v>2437</v>
      </c>
      <c r="O892" s="9" t="str">
        <f aca="false">HYPERLINK("https://pbs.twimg.com/profile_images/843569930578538496/KBlE-qoV_normal.jpg","View")</f>
        <v>View</v>
      </c>
      <c r="P892" s="10"/>
    </row>
    <row r="893" customFormat="false" ht="15.75" hidden="false" customHeight="false" outlineLevel="0" collapsed="false">
      <c r="A893" s="6" t="n">
        <v>43029.8977199074</v>
      </c>
      <c r="B893" s="7" t="str">
        <f aca="false">HYPERLINK("https://twitter.com/BCquakehelp","@BCquakehelp")</f>
        <v>@BCquakehelp</v>
      </c>
      <c r="C893" s="8" t="s">
        <v>2438</v>
      </c>
      <c r="D893" s="8" t="s">
        <v>2339</v>
      </c>
      <c r="E893" s="9" t="str">
        <f aca="false">HYPERLINK("https://twitter.com/BCquakehelp/status/921957465456910337","921957465456910337")</f>
        <v>921957465456910337</v>
      </c>
      <c r="F893" s="10" t="s">
        <v>39</v>
      </c>
      <c r="G893" s="10" t="n">
        <v>3793</v>
      </c>
      <c r="H893" s="10" t="n">
        <v>687</v>
      </c>
      <c r="I893" s="10" t="n">
        <v>51</v>
      </c>
      <c r="J893" s="10" t="n">
        <v>0</v>
      </c>
      <c r="K893" s="10" t="s">
        <v>20</v>
      </c>
      <c r="L893" s="11" t="n">
        <v>42999.0204282407</v>
      </c>
      <c r="M893" s="12" t="s">
        <v>2439</v>
      </c>
      <c r="N893" s="12" t="s">
        <v>2440</v>
      </c>
      <c r="O893" s="9" t="str">
        <f aca="false">HYPERLINK("https://pbs.twimg.com/profile_images/914369314467209216/YAe3PsvC_normal.jpg","View")</f>
        <v>View</v>
      </c>
      <c r="P893" s="10"/>
    </row>
    <row r="894" customFormat="false" ht="15.75" hidden="false" customHeight="false" outlineLevel="0" collapsed="false">
      <c r="A894" s="6" t="n">
        <v>43029.8981712963</v>
      </c>
      <c r="B894" s="7" t="str">
        <f aca="false">HYPERLINK("https://twitter.com/SocialLifeMiami","@SocialLifeMiami")</f>
        <v>@SocialLifeMiami</v>
      </c>
      <c r="C894" s="8" t="s">
        <v>1047</v>
      </c>
      <c r="D894" s="8" t="s">
        <v>2441</v>
      </c>
      <c r="E894" s="9" t="str">
        <f aca="false">HYPERLINK("https://twitter.com/SocialLifeMiami/status/921957630712705024","921957630712705024")</f>
        <v>921957630712705024</v>
      </c>
      <c r="F894" s="10" t="s">
        <v>60</v>
      </c>
      <c r="G894" s="10" t="n">
        <v>567</v>
      </c>
      <c r="H894" s="10" t="n">
        <v>792</v>
      </c>
      <c r="I894" s="10" t="n">
        <v>0</v>
      </c>
      <c r="J894" s="10" t="n">
        <v>0</v>
      </c>
      <c r="K894" s="10" t="s">
        <v>20</v>
      </c>
      <c r="L894" s="11" t="n">
        <v>42603.6747106482</v>
      </c>
      <c r="M894" s="12" t="s">
        <v>476</v>
      </c>
      <c r="N894" s="12" t="s">
        <v>753</v>
      </c>
      <c r="O894" s="9" t="str">
        <f aca="false">HYPERLINK("https://pbs.twimg.com/profile_images/767547452878647296/oD-Hg_jO_normal.jpg","View")</f>
        <v>View</v>
      </c>
      <c r="P894" s="10"/>
    </row>
    <row r="895" customFormat="false" ht="15.75" hidden="false" customHeight="false" outlineLevel="0" collapsed="false">
      <c r="A895" s="6" t="n">
        <v>43029.8986226852</v>
      </c>
      <c r="B895" s="7" t="str">
        <f aca="false">HYPERLINK("https://twitter.com/Will_Bill_Dias","@Will_Bill_Dias")</f>
        <v>@Will_Bill_Dias</v>
      </c>
      <c r="C895" s="8" t="s">
        <v>2442</v>
      </c>
      <c r="D895" s="8" t="s">
        <v>2443</v>
      </c>
      <c r="E895" s="9" t="str">
        <f aca="false">HYPERLINK("https://twitter.com/Will_Bill_Dias/status/921957794282180608","921957794282180608")</f>
        <v>921957794282180608</v>
      </c>
      <c r="F895" s="10" t="s">
        <v>177</v>
      </c>
      <c r="G895" s="10" t="n">
        <v>206</v>
      </c>
      <c r="H895" s="10" t="n">
        <v>599</v>
      </c>
      <c r="I895" s="10" t="n">
        <v>0</v>
      </c>
      <c r="J895" s="10" t="n">
        <v>0</v>
      </c>
      <c r="K895" s="10" t="s">
        <v>20</v>
      </c>
      <c r="L895" s="11" t="n">
        <v>41260.3075462963</v>
      </c>
      <c r="M895" s="12" t="s">
        <v>203</v>
      </c>
      <c r="N895" s="12" t="s">
        <v>2444</v>
      </c>
      <c r="O895" s="9" t="str">
        <f aca="false">HYPERLINK("https://pbs.twimg.com/profile_images/853230649725071360/dH7LZiMr_normal.jpg","View")</f>
        <v>View</v>
      </c>
      <c r="P895" s="10"/>
    </row>
    <row r="896" customFormat="false" ht="15.75" hidden="false" customHeight="false" outlineLevel="0" collapsed="false">
      <c r="A896" s="6" t="n">
        <v>43029.8989467593</v>
      </c>
      <c r="B896" s="7" t="str">
        <f aca="false">HYPERLINK("https://twitter.com/SocialLifeLA","@SocialLifeLA")</f>
        <v>@SocialLifeLA</v>
      </c>
      <c r="C896" s="8" t="s">
        <v>750</v>
      </c>
      <c r="D896" s="8" t="s">
        <v>2445</v>
      </c>
      <c r="E896" s="9" t="str">
        <f aca="false">HYPERLINK("https://twitter.com/SocialLifeLA/status/921957910128840705","921957910128840705")</f>
        <v>921957910128840705</v>
      </c>
      <c r="F896" s="10" t="s">
        <v>60</v>
      </c>
      <c r="G896" s="10" t="n">
        <v>200</v>
      </c>
      <c r="H896" s="10" t="n">
        <v>60</v>
      </c>
      <c r="I896" s="10" t="n">
        <v>0</v>
      </c>
      <c r="J896" s="10" t="n">
        <v>0</v>
      </c>
      <c r="K896" s="10" t="s">
        <v>20</v>
      </c>
      <c r="L896" s="11" t="n">
        <v>42604.7538078704</v>
      </c>
      <c r="M896" s="12" t="s">
        <v>752</v>
      </c>
      <c r="N896" s="12" t="s">
        <v>753</v>
      </c>
      <c r="O896" s="9" t="str">
        <f aca="false">HYPERLINK("https://pbs.twimg.com/profile_images/767891928948023296/dUdnMBLO_normal.jpg","View")</f>
        <v>View</v>
      </c>
      <c r="P896" s="10"/>
    </row>
    <row r="897" customFormat="false" ht="15.75" hidden="false" customHeight="false" outlineLevel="0" collapsed="false">
      <c r="A897" s="6" t="n">
        <v>43029.8989467593</v>
      </c>
      <c r="B897" s="7" t="str">
        <f aca="false">HYPERLINK("https://twitter.com/Keishamaza","@Keishamaza")</f>
        <v>@Keishamaza</v>
      </c>
      <c r="C897" s="8" t="s">
        <v>2446</v>
      </c>
      <c r="D897" s="8" t="s">
        <v>2339</v>
      </c>
      <c r="E897" s="9" t="str">
        <f aca="false">HYPERLINK("https://twitter.com/Keishamaza/status/921957911026454528","921957911026454528")</f>
        <v>921957911026454528</v>
      </c>
      <c r="F897" s="10" t="s">
        <v>25</v>
      </c>
      <c r="G897" s="10" t="n">
        <v>4756</v>
      </c>
      <c r="H897" s="10" t="n">
        <v>1438</v>
      </c>
      <c r="I897" s="10" t="n">
        <v>51</v>
      </c>
      <c r="J897" s="10" t="n">
        <v>0</v>
      </c>
      <c r="K897" s="10" t="s">
        <v>20</v>
      </c>
      <c r="L897" s="11" t="n">
        <v>39870.1134953704</v>
      </c>
      <c r="M897" s="12" t="s">
        <v>2447</v>
      </c>
      <c r="N897" s="12" t="s">
        <v>2448</v>
      </c>
      <c r="O897" s="9" t="str">
        <f aca="false">HYPERLINK("https://pbs.twimg.com/profile_images/899617830722838537/E6p2b_4r_normal.jpg","View")</f>
        <v>View</v>
      </c>
      <c r="P897" s="10"/>
    </row>
    <row r="898" customFormat="false" ht="15.75" hidden="false" customHeight="false" outlineLevel="0" collapsed="false">
      <c r="A898" s="6" t="n">
        <v>43029.899212963</v>
      </c>
      <c r="B898" s="7" t="str">
        <f aca="false">HYPERLINK("https://twitter.com/africaupdates","@africaupdates")</f>
        <v>@africaupdates</v>
      </c>
      <c r="C898" s="8" t="s">
        <v>2449</v>
      </c>
      <c r="D898" s="8" t="s">
        <v>2339</v>
      </c>
      <c r="E898" s="9" t="str">
        <f aca="false">HYPERLINK("https://twitter.com/africaupdates/status/921958007881261057","921958007881261057")</f>
        <v>921958007881261057</v>
      </c>
      <c r="F898" s="10" t="s">
        <v>39</v>
      </c>
      <c r="G898" s="10" t="n">
        <v>46399</v>
      </c>
      <c r="H898" s="10" t="n">
        <v>51042</v>
      </c>
      <c r="I898" s="10" t="n">
        <v>51</v>
      </c>
      <c r="J898" s="10" t="n">
        <v>0</v>
      </c>
      <c r="K898" s="10" t="s">
        <v>20</v>
      </c>
      <c r="L898" s="11" t="n">
        <v>39832.0587268518</v>
      </c>
      <c r="M898" s="12" t="s">
        <v>1404</v>
      </c>
      <c r="N898" s="12" t="s">
        <v>2450</v>
      </c>
      <c r="O898" s="9" t="str">
        <f aca="false">HYPERLINK("https://pbs.twimg.com/profile_images/1157019219/Africa_Updates_normal.JPG","View")</f>
        <v>View</v>
      </c>
      <c r="P898" s="10"/>
    </row>
    <row r="899" customFormat="false" ht="15.75" hidden="false" customHeight="false" outlineLevel="0" collapsed="false">
      <c r="A899" s="6" t="n">
        <v>43029.8993402778</v>
      </c>
      <c r="B899" s="7" t="str">
        <f aca="false">HYPERLINK("https://twitter.com/cr23c6","@cr23c6")</f>
        <v>@cr23c6</v>
      </c>
      <c r="C899" s="8" t="s">
        <v>2451</v>
      </c>
      <c r="D899" s="8" t="s">
        <v>2339</v>
      </c>
      <c r="E899" s="9" t="str">
        <f aca="false">HYPERLINK("https://twitter.com/cr23c6/status/921958050436706304","921958050436706304")</f>
        <v>921958050436706304</v>
      </c>
      <c r="F899" s="10" t="s">
        <v>51</v>
      </c>
      <c r="G899" s="10" t="n">
        <v>713</v>
      </c>
      <c r="H899" s="10" t="n">
        <v>592</v>
      </c>
      <c r="I899" s="10" t="n">
        <v>51</v>
      </c>
      <c r="J899" s="10" t="n">
        <v>0</v>
      </c>
      <c r="K899" s="10" t="s">
        <v>20</v>
      </c>
      <c r="L899" s="11" t="n">
        <v>41958.8956597222</v>
      </c>
      <c r="M899" s="12" t="s">
        <v>2452</v>
      </c>
      <c r="N899" s="12" t="s">
        <v>2453</v>
      </c>
      <c r="O899" s="9" t="str">
        <f aca="false">HYPERLINK("https://pbs.twimg.com/profile_images/911164769444429824/Wg_jLHDU_normal.jpg","View")</f>
        <v>View</v>
      </c>
      <c r="P899" s="10"/>
    </row>
    <row r="900" customFormat="false" ht="15.75" hidden="false" customHeight="false" outlineLevel="0" collapsed="false">
      <c r="A900" s="6" t="n">
        <v>43029.9026157407</v>
      </c>
      <c r="B900" s="7" t="str">
        <f aca="false">HYPERLINK("https://twitter.com/LkFutures","@LkFutures")</f>
        <v>@LkFutures</v>
      </c>
      <c r="C900" s="8" t="s">
        <v>2454</v>
      </c>
      <c r="D900" s="8" t="s">
        <v>2339</v>
      </c>
      <c r="E900" s="9" t="str">
        <f aca="false">HYPERLINK("https://twitter.com/LkFutures/status/921959241216172032","921959241216172032")</f>
        <v>921959241216172032</v>
      </c>
      <c r="F900" s="10" t="s">
        <v>25</v>
      </c>
      <c r="G900" s="10" t="n">
        <v>976</v>
      </c>
      <c r="H900" s="10" t="n">
        <v>64</v>
      </c>
      <c r="I900" s="10" t="n">
        <v>51</v>
      </c>
      <c r="J900" s="10" t="n">
        <v>0</v>
      </c>
      <c r="K900" s="10" t="s">
        <v>20</v>
      </c>
      <c r="L900" s="11" t="n">
        <v>40951.0738425926</v>
      </c>
      <c r="M900" s="12"/>
      <c r="N900" s="12" t="s">
        <v>2455</v>
      </c>
      <c r="O900" s="9" t="str">
        <f aca="false">HYPERLINK("https://pbs.twimg.com/profile_images/2274247547/v7n0eak79tplolori078_normal.jpeg","View")</f>
        <v>View</v>
      </c>
      <c r="P900" s="10"/>
    </row>
    <row r="901" customFormat="false" ht="15.75" hidden="false" customHeight="false" outlineLevel="0" collapsed="false">
      <c r="A901" s="6" t="n">
        <v>43029.9026388889</v>
      </c>
      <c r="B901" s="7" t="str">
        <f aca="false">HYPERLINK("https://twitter.com/LkFutures","@LkFutures")</f>
        <v>@LkFutures</v>
      </c>
      <c r="C901" s="8" t="s">
        <v>2454</v>
      </c>
      <c r="D901" s="8" t="s">
        <v>2456</v>
      </c>
      <c r="E901" s="9" t="str">
        <f aca="false">HYPERLINK("https://twitter.com/LkFutures/status/921959248283799553","921959248283799553")</f>
        <v>921959248283799553</v>
      </c>
      <c r="F901" s="10" t="s">
        <v>47</v>
      </c>
      <c r="G901" s="10" t="n">
        <v>976</v>
      </c>
      <c r="H901" s="10" t="n">
        <v>64</v>
      </c>
      <c r="I901" s="10" t="n">
        <v>0</v>
      </c>
      <c r="J901" s="10" t="n">
        <v>0</v>
      </c>
      <c r="K901" s="10" t="s">
        <v>20</v>
      </c>
      <c r="L901" s="11" t="n">
        <v>40951.0738425926</v>
      </c>
      <c r="M901" s="12"/>
      <c r="N901" s="12" t="s">
        <v>2455</v>
      </c>
      <c r="O901" s="9" t="str">
        <f aca="false">HYPERLINK("https://pbs.twimg.com/profile_images/2274247547/v7n0eak79tplolori078_normal.jpeg","View")</f>
        <v>View</v>
      </c>
      <c r="P901" s="10"/>
    </row>
    <row r="902" customFormat="false" ht="15.75" hidden="false" customHeight="false" outlineLevel="0" collapsed="false">
      <c r="A902" s="6" t="n">
        <v>43029.9026388889</v>
      </c>
      <c r="B902" s="7" t="str">
        <f aca="false">HYPERLINK("https://twitter.com/LkFutures","@LkFutures")</f>
        <v>@LkFutures</v>
      </c>
      <c r="C902" s="8" t="s">
        <v>2454</v>
      </c>
      <c r="D902" s="8" t="s">
        <v>2457</v>
      </c>
      <c r="E902" s="9" t="str">
        <f aca="false">HYPERLINK("https://twitter.com/LkFutures/status/921959249130991616","921959249130991616")</f>
        <v>921959249130991616</v>
      </c>
      <c r="F902" s="10" t="s">
        <v>47</v>
      </c>
      <c r="G902" s="10" t="n">
        <v>976</v>
      </c>
      <c r="H902" s="10" t="n">
        <v>64</v>
      </c>
      <c r="I902" s="10" t="n">
        <v>0</v>
      </c>
      <c r="J902" s="10" t="n">
        <v>0</v>
      </c>
      <c r="K902" s="10" t="s">
        <v>20</v>
      </c>
      <c r="L902" s="11" t="n">
        <v>40951.0738425926</v>
      </c>
      <c r="M902" s="12"/>
      <c r="N902" s="12" t="s">
        <v>2455</v>
      </c>
      <c r="O902" s="9" t="str">
        <f aca="false">HYPERLINK("https://pbs.twimg.com/profile_images/2274247547/v7n0eak79tplolori078_normal.jpeg","View")</f>
        <v>View</v>
      </c>
      <c r="P902" s="10"/>
    </row>
    <row r="903" customFormat="false" ht="15.75" hidden="false" customHeight="false" outlineLevel="0" collapsed="false">
      <c r="A903" s="6" t="n">
        <v>43029.9043171296</v>
      </c>
      <c r="B903" s="7" t="str">
        <f aca="false">HYPERLINK("https://twitter.com/ramlantern","@ramlantern")</f>
        <v>@ramlantern</v>
      </c>
      <c r="C903" s="8" t="s">
        <v>273</v>
      </c>
      <c r="D903" s="8" t="s">
        <v>2339</v>
      </c>
      <c r="E903" s="9" t="str">
        <f aca="false">HYPERLINK("https://twitter.com/ramlantern/status/921959858026549248","921959858026549248")</f>
        <v>921959858026549248</v>
      </c>
      <c r="F903" s="10" t="s">
        <v>25</v>
      </c>
      <c r="G903" s="10" t="n">
        <v>46</v>
      </c>
      <c r="H903" s="10" t="n">
        <v>332</v>
      </c>
      <c r="I903" s="10" t="n">
        <v>51</v>
      </c>
      <c r="J903" s="10" t="n">
        <v>0</v>
      </c>
      <c r="K903" s="10" t="s">
        <v>20</v>
      </c>
      <c r="L903" s="11" t="n">
        <v>42645.5801273148</v>
      </c>
      <c r="M903" s="12"/>
      <c r="N903" s="12"/>
      <c r="O903" s="9" t="str">
        <f aca="false">HYPERLINK("https://abs.twimg.com/sticky/default_profile_images/default_profile_normal.png","View")</f>
        <v>View</v>
      </c>
      <c r="P903" s="10"/>
    </row>
    <row r="904" customFormat="false" ht="15.75" hidden="false" customHeight="false" outlineLevel="0" collapsed="false">
      <c r="A904" s="6" t="n">
        <v>43029.904837963</v>
      </c>
      <c r="B904" s="7" t="str">
        <f aca="false">HYPERLINK("https://twitter.com/newssummedupuk","@newssummedupuk")</f>
        <v>@newssummedupuk</v>
      </c>
      <c r="C904" s="8" t="s">
        <v>2458</v>
      </c>
      <c r="D904" s="8" t="s">
        <v>2459</v>
      </c>
      <c r="E904" s="9" t="str">
        <f aca="false">HYPERLINK("https://twitter.com/newssummedupuk/status/921960043276390400","921960043276390400")</f>
        <v>921960043276390400</v>
      </c>
      <c r="F904" s="10" t="s">
        <v>1179</v>
      </c>
      <c r="G904" s="10" t="n">
        <v>62</v>
      </c>
      <c r="H904" s="10" t="n">
        <v>99</v>
      </c>
      <c r="I904" s="10" t="n">
        <v>0</v>
      </c>
      <c r="J904" s="10" t="n">
        <v>0</v>
      </c>
      <c r="K904" s="10" t="s">
        <v>20</v>
      </c>
      <c r="L904" s="11" t="n">
        <v>42534.2836574074</v>
      </c>
      <c r="M904" s="12" t="s">
        <v>182</v>
      </c>
      <c r="N904" s="12" t="s">
        <v>2460</v>
      </c>
      <c r="O904" s="9" t="str">
        <f aca="false">HYPERLINK("https://pbs.twimg.com/profile_images/742353419147436032/yIX83zk-_normal.jpg","View")</f>
        <v>View</v>
      </c>
      <c r="P904" s="10"/>
    </row>
    <row r="905" customFormat="false" ht="15.75" hidden="false" customHeight="false" outlineLevel="0" collapsed="false">
      <c r="A905" s="6" t="n">
        <v>43029.905150463</v>
      </c>
      <c r="B905" s="7" t="str">
        <f aca="false">HYPERLINK("https://twitter.com/tres444","@tres444")</f>
        <v>@tres444</v>
      </c>
      <c r="C905" s="8" t="s">
        <v>2461</v>
      </c>
      <c r="D905" s="8" t="s">
        <v>2339</v>
      </c>
      <c r="E905" s="9" t="str">
        <f aca="false">HYPERLINK("https://twitter.com/tres444/status/921960158196125696","921960158196125696")</f>
        <v>921960158196125696</v>
      </c>
      <c r="F905" s="10" t="s">
        <v>177</v>
      </c>
      <c r="G905" s="10" t="n">
        <v>4038</v>
      </c>
      <c r="H905" s="10" t="n">
        <v>5000</v>
      </c>
      <c r="I905" s="10" t="n">
        <v>51</v>
      </c>
      <c r="J905" s="10" t="n">
        <v>0</v>
      </c>
      <c r="K905" s="10" t="s">
        <v>20</v>
      </c>
      <c r="L905" s="11" t="n">
        <v>39930.0971180556</v>
      </c>
      <c r="M905" s="12" t="s">
        <v>2462</v>
      </c>
      <c r="N905" s="12" t="s">
        <v>2463</v>
      </c>
      <c r="O905" s="9" t="str">
        <f aca="false">HYPERLINK("https://pbs.twimg.com/profile_images/831968428676280320/SHKc0hWV_normal.jpg","View")</f>
        <v>View</v>
      </c>
      <c r="P905" s="10"/>
    </row>
    <row r="906" customFormat="false" ht="15.75" hidden="false" customHeight="false" outlineLevel="0" collapsed="false">
      <c r="A906" s="6" t="n">
        <v>43029.9056018519</v>
      </c>
      <c r="B906" s="7" t="str">
        <f aca="false">HYPERLINK("https://twitter.com/GST_Accountant","@GST_Accountant")</f>
        <v>@GST_Accountant</v>
      </c>
      <c r="C906" s="8" t="s">
        <v>2464</v>
      </c>
      <c r="D906" s="8" t="s">
        <v>2465</v>
      </c>
      <c r="E906" s="9" t="str">
        <f aca="false">HYPERLINK("https://twitter.com/GST_Accountant/status/921960319835979776","921960319835979776")</f>
        <v>921960319835979776</v>
      </c>
      <c r="F906" s="9" t="s">
        <v>1147</v>
      </c>
      <c r="G906" s="10" t="n">
        <v>89</v>
      </c>
      <c r="H906" s="10" t="n">
        <v>136</v>
      </c>
      <c r="I906" s="10" t="n">
        <v>0</v>
      </c>
      <c r="J906" s="10" t="n">
        <v>0</v>
      </c>
      <c r="K906" s="10" t="s">
        <v>20</v>
      </c>
      <c r="L906" s="11" t="n">
        <v>42818.5279282407</v>
      </c>
      <c r="M906" s="12" t="s">
        <v>72</v>
      </c>
      <c r="N906" s="12" t="s">
        <v>2466</v>
      </c>
      <c r="O906" s="9" t="str">
        <f aca="false">HYPERLINK("https://pbs.twimg.com/profile_images/845362655296573440/ANZbLIOe_normal.jpg","View")</f>
        <v>View</v>
      </c>
      <c r="P906" s="10"/>
    </row>
    <row r="907" customFormat="false" ht="15.75" hidden="false" customHeight="false" outlineLevel="0" collapsed="false">
      <c r="A907" s="6" t="n">
        <v>43029.9068402778</v>
      </c>
      <c r="B907" s="7" t="str">
        <f aca="false">HYPERLINK("https://twitter.com/st_h_n_","@st_h_n_")</f>
        <v>@st_h_n_</v>
      </c>
      <c r="C907" s="14" t="s">
        <v>803</v>
      </c>
      <c r="D907" s="8" t="s">
        <v>2339</v>
      </c>
      <c r="E907" s="9" t="str">
        <f aca="false">HYPERLINK("https://twitter.com/st_h_n_/status/921960771298328577","921960771298328577")</f>
        <v>921960771298328577</v>
      </c>
      <c r="F907" s="10" t="s">
        <v>51</v>
      </c>
      <c r="G907" s="10" t="n">
        <v>278</v>
      </c>
      <c r="H907" s="10" t="n">
        <v>76</v>
      </c>
      <c r="I907" s="10" t="n">
        <v>51</v>
      </c>
      <c r="J907" s="10" t="n">
        <v>0</v>
      </c>
      <c r="K907" s="10" t="s">
        <v>20</v>
      </c>
      <c r="L907" s="11" t="n">
        <v>41737.9937615741</v>
      </c>
      <c r="M907" s="12"/>
      <c r="N907" s="12"/>
      <c r="O907" s="9" t="str">
        <f aca="false">HYPERLINK("https://pbs.twimg.com/profile_images/745051643947868160/vYSVAl4N_normal.jpg","View")</f>
        <v>View</v>
      </c>
      <c r="P907" s="10"/>
    </row>
    <row r="908" customFormat="false" ht="15.75" hidden="false" customHeight="false" outlineLevel="0" collapsed="false">
      <c r="A908" s="6" t="n">
        <v>43029.9086111111</v>
      </c>
      <c r="B908" s="7" t="str">
        <f aca="false">HYPERLINK("https://twitter.com/SWEETPOTAT0314","@SWEETPOTAT0314")</f>
        <v>@SWEETPOTAT0314</v>
      </c>
      <c r="C908" s="8" t="s">
        <v>2467</v>
      </c>
      <c r="D908" s="8" t="s">
        <v>2339</v>
      </c>
      <c r="E908" s="9" t="str">
        <f aca="false">HYPERLINK("https://twitter.com/SWEETPOTAT0314/status/921961412578168833","921961412578168833")</f>
        <v>921961412578168833</v>
      </c>
      <c r="F908" s="10" t="s">
        <v>39</v>
      </c>
      <c r="G908" s="10" t="n">
        <v>449</v>
      </c>
      <c r="H908" s="10" t="n">
        <v>3302</v>
      </c>
      <c r="I908" s="10" t="n">
        <v>51</v>
      </c>
      <c r="J908" s="10" t="n">
        <v>0</v>
      </c>
      <c r="K908" s="10" t="s">
        <v>20</v>
      </c>
      <c r="L908" s="11" t="n">
        <v>41004.5790162037</v>
      </c>
      <c r="M908" s="12" t="s">
        <v>2468</v>
      </c>
      <c r="N908" s="12" t="s">
        <v>2469</v>
      </c>
      <c r="O908" s="9" t="str">
        <f aca="false">HYPERLINK("https://pbs.twimg.com/profile_images/840915491367542785/7BP-ovR2_normal.jpg","View")</f>
        <v>View</v>
      </c>
      <c r="P908" s="10"/>
    </row>
    <row r="909" customFormat="false" ht="15.75" hidden="false" customHeight="false" outlineLevel="0" collapsed="false">
      <c r="A909" s="6" t="n">
        <v>43029.9086574074</v>
      </c>
      <c r="B909" s="7" t="str">
        <f aca="false">HYPERLINK("https://twitter.com/360BizInfo","@360BizInfo")</f>
        <v>@360BizInfo</v>
      </c>
      <c r="C909" s="8" t="s">
        <v>2470</v>
      </c>
      <c r="D909" s="8" t="s">
        <v>2471</v>
      </c>
      <c r="E909" s="9" t="str">
        <f aca="false">HYPERLINK("https://twitter.com/360BizInfo/status/921961429795790848","921961429795790848")</f>
        <v>921961429795790848</v>
      </c>
      <c r="F909" s="10" t="s">
        <v>60</v>
      </c>
      <c r="G909" s="10" t="n">
        <v>412</v>
      </c>
      <c r="H909" s="10" t="n">
        <v>368</v>
      </c>
      <c r="I909" s="10" t="n">
        <v>0</v>
      </c>
      <c r="J909" s="10" t="n">
        <v>0</v>
      </c>
      <c r="K909" s="10" t="s">
        <v>20</v>
      </c>
      <c r="L909" s="11" t="n">
        <v>42378.7195486111</v>
      </c>
      <c r="M909" s="12"/>
      <c r="N909" s="12" t="s">
        <v>2472</v>
      </c>
      <c r="O909" s="9" t="str">
        <f aca="false">HYPERLINK("https://pbs.twimg.com/profile_images/867458762877095936/iANdaTlX_normal.jpg","View")</f>
        <v>View</v>
      </c>
      <c r="P909" s="10"/>
    </row>
    <row r="910" customFormat="false" ht="15.75" hidden="false" customHeight="false" outlineLevel="0" collapsed="false">
      <c r="A910" s="6" t="n">
        <v>43029.9100578704</v>
      </c>
      <c r="B910" s="7" t="str">
        <f aca="false">HYPERLINK("https://twitter.com/Ms_Audz","@Ms_Audz")</f>
        <v>@Ms_Audz</v>
      </c>
      <c r="C910" s="8" t="s">
        <v>2473</v>
      </c>
      <c r="D910" s="8" t="s">
        <v>2339</v>
      </c>
      <c r="E910" s="9" t="str">
        <f aca="false">HYPERLINK("https://twitter.com/Ms_Audz/status/921961936803303424","921961936803303424")</f>
        <v>921961936803303424</v>
      </c>
      <c r="F910" s="10" t="s">
        <v>25</v>
      </c>
      <c r="G910" s="10" t="n">
        <v>76</v>
      </c>
      <c r="H910" s="10" t="n">
        <v>169</v>
      </c>
      <c r="I910" s="10" t="n">
        <v>51</v>
      </c>
      <c r="J910" s="10" t="n">
        <v>0</v>
      </c>
      <c r="K910" s="10" t="s">
        <v>20</v>
      </c>
      <c r="L910" s="11" t="n">
        <v>41793.2369907407</v>
      </c>
      <c r="M910" s="12"/>
      <c r="N910" s="12"/>
      <c r="O910" s="9" t="str">
        <f aca="false">HYPERLINK("https://pbs.twimg.com/profile_images/834740514280919041/q8uI2AQS_normal.jpg","View")</f>
        <v>View</v>
      </c>
      <c r="P910" s="10"/>
    </row>
    <row r="911" customFormat="false" ht="15.75" hidden="false" customHeight="false" outlineLevel="0" collapsed="false">
      <c r="A911" s="6" t="n">
        <v>43029.9102314815</v>
      </c>
      <c r="B911" s="7" t="str">
        <f aca="false">HYPERLINK("https://twitter.com/kelm1tchell","@kelm1tchell")</f>
        <v>@kelm1tchell</v>
      </c>
      <c r="C911" s="8" t="s">
        <v>2474</v>
      </c>
      <c r="D911" s="8" t="s">
        <v>2475</v>
      </c>
      <c r="E911" s="9" t="str">
        <f aca="false">HYPERLINK("https://twitter.com/kelm1tchell/status/921961998711185408","921961998711185408")</f>
        <v>921961998711185408</v>
      </c>
      <c r="F911" s="10" t="s">
        <v>2476</v>
      </c>
      <c r="G911" s="10" t="n">
        <v>3574</v>
      </c>
      <c r="H911" s="10" t="n">
        <v>4295</v>
      </c>
      <c r="I911" s="10" t="n">
        <v>0</v>
      </c>
      <c r="J911" s="10" t="n">
        <v>0</v>
      </c>
      <c r="K911" s="10" t="s">
        <v>20</v>
      </c>
      <c r="L911" s="11" t="n">
        <v>42757.553275463</v>
      </c>
      <c r="M911" s="12"/>
      <c r="N911" s="12" t="s">
        <v>2477</v>
      </c>
      <c r="O911" s="9" t="str">
        <f aca="false">HYPERLINK("https://pbs.twimg.com/profile_images/825751501868060672/Po-7lYAg_normal.jpg","View")</f>
        <v>View</v>
      </c>
      <c r="P911" s="10"/>
    </row>
    <row r="912" customFormat="false" ht="15.75" hidden="false" customHeight="false" outlineLevel="0" collapsed="false">
      <c r="A912" s="6" t="n">
        <v>43029.9127430556</v>
      </c>
      <c r="B912" s="7" t="str">
        <f aca="false">HYPERLINK("https://twitter.com/JulianFC27","@JulianFC27")</f>
        <v>@JulianFC27</v>
      </c>
      <c r="C912" s="8" t="s">
        <v>2478</v>
      </c>
      <c r="D912" s="8" t="s">
        <v>2339</v>
      </c>
      <c r="E912" s="9" t="str">
        <f aca="false">HYPERLINK("https://twitter.com/JulianFC27/status/921962910787821568","921962910787821568")</f>
        <v>921962910787821568</v>
      </c>
      <c r="F912" s="10" t="s">
        <v>39</v>
      </c>
      <c r="G912" s="10" t="n">
        <v>151</v>
      </c>
      <c r="H912" s="10" t="n">
        <v>394</v>
      </c>
      <c r="I912" s="10" t="n">
        <v>51</v>
      </c>
      <c r="J912" s="10" t="n">
        <v>0</v>
      </c>
      <c r="K912" s="10" t="s">
        <v>20</v>
      </c>
      <c r="L912" s="11" t="n">
        <v>42797.7978240741</v>
      </c>
      <c r="M912" s="12" t="s">
        <v>2479</v>
      </c>
      <c r="N912" s="12" t="s">
        <v>2480</v>
      </c>
      <c r="O912" s="9" t="str">
        <f aca="false">HYPERLINK("https://pbs.twimg.com/profile_images/901649477311791107/cYTG1L9S_normal.jpg","View")</f>
        <v>View</v>
      </c>
      <c r="P912" s="10"/>
    </row>
    <row r="913" customFormat="false" ht="15.75" hidden="false" customHeight="false" outlineLevel="0" collapsed="false">
      <c r="A913" s="6" t="n">
        <v>43029.9134375</v>
      </c>
      <c r="B913" s="7" t="str">
        <f aca="false">HYPERLINK("https://twitter.com/conejitonoel","@conejitonoel")</f>
        <v>@conejitonoel</v>
      </c>
      <c r="C913" s="8" t="s">
        <v>2378</v>
      </c>
      <c r="D913" s="8" t="s">
        <v>2061</v>
      </c>
      <c r="E913" s="9" t="str">
        <f aca="false">HYPERLINK("https://twitter.com/conejitonoel/status/921963160310919168","921963160310919168")</f>
        <v>921963160310919168</v>
      </c>
      <c r="F913" s="10" t="s">
        <v>51</v>
      </c>
      <c r="G913" s="10" t="n">
        <v>679</v>
      </c>
      <c r="H913" s="10" t="n">
        <v>96</v>
      </c>
      <c r="I913" s="10" t="n">
        <v>12</v>
      </c>
      <c r="J913" s="10" t="n">
        <v>0</v>
      </c>
      <c r="K913" s="10" t="s">
        <v>20</v>
      </c>
      <c r="L913" s="11" t="n">
        <v>40723.1965277778</v>
      </c>
      <c r="M913" s="12" t="s">
        <v>574</v>
      </c>
      <c r="N913" s="13" t="s">
        <v>2379</v>
      </c>
      <c r="O913" s="9" t="str">
        <f aca="false">HYPERLINK("https://pbs.twimg.com/profile_images/894728723680829440/dsPrCOvM_normal.jpg","View")</f>
        <v>View</v>
      </c>
      <c r="P913" s="10"/>
    </row>
    <row r="914" customFormat="false" ht="15.75" hidden="false" customHeight="false" outlineLevel="0" collapsed="false">
      <c r="A914" s="6" t="n">
        <v>43029.9138657407</v>
      </c>
      <c r="B914" s="7" t="str">
        <f aca="false">HYPERLINK("https://twitter.com/Senf_Zion","@Senf_Zion")</f>
        <v>@Senf_Zion</v>
      </c>
      <c r="C914" s="14" t="s">
        <v>2481</v>
      </c>
      <c r="D914" s="8" t="s">
        <v>2339</v>
      </c>
      <c r="E914" s="9" t="str">
        <f aca="false">HYPERLINK("https://twitter.com/Senf_Zion/status/921963314514497536","921963314514497536")</f>
        <v>921963314514497536</v>
      </c>
      <c r="F914" s="10" t="s">
        <v>98</v>
      </c>
      <c r="G914" s="10" t="n">
        <v>805</v>
      </c>
      <c r="H914" s="10" t="n">
        <v>771</v>
      </c>
      <c r="I914" s="10" t="n">
        <v>51</v>
      </c>
      <c r="J914" s="10" t="n">
        <v>0</v>
      </c>
      <c r="K914" s="10" t="s">
        <v>20</v>
      </c>
      <c r="L914" s="11" t="n">
        <v>41625.5785185185</v>
      </c>
      <c r="M914" s="12"/>
      <c r="N914" s="13" t="s">
        <v>2482</v>
      </c>
      <c r="O914" s="9" t="str">
        <f aca="false">HYPERLINK("https://pbs.twimg.com/profile_images/913694058421248001/Tgn7U9VH_normal.jpg","View")</f>
        <v>View</v>
      </c>
      <c r="P914" s="10"/>
    </row>
    <row r="915" customFormat="false" ht="15.75" hidden="false" customHeight="false" outlineLevel="0" collapsed="false">
      <c r="A915" s="6" t="n">
        <v>43029.9148726852</v>
      </c>
      <c r="B915" s="7" t="str">
        <f aca="false">HYPERLINK("https://twitter.com/kellyclarkchild","@kellyclarkchild")</f>
        <v>@kellyclarkchild</v>
      </c>
      <c r="C915" s="8" t="s">
        <v>2483</v>
      </c>
      <c r="D915" s="8" t="s">
        <v>2339</v>
      </c>
      <c r="E915" s="9" t="str">
        <f aca="false">HYPERLINK("https://twitter.com/kellyclarkchild/status/921963679683244032","921963679683244032")</f>
        <v>921963679683244032</v>
      </c>
      <c r="F915" s="10" t="s">
        <v>25</v>
      </c>
      <c r="G915" s="10" t="n">
        <v>238</v>
      </c>
      <c r="H915" s="10" t="n">
        <v>176</v>
      </c>
      <c r="I915" s="10" t="n">
        <v>51</v>
      </c>
      <c r="J915" s="10" t="n">
        <v>0</v>
      </c>
      <c r="K915" s="10" t="s">
        <v>20</v>
      </c>
      <c r="L915" s="11" t="n">
        <v>40540.7905324074</v>
      </c>
      <c r="M915" s="12" t="s">
        <v>2484</v>
      </c>
      <c r="N915" s="12" t="s">
        <v>2485</v>
      </c>
      <c r="O915" s="9" t="str">
        <f aca="false">HYPERLINK("https://pbs.twimg.com/profile_images/923833236911828992/3Bk2Nr9d_normal.jpg","View")</f>
        <v>View</v>
      </c>
      <c r="P915" s="10"/>
    </row>
    <row r="916" customFormat="false" ht="15.75" hidden="false" customHeight="false" outlineLevel="0" collapsed="false">
      <c r="A916" s="6" t="n">
        <v>43029.9156134259</v>
      </c>
      <c r="B916" s="7" t="str">
        <f aca="false">HYPERLINK("https://twitter.com/carlworker","@carlworker")</f>
        <v>@carlworker</v>
      </c>
      <c r="C916" s="8" t="s">
        <v>2486</v>
      </c>
      <c r="D916" s="8" t="s">
        <v>2295</v>
      </c>
      <c r="E916" s="9" t="str">
        <f aca="false">HYPERLINK("https://twitter.com/carlworker/status/921963948223512577","921963948223512577")</f>
        <v>921963948223512577</v>
      </c>
      <c r="F916" s="10" t="s">
        <v>177</v>
      </c>
      <c r="G916" s="10" t="n">
        <v>728</v>
      </c>
      <c r="H916" s="10" t="n">
        <v>292</v>
      </c>
      <c r="I916" s="10" t="n">
        <v>5</v>
      </c>
      <c r="J916" s="10" t="n">
        <v>0</v>
      </c>
      <c r="K916" s="10" t="s">
        <v>20</v>
      </c>
      <c r="L916" s="11" t="n">
        <v>40606.1787615741</v>
      </c>
      <c r="M916" s="12" t="s">
        <v>2487</v>
      </c>
      <c r="N916" s="12" t="s">
        <v>2488</v>
      </c>
      <c r="O916" s="9" t="str">
        <f aca="false">HYPERLINK("https://pbs.twimg.com/profile_images/711116232393535488/LTzf8344_normal.jpg","View")</f>
        <v>View</v>
      </c>
      <c r="P916" s="10"/>
    </row>
    <row r="917" customFormat="false" ht="15.75" hidden="false" customHeight="false" outlineLevel="0" collapsed="false">
      <c r="A917" s="6" t="n">
        <v>43029.9176736111</v>
      </c>
      <c r="B917" s="7" t="str">
        <f aca="false">HYPERLINK("https://twitter.com/muralikumarje","@muralikumarje")</f>
        <v>@muralikumarje</v>
      </c>
      <c r="C917" s="8" t="s">
        <v>841</v>
      </c>
      <c r="D917" s="8" t="s">
        <v>2293</v>
      </c>
      <c r="E917" s="9" t="str">
        <f aca="false">HYPERLINK("https://twitter.com/muralikumarje/status/921964698064470017","921964698064470017")</f>
        <v>921964698064470017</v>
      </c>
      <c r="F917" s="10" t="s">
        <v>25</v>
      </c>
      <c r="G917" s="10" t="n">
        <v>103</v>
      </c>
      <c r="H917" s="10" t="n">
        <v>85</v>
      </c>
      <c r="I917" s="10" t="n">
        <v>4</v>
      </c>
      <c r="J917" s="10" t="n">
        <v>0</v>
      </c>
      <c r="K917" s="10" t="s">
        <v>20</v>
      </c>
      <c r="L917" s="11" t="n">
        <v>41033.2837152778</v>
      </c>
      <c r="M917" s="12" t="s">
        <v>843</v>
      </c>
      <c r="N917" s="12" t="s">
        <v>844</v>
      </c>
      <c r="O917" s="9" t="str">
        <f aca="false">HYPERLINK("https://pbs.twimg.com/profile_images/544861659328569345/Q-vIkusJ_normal.jpeg","View")</f>
        <v>View</v>
      </c>
      <c r="P917" s="10"/>
    </row>
    <row r="918" customFormat="false" ht="15.75" hidden="false" customHeight="false" outlineLevel="0" collapsed="false">
      <c r="A918" s="6" t="n">
        <v>43029.9198032408</v>
      </c>
      <c r="B918" s="7" t="str">
        <f aca="false">HYPERLINK("https://twitter.com/NamVietNetwork","@NamVietNetwork")</f>
        <v>@NamVietNetwork</v>
      </c>
      <c r="C918" s="8" t="s">
        <v>2489</v>
      </c>
      <c r="D918" s="8" t="s">
        <v>2490</v>
      </c>
      <c r="E918" s="9" t="str">
        <f aca="false">HYPERLINK("https://twitter.com/NamVietNetwork/status/921965469426487296","921965469426487296")</f>
        <v>921965469426487296</v>
      </c>
      <c r="F918" s="10" t="s">
        <v>55</v>
      </c>
      <c r="G918" s="10" t="n">
        <v>1540</v>
      </c>
      <c r="H918" s="10" t="n">
        <v>147</v>
      </c>
      <c r="I918" s="10" t="n">
        <v>0</v>
      </c>
      <c r="J918" s="10" t="n">
        <v>0</v>
      </c>
      <c r="K918" s="10" t="s">
        <v>20</v>
      </c>
      <c r="L918" s="11" t="n">
        <v>40189.0717476852</v>
      </c>
      <c r="M918" s="12" t="s">
        <v>2491</v>
      </c>
      <c r="N918" s="12" t="s">
        <v>2492</v>
      </c>
      <c r="O918" s="9" t="str">
        <f aca="false">HYPERLINK("https://pbs.twimg.com/profile_images/2509866256/6fjgs8rtts7014kqe70t_normal.jpeg","View")</f>
        <v>View</v>
      </c>
      <c r="P918" s="10"/>
    </row>
    <row r="919" customFormat="false" ht="15.75" hidden="false" customHeight="false" outlineLevel="0" collapsed="false">
      <c r="A919" s="6" t="n">
        <v>43029.9217361111</v>
      </c>
      <c r="B919" s="7" t="str">
        <f aca="false">HYPERLINK("https://twitter.com/_dpaj","@_dpaj")</f>
        <v>@_dpaj</v>
      </c>
      <c r="C919" s="8" t="s">
        <v>1702</v>
      </c>
      <c r="D919" s="8" t="s">
        <v>2493</v>
      </c>
      <c r="E919" s="9" t="str">
        <f aca="false">HYPERLINK("https://twitter.com/_dpaj/status/921966169078329344","921966169078329344")</f>
        <v>921966169078329344</v>
      </c>
      <c r="F919" s="10" t="s">
        <v>60</v>
      </c>
      <c r="G919" s="10" t="n">
        <v>5523</v>
      </c>
      <c r="H919" s="10" t="n">
        <v>2431</v>
      </c>
      <c r="I919" s="10" t="n">
        <v>0</v>
      </c>
      <c r="J919" s="10" t="n">
        <v>0</v>
      </c>
      <c r="K919" s="10" t="s">
        <v>20</v>
      </c>
      <c r="L919" s="11" t="n">
        <v>40660.8466203704</v>
      </c>
      <c r="M919" s="12" t="s">
        <v>1704</v>
      </c>
      <c r="N919" s="12" t="s">
        <v>1705</v>
      </c>
      <c r="O919" s="9" t="str">
        <f aca="false">HYPERLINK("https://pbs.twimg.com/profile_images/861497595130253317/PBJ8Ojwp_normal.jpg","View")</f>
        <v>View</v>
      </c>
      <c r="P919" s="10"/>
    </row>
    <row r="920" customFormat="false" ht="15.75" hidden="false" customHeight="false" outlineLevel="0" collapsed="false">
      <c r="A920" s="6" t="n">
        <v>43029.9230902778</v>
      </c>
      <c r="B920" s="7" t="str">
        <f aca="false">HYPERLINK("https://twitter.com/BDAINCBIZ","@BDAINCBIZ")</f>
        <v>@BDAINCBIZ</v>
      </c>
      <c r="C920" s="8" t="s">
        <v>2494</v>
      </c>
      <c r="D920" s="8" t="s">
        <v>2339</v>
      </c>
      <c r="E920" s="9" t="str">
        <f aca="false">HYPERLINK("https://twitter.com/BDAINCBIZ/status/921966658356482049","921966658356482049")</f>
        <v>921966658356482049</v>
      </c>
      <c r="F920" s="10" t="s">
        <v>51</v>
      </c>
      <c r="G920" s="10" t="n">
        <v>368</v>
      </c>
      <c r="H920" s="10" t="n">
        <v>532</v>
      </c>
      <c r="I920" s="10" t="n">
        <v>51</v>
      </c>
      <c r="J920" s="10" t="n">
        <v>0</v>
      </c>
      <c r="K920" s="10" t="s">
        <v>20</v>
      </c>
      <c r="L920" s="11" t="n">
        <v>40756.4562731482</v>
      </c>
      <c r="M920" s="12" t="s">
        <v>2495</v>
      </c>
      <c r="N920" s="12" t="s">
        <v>2496</v>
      </c>
      <c r="O920" s="9" t="str">
        <f aca="false">HYPERLINK("https://pbs.twimg.com/profile_images/1472920605/Jim_Meese_normal.jpg","View")</f>
        <v>View</v>
      </c>
      <c r="P920" s="10"/>
    </row>
    <row r="921" customFormat="false" ht="15.75" hidden="false" customHeight="false" outlineLevel="0" collapsed="false">
      <c r="A921" s="6" t="n">
        <v>43029.9237962963</v>
      </c>
      <c r="B921" s="7" t="str">
        <f aca="false">HYPERLINK("https://twitter.com/hastensglobal","@hastensglobal")</f>
        <v>@hastensglobal</v>
      </c>
      <c r="C921" s="8" t="s">
        <v>2497</v>
      </c>
      <c r="D921" s="8" t="s">
        <v>2498</v>
      </c>
      <c r="E921" s="9" t="str">
        <f aca="false">HYPERLINK("https://twitter.com/hastensglobal/status/921966914578108416","921966914578108416")</f>
        <v>921966914578108416</v>
      </c>
      <c r="F921" s="10" t="s">
        <v>60</v>
      </c>
      <c r="G921" s="10" t="n">
        <v>49</v>
      </c>
      <c r="H921" s="10" t="n">
        <v>28</v>
      </c>
      <c r="I921" s="10" t="n">
        <v>0</v>
      </c>
      <c r="J921" s="10" t="n">
        <v>0</v>
      </c>
      <c r="K921" s="10" t="s">
        <v>20</v>
      </c>
      <c r="L921" s="11" t="n">
        <v>42694.1689814815</v>
      </c>
      <c r="M921" s="12" t="s">
        <v>2499</v>
      </c>
      <c r="N921" s="12" t="s">
        <v>2500</v>
      </c>
      <c r="O921" s="9" t="str">
        <f aca="false">HYPERLINK("https://pbs.twimg.com/profile_images/800312029961654273/q8PvD9PZ_normal.jpg","View")</f>
        <v>View</v>
      </c>
      <c r="P921" s="10"/>
    </row>
    <row r="922" customFormat="false" ht="15.75" hidden="false" customHeight="false" outlineLevel="0" collapsed="false">
      <c r="A922" s="6" t="n">
        <v>43029.9241666667</v>
      </c>
      <c r="B922" s="7" t="str">
        <f aca="false">HYPERLINK("https://twitter.com/MCityDonte","@MCityDonte")</f>
        <v>@MCityDonte</v>
      </c>
      <c r="C922" s="8" t="s">
        <v>2501</v>
      </c>
      <c r="D922" s="8" t="s">
        <v>2339</v>
      </c>
      <c r="E922" s="9" t="str">
        <f aca="false">HYPERLINK("https://twitter.com/MCityDonte/status/921967050842615808","921967050842615808")</f>
        <v>921967050842615808</v>
      </c>
      <c r="F922" s="10" t="s">
        <v>25</v>
      </c>
      <c r="G922" s="10" t="n">
        <v>1087</v>
      </c>
      <c r="H922" s="10" t="n">
        <v>1453</v>
      </c>
      <c r="I922" s="10" t="n">
        <v>51</v>
      </c>
      <c r="J922" s="10" t="n">
        <v>0</v>
      </c>
      <c r="K922" s="10" t="s">
        <v>20</v>
      </c>
      <c r="L922" s="11" t="n">
        <v>42769.7971180556</v>
      </c>
      <c r="M922" s="12"/>
      <c r="N922" s="12" t="s">
        <v>2502</v>
      </c>
      <c r="O922" s="9" t="str">
        <f aca="false">HYPERLINK("https://pbs.twimg.com/profile_images/923567667671457792/l1pwJMew_normal.jpg","View")</f>
        <v>View</v>
      </c>
      <c r="P922" s="10"/>
    </row>
    <row r="923" customFormat="false" ht="15.75" hidden="false" customHeight="false" outlineLevel="0" collapsed="false">
      <c r="A923" s="6" t="n">
        <v>43029.9243518518</v>
      </c>
      <c r="B923" s="7" t="str">
        <f aca="false">HYPERLINK("https://twitter.com/worldnews_net","@worldnews_net")</f>
        <v>@worldnews_net</v>
      </c>
      <c r="C923" s="8" t="s">
        <v>1738</v>
      </c>
      <c r="D923" s="8" t="s">
        <v>2503</v>
      </c>
      <c r="E923" s="9" t="str">
        <f aca="false">HYPERLINK("https://twitter.com/worldnews_net/status/921967116739338240","921967116739338240")</f>
        <v>921967116739338240</v>
      </c>
      <c r="F923" s="10" t="s">
        <v>60</v>
      </c>
      <c r="G923" s="10" t="n">
        <v>6454</v>
      </c>
      <c r="H923" s="10" t="n">
        <v>1317</v>
      </c>
      <c r="I923" s="10" t="n">
        <v>0</v>
      </c>
      <c r="J923" s="10" t="n">
        <v>0</v>
      </c>
      <c r="K923" s="10" t="s">
        <v>20</v>
      </c>
      <c r="L923" s="11" t="n">
        <v>42056.080162037</v>
      </c>
      <c r="M923" s="12"/>
      <c r="N923" s="12" t="s">
        <v>1740</v>
      </c>
      <c r="O923" s="9" t="str">
        <f aca="false">HYPERLINK("https://pbs.twimg.com/profile_images/570163852034076672/nbok5qlW_normal.jpeg","View")</f>
        <v>View</v>
      </c>
      <c r="P923" s="10"/>
    </row>
    <row r="924" customFormat="false" ht="15.75" hidden="false" customHeight="false" outlineLevel="0" collapsed="false">
      <c r="A924" s="6" t="n">
        <v>43029.9275925926</v>
      </c>
      <c r="B924" s="7" t="str">
        <f aca="false">HYPERLINK("https://twitter.com/guardiannews","@guardiannews")</f>
        <v>@guardiannews</v>
      </c>
      <c r="C924" s="8" t="s">
        <v>2504</v>
      </c>
      <c r="D924" s="8" t="s">
        <v>2505</v>
      </c>
      <c r="E924" s="9" t="str">
        <f aca="false">HYPERLINK("https://twitter.com/guardiannews/status/921968290049744896","921968290049744896")</f>
        <v>921968290049744896</v>
      </c>
      <c r="F924" s="10" t="s">
        <v>2506</v>
      </c>
      <c r="G924" s="10" t="n">
        <v>2812654</v>
      </c>
      <c r="H924" s="10" t="n">
        <v>1295</v>
      </c>
      <c r="I924" s="10" t="n">
        <v>14</v>
      </c>
      <c r="J924" s="10" t="n">
        <v>12</v>
      </c>
      <c r="K924" s="10" t="s">
        <v>20</v>
      </c>
      <c r="L924" s="11" t="n">
        <v>39135.1894328704</v>
      </c>
      <c r="M924" s="12"/>
      <c r="N924" s="12" t="s">
        <v>2507</v>
      </c>
      <c r="O924" s="9" t="str">
        <f aca="false">HYPERLINK("https://pbs.twimg.com/profile_images/877866793909583872/GBtLgglS_normal.jpg","View")</f>
        <v>View</v>
      </c>
      <c r="P924" s="10"/>
    </row>
    <row r="925" customFormat="false" ht="15.75" hidden="false" customHeight="false" outlineLevel="0" collapsed="false">
      <c r="A925" s="6" t="n">
        <v>43029.9278472222</v>
      </c>
      <c r="B925" s="7" t="str">
        <f aca="false">HYPERLINK("https://twitter.com/newsbott3r","@newsbott3r")</f>
        <v>@newsbott3r</v>
      </c>
      <c r="C925" s="8" t="s">
        <v>2508</v>
      </c>
      <c r="D925" s="8" t="s">
        <v>2509</v>
      </c>
      <c r="E925" s="9" t="str">
        <f aca="false">HYPERLINK("https://twitter.com/newsbott3r/status/921968382756491264","921968382756491264")</f>
        <v>921968382756491264</v>
      </c>
      <c r="F925" s="10" t="s">
        <v>60</v>
      </c>
      <c r="G925" s="10" t="n">
        <v>39</v>
      </c>
      <c r="H925" s="10" t="n">
        <v>0</v>
      </c>
      <c r="I925" s="10" t="n">
        <v>0</v>
      </c>
      <c r="J925" s="10" t="n">
        <v>0</v>
      </c>
      <c r="K925" s="10" t="s">
        <v>20</v>
      </c>
      <c r="L925" s="11" t="n">
        <v>42780.2740856481</v>
      </c>
      <c r="M925" s="12" t="s">
        <v>893</v>
      </c>
      <c r="N925" s="12" t="s">
        <v>2510</v>
      </c>
      <c r="O925" s="9" t="str">
        <f aca="false">HYPERLINK("https://pbs.twimg.com/profile_images/831514197217378304/5Q64N3RD_normal.jpg","View")</f>
        <v>View</v>
      </c>
      <c r="P925" s="10"/>
    </row>
    <row r="926" customFormat="false" ht="15.75" hidden="false" customHeight="false" outlineLevel="0" collapsed="false">
      <c r="A926" s="6" t="n">
        <v>43029.9283912037</v>
      </c>
      <c r="B926" s="7" t="str">
        <f aca="false">HYPERLINK("https://twitter.com/jhncayetano","@jhncayetano")</f>
        <v>@jhncayetano</v>
      </c>
      <c r="C926" s="8" t="s">
        <v>2511</v>
      </c>
      <c r="D926" s="8" t="s">
        <v>2512</v>
      </c>
      <c r="E926" s="9" t="str">
        <f aca="false">HYPERLINK("https://twitter.com/jhncayetano/status/921968580987514888","921968580987514888")</f>
        <v>921968580987514888</v>
      </c>
      <c r="F926" s="10" t="s">
        <v>51</v>
      </c>
      <c r="G926" s="10" t="n">
        <v>1533</v>
      </c>
      <c r="H926" s="10" t="n">
        <v>4195</v>
      </c>
      <c r="I926" s="10" t="n">
        <v>0</v>
      </c>
      <c r="J926" s="10" t="n">
        <v>0</v>
      </c>
      <c r="K926" s="10" t="s">
        <v>20</v>
      </c>
      <c r="L926" s="11" t="n">
        <v>40242.7391898148</v>
      </c>
      <c r="M926" s="12" t="s">
        <v>2513</v>
      </c>
      <c r="N926" s="12"/>
      <c r="O926" s="9" t="str">
        <f aca="false">HYPERLINK("https://pbs.twimg.com/profile_images/641539396433371136/MEHpnikE_normal.jpg","View")</f>
        <v>View</v>
      </c>
      <c r="P926" s="10"/>
    </row>
    <row r="927" customFormat="false" ht="15.75" hidden="false" customHeight="false" outlineLevel="0" collapsed="false">
      <c r="A927" s="6" t="n">
        <v>43029.9287037037</v>
      </c>
      <c r="B927" s="7" t="str">
        <f aca="false">HYPERLINK("https://twitter.com/asp_lankaze","@asp_lankaze")</f>
        <v>@asp_lankaze</v>
      </c>
      <c r="C927" s="8" t="s">
        <v>2514</v>
      </c>
      <c r="D927" s="8" t="s">
        <v>2282</v>
      </c>
      <c r="E927" s="9" t="str">
        <f aca="false">HYPERLINK("https://twitter.com/asp_lankaze/status/921968692228866048","921968692228866048")</f>
        <v>921968692228866048</v>
      </c>
      <c r="F927" s="10" t="s">
        <v>51</v>
      </c>
      <c r="G927" s="10" t="n">
        <v>1143</v>
      </c>
      <c r="H927" s="10" t="n">
        <v>840</v>
      </c>
      <c r="I927" s="10" t="n">
        <v>6</v>
      </c>
      <c r="J927" s="10" t="n">
        <v>0</v>
      </c>
      <c r="K927" s="10" t="s">
        <v>20</v>
      </c>
      <c r="L927" s="11" t="n">
        <v>41504.3161458333</v>
      </c>
      <c r="M927" s="12" t="s">
        <v>2515</v>
      </c>
      <c r="N927" s="12" t="s">
        <v>2516</v>
      </c>
      <c r="O927" s="9" t="str">
        <f aca="false">HYPERLINK("https://pbs.twimg.com/profile_images/798886204578013184/yKE-7gNp_normal.jpg","View")</f>
        <v>View</v>
      </c>
      <c r="P927" s="10"/>
    </row>
    <row r="928" customFormat="false" ht="15.75" hidden="false" customHeight="false" outlineLevel="0" collapsed="false">
      <c r="A928" s="6" t="n">
        <v>43029.9292361111</v>
      </c>
      <c r="B928" s="7" t="str">
        <f aca="false">HYPERLINK("https://twitter.com/obsut55465","@obsut55465")</f>
        <v>@obsut55465</v>
      </c>
      <c r="C928" s="14" t="s">
        <v>2517</v>
      </c>
      <c r="D928" s="8" t="s">
        <v>2518</v>
      </c>
      <c r="E928" s="9" t="str">
        <f aca="false">HYPERLINK("https://twitter.com/obsut55465/status/921968886928482304","921968886928482304")</f>
        <v>921968886928482304</v>
      </c>
      <c r="F928" s="10" t="s">
        <v>25</v>
      </c>
      <c r="G928" s="10" t="n">
        <v>169</v>
      </c>
      <c r="H928" s="10" t="n">
        <v>52</v>
      </c>
      <c r="I928" s="10" t="n">
        <v>14</v>
      </c>
      <c r="J928" s="10" t="n">
        <v>0</v>
      </c>
      <c r="K928" s="10" t="s">
        <v>20</v>
      </c>
      <c r="L928" s="11" t="n">
        <v>42784.0639699074</v>
      </c>
      <c r="M928" s="12"/>
      <c r="N928" s="12"/>
      <c r="O928" s="9" t="str">
        <f aca="false">HYPERLINK("https://pbs.twimg.com/profile_images/912255270545268736/buDgv1po_normal.jpg","View")</f>
        <v>View</v>
      </c>
      <c r="P928" s="10"/>
    </row>
    <row r="929" customFormat="false" ht="15.75" hidden="false" customHeight="false" outlineLevel="0" collapsed="false">
      <c r="A929" s="6" t="n">
        <v>43029.9304398148</v>
      </c>
      <c r="B929" s="7" t="str">
        <f aca="false">HYPERLINK("https://twitter.com/ioannisekolovos","@ioannisekolovos")</f>
        <v>@ioannisekolovos</v>
      </c>
      <c r="C929" s="8" t="s">
        <v>2519</v>
      </c>
      <c r="D929" s="8" t="s">
        <v>2520</v>
      </c>
      <c r="E929" s="9" t="str">
        <f aca="false">HYPERLINK("https://twitter.com/ioannisekolovos/status/921969322351910912","921969322351910912")</f>
        <v>921969322351910912</v>
      </c>
      <c r="F929" s="10" t="s">
        <v>39</v>
      </c>
      <c r="G929" s="10" t="n">
        <v>214</v>
      </c>
      <c r="H929" s="10" t="n">
        <v>61</v>
      </c>
      <c r="I929" s="10" t="n">
        <v>0</v>
      </c>
      <c r="J929" s="10" t="n">
        <v>0</v>
      </c>
      <c r="K929" s="10" t="s">
        <v>20</v>
      </c>
      <c r="L929" s="11" t="n">
        <v>42541.3263541667</v>
      </c>
      <c r="M929" s="12" t="s">
        <v>2521</v>
      </c>
      <c r="N929" s="12" t="s">
        <v>2522</v>
      </c>
      <c r="O929" s="9" t="str">
        <f aca="false">HYPERLINK("https://pbs.twimg.com/profile_images/744905695393419264/LJ1z12Ei_normal.jpg","View")</f>
        <v>View</v>
      </c>
      <c r="P929" s="10"/>
    </row>
    <row r="930" customFormat="false" ht="15.75" hidden="false" customHeight="false" outlineLevel="0" collapsed="false">
      <c r="A930" s="6" t="n">
        <v>43029.9305092593</v>
      </c>
      <c r="B930" s="7" t="str">
        <f aca="false">HYPERLINK("https://twitter.com/asp_lankaze","@asp_lankaze")</f>
        <v>@asp_lankaze</v>
      </c>
      <c r="C930" s="8" t="s">
        <v>2514</v>
      </c>
      <c r="D930" s="8" t="s">
        <v>2018</v>
      </c>
      <c r="E930" s="9" t="str">
        <f aca="false">HYPERLINK("https://twitter.com/asp_lankaze/status/921969346494132224","921969346494132224")</f>
        <v>921969346494132224</v>
      </c>
      <c r="F930" s="10" t="s">
        <v>51</v>
      </c>
      <c r="G930" s="10" t="n">
        <v>1143</v>
      </c>
      <c r="H930" s="10" t="n">
        <v>840</v>
      </c>
      <c r="I930" s="10" t="n">
        <v>19</v>
      </c>
      <c r="J930" s="10" t="n">
        <v>0</v>
      </c>
      <c r="K930" s="10" t="s">
        <v>20</v>
      </c>
      <c r="L930" s="11" t="n">
        <v>41504.3161458333</v>
      </c>
      <c r="M930" s="12" t="s">
        <v>2515</v>
      </c>
      <c r="N930" s="12" t="s">
        <v>2516</v>
      </c>
      <c r="O930" s="9" t="str">
        <f aca="false">HYPERLINK("https://pbs.twimg.com/profile_images/798886204578013184/yKE-7gNp_normal.jpg","View")</f>
        <v>View</v>
      </c>
      <c r="P930" s="10"/>
    </row>
    <row r="931" customFormat="false" ht="15.75" hidden="false" customHeight="false" outlineLevel="0" collapsed="false">
      <c r="A931" s="6" t="n">
        <v>43029.931087963</v>
      </c>
      <c r="B931" s="7" t="str">
        <f aca="false">HYPERLINK("https://twitter.com/asp_lankaze","@asp_lankaze")</f>
        <v>@asp_lankaze</v>
      </c>
      <c r="C931" s="8" t="s">
        <v>2514</v>
      </c>
      <c r="D931" s="8" t="s">
        <v>1748</v>
      </c>
      <c r="E931" s="9" t="str">
        <f aca="false">HYPERLINK("https://twitter.com/asp_lankaze/status/921969558457524224","921969558457524224")</f>
        <v>921969558457524224</v>
      </c>
      <c r="F931" s="10" t="s">
        <v>51</v>
      </c>
      <c r="G931" s="10" t="n">
        <v>1143</v>
      </c>
      <c r="H931" s="10" t="n">
        <v>840</v>
      </c>
      <c r="I931" s="10" t="n">
        <v>8</v>
      </c>
      <c r="J931" s="10" t="n">
        <v>0</v>
      </c>
      <c r="K931" s="10" t="s">
        <v>20</v>
      </c>
      <c r="L931" s="11" t="n">
        <v>41504.3161458333</v>
      </c>
      <c r="M931" s="12" t="s">
        <v>2515</v>
      </c>
      <c r="N931" s="12" t="s">
        <v>2516</v>
      </c>
      <c r="O931" s="9" t="str">
        <f aca="false">HYPERLINK("https://pbs.twimg.com/profile_images/798886204578013184/yKE-7gNp_normal.jpg","View")</f>
        <v>View</v>
      </c>
      <c r="P931" s="10"/>
    </row>
    <row r="932" customFormat="false" ht="15.75" hidden="false" customHeight="false" outlineLevel="0" collapsed="false">
      <c r="A932" s="6" t="n">
        <v>43029.932025463</v>
      </c>
      <c r="B932" s="7" t="str">
        <f aca="false">HYPERLINK("https://twitter.com/Scarlet1Rose","@Scarlet1Rose")</f>
        <v>@Scarlet1Rose</v>
      </c>
      <c r="C932" s="8" t="s">
        <v>2523</v>
      </c>
      <c r="D932" s="8" t="s">
        <v>2518</v>
      </c>
      <c r="E932" s="9" t="str">
        <f aca="false">HYPERLINK("https://twitter.com/Scarlet1Rose/status/921969895662747648","921969895662747648")</f>
        <v>921969895662747648</v>
      </c>
      <c r="F932" s="10" t="s">
        <v>177</v>
      </c>
      <c r="G932" s="10" t="n">
        <v>113</v>
      </c>
      <c r="H932" s="10" t="n">
        <v>409</v>
      </c>
      <c r="I932" s="10" t="n">
        <v>14</v>
      </c>
      <c r="J932" s="10" t="n">
        <v>0</v>
      </c>
      <c r="K932" s="10" t="s">
        <v>20</v>
      </c>
      <c r="L932" s="11" t="n">
        <v>42725.9425694444</v>
      </c>
      <c r="M932" s="12" t="s">
        <v>230</v>
      </c>
      <c r="N932" s="12" t="s">
        <v>2524</v>
      </c>
      <c r="O932" s="9" t="str">
        <f aca="false">HYPERLINK("https://pbs.twimg.com/profile_images/860245960244436992/KkLbDBro_normal.jpg","View")</f>
        <v>View</v>
      </c>
      <c r="P932" s="10"/>
    </row>
    <row r="933" customFormat="false" ht="15.75" hidden="false" customHeight="false" outlineLevel="0" collapsed="false">
      <c r="A933" s="6" t="n">
        <v>43029.9334259259</v>
      </c>
      <c r="B933" s="7" t="str">
        <f aca="false">HYPERLINK("https://twitter.com/paphosmedia","@paphosmedia")</f>
        <v>@paphosmedia</v>
      </c>
      <c r="C933" s="8" t="s">
        <v>2525</v>
      </c>
      <c r="D933" s="8" t="s">
        <v>2518</v>
      </c>
      <c r="E933" s="9" t="str">
        <f aca="false">HYPERLINK("https://twitter.com/paphosmedia/status/921970402934558722","921970402934558722")</f>
        <v>921970402934558722</v>
      </c>
      <c r="F933" s="10" t="s">
        <v>25</v>
      </c>
      <c r="G933" s="10" t="n">
        <v>663</v>
      </c>
      <c r="H933" s="10" t="n">
        <v>126</v>
      </c>
      <c r="I933" s="10" t="n">
        <v>14</v>
      </c>
      <c r="J933" s="10" t="n">
        <v>0</v>
      </c>
      <c r="K933" s="10" t="s">
        <v>20</v>
      </c>
      <c r="L933" s="11" t="n">
        <v>42776.0147222222</v>
      </c>
      <c r="M933" s="12"/>
      <c r="N933" s="12" t="s">
        <v>2526</v>
      </c>
      <c r="O933" s="9" t="str">
        <f aca="false">HYPERLINK("https://pbs.twimg.com/profile_images/830344725861396480/obcvX0RS_normal.jpg","View")</f>
        <v>View</v>
      </c>
      <c r="P933" s="10"/>
    </row>
    <row r="934" customFormat="false" ht="15.75" hidden="false" customHeight="false" outlineLevel="0" collapsed="false">
      <c r="A934" s="6" t="n">
        <v>43029.9338310185</v>
      </c>
      <c r="B934" s="7" t="str">
        <f aca="false">HYPERLINK("https://twitter.com/hikarin_usagi","@hikarin_usagi")</f>
        <v>@hikarin_usagi</v>
      </c>
      <c r="C934" s="14" t="s">
        <v>2527</v>
      </c>
      <c r="D934" s="8" t="s">
        <v>2282</v>
      </c>
      <c r="E934" s="9" t="str">
        <f aca="false">HYPERLINK("https://twitter.com/hikarin_usagi/status/921970550821437440","921970550821437440")</f>
        <v>921970550821437440</v>
      </c>
      <c r="F934" s="10" t="s">
        <v>25</v>
      </c>
      <c r="G934" s="10" t="n">
        <v>214</v>
      </c>
      <c r="H934" s="10" t="n">
        <v>123</v>
      </c>
      <c r="I934" s="10" t="n">
        <v>6</v>
      </c>
      <c r="J934" s="10" t="n">
        <v>0</v>
      </c>
      <c r="K934" s="10" t="s">
        <v>20</v>
      </c>
      <c r="L934" s="11" t="n">
        <v>42308.4944907407</v>
      </c>
      <c r="M934" s="13" t="s">
        <v>2528</v>
      </c>
      <c r="N934" s="12"/>
      <c r="O934" s="9" t="str">
        <f aca="false">HYPERLINK("https://pbs.twimg.com/profile_images/704699602759348225/9QpXm6RM_normal.jpg","View")</f>
        <v>View</v>
      </c>
      <c r="P934" s="10"/>
    </row>
    <row r="935" customFormat="false" ht="15.75" hidden="false" customHeight="false" outlineLevel="0" collapsed="false">
      <c r="A935" s="6" t="n">
        <v>43029.9359027778</v>
      </c>
      <c r="B935" s="7" t="str">
        <f aca="false">HYPERLINK("https://twitter.com/Oryx168","@Oryx168")</f>
        <v>@Oryx168</v>
      </c>
      <c r="C935" s="8" t="s">
        <v>2529</v>
      </c>
      <c r="D935" s="8" t="s">
        <v>2518</v>
      </c>
      <c r="E935" s="9" t="str">
        <f aca="false">HYPERLINK("https://twitter.com/Oryx168/status/921971300578369539","921971300578369539")</f>
        <v>921971300578369539</v>
      </c>
      <c r="F935" s="10" t="s">
        <v>39</v>
      </c>
      <c r="G935" s="10" t="n">
        <v>188</v>
      </c>
      <c r="H935" s="10" t="n">
        <v>1528</v>
      </c>
      <c r="I935" s="10" t="n">
        <v>14</v>
      </c>
      <c r="J935" s="10" t="n">
        <v>0</v>
      </c>
      <c r="K935" s="10" t="s">
        <v>20</v>
      </c>
      <c r="L935" s="11" t="n">
        <v>40157.7658101852</v>
      </c>
      <c r="M935" s="12"/>
      <c r="N935" s="12" t="s">
        <v>2530</v>
      </c>
      <c r="O935" s="9" t="str">
        <f aca="false">HYPERLINK("https://pbs.twimg.com/profile_images/869447076/roaring_wave_normal.jpg","View")</f>
        <v>View</v>
      </c>
      <c r="P935" s="10"/>
    </row>
    <row r="936" customFormat="false" ht="15.75" hidden="false" customHeight="false" outlineLevel="0" collapsed="false">
      <c r="A936" s="6" t="n">
        <v>43029.9364699074</v>
      </c>
      <c r="B936" s="7" t="str">
        <f aca="false">HYPERLINK("https://twitter.com/DogFarley32","@DogFarley32")</f>
        <v>@DogFarley32</v>
      </c>
      <c r="C936" s="8" t="s">
        <v>2531</v>
      </c>
      <c r="D936" s="8" t="s">
        <v>2518</v>
      </c>
      <c r="E936" s="9" t="str">
        <f aca="false">HYPERLINK("https://twitter.com/DogFarley32/status/921971509098196994","921971509098196994")</f>
        <v>921971509098196994</v>
      </c>
      <c r="F936" s="10" t="s">
        <v>25</v>
      </c>
      <c r="G936" s="10" t="n">
        <v>297</v>
      </c>
      <c r="H936" s="10" t="n">
        <v>1962</v>
      </c>
      <c r="I936" s="10" t="n">
        <v>14</v>
      </c>
      <c r="J936" s="10" t="n">
        <v>0</v>
      </c>
      <c r="K936" s="10" t="s">
        <v>20</v>
      </c>
      <c r="L936" s="11" t="n">
        <v>41733.4151157407</v>
      </c>
      <c r="M936" s="12" t="s">
        <v>230</v>
      </c>
      <c r="N936" s="12" t="s">
        <v>2532</v>
      </c>
      <c r="O936" s="9" t="str">
        <f aca="false">HYPERLINK("https://pbs.twimg.com/profile_images/759020646852546561/xrDOZASQ_normal.jpg","View")</f>
        <v>View</v>
      </c>
      <c r="P936" s="10"/>
    </row>
    <row r="937" customFormat="false" ht="15.75" hidden="false" customHeight="false" outlineLevel="0" collapsed="false">
      <c r="A937" s="6" t="n">
        <v>43029.93875</v>
      </c>
      <c r="B937" s="7" t="str">
        <f aca="false">HYPERLINK("https://twitter.com/Batman710","@Batman710")</f>
        <v>@Batman710</v>
      </c>
      <c r="C937" s="8" t="s">
        <v>610</v>
      </c>
      <c r="D937" s="8" t="s">
        <v>2518</v>
      </c>
      <c r="E937" s="9" t="str">
        <f aca="false">HYPERLINK("https://twitter.com/Batman710/status/921972333107179520","921972333107179520")</f>
        <v>921972333107179520</v>
      </c>
      <c r="F937" s="10" t="s">
        <v>177</v>
      </c>
      <c r="G937" s="10" t="n">
        <v>677</v>
      </c>
      <c r="H937" s="10" t="n">
        <v>765</v>
      </c>
      <c r="I937" s="10" t="n">
        <v>14</v>
      </c>
      <c r="J937" s="10" t="n">
        <v>0</v>
      </c>
      <c r="K937" s="10" t="s">
        <v>20</v>
      </c>
      <c r="L937" s="11" t="n">
        <v>40794.0020833333</v>
      </c>
      <c r="M937" s="12"/>
      <c r="N937" s="12" t="s">
        <v>611</v>
      </c>
      <c r="O937" s="9" t="str">
        <f aca="false">HYPERLINK("https://pbs.twimg.com/profile_images/568670621211836416/yWu19xIU_normal.jpeg","View")</f>
        <v>View</v>
      </c>
      <c r="P937" s="10"/>
    </row>
    <row r="938" customFormat="false" ht="15.75" hidden="false" customHeight="false" outlineLevel="0" collapsed="false">
      <c r="A938" s="6" t="n">
        <v>43029.9397453704</v>
      </c>
      <c r="B938" s="7" t="str">
        <f aca="false">HYPERLINK("https://twitter.com/jhamby","@jhamby")</f>
        <v>@jhamby</v>
      </c>
      <c r="C938" s="8" t="s">
        <v>2533</v>
      </c>
      <c r="D938" s="8" t="s">
        <v>2518</v>
      </c>
      <c r="E938" s="9" t="str">
        <f aca="false">HYPERLINK("https://twitter.com/jhamby/status/921972696719622145","921972696719622145")</f>
        <v>921972696719622145</v>
      </c>
      <c r="F938" s="10" t="s">
        <v>51</v>
      </c>
      <c r="G938" s="10" t="n">
        <v>3442</v>
      </c>
      <c r="H938" s="10" t="n">
        <v>4999</v>
      </c>
      <c r="I938" s="10" t="n">
        <v>14</v>
      </c>
      <c r="J938" s="10" t="n">
        <v>0</v>
      </c>
      <c r="K938" s="10" t="s">
        <v>20</v>
      </c>
      <c r="L938" s="11" t="n">
        <v>39542.3770138889</v>
      </c>
      <c r="M938" s="12" t="s">
        <v>752</v>
      </c>
      <c r="N938" s="12" t="s">
        <v>2534</v>
      </c>
      <c r="O938" s="9" t="str">
        <f aca="false">HYPERLINK("https://pbs.twimg.com/profile_images/547074444435283972/FA2n0_Zv_normal.jpeg","View")</f>
        <v>View</v>
      </c>
      <c r="P938" s="10"/>
    </row>
    <row r="939" customFormat="false" ht="15.75" hidden="false" customHeight="false" outlineLevel="0" collapsed="false">
      <c r="A939" s="6" t="n">
        <v>43029.9403240741</v>
      </c>
      <c r="B939" s="7" t="str">
        <f aca="false">HYPERLINK("https://twitter.com/News_Today4","@News_Today4")</f>
        <v>@News_Today4</v>
      </c>
      <c r="C939" s="8" t="s">
        <v>2535</v>
      </c>
      <c r="D939" s="8" t="s">
        <v>2536</v>
      </c>
      <c r="E939" s="9" t="str">
        <f aca="false">HYPERLINK("https://twitter.com/News_Today4/status/921972904098545664","921972904098545664")</f>
        <v>921972904098545664</v>
      </c>
      <c r="F939" s="9" t="s">
        <v>1147</v>
      </c>
      <c r="G939" s="10" t="n">
        <v>2331</v>
      </c>
      <c r="H939" s="10" t="n">
        <v>1941</v>
      </c>
      <c r="I939" s="10" t="n">
        <v>0</v>
      </c>
      <c r="J939" s="10" t="n">
        <v>0</v>
      </c>
      <c r="K939" s="10" t="s">
        <v>20</v>
      </c>
      <c r="L939" s="11" t="n">
        <v>42625.3758680556</v>
      </c>
      <c r="M939" s="12" t="s">
        <v>230</v>
      </c>
      <c r="N939" s="12" t="s">
        <v>2537</v>
      </c>
      <c r="O939" s="9" t="str">
        <f aca="false">HYPERLINK("https://pbs.twimg.com/profile_images/775365385294008320/OqkcfFUp_normal.jpg","View")</f>
        <v>View</v>
      </c>
      <c r="P939" s="10"/>
    </row>
    <row r="940" customFormat="false" ht="15.75" hidden="false" customHeight="false" outlineLevel="0" collapsed="false">
      <c r="A940" s="6" t="n">
        <v>43029.9421643519</v>
      </c>
      <c r="B940" s="7" t="str">
        <f aca="false">HYPERLINK("https://twitter.com/yoko221b","@yoko221b")</f>
        <v>@yoko221b</v>
      </c>
      <c r="C940" s="8" t="s">
        <v>2538</v>
      </c>
      <c r="D940" s="8" t="s">
        <v>2518</v>
      </c>
      <c r="E940" s="9" t="str">
        <f aca="false">HYPERLINK("https://twitter.com/yoko221b/status/921973570930057216","921973570930057216")</f>
        <v>921973570930057216</v>
      </c>
      <c r="F940" s="10" t="s">
        <v>39</v>
      </c>
      <c r="G940" s="10" t="n">
        <v>137</v>
      </c>
      <c r="H940" s="10" t="n">
        <v>189</v>
      </c>
      <c r="I940" s="10" t="n">
        <v>14</v>
      </c>
      <c r="J940" s="10" t="n">
        <v>0</v>
      </c>
      <c r="K940" s="10" t="s">
        <v>20</v>
      </c>
      <c r="L940" s="11" t="n">
        <v>40028.2478819444</v>
      </c>
      <c r="M940" s="12" t="s">
        <v>1473</v>
      </c>
      <c r="N940" s="13" t="s">
        <v>2539</v>
      </c>
      <c r="O940" s="9" t="str">
        <f aca="false">HYPERLINK("https://pbs.twimg.com/profile_images/498760110596841473/BFN-ecDu_normal.jpeg","View")</f>
        <v>View</v>
      </c>
      <c r="P940" s="10"/>
    </row>
    <row r="941" customFormat="false" ht="15.75" hidden="false" customHeight="false" outlineLevel="0" collapsed="false">
      <c r="A941" s="6" t="n">
        <v>43029.9432638889</v>
      </c>
      <c r="B941" s="7" t="str">
        <f aca="false">HYPERLINK("https://twitter.com/ratedK_slxdeg","@ratedK_slxdeg")</f>
        <v>@ratedK_slxdeg</v>
      </c>
      <c r="C941" s="14" t="s">
        <v>2540</v>
      </c>
      <c r="D941" s="8" t="s">
        <v>2295</v>
      </c>
      <c r="E941" s="9" t="str">
        <f aca="false">HYPERLINK("https://twitter.com/ratedK_slxdeg/status/921973969338564609","921973969338564609")</f>
        <v>921973969338564609</v>
      </c>
      <c r="F941" s="10" t="s">
        <v>1289</v>
      </c>
      <c r="G941" s="10" t="n">
        <v>249</v>
      </c>
      <c r="H941" s="10" t="n">
        <v>140</v>
      </c>
      <c r="I941" s="10" t="n">
        <v>5</v>
      </c>
      <c r="J941" s="10" t="n">
        <v>0</v>
      </c>
      <c r="K941" s="10" t="s">
        <v>20</v>
      </c>
      <c r="L941" s="11" t="n">
        <v>39949.1875578704</v>
      </c>
      <c r="M941" s="12" t="s">
        <v>2541</v>
      </c>
      <c r="N941" s="13" t="s">
        <v>2542</v>
      </c>
      <c r="O941" s="9" t="str">
        <f aca="false">HYPERLINK("https://pbs.twimg.com/profile_images/912733082796539904/qRLSDFqd_normal.jpg","View")</f>
        <v>View</v>
      </c>
      <c r="P941" s="10"/>
    </row>
    <row r="942" customFormat="false" ht="15.75" hidden="false" customHeight="false" outlineLevel="0" collapsed="false">
      <c r="A942" s="6" t="n">
        <v>43029.9457638889</v>
      </c>
      <c r="B942" s="7" t="str">
        <f aca="false">HYPERLINK("https://twitter.com/CA_Streaming","@CA_Streaming")</f>
        <v>@CA_Streaming</v>
      </c>
      <c r="C942" s="8" t="s">
        <v>1927</v>
      </c>
      <c r="D942" s="8" t="s">
        <v>2518</v>
      </c>
      <c r="E942" s="9" t="str">
        <f aca="false">HYPERLINK("https://twitter.com/CA_Streaming/status/921974876918992896","921974876918992896")</f>
        <v>921974876918992896</v>
      </c>
      <c r="F942" s="10" t="s">
        <v>51</v>
      </c>
      <c r="G942" s="10" t="n">
        <v>926</v>
      </c>
      <c r="H942" s="10" t="n">
        <v>3525</v>
      </c>
      <c r="I942" s="10" t="n">
        <v>14</v>
      </c>
      <c r="J942" s="10" t="n">
        <v>0</v>
      </c>
      <c r="K942" s="10" t="s">
        <v>20</v>
      </c>
      <c r="L942" s="11" t="n">
        <v>42282.0750810185</v>
      </c>
      <c r="M942" s="12" t="s">
        <v>1928</v>
      </c>
      <c r="N942" s="12" t="s">
        <v>1929</v>
      </c>
      <c r="O942" s="9" t="str">
        <f aca="false">HYPERLINK("https://pbs.twimg.com/profile_images/651009082401275905/mRcyMlhX_normal.png","View")</f>
        <v>View</v>
      </c>
      <c r="P942" s="10"/>
    </row>
    <row r="943" customFormat="false" ht="15.75" hidden="false" customHeight="false" outlineLevel="0" collapsed="false">
      <c r="A943" s="6" t="n">
        <v>43029.9465162037</v>
      </c>
      <c r="B943" s="7" t="str">
        <f aca="false">HYPERLINK("https://twitter.com/CMQuinn45","@CMQuinn45")</f>
        <v>@CMQuinn45</v>
      </c>
      <c r="C943" s="8" t="s">
        <v>2543</v>
      </c>
      <c r="D943" s="8" t="s">
        <v>2339</v>
      </c>
      <c r="E943" s="9" t="str">
        <f aca="false">HYPERLINK("https://twitter.com/CMQuinn45/status/921975149070618624","921975149070618624")</f>
        <v>921975149070618624</v>
      </c>
      <c r="F943" s="10" t="s">
        <v>25</v>
      </c>
      <c r="G943" s="10" t="n">
        <v>88</v>
      </c>
      <c r="H943" s="10" t="n">
        <v>90</v>
      </c>
      <c r="I943" s="10" t="n">
        <v>51</v>
      </c>
      <c r="J943" s="10" t="n">
        <v>0</v>
      </c>
      <c r="K943" s="10" t="s">
        <v>20</v>
      </c>
      <c r="L943" s="11" t="n">
        <v>42325.1927430556</v>
      </c>
      <c r="M943" s="12"/>
      <c r="N943" s="12"/>
      <c r="O943" s="9" t="str">
        <f aca="false">HYPERLINK("https://abs.twimg.com/sticky/default_profile_images/default_profile_normal.png","View")</f>
        <v>View</v>
      </c>
      <c r="P943" s="10"/>
    </row>
    <row r="944" customFormat="false" ht="15.75" hidden="false" customHeight="false" outlineLevel="0" collapsed="false">
      <c r="A944" s="6" t="n">
        <v>43029.9484722222</v>
      </c>
      <c r="B944" s="7" t="str">
        <f aca="false">HYPERLINK("https://twitter.com/ideas4thefuture","@ideas4thefuture")</f>
        <v>@ideas4thefuture</v>
      </c>
      <c r="C944" s="8" t="s">
        <v>2544</v>
      </c>
      <c r="D944" s="8" t="s">
        <v>2545</v>
      </c>
      <c r="E944" s="9" t="str">
        <f aca="false">HYPERLINK("https://twitter.com/ideas4thefuture/status/921975857417158656","921975857417158656")</f>
        <v>921975857417158656</v>
      </c>
      <c r="F944" s="10" t="s">
        <v>39</v>
      </c>
      <c r="G944" s="10" t="n">
        <v>5859</v>
      </c>
      <c r="H944" s="10" t="n">
        <v>2795</v>
      </c>
      <c r="I944" s="10" t="n">
        <v>0</v>
      </c>
      <c r="J944" s="10" t="n">
        <v>0</v>
      </c>
      <c r="K944" s="10" t="s">
        <v>20</v>
      </c>
      <c r="L944" s="11" t="n">
        <v>40603.115787037</v>
      </c>
      <c r="M944" s="12" t="s">
        <v>2546</v>
      </c>
      <c r="N944" s="12" t="s">
        <v>2547</v>
      </c>
      <c r="O944" s="9" t="str">
        <f aca="false">HYPERLINK("https://pbs.twimg.com/profile_images/480338234699173889/IUZBg5H0_normal.jpeg","View")</f>
        <v>View</v>
      </c>
      <c r="P944" s="10"/>
    </row>
    <row r="945" customFormat="false" ht="15.75" hidden="false" customHeight="false" outlineLevel="0" collapsed="false">
      <c r="A945" s="6" t="n">
        <v>43029.9484837963</v>
      </c>
      <c r="B945" s="7" t="str">
        <f aca="false">HYPERLINK("https://twitter.com/tokyotyrell","@tokyotyrell")</f>
        <v>@tokyotyrell</v>
      </c>
      <c r="C945" s="8" t="s">
        <v>2548</v>
      </c>
      <c r="D945" s="8" t="s">
        <v>2518</v>
      </c>
      <c r="E945" s="9" t="str">
        <f aca="false">HYPERLINK("https://twitter.com/tokyotyrell/status/921975860931870720","921975860931870720")</f>
        <v>921975860931870720</v>
      </c>
      <c r="F945" s="10" t="s">
        <v>51</v>
      </c>
      <c r="G945" s="10" t="n">
        <v>1730</v>
      </c>
      <c r="H945" s="10" t="n">
        <v>1528</v>
      </c>
      <c r="I945" s="10" t="n">
        <v>14</v>
      </c>
      <c r="J945" s="10" t="n">
        <v>0</v>
      </c>
      <c r="K945" s="10" t="s">
        <v>20</v>
      </c>
      <c r="L945" s="11" t="n">
        <v>39783.0461458333</v>
      </c>
      <c r="M945" s="12" t="s">
        <v>2549</v>
      </c>
      <c r="N945" s="12" t="s">
        <v>2550</v>
      </c>
      <c r="O945" s="9" t="str">
        <f aca="false">HYPERLINK("https://pbs.twimg.com/profile_images/663718527849754624/U-hH8262_normal.jpg","View")</f>
        <v>View</v>
      </c>
      <c r="P945" s="10"/>
    </row>
    <row r="946" customFormat="false" ht="15.75" hidden="false" customHeight="false" outlineLevel="0" collapsed="false">
      <c r="A946" s="6" t="n">
        <v>43029.9502314815</v>
      </c>
      <c r="B946" s="7" t="str">
        <f aca="false">HYPERLINK("https://twitter.com/REALANNABELLA","@REALANNABELLA")</f>
        <v>@REALANNABELLA</v>
      </c>
      <c r="C946" s="8" t="s">
        <v>2551</v>
      </c>
      <c r="D946" s="8" t="s">
        <v>2518</v>
      </c>
      <c r="E946" s="9" t="str">
        <f aca="false">HYPERLINK("https://twitter.com/REALANNABELLA/status/921976495618252801","921976495618252801")</f>
        <v>921976495618252801</v>
      </c>
      <c r="F946" s="10" t="s">
        <v>51</v>
      </c>
      <c r="G946" s="10" t="n">
        <v>61</v>
      </c>
      <c r="H946" s="10" t="n">
        <v>312</v>
      </c>
      <c r="I946" s="10" t="n">
        <v>14</v>
      </c>
      <c r="J946" s="10" t="n">
        <v>0</v>
      </c>
      <c r="K946" s="10" t="s">
        <v>20</v>
      </c>
      <c r="L946" s="11" t="n">
        <v>39937.7052083333</v>
      </c>
      <c r="M946" s="12" t="s">
        <v>2552</v>
      </c>
      <c r="N946" s="12" t="s">
        <v>2553</v>
      </c>
      <c r="O946" s="9" t="str">
        <f aca="false">HYPERLINK("https://pbs.twimg.com/profile_images/481183875926736896/txSmtDF0_normal.jpeg","View")</f>
        <v>View</v>
      </c>
      <c r="P946" s="10"/>
    </row>
    <row r="947" customFormat="false" ht="15.75" hidden="false" customHeight="false" outlineLevel="0" collapsed="false">
      <c r="A947" s="6" t="n">
        <v>43029.9524537037</v>
      </c>
      <c r="B947" s="7" t="str">
        <f aca="false">HYPERLINK("https://twitter.com/chorleychicken","@chorleychicken")</f>
        <v>@chorleychicken</v>
      </c>
      <c r="C947" s="8" t="s">
        <v>2554</v>
      </c>
      <c r="D947" s="8" t="s">
        <v>2555</v>
      </c>
      <c r="E947" s="9" t="str">
        <f aca="false">HYPERLINK("https://twitter.com/chorleychicken/status/921977301696425984","921977301696425984")</f>
        <v>921977301696425984</v>
      </c>
      <c r="F947" s="10" t="s">
        <v>2556</v>
      </c>
      <c r="G947" s="10" t="n">
        <v>338</v>
      </c>
      <c r="H947" s="10" t="n">
        <v>930</v>
      </c>
      <c r="I947" s="10" t="n">
        <v>0</v>
      </c>
      <c r="J947" s="10" t="n">
        <v>0</v>
      </c>
      <c r="K947" s="10" t="s">
        <v>20</v>
      </c>
      <c r="L947" s="11" t="n">
        <v>40173.3859375</v>
      </c>
      <c r="M947" s="12"/>
      <c r="N947" s="12"/>
      <c r="O947" s="9" t="str">
        <f aca="false">HYPERLINK("https://abs.twimg.com/sticky/default_profile_images/default_profile_normal.png","View")</f>
        <v>View</v>
      </c>
      <c r="P947" s="10"/>
    </row>
    <row r="948" customFormat="false" ht="15.75" hidden="false" customHeight="false" outlineLevel="0" collapsed="false">
      <c r="A948" s="6" t="n">
        <v>43029.9545949074</v>
      </c>
      <c r="B948" s="7" t="str">
        <f aca="false">HYPERLINK("https://twitter.com/FAquila","@FAquila")</f>
        <v>@FAquila</v>
      </c>
      <c r="C948" s="8" t="s">
        <v>2557</v>
      </c>
      <c r="D948" s="8" t="s">
        <v>2558</v>
      </c>
      <c r="E948" s="9" t="str">
        <f aca="false">HYPERLINK("https://twitter.com/FAquila/status/921978077441286144","921978077441286144")</f>
        <v>921978077441286144</v>
      </c>
      <c r="F948" s="10" t="s">
        <v>39</v>
      </c>
      <c r="G948" s="10" t="n">
        <v>4668</v>
      </c>
      <c r="H948" s="10" t="n">
        <v>75</v>
      </c>
      <c r="I948" s="10" t="n">
        <v>2</v>
      </c>
      <c r="J948" s="10" t="n">
        <v>1</v>
      </c>
      <c r="K948" s="10" t="s">
        <v>20</v>
      </c>
      <c r="L948" s="11" t="n">
        <v>39908.4122800926</v>
      </c>
      <c r="M948" s="12" t="s">
        <v>319</v>
      </c>
      <c r="N948" s="12" t="s">
        <v>2559</v>
      </c>
      <c r="O948" s="9" t="str">
        <f aca="false">HYPERLINK("https://pbs.twimg.com/profile_images/561543841040592898/3xVOyZei_normal.jpeg","View")</f>
        <v>View</v>
      </c>
      <c r="P948" s="10"/>
    </row>
    <row r="949" customFormat="false" ht="15.75" hidden="false" customHeight="false" outlineLevel="0" collapsed="false">
      <c r="A949" s="6" t="n">
        <v>43029.9592708333</v>
      </c>
      <c r="B949" s="7" t="str">
        <f aca="false">HYPERLINK("https://twitter.com/J75614042","@J75614042")</f>
        <v>@J75614042</v>
      </c>
      <c r="C949" s="8" t="s">
        <v>2560</v>
      </c>
      <c r="D949" s="8" t="s">
        <v>2561</v>
      </c>
      <c r="E949" s="9" t="str">
        <f aca="false">HYPERLINK("https://twitter.com/J75614042/status/921979769310212098","921979769310212098")</f>
        <v>921979769310212098</v>
      </c>
      <c r="F949" s="10" t="s">
        <v>177</v>
      </c>
      <c r="G949" s="10" t="n">
        <v>7</v>
      </c>
      <c r="H949" s="10" t="n">
        <v>3</v>
      </c>
      <c r="I949" s="10" t="n">
        <v>0</v>
      </c>
      <c r="J949" s="10" t="n">
        <v>0</v>
      </c>
      <c r="K949" s="10" t="s">
        <v>20</v>
      </c>
      <c r="L949" s="11" t="n">
        <v>42956.1860069444</v>
      </c>
      <c r="M949" s="13" t="s">
        <v>709</v>
      </c>
      <c r="N949" s="13" t="s">
        <v>2562</v>
      </c>
      <c r="O949" s="9" t="str">
        <f aca="false">HYPERLINK("https://abs.twimg.com/sticky/default_profile_images/default_profile_normal.png","View")</f>
        <v>View</v>
      </c>
      <c r="P949" s="10"/>
    </row>
    <row r="950" customFormat="false" ht="15.75" hidden="false" customHeight="false" outlineLevel="0" collapsed="false">
      <c r="A950" s="6" t="n">
        <v>43029.960162037</v>
      </c>
      <c r="B950" s="7" t="str">
        <f aca="false">HYPERLINK("https://twitter.com/CharliesTapRoom","@CharliesTapRoom")</f>
        <v>@CharliesTapRoom</v>
      </c>
      <c r="C950" s="8" t="s">
        <v>2563</v>
      </c>
      <c r="D950" s="8" t="s">
        <v>2564</v>
      </c>
      <c r="E950" s="9" t="str">
        <f aca="false">HYPERLINK("https://twitter.com/CharliesTapRoom/status/921980093110423553","921980093110423553")</f>
        <v>921980093110423553</v>
      </c>
      <c r="F950" s="9" t="s">
        <v>1147</v>
      </c>
      <c r="G950" s="10" t="n">
        <v>1498</v>
      </c>
      <c r="H950" s="10" t="n">
        <v>1407</v>
      </c>
      <c r="I950" s="10" t="n">
        <v>0</v>
      </c>
      <c r="J950" s="10" t="n">
        <v>0</v>
      </c>
      <c r="K950" s="10" t="s">
        <v>20</v>
      </c>
      <c r="L950" s="11" t="n">
        <v>42931.7613888889</v>
      </c>
      <c r="M950" s="12" t="s">
        <v>2565</v>
      </c>
      <c r="N950" s="12" t="s">
        <v>2566</v>
      </c>
      <c r="O950" s="9" t="str">
        <f aca="false">HYPERLINK("https://pbs.twimg.com/profile_images/907421994337095680/zBGPRZUW_normal.jpg","View")</f>
        <v>View</v>
      </c>
      <c r="P950" s="10"/>
    </row>
    <row r="951" customFormat="false" ht="15.75" hidden="false" customHeight="false" outlineLevel="0" collapsed="false">
      <c r="A951" s="6" t="n">
        <v>43029.960162037</v>
      </c>
      <c r="B951" s="7" t="str">
        <f aca="false">HYPERLINK("https://twitter.com/Fabiolucv","@Fabiolucv")</f>
        <v>@Fabiolucv</v>
      </c>
      <c r="C951" s="8" t="s">
        <v>2567</v>
      </c>
      <c r="D951" s="8" t="s">
        <v>2568</v>
      </c>
      <c r="E951" s="9" t="str">
        <f aca="false">HYPERLINK("https://twitter.com/Fabiolucv/status/921980093592879104","921980093592879104")</f>
        <v>921980093592879104</v>
      </c>
      <c r="F951" s="9" t="s">
        <v>1147</v>
      </c>
      <c r="G951" s="10" t="n">
        <v>638</v>
      </c>
      <c r="H951" s="10" t="n">
        <v>342</v>
      </c>
      <c r="I951" s="10" t="n">
        <v>0</v>
      </c>
      <c r="J951" s="10" t="n">
        <v>0</v>
      </c>
      <c r="K951" s="10" t="s">
        <v>20</v>
      </c>
      <c r="L951" s="11" t="n">
        <v>40199.4139930556</v>
      </c>
      <c r="M951" s="12" t="s">
        <v>1008</v>
      </c>
      <c r="N951" s="12" t="s">
        <v>2569</v>
      </c>
      <c r="O951" s="9" t="str">
        <f aca="false">HYPERLINK("https://pbs.twimg.com/profile_images/915201585290072064/BufUp5rz_normal.jpg","View")</f>
        <v>View</v>
      </c>
      <c r="P951" s="10"/>
    </row>
    <row r="952" customFormat="false" ht="15.75" hidden="false" customHeight="false" outlineLevel="0" collapsed="false">
      <c r="A952" s="6" t="n">
        <v>43029.9601736111</v>
      </c>
      <c r="B952" s="7" t="str">
        <f aca="false">HYPERLINK("https://twitter.com/Guyadim","@Guyadim")</f>
        <v>@Guyadim</v>
      </c>
      <c r="C952" s="8" t="s">
        <v>2570</v>
      </c>
      <c r="D952" s="8" t="s">
        <v>2571</v>
      </c>
      <c r="E952" s="9" t="str">
        <f aca="false">HYPERLINK("https://twitter.com/Guyadim/status/921980096180654085","921980096180654085")</f>
        <v>921980096180654085</v>
      </c>
      <c r="F952" s="9" t="s">
        <v>1147</v>
      </c>
      <c r="G952" s="10" t="n">
        <v>347</v>
      </c>
      <c r="H952" s="10" t="n">
        <v>17</v>
      </c>
      <c r="I952" s="10" t="n">
        <v>0</v>
      </c>
      <c r="J952" s="10" t="n">
        <v>0</v>
      </c>
      <c r="K952" s="10" t="s">
        <v>20</v>
      </c>
      <c r="L952" s="11" t="n">
        <v>40292.1427893519</v>
      </c>
      <c r="M952" s="12"/>
      <c r="N952" s="12" t="s">
        <v>2572</v>
      </c>
      <c r="O952" s="9" t="str">
        <f aca="false">HYPERLINK("https://pbs.twimg.com/profile_images/850958718/paintball_normal.jpg","View")</f>
        <v>View</v>
      </c>
      <c r="P952" s="10"/>
    </row>
    <row r="953" customFormat="false" ht="15.75" hidden="false" customHeight="false" outlineLevel="0" collapsed="false">
      <c r="A953" s="6" t="n">
        <v>43029.9601736111</v>
      </c>
      <c r="B953" s="7" t="str">
        <f aca="false">HYPERLINK("https://twitter.com/WorldNewsGPS","@WorldNewsGPS")</f>
        <v>@WorldNewsGPS</v>
      </c>
      <c r="C953" s="8" t="s">
        <v>2573</v>
      </c>
      <c r="D953" s="8" t="s">
        <v>2574</v>
      </c>
      <c r="E953" s="9" t="str">
        <f aca="false">HYPERLINK("https://twitter.com/WorldNewsGPS/status/921980098290446336","921980098290446336")</f>
        <v>921980098290446336</v>
      </c>
      <c r="F953" s="9" t="s">
        <v>1147</v>
      </c>
      <c r="G953" s="10" t="n">
        <v>5082</v>
      </c>
      <c r="H953" s="10" t="n">
        <v>3634</v>
      </c>
      <c r="I953" s="10" t="n">
        <v>0</v>
      </c>
      <c r="J953" s="10" t="n">
        <v>0</v>
      </c>
      <c r="K953" s="10" t="s">
        <v>20</v>
      </c>
      <c r="L953" s="11" t="n">
        <v>41855.6448263889</v>
      </c>
      <c r="M953" s="12" t="s">
        <v>2575</v>
      </c>
      <c r="N953" s="12" t="s">
        <v>2576</v>
      </c>
      <c r="O953" s="9" t="str">
        <f aca="false">HYPERLINK("https://pbs.twimg.com/profile_images/923461394355257344/b0o17ueG_normal.jpg","View")</f>
        <v>View</v>
      </c>
      <c r="P953" s="10"/>
    </row>
    <row r="954" customFormat="false" ht="15.75" hidden="false" customHeight="false" outlineLevel="0" collapsed="false">
      <c r="A954" s="6" t="n">
        <v>43029.9601736111</v>
      </c>
      <c r="B954" s="7" t="str">
        <f aca="false">HYPERLINK("https://twitter.com/Chris_1791","@Chris_1791")</f>
        <v>@Chris_1791</v>
      </c>
      <c r="C954" s="8" t="s">
        <v>2577</v>
      </c>
      <c r="D954" s="8" t="s">
        <v>2578</v>
      </c>
      <c r="E954" s="9" t="str">
        <f aca="false">HYPERLINK("https://twitter.com/Chris_1791/status/921980098516893696","921980098516893696")</f>
        <v>921980098516893696</v>
      </c>
      <c r="F954" s="9" t="s">
        <v>1147</v>
      </c>
      <c r="G954" s="10" t="n">
        <v>69725</v>
      </c>
      <c r="H954" s="10" t="n">
        <v>25407</v>
      </c>
      <c r="I954" s="10" t="n">
        <v>0</v>
      </c>
      <c r="J954" s="10" t="n">
        <v>0</v>
      </c>
      <c r="K954" s="10" t="s">
        <v>20</v>
      </c>
      <c r="L954" s="11" t="n">
        <v>40700.4311921296</v>
      </c>
      <c r="M954" s="12" t="s">
        <v>2579</v>
      </c>
      <c r="N954" s="12" t="s">
        <v>2580</v>
      </c>
      <c r="O954" s="9" t="str">
        <f aca="false">HYPERLINK("https://pbs.twimg.com/profile_images/919652912032337921/Awk-SC1O_normal.jpg","View")</f>
        <v>View</v>
      </c>
      <c r="P954" s="10"/>
    </row>
    <row r="955" customFormat="false" ht="15.75" hidden="false" customHeight="false" outlineLevel="0" collapsed="false">
      <c r="A955" s="6" t="n">
        <v>43029.9603935185</v>
      </c>
      <c r="B955" s="7" t="str">
        <f aca="false">HYPERLINK("https://twitter.com/kenything","@kenything")</f>
        <v>@kenything</v>
      </c>
      <c r="C955" s="8" t="s">
        <v>2581</v>
      </c>
      <c r="D955" s="8" t="s">
        <v>2582</v>
      </c>
      <c r="E955" s="9" t="str">
        <f aca="false">HYPERLINK("https://twitter.com/kenything/status/921980176832937984","921980176832937984")</f>
        <v>921980176832937984</v>
      </c>
      <c r="F955" s="10" t="s">
        <v>51</v>
      </c>
      <c r="G955" s="10" t="n">
        <v>24</v>
      </c>
      <c r="H955" s="10" t="n">
        <v>10</v>
      </c>
      <c r="I955" s="10" t="n">
        <v>0</v>
      </c>
      <c r="J955" s="10" t="n">
        <v>0</v>
      </c>
      <c r="K955" s="10" t="s">
        <v>20</v>
      </c>
      <c r="L955" s="11" t="n">
        <v>42867.8029861111</v>
      </c>
      <c r="M955" s="12"/>
      <c r="N955" s="12"/>
      <c r="O955" s="9" t="str">
        <f aca="false">HYPERLINK("https://pbs.twimg.com/profile_images/873164099751772161/-25ab9-b_normal.jpg","View")</f>
        <v>View</v>
      </c>
      <c r="P955" s="10"/>
    </row>
    <row r="956" customFormat="false" ht="15.75" hidden="false" customHeight="false" outlineLevel="0" collapsed="false">
      <c r="A956" s="6" t="n">
        <v>43029.9605092593</v>
      </c>
      <c r="B956" s="7" t="str">
        <f aca="false">HYPERLINK("https://twitter.com/Shulab","@Shulab")</f>
        <v>@Shulab</v>
      </c>
      <c r="C956" s="8" t="s">
        <v>2583</v>
      </c>
      <c r="D956" s="8" t="s">
        <v>2584</v>
      </c>
      <c r="E956" s="9" t="str">
        <f aca="false">HYPERLINK("https://twitter.com/Shulab/status/921980219476660224","921980219476660224")</f>
        <v>921980219476660224</v>
      </c>
      <c r="F956" s="10" t="s">
        <v>60</v>
      </c>
      <c r="G956" s="10" t="n">
        <v>1170</v>
      </c>
      <c r="H956" s="10" t="n">
        <v>1142</v>
      </c>
      <c r="I956" s="10" t="n">
        <v>0</v>
      </c>
      <c r="J956" s="10" t="n">
        <v>0</v>
      </c>
      <c r="K956" s="10" t="s">
        <v>20</v>
      </c>
      <c r="L956" s="11" t="n">
        <v>39847.0144791667</v>
      </c>
      <c r="M956" s="12" t="s">
        <v>2585</v>
      </c>
      <c r="N956" s="12" t="s">
        <v>2586</v>
      </c>
      <c r="O956" s="9" t="str">
        <f aca="false">HYPERLINK("https://pbs.twimg.com/profile_images/915602431660011521/0bshRJi7_normal.jpg","View")</f>
        <v>View</v>
      </c>
      <c r="P956" s="10"/>
    </row>
    <row r="957" customFormat="false" ht="15.75" hidden="false" customHeight="false" outlineLevel="0" collapsed="false">
      <c r="A957" s="6" t="n">
        <v>43029.9606134259</v>
      </c>
      <c r="B957" s="7" t="str">
        <f aca="false">HYPERLINK("https://twitter.com/loopnewsinfo","@loopnewsinfo")</f>
        <v>@loopnewsinfo</v>
      </c>
      <c r="C957" s="8" t="s">
        <v>2587</v>
      </c>
      <c r="D957" s="8" t="s">
        <v>2588</v>
      </c>
      <c r="E957" s="9" t="str">
        <f aca="false">HYPERLINK("https://twitter.com/loopnewsinfo/status/921980258634620928","921980258634620928")</f>
        <v>921980258634620928</v>
      </c>
      <c r="F957" s="10" t="s">
        <v>2589</v>
      </c>
      <c r="G957" s="10" t="n">
        <v>56</v>
      </c>
      <c r="H957" s="10" t="n">
        <v>324</v>
      </c>
      <c r="I957" s="10" t="n">
        <v>0</v>
      </c>
      <c r="J957" s="10" t="n">
        <v>0</v>
      </c>
      <c r="K957" s="10" t="s">
        <v>20</v>
      </c>
      <c r="L957" s="11" t="n">
        <v>42354.1801736111</v>
      </c>
      <c r="M957" s="12" t="s">
        <v>370</v>
      </c>
      <c r="N957" s="12" t="s">
        <v>2590</v>
      </c>
      <c r="O957" s="9" t="str">
        <f aca="false">HYPERLINK("https://pbs.twimg.com/profile_images/906867214233501701/CzYpmEWn_normal.jpg","View")</f>
        <v>View</v>
      </c>
      <c r="P957" s="10"/>
    </row>
    <row r="958" customFormat="false" ht="15.75" hidden="false" customHeight="false" outlineLevel="0" collapsed="false">
      <c r="A958" s="6" t="n">
        <v>43029.9607407407</v>
      </c>
      <c r="B958" s="7" t="str">
        <f aca="false">HYPERLINK("https://twitter.com/FoxAlgeria","@FoxAlgeria")</f>
        <v>@FoxAlgeria</v>
      </c>
      <c r="C958" s="8" t="s">
        <v>2591</v>
      </c>
      <c r="D958" s="8" t="s">
        <v>2592</v>
      </c>
      <c r="E958" s="9" t="str">
        <f aca="false">HYPERLINK("https://twitter.com/FoxAlgeria/status/921980302351851520","921980302351851520")</f>
        <v>921980302351851520</v>
      </c>
      <c r="F958" s="9" t="s">
        <v>2138</v>
      </c>
      <c r="G958" s="10" t="n">
        <v>360</v>
      </c>
      <c r="H958" s="10" t="n">
        <v>1</v>
      </c>
      <c r="I958" s="10" t="n">
        <v>0</v>
      </c>
      <c r="J958" s="10" t="n">
        <v>0</v>
      </c>
      <c r="K958" s="10" t="s">
        <v>20</v>
      </c>
      <c r="L958" s="11" t="n">
        <v>41868.7699884259</v>
      </c>
      <c r="M958" s="12" t="s">
        <v>2593</v>
      </c>
      <c r="N958" s="12" t="s">
        <v>2594</v>
      </c>
      <c r="O958" s="9" t="str">
        <f aca="false">HYPERLINK("https://pbs.twimg.com/profile_images/615836745104523265/tRsjGG8m_normal.png","View")</f>
        <v>View</v>
      </c>
      <c r="P958" s="10"/>
    </row>
    <row r="959" customFormat="false" ht="15.75" hidden="false" customHeight="false" outlineLevel="0" collapsed="false">
      <c r="A959" s="6" t="n">
        <v>43029.9608449074</v>
      </c>
      <c r="B959" s="7" t="str">
        <f aca="false">HYPERLINK("https://twitter.com/newsly","@newsly")</f>
        <v>@newsly</v>
      </c>
      <c r="C959" s="8" t="s">
        <v>1281</v>
      </c>
      <c r="D959" s="8" t="s">
        <v>2595</v>
      </c>
      <c r="E959" s="9" t="str">
        <f aca="false">HYPERLINK("https://twitter.com/newsly/status/921980341740621824","921980341740621824")</f>
        <v>921980341740621824</v>
      </c>
      <c r="F959" s="10" t="s">
        <v>60</v>
      </c>
      <c r="G959" s="10" t="n">
        <v>313</v>
      </c>
      <c r="H959" s="10" t="n">
        <v>2</v>
      </c>
      <c r="I959" s="10" t="n">
        <v>0</v>
      </c>
      <c r="J959" s="10" t="n">
        <v>0</v>
      </c>
      <c r="K959" s="10" t="s">
        <v>20</v>
      </c>
      <c r="L959" s="11" t="n">
        <v>42393.464224537</v>
      </c>
      <c r="M959" s="12" t="s">
        <v>203</v>
      </c>
      <c r="N959" s="12" t="s">
        <v>1283</v>
      </c>
      <c r="O959" s="9" t="str">
        <f aca="false">HYPERLINK("https://pbs.twimg.com/profile_images/776195317549105152/HsppNplW_normal.jpg","View")</f>
        <v>View</v>
      </c>
      <c r="P959" s="10"/>
    </row>
    <row r="960" customFormat="false" ht="15.75" hidden="false" customHeight="false" outlineLevel="0" collapsed="false">
      <c r="A960" s="6" t="n">
        <v>43029.9612268519</v>
      </c>
      <c r="B960" s="7" t="str">
        <f aca="false">HYPERLINK("https://twitter.com/NewsDingo","@NewsDingo")</f>
        <v>@NewsDingo</v>
      </c>
      <c r="C960" s="8" t="s">
        <v>1930</v>
      </c>
      <c r="D960" s="8" t="s">
        <v>2596</v>
      </c>
      <c r="E960" s="9" t="str">
        <f aca="false">HYPERLINK("https://twitter.com/NewsDingo/status/921980478961405953","921980478961405953")</f>
        <v>921980478961405953</v>
      </c>
      <c r="F960" s="10" t="s">
        <v>1932</v>
      </c>
      <c r="G960" s="10" t="n">
        <v>141</v>
      </c>
      <c r="H960" s="10" t="n">
        <v>55</v>
      </c>
      <c r="I960" s="10" t="n">
        <v>0</v>
      </c>
      <c r="J960" s="10" t="n">
        <v>0</v>
      </c>
      <c r="K960" s="10" t="s">
        <v>20</v>
      </c>
      <c r="L960" s="11" t="n">
        <v>40282.5263657407</v>
      </c>
      <c r="M960" s="12" t="s">
        <v>1933</v>
      </c>
      <c r="N960" s="12" t="s">
        <v>1934</v>
      </c>
      <c r="O960" s="9" t="str">
        <f aca="false">HYPERLINK("https://pbs.twimg.com/profile_images/823485261/news_dingo_48_normal.gif","View")</f>
        <v>View</v>
      </c>
      <c r="P960" s="10"/>
    </row>
    <row r="961" customFormat="false" ht="15.75" hidden="false" customHeight="false" outlineLevel="0" collapsed="false">
      <c r="A961" s="6" t="n">
        <v>43029.9612384259</v>
      </c>
      <c r="B961" s="7" t="str">
        <f aca="false">HYPERLINK("https://twitter.com/3novices","@3novices")</f>
        <v>@3novices</v>
      </c>
      <c r="C961" s="8" t="s">
        <v>2597</v>
      </c>
      <c r="D961" s="8" t="s">
        <v>2598</v>
      </c>
      <c r="E961" s="9" t="str">
        <f aca="false">HYPERLINK("https://twitter.com/3novices/status/921980483692650497","921980483692650497")</f>
        <v>921980483692650497</v>
      </c>
      <c r="F961" s="10" t="s">
        <v>60</v>
      </c>
      <c r="G961" s="10" t="n">
        <v>908</v>
      </c>
      <c r="H961" s="10" t="n">
        <v>1121</v>
      </c>
      <c r="I961" s="10" t="n">
        <v>0</v>
      </c>
      <c r="J961" s="10" t="n">
        <v>0</v>
      </c>
      <c r="K961" s="10" t="s">
        <v>20</v>
      </c>
      <c r="L961" s="11" t="n">
        <v>41858.8617476852</v>
      </c>
      <c r="M961" s="12"/>
      <c r="N961" s="12" t="s">
        <v>2599</v>
      </c>
      <c r="O961" s="9" t="str">
        <f aca="false">HYPERLINK("https://pbs.twimg.com/profile_images/497588842510053376/67AA7E5K_normal.jpeg","View")</f>
        <v>View</v>
      </c>
      <c r="P961" s="10"/>
    </row>
    <row r="962" customFormat="false" ht="15.75" hidden="false" customHeight="false" outlineLevel="0" collapsed="false">
      <c r="A962" s="6" t="n">
        <v>43029.9619097222</v>
      </c>
      <c r="B962" s="7" t="str">
        <f aca="false">HYPERLINK("https://twitter.com/MyDailyReporter","@MyDailyReporter")</f>
        <v>@MyDailyReporter</v>
      </c>
      <c r="C962" s="8" t="s">
        <v>2125</v>
      </c>
      <c r="D962" s="8" t="s">
        <v>2600</v>
      </c>
      <c r="E962" s="9" t="str">
        <f aca="false">HYPERLINK("https://twitter.com/MyDailyReporter/status/921980726962204673","921980726962204673")</f>
        <v>921980726962204673</v>
      </c>
      <c r="F962" s="10" t="s">
        <v>60</v>
      </c>
      <c r="G962" s="10" t="n">
        <v>298</v>
      </c>
      <c r="H962" s="10" t="n">
        <v>0</v>
      </c>
      <c r="I962" s="10" t="n">
        <v>0</v>
      </c>
      <c r="J962" s="10" t="n">
        <v>0</v>
      </c>
      <c r="K962" s="10" t="s">
        <v>20</v>
      </c>
      <c r="L962" s="11" t="n">
        <v>42308.4636458333</v>
      </c>
      <c r="M962" s="12"/>
      <c r="N962" s="12"/>
      <c r="O962" s="9" t="str">
        <f aca="false">HYPERLINK("https://pbs.twimg.com/profile_images/660520809585315841/YEKGmz9g_normal.png","View")</f>
        <v>View</v>
      </c>
      <c r="P962" s="10"/>
    </row>
    <row r="963" customFormat="false" ht="15.75" hidden="false" customHeight="false" outlineLevel="0" collapsed="false">
      <c r="A963" s="6" t="n">
        <v>43029.9622106482</v>
      </c>
      <c r="B963" s="7" t="str">
        <f aca="false">HYPERLINK("https://twitter.com/Politics4All","@Politics4All")</f>
        <v>@Politics4All</v>
      </c>
      <c r="C963" s="7" t="s">
        <v>2601</v>
      </c>
      <c r="D963" s="8" t="s">
        <v>2602</v>
      </c>
      <c r="E963" s="9" t="str">
        <f aca="false">HYPERLINK("https://twitter.com/Politics4All/status/921980836597174272","921980836597174272")</f>
        <v>921980836597174272</v>
      </c>
      <c r="F963" s="10" t="s">
        <v>60</v>
      </c>
      <c r="G963" s="10" t="n">
        <v>4342</v>
      </c>
      <c r="H963" s="10" t="n">
        <v>4981</v>
      </c>
      <c r="I963" s="10" t="n">
        <v>0</v>
      </c>
      <c r="J963" s="10" t="n">
        <v>0</v>
      </c>
      <c r="K963" s="10" t="s">
        <v>20</v>
      </c>
      <c r="L963" s="11" t="n">
        <v>39549.7144328704</v>
      </c>
      <c r="M963" s="12" t="s">
        <v>2603</v>
      </c>
      <c r="N963" s="12" t="s">
        <v>2604</v>
      </c>
      <c r="O963" s="9" t="str">
        <f aca="false">HYPERLINK("https://pbs.twimg.com/profile_images/2928517804/6b45e837129b2d05a54b6d4215660417_normal.png","View")</f>
        <v>View</v>
      </c>
      <c r="P963" s="10"/>
    </row>
    <row r="964" customFormat="false" ht="15.75" hidden="false" customHeight="false" outlineLevel="0" collapsed="false">
      <c r="A964" s="6" t="n">
        <v>43029.9627430556</v>
      </c>
      <c r="B964" s="7" t="str">
        <f aca="false">HYPERLINK("https://twitter.com/brandnaware","@brandnaware")</f>
        <v>@brandnaware</v>
      </c>
      <c r="C964" s="8" t="s">
        <v>2605</v>
      </c>
      <c r="D964" s="8" t="s">
        <v>2606</v>
      </c>
      <c r="E964" s="9" t="str">
        <f aca="false">HYPERLINK("https://twitter.com/brandnaware/status/921981029614747648","921981029614747648")</f>
        <v>921981029614747648</v>
      </c>
      <c r="F964" s="10" t="s">
        <v>60</v>
      </c>
      <c r="G964" s="10" t="n">
        <v>253</v>
      </c>
      <c r="H964" s="10" t="n">
        <v>391</v>
      </c>
      <c r="I964" s="10" t="n">
        <v>0</v>
      </c>
      <c r="J964" s="10" t="n">
        <v>0</v>
      </c>
      <c r="K964" s="10" t="s">
        <v>20</v>
      </c>
      <c r="L964" s="11" t="n">
        <v>42013.6200925926</v>
      </c>
      <c r="M964" s="12" t="s">
        <v>526</v>
      </c>
      <c r="N964" s="12" t="s">
        <v>2607</v>
      </c>
      <c r="O964" s="9" t="str">
        <f aca="false">HYPERLINK("https://pbs.twimg.com/profile_images/553686207213735936/dQi9Hyaa_normal.jpeg","View")</f>
        <v>View</v>
      </c>
      <c r="P964" s="10"/>
    </row>
    <row r="965" customFormat="false" ht="15.75" hidden="false" customHeight="false" outlineLevel="0" collapsed="false">
      <c r="A965" s="6" t="n">
        <v>43029.963125</v>
      </c>
      <c r="B965" s="7" t="str">
        <f aca="false">HYPERLINK("https://twitter.com/TheReportersLab","@TheReportersLab")</f>
        <v>@TheReportersLab</v>
      </c>
      <c r="C965" s="8" t="s">
        <v>2608</v>
      </c>
      <c r="D965" s="8" t="s">
        <v>2609</v>
      </c>
      <c r="E965" s="9" t="str">
        <f aca="false">HYPERLINK("https://twitter.com/TheReportersLab/status/921981166999298050","921981166999298050")</f>
        <v>921981166999298050</v>
      </c>
      <c r="F965" s="9" t="s">
        <v>979</v>
      </c>
      <c r="G965" s="10" t="n">
        <v>827</v>
      </c>
      <c r="H965" s="10" t="n">
        <v>3819</v>
      </c>
      <c r="I965" s="10" t="n">
        <v>0</v>
      </c>
      <c r="J965" s="10" t="n">
        <v>0</v>
      </c>
      <c r="K965" s="10" t="s">
        <v>20</v>
      </c>
      <c r="L965" s="11" t="n">
        <v>42365.2268402778</v>
      </c>
      <c r="M965" s="12"/>
      <c r="N965" s="12" t="s">
        <v>2610</v>
      </c>
      <c r="O965" s="9" t="str">
        <f aca="false">HYPERLINK("https://pbs.twimg.com/profile_images/864060738242871296/GKSJuolr_normal.jpg","View")</f>
        <v>View</v>
      </c>
      <c r="P965" s="10"/>
    </row>
    <row r="966" customFormat="false" ht="15.75" hidden="false" customHeight="false" outlineLevel="0" collapsed="false">
      <c r="A966" s="6" t="n">
        <v>43029.9631481481</v>
      </c>
      <c r="B966" s="7" t="str">
        <f aca="false">HYPERLINK("https://twitter.com/OneCareRehab4U","@OneCareRehab4U")</f>
        <v>@OneCareRehab4U</v>
      </c>
      <c r="C966" s="8" t="s">
        <v>2611</v>
      </c>
      <c r="D966" s="8" t="s">
        <v>2612</v>
      </c>
      <c r="E966" s="9" t="str">
        <f aca="false">HYPERLINK("https://twitter.com/OneCareRehab4U/status/921981174867742722","921981174867742722")</f>
        <v>921981174867742722</v>
      </c>
      <c r="F966" s="9" t="s">
        <v>979</v>
      </c>
      <c r="G966" s="10" t="n">
        <v>235</v>
      </c>
      <c r="H966" s="10" t="n">
        <v>63</v>
      </c>
      <c r="I966" s="10" t="n">
        <v>0</v>
      </c>
      <c r="J966" s="10" t="n">
        <v>0</v>
      </c>
      <c r="K966" s="10" t="s">
        <v>20</v>
      </c>
      <c r="L966" s="11" t="n">
        <v>42795.2310185185</v>
      </c>
      <c r="M966" s="12" t="s">
        <v>2613</v>
      </c>
      <c r="N966" s="12" t="s">
        <v>2614</v>
      </c>
      <c r="O966" s="9" t="str">
        <f aca="false">HYPERLINK("https://pbs.twimg.com/profile_images/836938176849567745/uTims6Vr_normal.jpg","View")</f>
        <v>View</v>
      </c>
      <c r="P966" s="10"/>
    </row>
    <row r="967" customFormat="false" ht="15.75" hidden="false" customHeight="false" outlineLevel="0" collapsed="false">
      <c r="A967" s="6" t="n">
        <v>43029.9632523148</v>
      </c>
      <c r="B967" s="7" t="str">
        <f aca="false">HYPERLINK("https://twitter.com/HWDRepublican","@HWDRepublican")</f>
        <v>@HWDRepublican</v>
      </c>
      <c r="C967" s="8" t="s">
        <v>2615</v>
      </c>
      <c r="D967" s="8" t="s">
        <v>2616</v>
      </c>
      <c r="E967" s="9" t="str">
        <f aca="false">HYPERLINK("https://twitter.com/HWDRepublican/status/921981211517571072","921981211517571072")</f>
        <v>921981211517571072</v>
      </c>
      <c r="F967" s="10" t="s">
        <v>60</v>
      </c>
      <c r="G967" s="10" t="n">
        <v>6296</v>
      </c>
      <c r="H967" s="10" t="n">
        <v>5675</v>
      </c>
      <c r="I967" s="10" t="n">
        <v>0</v>
      </c>
      <c r="J967" s="10" t="n">
        <v>0</v>
      </c>
      <c r="K967" s="10" t="s">
        <v>20</v>
      </c>
      <c r="L967" s="11" t="n">
        <v>39788.0988425926</v>
      </c>
      <c r="M967" s="12" t="s">
        <v>2617</v>
      </c>
      <c r="N967" s="12" t="s">
        <v>2618</v>
      </c>
      <c r="O967" s="9" t="str">
        <f aca="false">HYPERLINK("https://pbs.twimg.com/profile_images/1272029180/TheHollywoodRepublican_normal.png","View")</f>
        <v>View</v>
      </c>
      <c r="P967" s="10"/>
    </row>
    <row r="968" customFormat="false" ht="15.75" hidden="false" customHeight="false" outlineLevel="0" collapsed="false">
      <c r="A968" s="6" t="n">
        <v>43029.9632638889</v>
      </c>
      <c r="B968" s="7" t="str">
        <f aca="false">HYPERLINK("https://twitter.com/joycedixie1974","@joycedixie1974")</f>
        <v>@joycedixie1974</v>
      </c>
      <c r="C968" s="8" t="s">
        <v>2619</v>
      </c>
      <c r="D968" s="8" t="s">
        <v>2518</v>
      </c>
      <c r="E968" s="9" t="str">
        <f aca="false">HYPERLINK("https://twitter.com/joycedixie1974/status/921981219285368834","921981219285368834")</f>
        <v>921981219285368834</v>
      </c>
      <c r="F968" s="10" t="s">
        <v>2620</v>
      </c>
      <c r="G968" s="10" t="n">
        <v>1655</v>
      </c>
      <c r="H968" s="10" t="n">
        <v>5001</v>
      </c>
      <c r="I968" s="10" t="n">
        <v>14</v>
      </c>
      <c r="J968" s="10" t="n">
        <v>0</v>
      </c>
      <c r="K968" s="10" t="s">
        <v>20</v>
      </c>
      <c r="L968" s="11" t="n">
        <v>40107.4655092593</v>
      </c>
      <c r="M968" s="12" t="s">
        <v>2621</v>
      </c>
      <c r="N968" s="12" t="s">
        <v>2622</v>
      </c>
      <c r="O968" s="9" t="str">
        <f aca="false">HYPERLINK("https://pbs.twimg.com/profile_images/786482073628475392/ZQEY2re8_normal.jpg","View")</f>
        <v>View</v>
      </c>
      <c r="P968" s="10"/>
    </row>
    <row r="969" customFormat="false" ht="15.75" hidden="false" customHeight="false" outlineLevel="0" collapsed="false">
      <c r="A969" s="6" t="n">
        <v>43029.9640046296</v>
      </c>
      <c r="B969" s="7" t="str">
        <f aca="false">HYPERLINK("https://twitter.com/Qatar_Update","@Qatar_Update")</f>
        <v>@Qatar_Update</v>
      </c>
      <c r="C969" s="8" t="s">
        <v>2623</v>
      </c>
      <c r="D969" s="8" t="s">
        <v>2624</v>
      </c>
      <c r="E969" s="9" t="str">
        <f aca="false">HYPERLINK("https://twitter.com/Qatar_Update/status/921981484180877312","921981484180877312")</f>
        <v>921981484180877312</v>
      </c>
      <c r="F969" s="10" t="s">
        <v>60</v>
      </c>
      <c r="G969" s="10" t="n">
        <v>203</v>
      </c>
      <c r="H969" s="10" t="n">
        <v>113</v>
      </c>
      <c r="I969" s="10" t="n">
        <v>0</v>
      </c>
      <c r="J969" s="10" t="n">
        <v>0</v>
      </c>
      <c r="K969" s="10" t="s">
        <v>20</v>
      </c>
      <c r="L969" s="11" t="n">
        <v>42704.0031018518</v>
      </c>
      <c r="M969" s="12" t="s">
        <v>2625</v>
      </c>
      <c r="N969" s="12" t="s">
        <v>2626</v>
      </c>
      <c r="O969" s="9" t="str">
        <f aca="false">HYPERLINK("https://pbs.twimg.com/profile_images/803874061709283328/EPgjeqH3_normal.jpg","View")</f>
        <v>View</v>
      </c>
      <c r="P969" s="10"/>
    </row>
    <row r="970" customFormat="false" ht="15.75" hidden="false" customHeight="false" outlineLevel="0" collapsed="false">
      <c r="A970" s="6" t="n">
        <v>43029.9640046296</v>
      </c>
      <c r="B970" s="7" t="str">
        <f aca="false">HYPERLINK("https://twitter.com/KuehnMichael","@KuehnMichael")</f>
        <v>@KuehnMichael</v>
      </c>
      <c r="C970" s="8" t="s">
        <v>2627</v>
      </c>
      <c r="D970" s="8" t="s">
        <v>2628</v>
      </c>
      <c r="E970" s="9" t="str">
        <f aca="false">HYPERLINK("https://twitter.com/KuehnMichael/status/921981485590237184","921981485590237184")</f>
        <v>921981485590237184</v>
      </c>
      <c r="F970" s="10" t="s">
        <v>60</v>
      </c>
      <c r="G970" s="10" t="n">
        <v>53</v>
      </c>
      <c r="H970" s="10" t="n">
        <v>169</v>
      </c>
      <c r="I970" s="10" t="n">
        <v>0</v>
      </c>
      <c r="J970" s="10" t="n">
        <v>0</v>
      </c>
      <c r="K970" s="10" t="s">
        <v>20</v>
      </c>
      <c r="L970" s="11" t="n">
        <v>41095.7264236111</v>
      </c>
      <c r="M970" s="12" t="s">
        <v>2629</v>
      </c>
      <c r="N970" s="12"/>
      <c r="O970" s="9" t="str">
        <f aca="false">HYPERLINK("https://pbs.twimg.com/profile_images/2371654305/eEaW6QMV_normal","View")</f>
        <v>View</v>
      </c>
      <c r="P970" s="10"/>
    </row>
    <row r="971" customFormat="false" ht="15.75" hidden="false" customHeight="false" outlineLevel="0" collapsed="false">
      <c r="A971" s="6" t="n">
        <v>43029.9640856482</v>
      </c>
      <c r="B971" s="7" t="str">
        <f aca="false">HYPERLINK("https://twitter.com/melaniekeithve1","@melaniekeithve1")</f>
        <v>@melaniekeithve1</v>
      </c>
      <c r="C971" s="8" t="s">
        <v>2630</v>
      </c>
      <c r="D971" s="8" t="s">
        <v>2631</v>
      </c>
      <c r="E971" s="9" t="str">
        <f aca="false">HYPERLINK("https://twitter.com/melaniekeithve1/status/921981514098925568","921981514098925568")</f>
        <v>921981514098925568</v>
      </c>
      <c r="F971" s="10" t="s">
        <v>60</v>
      </c>
      <c r="G971" s="10" t="n">
        <v>11</v>
      </c>
      <c r="H971" s="10" t="n">
        <v>39</v>
      </c>
      <c r="I971" s="10" t="n">
        <v>0</v>
      </c>
      <c r="J971" s="10" t="n">
        <v>0</v>
      </c>
      <c r="K971" s="10" t="s">
        <v>20</v>
      </c>
      <c r="L971" s="11" t="n">
        <v>42757.9210416667</v>
      </c>
      <c r="M971" s="12" t="s">
        <v>2632</v>
      </c>
      <c r="N971" s="12" t="s">
        <v>2633</v>
      </c>
      <c r="O971" s="9" t="str">
        <f aca="false">HYPERLINK("https://pbs.twimg.com/profile_images/823412325952593920/TtGJQq_c_normal.jpg","View")</f>
        <v>View</v>
      </c>
      <c r="P971" s="10"/>
    </row>
    <row r="972" customFormat="false" ht="15.75" hidden="false" customHeight="false" outlineLevel="0" collapsed="false">
      <c r="A972" s="6" t="n">
        <v>43029.9641203704</v>
      </c>
      <c r="B972" s="7" t="str">
        <f aca="false">HYPERLINK("https://twitter.com/dnsteamrj","@dnsteamrj")</f>
        <v>@dnsteamrj</v>
      </c>
      <c r="C972" s="8" t="s">
        <v>2634</v>
      </c>
      <c r="D972" s="8" t="s">
        <v>2635</v>
      </c>
      <c r="E972" s="9" t="str">
        <f aca="false">HYPERLINK("https://twitter.com/dnsteamrj/status/921981528690888704","921981528690888704")</f>
        <v>921981528690888704</v>
      </c>
      <c r="F972" s="10" t="s">
        <v>60</v>
      </c>
      <c r="G972" s="10" t="n">
        <v>1079</v>
      </c>
      <c r="H972" s="10" t="n">
        <v>990</v>
      </c>
      <c r="I972" s="10" t="n">
        <v>1</v>
      </c>
      <c r="J972" s="10" t="n">
        <v>1</v>
      </c>
      <c r="K972" s="10" t="s">
        <v>20</v>
      </c>
      <c r="L972" s="11" t="n">
        <v>40310.3271296296</v>
      </c>
      <c r="M972" s="12" t="s">
        <v>1448</v>
      </c>
      <c r="N972" s="12" t="s">
        <v>2636</v>
      </c>
      <c r="O972" s="9" t="str">
        <f aca="false">HYPERLINK("https://pbs.twimg.com/profile_images/894365579/dnsrank_normal.gif","View")</f>
        <v>View</v>
      </c>
      <c r="P972" s="10"/>
    </row>
    <row r="973" customFormat="false" ht="15.75" hidden="false" customHeight="false" outlineLevel="0" collapsed="false">
      <c r="A973" s="6" t="n">
        <v>43029.9642013889</v>
      </c>
      <c r="B973" s="7" t="str">
        <f aca="false">HYPERLINK("https://twitter.com/HowardSanjuani2","@HowardSanjuani2")</f>
        <v>@HowardSanjuani2</v>
      </c>
      <c r="C973" s="8" t="s">
        <v>2637</v>
      </c>
      <c r="D973" s="8" t="s">
        <v>2638</v>
      </c>
      <c r="E973" s="9" t="str">
        <f aca="false">HYPERLINK("https://twitter.com/HowardSanjuani2/status/921981558369718273","921981558369718273")</f>
        <v>921981558369718273</v>
      </c>
      <c r="F973" s="10" t="s">
        <v>60</v>
      </c>
      <c r="G973" s="10" t="n">
        <v>10</v>
      </c>
      <c r="H973" s="10" t="n">
        <v>31</v>
      </c>
      <c r="I973" s="10" t="n">
        <v>0</v>
      </c>
      <c r="J973" s="10" t="n">
        <v>0</v>
      </c>
      <c r="K973" s="10" t="s">
        <v>20</v>
      </c>
      <c r="L973" s="11" t="n">
        <v>42747.9775</v>
      </c>
      <c r="M973" s="12"/>
      <c r="N973" s="12" t="s">
        <v>2639</v>
      </c>
      <c r="O973" s="9" t="str">
        <f aca="false">HYPERLINK("https://pbs.twimg.com/profile_images/819826894354817024/b2DeVGkj_normal.jpg","View")</f>
        <v>View</v>
      </c>
      <c r="P973" s="10"/>
    </row>
    <row r="974" customFormat="false" ht="15.75" hidden="false" customHeight="false" outlineLevel="0" collapsed="false">
      <c r="A974" s="6" t="n">
        <v>43029.964224537</v>
      </c>
      <c r="B974" s="7" t="str">
        <f aca="false">HYPERLINK("https://twitter.com/GrayMarandaas","@GrayMarandaas")</f>
        <v>@GrayMarandaas</v>
      </c>
      <c r="C974" s="8" t="s">
        <v>2640</v>
      </c>
      <c r="D974" s="8" t="s">
        <v>2641</v>
      </c>
      <c r="E974" s="9" t="str">
        <f aca="false">HYPERLINK("https://twitter.com/GrayMarandaas/status/921981567160942592","921981567160942592")</f>
        <v>921981567160942592</v>
      </c>
      <c r="F974" s="10" t="s">
        <v>60</v>
      </c>
      <c r="G974" s="10" t="n">
        <v>19</v>
      </c>
      <c r="H974" s="10" t="n">
        <v>62</v>
      </c>
      <c r="I974" s="10" t="n">
        <v>0</v>
      </c>
      <c r="J974" s="10" t="n">
        <v>0</v>
      </c>
      <c r="K974" s="10" t="s">
        <v>20</v>
      </c>
      <c r="L974" s="11" t="n">
        <v>42744.9436805556</v>
      </c>
      <c r="M974" s="12"/>
      <c r="N974" s="12" t="s">
        <v>2642</v>
      </c>
      <c r="O974" s="9" t="str">
        <f aca="false">HYPERLINK("https://pbs.twimg.com/profile_images/818711831271223297/0jb8998p_normal.jpg","View")</f>
        <v>View</v>
      </c>
      <c r="P974" s="10"/>
    </row>
    <row r="975" customFormat="false" ht="15.75" hidden="false" customHeight="false" outlineLevel="0" collapsed="false">
      <c r="A975" s="6" t="n">
        <v>43029.9642361111</v>
      </c>
      <c r="B975" s="7" t="str">
        <f aca="false">HYPERLINK("https://twitter.com/Goldnetonline","@Goldnetonline")</f>
        <v>@Goldnetonline</v>
      </c>
      <c r="C975" s="8" t="s">
        <v>2643</v>
      </c>
      <c r="D975" s="8" t="s">
        <v>2644</v>
      </c>
      <c r="E975" s="9" t="str">
        <f aca="false">HYPERLINK("https://twitter.com/Goldnetonline/status/921981569971171328","921981569971171328")</f>
        <v>921981569971171328</v>
      </c>
      <c r="F975" s="10" t="s">
        <v>60</v>
      </c>
      <c r="G975" s="10" t="n">
        <v>670</v>
      </c>
      <c r="H975" s="10" t="n">
        <v>1893</v>
      </c>
      <c r="I975" s="10" t="n">
        <v>0</v>
      </c>
      <c r="J975" s="10" t="n">
        <v>0</v>
      </c>
      <c r="K975" s="10" t="s">
        <v>20</v>
      </c>
      <c r="L975" s="11" t="n">
        <v>40127.2464583333</v>
      </c>
      <c r="M975" s="12" t="s">
        <v>2645</v>
      </c>
      <c r="N975" s="12" t="s">
        <v>2646</v>
      </c>
      <c r="O975" s="9" t="str">
        <f aca="false">HYPERLINK("https://pbs.twimg.com/profile_images/903681767693012992/mUnTZnZR_normal.jpg","View")</f>
        <v>View</v>
      </c>
      <c r="P975" s="10"/>
    </row>
    <row r="976" customFormat="false" ht="15.75" hidden="false" customHeight="false" outlineLevel="0" collapsed="false">
      <c r="A976" s="6" t="n">
        <v>43029.9648148148</v>
      </c>
      <c r="B976" s="7" t="str">
        <f aca="false">HYPERLINK("https://twitter.com/HughesSherryma","@HughesSherryma")</f>
        <v>@HughesSherryma</v>
      </c>
      <c r="C976" s="8" t="s">
        <v>2647</v>
      </c>
      <c r="D976" s="8" t="s">
        <v>2648</v>
      </c>
      <c r="E976" s="9" t="str">
        <f aca="false">HYPERLINK("https://twitter.com/HughesSherryma/status/921981778851753984","921981778851753984")</f>
        <v>921981778851753984</v>
      </c>
      <c r="F976" s="10" t="s">
        <v>60</v>
      </c>
      <c r="G976" s="10" t="n">
        <v>7</v>
      </c>
      <c r="H976" s="10" t="n">
        <v>31</v>
      </c>
      <c r="I976" s="10" t="n">
        <v>0</v>
      </c>
      <c r="J976" s="10" t="n">
        <v>0</v>
      </c>
      <c r="K976" s="10" t="s">
        <v>20</v>
      </c>
      <c r="L976" s="11" t="n">
        <v>42751.2121180556</v>
      </c>
      <c r="M976" s="12"/>
      <c r="N976" s="12" t="s">
        <v>2649</v>
      </c>
      <c r="O976" s="9" t="str">
        <f aca="false">HYPERLINK("https://pbs.twimg.com/profile_images/820983606067593216/KaFuJLXT_normal.jpg","View")</f>
        <v>View</v>
      </c>
      <c r="P976" s="10"/>
    </row>
    <row r="977" customFormat="false" ht="15.75" hidden="false" customHeight="false" outlineLevel="0" collapsed="false">
      <c r="A977" s="6" t="n">
        <v>43029.9648611111</v>
      </c>
      <c r="B977" s="7" t="str">
        <f aca="false">HYPERLINK("https://twitter.com/brandnaware","@brandnaware")</f>
        <v>@brandnaware</v>
      </c>
      <c r="C977" s="8" t="s">
        <v>2605</v>
      </c>
      <c r="D977" s="8" t="s">
        <v>2650</v>
      </c>
      <c r="E977" s="9" t="str">
        <f aca="false">HYPERLINK("https://twitter.com/brandnaware/status/921981796576890880","921981796576890880")</f>
        <v>921981796576890880</v>
      </c>
      <c r="F977" s="10" t="s">
        <v>60</v>
      </c>
      <c r="G977" s="10" t="n">
        <v>253</v>
      </c>
      <c r="H977" s="10" t="n">
        <v>391</v>
      </c>
      <c r="I977" s="10" t="n">
        <v>0</v>
      </c>
      <c r="J977" s="10" t="n">
        <v>0</v>
      </c>
      <c r="K977" s="10" t="s">
        <v>20</v>
      </c>
      <c r="L977" s="11" t="n">
        <v>42013.6200925926</v>
      </c>
      <c r="M977" s="12" t="s">
        <v>526</v>
      </c>
      <c r="N977" s="12" t="s">
        <v>2607</v>
      </c>
      <c r="O977" s="9" t="str">
        <f aca="false">HYPERLINK("https://pbs.twimg.com/profile_images/553686207213735936/dQi9Hyaa_normal.jpeg","View")</f>
        <v>View</v>
      </c>
      <c r="P977" s="10"/>
    </row>
    <row r="978" customFormat="false" ht="15.75" hidden="false" customHeight="false" outlineLevel="0" collapsed="false">
      <c r="A978" s="6" t="n">
        <v>43029.9648726852</v>
      </c>
      <c r="B978" s="7" t="str">
        <f aca="false">HYPERLINK("https://twitter.com/Jefferyrobertpg","@Jefferyrobertpg")</f>
        <v>@Jefferyrobertpg</v>
      </c>
      <c r="C978" s="8" t="s">
        <v>2651</v>
      </c>
      <c r="D978" s="8" t="s">
        <v>2652</v>
      </c>
      <c r="E978" s="9" t="str">
        <f aca="false">HYPERLINK("https://twitter.com/Jefferyrobertpg/status/921981800217546752","921981800217546752")</f>
        <v>921981800217546752</v>
      </c>
      <c r="F978" s="10" t="s">
        <v>60</v>
      </c>
      <c r="G978" s="10" t="n">
        <v>8</v>
      </c>
      <c r="H978" s="10" t="n">
        <v>41</v>
      </c>
      <c r="I978" s="10" t="n">
        <v>0</v>
      </c>
      <c r="J978" s="10" t="n">
        <v>0</v>
      </c>
      <c r="K978" s="10" t="s">
        <v>20</v>
      </c>
      <c r="L978" s="11" t="n">
        <v>42753.2410532407</v>
      </c>
      <c r="M978" s="12"/>
      <c r="N978" s="12"/>
      <c r="O978" s="9" t="str">
        <f aca="false">HYPERLINK("https://pbs.twimg.com/profile_images/821717115606630400/vVjVUcl4_normal.jpg","View")</f>
        <v>View</v>
      </c>
      <c r="P978" s="10"/>
    </row>
    <row r="979" customFormat="false" ht="15.75" hidden="false" customHeight="false" outlineLevel="0" collapsed="false">
      <c r="A979" s="6" t="n">
        <v>43029.9649189815</v>
      </c>
      <c r="B979" s="7" t="str">
        <f aca="false">HYPERLINK("https://twitter.com/HendersonWendy3","@HendersonWendy3")</f>
        <v>@HendersonWendy3</v>
      </c>
      <c r="C979" s="8" t="s">
        <v>2653</v>
      </c>
      <c r="D979" s="8" t="s">
        <v>2654</v>
      </c>
      <c r="E979" s="9" t="str">
        <f aca="false">HYPERLINK("https://twitter.com/HendersonWendy3/status/921981815535136768","921981815535136768")</f>
        <v>921981815535136768</v>
      </c>
      <c r="F979" s="10" t="s">
        <v>60</v>
      </c>
      <c r="G979" s="10" t="n">
        <v>16</v>
      </c>
      <c r="H979" s="10" t="n">
        <v>45</v>
      </c>
      <c r="I979" s="10" t="n">
        <v>0</v>
      </c>
      <c r="J979" s="10" t="n">
        <v>0</v>
      </c>
      <c r="K979" s="10" t="s">
        <v>20</v>
      </c>
      <c r="L979" s="11" t="n">
        <v>42747.0255902778</v>
      </c>
      <c r="M979" s="12"/>
      <c r="N979" s="12" t="s">
        <v>2655</v>
      </c>
      <c r="O979" s="9" t="str">
        <f aca="false">HYPERLINK("https://pbs.twimg.com/profile_images/819480370416533505/pF_DN8Fx_normal.jpg","View")</f>
        <v>View</v>
      </c>
      <c r="P979" s="10"/>
    </row>
    <row r="980" customFormat="false" ht="15.75" hidden="false" customHeight="false" outlineLevel="0" collapsed="false">
      <c r="A980" s="6" t="n">
        <v>43029.9650115741</v>
      </c>
      <c r="B980" s="7" t="str">
        <f aca="false">HYPERLINK("https://twitter.com/RT_a_Mao","@RT_a_Mao")</f>
        <v>@RT_a_Mao</v>
      </c>
      <c r="C980" s="8" t="s">
        <v>2656</v>
      </c>
      <c r="D980" s="8" t="s">
        <v>2657</v>
      </c>
      <c r="E980" s="9" t="str">
        <f aca="false">HYPERLINK("https://twitter.com/RT_a_Mao/status/921981850616295424","921981850616295424")</f>
        <v>921981850616295424</v>
      </c>
      <c r="F980" s="10" t="s">
        <v>331</v>
      </c>
      <c r="G980" s="10" t="n">
        <v>817</v>
      </c>
      <c r="H980" s="10" t="n">
        <v>0</v>
      </c>
      <c r="I980" s="10" t="n">
        <v>0</v>
      </c>
      <c r="J980" s="10" t="n">
        <v>0</v>
      </c>
      <c r="K980" s="10" t="s">
        <v>20</v>
      </c>
      <c r="L980" s="11" t="n">
        <v>41155.4879398148</v>
      </c>
      <c r="M980" s="12"/>
      <c r="N980" s="12" t="s">
        <v>2658</v>
      </c>
      <c r="O980" s="9" t="str">
        <f aca="false">HYPERLINK("https://pbs.twimg.com/profile_images/2665623628/d209cc74666b3c0934d27bca5e099aea_normal.png","View")</f>
        <v>View</v>
      </c>
      <c r="P980" s="10"/>
    </row>
    <row r="981" customFormat="false" ht="15.75" hidden="false" customHeight="false" outlineLevel="0" collapsed="false">
      <c r="A981" s="6" t="n">
        <v>43029.9653356481</v>
      </c>
      <c r="B981" s="7" t="str">
        <f aca="false">HYPERLINK("https://twitter.com/RetExtDorsL3Z0A","@RetExtDorsL3Z0A")</f>
        <v>@RetExtDorsL3Z0A</v>
      </c>
      <c r="C981" s="8" t="s">
        <v>2659</v>
      </c>
      <c r="D981" s="8" t="s">
        <v>2660</v>
      </c>
      <c r="E981" s="9" t="str">
        <f aca="false">HYPERLINK("https://twitter.com/RetExtDorsL3Z0A/status/921981970049130496","921981970049130496")</f>
        <v>921981970049130496</v>
      </c>
      <c r="F981" s="9" t="s">
        <v>979</v>
      </c>
      <c r="G981" s="10" t="n">
        <v>8</v>
      </c>
      <c r="H981" s="10" t="n">
        <v>1</v>
      </c>
      <c r="I981" s="10" t="n">
        <v>0</v>
      </c>
      <c r="J981" s="10" t="n">
        <v>0</v>
      </c>
      <c r="K981" s="10" t="s">
        <v>20</v>
      </c>
      <c r="L981" s="11" t="n">
        <v>42739.6755555556</v>
      </c>
      <c r="M981" s="12" t="s">
        <v>2661</v>
      </c>
      <c r="N981" s="12" t="s">
        <v>2662</v>
      </c>
      <c r="O981" s="9" t="str">
        <f aca="false">HYPERLINK("https://pbs.twimg.com/profile_images/816801078637314048/HklDmhME_normal.jpg","View")</f>
        <v>View</v>
      </c>
      <c r="P981" s="10"/>
    </row>
    <row r="982" customFormat="false" ht="15.75" hidden="false" customHeight="false" outlineLevel="0" collapsed="false">
      <c r="A982" s="6" t="n">
        <v>43029.9653472222</v>
      </c>
      <c r="B982" s="7" t="str">
        <f aca="false">HYPERLINK("https://twitter.com/1stNewsHeds","@1stNewsHeds")</f>
        <v>@1stNewsHeds</v>
      </c>
      <c r="C982" s="8" t="s">
        <v>2663</v>
      </c>
      <c r="D982" s="8" t="s">
        <v>2664</v>
      </c>
      <c r="E982" s="9" t="str">
        <f aca="false">HYPERLINK("https://twitter.com/1stNewsHeds/status/921981972070699008","921981972070699008")</f>
        <v>921981972070699008</v>
      </c>
      <c r="F982" s="10" t="s">
        <v>2663</v>
      </c>
      <c r="G982" s="10" t="n">
        <v>3748</v>
      </c>
      <c r="H982" s="10" t="n">
        <v>1</v>
      </c>
      <c r="I982" s="10" t="n">
        <v>0</v>
      </c>
      <c r="J982" s="10" t="n">
        <v>0</v>
      </c>
      <c r="K982" s="10" t="s">
        <v>20</v>
      </c>
      <c r="L982" s="11" t="n">
        <v>39968.3829513889</v>
      </c>
      <c r="M982" s="12" t="s">
        <v>502</v>
      </c>
      <c r="N982" s="12" t="s">
        <v>2665</v>
      </c>
      <c r="O982" s="9" t="str">
        <f aca="false">HYPERLINK("https://pbs.twimg.com/profile_images/249724688/1sttwt_normal.png","View")</f>
        <v>View</v>
      </c>
      <c r="P982" s="10"/>
    </row>
    <row r="983" customFormat="false" ht="15.75" hidden="false" customHeight="false" outlineLevel="0" collapsed="false">
      <c r="A983" s="6" t="n">
        <v>43029.9653703704</v>
      </c>
      <c r="B983" s="7" t="str">
        <f aca="false">HYPERLINK("https://twitter.com/JamesTr76435683","@JamesTr76435683")</f>
        <v>@JamesTr76435683</v>
      </c>
      <c r="C983" s="8" t="s">
        <v>2666</v>
      </c>
      <c r="D983" s="8" t="s">
        <v>2667</v>
      </c>
      <c r="E983" s="9" t="str">
        <f aca="false">HYPERLINK("https://twitter.com/JamesTr76435683/status/921981982774571008","921981982774571008")</f>
        <v>921981982774571008</v>
      </c>
      <c r="F983" s="10" t="s">
        <v>60</v>
      </c>
      <c r="G983" s="10" t="n">
        <v>3</v>
      </c>
      <c r="H983" s="10" t="n">
        <v>1</v>
      </c>
      <c r="I983" s="10" t="n">
        <v>0</v>
      </c>
      <c r="J983" s="10" t="n">
        <v>0</v>
      </c>
      <c r="K983" s="10" t="s">
        <v>20</v>
      </c>
      <c r="L983" s="11" t="n">
        <v>42752.0006597222</v>
      </c>
      <c r="M983" s="12"/>
      <c r="N983" s="12" t="s">
        <v>2668</v>
      </c>
      <c r="O983" s="9" t="str">
        <f aca="false">HYPERLINK("https://pbs.twimg.com/profile_images/821289762195550208/ECURKswb_normal.jpg","View")</f>
        <v>View</v>
      </c>
      <c r="P983" s="10"/>
    </row>
    <row r="984" customFormat="false" ht="15.75" hidden="false" customHeight="false" outlineLevel="0" collapsed="false">
      <c r="A984" s="6" t="n">
        <v>43029.9654050926</v>
      </c>
      <c r="B984" s="7" t="str">
        <f aca="false">HYPERLINK("https://twitter.com/KkimooK","@KkimooK")</f>
        <v>@KkimooK</v>
      </c>
      <c r="C984" s="8" t="s">
        <v>2669</v>
      </c>
      <c r="D984" s="8" t="s">
        <v>2670</v>
      </c>
      <c r="E984" s="9" t="str">
        <f aca="false">HYPERLINK("https://twitter.com/KkimooK/status/921981992341716992","921981992341716992")</f>
        <v>921981992341716992</v>
      </c>
      <c r="F984" s="10" t="s">
        <v>2671</v>
      </c>
      <c r="G984" s="10" t="n">
        <v>465</v>
      </c>
      <c r="H984" s="10" t="n">
        <v>2</v>
      </c>
      <c r="I984" s="10" t="n">
        <v>0</v>
      </c>
      <c r="J984" s="10" t="n">
        <v>0</v>
      </c>
      <c r="K984" s="10" t="s">
        <v>20</v>
      </c>
      <c r="L984" s="11" t="n">
        <v>41582.0960763889</v>
      </c>
      <c r="M984" s="12"/>
      <c r="N984" s="12" t="s">
        <v>2672</v>
      </c>
      <c r="O984" s="9" t="str">
        <f aca="false">HYPERLINK("https://pbs.twimg.com/profile_images/378800000692850571/0e43c8832a899f7cc2fa5556fa545211_normal.jpeg","View")</f>
        <v>View</v>
      </c>
      <c r="P984" s="10"/>
    </row>
    <row r="985" customFormat="false" ht="15.75" hidden="false" customHeight="false" outlineLevel="0" collapsed="false">
      <c r="A985" s="6" t="n">
        <v>43029.9654861111</v>
      </c>
      <c r="B985" s="7" t="str">
        <f aca="false">HYPERLINK("https://twitter.com/if_u_know_","@if_u_know_")</f>
        <v>@if_u_know_</v>
      </c>
      <c r="C985" s="8" t="s">
        <v>2673</v>
      </c>
      <c r="D985" s="8" t="s">
        <v>2674</v>
      </c>
      <c r="E985" s="9" t="str">
        <f aca="false">HYPERLINK("https://twitter.com/if_u_know_/status/921982024830898177","921982024830898177")</f>
        <v>921982024830898177</v>
      </c>
      <c r="F985" s="10" t="s">
        <v>60</v>
      </c>
      <c r="G985" s="10" t="n">
        <v>47</v>
      </c>
      <c r="H985" s="10" t="n">
        <v>14</v>
      </c>
      <c r="I985" s="10" t="n">
        <v>0</v>
      </c>
      <c r="J985" s="10" t="n">
        <v>0</v>
      </c>
      <c r="K985" s="10" t="s">
        <v>20</v>
      </c>
      <c r="L985" s="11" t="n">
        <v>42389.5705787037</v>
      </c>
      <c r="M985" s="12"/>
      <c r="N985" s="12" t="s">
        <v>2675</v>
      </c>
      <c r="O985" s="9" t="str">
        <f aca="false">HYPERLINK("https://pbs.twimg.com/profile_images/689927019333816321/w6urOezR_normal.jpg","View")</f>
        <v>View</v>
      </c>
      <c r="P985" s="10"/>
    </row>
    <row r="986" customFormat="false" ht="15.75" hidden="false" customHeight="false" outlineLevel="0" collapsed="false">
      <c r="A986" s="6" t="n">
        <v>43029.9655208333</v>
      </c>
      <c r="B986" s="7" t="str">
        <f aca="false">HYPERLINK("https://twitter.com/krunox123","@krunox123")</f>
        <v>@krunox123</v>
      </c>
      <c r="C986" s="8" t="s">
        <v>1049</v>
      </c>
      <c r="D986" s="8" t="s">
        <v>2676</v>
      </c>
      <c r="E986" s="9" t="str">
        <f aca="false">HYPERLINK("https://twitter.com/krunox123/status/921982037271236608","921982037271236608")</f>
        <v>921982037271236608</v>
      </c>
      <c r="F986" s="10" t="s">
        <v>60</v>
      </c>
      <c r="G986" s="10" t="n">
        <v>10225</v>
      </c>
      <c r="H986" s="10" t="n">
        <v>2</v>
      </c>
      <c r="I986" s="10" t="n">
        <v>0</v>
      </c>
      <c r="J986" s="10" t="n">
        <v>0</v>
      </c>
      <c r="K986" s="10" t="s">
        <v>20</v>
      </c>
      <c r="L986" s="11" t="n">
        <v>40938.2278935185</v>
      </c>
      <c r="M986" s="12" t="s">
        <v>1051</v>
      </c>
      <c r="N986" s="12" t="s">
        <v>1052</v>
      </c>
      <c r="O986" s="9" t="str">
        <f aca="false">HYPERLINK("https://pbs.twimg.com/profile_images/824952382618349568/2SFIkM2x_normal.jpg","View")</f>
        <v>View</v>
      </c>
      <c r="P986" s="10"/>
    </row>
    <row r="987" customFormat="false" ht="15.75" hidden="false" customHeight="false" outlineLevel="0" collapsed="false">
      <c r="A987" s="6" t="n">
        <v>43029.9655671296</v>
      </c>
      <c r="B987" s="7" t="str">
        <f aca="false">HYPERLINK("https://twitter.com/BrooksRebeccama","@BrooksRebeccama")</f>
        <v>@BrooksRebeccama</v>
      </c>
      <c r="C987" s="8" t="s">
        <v>2677</v>
      </c>
      <c r="D987" s="8" t="s">
        <v>2678</v>
      </c>
      <c r="E987" s="9" t="str">
        <f aca="false">HYPERLINK("https://twitter.com/BrooksRebeccama/status/921982052878159872","921982052878159872")</f>
        <v>921982052878159872</v>
      </c>
      <c r="F987" s="10" t="s">
        <v>60</v>
      </c>
      <c r="G987" s="10" t="n">
        <v>13</v>
      </c>
      <c r="H987" s="10" t="n">
        <v>61</v>
      </c>
      <c r="I987" s="10" t="n">
        <v>0</v>
      </c>
      <c r="J987" s="10" t="n">
        <v>0</v>
      </c>
      <c r="K987" s="10" t="s">
        <v>20</v>
      </c>
      <c r="L987" s="11" t="n">
        <v>42760.2207523148</v>
      </c>
      <c r="M987" s="12" t="s">
        <v>2679</v>
      </c>
      <c r="N987" s="12" t="s">
        <v>2680</v>
      </c>
      <c r="O987" s="9" t="str">
        <f aca="false">HYPERLINK("https://pbs.twimg.com/profile_images/824246318168051712/kNrHDDPt_normal.jpg","View")</f>
        <v>View</v>
      </c>
      <c r="P987" s="10"/>
    </row>
    <row r="988" customFormat="false" ht="15.75" hidden="false" customHeight="false" outlineLevel="0" collapsed="false">
      <c r="A988" s="6" t="n">
        <v>43029.9656134259</v>
      </c>
      <c r="B988" s="7" t="str">
        <f aca="false">HYPERLINK("https://twitter.com/CatherinJasmin","@CatherinJasmin")</f>
        <v>@CatherinJasmin</v>
      </c>
      <c r="C988" s="8" t="s">
        <v>2681</v>
      </c>
      <c r="D988" s="8" t="s">
        <v>2682</v>
      </c>
      <c r="E988" s="9" t="str">
        <f aca="false">HYPERLINK("https://twitter.com/CatherinJasmin/status/921982067168219136","921982067168219136")</f>
        <v>921982067168219136</v>
      </c>
      <c r="F988" s="10" t="s">
        <v>60</v>
      </c>
      <c r="G988" s="10" t="n">
        <v>11</v>
      </c>
      <c r="H988" s="10" t="n">
        <v>0</v>
      </c>
      <c r="I988" s="10" t="n">
        <v>0</v>
      </c>
      <c r="J988" s="10" t="n">
        <v>0</v>
      </c>
      <c r="K988" s="10" t="s">
        <v>20</v>
      </c>
      <c r="L988" s="11" t="n">
        <v>42761.8865046296</v>
      </c>
      <c r="M988" s="12" t="s">
        <v>2683</v>
      </c>
      <c r="N988" s="12" t="s">
        <v>2684</v>
      </c>
      <c r="O988" s="9" t="str">
        <f aca="false">HYPERLINK("https://pbs.twimg.com/profile_images/824849591765921798/sq3fZ3BJ_normal.jpg","View")</f>
        <v>View</v>
      </c>
      <c r="P988" s="10"/>
    </row>
    <row r="989" customFormat="false" ht="15.75" hidden="false" customHeight="false" outlineLevel="0" collapsed="false">
      <c r="A989" s="6" t="n">
        <v>43029.9656597222</v>
      </c>
      <c r="B989" s="7" t="str">
        <f aca="false">HYPERLINK("https://twitter.com/RetExtDorsL3Z0A","@RetExtDorsL3Z0A")</f>
        <v>@RetExtDorsL3Z0A</v>
      </c>
      <c r="C989" s="8" t="s">
        <v>2659</v>
      </c>
      <c r="D989" s="8" t="s">
        <v>2685</v>
      </c>
      <c r="E989" s="9" t="str">
        <f aca="false">HYPERLINK("https://twitter.com/RetExtDorsL3Z0A/status/921982086411620352","921982086411620352")</f>
        <v>921982086411620352</v>
      </c>
      <c r="F989" s="10" t="s">
        <v>60</v>
      </c>
      <c r="G989" s="10" t="n">
        <v>8</v>
      </c>
      <c r="H989" s="10" t="n">
        <v>1</v>
      </c>
      <c r="I989" s="10" t="n">
        <v>0</v>
      </c>
      <c r="J989" s="10" t="n">
        <v>0</v>
      </c>
      <c r="K989" s="10" t="s">
        <v>20</v>
      </c>
      <c r="L989" s="11" t="n">
        <v>42739.6755555556</v>
      </c>
      <c r="M989" s="12" t="s">
        <v>2661</v>
      </c>
      <c r="N989" s="12" t="s">
        <v>2662</v>
      </c>
      <c r="O989" s="9" t="str">
        <f aca="false">HYPERLINK("https://pbs.twimg.com/profile_images/816801078637314048/HklDmhME_normal.jpg","View")</f>
        <v>View</v>
      </c>
      <c r="P989" s="10"/>
    </row>
    <row r="990" customFormat="false" ht="15.75" hidden="false" customHeight="false" outlineLevel="0" collapsed="false">
      <c r="A990" s="6" t="n">
        <v>43029.9656712963</v>
      </c>
      <c r="B990" s="7" t="str">
        <f aca="false">HYPERLINK("https://twitter.com/BryantDiananp","@BryantDiananp")</f>
        <v>@BryantDiananp</v>
      </c>
      <c r="C990" s="8" t="s">
        <v>2686</v>
      </c>
      <c r="D990" s="8" t="s">
        <v>2687</v>
      </c>
      <c r="E990" s="9" t="str">
        <f aca="false">HYPERLINK("https://twitter.com/BryantDiananp/status/921982089922269184","921982089922269184")</f>
        <v>921982089922269184</v>
      </c>
      <c r="F990" s="10" t="s">
        <v>60</v>
      </c>
      <c r="G990" s="10" t="n">
        <v>12</v>
      </c>
      <c r="H990" s="10" t="n">
        <v>62</v>
      </c>
      <c r="I990" s="10" t="n">
        <v>0</v>
      </c>
      <c r="J990" s="10" t="n">
        <v>0</v>
      </c>
      <c r="K990" s="10" t="s">
        <v>20</v>
      </c>
      <c r="L990" s="11" t="n">
        <v>42761.1120023148</v>
      </c>
      <c r="M990" s="12" t="s">
        <v>2688</v>
      </c>
      <c r="N990" s="12" t="s">
        <v>2689</v>
      </c>
      <c r="O990" s="9" t="str">
        <f aca="false">HYPERLINK("https://pbs.twimg.com/profile_images/824570645178576900/R7RFr0f6_normal.jpg","View")</f>
        <v>View</v>
      </c>
      <c r="P990" s="10"/>
    </row>
    <row r="991" customFormat="false" ht="15.75" hidden="false" customHeight="false" outlineLevel="0" collapsed="false">
      <c r="A991" s="6" t="n">
        <v>43029.9661458333</v>
      </c>
      <c r="B991" s="7" t="str">
        <f aca="false">HYPERLINK("https://twitter.com/BarnesCindyhk","@BarnesCindyhk")</f>
        <v>@BarnesCindyhk</v>
      </c>
      <c r="C991" s="8" t="s">
        <v>2690</v>
      </c>
      <c r="D991" s="8" t="s">
        <v>2691</v>
      </c>
      <c r="E991" s="9" t="str">
        <f aca="false">HYPERLINK("https://twitter.com/BarnesCindyhk/status/921982260504604672","921982260504604672")</f>
        <v>921982260504604672</v>
      </c>
      <c r="F991" s="10" t="s">
        <v>60</v>
      </c>
      <c r="G991" s="10" t="n">
        <v>13</v>
      </c>
      <c r="H991" s="10" t="n">
        <v>31</v>
      </c>
      <c r="I991" s="10" t="n">
        <v>0</v>
      </c>
      <c r="J991" s="10" t="n">
        <v>0</v>
      </c>
      <c r="K991" s="10" t="s">
        <v>20</v>
      </c>
      <c r="L991" s="11" t="n">
        <v>42760.050787037</v>
      </c>
      <c r="M991" s="12" t="s">
        <v>2692</v>
      </c>
      <c r="N991" s="12" t="s">
        <v>2693</v>
      </c>
      <c r="O991" s="9" t="str">
        <f aca="false">HYPERLINK("https://pbs.twimg.com/profile_images/824185470599000065/U9bnEMiV_normal.jpg","View")</f>
        <v>View</v>
      </c>
      <c r="P991" s="10"/>
    </row>
    <row r="992" customFormat="false" ht="15.75" hidden="false" customHeight="false" outlineLevel="0" collapsed="false">
      <c r="A992" s="6" t="n">
        <v>43029.9662152778</v>
      </c>
      <c r="B992" s="7" t="str">
        <f aca="false">HYPERLINK("https://twitter.com/JenBettypd","@JenBettypd")</f>
        <v>@JenBettypd</v>
      </c>
      <c r="C992" s="8" t="s">
        <v>2694</v>
      </c>
      <c r="D992" s="8" t="s">
        <v>2695</v>
      </c>
      <c r="E992" s="9" t="str">
        <f aca="false">HYPERLINK("https://twitter.com/JenBettypd/status/921982287763435520","921982287763435520")</f>
        <v>921982287763435520</v>
      </c>
      <c r="F992" s="10" t="s">
        <v>60</v>
      </c>
      <c r="G992" s="10" t="n">
        <v>13</v>
      </c>
      <c r="H992" s="10" t="n">
        <v>71</v>
      </c>
      <c r="I992" s="10" t="n">
        <v>0</v>
      </c>
      <c r="J992" s="10" t="n">
        <v>0</v>
      </c>
      <c r="K992" s="10" t="s">
        <v>20</v>
      </c>
      <c r="L992" s="11" t="n">
        <v>42753.8909722222</v>
      </c>
      <c r="M992" s="12" t="s">
        <v>2661</v>
      </c>
      <c r="N992" s="12" t="s">
        <v>2696</v>
      </c>
      <c r="O992" s="9" t="str">
        <f aca="false">HYPERLINK("https://pbs.twimg.com/profile_images/821962148188299264/4kLugQlM_normal.jpg","View")</f>
        <v>View</v>
      </c>
      <c r="P992" s="10"/>
    </row>
    <row r="993" customFormat="false" ht="15.75" hidden="false" customHeight="false" outlineLevel="0" collapsed="false">
      <c r="A993" s="6" t="n">
        <v>43029.9662268519</v>
      </c>
      <c r="B993" s="7" t="str">
        <f aca="false">HYPERLINK("https://twitter.com/Infonya_Mas","@Infonya_Mas")</f>
        <v>@Infonya_Mas</v>
      </c>
      <c r="C993" s="8" t="s">
        <v>2697</v>
      </c>
      <c r="D993" s="8" t="s">
        <v>2698</v>
      </c>
      <c r="E993" s="9" t="str">
        <f aca="false">HYPERLINK("https://twitter.com/Infonya_Mas/status/921982293211779072","921982293211779072")</f>
        <v>921982293211779072</v>
      </c>
      <c r="F993" s="9" t="s">
        <v>979</v>
      </c>
      <c r="G993" s="10" t="n">
        <v>11194</v>
      </c>
      <c r="H993" s="10" t="n">
        <v>9026</v>
      </c>
      <c r="I993" s="10" t="n">
        <v>0</v>
      </c>
      <c r="J993" s="10" t="n">
        <v>0</v>
      </c>
      <c r="K993" s="10" t="s">
        <v>20</v>
      </c>
      <c r="L993" s="11" t="n">
        <v>40972.8225925926</v>
      </c>
      <c r="M993" s="12" t="s">
        <v>2699</v>
      </c>
      <c r="N993" s="12" t="s">
        <v>2700</v>
      </c>
      <c r="O993" s="9" t="str">
        <f aca="false">HYPERLINK("https://pbs.twimg.com/profile_images/565499910040981504/6QgbqZ7F_normal.jpeg","View")</f>
        <v>View</v>
      </c>
      <c r="P993" s="10"/>
    </row>
    <row r="994" customFormat="false" ht="15.75" hidden="false" customHeight="false" outlineLevel="0" collapsed="false">
      <c r="A994" s="6" t="n">
        <v>43029.9663194444</v>
      </c>
      <c r="B994" s="7" t="str">
        <f aca="false">HYPERLINK("https://twitter.com/GriffinAndreatd","@GriffinAndreatd")</f>
        <v>@GriffinAndreatd</v>
      </c>
      <c r="C994" s="8" t="s">
        <v>2701</v>
      </c>
      <c r="D994" s="8" t="s">
        <v>2702</v>
      </c>
      <c r="E994" s="9" t="str">
        <f aca="false">HYPERLINK("https://twitter.com/GriffinAndreatd/status/921982326678130688","921982326678130688")</f>
        <v>921982326678130688</v>
      </c>
      <c r="F994" s="10" t="s">
        <v>60</v>
      </c>
      <c r="G994" s="10" t="n">
        <v>9</v>
      </c>
      <c r="H994" s="10" t="n">
        <v>41</v>
      </c>
      <c r="I994" s="10" t="n">
        <v>0</v>
      </c>
      <c r="J994" s="10" t="n">
        <v>0</v>
      </c>
      <c r="K994" s="10" t="s">
        <v>20</v>
      </c>
      <c r="L994" s="11" t="n">
        <v>42746.8262268519</v>
      </c>
      <c r="M994" s="12" t="s">
        <v>2661</v>
      </c>
      <c r="N994" s="12" t="s">
        <v>2703</v>
      </c>
      <c r="O994" s="9" t="str">
        <f aca="false">HYPERLINK("https://pbs.twimg.com/profile_images/819403796983840769/WssguEwb_normal.jpg","View")</f>
        <v>View</v>
      </c>
      <c r="P994" s="10"/>
    </row>
    <row r="995" customFormat="false" ht="15.75" hidden="false" customHeight="false" outlineLevel="0" collapsed="false">
      <c r="A995" s="6" t="n">
        <v>43029.9663310185</v>
      </c>
      <c r="B995" s="7" t="str">
        <f aca="false">HYPERLINK("https://twitter.com/TatiekSudarmani","@TatiekSudarmani")</f>
        <v>@TatiekSudarmani</v>
      </c>
      <c r="C995" s="8" t="s">
        <v>2704</v>
      </c>
      <c r="D995" s="8" t="s">
        <v>2705</v>
      </c>
      <c r="E995" s="9" t="str">
        <f aca="false">HYPERLINK("https://twitter.com/TatiekSudarmani/status/921982327902887936","921982327902887936")</f>
        <v>921982327902887936</v>
      </c>
      <c r="F995" s="9" t="s">
        <v>979</v>
      </c>
      <c r="G995" s="10" t="n">
        <v>3073</v>
      </c>
      <c r="H995" s="10" t="n">
        <v>2872</v>
      </c>
      <c r="I995" s="10" t="n">
        <v>0</v>
      </c>
      <c r="J995" s="10" t="n">
        <v>0</v>
      </c>
      <c r="K995" s="10" t="s">
        <v>20</v>
      </c>
      <c r="L995" s="11" t="n">
        <v>40997.0674189815</v>
      </c>
      <c r="M995" s="12" t="s">
        <v>2706</v>
      </c>
      <c r="N995" s="12"/>
      <c r="O995" s="9" t="str">
        <f aca="false">HYPERLINK("https://pbs.twimg.com/profile_images/760818344337432576/HbarC91E_normal.jpg","View")</f>
        <v>View</v>
      </c>
      <c r="P995" s="10"/>
    </row>
    <row r="996" customFormat="false" ht="15.75" hidden="false" customHeight="false" outlineLevel="0" collapsed="false">
      <c r="A996" s="6" t="n">
        <v>43029.9663541667</v>
      </c>
      <c r="B996" s="7" t="str">
        <f aca="false">HYPERLINK("https://twitter.com/Infonya_uda","@Infonya_uda")</f>
        <v>@Infonya_uda</v>
      </c>
      <c r="C996" s="8" t="s">
        <v>2707</v>
      </c>
      <c r="D996" s="8" t="s">
        <v>2708</v>
      </c>
      <c r="E996" s="9" t="str">
        <f aca="false">HYPERLINK("https://twitter.com/Infonya_uda/status/921982335368777730","921982335368777730")</f>
        <v>921982335368777730</v>
      </c>
      <c r="F996" s="9" t="s">
        <v>979</v>
      </c>
      <c r="G996" s="10" t="n">
        <v>4378</v>
      </c>
      <c r="H996" s="10" t="n">
        <v>3875</v>
      </c>
      <c r="I996" s="10" t="n">
        <v>0</v>
      </c>
      <c r="J996" s="10" t="n">
        <v>0</v>
      </c>
      <c r="K996" s="10" t="s">
        <v>20</v>
      </c>
      <c r="L996" s="11" t="n">
        <v>40851.2725</v>
      </c>
      <c r="M996" s="12" t="s">
        <v>2709</v>
      </c>
      <c r="N996" s="12" t="s">
        <v>2710</v>
      </c>
      <c r="O996" s="9" t="str">
        <f aca="false">HYPERLINK("https://pbs.twimg.com/profile_images/565485819679350784/Td5ILBT7_normal.jpeg","View")</f>
        <v>View</v>
      </c>
      <c r="P996" s="10"/>
    </row>
    <row r="997" customFormat="false" ht="15.75" hidden="false" customHeight="false" outlineLevel="0" collapsed="false">
      <c r="A997" s="6" t="n">
        <v>43029.9663657407</v>
      </c>
      <c r="B997" s="7" t="str">
        <f aca="false">HYPERLINK("https://twitter.com/UnityNetworks","@UnityNetworks")</f>
        <v>@UnityNetworks</v>
      </c>
      <c r="C997" s="8" t="s">
        <v>2711</v>
      </c>
      <c r="D997" s="8" t="s">
        <v>2712</v>
      </c>
      <c r="E997" s="9" t="str">
        <f aca="false">HYPERLINK("https://twitter.com/UnityNetworks/status/921982342528368640","921982342528368640")</f>
        <v>921982342528368640</v>
      </c>
      <c r="F997" s="9" t="s">
        <v>979</v>
      </c>
      <c r="G997" s="10" t="n">
        <v>185</v>
      </c>
      <c r="H997" s="10" t="n">
        <v>526</v>
      </c>
      <c r="I997" s="10" t="n">
        <v>0</v>
      </c>
      <c r="J997" s="10" t="n">
        <v>0</v>
      </c>
      <c r="K997" s="10" t="s">
        <v>20</v>
      </c>
      <c r="L997" s="11" t="n">
        <v>41376.0940972222</v>
      </c>
      <c r="M997" s="12" t="s">
        <v>2713</v>
      </c>
      <c r="N997" s="12" t="s">
        <v>2714</v>
      </c>
      <c r="O997" s="9" t="str">
        <f aca="false">HYPERLINK("https://pbs.twimg.com/profile_images/3775214336/640245f2b4e9c7842140c1ff9ba01a13_normal.png","View")</f>
        <v>View</v>
      </c>
      <c r="P997" s="10"/>
    </row>
    <row r="998" customFormat="false" ht="15.75" hidden="false" customHeight="false" outlineLevel="0" collapsed="false">
      <c r="A998" s="6" t="n">
        <v>43029.9663888889</v>
      </c>
      <c r="B998" s="7" t="str">
        <f aca="false">HYPERLINK("https://twitter.com/Isabell93574317","@Isabell93574317")</f>
        <v>@Isabell93574317</v>
      </c>
      <c r="C998" s="8" t="s">
        <v>2715</v>
      </c>
      <c r="D998" s="8" t="s">
        <v>2716</v>
      </c>
      <c r="E998" s="9" t="str">
        <f aca="false">HYPERLINK("https://twitter.com/Isabell93574317/status/921982349302206464","921982349302206464")</f>
        <v>921982349302206464</v>
      </c>
      <c r="F998" s="10" t="s">
        <v>60</v>
      </c>
      <c r="G998" s="10" t="n">
        <v>11</v>
      </c>
      <c r="H998" s="10" t="n">
        <v>50</v>
      </c>
      <c r="I998" s="10" t="n">
        <v>0</v>
      </c>
      <c r="J998" s="10" t="n">
        <v>0</v>
      </c>
      <c r="K998" s="10" t="s">
        <v>20</v>
      </c>
      <c r="L998" s="11" t="n">
        <v>42752.8294675926</v>
      </c>
      <c r="M998" s="12" t="s">
        <v>2661</v>
      </c>
      <c r="N998" s="12" t="s">
        <v>2717</v>
      </c>
      <c r="O998" s="9" t="str">
        <f aca="false">HYPERLINK("https://pbs.twimg.com/profile_images/821568752835694592/W7VUAM8L_normal.jpg","View")</f>
        <v>View</v>
      </c>
      <c r="P998" s="10"/>
    </row>
    <row r="999" customFormat="false" ht="15.75" hidden="false" customHeight="false" outlineLevel="0" collapsed="false">
      <c r="A999" s="6" t="n">
        <v>43029.966400463</v>
      </c>
      <c r="B999" s="7" t="str">
        <f aca="false">HYPERLINK("https://twitter.com/jwaxsom","@jwaxsom")</f>
        <v>@jwaxsom</v>
      </c>
      <c r="C999" s="8" t="s">
        <v>2718</v>
      </c>
      <c r="D999" s="8" t="s">
        <v>2719</v>
      </c>
      <c r="E999" s="9" t="str">
        <f aca="false">HYPERLINK("https://twitter.com/jwaxsom/status/921982354301865984","921982354301865984")</f>
        <v>921982354301865984</v>
      </c>
      <c r="F999" s="10" t="s">
        <v>60</v>
      </c>
      <c r="G999" s="10" t="n">
        <v>19593</v>
      </c>
      <c r="H999" s="10" t="n">
        <v>17795</v>
      </c>
      <c r="I999" s="10" t="n">
        <v>2</v>
      </c>
      <c r="J999" s="10" t="n">
        <v>2</v>
      </c>
      <c r="K999" s="10" t="s">
        <v>20</v>
      </c>
      <c r="L999" s="11" t="n">
        <v>40906.3663425926</v>
      </c>
      <c r="M999" s="12" t="s">
        <v>2720</v>
      </c>
      <c r="N999" s="12" t="s">
        <v>2721</v>
      </c>
      <c r="O999" s="9" t="str">
        <f aca="false">HYPERLINK("https://pbs.twimg.com/profile_images/910480320788434945/0wbYu6Ue_normal.jpg","View")</f>
        <v>View</v>
      </c>
      <c r="P999" s="10"/>
    </row>
    <row r="1000" customFormat="false" ht="15.75" hidden="false" customHeight="false" outlineLevel="0" collapsed="false">
      <c r="A1000" s="6" t="n">
        <v>43029.966412037</v>
      </c>
      <c r="B1000" s="7" t="str">
        <f aca="false">HYPERLINK("https://twitter.com/SekseehOnline","@SekseehOnline")</f>
        <v>@SekseehOnline</v>
      </c>
      <c r="C1000" s="8" t="s">
        <v>2722</v>
      </c>
      <c r="D1000" s="8" t="s">
        <v>2723</v>
      </c>
      <c r="E1000" s="9" t="str">
        <f aca="false">HYPERLINK("https://twitter.com/SekseehOnline/status/921982359309836288","921982359309836288")</f>
        <v>921982359309836288</v>
      </c>
      <c r="F1000" s="9" t="s">
        <v>979</v>
      </c>
      <c r="G1000" s="10" t="n">
        <v>12485</v>
      </c>
      <c r="H1000" s="10" t="n">
        <v>9093</v>
      </c>
      <c r="I1000" s="10" t="n">
        <v>0</v>
      </c>
      <c r="J1000" s="10" t="n">
        <v>0</v>
      </c>
      <c r="K1000" s="10" t="s">
        <v>20</v>
      </c>
      <c r="L1000" s="11" t="n">
        <v>40965.2165972222</v>
      </c>
      <c r="M1000" s="12" t="s">
        <v>2724</v>
      </c>
      <c r="N1000" s="12" t="s">
        <v>2725</v>
      </c>
      <c r="O1000" s="9" t="str">
        <f aca="false">HYPERLINK("https://pbs.twimg.com/profile_images/553095256028106752/ZYBRUKJO_normal.jpeg","View")</f>
        <v>View</v>
      </c>
      <c r="P1000" s="10"/>
    </row>
    <row r="1001" customFormat="false" ht="15.75" hidden="false" customHeight="false" outlineLevel="0" collapsed="false">
      <c r="A1001" s="6" t="n">
        <v>43029.9664583333</v>
      </c>
      <c r="B1001" s="7" t="str">
        <f aca="false">HYPERLINK("https://twitter.com/OnlineUsahanya","@OnlineUsahanya")</f>
        <v>@OnlineUsahanya</v>
      </c>
      <c r="C1001" s="8" t="s">
        <v>2726</v>
      </c>
      <c r="D1001" s="8" t="s">
        <v>2727</v>
      </c>
      <c r="E1001" s="9" t="str">
        <f aca="false">HYPERLINK("https://twitter.com/OnlineUsahanya/status/921982373243301889","921982373243301889")</f>
        <v>921982373243301889</v>
      </c>
      <c r="F1001" s="9" t="s">
        <v>979</v>
      </c>
      <c r="G1001" s="10" t="n">
        <v>5196</v>
      </c>
      <c r="H1001" s="10" t="n">
        <v>4313</v>
      </c>
      <c r="I1001" s="10" t="n">
        <v>0</v>
      </c>
      <c r="J1001" s="10" t="n">
        <v>0</v>
      </c>
      <c r="K1001" s="10" t="s">
        <v>20</v>
      </c>
      <c r="L1001" s="11" t="n">
        <v>40980.1646759259</v>
      </c>
      <c r="M1001" s="12" t="s">
        <v>1371</v>
      </c>
      <c r="N1001" s="12" t="s">
        <v>2728</v>
      </c>
      <c r="O1001" s="9" t="str">
        <f aca="false">HYPERLINK("https://pbs.twimg.com/profile_images/564697640311345152/dBUrrZYo_normal.jpeg","View")</f>
        <v>View</v>
      </c>
      <c r="P1001" s="10"/>
    </row>
    <row r="1002" customFormat="false" ht="15.75" hidden="false" customHeight="false" outlineLevel="0" collapsed="false">
      <c r="A1002" s="6" t="n">
        <v>43029.9667592593</v>
      </c>
      <c r="B1002" s="7" t="str">
        <f aca="false">HYPERLINK("https://twitter.com/farhaadaarif","@farhaadaarif")</f>
        <v>@farhaadaarif</v>
      </c>
      <c r="C1002" s="8" t="s">
        <v>1031</v>
      </c>
      <c r="D1002" s="8" t="s">
        <v>2729</v>
      </c>
      <c r="E1002" s="9" t="str">
        <f aca="false">HYPERLINK("https://twitter.com/farhaadaarif/status/921982484451078145","921982484451078145")</f>
        <v>921982484451078145</v>
      </c>
      <c r="F1002" s="10" t="s">
        <v>60</v>
      </c>
      <c r="G1002" s="10" t="n">
        <v>704</v>
      </c>
      <c r="H1002" s="10" t="n">
        <v>512</v>
      </c>
      <c r="I1002" s="10" t="n">
        <v>0</v>
      </c>
      <c r="J1002" s="10" t="n">
        <v>0</v>
      </c>
      <c r="K1002" s="10" t="s">
        <v>20</v>
      </c>
      <c r="L1002" s="11" t="n">
        <v>41804.3271643519</v>
      </c>
      <c r="M1002" s="12"/>
      <c r="N1002" s="12" t="s">
        <v>1033</v>
      </c>
      <c r="O1002" s="9" t="str">
        <f aca="false">HYPERLINK("https://pbs.twimg.com/profile_images/923956796984823809/05olD5HV_normal.jpg","View")</f>
        <v>View</v>
      </c>
      <c r="P1002" s="10"/>
    </row>
    <row r="1003" customFormat="false" ht="15.75" hidden="false" customHeight="false" outlineLevel="0" collapsed="false">
      <c r="A1003" s="6" t="n">
        <v>43029.9667708333</v>
      </c>
      <c r="B1003" s="7" t="str">
        <f aca="false">HYPERLINK("https://twitter.com/glenndorothytc","@glenndorothytc")</f>
        <v>@glenndorothytc</v>
      </c>
      <c r="C1003" s="8" t="s">
        <v>2730</v>
      </c>
      <c r="D1003" s="8" t="s">
        <v>2731</v>
      </c>
      <c r="E1003" s="9" t="str">
        <f aca="false">HYPERLINK("https://twitter.com/glenndorothytc/status/921982488964149249","921982488964149249")</f>
        <v>921982488964149249</v>
      </c>
      <c r="F1003" s="10" t="s">
        <v>60</v>
      </c>
      <c r="G1003" s="10" t="n">
        <v>11</v>
      </c>
      <c r="H1003" s="10" t="n">
        <v>78</v>
      </c>
      <c r="I1003" s="10" t="n">
        <v>0</v>
      </c>
      <c r="J1003" s="10" t="n">
        <v>0</v>
      </c>
      <c r="K1003" s="10" t="s">
        <v>20</v>
      </c>
      <c r="L1003" s="11" t="n">
        <v>42765.0300925926</v>
      </c>
      <c r="M1003" s="12" t="s">
        <v>2732</v>
      </c>
      <c r="N1003" s="12" t="s">
        <v>2733</v>
      </c>
      <c r="O1003" s="9" t="str">
        <f aca="false">HYPERLINK("https://pbs.twimg.com/profile_images/825990158038097920/bIAPrHkh_normal.jpg","View")</f>
        <v>View</v>
      </c>
      <c r="P1003" s="10"/>
    </row>
    <row r="1004" customFormat="false" ht="15.75" hidden="false" customHeight="false" outlineLevel="0" collapsed="false">
      <c r="A1004" s="6" t="n">
        <v>43029.9667708333</v>
      </c>
      <c r="B1004" s="7" t="str">
        <f aca="false">HYPERLINK("https://twitter.com/USA_Update_","@USA_Update_")</f>
        <v>@USA_Update_</v>
      </c>
      <c r="C1004" s="8" t="s">
        <v>2734</v>
      </c>
      <c r="D1004" s="8" t="s">
        <v>2735</v>
      </c>
      <c r="E1004" s="9" t="str">
        <f aca="false">HYPERLINK("https://twitter.com/USA_Update_/status/921982489782046720","921982489782046720")</f>
        <v>921982489782046720</v>
      </c>
      <c r="F1004" s="10" t="s">
        <v>60</v>
      </c>
      <c r="G1004" s="10" t="n">
        <v>197</v>
      </c>
      <c r="H1004" s="10" t="n">
        <v>180</v>
      </c>
      <c r="I1004" s="10" t="n">
        <v>0</v>
      </c>
      <c r="J1004" s="10" t="n">
        <v>0</v>
      </c>
      <c r="K1004" s="10" t="s">
        <v>20</v>
      </c>
      <c r="L1004" s="11" t="n">
        <v>42708.0171180556</v>
      </c>
      <c r="M1004" s="12" t="s">
        <v>230</v>
      </c>
      <c r="N1004" s="12" t="s">
        <v>2736</v>
      </c>
      <c r="O1004" s="9" t="str">
        <f aca="false">HYPERLINK("https://pbs.twimg.com/profile_images/805682723385810944/Xy-TEN7R_normal.jpg","View")</f>
        <v>View</v>
      </c>
      <c r="P1004" s="10"/>
    </row>
    <row r="1005" customFormat="false" ht="15.75" hidden="false" customHeight="false" outlineLevel="0" collapsed="false">
      <c r="A1005" s="6" t="n">
        <v>43029.9669097222</v>
      </c>
      <c r="B1005" s="7" t="str">
        <f aca="false">HYPERLINK("https://twitter.com/CharlesCorapd","@CharlesCorapd")</f>
        <v>@CharlesCorapd</v>
      </c>
      <c r="C1005" s="8" t="s">
        <v>2737</v>
      </c>
      <c r="D1005" s="8" t="s">
        <v>2738</v>
      </c>
      <c r="E1005" s="9" t="str">
        <f aca="false">HYPERLINK("https://twitter.com/CharlesCorapd/status/921982536863141888","921982536863141888")</f>
        <v>921982536863141888</v>
      </c>
      <c r="F1005" s="10" t="s">
        <v>60</v>
      </c>
      <c r="G1005" s="10" t="n">
        <v>11</v>
      </c>
      <c r="H1005" s="10" t="n">
        <v>51</v>
      </c>
      <c r="I1005" s="10" t="n">
        <v>0</v>
      </c>
      <c r="J1005" s="10" t="n">
        <v>0</v>
      </c>
      <c r="K1005" s="10" t="s">
        <v>20</v>
      </c>
      <c r="L1005" s="11" t="n">
        <v>42894.3402546296</v>
      </c>
      <c r="M1005" s="12" t="s">
        <v>295</v>
      </c>
      <c r="N1005" s="12"/>
      <c r="O1005" s="9" t="str">
        <f aca="false">HYPERLINK("https://pbs.twimg.com/profile_images/873047706490388481/7lvdOKml_normal.jpg","View")</f>
        <v>View</v>
      </c>
      <c r="P1005" s="10"/>
    </row>
    <row r="1006" customFormat="false" ht="15.75" hidden="false" customHeight="false" outlineLevel="0" collapsed="false">
      <c r="A1006" s="6" t="n">
        <v>43029.9673726852</v>
      </c>
      <c r="B1006" s="7" t="str">
        <f aca="false">HYPERLINK("https://twitter.com/HendersonWendy3","@HendersonWendy3")</f>
        <v>@HendersonWendy3</v>
      </c>
      <c r="C1006" s="8" t="s">
        <v>2653</v>
      </c>
      <c r="D1006" s="8" t="s">
        <v>2739</v>
      </c>
      <c r="E1006" s="9" t="str">
        <f aca="false">HYPERLINK("https://twitter.com/HendersonWendy3/status/921982705545416704","921982705545416704")</f>
        <v>921982705545416704</v>
      </c>
      <c r="F1006" s="9" t="s">
        <v>979</v>
      </c>
      <c r="G1006" s="10" t="n">
        <v>16</v>
      </c>
      <c r="H1006" s="10" t="n">
        <v>45</v>
      </c>
      <c r="I1006" s="10" t="n">
        <v>0</v>
      </c>
      <c r="J1006" s="10" t="n">
        <v>0</v>
      </c>
      <c r="K1006" s="10" t="s">
        <v>20</v>
      </c>
      <c r="L1006" s="11" t="n">
        <v>42747.0255902778</v>
      </c>
      <c r="M1006" s="12"/>
      <c r="N1006" s="12" t="s">
        <v>2655</v>
      </c>
      <c r="O1006" s="9" t="str">
        <f aca="false">HYPERLINK("https://pbs.twimg.com/profile_images/819480370416533505/pF_DN8Fx_normal.jpg","View")</f>
        <v>View</v>
      </c>
      <c r="P1006" s="10"/>
    </row>
    <row r="1007" customFormat="false" ht="15.75" hidden="false" customHeight="false" outlineLevel="0" collapsed="false">
      <c r="A1007" s="6" t="n">
        <v>43029.9674189815</v>
      </c>
      <c r="B1007" s="7" t="str">
        <f aca="false">HYPERLINK("https://twitter.com/HowardSanjuani2","@HowardSanjuani2")</f>
        <v>@HowardSanjuani2</v>
      </c>
      <c r="C1007" s="8" t="s">
        <v>2637</v>
      </c>
      <c r="D1007" s="8" t="s">
        <v>2740</v>
      </c>
      <c r="E1007" s="9" t="str">
        <f aca="false">HYPERLINK("https://twitter.com/HowardSanjuani2/status/921982724868595712","921982724868595712")</f>
        <v>921982724868595712</v>
      </c>
      <c r="F1007" s="9" t="s">
        <v>979</v>
      </c>
      <c r="G1007" s="10" t="n">
        <v>10</v>
      </c>
      <c r="H1007" s="10" t="n">
        <v>31</v>
      </c>
      <c r="I1007" s="10" t="n">
        <v>0</v>
      </c>
      <c r="J1007" s="10" t="n">
        <v>0</v>
      </c>
      <c r="K1007" s="10" t="s">
        <v>20</v>
      </c>
      <c r="L1007" s="11" t="n">
        <v>42747.9775</v>
      </c>
      <c r="M1007" s="12"/>
      <c r="N1007" s="12" t="s">
        <v>2639</v>
      </c>
      <c r="O1007" s="9" t="str">
        <f aca="false">HYPERLINK("https://pbs.twimg.com/profile_images/819826894354817024/b2DeVGkj_normal.jpg","View")</f>
        <v>View</v>
      </c>
      <c r="P1007" s="10"/>
    </row>
    <row r="1008" customFormat="false" ht="15.75" hidden="false" customHeight="false" outlineLevel="0" collapsed="false">
      <c r="A1008" s="6" t="n">
        <v>43029.9675810185</v>
      </c>
      <c r="B1008" s="7" t="str">
        <f aca="false">HYPERLINK("https://twitter.com/sasha031","@sasha031")</f>
        <v>@sasha031</v>
      </c>
      <c r="C1008" s="8" t="s">
        <v>2741</v>
      </c>
      <c r="D1008" s="8" t="s">
        <v>2742</v>
      </c>
      <c r="E1008" s="9" t="str">
        <f aca="false">HYPERLINK("https://twitter.com/sasha031/status/921982783706234880","921982783706234880")</f>
        <v>921982783706234880</v>
      </c>
      <c r="F1008" s="10" t="s">
        <v>39</v>
      </c>
      <c r="G1008" s="10" t="n">
        <v>8854</v>
      </c>
      <c r="H1008" s="10" t="n">
        <v>6959</v>
      </c>
      <c r="I1008" s="10" t="n">
        <v>2</v>
      </c>
      <c r="J1008" s="10" t="n">
        <v>0</v>
      </c>
      <c r="K1008" s="10" t="s">
        <v>20</v>
      </c>
      <c r="L1008" s="11" t="n">
        <v>40484.727025463</v>
      </c>
      <c r="M1008" s="12"/>
      <c r="N1008" s="12" t="s">
        <v>2743</v>
      </c>
      <c r="O1008" s="9" t="str">
        <f aca="false">HYPERLINK("https://pbs.twimg.com/profile_images/815616528590704640/cro0KrqJ_normal.jpg","View")</f>
        <v>View</v>
      </c>
      <c r="P1008" s="10"/>
    </row>
    <row r="1009" customFormat="false" ht="15.75" hidden="false" customHeight="false" outlineLevel="0" collapsed="false">
      <c r="A1009" s="6" t="n">
        <v>43029.9675925926</v>
      </c>
      <c r="B1009" s="7" t="str">
        <f aca="false">HYPERLINK("https://twitter.com/powerglobalus","@powerglobalus")</f>
        <v>@powerglobalus</v>
      </c>
      <c r="C1009" s="8" t="s">
        <v>2744</v>
      </c>
      <c r="D1009" s="8" t="s">
        <v>2742</v>
      </c>
      <c r="E1009" s="9" t="str">
        <f aca="false">HYPERLINK("https://twitter.com/powerglobalus/status/921982786109554689","921982786109554689")</f>
        <v>921982786109554689</v>
      </c>
      <c r="F1009" s="10" t="s">
        <v>39</v>
      </c>
      <c r="G1009" s="10" t="n">
        <v>11023</v>
      </c>
      <c r="H1009" s="10" t="n">
        <v>12097</v>
      </c>
      <c r="I1009" s="10" t="n">
        <v>2</v>
      </c>
      <c r="J1009" s="10" t="n">
        <v>0</v>
      </c>
      <c r="K1009" s="10" t="s">
        <v>20</v>
      </c>
      <c r="L1009" s="11" t="n">
        <v>41017.9670138889</v>
      </c>
      <c r="M1009" s="12" t="s">
        <v>312</v>
      </c>
      <c r="N1009" s="12" t="s">
        <v>2745</v>
      </c>
      <c r="O1009" s="9" t="str">
        <f aca="false">HYPERLINK("https://pbs.twimg.com/profile_images/841097251061608449/zZ-JfynT_normal.jpg","View")</f>
        <v>View</v>
      </c>
      <c r="P1009" s="10"/>
    </row>
    <row r="1010" customFormat="false" ht="15.75" hidden="false" customHeight="false" outlineLevel="0" collapsed="false">
      <c r="A1010" s="6" t="n">
        <v>43029.9677199074</v>
      </c>
      <c r="B1010" s="7" t="str">
        <f aca="false">HYPERLINK("https://twitter.com/baileykyraas","@baileykyraas")</f>
        <v>@baileykyraas</v>
      </c>
      <c r="C1010" s="8" t="s">
        <v>2746</v>
      </c>
      <c r="D1010" s="8" t="s">
        <v>2747</v>
      </c>
      <c r="E1010" s="9" t="str">
        <f aca="false">HYPERLINK("https://twitter.com/baileykyraas/status/921982831198392321","921982831198392321")</f>
        <v>921982831198392321</v>
      </c>
      <c r="F1010" s="10" t="s">
        <v>60</v>
      </c>
      <c r="G1010" s="10" t="n">
        <v>12</v>
      </c>
      <c r="H1010" s="10" t="n">
        <v>49</v>
      </c>
      <c r="I1010" s="10" t="n">
        <v>0</v>
      </c>
      <c r="J1010" s="10" t="n">
        <v>0</v>
      </c>
      <c r="K1010" s="10" t="s">
        <v>20</v>
      </c>
      <c r="L1010" s="11" t="n">
        <v>42759.876712963</v>
      </c>
      <c r="M1010" s="12" t="s">
        <v>2748</v>
      </c>
      <c r="N1010" s="12" t="s">
        <v>2749</v>
      </c>
      <c r="O1010" s="9" t="str">
        <f aca="false">HYPERLINK("https://pbs.twimg.com/profile_images/824122198206148608/_d5k1j4G_normal.jpg","View")</f>
        <v>View</v>
      </c>
      <c r="P1010" s="10"/>
    </row>
    <row r="1011" customFormat="false" ht="15.75" hidden="false" customHeight="false" outlineLevel="0" collapsed="false">
      <c r="A1011" s="6" t="n">
        <v>43029.9680324074</v>
      </c>
      <c r="B1011" s="7" t="str">
        <f aca="false">HYPERLINK("https://twitter.com/2hungwindL4G0A2","@2hungwindL4G0A2")</f>
        <v>@2hungwindL4G0A2</v>
      </c>
      <c r="C1011" s="8" t="s">
        <v>2750</v>
      </c>
      <c r="D1011" s="8" t="s">
        <v>2751</v>
      </c>
      <c r="E1011" s="9" t="str">
        <f aca="false">HYPERLINK("https://twitter.com/2hungwindL4G0A2/status/921982947330265088","921982947330265088")</f>
        <v>921982947330265088</v>
      </c>
      <c r="F1011" s="9" t="s">
        <v>979</v>
      </c>
      <c r="G1011" s="10" t="n">
        <v>13</v>
      </c>
      <c r="H1011" s="10" t="n">
        <v>1</v>
      </c>
      <c r="I1011" s="10" t="n">
        <v>0</v>
      </c>
      <c r="J1011" s="10" t="n">
        <v>0</v>
      </c>
      <c r="K1011" s="10" t="s">
        <v>20</v>
      </c>
      <c r="L1011" s="11" t="n">
        <v>42733.9098148148</v>
      </c>
      <c r="M1011" s="12" t="s">
        <v>2752</v>
      </c>
      <c r="N1011" s="12" t="s">
        <v>2753</v>
      </c>
      <c r="O1011" s="9" t="str">
        <f aca="false">HYPERLINK("https://pbs.twimg.com/profile_images/814711015128502272/-lPChXVs_normal.jpg","View")</f>
        <v>View</v>
      </c>
      <c r="P1011" s="10"/>
    </row>
    <row r="1012" customFormat="false" ht="15.75" hidden="false" customHeight="false" outlineLevel="0" collapsed="false">
      <c r="A1012" s="6" t="n">
        <v>43029.9682523148</v>
      </c>
      <c r="B1012" s="7" t="str">
        <f aca="false">HYPERLINK("https://twitter.com/CatherinJasmin","@CatherinJasmin")</f>
        <v>@CatherinJasmin</v>
      </c>
      <c r="C1012" s="8" t="s">
        <v>2681</v>
      </c>
      <c r="D1012" s="8" t="s">
        <v>2754</v>
      </c>
      <c r="E1012" s="9" t="str">
        <f aca="false">HYPERLINK("https://twitter.com/CatherinJasmin/status/921983024748736512","921983024748736512")</f>
        <v>921983024748736512</v>
      </c>
      <c r="F1012" s="9" t="s">
        <v>979</v>
      </c>
      <c r="G1012" s="10" t="n">
        <v>11</v>
      </c>
      <c r="H1012" s="10" t="n">
        <v>0</v>
      </c>
      <c r="I1012" s="10" t="n">
        <v>0</v>
      </c>
      <c r="J1012" s="10" t="n">
        <v>0</v>
      </c>
      <c r="K1012" s="10" t="s">
        <v>20</v>
      </c>
      <c r="L1012" s="11" t="n">
        <v>42761.8865046296</v>
      </c>
      <c r="M1012" s="12" t="s">
        <v>2683</v>
      </c>
      <c r="N1012" s="12" t="s">
        <v>2684</v>
      </c>
      <c r="O1012" s="9" t="str">
        <f aca="false">HYPERLINK("https://pbs.twimg.com/profile_images/824849591765921798/sq3fZ3BJ_normal.jpg","View")</f>
        <v>View</v>
      </c>
      <c r="P1012" s="10"/>
    </row>
    <row r="1013" customFormat="false" ht="15.75" hidden="false" customHeight="false" outlineLevel="0" collapsed="false">
      <c r="A1013" s="6" t="n">
        <v>43029.9685416667</v>
      </c>
      <c r="B1013" s="7" t="str">
        <f aca="false">HYPERLINK("https://twitter.com/SahelHKJ","@SahelHKJ")</f>
        <v>@SahelHKJ</v>
      </c>
      <c r="C1013" s="8" t="s">
        <v>2755</v>
      </c>
      <c r="D1013" s="8" t="s">
        <v>2756</v>
      </c>
      <c r="E1013" s="9" t="str">
        <f aca="false">HYPERLINK("https://twitter.com/SahelHKJ/status/921983130369740800","921983130369740800")</f>
        <v>921983130369740800</v>
      </c>
      <c r="F1013" s="10" t="s">
        <v>60</v>
      </c>
      <c r="G1013" s="10" t="n">
        <v>49094</v>
      </c>
      <c r="H1013" s="10" t="n">
        <v>633</v>
      </c>
      <c r="I1013" s="10" t="n">
        <v>0</v>
      </c>
      <c r="J1013" s="10" t="n">
        <v>0</v>
      </c>
      <c r="K1013" s="10" t="s">
        <v>20</v>
      </c>
      <c r="L1013" s="11" t="n">
        <v>40640.521087963</v>
      </c>
      <c r="M1013" s="12" t="s">
        <v>2757</v>
      </c>
      <c r="N1013" s="12" t="s">
        <v>2758</v>
      </c>
      <c r="O1013" s="9" t="str">
        <f aca="false">HYPERLINK("https://pbs.twimg.com/profile_images/908288635841150978/Et2ENdHX_normal.jpg","View")</f>
        <v>View</v>
      </c>
      <c r="P1013" s="10"/>
    </row>
    <row r="1014" customFormat="false" ht="15.75" hidden="false" customHeight="false" outlineLevel="0" collapsed="false">
      <c r="A1014" s="6" t="n">
        <v>43029.9687384259</v>
      </c>
      <c r="B1014" s="7" t="str">
        <f aca="false">HYPERLINK("https://twitter.com/JenBettypd","@JenBettypd")</f>
        <v>@JenBettypd</v>
      </c>
      <c r="C1014" s="8" t="s">
        <v>2694</v>
      </c>
      <c r="D1014" s="8" t="s">
        <v>2759</v>
      </c>
      <c r="E1014" s="9" t="str">
        <f aca="false">HYPERLINK("https://twitter.com/JenBettypd/status/921983200653660160","921983200653660160")</f>
        <v>921983200653660160</v>
      </c>
      <c r="F1014" s="9" t="s">
        <v>979</v>
      </c>
      <c r="G1014" s="10" t="n">
        <v>13</v>
      </c>
      <c r="H1014" s="10" t="n">
        <v>71</v>
      </c>
      <c r="I1014" s="10" t="n">
        <v>0</v>
      </c>
      <c r="J1014" s="10" t="n">
        <v>0</v>
      </c>
      <c r="K1014" s="10" t="s">
        <v>20</v>
      </c>
      <c r="L1014" s="11" t="n">
        <v>42753.8909722222</v>
      </c>
      <c r="M1014" s="12" t="s">
        <v>2661</v>
      </c>
      <c r="N1014" s="12" t="s">
        <v>2696</v>
      </c>
      <c r="O1014" s="9" t="str">
        <f aca="false">HYPERLINK("https://pbs.twimg.com/profile_images/821962148188299264/4kLugQlM_normal.jpg","View")</f>
        <v>View</v>
      </c>
      <c r="P1014" s="10"/>
    </row>
    <row r="1015" customFormat="false" ht="15.75" hidden="false" customHeight="false" outlineLevel="0" collapsed="false">
      <c r="A1015" s="6" t="n">
        <v>43029.9690740741</v>
      </c>
      <c r="B1015" s="7" t="str">
        <f aca="false">HYPERLINK("https://twitter.com/salespreeCOM","@salespreeCOM")</f>
        <v>@salespreeCOM</v>
      </c>
      <c r="C1015" s="7" t="s">
        <v>2760</v>
      </c>
      <c r="D1015" s="8" t="s">
        <v>2761</v>
      </c>
      <c r="E1015" s="9" t="str">
        <f aca="false">HYPERLINK("https://twitter.com/salespreeCOM/status/921983322410094592","921983322410094592")</f>
        <v>921983322410094592</v>
      </c>
      <c r="F1015" s="9" t="s">
        <v>979</v>
      </c>
      <c r="G1015" s="10" t="n">
        <v>65</v>
      </c>
      <c r="H1015" s="10" t="n">
        <v>229</v>
      </c>
      <c r="I1015" s="10" t="n">
        <v>0</v>
      </c>
      <c r="J1015" s="10" t="n">
        <v>0</v>
      </c>
      <c r="K1015" s="10" t="s">
        <v>20</v>
      </c>
      <c r="L1015" s="11" t="n">
        <v>42592.4183217593</v>
      </c>
      <c r="M1015" s="12"/>
      <c r="N1015" s="15" t="s">
        <v>2762</v>
      </c>
      <c r="O1015" s="9" t="str">
        <f aca="false">HYPERLINK("https://pbs.twimg.com/profile_images/831829763002032132/bkIZFuyV_normal.jpg","View")</f>
        <v>View</v>
      </c>
      <c r="P1015" s="10"/>
    </row>
    <row r="1016" customFormat="false" ht="15.75" hidden="false" customHeight="false" outlineLevel="0" collapsed="false">
      <c r="A1016" s="6" t="n">
        <v>43029.969375</v>
      </c>
      <c r="B1016" s="7" t="str">
        <f aca="false">HYPERLINK("https://twitter.com/publicitymag","@publicitymag")</f>
        <v>@publicitymag</v>
      </c>
      <c r="C1016" s="8" t="s">
        <v>2763</v>
      </c>
      <c r="D1016" s="8" t="s">
        <v>2764</v>
      </c>
      <c r="E1016" s="9" t="str">
        <f aca="false">HYPERLINK("https://twitter.com/publicitymag/status/921983432292478976","921983432292478976")</f>
        <v>921983432292478976</v>
      </c>
      <c r="F1016" s="10" t="s">
        <v>110</v>
      </c>
      <c r="G1016" s="10" t="n">
        <v>20</v>
      </c>
      <c r="H1016" s="10" t="n">
        <v>65</v>
      </c>
      <c r="I1016" s="10" t="n">
        <v>0</v>
      </c>
      <c r="J1016" s="10" t="n">
        <v>0</v>
      </c>
      <c r="K1016" s="10" t="s">
        <v>20</v>
      </c>
      <c r="L1016" s="11" t="n">
        <v>41822.5721527778</v>
      </c>
      <c r="M1016" s="15" t="s">
        <v>2765</v>
      </c>
      <c r="N1016" s="12"/>
      <c r="O1016" s="9" t="str">
        <f aca="false">HYPERLINK("https://pbs.twimg.com/profile_images/497088486315290624/VHSzhudG_normal.png","View")</f>
        <v>View</v>
      </c>
      <c r="P1016" s="10"/>
    </row>
    <row r="1017" customFormat="false" ht="15.75" hidden="false" customHeight="false" outlineLevel="0" collapsed="false">
      <c r="A1017" s="6" t="n">
        <v>43029.9694444445</v>
      </c>
      <c r="B1017" s="7" t="str">
        <f aca="false">HYPERLINK("https://twitter.com/ItTakesOneVoter","@ItTakesOneVoter")</f>
        <v>@ItTakesOneVoter</v>
      </c>
      <c r="C1017" s="8" t="s">
        <v>2766</v>
      </c>
      <c r="D1017" s="8" t="s">
        <v>2767</v>
      </c>
      <c r="E1017" s="9" t="str">
        <f aca="false">HYPERLINK("https://twitter.com/ItTakesOneVoter/status/921983455335940096","921983455335940096")</f>
        <v>921983455335940096</v>
      </c>
      <c r="F1017" s="10" t="s">
        <v>110</v>
      </c>
      <c r="G1017" s="10" t="n">
        <v>3</v>
      </c>
      <c r="H1017" s="10" t="n">
        <v>6</v>
      </c>
      <c r="I1017" s="10" t="n">
        <v>0</v>
      </c>
      <c r="J1017" s="10" t="n">
        <v>0</v>
      </c>
      <c r="K1017" s="10" t="s">
        <v>20</v>
      </c>
      <c r="L1017" s="11" t="n">
        <v>41112.5405208333</v>
      </c>
      <c r="M1017" s="12"/>
      <c r="N1017" s="12" t="s">
        <v>2768</v>
      </c>
      <c r="O1017" s="9" t="str">
        <f aca="false">HYPERLINK("https://pbs.twimg.com/profile_images/2422760937/yourvotecounts_normal.jpg","View")</f>
        <v>View</v>
      </c>
      <c r="P1017" s="10"/>
    </row>
    <row r="1018" customFormat="false" ht="15.75" hidden="false" customHeight="false" outlineLevel="0" collapsed="false">
      <c r="A1018" s="6" t="n">
        <v>43029.9696064815</v>
      </c>
      <c r="B1018" s="7" t="str">
        <f aca="false">HYPERLINK("https://twitter.com/NatlVotingDay","@NatlVotingDay")</f>
        <v>@NatlVotingDay</v>
      </c>
      <c r="C1018" s="8" t="s">
        <v>2769</v>
      </c>
      <c r="D1018" s="8" t="s">
        <v>2770</v>
      </c>
      <c r="E1018" s="9" t="str">
        <f aca="false">HYPERLINK("https://twitter.com/NatlVotingDay/status/921983518019858434","921983518019858434")</f>
        <v>921983518019858434</v>
      </c>
      <c r="F1018" s="10" t="s">
        <v>110</v>
      </c>
      <c r="G1018" s="10" t="n">
        <v>23</v>
      </c>
      <c r="H1018" s="10" t="n">
        <v>47</v>
      </c>
      <c r="I1018" s="10" t="n">
        <v>0</v>
      </c>
      <c r="J1018" s="10" t="n">
        <v>0</v>
      </c>
      <c r="K1018" s="10" t="s">
        <v>20</v>
      </c>
      <c r="L1018" s="11" t="n">
        <v>41191.7546643519</v>
      </c>
      <c r="M1018" s="12"/>
      <c r="N1018" s="12" t="s">
        <v>2771</v>
      </c>
      <c r="O1018" s="9" t="str">
        <f aca="false">HYPERLINK("https://pbs.twimg.com/profile_images/696063310483968000/WuOXREWY_normal.jpg","View")</f>
        <v>View</v>
      </c>
      <c r="P1018" s="10"/>
    </row>
    <row r="1019" customFormat="false" ht="15.75" hidden="false" customHeight="false" outlineLevel="0" collapsed="false">
      <c r="A1019" s="6" t="n">
        <v>43029.9697916667</v>
      </c>
      <c r="B1019" s="7" t="str">
        <f aca="false">HYPERLINK("https://twitter.com/jeepeg","@jeepeg")</f>
        <v>@jeepeg</v>
      </c>
      <c r="C1019" s="8" t="s">
        <v>2772</v>
      </c>
      <c r="D1019" s="8" t="s">
        <v>2773</v>
      </c>
      <c r="E1019" s="9" t="str">
        <f aca="false">HYPERLINK("https://twitter.com/jeepeg/status/921983583497138176","921983583497138176")</f>
        <v>921983583497138176</v>
      </c>
      <c r="F1019" s="10" t="s">
        <v>2774</v>
      </c>
      <c r="G1019" s="10" t="n">
        <v>807</v>
      </c>
      <c r="H1019" s="10" t="n">
        <v>31</v>
      </c>
      <c r="I1019" s="10" t="n">
        <v>0</v>
      </c>
      <c r="J1019" s="10" t="n">
        <v>0</v>
      </c>
      <c r="K1019" s="10" t="s">
        <v>20</v>
      </c>
      <c r="L1019" s="11" t="n">
        <v>39907.1063657407</v>
      </c>
      <c r="M1019" s="12" t="s">
        <v>2775</v>
      </c>
      <c r="N1019" s="12"/>
      <c r="O1019" s="9" t="str">
        <f aca="false">HYPERLINK("https://abs.twimg.com/sticky/default_profile_images/default_profile_normal.png","View")</f>
        <v>View</v>
      </c>
      <c r="P1019" s="10"/>
    </row>
    <row r="1020" customFormat="false" ht="15.75" hidden="false" customHeight="false" outlineLevel="0" collapsed="false">
      <c r="A1020" s="6" t="n">
        <v>43029.9709606482</v>
      </c>
      <c r="B1020" s="7" t="str">
        <f aca="false">HYPERLINK("https://twitter.com/worldnews_net","@worldnews_net")</f>
        <v>@worldnews_net</v>
      </c>
      <c r="C1020" s="8" t="s">
        <v>1738</v>
      </c>
      <c r="D1020" s="8" t="s">
        <v>2776</v>
      </c>
      <c r="E1020" s="9" t="str">
        <f aca="false">HYPERLINK("https://twitter.com/worldnews_net/status/921984006832508929","921984006832508929")</f>
        <v>921984006832508929</v>
      </c>
      <c r="F1020" s="10" t="s">
        <v>60</v>
      </c>
      <c r="G1020" s="10" t="n">
        <v>6454</v>
      </c>
      <c r="H1020" s="10" t="n">
        <v>1317</v>
      </c>
      <c r="I1020" s="10" t="n">
        <v>0</v>
      </c>
      <c r="J1020" s="10" t="n">
        <v>0</v>
      </c>
      <c r="K1020" s="10" t="s">
        <v>20</v>
      </c>
      <c r="L1020" s="11" t="n">
        <v>42056.080162037</v>
      </c>
      <c r="M1020" s="12"/>
      <c r="N1020" s="12" t="s">
        <v>1740</v>
      </c>
      <c r="O1020" s="9" t="str">
        <f aca="false">HYPERLINK("https://pbs.twimg.com/profile_images/570163852034076672/nbok5qlW_normal.jpeg","View")</f>
        <v>View</v>
      </c>
      <c r="P1020" s="10"/>
    </row>
    <row r="1021" customFormat="false" ht="15.75" hidden="false" customHeight="false" outlineLevel="0" collapsed="false">
      <c r="A1021" s="6" t="n">
        <v>43029.9722916667</v>
      </c>
      <c r="B1021" s="7" t="str">
        <f aca="false">HYPERLINK("https://twitter.com/OLOWOYEYEOLAIT4","@OLOWOYEYEOLAIT4")</f>
        <v>@OLOWOYEYEOLAIT4</v>
      </c>
      <c r="C1021" s="8" t="s">
        <v>2777</v>
      </c>
      <c r="D1021" s="8" t="s">
        <v>2778</v>
      </c>
      <c r="E1021" s="9" t="str">
        <f aca="false">HYPERLINK("https://twitter.com/OLOWOYEYEOLAIT4/status/921984487801499648","921984487801499648")</f>
        <v>921984487801499648</v>
      </c>
      <c r="F1021" s="9" t="s">
        <v>1147</v>
      </c>
      <c r="G1021" s="10" t="n">
        <v>459</v>
      </c>
      <c r="H1021" s="10" t="n">
        <v>767</v>
      </c>
      <c r="I1021" s="10" t="n">
        <v>0</v>
      </c>
      <c r="J1021" s="10" t="n">
        <v>0</v>
      </c>
      <c r="K1021" s="10" t="s">
        <v>20</v>
      </c>
      <c r="L1021" s="11" t="n">
        <v>41407.1612847222</v>
      </c>
      <c r="M1021" s="12" t="s">
        <v>2645</v>
      </c>
      <c r="N1021" s="12"/>
      <c r="O1021" s="9" t="str">
        <f aca="false">HYPERLINK("https://pbs.twimg.com/profile_images/719507334364598272/YIugWo5i_normal.jpg","View")</f>
        <v>View</v>
      </c>
      <c r="P1021" s="10"/>
    </row>
    <row r="1022" customFormat="false" ht="15.75" hidden="false" customHeight="false" outlineLevel="0" collapsed="false">
      <c r="A1022" s="6" t="n">
        <v>43029.972349537</v>
      </c>
      <c r="B1022" s="7" t="str">
        <f aca="false">HYPERLINK("https://twitter.com/WorldConserv","@WorldConserv")</f>
        <v>@WorldConserv</v>
      </c>
      <c r="C1022" s="8" t="s">
        <v>2779</v>
      </c>
      <c r="D1022" s="8" t="s">
        <v>2780</v>
      </c>
      <c r="E1022" s="9" t="str">
        <f aca="false">HYPERLINK("https://twitter.com/WorldConserv/status/921984510454939648","921984510454939648")</f>
        <v>921984510454939648</v>
      </c>
      <c r="F1022" s="9" t="s">
        <v>1147</v>
      </c>
      <c r="G1022" s="10" t="n">
        <v>60176</v>
      </c>
      <c r="H1022" s="10" t="n">
        <v>467</v>
      </c>
      <c r="I1022" s="10" t="n">
        <v>0</v>
      </c>
      <c r="J1022" s="10" t="n">
        <v>0</v>
      </c>
      <c r="K1022" s="10" t="s">
        <v>20</v>
      </c>
      <c r="L1022" s="11" t="n">
        <v>42808.1712037037</v>
      </c>
      <c r="M1022" s="12" t="s">
        <v>2781</v>
      </c>
      <c r="N1022" s="12" t="s">
        <v>2782</v>
      </c>
      <c r="O1022" s="9" t="str">
        <f aca="false">HYPERLINK("https://pbs.twimg.com/profile_images/841632527857012736/bws1cNuA_normal.jpg","View")</f>
        <v>View</v>
      </c>
      <c r="P1022" s="10"/>
    </row>
    <row r="1023" customFormat="false" ht="15.75" hidden="false" customHeight="false" outlineLevel="0" collapsed="false">
      <c r="A1023" s="6" t="n">
        <v>43029.9723726852</v>
      </c>
      <c r="B1023" s="7" t="str">
        <f aca="false">HYPERLINK("https://twitter.com/3NovicesChennai","@3NovicesChennai")</f>
        <v>@3NovicesChennai</v>
      </c>
      <c r="C1023" s="8" t="s">
        <v>2783</v>
      </c>
      <c r="D1023" s="8" t="s">
        <v>2784</v>
      </c>
      <c r="E1023" s="9" t="str">
        <f aca="false">HYPERLINK("https://twitter.com/3NovicesChennai/status/921984518097178624","921984518097178624")</f>
        <v>921984518097178624</v>
      </c>
      <c r="F1023" s="10" t="s">
        <v>60</v>
      </c>
      <c r="G1023" s="10" t="n">
        <v>1115</v>
      </c>
      <c r="H1023" s="10" t="n">
        <v>556</v>
      </c>
      <c r="I1023" s="10" t="n">
        <v>0</v>
      </c>
      <c r="J1023" s="10" t="n">
        <v>0</v>
      </c>
      <c r="K1023" s="10" t="s">
        <v>20</v>
      </c>
      <c r="L1023" s="11" t="n">
        <v>42121.9385185185</v>
      </c>
      <c r="M1023" s="12" t="s">
        <v>2785</v>
      </c>
      <c r="N1023" s="12" t="s">
        <v>2786</v>
      </c>
      <c r="O1023" s="9" t="str">
        <f aca="false">HYPERLINK("https://pbs.twimg.com/profile_images/592926603786592256/pm-KMjJI_normal.jpg","View")</f>
        <v>View</v>
      </c>
      <c r="P1023" s="10"/>
    </row>
    <row r="1024" customFormat="false" ht="15.75" hidden="false" customHeight="false" outlineLevel="0" collapsed="false">
      <c r="A1024" s="6" t="n">
        <v>43029.9739814815</v>
      </c>
      <c r="B1024" s="7" t="str">
        <f aca="false">HYPERLINK("https://twitter.com/sharebossindia","@sharebossindia")</f>
        <v>@sharebossindia</v>
      </c>
      <c r="C1024" s="7" t="s">
        <v>917</v>
      </c>
      <c r="D1024" s="8" t="s">
        <v>1599</v>
      </c>
      <c r="E1024" s="9" t="str">
        <f aca="false">HYPERLINK("https://twitter.com/sharebossindia/status/921985101486997505","921985101486997505")</f>
        <v>921985101486997505</v>
      </c>
      <c r="F1024" s="10" t="s">
        <v>919</v>
      </c>
      <c r="G1024" s="10" t="n">
        <v>1210</v>
      </c>
      <c r="H1024" s="10" t="n">
        <v>1</v>
      </c>
      <c r="I1024" s="10" t="n">
        <v>0</v>
      </c>
      <c r="J1024" s="10" t="n">
        <v>0</v>
      </c>
      <c r="K1024" s="10" t="s">
        <v>20</v>
      </c>
      <c r="L1024" s="11" t="n">
        <v>42262.3224305556</v>
      </c>
      <c r="M1024" s="12"/>
      <c r="N1024" s="12" t="s">
        <v>920</v>
      </c>
      <c r="O1024" s="9" t="str">
        <f aca="false">HYPERLINK("https://pbs.twimg.com/profile_images/691477939880202244/-eW65KbB_normal.jpg","View")</f>
        <v>View</v>
      </c>
      <c r="P1024" s="10"/>
    </row>
    <row r="1025" customFormat="false" ht="15.75" hidden="false" customHeight="false" outlineLevel="0" collapsed="false">
      <c r="A1025" s="6" t="n">
        <v>43029.9753472222</v>
      </c>
      <c r="B1025" s="7" t="str">
        <f aca="false">HYPERLINK("https://twitter.com/saara_leon","@saara_leon")</f>
        <v>@saara_leon</v>
      </c>
      <c r="C1025" s="8" t="s">
        <v>2787</v>
      </c>
      <c r="D1025" s="8" t="s">
        <v>2788</v>
      </c>
      <c r="E1025" s="9" t="str">
        <f aca="false">HYPERLINK("https://twitter.com/saara_leon/status/921985597367037952","921985597367037952")</f>
        <v>921985597367037952</v>
      </c>
      <c r="F1025" s="9" t="s">
        <v>979</v>
      </c>
      <c r="G1025" s="10" t="n">
        <v>64</v>
      </c>
      <c r="H1025" s="10" t="n">
        <v>401</v>
      </c>
      <c r="I1025" s="10" t="n">
        <v>0</v>
      </c>
      <c r="J1025" s="10" t="n">
        <v>0</v>
      </c>
      <c r="K1025" s="10" t="s">
        <v>20</v>
      </c>
      <c r="L1025" s="11" t="n">
        <v>42742.4404976852</v>
      </c>
      <c r="M1025" s="12"/>
      <c r="N1025" s="12"/>
      <c r="O1025" s="9" t="str">
        <f aca="false">HYPERLINK("https://pbs.twimg.com/profile_images/819284451100426240/S-jwvnfj_normal.jpg","View")</f>
        <v>View</v>
      </c>
      <c r="P1025" s="10"/>
    </row>
    <row r="1026" customFormat="false" ht="15.75" hidden="false" customHeight="false" outlineLevel="0" collapsed="false">
      <c r="A1026" s="6" t="n">
        <v>43029.9772800926</v>
      </c>
      <c r="B1026" s="7" t="str">
        <f aca="false">HYPERLINK("https://twitter.com/NTKRNow","@NTKRNow")</f>
        <v>@NTKRNow</v>
      </c>
      <c r="C1026" s="8" t="s">
        <v>829</v>
      </c>
      <c r="D1026" s="8" t="s">
        <v>2789</v>
      </c>
      <c r="E1026" s="9" t="str">
        <f aca="false">HYPERLINK("https://twitter.com/NTKRNow/status/921986297723588608","921986297723588608")</f>
        <v>921986297723588608</v>
      </c>
      <c r="F1026" s="10" t="s">
        <v>60</v>
      </c>
      <c r="G1026" s="10" t="n">
        <v>610</v>
      </c>
      <c r="H1026" s="10" t="n">
        <v>4</v>
      </c>
      <c r="I1026" s="10" t="n">
        <v>0</v>
      </c>
      <c r="J1026" s="10" t="n">
        <v>0</v>
      </c>
      <c r="K1026" s="10" t="s">
        <v>20</v>
      </c>
      <c r="L1026" s="11" t="n">
        <v>42402.810625</v>
      </c>
      <c r="M1026" s="12"/>
      <c r="N1026" s="12"/>
      <c r="O1026" s="9" t="str">
        <f aca="false">HYPERLINK("https://abs.twimg.com/sticky/default_profile_images/default_profile_normal.png","View")</f>
        <v>View</v>
      </c>
      <c r="P1026" s="10"/>
    </row>
    <row r="1027" customFormat="false" ht="15.75" hidden="false" customHeight="false" outlineLevel="0" collapsed="false">
      <c r="A1027" s="6" t="n">
        <v>43029.9775578704</v>
      </c>
      <c r="B1027" s="7" t="str">
        <f aca="false">HYPERLINK("https://twitter.com/kenything","@kenything")</f>
        <v>@kenything</v>
      </c>
      <c r="C1027" s="8" t="s">
        <v>2581</v>
      </c>
      <c r="D1027" s="8" t="s">
        <v>2790</v>
      </c>
      <c r="E1027" s="9" t="str">
        <f aca="false">HYPERLINK("https://twitter.com/kenything/status/921986396738404352","921986396738404352")</f>
        <v>921986396738404352</v>
      </c>
      <c r="F1027" s="10" t="s">
        <v>51</v>
      </c>
      <c r="G1027" s="10" t="n">
        <v>24</v>
      </c>
      <c r="H1027" s="10" t="n">
        <v>10</v>
      </c>
      <c r="I1027" s="10" t="n">
        <v>0</v>
      </c>
      <c r="J1027" s="10" t="n">
        <v>0</v>
      </c>
      <c r="K1027" s="10" t="s">
        <v>20</v>
      </c>
      <c r="L1027" s="11" t="n">
        <v>42867.8029861111</v>
      </c>
      <c r="M1027" s="12"/>
      <c r="N1027" s="12"/>
      <c r="O1027" s="9" t="str">
        <f aca="false">HYPERLINK("https://pbs.twimg.com/profile_images/873164099751772161/-25ab9-b_normal.jpg","View")</f>
        <v>View</v>
      </c>
      <c r="P1027" s="10"/>
    </row>
    <row r="1028" customFormat="false" ht="15.75" hidden="false" customHeight="false" outlineLevel="0" collapsed="false">
      <c r="A1028" s="6" t="n">
        <v>43029.9775578704</v>
      </c>
      <c r="B1028" s="7" t="str">
        <f aca="false">HYPERLINK("https://twitter.com/Apocrifos","@Apocrifos")</f>
        <v>@Apocrifos</v>
      </c>
      <c r="C1028" s="8" t="s">
        <v>1297</v>
      </c>
      <c r="D1028" s="8" t="s">
        <v>2791</v>
      </c>
      <c r="E1028" s="9" t="str">
        <f aca="false">HYPERLINK("https://twitter.com/Apocrifos/status/921986398160289793","921986398160289793")</f>
        <v>921986398160289793</v>
      </c>
      <c r="F1028" s="10" t="s">
        <v>60</v>
      </c>
      <c r="G1028" s="10" t="n">
        <v>777</v>
      </c>
      <c r="H1028" s="10" t="n">
        <v>508</v>
      </c>
      <c r="I1028" s="10" t="n">
        <v>0</v>
      </c>
      <c r="J1028" s="10" t="n">
        <v>0</v>
      </c>
      <c r="K1028" s="10" t="s">
        <v>20</v>
      </c>
      <c r="L1028" s="11" t="n">
        <v>39961.4268287037</v>
      </c>
      <c r="M1028" s="12" t="s">
        <v>551</v>
      </c>
      <c r="N1028" s="12" t="s">
        <v>1299</v>
      </c>
      <c r="O1028" s="9" t="str">
        <f aca="false">HYPERLINK("https://pbs.twimg.com/profile_images/3672960453/ea0d6104e1c4773a26d48d5437e962d8_normal.jpeg","View")</f>
        <v>View</v>
      </c>
      <c r="P1028" s="10"/>
    </row>
    <row r="1029" customFormat="false" ht="15.75" hidden="false" customHeight="false" outlineLevel="0" collapsed="false">
      <c r="A1029" s="6" t="n">
        <v>43029.9788773148</v>
      </c>
      <c r="B1029" s="7" t="str">
        <f aca="false">HYPERLINK("https://twitter.com/TOPVIRAL5","@TOPVIRAL5")</f>
        <v>@TOPVIRAL5</v>
      </c>
      <c r="C1029" s="8" t="s">
        <v>2792</v>
      </c>
      <c r="D1029" s="8" t="s">
        <v>2793</v>
      </c>
      <c r="E1029" s="9" t="str">
        <f aca="false">HYPERLINK("https://twitter.com/TOPVIRAL5/status/921986877057634305","921986877057634305")</f>
        <v>921986877057634305</v>
      </c>
      <c r="F1029" s="9" t="s">
        <v>2794</v>
      </c>
      <c r="G1029" s="10" t="n">
        <v>17</v>
      </c>
      <c r="H1029" s="10" t="n">
        <v>3</v>
      </c>
      <c r="I1029" s="10" t="n">
        <v>0</v>
      </c>
      <c r="J1029" s="10" t="n">
        <v>0</v>
      </c>
      <c r="K1029" s="10" t="s">
        <v>20</v>
      </c>
      <c r="L1029" s="11" t="n">
        <v>42883.3032407407</v>
      </c>
      <c r="M1029" s="12"/>
      <c r="N1029" s="12"/>
      <c r="O1029" s="9" t="str">
        <f aca="false">HYPERLINK("https://abs.twimg.com/sticky/default_profile_images/default_profile_normal.png","View")</f>
        <v>View</v>
      </c>
      <c r="P1029" s="10"/>
    </row>
    <row r="1030" customFormat="false" ht="15.75" hidden="false" customHeight="false" outlineLevel="0" collapsed="false">
      <c r="A1030" s="6" t="n">
        <v>43029.9792361111</v>
      </c>
      <c r="B1030" s="7" t="str">
        <f aca="false">HYPERLINK("https://twitter.com/TongkatAliExtra","@TongkatAliExtra")</f>
        <v>@TongkatAliExtra</v>
      </c>
      <c r="C1030" s="8" t="s">
        <v>2795</v>
      </c>
      <c r="D1030" s="8" t="s">
        <v>2796</v>
      </c>
      <c r="E1030" s="9" t="str">
        <f aca="false">HYPERLINK("https://twitter.com/TongkatAliExtra/status/921987006992748546","921987006992748546")</f>
        <v>921987006992748546</v>
      </c>
      <c r="F1030" s="10" t="s">
        <v>2795</v>
      </c>
      <c r="G1030" s="10" t="n">
        <v>1508</v>
      </c>
      <c r="H1030" s="10" t="n">
        <v>4983</v>
      </c>
      <c r="I1030" s="10" t="n">
        <v>0</v>
      </c>
      <c r="J1030" s="10" t="n">
        <v>0</v>
      </c>
      <c r="K1030" s="10" t="s">
        <v>20</v>
      </c>
      <c r="L1030" s="11" t="n">
        <v>42877.2330324074</v>
      </c>
      <c r="M1030" s="12" t="s">
        <v>2797</v>
      </c>
      <c r="N1030" s="12" t="s">
        <v>2798</v>
      </c>
      <c r="O1030" s="9" t="str">
        <f aca="false">HYPERLINK("https://pbs.twimg.com/profile_images/869391224204967936/RPh_qwJv_normal.jpg","View")</f>
        <v>View</v>
      </c>
      <c r="P1030" s="10"/>
    </row>
    <row r="1031" customFormat="false" ht="15.75" hidden="false" customHeight="false" outlineLevel="0" collapsed="false">
      <c r="A1031" s="6" t="n">
        <v>43029.9794907407</v>
      </c>
      <c r="B1031" s="7" t="str">
        <f aca="false">HYPERLINK("https://twitter.com/NamVietNetwork","@NamVietNetwork")</f>
        <v>@NamVietNetwork</v>
      </c>
      <c r="C1031" s="8" t="s">
        <v>2489</v>
      </c>
      <c r="D1031" s="8" t="s">
        <v>2799</v>
      </c>
      <c r="E1031" s="9" t="str">
        <f aca="false">HYPERLINK("https://twitter.com/NamVietNetwork/status/921987096776249345","921987096776249345")</f>
        <v>921987096776249345</v>
      </c>
      <c r="F1031" s="10" t="s">
        <v>55</v>
      </c>
      <c r="G1031" s="10" t="n">
        <v>1540</v>
      </c>
      <c r="H1031" s="10" t="n">
        <v>147</v>
      </c>
      <c r="I1031" s="10" t="n">
        <v>0</v>
      </c>
      <c r="J1031" s="10" t="n">
        <v>0</v>
      </c>
      <c r="K1031" s="10" t="s">
        <v>20</v>
      </c>
      <c r="L1031" s="11" t="n">
        <v>40189.0717476852</v>
      </c>
      <c r="M1031" s="12" t="s">
        <v>2491</v>
      </c>
      <c r="N1031" s="12" t="s">
        <v>2492</v>
      </c>
      <c r="O1031" s="9" t="str">
        <f aca="false">HYPERLINK("https://pbs.twimg.com/profile_images/2509866256/6fjgs8rtts7014kqe70t_normal.jpeg","View")</f>
        <v>View</v>
      </c>
      <c r="P1031" s="10"/>
    </row>
    <row r="1032" customFormat="false" ht="15.75" hidden="false" customHeight="false" outlineLevel="0" collapsed="false">
      <c r="A1032" s="6" t="n">
        <v>43029.9796643519</v>
      </c>
      <c r="B1032" s="7" t="str">
        <f aca="false">HYPERLINK("https://twitter.com/twit48aa","@twit48aa")</f>
        <v>@twit48aa</v>
      </c>
      <c r="C1032" s="8" t="s">
        <v>2800</v>
      </c>
      <c r="D1032" s="8" t="s">
        <v>2801</v>
      </c>
      <c r="E1032" s="9" t="str">
        <f aca="false">HYPERLINK("https://twitter.com/twit48aa/status/921987162689757184","921987162689757184")</f>
        <v>921987162689757184</v>
      </c>
      <c r="F1032" s="10" t="s">
        <v>60</v>
      </c>
      <c r="G1032" s="10" t="n">
        <v>10</v>
      </c>
      <c r="H1032" s="10" t="n">
        <v>77</v>
      </c>
      <c r="I1032" s="10" t="n">
        <v>0</v>
      </c>
      <c r="J1032" s="10" t="n">
        <v>0</v>
      </c>
      <c r="K1032" s="10" t="s">
        <v>20</v>
      </c>
      <c r="L1032" s="11" t="n">
        <v>41375.2227430556</v>
      </c>
      <c r="M1032" s="12" t="s">
        <v>2802</v>
      </c>
      <c r="N1032" s="12" t="s">
        <v>2803</v>
      </c>
      <c r="O1032" s="9" t="str">
        <f aca="false">HYPERLINK("https://pbs.twimg.com/profile_images/3506164379/590ab77a416cbb6b88d0f6abb07e22fe_normal.jpeg","View")</f>
        <v>View</v>
      </c>
      <c r="P1032" s="10"/>
    </row>
    <row r="1033" customFormat="false" ht="15.75" hidden="false" customHeight="false" outlineLevel="0" collapsed="false">
      <c r="A1033" s="6" t="n">
        <v>43029.979837963</v>
      </c>
      <c r="B1033" s="7" t="str">
        <f aca="false">HYPERLINK("https://twitter.com/biteszHQNews","@biteszHQNews")</f>
        <v>@biteszHQNews</v>
      </c>
      <c r="C1033" s="8" t="s">
        <v>2804</v>
      </c>
      <c r="D1033" s="8" t="s">
        <v>2805</v>
      </c>
      <c r="E1033" s="9" t="str">
        <f aca="false">HYPERLINK("https://twitter.com/biteszHQNews/status/921987222609555456","921987222609555456")</f>
        <v>921987222609555456</v>
      </c>
      <c r="F1033" s="10" t="s">
        <v>110</v>
      </c>
      <c r="G1033" s="10" t="n">
        <v>15784</v>
      </c>
      <c r="H1033" s="10" t="n">
        <v>7914</v>
      </c>
      <c r="I1033" s="10" t="n">
        <v>0</v>
      </c>
      <c r="J1033" s="10" t="n">
        <v>0</v>
      </c>
      <c r="K1033" s="10" t="s">
        <v>20</v>
      </c>
      <c r="L1033" s="11" t="n">
        <v>41288.1480439815</v>
      </c>
      <c r="M1033" s="12" t="s">
        <v>2806</v>
      </c>
      <c r="N1033" s="12" t="s">
        <v>2807</v>
      </c>
      <c r="O1033" s="9" t="str">
        <f aca="false">HYPERLINK("https://pbs.twimg.com/profile_images/818770195749535745/aBehUOe9_normal.jpg","View")</f>
        <v>View</v>
      </c>
      <c r="P1033" s="10"/>
    </row>
    <row r="1034" customFormat="false" ht="15.75" hidden="false" customHeight="false" outlineLevel="0" collapsed="false">
      <c r="A1034" s="6" t="n">
        <v>43029.9827546296</v>
      </c>
      <c r="B1034" s="7" t="str">
        <f aca="false">HYPERLINK("https://twitter.com/invent_therapy","@invent_therapy")</f>
        <v>@invent_therapy</v>
      </c>
      <c r="C1034" s="8" t="s">
        <v>2808</v>
      </c>
      <c r="D1034" s="8" t="s">
        <v>2809</v>
      </c>
      <c r="E1034" s="9" t="str">
        <f aca="false">HYPERLINK("https://twitter.com/invent_therapy/status/921988282434465792","921988282434465792")</f>
        <v>921988282434465792</v>
      </c>
      <c r="F1034" s="9" t="s">
        <v>1147</v>
      </c>
      <c r="G1034" s="10" t="n">
        <v>62160</v>
      </c>
      <c r="H1034" s="10" t="n">
        <v>1943</v>
      </c>
      <c r="I1034" s="10" t="n">
        <v>0</v>
      </c>
      <c r="J1034" s="10" t="n">
        <v>0</v>
      </c>
      <c r="K1034" s="10" t="s">
        <v>20</v>
      </c>
      <c r="L1034" s="11" t="n">
        <v>39878.7376157407</v>
      </c>
      <c r="M1034" s="12" t="s">
        <v>752</v>
      </c>
      <c r="N1034" s="12" t="s">
        <v>2810</v>
      </c>
      <c r="O1034" s="9" t="str">
        <f aca="false">HYPERLINK("https://pbs.twimg.com/profile_images/738788282771771393/smAfi3r__normal.jpg","View")</f>
        <v>View</v>
      </c>
      <c r="P1034" s="10"/>
    </row>
    <row r="1035" customFormat="false" ht="15.75" hidden="false" customHeight="false" outlineLevel="0" collapsed="false">
      <c r="A1035" s="6" t="n">
        <v>43029.9828472222</v>
      </c>
      <c r="B1035" s="7" t="str">
        <f aca="false">HYPERLINK("https://twitter.com/RealTimeHack","@RealTimeHack")</f>
        <v>@RealTimeHack</v>
      </c>
      <c r="C1035" s="8" t="s">
        <v>2422</v>
      </c>
      <c r="D1035" s="8" t="s">
        <v>2811</v>
      </c>
      <c r="E1035" s="9" t="str">
        <f aca="false">HYPERLINK("https://twitter.com/RealTimeHack/status/921988314282053632","921988314282053632")</f>
        <v>921988314282053632</v>
      </c>
      <c r="F1035" s="10" t="s">
        <v>60</v>
      </c>
      <c r="G1035" s="10" t="n">
        <v>2184</v>
      </c>
      <c r="H1035" s="10" t="n">
        <v>1282</v>
      </c>
      <c r="I1035" s="10" t="n">
        <v>0</v>
      </c>
      <c r="J1035" s="10" t="n">
        <v>0</v>
      </c>
      <c r="K1035" s="10" t="s">
        <v>20</v>
      </c>
      <c r="L1035" s="11" t="n">
        <v>40641.3992013889</v>
      </c>
      <c r="M1035" s="12" t="s">
        <v>2424</v>
      </c>
      <c r="N1035" s="12" t="s">
        <v>2425</v>
      </c>
      <c r="O1035" s="9" t="str">
        <f aca="false">HYPERLINK("https://pbs.twimg.com/profile_images/1304602852/Nuke_Egg_normal.gif","View")</f>
        <v>View</v>
      </c>
      <c r="P1035" s="10"/>
    </row>
    <row r="1036" customFormat="false" ht="15.75" hidden="false" customHeight="false" outlineLevel="0" collapsed="false">
      <c r="A1036" s="6" t="n">
        <v>43029.9829861111</v>
      </c>
      <c r="B1036" s="7" t="str">
        <f aca="false">HYPERLINK("https://twitter.com/24Updated","@24Updated")</f>
        <v>@24Updated</v>
      </c>
      <c r="C1036" s="8" t="s">
        <v>2812</v>
      </c>
      <c r="D1036" s="8" t="s">
        <v>2813</v>
      </c>
      <c r="E1036" s="9" t="str">
        <f aca="false">HYPERLINK("https://twitter.com/24Updated/status/921988363783147520","921988363783147520")</f>
        <v>921988363783147520</v>
      </c>
      <c r="F1036" s="10" t="s">
        <v>60</v>
      </c>
      <c r="G1036" s="10" t="n">
        <v>1037</v>
      </c>
      <c r="H1036" s="10" t="n">
        <v>892</v>
      </c>
      <c r="I1036" s="10" t="n">
        <v>0</v>
      </c>
      <c r="J1036" s="10" t="n">
        <v>0</v>
      </c>
      <c r="K1036" s="10" t="s">
        <v>20</v>
      </c>
      <c r="L1036" s="11" t="n">
        <v>42187.0230555556</v>
      </c>
      <c r="M1036" s="12"/>
      <c r="N1036" s="12"/>
      <c r="O1036" s="9" t="str">
        <f aca="false">HYPERLINK("https://pbs.twimg.com/profile_images/769571372045574144/3x0-6NZP_normal.jpg","View")</f>
        <v>View</v>
      </c>
      <c r="P1036" s="10"/>
    </row>
    <row r="1037" customFormat="false" ht="15.75" hidden="false" customHeight="false" outlineLevel="0" collapsed="false">
      <c r="A1037" s="6" t="n">
        <v>43029.9834606482</v>
      </c>
      <c r="B1037" s="7" t="str">
        <f aca="false">HYPERLINK("https://twitter.com/Shopall3","@Shopall3")</f>
        <v>@Shopall3</v>
      </c>
      <c r="C1037" s="8" t="s">
        <v>2814</v>
      </c>
      <c r="D1037" s="8" t="s">
        <v>2815</v>
      </c>
      <c r="E1037" s="9" t="str">
        <f aca="false">HYPERLINK("https://twitter.com/Shopall3/status/921988534998851584","921988534998851584")</f>
        <v>921988534998851584</v>
      </c>
      <c r="F1037" s="10" t="s">
        <v>2816</v>
      </c>
      <c r="G1037" s="10" t="n">
        <v>735</v>
      </c>
      <c r="H1037" s="10" t="n">
        <v>17</v>
      </c>
      <c r="I1037" s="10" t="n">
        <v>0</v>
      </c>
      <c r="J1037" s="10" t="n">
        <v>0</v>
      </c>
      <c r="K1037" s="10" t="s">
        <v>20</v>
      </c>
      <c r="L1037" s="11" t="n">
        <v>42299.6523032407</v>
      </c>
      <c r="M1037" s="12"/>
      <c r="N1037" s="12"/>
      <c r="O1037" s="9" t="str">
        <f aca="false">HYPERLINK("https://pbs.twimg.com/profile_images/663617884665618432/D9P9B9pu_normal.png","View")</f>
        <v>View</v>
      </c>
      <c r="P1037" s="10"/>
    </row>
    <row r="1038" customFormat="false" ht="15.75" hidden="false" customHeight="false" outlineLevel="0" collapsed="false">
      <c r="A1038" s="6" t="n">
        <v>43029.9834722222</v>
      </c>
      <c r="B1038" s="7" t="str">
        <f aca="false">HYPERLINK("https://twitter.com/geanra3","@geanra3")</f>
        <v>@geanra3</v>
      </c>
      <c r="C1038" s="8" t="s">
        <v>2817</v>
      </c>
      <c r="D1038" s="8" t="s">
        <v>2818</v>
      </c>
      <c r="E1038" s="9" t="str">
        <f aca="false">HYPERLINK("https://twitter.com/geanra3/status/921988541600714752","921988541600714752")</f>
        <v>921988541600714752</v>
      </c>
      <c r="F1038" s="10" t="s">
        <v>2819</v>
      </c>
      <c r="G1038" s="10" t="n">
        <v>61</v>
      </c>
      <c r="H1038" s="10" t="n">
        <v>2</v>
      </c>
      <c r="I1038" s="10" t="n">
        <v>0</v>
      </c>
      <c r="J1038" s="10" t="n">
        <v>0</v>
      </c>
      <c r="K1038" s="10" t="s">
        <v>20</v>
      </c>
      <c r="L1038" s="11" t="n">
        <v>42943.0795717593</v>
      </c>
      <c r="M1038" s="12" t="s">
        <v>230</v>
      </c>
      <c r="N1038" s="12" t="s">
        <v>2820</v>
      </c>
      <c r="O1038" s="9" t="str">
        <f aca="false">HYPERLINK("https://pbs.twimg.com/profile_images/890500247306293248/5l7F-Thy_normal.jpg","View")</f>
        <v>View</v>
      </c>
      <c r="P1038" s="10"/>
    </row>
    <row r="1039" customFormat="false" ht="15.75" hidden="false" customHeight="false" outlineLevel="0" collapsed="false">
      <c r="A1039" s="6" t="n">
        <v>43029.9841782407</v>
      </c>
      <c r="B1039" s="7" t="str">
        <f aca="false">HYPERLINK("https://twitter.com/SurveySunday","@SurveySunday")</f>
        <v>@SurveySunday</v>
      </c>
      <c r="C1039" s="8" t="s">
        <v>2821</v>
      </c>
      <c r="D1039" s="8" t="s">
        <v>2822</v>
      </c>
      <c r="E1039" s="9" t="str">
        <f aca="false">HYPERLINK("https://twitter.com/SurveySunday/status/921988794588585984","921988794588585984")</f>
        <v>921988794588585984</v>
      </c>
      <c r="F1039" s="10" t="s">
        <v>60</v>
      </c>
      <c r="G1039" s="10" t="n">
        <v>644</v>
      </c>
      <c r="H1039" s="10" t="n">
        <v>43</v>
      </c>
      <c r="I1039" s="10" t="n">
        <v>6</v>
      </c>
      <c r="J1039" s="10" t="n">
        <v>0</v>
      </c>
      <c r="K1039" s="10" t="s">
        <v>20</v>
      </c>
      <c r="L1039" s="11" t="n">
        <v>42757.5905208333</v>
      </c>
      <c r="M1039" s="12" t="s">
        <v>651</v>
      </c>
      <c r="N1039" s="12" t="s">
        <v>2823</v>
      </c>
      <c r="O1039" s="9" t="str">
        <f aca="false">HYPERLINK("https://pbs.twimg.com/profile_images/823540107051470848/H_T9Fdk__normal.jpg","View")</f>
        <v>View</v>
      </c>
      <c r="P1039" s="10"/>
    </row>
    <row r="1040" customFormat="false" ht="15.75" hidden="false" customHeight="false" outlineLevel="0" collapsed="false">
      <c r="A1040" s="6" t="n">
        <v>43029.9849305556</v>
      </c>
      <c r="B1040" s="7" t="str">
        <f aca="false">HYPERLINK("https://twitter.com/Geminids_JP","@Geminids_JP")</f>
        <v>@Geminids_JP</v>
      </c>
      <c r="C1040" s="8" t="s">
        <v>2824</v>
      </c>
      <c r="D1040" s="8" t="s">
        <v>2825</v>
      </c>
      <c r="E1040" s="9" t="str">
        <f aca="false">HYPERLINK("https://twitter.com/Geminids_JP/status/921989068719669248","921989068719669248")</f>
        <v>921989068719669248</v>
      </c>
      <c r="F1040" s="10" t="s">
        <v>51</v>
      </c>
      <c r="G1040" s="10" t="n">
        <v>57</v>
      </c>
      <c r="H1040" s="10" t="n">
        <v>91</v>
      </c>
      <c r="I1040" s="10" t="n">
        <v>0</v>
      </c>
      <c r="J1040" s="10" t="n">
        <v>0</v>
      </c>
      <c r="K1040" s="10" t="s">
        <v>20</v>
      </c>
      <c r="L1040" s="11" t="n">
        <v>40691.6957407407</v>
      </c>
      <c r="M1040" s="13" t="s">
        <v>2826</v>
      </c>
      <c r="N1040" s="13" t="s">
        <v>2827</v>
      </c>
      <c r="O1040" s="9" t="str">
        <f aca="false">HYPERLINK("https://pbs.twimg.com/profile_images/878834182193008640/znnaRh7V_normal.jpg","View")</f>
        <v>View</v>
      </c>
      <c r="P1040" s="10"/>
    </row>
    <row r="1041" customFormat="false" ht="15.75" hidden="false" customHeight="false" outlineLevel="0" collapsed="false">
      <c r="A1041" s="6" t="n">
        <v>43029.9850115741</v>
      </c>
      <c r="B1041" s="7" t="str">
        <f aca="false">HYPERLINK("https://twitter.com/VotarEsUnDeber","@VotarEsUnDeber")</f>
        <v>@VotarEsUnDeber</v>
      </c>
      <c r="C1041" s="8" t="s">
        <v>2828</v>
      </c>
      <c r="D1041" s="8" t="s">
        <v>2829</v>
      </c>
      <c r="E1041" s="9" t="str">
        <f aca="false">HYPERLINK("https://twitter.com/VotarEsUnDeber/status/921989099195691008","921989099195691008")</f>
        <v>921989099195691008</v>
      </c>
      <c r="F1041" s="10" t="s">
        <v>2830</v>
      </c>
      <c r="G1041" s="10" t="n">
        <v>401</v>
      </c>
      <c r="H1041" s="10" t="n">
        <v>708</v>
      </c>
      <c r="I1041" s="10" t="n">
        <v>6</v>
      </c>
      <c r="J1041" s="10" t="n">
        <v>0</v>
      </c>
      <c r="K1041" s="10" t="s">
        <v>20</v>
      </c>
      <c r="L1041" s="11" t="n">
        <v>41541.9787037037</v>
      </c>
      <c r="M1041" s="12" t="s">
        <v>476</v>
      </c>
      <c r="N1041" s="12" t="s">
        <v>2831</v>
      </c>
      <c r="O1041" s="9" t="str">
        <f aca="false">HYPERLINK("https://pbs.twimg.com/profile_images/499209824748306432/iAeMat7D_normal.png","View")</f>
        <v>View</v>
      </c>
      <c r="P1041" s="10"/>
    </row>
    <row r="1042" customFormat="false" ht="15.75" hidden="false" customHeight="false" outlineLevel="0" collapsed="false">
      <c r="A1042" s="6" t="n">
        <v>43029.9850694444</v>
      </c>
      <c r="B1042" s="7" t="str">
        <f aca="false">HYPERLINK("https://twitter.com/carmenduerta","@carmenduerta")</f>
        <v>@carmenduerta</v>
      </c>
      <c r="C1042" s="8" t="s">
        <v>2832</v>
      </c>
      <c r="D1042" s="8" t="s">
        <v>2833</v>
      </c>
      <c r="E1042" s="9" t="str">
        <f aca="false">HYPERLINK("https://twitter.com/carmenduerta/status/921989121131929600","921989121131929600")</f>
        <v>921989121131929600</v>
      </c>
      <c r="F1042" s="10" t="s">
        <v>60</v>
      </c>
      <c r="G1042" s="10" t="n">
        <v>44</v>
      </c>
      <c r="H1042" s="10" t="n">
        <v>83</v>
      </c>
      <c r="I1042" s="10" t="n">
        <v>0</v>
      </c>
      <c r="J1042" s="10" t="n">
        <v>0</v>
      </c>
      <c r="K1042" s="10" t="s">
        <v>20</v>
      </c>
      <c r="L1042" s="11" t="n">
        <v>40629.5724768519</v>
      </c>
      <c r="M1042" s="12" t="s">
        <v>476</v>
      </c>
      <c r="N1042" s="12" t="s">
        <v>2834</v>
      </c>
      <c r="O1042" s="9" t="str">
        <f aca="false">HYPERLINK("https://pbs.twimg.com/profile_images/921942988103864322/hT988W2Y_normal.jpg","View")</f>
        <v>View</v>
      </c>
      <c r="P1042" s="10"/>
    </row>
    <row r="1043" customFormat="false" ht="15.75" hidden="false" customHeight="false" outlineLevel="0" collapsed="false">
      <c r="A1043" s="6" t="n">
        <v>43029.9861342593</v>
      </c>
      <c r="B1043" s="7" t="str">
        <f aca="false">HYPERLINK("https://twitter.com/conservatismrr","@conservatismrr")</f>
        <v>@conservatismrr</v>
      </c>
      <c r="C1043" s="8" t="s">
        <v>2835</v>
      </c>
      <c r="D1043" s="8" t="s">
        <v>2836</v>
      </c>
      <c r="E1043" s="9" t="str">
        <f aca="false">HYPERLINK("https://twitter.com/conservatismrr/status/921989505946652672","921989505946652672")</f>
        <v>921989505946652672</v>
      </c>
      <c r="F1043" s="10" t="s">
        <v>2837</v>
      </c>
      <c r="G1043" s="10" t="n">
        <v>1940</v>
      </c>
      <c r="H1043" s="10" t="n">
        <v>1693</v>
      </c>
      <c r="I1043" s="10" t="n">
        <v>0</v>
      </c>
      <c r="J1043" s="10" t="n">
        <v>0</v>
      </c>
      <c r="K1043" s="10" t="s">
        <v>20</v>
      </c>
      <c r="L1043" s="11" t="n">
        <v>42123.3726736111</v>
      </c>
      <c r="M1043" s="12"/>
      <c r="N1043" s="12" t="s">
        <v>2838</v>
      </c>
      <c r="O1043" s="9" t="str">
        <f aca="false">HYPERLINK("https://pbs.twimg.com/profile_images/760382107776643072/3f3TIPPL_normal.jpg","View")</f>
        <v>View</v>
      </c>
      <c r="P1043" s="10"/>
    </row>
    <row r="1044" customFormat="false" ht="15.75" hidden="false" customHeight="false" outlineLevel="0" collapsed="false">
      <c r="A1044" s="6" t="n">
        <v>43029.9861689815</v>
      </c>
      <c r="B1044" s="7" t="str">
        <f aca="false">HYPERLINK("https://twitter.com/RealMadisonsCPC","@RealMadisonsCPC")</f>
        <v>@RealMadisonsCPC</v>
      </c>
      <c r="C1044" s="8" t="s">
        <v>2839</v>
      </c>
      <c r="D1044" s="8" t="s">
        <v>2840</v>
      </c>
      <c r="E1044" s="9" t="str">
        <f aca="false">HYPERLINK("https://twitter.com/RealMadisonsCPC/status/921989517749370881","921989517749370881")</f>
        <v>921989517749370881</v>
      </c>
      <c r="F1044" s="9" t="s">
        <v>1147</v>
      </c>
      <c r="G1044" s="10" t="n">
        <v>4248</v>
      </c>
      <c r="H1044" s="10" t="n">
        <v>4338</v>
      </c>
      <c r="I1044" s="10" t="n">
        <v>1</v>
      </c>
      <c r="J1044" s="10" t="n">
        <v>0</v>
      </c>
      <c r="K1044" s="10" t="s">
        <v>20</v>
      </c>
      <c r="L1044" s="11" t="n">
        <v>41782.0728587963</v>
      </c>
      <c r="M1044" s="12" t="s">
        <v>601</v>
      </c>
      <c r="N1044" s="12" t="s">
        <v>2841</v>
      </c>
      <c r="O1044" s="9" t="str">
        <f aca="false">HYPERLINK("https://pbs.twimg.com/profile_images/829788799068684288/KVrBpUf8_normal.jpg","View")</f>
        <v>View</v>
      </c>
      <c r="P1044" s="10"/>
    </row>
    <row r="1045" customFormat="false" ht="15.75" hidden="false" customHeight="false" outlineLevel="0" collapsed="false">
      <c r="A1045" s="6" t="n">
        <v>43029.9862037037</v>
      </c>
      <c r="B1045" s="7" t="str">
        <f aca="false">HYPERLINK("https://twitter.com/NewsStoryIndia","@NewsStoryIndia")</f>
        <v>@NewsStoryIndia</v>
      </c>
      <c r="C1045" s="8" t="s">
        <v>2842</v>
      </c>
      <c r="D1045" s="8" t="s">
        <v>2843</v>
      </c>
      <c r="E1045" s="9" t="str">
        <f aca="false">HYPERLINK("https://twitter.com/NewsStoryIndia/status/921989528944070656","921989528944070656")</f>
        <v>921989528944070656</v>
      </c>
      <c r="F1045" s="10" t="s">
        <v>60</v>
      </c>
      <c r="G1045" s="10" t="n">
        <v>4574</v>
      </c>
      <c r="H1045" s="10" t="n">
        <v>28</v>
      </c>
      <c r="I1045" s="10" t="n">
        <v>0</v>
      </c>
      <c r="J1045" s="10" t="n">
        <v>0</v>
      </c>
      <c r="K1045" s="10" t="s">
        <v>20</v>
      </c>
      <c r="L1045" s="11" t="n">
        <v>40404.7906944444</v>
      </c>
      <c r="M1045" s="12" t="s">
        <v>72</v>
      </c>
      <c r="N1045" s="12" t="s">
        <v>2844</v>
      </c>
      <c r="O1045" s="9" t="str">
        <f aca="false">HYPERLINK("https://pbs.twimg.com/profile_images/829323773769818113/0Z6sbzum_normal.jpg","View")</f>
        <v>View</v>
      </c>
      <c r="P1045" s="10"/>
    </row>
    <row r="1046" customFormat="false" ht="15.75" hidden="false" customHeight="false" outlineLevel="0" collapsed="false">
      <c r="A1046" s="6" t="n">
        <v>43029.9871180556</v>
      </c>
      <c r="B1046" s="7" t="str">
        <f aca="false">HYPERLINK("https://twitter.com/SurveySunday","@SurveySunday")</f>
        <v>@SurveySunday</v>
      </c>
      <c r="C1046" s="8" t="s">
        <v>2821</v>
      </c>
      <c r="D1046" s="8" t="s">
        <v>2829</v>
      </c>
      <c r="E1046" s="9" t="str">
        <f aca="false">HYPERLINK("https://twitter.com/SurveySunday/status/921989861963370496","921989861963370496")</f>
        <v>921989861963370496</v>
      </c>
      <c r="F1046" s="10" t="s">
        <v>2845</v>
      </c>
      <c r="G1046" s="10" t="n">
        <v>644</v>
      </c>
      <c r="H1046" s="10" t="n">
        <v>43</v>
      </c>
      <c r="I1046" s="10" t="n">
        <v>6</v>
      </c>
      <c r="J1046" s="10" t="n">
        <v>0</v>
      </c>
      <c r="K1046" s="10" t="s">
        <v>20</v>
      </c>
      <c r="L1046" s="11" t="n">
        <v>42757.5905208333</v>
      </c>
      <c r="M1046" s="12" t="s">
        <v>651</v>
      </c>
      <c r="N1046" s="12" t="s">
        <v>2823</v>
      </c>
      <c r="O1046" s="9" t="str">
        <f aca="false">HYPERLINK("https://pbs.twimg.com/profile_images/823540107051470848/H_T9Fdk__normal.jpg","View")</f>
        <v>View</v>
      </c>
      <c r="P1046" s="10"/>
    </row>
    <row r="1047" customFormat="false" ht="15.75" hidden="false" customHeight="false" outlineLevel="0" collapsed="false">
      <c r="A1047" s="6" t="n">
        <v>43029.9872569444</v>
      </c>
      <c r="B1047" s="7" t="str">
        <f aca="false">HYPERLINK("https://twitter.com/SStapczynski","@SStapczynski")</f>
        <v>@SStapczynski</v>
      </c>
      <c r="C1047" s="8" t="s">
        <v>2846</v>
      </c>
      <c r="D1047" s="8" t="s">
        <v>2847</v>
      </c>
      <c r="E1047" s="9" t="str">
        <f aca="false">HYPERLINK("https://twitter.com/SStapczynski/status/921989912630460417","921989912630460417")</f>
        <v>921989912630460417</v>
      </c>
      <c r="F1047" s="10" t="s">
        <v>39</v>
      </c>
      <c r="G1047" s="10" t="n">
        <v>1992</v>
      </c>
      <c r="H1047" s="10" t="n">
        <v>1795</v>
      </c>
      <c r="I1047" s="10" t="n">
        <v>1</v>
      </c>
      <c r="J1047" s="10" t="n">
        <v>0</v>
      </c>
      <c r="K1047" s="10" t="s">
        <v>20</v>
      </c>
      <c r="L1047" s="11" t="n">
        <v>41416.5747337963</v>
      </c>
      <c r="M1047" s="12" t="s">
        <v>1529</v>
      </c>
      <c r="N1047" s="12" t="s">
        <v>2848</v>
      </c>
      <c r="O1047" s="9" t="str">
        <f aca="false">HYPERLINK("https://pbs.twimg.com/profile_images/631470346579783680/P1AL6PJP_normal.jpg","View")</f>
        <v>View</v>
      </c>
      <c r="P1047" s="10"/>
    </row>
    <row r="1048" customFormat="false" ht="15.75" hidden="false" customHeight="false" outlineLevel="0" collapsed="false">
      <c r="A1048" s="6" t="n">
        <v>43029.9875115741</v>
      </c>
      <c r="B1048" s="7" t="str">
        <f aca="false">HYPERLINK("https://twitter.com/fatbowe","@fatbowe")</f>
        <v>@fatbowe</v>
      </c>
      <c r="C1048" s="8" t="s">
        <v>2849</v>
      </c>
      <c r="D1048" s="8" t="s">
        <v>2850</v>
      </c>
      <c r="E1048" s="9" t="str">
        <f aca="false">HYPERLINK("https://twitter.com/fatbowe/status/921990005886783488","921990005886783488")</f>
        <v>921990005886783488</v>
      </c>
      <c r="F1048" s="10" t="s">
        <v>39</v>
      </c>
      <c r="G1048" s="10" t="n">
        <v>119</v>
      </c>
      <c r="H1048" s="10" t="n">
        <v>445</v>
      </c>
      <c r="I1048" s="10" t="n">
        <v>0</v>
      </c>
      <c r="J1048" s="10" t="n">
        <v>0</v>
      </c>
      <c r="K1048" s="10" t="s">
        <v>20</v>
      </c>
      <c r="L1048" s="11" t="n">
        <v>41558.982025463</v>
      </c>
      <c r="M1048" s="12" t="s">
        <v>2851</v>
      </c>
      <c r="N1048" s="12" t="s">
        <v>2852</v>
      </c>
      <c r="O1048" s="9" t="str">
        <f aca="false">HYPERLINK("https://pbs.twimg.com/profile_images/901030160459112448/-G5qYxYp_normal.jpg","View")</f>
        <v>View</v>
      </c>
      <c r="P1048" s="10"/>
    </row>
    <row r="1049" customFormat="false" ht="15.75" hidden="false" customHeight="false" outlineLevel="0" collapsed="false">
      <c r="A1049" s="6" t="n">
        <v>43029.987962963</v>
      </c>
      <c r="B1049" s="7" t="str">
        <f aca="false">HYPERLINK("https://twitter.com/NTKRNow","@NTKRNow")</f>
        <v>@NTKRNow</v>
      </c>
      <c r="C1049" s="8" t="s">
        <v>829</v>
      </c>
      <c r="D1049" s="8" t="s">
        <v>2853</v>
      </c>
      <c r="E1049" s="9" t="str">
        <f aca="false">HYPERLINK("https://twitter.com/NTKRNow/status/921990169619849216","921990169619849216")</f>
        <v>921990169619849216</v>
      </c>
      <c r="F1049" s="10" t="s">
        <v>60</v>
      </c>
      <c r="G1049" s="10" t="n">
        <v>610</v>
      </c>
      <c r="H1049" s="10" t="n">
        <v>4</v>
      </c>
      <c r="I1049" s="10" t="n">
        <v>0</v>
      </c>
      <c r="J1049" s="10" t="n">
        <v>0</v>
      </c>
      <c r="K1049" s="10" t="s">
        <v>20</v>
      </c>
      <c r="L1049" s="11" t="n">
        <v>42402.810625</v>
      </c>
      <c r="M1049" s="12"/>
      <c r="N1049" s="12"/>
      <c r="O1049" s="9" t="str">
        <f aca="false">HYPERLINK("https://abs.twimg.com/sticky/default_profile_images/default_profile_normal.png","View")</f>
        <v>View</v>
      </c>
      <c r="P1049" s="10"/>
    </row>
    <row r="1050" customFormat="false" ht="15.75" hidden="false" customHeight="false" outlineLevel="0" collapsed="false">
      <c r="A1050" s="6" t="n">
        <v>43029.988125</v>
      </c>
      <c r="B1050" s="7" t="str">
        <f aca="false">HYPERLINK("https://twitter.com/DailyPsalms365","@DailyPsalms365")</f>
        <v>@DailyPsalms365</v>
      </c>
      <c r="C1050" s="8" t="s">
        <v>2854</v>
      </c>
      <c r="D1050" s="8" t="s">
        <v>2829</v>
      </c>
      <c r="E1050" s="9" t="str">
        <f aca="false">HYPERLINK("https://twitter.com/DailyPsalms365/status/921990228113608704","921990228113608704")</f>
        <v>921990228113608704</v>
      </c>
      <c r="F1050" s="10" t="s">
        <v>2855</v>
      </c>
      <c r="G1050" s="10" t="n">
        <v>937</v>
      </c>
      <c r="H1050" s="10" t="n">
        <v>56</v>
      </c>
      <c r="I1050" s="10" t="n">
        <v>6</v>
      </c>
      <c r="J1050" s="10" t="n">
        <v>0</v>
      </c>
      <c r="K1050" s="10" t="s">
        <v>20</v>
      </c>
      <c r="L1050" s="11" t="n">
        <v>42758.4451157408</v>
      </c>
      <c r="M1050" s="12" t="s">
        <v>651</v>
      </c>
      <c r="N1050" s="12" t="s">
        <v>2856</v>
      </c>
      <c r="O1050" s="9" t="str">
        <f aca="false">HYPERLINK("https://pbs.twimg.com/profile_images/823606803439218690/rW5Z8l_s_normal.jpg","View")</f>
        <v>View</v>
      </c>
      <c r="P1050" s="10"/>
    </row>
    <row r="1051" customFormat="false" ht="15.75" hidden="false" customHeight="false" outlineLevel="0" collapsed="false">
      <c r="A1051" s="6" t="n">
        <v>43029.9906481481</v>
      </c>
      <c r="B1051" s="7" t="str">
        <f aca="false">HYPERLINK("https://twitter.com/NationSecurity","@NationSecurity")</f>
        <v>@NationSecurity</v>
      </c>
      <c r="C1051" s="8" t="s">
        <v>2857</v>
      </c>
      <c r="D1051" s="8" t="s">
        <v>2858</v>
      </c>
      <c r="E1051" s="9" t="str">
        <f aca="false">HYPERLINK("https://twitter.com/NationSecurity/status/921991139460308992","921991139460308992")</f>
        <v>921991139460308992</v>
      </c>
      <c r="F1051" s="10" t="s">
        <v>110</v>
      </c>
      <c r="G1051" s="10" t="n">
        <v>2180</v>
      </c>
      <c r="H1051" s="10" t="n">
        <v>1096</v>
      </c>
      <c r="I1051" s="10" t="n">
        <v>0</v>
      </c>
      <c r="J1051" s="10" t="n">
        <v>0</v>
      </c>
      <c r="K1051" s="10" t="s">
        <v>20</v>
      </c>
      <c r="L1051" s="11" t="n">
        <v>41164.7083680556</v>
      </c>
      <c r="M1051" s="12"/>
      <c r="N1051" s="12" t="s">
        <v>2859</v>
      </c>
      <c r="O1051" s="9" t="str">
        <f aca="false">HYPERLINK("https://pbs.twimg.com/profile_images/2603981658/uj5z3v1d6hp3fath77f5_normal.jpeg","View")</f>
        <v>View</v>
      </c>
      <c r="P1051" s="10"/>
    </row>
    <row r="1052" customFormat="false" ht="15.75" hidden="false" customHeight="false" outlineLevel="0" collapsed="false">
      <c r="A1052" s="6" t="n">
        <v>43029.9909722222</v>
      </c>
      <c r="B1052" s="7" t="str">
        <f aca="false">HYPERLINK("https://twitter.com/StandWithMarco_","@StandWithMarco_")</f>
        <v>@StandWithMarco_</v>
      </c>
      <c r="C1052" s="8" t="s">
        <v>2860</v>
      </c>
      <c r="D1052" s="8" t="s">
        <v>2829</v>
      </c>
      <c r="E1052" s="9" t="str">
        <f aca="false">HYPERLINK("https://twitter.com/StandWithMarco_/status/921991260499562496","921991260499562496")</f>
        <v>921991260499562496</v>
      </c>
      <c r="F1052" s="10" t="s">
        <v>2861</v>
      </c>
      <c r="G1052" s="10" t="n">
        <v>356</v>
      </c>
      <c r="H1052" s="10" t="n">
        <v>203</v>
      </c>
      <c r="I1052" s="10" t="n">
        <v>6</v>
      </c>
      <c r="J1052" s="10" t="n">
        <v>0</v>
      </c>
      <c r="K1052" s="10" t="s">
        <v>20</v>
      </c>
      <c r="L1052" s="11" t="n">
        <v>42373.3474884259</v>
      </c>
      <c r="M1052" s="12"/>
      <c r="N1052" s="12"/>
      <c r="O1052" s="9" t="str">
        <f aca="false">HYPERLINK("https://pbs.twimg.com/profile_images/684048556609662976/Br4pKKhi_normal.png","View")</f>
        <v>View</v>
      </c>
      <c r="P1052" s="10"/>
    </row>
    <row r="1053" customFormat="false" ht="15.75" hidden="false" customHeight="false" outlineLevel="0" collapsed="false">
      <c r="A1053" s="6" t="n">
        <v>43029.9911342593</v>
      </c>
      <c r="B1053" s="7" t="str">
        <f aca="false">HYPERLINK("https://twitter.com/MiamiGives","@MiamiGives")</f>
        <v>@MiamiGives</v>
      </c>
      <c r="C1053" s="8" t="s">
        <v>2862</v>
      </c>
      <c r="D1053" s="8" t="s">
        <v>2829</v>
      </c>
      <c r="E1053" s="9" t="str">
        <f aca="false">HYPERLINK("https://twitter.com/MiamiGives/status/921991318531989504","921991318531989504")</f>
        <v>921991318531989504</v>
      </c>
      <c r="F1053" s="10" t="s">
        <v>2863</v>
      </c>
      <c r="G1053" s="10" t="n">
        <v>2484</v>
      </c>
      <c r="H1053" s="10" t="n">
        <v>741</v>
      </c>
      <c r="I1053" s="10" t="n">
        <v>6</v>
      </c>
      <c r="J1053" s="10" t="n">
        <v>0</v>
      </c>
      <c r="K1053" s="10" t="s">
        <v>20</v>
      </c>
      <c r="L1053" s="11" t="n">
        <v>42335.5602199074</v>
      </c>
      <c r="M1053" s="12" t="s">
        <v>476</v>
      </c>
      <c r="N1053" s="12" t="s">
        <v>2864</v>
      </c>
      <c r="O1053" s="9" t="str">
        <f aca="false">HYPERLINK("https://pbs.twimg.com/profile_images/684467898329481220/7wpkgfWQ_normal.png","View")</f>
        <v>View</v>
      </c>
      <c r="P1053" s="10"/>
    </row>
    <row r="1054" customFormat="false" ht="15.75" hidden="false" customHeight="false" outlineLevel="0" collapsed="false">
      <c r="A1054" s="6" t="n">
        <v>43029.9942939815</v>
      </c>
      <c r="B1054" s="7" t="str">
        <f aca="false">HYPERLINK("https://twitter.com/lopezgovlaw","@lopezgovlaw")</f>
        <v>@lopezgovlaw</v>
      </c>
      <c r="C1054" s="8" t="s">
        <v>2865</v>
      </c>
      <c r="D1054" s="8" t="s">
        <v>2829</v>
      </c>
      <c r="E1054" s="9" t="str">
        <f aca="false">HYPERLINK("https://twitter.com/lopezgovlaw/status/921992461161041920","921992461161041920")</f>
        <v>921992461161041920</v>
      </c>
      <c r="F1054" s="10" t="s">
        <v>2866</v>
      </c>
      <c r="G1054" s="10" t="n">
        <v>7196</v>
      </c>
      <c r="H1054" s="10" t="n">
        <v>1676</v>
      </c>
      <c r="I1054" s="10" t="n">
        <v>6</v>
      </c>
      <c r="J1054" s="10" t="n">
        <v>0</v>
      </c>
      <c r="K1054" s="10" t="s">
        <v>20</v>
      </c>
      <c r="L1054" s="11" t="n">
        <v>40142.8209490741</v>
      </c>
      <c r="M1054" s="12" t="s">
        <v>2867</v>
      </c>
      <c r="N1054" s="12" t="s">
        <v>2868</v>
      </c>
      <c r="O1054" s="9" t="str">
        <f aca="false">HYPERLINK("https://pbs.twimg.com/profile_images/612000460342448128/Xgz6KteQ_normal.jpg","View")</f>
        <v>View</v>
      </c>
      <c r="P1054" s="10"/>
    </row>
    <row r="1055" customFormat="false" ht="15.75" hidden="false" customHeight="false" outlineLevel="0" collapsed="false">
      <c r="A1055" s="6" t="n">
        <v>43029.9943634259</v>
      </c>
      <c r="B1055" s="7" t="str">
        <f aca="false">HYPERLINK("https://twitter.com/erictshepherd","@erictshepherd")</f>
        <v>@erictshepherd</v>
      </c>
      <c r="C1055" s="8" t="s">
        <v>2869</v>
      </c>
      <c r="D1055" s="8" t="s">
        <v>2870</v>
      </c>
      <c r="E1055" s="9" t="str">
        <f aca="false">HYPERLINK("https://twitter.com/erictshepherd/status/921992486599430144","921992486599430144")</f>
        <v>921992486599430144</v>
      </c>
      <c r="F1055" s="10" t="s">
        <v>39</v>
      </c>
      <c r="G1055" s="10" t="n">
        <v>986</v>
      </c>
      <c r="H1055" s="10" t="n">
        <v>2568</v>
      </c>
      <c r="I1055" s="10" t="n">
        <v>1</v>
      </c>
      <c r="J1055" s="10" t="n">
        <v>0</v>
      </c>
      <c r="K1055" s="10" t="s">
        <v>20</v>
      </c>
      <c r="L1055" s="11" t="n">
        <v>39944.0967476852</v>
      </c>
      <c r="M1055" s="12" t="s">
        <v>2871</v>
      </c>
      <c r="N1055" s="12" t="s">
        <v>2872</v>
      </c>
      <c r="O1055" s="9" t="str">
        <f aca="false">HYPERLINK("https://pbs.twimg.com/profile_images/642660927972737024/RgWqRsSm_normal.jpg","View")</f>
        <v>View</v>
      </c>
      <c r="P1055" s="10"/>
    </row>
    <row r="1056" customFormat="false" ht="15.75" hidden="false" customHeight="false" outlineLevel="0" collapsed="false">
      <c r="A1056" s="6" t="n">
        <v>43029.9944560185</v>
      </c>
      <c r="B1056" s="7" t="str">
        <f aca="false">HYPERLINK("https://twitter.com/dailysunbd","@dailysunbd")</f>
        <v>@dailysunbd</v>
      </c>
      <c r="C1056" s="8" t="s">
        <v>2873</v>
      </c>
      <c r="D1056" s="8" t="s">
        <v>2874</v>
      </c>
      <c r="E1056" s="9" t="str">
        <f aca="false">HYPERLINK("https://twitter.com/dailysunbd/status/921992522280267776","921992522280267776")</f>
        <v>921992522280267776</v>
      </c>
      <c r="F1056" s="10" t="s">
        <v>39</v>
      </c>
      <c r="G1056" s="10" t="n">
        <v>947</v>
      </c>
      <c r="H1056" s="10" t="n">
        <v>607</v>
      </c>
      <c r="I1056" s="10" t="n">
        <v>0</v>
      </c>
      <c r="J1056" s="10" t="n">
        <v>0</v>
      </c>
      <c r="K1056" s="10" t="s">
        <v>20</v>
      </c>
      <c r="L1056" s="11" t="n">
        <v>42184.1927777778</v>
      </c>
      <c r="M1056" s="12" t="s">
        <v>2875</v>
      </c>
      <c r="N1056" s="12" t="s">
        <v>2876</v>
      </c>
      <c r="O1056" s="9" t="str">
        <f aca="false">HYPERLINK("https://pbs.twimg.com/profile_images/745919635707531264/oEufXjZJ_normal.jpg","View")</f>
        <v>View</v>
      </c>
      <c r="P1056" s="10"/>
    </row>
    <row r="1057" customFormat="false" ht="15.75" hidden="false" customHeight="false" outlineLevel="0" collapsed="false">
      <c r="A1057" s="6" t="n">
        <v>43029.9945949074</v>
      </c>
      <c r="B1057" s="7" t="str">
        <f aca="false">HYPERLINK("https://twitter.com/imsteveduncan","@imsteveduncan")</f>
        <v>@imsteveduncan</v>
      </c>
      <c r="C1057" s="8" t="s">
        <v>944</v>
      </c>
      <c r="D1057" s="8" t="s">
        <v>2877</v>
      </c>
      <c r="E1057" s="9" t="str">
        <f aca="false">HYPERLINK("https://twitter.com/imsteveduncan/status/921992572666630144","921992572666630144")</f>
        <v>921992572666630144</v>
      </c>
      <c r="F1057" s="10" t="s">
        <v>60</v>
      </c>
      <c r="G1057" s="10" t="n">
        <v>217</v>
      </c>
      <c r="H1057" s="10" t="n">
        <v>817</v>
      </c>
      <c r="I1057" s="10" t="n">
        <v>0</v>
      </c>
      <c r="J1057" s="10" t="n">
        <v>0</v>
      </c>
      <c r="K1057" s="10" t="s">
        <v>20</v>
      </c>
      <c r="L1057" s="11" t="n">
        <v>42783.3260416667</v>
      </c>
      <c r="M1057" s="12" t="s">
        <v>946</v>
      </c>
      <c r="N1057" s="12" t="s">
        <v>947</v>
      </c>
      <c r="O1057" s="9" t="str">
        <f aca="false">HYPERLINK("https://pbs.twimg.com/profile_images/874135066510729216/gr5-jG8u_normal.jpg","View")</f>
        <v>View</v>
      </c>
      <c r="P1057" s="10"/>
    </row>
    <row r="1058" customFormat="false" ht="15.75" hidden="false" customHeight="false" outlineLevel="0" collapsed="false">
      <c r="A1058" s="6" t="n">
        <v>43029.9960185185</v>
      </c>
      <c r="B1058" s="7" t="str">
        <f aca="false">HYPERLINK("https://twitter.com/UnitedNewsofUSA","@UnitedNewsofUSA")</f>
        <v>@UnitedNewsofUSA</v>
      </c>
      <c r="C1058" s="8" t="s">
        <v>2215</v>
      </c>
      <c r="D1058" s="8" t="s">
        <v>2878</v>
      </c>
      <c r="E1058" s="9" t="str">
        <f aca="false">HYPERLINK("https://twitter.com/UnitedNewsofUSA/status/921993088733675520","921993088733675520")</f>
        <v>921993088733675520</v>
      </c>
      <c r="F1058" s="10" t="s">
        <v>55</v>
      </c>
      <c r="G1058" s="10" t="n">
        <v>831</v>
      </c>
      <c r="H1058" s="10" t="n">
        <v>353</v>
      </c>
      <c r="I1058" s="10" t="n">
        <v>0</v>
      </c>
      <c r="J1058" s="10" t="n">
        <v>0</v>
      </c>
      <c r="K1058" s="10" t="s">
        <v>20</v>
      </c>
      <c r="L1058" s="11" t="n">
        <v>40484.9197685185</v>
      </c>
      <c r="M1058" s="12" t="s">
        <v>2217</v>
      </c>
      <c r="N1058" s="12" t="s">
        <v>2218</v>
      </c>
      <c r="O1058" s="9" t="str">
        <f aca="false">HYPERLINK("https://pbs.twimg.com/profile_images/1158652175/Avatar250x250_normal.jpg","View")</f>
        <v>View</v>
      </c>
      <c r="P1058" s="10"/>
    </row>
    <row r="1059" customFormat="false" ht="15.75" hidden="false" customHeight="false" outlineLevel="0" collapsed="false">
      <c r="A1059" s="6" t="n">
        <v>43029.9963425926</v>
      </c>
      <c r="B1059" s="7" t="str">
        <f aca="false">HYPERLINK("https://twitter.com/daviddoughty","@daviddoughty")</f>
        <v>@daviddoughty</v>
      </c>
      <c r="C1059" s="8" t="s">
        <v>2879</v>
      </c>
      <c r="D1059" s="8" t="s">
        <v>2880</v>
      </c>
      <c r="E1059" s="9" t="str">
        <f aca="false">HYPERLINK("https://twitter.com/daviddoughty/status/921993203099885568","921993203099885568")</f>
        <v>921993203099885568</v>
      </c>
      <c r="F1059" s="10" t="s">
        <v>563</v>
      </c>
      <c r="G1059" s="10" t="n">
        <v>59989</v>
      </c>
      <c r="H1059" s="10" t="n">
        <v>58983</v>
      </c>
      <c r="I1059" s="10" t="n">
        <v>2</v>
      </c>
      <c r="J1059" s="10" t="n">
        <v>0</v>
      </c>
      <c r="K1059" s="10" t="s">
        <v>20</v>
      </c>
      <c r="L1059" s="11" t="n">
        <v>39845.0325115741</v>
      </c>
      <c r="M1059" s="12" t="s">
        <v>2881</v>
      </c>
      <c r="N1059" s="12" t="s">
        <v>2882</v>
      </c>
      <c r="O1059" s="9" t="str">
        <f aca="false">HYPERLINK("https://pbs.twimg.com/profile_images/1296135145/dd_oep_normal.jpg","View")</f>
        <v>View</v>
      </c>
      <c r="P1059" s="10"/>
    </row>
    <row r="1060" customFormat="false" ht="15.75" hidden="false" customHeight="false" outlineLevel="0" collapsed="false">
      <c r="A1060" s="6" t="n">
        <v>43029.9970023148</v>
      </c>
      <c r="B1060" s="7" t="str">
        <f aca="false">HYPERLINK("https://twitter.com/twittFliy","@twittFliy")</f>
        <v>@twittFliy</v>
      </c>
      <c r="C1060" s="8" t="s">
        <v>2883</v>
      </c>
      <c r="D1060" s="8" t="s">
        <v>2880</v>
      </c>
      <c r="E1060" s="9" t="str">
        <f aca="false">HYPERLINK("https://twitter.com/twittFliy/status/921993443685085184","921993443685085184")</f>
        <v>921993443685085184</v>
      </c>
      <c r="F1060" s="10" t="s">
        <v>2884</v>
      </c>
      <c r="G1060" s="10" t="n">
        <v>5607</v>
      </c>
      <c r="H1060" s="10" t="n">
        <v>1782</v>
      </c>
      <c r="I1060" s="10" t="n">
        <v>2</v>
      </c>
      <c r="J1060" s="10" t="n">
        <v>0</v>
      </c>
      <c r="K1060" s="10" t="s">
        <v>20</v>
      </c>
      <c r="L1060" s="11" t="n">
        <v>42240.4918981481</v>
      </c>
      <c r="M1060" s="12"/>
      <c r="N1060" s="12" t="s">
        <v>2885</v>
      </c>
      <c r="O1060" s="9" t="str">
        <f aca="false">HYPERLINK("https://pbs.twimg.com/profile_images/635931039215583232/NLUpEzNY_normal.jpg","View")</f>
        <v>View</v>
      </c>
      <c r="P1060" s="10"/>
    </row>
    <row r="1061" customFormat="false" ht="15.75" hidden="false" customHeight="false" outlineLevel="0" collapsed="false">
      <c r="A1061" s="6" t="n">
        <v>43029.9985185185</v>
      </c>
      <c r="B1061" s="7" t="str">
        <f aca="false">HYPERLINK("https://twitter.com/sharp_writing","@sharp_writing")</f>
        <v>@sharp_writing</v>
      </c>
      <c r="C1061" s="8" t="s">
        <v>2886</v>
      </c>
      <c r="D1061" s="8" t="s">
        <v>2887</v>
      </c>
      <c r="E1061" s="9" t="str">
        <f aca="false">HYPERLINK("https://twitter.com/sharp_writing/status/921993995349364737","921993995349364737")</f>
        <v>921993995349364737</v>
      </c>
      <c r="F1061" s="10" t="s">
        <v>51</v>
      </c>
      <c r="G1061" s="10" t="n">
        <v>2527</v>
      </c>
      <c r="H1061" s="10" t="n">
        <v>1492</v>
      </c>
      <c r="I1061" s="10" t="n">
        <v>1</v>
      </c>
      <c r="J1061" s="10" t="n">
        <v>0</v>
      </c>
      <c r="K1061" s="10" t="s">
        <v>20</v>
      </c>
      <c r="L1061" s="11" t="n">
        <v>39830.3942592593</v>
      </c>
      <c r="M1061" s="12" t="s">
        <v>1473</v>
      </c>
      <c r="N1061" s="12" t="s">
        <v>2888</v>
      </c>
      <c r="O1061" s="9" t="str">
        <f aca="false">HYPERLINK("https://pbs.twimg.com/profile_images/477957332416999424/pvgfXgUY_normal.jpeg","View")</f>
        <v>View</v>
      </c>
      <c r="P1061" s="10"/>
    </row>
    <row r="1062" customFormat="false" ht="15.75" hidden="false" customHeight="false" outlineLevel="0" collapsed="false">
      <c r="A1062" s="6" t="n">
        <v>43030.0001967593</v>
      </c>
      <c r="B1062" s="7" t="str">
        <f aca="false">HYPERLINK("https://twitter.com/rajatdhar1","@rajatdhar1")</f>
        <v>@rajatdhar1</v>
      </c>
      <c r="C1062" s="8" t="s">
        <v>2889</v>
      </c>
      <c r="D1062" s="8" t="s">
        <v>2890</v>
      </c>
      <c r="E1062" s="9" t="str">
        <f aca="false">HYPERLINK("https://twitter.com/rajatdhar1/status/921994602755870720","921994602755870720")</f>
        <v>921994602755870720</v>
      </c>
      <c r="F1062" s="10" t="s">
        <v>110</v>
      </c>
      <c r="G1062" s="10" t="n">
        <v>3161</v>
      </c>
      <c r="H1062" s="10" t="n">
        <v>3395</v>
      </c>
      <c r="I1062" s="10" t="n">
        <v>0</v>
      </c>
      <c r="J1062" s="10" t="n">
        <v>0</v>
      </c>
      <c r="K1062" s="10" t="s">
        <v>20</v>
      </c>
      <c r="L1062" s="11" t="n">
        <v>40503.3462384259</v>
      </c>
      <c r="M1062" s="12" t="s">
        <v>2891</v>
      </c>
      <c r="N1062" s="12" t="s">
        <v>2892</v>
      </c>
      <c r="O1062" s="9" t="str">
        <f aca="false">HYPERLINK("https://pbs.twimg.com/profile_images/750193714157461504/ZSEe3DV4_normal.jpg","View")</f>
        <v>View</v>
      </c>
      <c r="P1062" s="10"/>
    </row>
    <row r="1063" customFormat="false" ht="15.75" hidden="false" customHeight="false" outlineLevel="0" collapsed="false">
      <c r="A1063" s="6" t="n">
        <v>43030.0003587963</v>
      </c>
      <c r="B1063" s="7" t="str">
        <f aca="false">HYPERLINK("https://twitter.com/Worldnews_Media","@Worldnews_Media")</f>
        <v>@Worldnews_Media</v>
      </c>
      <c r="C1063" s="8" t="s">
        <v>2893</v>
      </c>
      <c r="D1063" s="8" t="s">
        <v>2894</v>
      </c>
      <c r="E1063" s="9" t="str">
        <f aca="false">HYPERLINK("https://twitter.com/Worldnews_Media/status/921994661417357313","921994661417357313")</f>
        <v>921994661417357313</v>
      </c>
      <c r="F1063" s="10" t="s">
        <v>110</v>
      </c>
      <c r="G1063" s="10" t="n">
        <v>668</v>
      </c>
      <c r="H1063" s="10" t="n">
        <v>304</v>
      </c>
      <c r="I1063" s="10" t="n">
        <v>0</v>
      </c>
      <c r="J1063" s="10" t="n">
        <v>0</v>
      </c>
      <c r="K1063" s="10" t="s">
        <v>20</v>
      </c>
      <c r="L1063" s="11" t="n">
        <v>41604.4159375</v>
      </c>
      <c r="M1063" s="12" t="s">
        <v>2102</v>
      </c>
      <c r="N1063" s="12" t="s">
        <v>2895</v>
      </c>
      <c r="O1063" s="9" t="str">
        <f aca="false">HYPERLINK("https://pbs.twimg.com/profile_images/561618507708641280/GDz3qXPE_normal.png","View")</f>
        <v>View</v>
      </c>
      <c r="P1063" s="10"/>
    </row>
    <row r="1064" customFormat="false" ht="15.75" hidden="false" customHeight="false" outlineLevel="0" collapsed="false">
      <c r="A1064" s="6" t="n">
        <v>43030.0007638889</v>
      </c>
      <c r="B1064" s="7" t="str">
        <f aca="false">HYPERLINK("https://twitter.com/TimesofNews","@TimesofNews")</f>
        <v>@TimesofNews</v>
      </c>
      <c r="C1064" s="8" t="s">
        <v>2896</v>
      </c>
      <c r="D1064" s="8" t="s">
        <v>2897</v>
      </c>
      <c r="E1064" s="9" t="str">
        <f aca="false">HYPERLINK("https://twitter.com/TimesofNews/status/921994805764329472","921994805764329472")</f>
        <v>921994805764329472</v>
      </c>
      <c r="F1064" s="10" t="s">
        <v>2898</v>
      </c>
      <c r="G1064" s="10" t="n">
        <v>1145</v>
      </c>
      <c r="H1064" s="10" t="n">
        <v>129</v>
      </c>
      <c r="I1064" s="10" t="n">
        <v>0</v>
      </c>
      <c r="J1064" s="10" t="n">
        <v>0</v>
      </c>
      <c r="K1064" s="10" t="s">
        <v>20</v>
      </c>
      <c r="L1064" s="11" t="n">
        <v>40978.118287037</v>
      </c>
      <c r="M1064" s="12"/>
      <c r="N1064" s="12" t="s">
        <v>2899</v>
      </c>
      <c r="O1064" s="9" t="str">
        <f aca="false">HYPERLINK("https://pbs.twimg.com/profile_images/458022872024223744/GKx5zsNw_normal.png","View")</f>
        <v>View</v>
      </c>
      <c r="P1064" s="10"/>
    </row>
    <row r="1065" customFormat="false" ht="15.75" hidden="false" customHeight="false" outlineLevel="0" collapsed="false">
      <c r="A1065" s="6" t="n">
        <v>43030.0008217593</v>
      </c>
      <c r="B1065" s="7" t="str">
        <f aca="false">HYPERLINK("https://twitter.com/AnitaS64","@AnitaS64")</f>
        <v>@AnitaS64</v>
      </c>
      <c r="C1065" s="8" t="s">
        <v>791</v>
      </c>
      <c r="D1065" s="8" t="s">
        <v>2339</v>
      </c>
      <c r="E1065" s="9" t="str">
        <f aca="false">HYPERLINK("https://twitter.com/AnitaS64/status/921994828358983680","921994828358983680")</f>
        <v>921994828358983680</v>
      </c>
      <c r="F1065" s="10" t="s">
        <v>51</v>
      </c>
      <c r="G1065" s="10" t="n">
        <v>315</v>
      </c>
      <c r="H1065" s="10" t="n">
        <v>14</v>
      </c>
      <c r="I1065" s="10" t="n">
        <v>51</v>
      </c>
      <c r="J1065" s="10" t="n">
        <v>0</v>
      </c>
      <c r="K1065" s="10" t="s">
        <v>20</v>
      </c>
      <c r="L1065" s="11" t="n">
        <v>41242.3520023148</v>
      </c>
      <c r="M1065" s="12" t="s">
        <v>792</v>
      </c>
      <c r="N1065" s="12" t="s">
        <v>793</v>
      </c>
      <c r="O1065" s="9" t="str">
        <f aca="false">HYPERLINK("https://pbs.twimg.com/profile_images/922065225204957184/DRzHAi3G_normal.jpg","View")</f>
        <v>View</v>
      </c>
      <c r="P1065" s="10"/>
    </row>
    <row r="1066" customFormat="false" ht="15.75" hidden="false" customHeight="false" outlineLevel="0" collapsed="false">
      <c r="A1066" s="6" t="n">
        <v>43030.0012615741</v>
      </c>
      <c r="B1066" s="7" t="str">
        <f aca="false">HYPERLINK("https://twitter.com/TimesofNews","@TimesofNews")</f>
        <v>@TimesofNews</v>
      </c>
      <c r="C1066" s="8" t="s">
        <v>2896</v>
      </c>
      <c r="D1066" s="8" t="s">
        <v>2900</v>
      </c>
      <c r="E1066" s="9" t="str">
        <f aca="false">HYPERLINK("https://twitter.com/TimesofNews/status/921994988606631937","921994988606631937")</f>
        <v>921994988606631937</v>
      </c>
      <c r="F1066" s="10" t="s">
        <v>2898</v>
      </c>
      <c r="G1066" s="10" t="n">
        <v>1145</v>
      </c>
      <c r="H1066" s="10" t="n">
        <v>129</v>
      </c>
      <c r="I1066" s="10" t="n">
        <v>0</v>
      </c>
      <c r="J1066" s="10" t="n">
        <v>0</v>
      </c>
      <c r="K1066" s="10" t="s">
        <v>20</v>
      </c>
      <c r="L1066" s="11" t="n">
        <v>40978.118287037</v>
      </c>
      <c r="M1066" s="12"/>
      <c r="N1066" s="12" t="s">
        <v>2899</v>
      </c>
      <c r="O1066" s="9" t="str">
        <f aca="false">HYPERLINK("https://pbs.twimg.com/profile_images/458022872024223744/GKx5zsNw_normal.png","View")</f>
        <v>View</v>
      </c>
      <c r="P1066" s="10"/>
    </row>
    <row r="1067" customFormat="false" ht="15.75" hidden="false" customHeight="false" outlineLevel="0" collapsed="false">
      <c r="A1067" s="6" t="n">
        <v>43030.003599537</v>
      </c>
      <c r="B1067" s="7" t="str">
        <f aca="false">HYPERLINK("https://twitter.com/BsnssNws","@BsnssNws")</f>
        <v>@BsnssNws</v>
      </c>
      <c r="C1067" s="8" t="s">
        <v>2901</v>
      </c>
      <c r="D1067" s="8" t="s">
        <v>2902</v>
      </c>
      <c r="E1067" s="9" t="str">
        <f aca="false">HYPERLINK("https://twitter.com/BsnssNws/status/921995836451704833","921995836451704833")</f>
        <v>921995836451704833</v>
      </c>
      <c r="F1067" s="10" t="s">
        <v>2901</v>
      </c>
      <c r="G1067" s="10" t="n">
        <v>38</v>
      </c>
      <c r="H1067" s="10" t="n">
        <v>10</v>
      </c>
      <c r="I1067" s="10" t="n">
        <v>0</v>
      </c>
      <c r="J1067" s="10" t="n">
        <v>0</v>
      </c>
      <c r="K1067" s="10" t="s">
        <v>20</v>
      </c>
      <c r="L1067" s="11" t="n">
        <v>42791.4281828704</v>
      </c>
      <c r="M1067" s="12"/>
      <c r="N1067" s="12" t="s">
        <v>2903</v>
      </c>
      <c r="O1067" s="9" t="str">
        <f aca="false">HYPERLINK("https://pbs.twimg.com/profile_images/835555071328944128/zMjo5-3Z_normal.jpg","View")</f>
        <v>View</v>
      </c>
      <c r="P1067" s="10"/>
    </row>
    <row r="1068" customFormat="false" ht="15.75" hidden="false" customHeight="false" outlineLevel="0" collapsed="false">
      <c r="A1068" s="6" t="n">
        <v>43030.0039930556</v>
      </c>
      <c r="B1068" s="7" t="str">
        <f aca="false">HYPERLINK("https://twitter.com/mrfffffFollow","@mrfffffFollow")</f>
        <v>@mrfffffFollow</v>
      </c>
      <c r="C1068" s="8" t="s">
        <v>2904</v>
      </c>
      <c r="D1068" s="8" t="s">
        <v>2905</v>
      </c>
      <c r="E1068" s="9" t="str">
        <f aca="false">HYPERLINK("https://twitter.com/mrfffffFollow/status/921995977275461632","921995977275461632")</f>
        <v>921995977275461632</v>
      </c>
      <c r="F1068" s="10" t="s">
        <v>55</v>
      </c>
      <c r="G1068" s="10" t="n">
        <v>221</v>
      </c>
      <c r="H1068" s="10" t="n">
        <v>227</v>
      </c>
      <c r="I1068" s="10" t="n">
        <v>0</v>
      </c>
      <c r="J1068" s="10" t="n">
        <v>0</v>
      </c>
      <c r="K1068" s="10" t="s">
        <v>20</v>
      </c>
      <c r="L1068" s="11" t="n">
        <v>40921.1589351852</v>
      </c>
      <c r="M1068" s="12"/>
      <c r="N1068" s="12" t="s">
        <v>2906</v>
      </c>
      <c r="O1068" s="9" t="str">
        <f aca="false">HYPERLINK("https://pbs.twimg.com/profile_images/1751934696/images__6__normal.jpg","View")</f>
        <v>View</v>
      </c>
      <c r="P1068" s="10"/>
    </row>
    <row r="1069" customFormat="false" ht="15.75" hidden="false" customHeight="false" outlineLevel="0" collapsed="false">
      <c r="A1069" s="6" t="n">
        <v>43030.0044444444</v>
      </c>
      <c r="B1069" s="7" t="str">
        <f aca="false">HYPERLINK("https://twitter.com/rashidaldosari","@rashidaldosari")</f>
        <v>@rashidaldosari</v>
      </c>
      <c r="C1069" s="8" t="s">
        <v>810</v>
      </c>
      <c r="D1069" s="8" t="s">
        <v>2339</v>
      </c>
      <c r="E1069" s="9" t="str">
        <f aca="false">HYPERLINK("https://twitter.com/rashidaldosari/status/921996140639346688","921996140639346688")</f>
        <v>921996140639346688</v>
      </c>
      <c r="F1069" s="10" t="s">
        <v>51</v>
      </c>
      <c r="G1069" s="10" t="n">
        <v>2401</v>
      </c>
      <c r="H1069" s="10" t="n">
        <v>55</v>
      </c>
      <c r="I1069" s="10" t="n">
        <v>51</v>
      </c>
      <c r="J1069" s="10" t="n">
        <v>0</v>
      </c>
      <c r="K1069" s="10" t="s">
        <v>20</v>
      </c>
      <c r="L1069" s="11" t="n">
        <v>40635.110625</v>
      </c>
      <c r="M1069" s="12"/>
      <c r="N1069" s="12" t="s">
        <v>811</v>
      </c>
      <c r="O1069" s="9" t="str">
        <f aca="false">HYPERLINK("https://pbs.twimg.com/profile_images/1389660377/image_normal.jpg","View")</f>
        <v>View</v>
      </c>
      <c r="P1069" s="10"/>
    </row>
    <row r="1070" customFormat="false" ht="15.75" hidden="false" customHeight="false" outlineLevel="0" collapsed="false">
      <c r="A1070" s="6" t="n">
        <v>43030.0049537037</v>
      </c>
      <c r="B1070" s="7" t="str">
        <f aca="false">HYPERLINK("https://twitter.com/NTKRNow","@NTKRNow")</f>
        <v>@NTKRNow</v>
      </c>
      <c r="C1070" s="8" t="s">
        <v>829</v>
      </c>
      <c r="D1070" s="8" t="s">
        <v>2907</v>
      </c>
      <c r="E1070" s="9" t="str">
        <f aca="false">HYPERLINK("https://twitter.com/NTKRNow/status/921996323775303680","921996323775303680")</f>
        <v>921996323775303680</v>
      </c>
      <c r="F1070" s="10" t="s">
        <v>60</v>
      </c>
      <c r="G1070" s="10" t="n">
        <v>610</v>
      </c>
      <c r="H1070" s="10" t="n">
        <v>4</v>
      </c>
      <c r="I1070" s="10" t="n">
        <v>0</v>
      </c>
      <c r="J1070" s="10" t="n">
        <v>0</v>
      </c>
      <c r="K1070" s="10" t="s">
        <v>20</v>
      </c>
      <c r="L1070" s="11" t="n">
        <v>42402.810625</v>
      </c>
      <c r="M1070" s="12"/>
      <c r="N1070" s="12"/>
      <c r="O1070" s="9" t="str">
        <f aca="false">HYPERLINK("https://abs.twimg.com/sticky/default_profile_images/default_profile_normal.png","View")</f>
        <v>View</v>
      </c>
      <c r="P1070" s="10"/>
    </row>
    <row r="1071" customFormat="false" ht="15.75" hidden="false" customHeight="false" outlineLevel="0" collapsed="false">
      <c r="A1071" s="6" t="n">
        <v>43030.0052430556</v>
      </c>
      <c r="B1071" s="7" t="str">
        <f aca="false">HYPERLINK("https://twitter.com/suzuky","@suzuky")</f>
        <v>@suzuky</v>
      </c>
      <c r="C1071" s="8" t="s">
        <v>2908</v>
      </c>
      <c r="D1071" s="8" t="s">
        <v>2909</v>
      </c>
      <c r="E1071" s="9" t="str">
        <f aca="false">HYPERLINK("https://twitter.com/suzuky/status/921996429488300032","921996429488300032")</f>
        <v>921996429488300032</v>
      </c>
      <c r="F1071" s="10" t="s">
        <v>177</v>
      </c>
      <c r="G1071" s="10" t="n">
        <v>1037</v>
      </c>
      <c r="H1071" s="10" t="n">
        <v>398</v>
      </c>
      <c r="I1071" s="10" t="n">
        <v>0</v>
      </c>
      <c r="J1071" s="10" t="n">
        <v>0</v>
      </c>
      <c r="K1071" s="10" t="s">
        <v>20</v>
      </c>
      <c r="L1071" s="11" t="n">
        <v>39407.2748611111</v>
      </c>
      <c r="M1071" s="12" t="s">
        <v>1473</v>
      </c>
      <c r="N1071" s="13" t="s">
        <v>2910</v>
      </c>
      <c r="O1071" s="9" t="str">
        <f aca="false">HYPERLINK("https://pbs.twimg.com/profile_images/605110594/R0010601_normal.jpg","View")</f>
        <v>View</v>
      </c>
      <c r="P1071" s="10"/>
    </row>
    <row r="1072" customFormat="false" ht="15.75" hidden="false" customHeight="false" outlineLevel="0" collapsed="false">
      <c r="A1072" s="6" t="n">
        <v>43030.0065509259</v>
      </c>
      <c r="B1072" s="7" t="str">
        <f aca="false">HYPERLINK("https://twitter.com/NewsBossIndia","@NewsBossIndia")</f>
        <v>@NewsBossIndia</v>
      </c>
      <c r="C1072" s="7" t="s">
        <v>2911</v>
      </c>
      <c r="D1072" s="8" t="s">
        <v>2912</v>
      </c>
      <c r="E1072" s="9" t="str">
        <f aca="false">HYPERLINK("https://twitter.com/NewsBossIndia/status/921996905881538560","921996905881538560")</f>
        <v>921996905881538560</v>
      </c>
      <c r="F1072" s="9" t="s">
        <v>2911</v>
      </c>
      <c r="G1072" s="10" t="n">
        <v>997</v>
      </c>
      <c r="H1072" s="10" t="n">
        <v>1</v>
      </c>
      <c r="I1072" s="10" t="n">
        <v>0</v>
      </c>
      <c r="J1072" s="10" t="n">
        <v>0</v>
      </c>
      <c r="K1072" s="10" t="s">
        <v>20</v>
      </c>
      <c r="L1072" s="11" t="n">
        <v>42564.3806134259</v>
      </c>
      <c r="M1072" s="12"/>
      <c r="N1072" s="12" t="s">
        <v>2913</v>
      </c>
      <c r="O1072" s="9" t="str">
        <f aca="false">HYPERLINK("https://pbs.twimg.com/profile_images/753260679692333057/AS4Xiw4q_normal.jpg","View")</f>
        <v>View</v>
      </c>
      <c r="P1072" s="10"/>
    </row>
    <row r="1073" customFormat="false" ht="15.75" hidden="false" customHeight="false" outlineLevel="0" collapsed="false">
      <c r="A1073" s="6" t="n">
        <v>43030.0069444444</v>
      </c>
      <c r="B1073" s="7" t="str">
        <f aca="false">HYPERLINK("https://twitter.com/bsindia","@bsindia")</f>
        <v>@bsindia</v>
      </c>
      <c r="C1073" s="8" t="s">
        <v>2914</v>
      </c>
      <c r="D1073" s="8" t="s">
        <v>2915</v>
      </c>
      <c r="E1073" s="9" t="str">
        <f aca="false">HYPERLINK("https://twitter.com/bsindia/status/921997046525001734","921997046525001734")</f>
        <v>921997046525001734</v>
      </c>
      <c r="F1073" s="10" t="s">
        <v>276</v>
      </c>
      <c r="G1073" s="10" t="n">
        <v>1515455</v>
      </c>
      <c r="H1073" s="10" t="n">
        <v>355</v>
      </c>
      <c r="I1073" s="10" t="n">
        <v>3</v>
      </c>
      <c r="J1073" s="10" t="n">
        <v>5</v>
      </c>
      <c r="K1073" s="10" t="s">
        <v>20</v>
      </c>
      <c r="L1073" s="11" t="n">
        <v>39965.0778703704</v>
      </c>
      <c r="M1073" s="12" t="s">
        <v>72</v>
      </c>
      <c r="N1073" s="12" t="s">
        <v>2916</v>
      </c>
      <c r="O1073" s="9" t="str">
        <f aca="false">HYPERLINK("https://pbs.twimg.com/profile_images/2881526894/1a54fd9ccb222e586c2ed3127482c405_normal.jpeg","View")</f>
        <v>View</v>
      </c>
      <c r="P1073" s="10"/>
    </row>
    <row r="1074" customFormat="false" ht="15.75" hidden="false" customHeight="false" outlineLevel="0" collapsed="false">
      <c r="A1074" s="6" t="n">
        <v>43030.0069675926</v>
      </c>
      <c r="B1074" s="7" t="str">
        <f aca="false">HYPERLINK("https://twitter.com/412city","@412city")</f>
        <v>@412city</v>
      </c>
      <c r="C1074" s="8" t="s">
        <v>2917</v>
      </c>
      <c r="D1074" s="8" t="s">
        <v>2918</v>
      </c>
      <c r="E1074" s="9" t="str">
        <f aca="false">HYPERLINK("https://twitter.com/412city/status/921997055937060864","921997055937060864")</f>
        <v>921997055937060864</v>
      </c>
      <c r="F1074" s="9" t="s">
        <v>2919</v>
      </c>
      <c r="G1074" s="10" t="n">
        <v>698</v>
      </c>
      <c r="H1074" s="10" t="n">
        <v>1235</v>
      </c>
      <c r="I1074" s="10" t="n">
        <v>0</v>
      </c>
      <c r="J1074" s="10" t="n">
        <v>0</v>
      </c>
      <c r="K1074" s="10" t="s">
        <v>20</v>
      </c>
      <c r="L1074" s="11" t="n">
        <v>40829.8871064815</v>
      </c>
      <c r="M1074" s="12" t="s">
        <v>2920</v>
      </c>
      <c r="N1074" s="12" t="s">
        <v>2921</v>
      </c>
      <c r="O1074" s="9" t="str">
        <f aca="false">HYPERLINK("https://pbs.twimg.com/profile_images/675550656162238464/Ltcv7GBs_normal.jpg","View")</f>
        <v>View</v>
      </c>
      <c r="P1074" s="10"/>
    </row>
    <row r="1075" customFormat="false" ht="15.75" hidden="false" customHeight="false" outlineLevel="0" collapsed="false">
      <c r="A1075" s="6" t="n">
        <v>43030.0069791667</v>
      </c>
      <c r="B1075" s="7" t="str">
        <f aca="false">HYPERLINK("https://twitter.com/rvp","@rvp")</f>
        <v>@rvp</v>
      </c>
      <c r="C1075" s="8" t="s">
        <v>835</v>
      </c>
      <c r="D1075" s="8" t="s">
        <v>2922</v>
      </c>
      <c r="E1075" s="9" t="str">
        <f aca="false">HYPERLINK("https://twitter.com/rvp/status/921997061289119744","921997061289119744")</f>
        <v>921997061289119744</v>
      </c>
      <c r="F1075" s="10" t="s">
        <v>60</v>
      </c>
      <c r="G1075" s="10" t="n">
        <v>3594</v>
      </c>
      <c r="H1075" s="10" t="n">
        <v>4993</v>
      </c>
      <c r="I1075" s="10" t="n">
        <v>1</v>
      </c>
      <c r="J1075" s="10" t="n">
        <v>0</v>
      </c>
      <c r="K1075" s="10" t="s">
        <v>20</v>
      </c>
      <c r="L1075" s="11" t="n">
        <v>39495.2358912037</v>
      </c>
      <c r="M1075" s="12" t="s">
        <v>64</v>
      </c>
      <c r="N1075" s="12" t="s">
        <v>837</v>
      </c>
      <c r="O1075" s="9" t="str">
        <f aca="false">HYPERLINK("https://pbs.twimg.com/profile_images/49607902/ravi-vs-prasad_normal.jpg","View")</f>
        <v>View</v>
      </c>
      <c r="P1075" s="10"/>
    </row>
    <row r="1076" customFormat="false" ht="15.75" hidden="false" customHeight="false" outlineLevel="0" collapsed="false">
      <c r="A1076" s="6" t="n">
        <v>43030.0087384259</v>
      </c>
      <c r="B1076" s="7" t="str">
        <f aca="false">HYPERLINK("https://twitter.com/ashwaniattrish","@ashwaniattrish")</f>
        <v>@ashwaniattrish</v>
      </c>
      <c r="C1076" s="8" t="s">
        <v>2923</v>
      </c>
      <c r="D1076" s="8" t="s">
        <v>2924</v>
      </c>
      <c r="E1076" s="9" t="str">
        <f aca="false">HYPERLINK("https://twitter.com/ashwaniattrish/status/921997695065014272","921997695065014272")</f>
        <v>921997695065014272</v>
      </c>
      <c r="F1076" s="10" t="s">
        <v>25</v>
      </c>
      <c r="G1076" s="10" t="n">
        <v>695</v>
      </c>
      <c r="H1076" s="10" t="n">
        <v>143</v>
      </c>
      <c r="I1076" s="10" t="n">
        <v>3</v>
      </c>
      <c r="J1076" s="10" t="n">
        <v>0</v>
      </c>
      <c r="K1076" s="10" t="s">
        <v>20</v>
      </c>
      <c r="L1076" s="11" t="n">
        <v>40773.2142824074</v>
      </c>
      <c r="M1076" s="12" t="s">
        <v>2925</v>
      </c>
      <c r="N1076" s="12" t="s">
        <v>2926</v>
      </c>
      <c r="O1076" s="9" t="str">
        <f aca="false">HYPERLINK("https://pbs.twimg.com/profile_images/910885243921383425/w0EJc9c1_normal.jpg","View")</f>
        <v>View</v>
      </c>
      <c r="P1076" s="10"/>
    </row>
    <row r="1077" customFormat="false" ht="15.75" hidden="false" customHeight="false" outlineLevel="0" collapsed="false">
      <c r="A1077" s="6" t="n">
        <v>43030.0091319444</v>
      </c>
      <c r="B1077" s="7" t="str">
        <f aca="false">HYPERLINK("https://twitter.com/movingaverages","@movingaverages")</f>
        <v>@movingaverages</v>
      </c>
      <c r="C1077" s="8" t="s">
        <v>2927</v>
      </c>
      <c r="D1077" s="8" t="s">
        <v>1899</v>
      </c>
      <c r="E1077" s="9" t="str">
        <f aca="false">HYPERLINK("https://twitter.com/movingaverages/status/921997838438952961","921997838438952961")</f>
        <v>921997838438952961</v>
      </c>
      <c r="F1077" s="10" t="s">
        <v>39</v>
      </c>
      <c r="G1077" s="10" t="n">
        <v>249</v>
      </c>
      <c r="H1077" s="10" t="n">
        <v>730</v>
      </c>
      <c r="I1077" s="10" t="n">
        <v>11</v>
      </c>
      <c r="J1077" s="10" t="n">
        <v>0</v>
      </c>
      <c r="K1077" s="10" t="s">
        <v>20</v>
      </c>
      <c r="L1077" s="11" t="n">
        <v>40345.9978587963</v>
      </c>
      <c r="M1077" s="12" t="s">
        <v>2928</v>
      </c>
      <c r="N1077" s="12"/>
      <c r="O1077" s="9" t="str">
        <f aca="false">HYPERLINK("https://pbs.twimg.com/profile_images/3213719046/5a1d49f42245f0392c6051286cc77237_normal.png","View")</f>
        <v>View</v>
      </c>
      <c r="P1077" s="10"/>
    </row>
    <row r="1078" customFormat="false" ht="15.75" hidden="false" customHeight="false" outlineLevel="0" collapsed="false">
      <c r="A1078" s="6" t="n">
        <v>43030.0102314815</v>
      </c>
      <c r="B1078" s="7" t="str">
        <f aca="false">HYPERLINK("https://twitter.com/sanjay99000","@sanjay99000")</f>
        <v>@sanjay99000</v>
      </c>
      <c r="C1078" s="8" t="s">
        <v>2929</v>
      </c>
      <c r="D1078" s="8" t="s">
        <v>2924</v>
      </c>
      <c r="E1078" s="9" t="str">
        <f aca="false">HYPERLINK("https://twitter.com/sanjay99000/status/921998239057952770","921998239057952770")</f>
        <v>921998239057952770</v>
      </c>
      <c r="F1078" s="10" t="s">
        <v>25</v>
      </c>
      <c r="G1078" s="10" t="n">
        <v>811</v>
      </c>
      <c r="H1078" s="10" t="n">
        <v>400</v>
      </c>
      <c r="I1078" s="10" t="n">
        <v>3</v>
      </c>
      <c r="J1078" s="10" t="n">
        <v>0</v>
      </c>
      <c r="K1078" s="10" t="s">
        <v>20</v>
      </c>
      <c r="L1078" s="11" t="n">
        <v>41566.2776736111</v>
      </c>
      <c r="M1078" s="12" t="s">
        <v>2930</v>
      </c>
      <c r="N1078" s="12"/>
      <c r="O1078" s="9" t="str">
        <f aca="false">HYPERLINK("https://pbs.twimg.com/profile_images/702901720246939650/ZBn4aySo_normal.jpg","View")</f>
        <v>View</v>
      </c>
      <c r="P1078" s="10"/>
    </row>
    <row r="1079" customFormat="false" ht="15.75" hidden="false" customHeight="false" outlineLevel="0" collapsed="false">
      <c r="A1079" s="6" t="n">
        <v>43030.0113078704</v>
      </c>
      <c r="B1079" s="7" t="str">
        <f aca="false">HYPERLINK("https://twitter.com/YasuhiroYotsum2","@YasuhiroYotsum2")</f>
        <v>@YasuhiroYotsum2</v>
      </c>
      <c r="C1079" s="8" t="s">
        <v>2931</v>
      </c>
      <c r="D1079" s="8" t="s">
        <v>2932</v>
      </c>
      <c r="E1079" s="9" t="str">
        <f aca="false">HYPERLINK("https://twitter.com/YasuhiroYotsum2/status/921998626875936768","921998626875936768")</f>
        <v>921998626875936768</v>
      </c>
      <c r="F1079" s="10" t="s">
        <v>39</v>
      </c>
      <c r="G1079" s="10" t="n">
        <v>218</v>
      </c>
      <c r="H1079" s="10" t="n">
        <v>87</v>
      </c>
      <c r="I1079" s="10" t="n">
        <v>0</v>
      </c>
      <c r="J1079" s="10" t="n">
        <v>0</v>
      </c>
      <c r="K1079" s="10" t="s">
        <v>20</v>
      </c>
      <c r="L1079" s="11" t="n">
        <v>42850.4637847222</v>
      </c>
      <c r="M1079" s="12"/>
      <c r="N1079" s="12"/>
      <c r="O1079" s="9" t="str">
        <f aca="false">HYPERLINK("https://pbs.twimg.com/profile_images/864197206886240256/QVudOIO4_normal.jpg","View")</f>
        <v>View</v>
      </c>
      <c r="P1079" s="10"/>
    </row>
    <row r="1080" customFormat="false" ht="15.75" hidden="false" customHeight="false" outlineLevel="0" collapsed="false">
      <c r="A1080" s="6" t="n">
        <v>43030.0115277778</v>
      </c>
      <c r="B1080" s="7" t="str">
        <f aca="false">HYPERLINK("https://twitter.com/ALEX_TOUUUUCEDA","@ALEX_TOUUUUCEDA")</f>
        <v>@ALEX_TOUUUUCEDA</v>
      </c>
      <c r="C1080" s="8" t="s">
        <v>2933</v>
      </c>
      <c r="D1080" s="8" t="s">
        <v>2934</v>
      </c>
      <c r="E1080" s="9" t="str">
        <f aca="false">HYPERLINK("https://twitter.com/ALEX_TOUUUUCEDA/status/921998707930824704","921998707930824704")</f>
        <v>921998707930824704</v>
      </c>
      <c r="F1080" s="10" t="s">
        <v>60</v>
      </c>
      <c r="G1080" s="10" t="n">
        <v>1482</v>
      </c>
      <c r="H1080" s="10" t="n">
        <v>4911</v>
      </c>
      <c r="I1080" s="10" t="n">
        <v>0</v>
      </c>
      <c r="J1080" s="10" t="n">
        <v>0</v>
      </c>
      <c r="K1080" s="10" t="s">
        <v>20</v>
      </c>
      <c r="L1080" s="11" t="n">
        <v>41985.2148958333</v>
      </c>
      <c r="M1080" s="12" t="s">
        <v>2935</v>
      </c>
      <c r="N1080" s="12" t="s">
        <v>2936</v>
      </c>
      <c r="O1080" s="9" t="str">
        <f aca="false">HYPERLINK("https://pbs.twimg.com/profile_images/870652596805136384/zm0Vwv_B_normal.jpg","View")</f>
        <v>View</v>
      </c>
      <c r="P1080" s="10"/>
    </row>
    <row r="1081" customFormat="false" ht="15.75" hidden="false" customHeight="false" outlineLevel="0" collapsed="false">
      <c r="A1081" s="6" t="n">
        <v>43030.0125810185</v>
      </c>
      <c r="B1081" s="7" t="str">
        <f aca="false">HYPERLINK("https://twitter.com/iVoteForBest","@iVoteForBest")</f>
        <v>@iVoteForBest</v>
      </c>
      <c r="C1081" s="8" t="s">
        <v>58</v>
      </c>
      <c r="D1081" s="8" t="s">
        <v>2937</v>
      </c>
      <c r="E1081" s="9" t="str">
        <f aca="false">HYPERLINK("https://twitter.com/iVoteForBest/status/921999087490224131","921999087490224131")</f>
        <v>921999087490224131</v>
      </c>
      <c r="F1081" s="10" t="s">
        <v>60</v>
      </c>
      <c r="G1081" s="10" t="n">
        <v>4529</v>
      </c>
      <c r="H1081" s="10" t="n">
        <v>0</v>
      </c>
      <c r="I1081" s="10" t="n">
        <v>0</v>
      </c>
      <c r="J1081" s="10" t="n">
        <v>0</v>
      </c>
      <c r="K1081" s="10" t="s">
        <v>20</v>
      </c>
      <c r="L1081" s="11" t="n">
        <v>41732.0494444444</v>
      </c>
      <c r="M1081" s="12"/>
      <c r="N1081" s="12" t="s">
        <v>61</v>
      </c>
      <c r="O1081" s="9" t="str">
        <f aca="false">HYPERLINK("https://pbs.twimg.com/profile_images/858421579960639488/4Z7CW4j__normal.jpg","View")</f>
        <v>View</v>
      </c>
      <c r="P1081" s="10"/>
    </row>
    <row r="1082" customFormat="false" ht="15.75" hidden="false" customHeight="false" outlineLevel="0" collapsed="false">
      <c r="A1082" s="6" t="n">
        <v>43030.0134027778</v>
      </c>
      <c r="B1082" s="7" t="str">
        <f aca="false">HYPERLINK("https://twitter.com/AcheDinAaneWale","@AcheDinAaneWale")</f>
        <v>@AcheDinAaneWale</v>
      </c>
      <c r="C1082" s="8" t="s">
        <v>62</v>
      </c>
      <c r="D1082" s="8" t="s">
        <v>2938</v>
      </c>
      <c r="E1082" s="9" t="str">
        <f aca="false">HYPERLINK("https://twitter.com/AcheDinAaneWale/status/921999387093618688","921999387093618688")</f>
        <v>921999387093618688</v>
      </c>
      <c r="F1082" s="10" t="s">
        <v>60</v>
      </c>
      <c r="G1082" s="10" t="n">
        <v>5272</v>
      </c>
      <c r="H1082" s="10" t="n">
        <v>1963</v>
      </c>
      <c r="I1082" s="10" t="n">
        <v>0</v>
      </c>
      <c r="J1082" s="10" t="n">
        <v>0</v>
      </c>
      <c r="K1082" s="10" t="s">
        <v>20</v>
      </c>
      <c r="L1082" s="11" t="n">
        <v>41780.2063310185</v>
      </c>
      <c r="M1082" s="12" t="s">
        <v>64</v>
      </c>
      <c r="N1082" s="12" t="s">
        <v>65</v>
      </c>
      <c r="O1082" s="9" t="str">
        <f aca="false">HYPERLINK("https://pbs.twimg.com/profile_images/469240254461796352/nzfPG2gy_normal.jpeg","View")</f>
        <v>View</v>
      </c>
      <c r="P1082" s="10"/>
    </row>
    <row r="1083" customFormat="false" ht="15.75" hidden="false" customHeight="false" outlineLevel="0" collapsed="false">
      <c r="A1083" s="6" t="n">
        <v>43030.0152546296</v>
      </c>
      <c r="B1083" s="7" t="str">
        <f aca="false">HYPERLINK("https://twitter.com/sanjeevbui","@sanjeevbui")</f>
        <v>@sanjeevbui</v>
      </c>
      <c r="C1083" s="8" t="s">
        <v>2939</v>
      </c>
      <c r="D1083" s="8" t="s">
        <v>2924</v>
      </c>
      <c r="E1083" s="9" t="str">
        <f aca="false">HYPERLINK("https://twitter.com/sanjeevbui/status/922000058442223617","922000058442223617")</f>
        <v>922000058442223617</v>
      </c>
      <c r="F1083" s="10" t="s">
        <v>25</v>
      </c>
      <c r="G1083" s="10" t="n">
        <v>67</v>
      </c>
      <c r="H1083" s="10" t="n">
        <v>57</v>
      </c>
      <c r="I1083" s="10" t="n">
        <v>3</v>
      </c>
      <c r="J1083" s="10" t="n">
        <v>0</v>
      </c>
      <c r="K1083" s="10" t="s">
        <v>20</v>
      </c>
      <c r="L1083" s="11" t="n">
        <v>42354.7256712963</v>
      </c>
      <c r="M1083" s="12" t="s">
        <v>2940</v>
      </c>
      <c r="N1083" s="12" t="s">
        <v>2941</v>
      </c>
      <c r="O1083" s="9" t="str">
        <f aca="false">HYPERLINK("https://pbs.twimg.com/profile_images/677300500933414912/jZ49vwA3_normal.jpg","View")</f>
        <v>View</v>
      </c>
      <c r="P1083" s="10"/>
    </row>
    <row r="1084" customFormat="false" ht="15.75" hidden="false" customHeight="false" outlineLevel="0" collapsed="false">
      <c r="A1084" s="6" t="n">
        <v>43030.0168634259</v>
      </c>
      <c r="B1084" s="7" t="str">
        <f aca="false">HYPERLINK("https://twitter.com/HumanPluralist","@HumanPluralist")</f>
        <v>@HumanPluralist</v>
      </c>
      <c r="C1084" s="8" t="s">
        <v>2942</v>
      </c>
      <c r="D1084" s="8" t="s">
        <v>2943</v>
      </c>
      <c r="E1084" s="9" t="str">
        <f aca="false">HYPERLINK("https://twitter.com/HumanPluralist/status/922000642092224512","922000642092224512")</f>
        <v>922000642092224512</v>
      </c>
      <c r="F1084" s="10" t="s">
        <v>177</v>
      </c>
      <c r="G1084" s="10" t="n">
        <v>3040</v>
      </c>
      <c r="H1084" s="10" t="n">
        <v>4986</v>
      </c>
      <c r="I1084" s="10" t="n">
        <v>0</v>
      </c>
      <c r="J1084" s="10" t="n">
        <v>0</v>
      </c>
      <c r="K1084" s="10" t="s">
        <v>20</v>
      </c>
      <c r="L1084" s="11" t="n">
        <v>39922.3409606481</v>
      </c>
      <c r="M1084" s="12" t="s">
        <v>2944</v>
      </c>
      <c r="N1084" s="12" t="s">
        <v>2945</v>
      </c>
      <c r="O1084" s="9" t="str">
        <f aca="false">HYPERLINK("https://pbs.twimg.com/profile_images/709263009810653185/fTgiWkbh_normal.jpg","View")</f>
        <v>View</v>
      </c>
      <c r="P1084" s="10"/>
    </row>
    <row r="1085" customFormat="false" ht="15.75" hidden="false" customHeight="false" outlineLevel="0" collapsed="false">
      <c r="A1085" s="6" t="n">
        <v>43030.0172222222</v>
      </c>
      <c r="B1085" s="7" t="str">
        <f aca="false">HYPERLINK("https://twitter.com/sp1943893","@sp1943893")</f>
        <v>@sp1943893</v>
      </c>
      <c r="C1085" s="8" t="s">
        <v>2946</v>
      </c>
      <c r="D1085" s="8" t="s">
        <v>2947</v>
      </c>
      <c r="E1085" s="9" t="str">
        <f aca="false">HYPERLINK("https://twitter.com/sp1943893/status/922000769552969729","922000769552969729")</f>
        <v>922000769552969729</v>
      </c>
      <c r="F1085" s="10" t="s">
        <v>39</v>
      </c>
      <c r="G1085" s="10" t="n">
        <v>1375</v>
      </c>
      <c r="H1085" s="10" t="n">
        <v>4160</v>
      </c>
      <c r="I1085" s="10" t="n">
        <v>1</v>
      </c>
      <c r="J1085" s="10" t="n">
        <v>0</v>
      </c>
      <c r="K1085" s="10" t="s">
        <v>20</v>
      </c>
      <c r="L1085" s="11" t="n">
        <v>42534.8357060185</v>
      </c>
      <c r="M1085" s="12" t="s">
        <v>2948</v>
      </c>
      <c r="N1085" s="12" t="s">
        <v>2949</v>
      </c>
      <c r="O1085" s="9" t="str">
        <f aca="false">HYPERLINK("https://pbs.twimg.com/profile_images/744468008047771648/gVbXw8aH_normal.jpg","View")</f>
        <v>View</v>
      </c>
      <c r="P1085" s="10"/>
    </row>
    <row r="1086" customFormat="false" ht="15.75" hidden="false" customHeight="false" outlineLevel="0" collapsed="false">
      <c r="A1086" s="6" t="n">
        <v>43030.0206018519</v>
      </c>
      <c r="B1086" s="7" t="str">
        <f aca="false">HYPERLINK("https://twitter.com/Tonnie_Taller","@Tonnie_Taller")</f>
        <v>@Tonnie_Taller</v>
      </c>
      <c r="C1086" s="8" t="s">
        <v>2950</v>
      </c>
      <c r="D1086" s="8" t="s">
        <v>2951</v>
      </c>
      <c r="E1086" s="9" t="str">
        <f aca="false">HYPERLINK("https://twitter.com/Tonnie_Taller/status/922001994994380801","922001994994380801")</f>
        <v>922001994994380801</v>
      </c>
      <c r="F1086" s="9" t="s">
        <v>979</v>
      </c>
      <c r="G1086" s="10" t="n">
        <v>88</v>
      </c>
      <c r="H1086" s="10" t="n">
        <v>24</v>
      </c>
      <c r="I1086" s="10" t="n">
        <v>0</v>
      </c>
      <c r="J1086" s="10" t="n">
        <v>0</v>
      </c>
      <c r="K1086" s="10" t="s">
        <v>20</v>
      </c>
      <c r="L1086" s="11" t="n">
        <v>42157.6301041667</v>
      </c>
      <c r="M1086" s="12" t="s">
        <v>2952</v>
      </c>
      <c r="N1086" s="12" t="s">
        <v>2953</v>
      </c>
      <c r="O1086" s="9" t="str">
        <f aca="false">HYPERLINK("https://pbs.twimg.com/profile_images/920406032110800896/qImJj436_normal.jpg","View")</f>
        <v>View</v>
      </c>
      <c r="P1086" s="10"/>
    </row>
    <row r="1087" customFormat="false" ht="15.75" hidden="false" customHeight="false" outlineLevel="0" collapsed="false">
      <c r="A1087" s="6" t="n">
        <v>43030.0219791667</v>
      </c>
      <c r="B1087" s="7" t="str">
        <f aca="false">HYPERLINK("https://twitter.com/JoScoMac","@JoScoMac")</f>
        <v>@JoScoMac</v>
      </c>
      <c r="C1087" s="8" t="s">
        <v>192</v>
      </c>
      <c r="D1087" s="8" t="s">
        <v>2954</v>
      </c>
      <c r="E1087" s="9" t="str">
        <f aca="false">HYPERLINK("https://twitter.com/JoScoMac/status/922002495785771008","922002495785771008")</f>
        <v>922002495785771008</v>
      </c>
      <c r="F1087" s="10" t="s">
        <v>25</v>
      </c>
      <c r="G1087" s="10" t="n">
        <v>1948</v>
      </c>
      <c r="H1087" s="10" t="n">
        <v>2263</v>
      </c>
      <c r="I1087" s="10" t="n">
        <v>0</v>
      </c>
      <c r="J1087" s="10" t="n">
        <v>0</v>
      </c>
      <c r="K1087" s="10" t="s">
        <v>20</v>
      </c>
      <c r="L1087" s="11" t="n">
        <v>40555.0766898148</v>
      </c>
      <c r="M1087" s="12" t="s">
        <v>194</v>
      </c>
      <c r="N1087" s="12" t="s">
        <v>195</v>
      </c>
      <c r="O1087" s="9" t="str">
        <f aca="false">HYPERLINK("https://pbs.twimg.com/profile_images/459610975709044736/QNkUQK-a_normal.jpeg","View")</f>
        <v>View</v>
      </c>
      <c r="P1087" s="10"/>
    </row>
    <row r="1088" customFormat="false" ht="15.75" hidden="false" customHeight="false" outlineLevel="0" collapsed="false">
      <c r="A1088" s="6" t="n">
        <v>43030.0220949074</v>
      </c>
      <c r="B1088" s="7" t="str">
        <f aca="false">HYPERLINK("https://twitter.com/GeraldineKestn2","@GeraldineKestn2")</f>
        <v>@GeraldineKestn2</v>
      </c>
      <c r="C1088" s="8" t="s">
        <v>2955</v>
      </c>
      <c r="D1088" s="8" t="s">
        <v>2956</v>
      </c>
      <c r="E1088" s="9" t="str">
        <f aca="false">HYPERLINK("https://twitter.com/GeraldineKestn2/status/922002537544220672","922002537544220672")</f>
        <v>922002537544220672</v>
      </c>
      <c r="F1088" s="10" t="s">
        <v>25</v>
      </c>
      <c r="G1088" s="10" t="n">
        <v>4344</v>
      </c>
      <c r="H1088" s="10" t="n">
        <v>4374</v>
      </c>
      <c r="I1088" s="10" t="n">
        <v>1</v>
      </c>
      <c r="J1088" s="10" t="n">
        <v>0</v>
      </c>
      <c r="K1088" s="10" t="s">
        <v>20</v>
      </c>
      <c r="L1088" s="11" t="n">
        <v>42715.7886689815</v>
      </c>
      <c r="M1088" s="12" t="s">
        <v>2957</v>
      </c>
      <c r="N1088" s="12" t="s">
        <v>2958</v>
      </c>
      <c r="O1088" s="9" t="str">
        <f aca="false">HYPERLINK("https://pbs.twimg.com/profile_images/923067683083501569/xxMZgE5G_normal.jpg","View")</f>
        <v>View</v>
      </c>
      <c r="P1088" s="10"/>
    </row>
    <row r="1089" customFormat="false" ht="15.75" hidden="false" customHeight="false" outlineLevel="0" collapsed="false">
      <c r="A1089" s="6" t="n">
        <v>43030.0245833333</v>
      </c>
      <c r="B1089" s="7" t="str">
        <f aca="false">HYPERLINK("https://twitter.com/Tonnie_Taller","@Tonnie_Taller")</f>
        <v>@Tonnie_Taller</v>
      </c>
      <c r="C1089" s="8" t="s">
        <v>2950</v>
      </c>
      <c r="D1089" s="8" t="s">
        <v>2959</v>
      </c>
      <c r="E1089" s="9" t="str">
        <f aca="false">HYPERLINK("https://twitter.com/Tonnie_Taller/status/922003439277789189","922003439277789189")</f>
        <v>922003439277789189</v>
      </c>
      <c r="F1089" s="10" t="s">
        <v>60</v>
      </c>
      <c r="G1089" s="10" t="n">
        <v>88</v>
      </c>
      <c r="H1089" s="10" t="n">
        <v>24</v>
      </c>
      <c r="I1089" s="10" t="n">
        <v>0</v>
      </c>
      <c r="J1089" s="10" t="n">
        <v>0</v>
      </c>
      <c r="K1089" s="10" t="s">
        <v>20</v>
      </c>
      <c r="L1089" s="11" t="n">
        <v>42157.6301041667</v>
      </c>
      <c r="M1089" s="12" t="s">
        <v>2952</v>
      </c>
      <c r="N1089" s="12" t="s">
        <v>2953</v>
      </c>
      <c r="O1089" s="9" t="str">
        <f aca="false">HYPERLINK("https://pbs.twimg.com/profile_images/920406032110800896/qImJj436_normal.jpg","View")</f>
        <v>View</v>
      </c>
      <c r="P1089" s="10"/>
    </row>
    <row r="1090" customFormat="false" ht="15.75" hidden="false" customHeight="false" outlineLevel="0" collapsed="false">
      <c r="A1090" s="6" t="n">
        <v>43030.0278009259</v>
      </c>
      <c r="B1090" s="7" t="str">
        <f aca="false">HYPERLINK("https://twitter.com/gatherdom","@gatherdom")</f>
        <v>@gatherdom</v>
      </c>
      <c r="C1090" s="7" t="s">
        <v>2960</v>
      </c>
      <c r="D1090" s="8" t="s">
        <v>2961</v>
      </c>
      <c r="E1090" s="9" t="str">
        <f aca="false">HYPERLINK("https://twitter.com/gatherdom/status/922004605960994816","922004605960994816")</f>
        <v>922004605960994816</v>
      </c>
      <c r="F1090" s="9" t="s">
        <v>2919</v>
      </c>
      <c r="G1090" s="10" t="n">
        <v>1034</v>
      </c>
      <c r="H1090" s="10" t="n">
        <v>592</v>
      </c>
      <c r="I1090" s="10" t="n">
        <v>0</v>
      </c>
      <c r="J1090" s="10" t="n">
        <v>0</v>
      </c>
      <c r="K1090" s="10" t="s">
        <v>20</v>
      </c>
      <c r="L1090" s="11" t="n">
        <v>42089.2912847222</v>
      </c>
      <c r="M1090" s="12" t="s">
        <v>2962</v>
      </c>
      <c r="N1090" s="12" t="s">
        <v>2963</v>
      </c>
      <c r="O1090" s="9" t="str">
        <f aca="false">HYPERLINK("https://pbs.twimg.com/profile_images/586909047552679937/txf3XWwp_normal.png","View")</f>
        <v>View</v>
      </c>
      <c r="P1090" s="10"/>
    </row>
    <row r="1091" customFormat="false" ht="15.75" hidden="false" customHeight="false" outlineLevel="0" collapsed="false">
      <c r="A1091" s="6" t="n">
        <v>43030.0278819444</v>
      </c>
      <c r="B1091" s="7" t="str">
        <f aca="false">HYPERLINK("https://twitter.com/rich_noah","@rich_noah")</f>
        <v>@rich_noah</v>
      </c>
      <c r="C1091" s="8" t="s">
        <v>2964</v>
      </c>
      <c r="D1091" s="8" t="s">
        <v>2339</v>
      </c>
      <c r="E1091" s="9" t="str">
        <f aca="false">HYPERLINK("https://twitter.com/rich_noah/status/922004632506810368","922004632506810368")</f>
        <v>922004632506810368</v>
      </c>
      <c r="F1091" s="10" t="s">
        <v>51</v>
      </c>
      <c r="G1091" s="10" t="n">
        <v>452</v>
      </c>
      <c r="H1091" s="10" t="n">
        <v>284</v>
      </c>
      <c r="I1091" s="10" t="n">
        <v>51</v>
      </c>
      <c r="J1091" s="10" t="n">
        <v>0</v>
      </c>
      <c r="K1091" s="10" t="s">
        <v>20</v>
      </c>
      <c r="L1091" s="11" t="n">
        <v>40787.8951851852</v>
      </c>
      <c r="M1091" s="12" t="s">
        <v>2965</v>
      </c>
      <c r="N1091" s="12" t="s">
        <v>2966</v>
      </c>
      <c r="O1091" s="9" t="str">
        <f aca="false">HYPERLINK("https://pbs.twimg.com/profile_images/899935433936715776/qQuh7I-r_normal.jpg","View")</f>
        <v>View</v>
      </c>
      <c r="P1091" s="10"/>
    </row>
    <row r="1092" customFormat="false" ht="15.75" hidden="false" customHeight="false" outlineLevel="0" collapsed="false">
      <c r="A1092" s="6" t="n">
        <v>43030.0293055556</v>
      </c>
      <c r="B1092" s="7" t="str">
        <f aca="false">HYPERLINK("https://twitter.com/lynn_weiser","@lynn_weiser")</f>
        <v>@lynn_weiser</v>
      </c>
      <c r="C1092" s="8" t="s">
        <v>2967</v>
      </c>
      <c r="D1092" s="8" t="s">
        <v>2968</v>
      </c>
      <c r="E1092" s="9" t="str">
        <f aca="false">HYPERLINK("https://twitter.com/lynn_weiser/status/922005150545281026","922005150545281026")</f>
        <v>922005150545281026</v>
      </c>
      <c r="F1092" s="10" t="s">
        <v>51</v>
      </c>
      <c r="G1092" s="10" t="n">
        <v>18348</v>
      </c>
      <c r="H1092" s="10" t="n">
        <v>18790</v>
      </c>
      <c r="I1092" s="10" t="n">
        <v>1</v>
      </c>
      <c r="J1092" s="10" t="n">
        <v>0</v>
      </c>
      <c r="K1092" s="10" t="s">
        <v>20</v>
      </c>
      <c r="L1092" s="11" t="n">
        <v>42049.8475115741</v>
      </c>
      <c r="M1092" s="12" t="s">
        <v>230</v>
      </c>
      <c r="N1092" s="12" t="s">
        <v>2969</v>
      </c>
      <c r="O1092" s="9" t="str">
        <f aca="false">HYPERLINK("https://pbs.twimg.com/profile_images/797163183916007425/1bJqzh16_normal.jpg","View")</f>
        <v>View</v>
      </c>
      <c r="P1092" s="10"/>
    </row>
    <row r="1093" customFormat="false" ht="15.75" hidden="false" customHeight="false" outlineLevel="0" collapsed="false">
      <c r="A1093" s="6" t="n">
        <v>43030.0300694444</v>
      </c>
      <c r="B1093" s="7" t="str">
        <f aca="false">HYPERLINK("https://twitter.com/WWE_Wrestling0","@WWE_Wrestling0")</f>
        <v>@WWE_Wrestling0</v>
      </c>
      <c r="C1093" s="8" t="s">
        <v>2970</v>
      </c>
      <c r="D1093" s="8" t="s">
        <v>2971</v>
      </c>
      <c r="E1093" s="9" t="str">
        <f aca="false">HYPERLINK("https://twitter.com/WWE_Wrestling0/status/922005427323396096","922005427323396096")</f>
        <v>922005427323396096</v>
      </c>
      <c r="F1093" s="10" t="s">
        <v>60</v>
      </c>
      <c r="G1093" s="10" t="n">
        <v>1212</v>
      </c>
      <c r="H1093" s="10" t="n">
        <v>461</v>
      </c>
      <c r="I1093" s="10" t="n">
        <v>0</v>
      </c>
      <c r="J1093" s="10" t="n">
        <v>0</v>
      </c>
      <c r="K1093" s="10" t="s">
        <v>20</v>
      </c>
      <c r="L1093" s="11" t="n">
        <v>42183.4060648148</v>
      </c>
      <c r="M1093" s="12"/>
      <c r="N1093" s="12" t="s">
        <v>2972</v>
      </c>
      <c r="O1093" s="9" t="str">
        <f aca="false">HYPERLINK("https://pbs.twimg.com/profile_images/831000620010123264/fZGGybs7_normal.jpg","View")</f>
        <v>View</v>
      </c>
      <c r="P1093" s="10"/>
    </row>
    <row r="1094" customFormat="false" ht="15.75" hidden="false" customHeight="false" outlineLevel="0" collapsed="false">
      <c r="A1094" s="6" t="n">
        <v>43030.0306365741</v>
      </c>
      <c r="B1094" s="7" t="str">
        <f aca="false">HYPERLINK("https://twitter.com/EtsyDah","@EtsyDah")</f>
        <v>@EtsyDah</v>
      </c>
      <c r="C1094" s="8" t="s">
        <v>2973</v>
      </c>
      <c r="D1094" s="8" t="s">
        <v>2339</v>
      </c>
      <c r="E1094" s="9" t="str">
        <f aca="false">HYPERLINK("https://twitter.com/EtsyDah/status/922005633636843521","922005633636843521")</f>
        <v>922005633636843521</v>
      </c>
      <c r="F1094" s="10" t="s">
        <v>51</v>
      </c>
      <c r="G1094" s="10" t="n">
        <v>57</v>
      </c>
      <c r="H1094" s="10" t="n">
        <v>169</v>
      </c>
      <c r="I1094" s="10" t="n">
        <v>51</v>
      </c>
      <c r="J1094" s="10" t="n">
        <v>0</v>
      </c>
      <c r="K1094" s="10" t="s">
        <v>20</v>
      </c>
      <c r="L1094" s="11" t="n">
        <v>41568.8445601852</v>
      </c>
      <c r="M1094" s="12"/>
      <c r="N1094" s="12"/>
      <c r="O1094" s="9" t="str">
        <f aca="false">HYPERLINK("https://pbs.twimg.com/profile_images/675302065527099392/dMIxFMKR_normal.jpg","View")</f>
        <v>View</v>
      </c>
      <c r="P1094" s="10"/>
    </row>
    <row r="1095" customFormat="false" ht="15.75" hidden="false" customHeight="false" outlineLevel="0" collapsed="false">
      <c r="A1095" s="6" t="n">
        <v>43030.0311226852</v>
      </c>
      <c r="B1095" s="7" t="str">
        <f aca="false">HYPERLINK("https://twitter.com/bpolitics","@bpolitics")</f>
        <v>@bpolitics</v>
      </c>
      <c r="C1095" s="8" t="s">
        <v>266</v>
      </c>
      <c r="D1095" s="8" t="s">
        <v>2974</v>
      </c>
      <c r="E1095" s="9" t="str">
        <f aca="false">HYPERLINK("https://twitter.com/bpolitics/status/922005809063776256","922005809063776256")</f>
        <v>922005809063776256</v>
      </c>
      <c r="F1095" s="10" t="s">
        <v>268</v>
      </c>
      <c r="G1095" s="10" t="n">
        <v>221392</v>
      </c>
      <c r="H1095" s="10" t="n">
        <v>868</v>
      </c>
      <c r="I1095" s="10" t="n">
        <v>2</v>
      </c>
      <c r="J1095" s="10" t="n">
        <v>2</v>
      </c>
      <c r="K1095" s="10" t="s">
        <v>20</v>
      </c>
      <c r="L1095" s="11" t="n">
        <v>41025.576400463</v>
      </c>
      <c r="M1095" s="12"/>
      <c r="N1095" s="12" t="s">
        <v>269</v>
      </c>
      <c r="O1095" s="9" t="str">
        <f aca="false">HYPERLINK("https://pbs.twimg.com/profile_images/714804098890133504/cUO4gD1A_normal.jpg","View")</f>
        <v>View</v>
      </c>
      <c r="P1095" s="10"/>
    </row>
    <row r="1096" customFormat="false" ht="15.75" hidden="false" customHeight="false" outlineLevel="0" collapsed="false">
      <c r="A1096" s="6" t="n">
        <v>43030.0324884259</v>
      </c>
      <c r="B1096" s="7" t="str">
        <f aca="false">HYPERLINK("https://twitter.com/Mondestuff","@Mondestuff")</f>
        <v>@Mondestuff</v>
      </c>
      <c r="C1096" s="8" t="s">
        <v>2975</v>
      </c>
      <c r="D1096" s="8" t="s">
        <v>2976</v>
      </c>
      <c r="E1096" s="9" t="str">
        <f aca="false">HYPERLINK("https://twitter.com/Mondestuff/status/922006303274389504","922006303274389504")</f>
        <v>922006303274389504</v>
      </c>
      <c r="F1096" s="10" t="s">
        <v>60</v>
      </c>
      <c r="G1096" s="10" t="n">
        <v>333</v>
      </c>
      <c r="H1096" s="10" t="n">
        <v>1780</v>
      </c>
      <c r="I1096" s="10" t="n">
        <v>0</v>
      </c>
      <c r="J1096" s="10" t="n">
        <v>0</v>
      </c>
      <c r="K1096" s="10" t="s">
        <v>20</v>
      </c>
      <c r="L1096" s="11" t="n">
        <v>42379.9227199074</v>
      </c>
      <c r="M1096" s="12"/>
      <c r="N1096" s="12"/>
      <c r="O1096" s="9" t="str">
        <f aca="false">HYPERLINK("https://pbs.twimg.com/profile_images/914202709212975104/aDTP0-5n_normal.jpg","View")</f>
        <v>View</v>
      </c>
      <c r="P1096" s="10"/>
    </row>
    <row r="1097" customFormat="false" ht="15.75" hidden="false" customHeight="false" outlineLevel="0" collapsed="false">
      <c r="A1097" s="6" t="n">
        <v>43030.0333796296</v>
      </c>
      <c r="B1097" s="7" t="str">
        <f aca="false">HYPERLINK("https://twitter.com/haroonrazalive","@haroonrazalive")</f>
        <v>@haroonrazalive</v>
      </c>
      <c r="C1097" s="8" t="s">
        <v>2977</v>
      </c>
      <c r="D1097" s="8" t="s">
        <v>2978</v>
      </c>
      <c r="E1097" s="9" t="str">
        <f aca="false">HYPERLINK("https://twitter.com/haroonrazalive/status/922006625975709697","922006625975709697")</f>
        <v>922006625975709697</v>
      </c>
      <c r="F1097" s="10" t="s">
        <v>25</v>
      </c>
      <c r="G1097" s="10" t="n">
        <v>418</v>
      </c>
      <c r="H1097" s="10" t="n">
        <v>4980</v>
      </c>
      <c r="I1097" s="10" t="n">
        <v>2</v>
      </c>
      <c r="J1097" s="10" t="n">
        <v>0</v>
      </c>
      <c r="K1097" s="10" t="s">
        <v>20</v>
      </c>
      <c r="L1097" s="11" t="n">
        <v>42357.7978009259</v>
      </c>
      <c r="M1097" s="12" t="s">
        <v>2979</v>
      </c>
      <c r="N1097" s="12" t="s">
        <v>2980</v>
      </c>
      <c r="O1097" s="9" t="str">
        <f aca="false">HYPERLINK("https://pbs.twimg.com/profile_images/921394674778165248/c9iShC-t_normal.jpg","View")</f>
        <v>View</v>
      </c>
      <c r="P1097" s="10"/>
    </row>
    <row r="1098" customFormat="false" ht="15.75" hidden="false" customHeight="false" outlineLevel="0" collapsed="false">
      <c r="A1098" s="6" t="n">
        <v>43030.0366898148</v>
      </c>
      <c r="B1098" s="7" t="str">
        <f aca="false">HYPERLINK("https://twitter.com/eigo00001","@eigo00001")</f>
        <v>@eigo00001</v>
      </c>
      <c r="C1098" s="8" t="s">
        <v>2981</v>
      </c>
      <c r="D1098" s="14" t="s">
        <v>2982</v>
      </c>
      <c r="E1098" s="9" t="str">
        <f aca="false">HYPERLINK("https://twitter.com/eigo00001/status/922007826788073472","922007826788073472")</f>
        <v>922007826788073472</v>
      </c>
      <c r="F1098" s="10" t="s">
        <v>39</v>
      </c>
      <c r="G1098" s="10" t="n">
        <v>354</v>
      </c>
      <c r="H1098" s="10" t="n">
        <v>869</v>
      </c>
      <c r="I1098" s="10" t="n">
        <v>0</v>
      </c>
      <c r="J1098" s="10" t="n">
        <v>0</v>
      </c>
      <c r="K1098" s="10" t="s">
        <v>20</v>
      </c>
      <c r="L1098" s="11" t="n">
        <v>40765.2395138889</v>
      </c>
      <c r="M1098" s="12" t="s">
        <v>2983</v>
      </c>
      <c r="N1098" s="12" t="s">
        <v>2984</v>
      </c>
      <c r="O1098" s="9" t="str">
        <f aca="false">HYPERLINK("https://pbs.twimg.com/profile_images/912724625158582272/zoZtqV9b_normal.jpg","View")</f>
        <v>View</v>
      </c>
      <c r="P1098" s="10"/>
    </row>
    <row r="1099" customFormat="false" ht="15.75" hidden="false" customHeight="false" outlineLevel="0" collapsed="false">
      <c r="A1099" s="6" t="n">
        <v>43030.0394328704</v>
      </c>
      <c r="B1099" s="7" t="str">
        <f aca="false">HYPERLINK("https://twitter.com/revolution_fr","@revolution_fr")</f>
        <v>@revolution_fr</v>
      </c>
      <c r="C1099" s="8" t="s">
        <v>1579</v>
      </c>
      <c r="D1099" s="8" t="s">
        <v>2978</v>
      </c>
      <c r="E1099" s="9" t="str">
        <f aca="false">HYPERLINK("https://twitter.com/revolution_fr/status/922008821500964865","922008821500964865")</f>
        <v>922008821500964865</v>
      </c>
      <c r="F1099" s="10" t="s">
        <v>98</v>
      </c>
      <c r="G1099" s="10" t="n">
        <v>2663</v>
      </c>
      <c r="H1099" s="10" t="n">
        <v>3625</v>
      </c>
      <c r="I1099" s="10" t="n">
        <v>2</v>
      </c>
      <c r="J1099" s="10" t="n">
        <v>0</v>
      </c>
      <c r="K1099" s="10" t="s">
        <v>20</v>
      </c>
      <c r="L1099" s="11" t="n">
        <v>42400.3124305556</v>
      </c>
      <c r="M1099" s="12" t="s">
        <v>1580</v>
      </c>
      <c r="N1099" s="12" t="s">
        <v>1581</v>
      </c>
      <c r="O1099" s="9" t="str">
        <f aca="false">HYPERLINK("https://pbs.twimg.com/profile_images/912005330749575173/gmtBFZtv_normal.jpg","View")</f>
        <v>View</v>
      </c>
      <c r="P1099" s="10"/>
    </row>
    <row r="1100" customFormat="false" ht="15.75" hidden="false" customHeight="false" outlineLevel="0" collapsed="false">
      <c r="A1100" s="6" t="n">
        <v>43030.0406597222</v>
      </c>
      <c r="B1100" s="7" t="str">
        <f aca="false">HYPERLINK("https://twitter.com/TimesofNews","@TimesofNews")</f>
        <v>@TimesofNews</v>
      </c>
      <c r="C1100" s="8" t="s">
        <v>2896</v>
      </c>
      <c r="D1100" s="8" t="s">
        <v>2985</v>
      </c>
      <c r="E1100" s="9" t="str">
        <f aca="false">HYPERLINK("https://twitter.com/TimesofNews/status/922009265090461696","922009265090461696")</f>
        <v>922009265090461696</v>
      </c>
      <c r="F1100" s="10" t="s">
        <v>2986</v>
      </c>
      <c r="G1100" s="10" t="n">
        <v>1145</v>
      </c>
      <c r="H1100" s="10" t="n">
        <v>129</v>
      </c>
      <c r="I1100" s="10" t="n">
        <v>0</v>
      </c>
      <c r="J1100" s="10" t="n">
        <v>0</v>
      </c>
      <c r="K1100" s="10" t="s">
        <v>20</v>
      </c>
      <c r="L1100" s="11" t="n">
        <v>40978.118287037</v>
      </c>
      <c r="M1100" s="12"/>
      <c r="N1100" s="12" t="s">
        <v>2899</v>
      </c>
      <c r="O1100" s="9" t="str">
        <f aca="false">HYPERLINK("https://pbs.twimg.com/profile_images/458022872024223744/GKx5zsNw_normal.png","View")</f>
        <v>View</v>
      </c>
      <c r="P1100" s="10"/>
    </row>
    <row r="1101" customFormat="false" ht="15.75" hidden="false" customHeight="false" outlineLevel="0" collapsed="false">
      <c r="A1101" s="6" t="n">
        <v>43030.0422569445</v>
      </c>
      <c r="B1101" s="7" t="str">
        <f aca="false">HYPERLINK("https://twitter.com/ZyiteGadgets","@ZyiteGadgets")</f>
        <v>@ZyiteGadgets</v>
      </c>
      <c r="C1101" s="8" t="s">
        <v>171</v>
      </c>
      <c r="D1101" s="8" t="s">
        <v>2987</v>
      </c>
      <c r="E1101" s="9" t="str">
        <f aca="false">HYPERLINK("https://twitter.com/ZyiteGadgets/status/922009841664692224","922009841664692224")</f>
        <v>922009841664692224</v>
      </c>
      <c r="F1101" s="10" t="s">
        <v>110</v>
      </c>
      <c r="G1101" s="10" t="n">
        <v>3542</v>
      </c>
      <c r="H1101" s="10" t="n">
        <v>4844</v>
      </c>
      <c r="I1101" s="10" t="n">
        <v>0</v>
      </c>
      <c r="J1101" s="10" t="n">
        <v>0</v>
      </c>
      <c r="K1101" s="10" t="s">
        <v>20</v>
      </c>
      <c r="L1101" s="11" t="n">
        <v>41470.6147800926</v>
      </c>
      <c r="M1101" s="15" t="s">
        <v>173</v>
      </c>
      <c r="N1101" s="12" t="s">
        <v>174</v>
      </c>
      <c r="O1101" s="9" t="str">
        <f aca="false">HYPERLINK("https://pbs.twimg.com/profile_images/487701633489313793/pIxJHFt5_normal.jpeg","View")</f>
        <v>View</v>
      </c>
      <c r="P1101" s="10"/>
    </row>
    <row r="1102" customFormat="false" ht="15.75" hidden="false" customHeight="false" outlineLevel="0" collapsed="false">
      <c r="A1102" s="6" t="n">
        <v>43030.043125</v>
      </c>
      <c r="B1102" s="7" t="str">
        <f aca="false">HYPERLINK("https://twitter.com/mentallion","@mentallion")</f>
        <v>@mentallion</v>
      </c>
      <c r="C1102" s="8" t="s">
        <v>2988</v>
      </c>
      <c r="D1102" s="8" t="s">
        <v>2989</v>
      </c>
      <c r="E1102" s="9" t="str">
        <f aca="false">HYPERLINK("https://twitter.com/mentallion/status/922010160326836224","922010160326836224")</f>
        <v>922010160326836224</v>
      </c>
      <c r="F1102" s="9" t="s">
        <v>1147</v>
      </c>
      <c r="G1102" s="10" t="n">
        <v>8830</v>
      </c>
      <c r="H1102" s="10" t="n">
        <v>8664</v>
      </c>
      <c r="I1102" s="10" t="n">
        <v>0</v>
      </c>
      <c r="J1102" s="10" t="n">
        <v>0</v>
      </c>
      <c r="K1102" s="10" t="s">
        <v>20</v>
      </c>
      <c r="L1102" s="11" t="n">
        <v>40591.4424421296</v>
      </c>
      <c r="M1102" s="12" t="s">
        <v>2990</v>
      </c>
      <c r="N1102" s="12" t="s">
        <v>2991</v>
      </c>
      <c r="O1102" s="9" t="str">
        <f aca="false">HYPERLINK("https://pbs.twimg.com/profile_images/797850087867023360/RxaGDAoh_normal.jpg","View")</f>
        <v>View</v>
      </c>
      <c r="P1102" s="10"/>
    </row>
    <row r="1103" customFormat="false" ht="15.75" hidden="false" customHeight="false" outlineLevel="0" collapsed="false">
      <c r="A1103" s="6" t="n">
        <v>43030.0445023148</v>
      </c>
      <c r="B1103" s="7" t="str">
        <f aca="false">HYPERLINK("https://twitter.com/kuwaity20152015","@kuwaity20152015")</f>
        <v>@kuwaity20152015</v>
      </c>
      <c r="C1103" s="8" t="s">
        <v>2992</v>
      </c>
      <c r="D1103" s="8" t="s">
        <v>2993</v>
      </c>
      <c r="E1103" s="9" t="str">
        <f aca="false">HYPERLINK("https://twitter.com/kuwaity20152015/status/922010656521388032","922010656521388032")</f>
        <v>922010656521388032</v>
      </c>
      <c r="F1103" s="9" t="s">
        <v>1147</v>
      </c>
      <c r="G1103" s="10" t="n">
        <v>258</v>
      </c>
      <c r="H1103" s="10" t="n">
        <v>272</v>
      </c>
      <c r="I1103" s="10" t="n">
        <v>0</v>
      </c>
      <c r="J1103" s="10" t="n">
        <v>0</v>
      </c>
      <c r="K1103" s="10" t="s">
        <v>20</v>
      </c>
      <c r="L1103" s="11" t="n">
        <v>42444.5276736111</v>
      </c>
      <c r="M1103" s="12"/>
      <c r="N1103" s="12" t="s">
        <v>2994</v>
      </c>
      <c r="O1103" s="9" t="str">
        <f aca="false">HYPERLINK("https://pbs.twimg.com/profile_images/859821490769932290/zpCgrxMh_normal.jpg","View")</f>
        <v>View</v>
      </c>
      <c r="P1103" s="10"/>
    </row>
    <row r="1104" customFormat="false" ht="15.75" hidden="false" customHeight="false" outlineLevel="0" collapsed="false">
      <c r="A1104" s="6" t="n">
        <v>43030.0453819444</v>
      </c>
      <c r="B1104" s="7" t="str">
        <f aca="false">HYPERLINK("https://twitter.com/weekendround","@weekendround")</f>
        <v>@weekendround</v>
      </c>
      <c r="C1104" s="8" t="s">
        <v>1767</v>
      </c>
      <c r="D1104" s="8" t="s">
        <v>2995</v>
      </c>
      <c r="E1104" s="9" t="str">
        <f aca="false">HYPERLINK("https://twitter.com/weekendround/status/922010974521085953","922010974521085953")</f>
        <v>922010974521085953</v>
      </c>
      <c r="F1104" s="10" t="s">
        <v>60</v>
      </c>
      <c r="G1104" s="10" t="n">
        <v>6540</v>
      </c>
      <c r="H1104" s="10" t="n">
        <v>6078</v>
      </c>
      <c r="I1104" s="10" t="n">
        <v>0</v>
      </c>
      <c r="J1104" s="10" t="n">
        <v>0</v>
      </c>
      <c r="K1104" s="10" t="s">
        <v>20</v>
      </c>
      <c r="L1104" s="11" t="n">
        <v>41593.6301041667</v>
      </c>
      <c r="M1104" s="12"/>
      <c r="N1104" s="12" t="s">
        <v>1769</v>
      </c>
      <c r="O1104" s="9" t="str">
        <f aca="false">HYPERLINK("https://pbs.twimg.com/profile_images/378800000744715106/86856bd4709b9effd110ed695c905efc_normal.jpeg","View")</f>
        <v>View</v>
      </c>
      <c r="P1104" s="10"/>
    </row>
    <row r="1105" customFormat="false" ht="15.75" hidden="false" customHeight="false" outlineLevel="0" collapsed="false">
      <c r="A1105" s="6" t="n">
        <v>43030.0460532408</v>
      </c>
      <c r="B1105" s="7" t="str">
        <f aca="false">HYPERLINK("https://twitter.com/3NovicesEU","@3NovicesEU")</f>
        <v>@3NovicesEU</v>
      </c>
      <c r="C1105" s="8" t="s">
        <v>2996</v>
      </c>
      <c r="D1105" s="8" t="s">
        <v>2997</v>
      </c>
      <c r="E1105" s="9" t="str">
        <f aca="false">HYPERLINK("https://twitter.com/3NovicesEU/status/922011220718313472","922011220718313472")</f>
        <v>922011220718313472</v>
      </c>
      <c r="F1105" s="10" t="s">
        <v>60</v>
      </c>
      <c r="G1105" s="10" t="n">
        <v>377</v>
      </c>
      <c r="H1105" s="10" t="n">
        <v>633</v>
      </c>
      <c r="I1105" s="10" t="n">
        <v>0</v>
      </c>
      <c r="J1105" s="10" t="n">
        <v>0</v>
      </c>
      <c r="K1105" s="10" t="s">
        <v>20</v>
      </c>
      <c r="L1105" s="11" t="n">
        <v>42275.8468518519</v>
      </c>
      <c r="M1105" s="12" t="s">
        <v>1635</v>
      </c>
      <c r="N1105" s="12" t="s">
        <v>2998</v>
      </c>
      <c r="O1105" s="9" t="str">
        <f aca="false">HYPERLINK("https://pbs.twimg.com/profile_images/648699070412775424/q--vQwCk_normal.jpg","View")</f>
        <v>View</v>
      </c>
      <c r="P1105" s="10"/>
    </row>
    <row r="1106" customFormat="false" ht="15.75" hidden="false" customHeight="false" outlineLevel="0" collapsed="false">
      <c r="A1106" s="6" t="n">
        <v>43030.0460532408</v>
      </c>
      <c r="B1106" s="7" t="str">
        <f aca="false">HYPERLINK("https://twitter.com/France24_en","@France24_en")</f>
        <v>@France24_en</v>
      </c>
      <c r="C1106" s="8" t="s">
        <v>1809</v>
      </c>
      <c r="D1106" s="8" t="s">
        <v>2999</v>
      </c>
      <c r="E1106" s="9" t="str">
        <f aca="false">HYPERLINK("https://twitter.com/France24_en/status/922011220739211264","922011220739211264")</f>
        <v>922011220739211264</v>
      </c>
      <c r="F1106" s="9" t="s">
        <v>1147</v>
      </c>
      <c r="G1106" s="10" t="n">
        <v>179968</v>
      </c>
      <c r="H1106" s="10" t="n">
        <v>1196</v>
      </c>
      <c r="I1106" s="10" t="n">
        <v>4</v>
      </c>
      <c r="J1106" s="10" t="n">
        <v>3</v>
      </c>
      <c r="K1106" s="10" t="s">
        <v>20</v>
      </c>
      <c r="L1106" s="11" t="n">
        <v>39890.0992361111</v>
      </c>
      <c r="M1106" s="12" t="s">
        <v>1754</v>
      </c>
      <c r="N1106" s="12" t="s">
        <v>1811</v>
      </c>
      <c r="O1106" s="9" t="str">
        <f aca="false">HYPERLINK("https://pbs.twimg.com/profile_images/875653339530182656/LJAMkNY5_normal.jpg","View")</f>
        <v>View</v>
      </c>
      <c r="P1106" s="10"/>
    </row>
    <row r="1107" customFormat="false" ht="15.75" hidden="false" customHeight="false" outlineLevel="0" collapsed="false">
      <c r="A1107" s="6" t="n">
        <v>43030.0468402778</v>
      </c>
      <c r="B1107" s="7" t="str">
        <f aca="false">HYPERLINK("https://twitter.com/neiljohnsonza","@neiljohnsonza")</f>
        <v>@neiljohnsonza</v>
      </c>
      <c r="C1107" s="8" t="s">
        <v>3000</v>
      </c>
      <c r="D1107" s="8" t="s">
        <v>3001</v>
      </c>
      <c r="E1107" s="9" t="str">
        <f aca="false">HYPERLINK("https://twitter.com/neiljohnsonza/status/922011504345538560","922011504345538560")</f>
        <v>922011504345538560</v>
      </c>
      <c r="F1107" s="10" t="s">
        <v>39</v>
      </c>
      <c r="G1107" s="10" t="n">
        <v>1390</v>
      </c>
      <c r="H1107" s="10" t="n">
        <v>1003</v>
      </c>
      <c r="I1107" s="10" t="n">
        <v>0</v>
      </c>
      <c r="J1107" s="10" t="n">
        <v>0</v>
      </c>
      <c r="K1107" s="10" t="s">
        <v>20</v>
      </c>
      <c r="L1107" s="11" t="n">
        <v>40572.0042708333</v>
      </c>
      <c r="M1107" s="12" t="s">
        <v>3002</v>
      </c>
      <c r="N1107" s="12" t="s">
        <v>3003</v>
      </c>
      <c r="O1107" s="9" t="str">
        <f aca="false">HYPERLINK("https://pbs.twimg.com/profile_images/907241799844024320/WIlATfqD_normal.jpg","View")</f>
        <v>View</v>
      </c>
      <c r="P1107" s="10"/>
    </row>
    <row r="1108" customFormat="false" ht="15.75" hidden="false" customHeight="false" outlineLevel="0" collapsed="false">
      <c r="A1108" s="6" t="n">
        <v>43030.0468634259</v>
      </c>
      <c r="B1108" s="7" t="str">
        <f aca="false">HYPERLINK("https://twitter.com/actuamericaif","@actuamericaif")</f>
        <v>@actuamericaif</v>
      </c>
      <c r="C1108" s="8" t="s">
        <v>1735</v>
      </c>
      <c r="D1108" s="8" t="s">
        <v>3004</v>
      </c>
      <c r="E1108" s="9" t="str">
        <f aca="false">HYPERLINK("https://twitter.com/actuamericaif/status/922011513837314048","922011513837314048")</f>
        <v>922011513837314048</v>
      </c>
      <c r="F1108" s="10" t="s">
        <v>60</v>
      </c>
      <c r="G1108" s="10" t="n">
        <v>121</v>
      </c>
      <c r="H1108" s="10" t="n">
        <v>0</v>
      </c>
      <c r="I1108" s="10" t="n">
        <v>0</v>
      </c>
      <c r="J1108" s="10" t="n">
        <v>0</v>
      </c>
      <c r="K1108" s="10" t="s">
        <v>20</v>
      </c>
      <c r="L1108" s="11" t="n">
        <v>41868.116087963</v>
      </c>
      <c r="M1108" s="12"/>
      <c r="N1108" s="12" t="s">
        <v>1737</v>
      </c>
      <c r="O1108" s="9" t="str">
        <f aca="false">HYPERLINK("https://pbs.twimg.com/profile_images/500943389622534144/uQoUs4ex_normal.jpeg","View")</f>
        <v>View</v>
      </c>
      <c r="P1108" s="10"/>
    </row>
    <row r="1109" customFormat="false" ht="15.75" hidden="false" customHeight="false" outlineLevel="0" collapsed="false">
      <c r="A1109" s="6" t="n">
        <v>43030.0470486111</v>
      </c>
      <c r="B1109" s="7" t="str">
        <f aca="false">HYPERLINK("https://twitter.com/FRANCE24","@FRANCE24")</f>
        <v>@FRANCE24</v>
      </c>
      <c r="C1109" s="8" t="s">
        <v>1752</v>
      </c>
      <c r="D1109" s="8" t="s">
        <v>3005</v>
      </c>
      <c r="E1109" s="9" t="str">
        <f aca="false">HYPERLINK("https://twitter.com/FRANCE24/status/922011579603759104","922011579603759104")</f>
        <v>922011579603759104</v>
      </c>
      <c r="F1109" s="9" t="s">
        <v>1147</v>
      </c>
      <c r="G1109" s="10" t="n">
        <v>2914404</v>
      </c>
      <c r="H1109" s="10" t="n">
        <v>450</v>
      </c>
      <c r="I1109" s="10" t="n">
        <v>12</v>
      </c>
      <c r="J1109" s="10" t="n">
        <v>4</v>
      </c>
      <c r="K1109" s="10" t="s">
        <v>20</v>
      </c>
      <c r="L1109" s="11" t="n">
        <v>39164.1116666667</v>
      </c>
      <c r="M1109" s="12" t="s">
        <v>1754</v>
      </c>
      <c r="N1109" s="12" t="s">
        <v>1755</v>
      </c>
      <c r="O1109" s="9" t="str">
        <f aca="false">HYPERLINK("https://pbs.twimg.com/profile_images/875646402247901184/N4GGER3R_normal.jpg","View")</f>
        <v>View</v>
      </c>
      <c r="P1109" s="10"/>
    </row>
    <row r="1110" customFormat="false" ht="15.75" hidden="false" customHeight="false" outlineLevel="0" collapsed="false">
      <c r="A1110" s="6" t="n">
        <v>43030.0472916667</v>
      </c>
      <c r="B1110" s="7" t="str">
        <f aca="false">HYPERLINK("https://twitter.com/OnlBreakingNews","@OnlBreakingNews")</f>
        <v>@OnlBreakingNews</v>
      </c>
      <c r="C1110" s="8" t="s">
        <v>310</v>
      </c>
      <c r="D1110" s="8" t="s">
        <v>3006</v>
      </c>
      <c r="E1110" s="9" t="str">
        <f aca="false">HYPERLINK("https://twitter.com/OnlBreakingNews/status/922011666669215744","922011666669215744")</f>
        <v>922011666669215744</v>
      </c>
      <c r="F1110" s="9" t="s">
        <v>1147</v>
      </c>
      <c r="G1110" s="10" t="n">
        <v>483</v>
      </c>
      <c r="H1110" s="10" t="n">
        <v>1593</v>
      </c>
      <c r="I1110" s="10" t="n">
        <v>0</v>
      </c>
      <c r="J1110" s="10" t="n">
        <v>0</v>
      </c>
      <c r="K1110" s="10" t="s">
        <v>20</v>
      </c>
      <c r="L1110" s="11" t="n">
        <v>42737.9799074074</v>
      </c>
      <c r="M1110" s="12" t="s">
        <v>312</v>
      </c>
      <c r="N1110" s="12" t="s">
        <v>313</v>
      </c>
      <c r="O1110" s="9" t="str">
        <f aca="false">HYPERLINK("https://pbs.twimg.com/profile_images/816193432410591232/Sjz4Kaqf_normal.jpg","View")</f>
        <v>View</v>
      </c>
      <c r="P1110" s="10"/>
    </row>
    <row r="1111" customFormat="false" ht="15.75" hidden="false" customHeight="false" outlineLevel="0" collapsed="false">
      <c r="A1111" s="6" t="n">
        <v>43030.0472916667</v>
      </c>
      <c r="B1111" s="7" t="str">
        <f aca="false">HYPERLINK("https://twitter.com/haroonrazalive","@haroonrazalive")</f>
        <v>@haroonrazalive</v>
      </c>
      <c r="C1111" s="8" t="s">
        <v>2977</v>
      </c>
      <c r="D1111" s="8" t="s">
        <v>3007</v>
      </c>
      <c r="E1111" s="9" t="str">
        <f aca="false">HYPERLINK("https://twitter.com/haroonrazalive/status/922011669135491073","922011669135491073")</f>
        <v>922011669135491073</v>
      </c>
      <c r="F1111" s="10" t="s">
        <v>25</v>
      </c>
      <c r="G1111" s="10" t="n">
        <v>418</v>
      </c>
      <c r="H1111" s="10" t="n">
        <v>4980</v>
      </c>
      <c r="I1111" s="10" t="n">
        <v>12</v>
      </c>
      <c r="J1111" s="10" t="n">
        <v>0</v>
      </c>
      <c r="K1111" s="10" t="s">
        <v>20</v>
      </c>
      <c r="L1111" s="11" t="n">
        <v>42357.7978009259</v>
      </c>
      <c r="M1111" s="12" t="s">
        <v>2979</v>
      </c>
      <c r="N1111" s="12" t="s">
        <v>2980</v>
      </c>
      <c r="O1111" s="9" t="str">
        <f aca="false">HYPERLINK("https://pbs.twimg.com/profile_images/921394674778165248/c9iShC-t_normal.jpg","View")</f>
        <v>View</v>
      </c>
      <c r="P1111" s="10"/>
    </row>
    <row r="1112" customFormat="false" ht="15.75" hidden="false" customHeight="false" outlineLevel="0" collapsed="false">
      <c r="A1112" s="6" t="n">
        <v>43030.0472916667</v>
      </c>
      <c r="B1112" s="7" t="str">
        <f aca="false">HYPERLINK("https://twitter.com/Yumreza","@Yumreza")</f>
        <v>@Yumreza</v>
      </c>
      <c r="C1112" s="8" t="s">
        <v>1742</v>
      </c>
      <c r="D1112" s="8" t="s">
        <v>3008</v>
      </c>
      <c r="E1112" s="9" t="str">
        <f aca="false">HYPERLINK("https://twitter.com/Yumreza/status/922011669844312065","922011669844312065")</f>
        <v>922011669844312065</v>
      </c>
      <c r="F1112" s="9" t="s">
        <v>1147</v>
      </c>
      <c r="G1112" s="10" t="n">
        <v>780</v>
      </c>
      <c r="H1112" s="10" t="n">
        <v>2808</v>
      </c>
      <c r="I1112" s="10" t="n">
        <v>0</v>
      </c>
      <c r="J1112" s="10" t="n">
        <v>0</v>
      </c>
      <c r="K1112" s="10" t="s">
        <v>20</v>
      </c>
      <c r="L1112" s="11" t="n">
        <v>40836.2332986111</v>
      </c>
      <c r="M1112" s="12" t="s">
        <v>1744</v>
      </c>
      <c r="N1112" s="12" t="s">
        <v>1745</v>
      </c>
      <c r="O1112" s="9" t="str">
        <f aca="false">HYPERLINK("https://pbs.twimg.com/profile_images/879038697039171584/rPpCOaDE_normal.jpg","View")</f>
        <v>View</v>
      </c>
      <c r="P1112" s="10"/>
    </row>
    <row r="1113" customFormat="false" ht="15.75" hidden="false" customHeight="false" outlineLevel="0" collapsed="false">
      <c r="A1113" s="6" t="n">
        <v>43030.0473726852</v>
      </c>
      <c r="B1113" s="7" t="str">
        <f aca="false">HYPERLINK("https://twitter.com/QxNews","@QxNews")</f>
        <v>@QxNews</v>
      </c>
      <c r="C1113" s="8" t="s">
        <v>3009</v>
      </c>
      <c r="D1113" s="8" t="s">
        <v>3010</v>
      </c>
      <c r="E1113" s="9" t="str">
        <f aca="false">HYPERLINK("https://twitter.com/QxNews/status/922011696155070464","922011696155070464")</f>
        <v>922011696155070464</v>
      </c>
      <c r="F1113" s="10" t="s">
        <v>3011</v>
      </c>
      <c r="G1113" s="10" t="n">
        <v>3236</v>
      </c>
      <c r="H1113" s="10" t="n">
        <v>271</v>
      </c>
      <c r="I1113" s="10" t="n">
        <v>4</v>
      </c>
      <c r="J1113" s="10" t="n">
        <v>0</v>
      </c>
      <c r="K1113" s="10" t="s">
        <v>20</v>
      </c>
      <c r="L1113" s="11" t="n">
        <v>41497.8580671296</v>
      </c>
      <c r="M1113" s="12" t="s">
        <v>502</v>
      </c>
      <c r="N1113" s="12" t="s">
        <v>3012</v>
      </c>
      <c r="O1113" s="9" t="str">
        <f aca="false">HYPERLINK("https://pbs.twimg.com/profile_images/597288578092240896/ePlmSYCH_normal.png","View")</f>
        <v>View</v>
      </c>
      <c r="P1113" s="10"/>
    </row>
    <row r="1114" customFormat="false" ht="15.75" hidden="false" customHeight="false" outlineLevel="0" collapsed="false">
      <c r="A1114" s="6" t="n">
        <v>43030.0474421296</v>
      </c>
      <c r="B1114" s="7" t="str">
        <f aca="false">HYPERLINK("https://twitter.com/tmuzergues","@tmuzergues")</f>
        <v>@tmuzergues</v>
      </c>
      <c r="C1114" s="8" t="s">
        <v>3013</v>
      </c>
      <c r="D1114" s="8" t="s">
        <v>3007</v>
      </c>
      <c r="E1114" s="9" t="str">
        <f aca="false">HYPERLINK("https://twitter.com/tmuzergues/status/922011723359510528","922011723359510528")</f>
        <v>922011723359510528</v>
      </c>
      <c r="F1114" s="10" t="s">
        <v>177</v>
      </c>
      <c r="G1114" s="10" t="n">
        <v>1011</v>
      </c>
      <c r="H1114" s="10" t="n">
        <v>896</v>
      </c>
      <c r="I1114" s="10" t="n">
        <v>12</v>
      </c>
      <c r="J1114" s="10" t="n">
        <v>0</v>
      </c>
      <c r="K1114" s="10" t="s">
        <v>20</v>
      </c>
      <c r="L1114" s="11" t="n">
        <v>40196.5681481481</v>
      </c>
      <c r="M1114" s="12" t="s">
        <v>3014</v>
      </c>
      <c r="N1114" s="12" t="s">
        <v>3015</v>
      </c>
      <c r="O1114" s="9" t="str">
        <f aca="false">HYPERLINK("https://pbs.twimg.com/profile_images/864229049908035585/ggHw7C_3_normal.jpg","View")</f>
        <v>View</v>
      </c>
      <c r="P1114" s="10"/>
    </row>
    <row r="1115" customFormat="false" ht="15.75" hidden="false" customHeight="false" outlineLevel="0" collapsed="false">
      <c r="A1115" s="6" t="n">
        <v>43030.0475231481</v>
      </c>
      <c r="B1115" s="7" t="str">
        <f aca="false">HYPERLINK("https://twitter.com/mitsuru_kuroda","@mitsuru_kuroda")</f>
        <v>@mitsuru_kuroda</v>
      </c>
      <c r="C1115" s="14" t="s">
        <v>3016</v>
      </c>
      <c r="D1115" s="8" t="s">
        <v>3007</v>
      </c>
      <c r="E1115" s="9" t="str">
        <f aca="false">HYPERLINK("https://twitter.com/mitsuru_kuroda/status/922011752149200896","922011752149200896")</f>
        <v>922011752149200896</v>
      </c>
      <c r="F1115" s="10" t="s">
        <v>39</v>
      </c>
      <c r="G1115" s="10" t="n">
        <v>3757</v>
      </c>
      <c r="H1115" s="10" t="n">
        <v>1444</v>
      </c>
      <c r="I1115" s="10" t="n">
        <v>12</v>
      </c>
      <c r="J1115" s="10" t="n">
        <v>0</v>
      </c>
      <c r="K1115" s="10" t="s">
        <v>20</v>
      </c>
      <c r="L1115" s="11" t="n">
        <v>40763.5500810185</v>
      </c>
      <c r="M1115" s="13" t="s">
        <v>3017</v>
      </c>
      <c r="N1115" s="13" t="s">
        <v>3018</v>
      </c>
      <c r="O1115" s="9" t="str">
        <f aca="false">HYPERLINK("https://pbs.twimg.com/profile_images/426785512053936129/irybTg6K_normal.png","View")</f>
        <v>View</v>
      </c>
      <c r="P1115" s="10"/>
    </row>
    <row r="1116" customFormat="false" ht="15.75" hidden="false" customHeight="false" outlineLevel="0" collapsed="false">
      <c r="A1116" s="6" t="n">
        <v>43030.0477662037</v>
      </c>
      <c r="B1116" s="7" t="str">
        <f aca="false">HYPERLINK("https://twitter.com/NarrendraM","@NarrendraM")</f>
        <v>@NarrendraM</v>
      </c>
      <c r="C1116" s="8" t="s">
        <v>468</v>
      </c>
      <c r="D1116" s="8" t="s">
        <v>3019</v>
      </c>
      <c r="E1116" s="9" t="str">
        <f aca="false">HYPERLINK("https://twitter.com/NarrendraM/status/922011839881515008","922011839881515008")</f>
        <v>922011839881515008</v>
      </c>
      <c r="F1116" s="10" t="s">
        <v>60</v>
      </c>
      <c r="G1116" s="10" t="n">
        <v>1999</v>
      </c>
      <c r="H1116" s="10" t="n">
        <v>252</v>
      </c>
      <c r="I1116" s="10" t="n">
        <v>0</v>
      </c>
      <c r="J1116" s="10" t="n">
        <v>0</v>
      </c>
      <c r="K1116" s="10" t="s">
        <v>20</v>
      </c>
      <c r="L1116" s="11" t="n">
        <v>42471.0737037037</v>
      </c>
      <c r="M1116" s="12" t="s">
        <v>253</v>
      </c>
      <c r="N1116" s="12" t="s">
        <v>470</v>
      </c>
      <c r="O1116" s="9" t="str">
        <f aca="false">HYPERLINK("https://pbs.twimg.com/profile_images/743939643738034176/WkGloI0u_normal.jpg","View")</f>
        <v>View</v>
      </c>
      <c r="P1116" s="10"/>
    </row>
    <row r="1117" customFormat="false" ht="15.75" hidden="false" customHeight="false" outlineLevel="0" collapsed="false">
      <c r="A1117" s="6" t="n">
        <v>43030.0480092593</v>
      </c>
      <c r="B1117" s="7" t="str">
        <f aca="false">HYPERLINK("https://twitter.com/Allnewsasia","@Allnewsasia")</f>
        <v>@Allnewsasia</v>
      </c>
      <c r="C1117" s="8" t="s">
        <v>1759</v>
      </c>
      <c r="D1117" s="8" t="s">
        <v>3020</v>
      </c>
      <c r="E1117" s="9" t="str">
        <f aca="false">HYPERLINK("https://twitter.com/Allnewsasia/status/922011926741291008","922011926741291008")</f>
        <v>922011926741291008</v>
      </c>
      <c r="F1117" s="10" t="s">
        <v>60</v>
      </c>
      <c r="G1117" s="10" t="n">
        <v>34883</v>
      </c>
      <c r="H1117" s="10" t="n">
        <v>2</v>
      </c>
      <c r="I1117" s="10" t="n">
        <v>0</v>
      </c>
      <c r="J1117" s="10" t="n">
        <v>0</v>
      </c>
      <c r="K1117" s="10" t="s">
        <v>20</v>
      </c>
      <c r="L1117" s="11" t="n">
        <v>40575.846087963</v>
      </c>
      <c r="M1117" s="12" t="s">
        <v>1761</v>
      </c>
      <c r="N1117" s="12" t="s">
        <v>1762</v>
      </c>
      <c r="O1117" s="9" t="str">
        <f aca="false">HYPERLINK("https://pbs.twimg.com/profile_images/576605924409802752/He_SuIL8_normal.jpeg","View")</f>
        <v>View</v>
      </c>
      <c r="P1117" s="10"/>
    </row>
    <row r="1118" customFormat="false" ht="15.75" hidden="false" customHeight="false" outlineLevel="0" collapsed="false">
      <c r="A1118" s="6" t="n">
        <v>43030.0490046296</v>
      </c>
      <c r="B1118" s="7" t="str">
        <f aca="false">HYPERLINK("https://twitter.com/worldnews_net","@worldnews_net")</f>
        <v>@worldnews_net</v>
      </c>
      <c r="C1118" s="8" t="s">
        <v>1738</v>
      </c>
      <c r="D1118" s="8" t="s">
        <v>3021</v>
      </c>
      <c r="E1118" s="9" t="str">
        <f aca="false">HYPERLINK("https://twitter.com/worldnews_net/status/922012289745768448","922012289745768448")</f>
        <v>922012289745768448</v>
      </c>
      <c r="F1118" s="10" t="s">
        <v>60</v>
      </c>
      <c r="G1118" s="10" t="n">
        <v>6454</v>
      </c>
      <c r="H1118" s="10" t="n">
        <v>1317</v>
      </c>
      <c r="I1118" s="10" t="n">
        <v>0</v>
      </c>
      <c r="J1118" s="10" t="n">
        <v>0</v>
      </c>
      <c r="K1118" s="10" t="s">
        <v>20</v>
      </c>
      <c r="L1118" s="11" t="n">
        <v>42056.080162037</v>
      </c>
      <c r="M1118" s="12"/>
      <c r="N1118" s="12" t="s">
        <v>1740</v>
      </c>
      <c r="O1118" s="9" t="str">
        <f aca="false">HYPERLINK("https://pbs.twimg.com/profile_images/570163852034076672/nbok5qlW_normal.jpeg","View")</f>
        <v>View</v>
      </c>
      <c r="P1118" s="10"/>
    </row>
    <row r="1119" customFormat="false" ht="15.75" hidden="false" customHeight="false" outlineLevel="0" collapsed="false">
      <c r="A1119" s="6" t="n">
        <v>43030.0500115741</v>
      </c>
      <c r="B1119" s="7" t="str">
        <f aca="false">HYPERLINK("https://twitter.com/ANikhwai","@ANikhwai")</f>
        <v>@ANikhwai</v>
      </c>
      <c r="C1119" s="8" t="s">
        <v>3022</v>
      </c>
      <c r="D1119" s="8" t="s">
        <v>3010</v>
      </c>
      <c r="E1119" s="9" t="str">
        <f aca="false">HYPERLINK("https://twitter.com/ANikhwai/status/922012654243377152","922012654243377152")</f>
        <v>922012654243377152</v>
      </c>
      <c r="F1119" s="10" t="s">
        <v>51</v>
      </c>
      <c r="G1119" s="10" t="n">
        <v>1053</v>
      </c>
      <c r="H1119" s="10" t="n">
        <v>2615</v>
      </c>
      <c r="I1119" s="10" t="n">
        <v>4</v>
      </c>
      <c r="J1119" s="10" t="n">
        <v>0</v>
      </c>
      <c r="K1119" s="10" t="s">
        <v>20</v>
      </c>
      <c r="L1119" s="11" t="n">
        <v>40924.4272685185</v>
      </c>
      <c r="M1119" s="12"/>
      <c r="N1119" s="12" t="s">
        <v>3023</v>
      </c>
      <c r="O1119" s="9" t="str">
        <f aca="false">HYPERLINK("https://pbs.twimg.com/profile_images/892783153219284992/Wby5Q9wY_normal.jpg","View")</f>
        <v>View</v>
      </c>
      <c r="P1119" s="10"/>
    </row>
    <row r="1120" customFormat="false" ht="15.75" hidden="false" customHeight="false" outlineLevel="0" collapsed="false">
      <c r="A1120" s="6" t="n">
        <v>43030.0502199074</v>
      </c>
      <c r="B1120" s="7" t="str">
        <f aca="false">HYPERLINK("https://twitter.com/kekko_sun","@kekko_sun")</f>
        <v>@kekko_sun</v>
      </c>
      <c r="C1120" s="8" t="s">
        <v>3024</v>
      </c>
      <c r="D1120" s="8" t="s">
        <v>3007</v>
      </c>
      <c r="E1120" s="9" t="str">
        <f aca="false">HYPERLINK("https://twitter.com/kekko_sun/status/922012730562830336","922012730562830336")</f>
        <v>922012730562830336</v>
      </c>
      <c r="F1120" s="10" t="s">
        <v>177</v>
      </c>
      <c r="G1120" s="10" t="n">
        <v>227</v>
      </c>
      <c r="H1120" s="10" t="n">
        <v>299</v>
      </c>
      <c r="I1120" s="10" t="n">
        <v>12</v>
      </c>
      <c r="J1120" s="10" t="n">
        <v>0</v>
      </c>
      <c r="K1120" s="10" t="s">
        <v>20</v>
      </c>
      <c r="L1120" s="11" t="n">
        <v>41104.0655208333</v>
      </c>
      <c r="M1120" s="13" t="s">
        <v>3025</v>
      </c>
      <c r="N1120" s="13" t="s">
        <v>3026</v>
      </c>
      <c r="O1120" s="9" t="str">
        <f aca="false">HYPERLINK("https://pbs.twimg.com/profile_images/2670116304/f22259d4d31ce49c5230a7a58d2d0947_normal.jpeg","View")</f>
        <v>View</v>
      </c>
      <c r="P1120" s="10"/>
    </row>
    <row r="1121" customFormat="false" ht="15.75" hidden="false" customHeight="false" outlineLevel="0" collapsed="false">
      <c r="A1121" s="6" t="n">
        <v>43030.0503587963</v>
      </c>
      <c r="B1121" s="7" t="str">
        <f aca="false">HYPERLINK("https://twitter.com/petermoyo6","@petermoyo6")</f>
        <v>@petermoyo6</v>
      </c>
      <c r="C1121" s="8" t="s">
        <v>3027</v>
      </c>
      <c r="D1121" s="8" t="s">
        <v>3007</v>
      </c>
      <c r="E1121" s="9" t="str">
        <f aca="false">HYPERLINK("https://twitter.com/petermoyo6/status/922012779212615680","922012779212615680")</f>
        <v>922012779212615680</v>
      </c>
      <c r="F1121" s="10" t="s">
        <v>25</v>
      </c>
      <c r="G1121" s="10" t="n">
        <v>627</v>
      </c>
      <c r="H1121" s="10" t="n">
        <v>627</v>
      </c>
      <c r="I1121" s="10" t="n">
        <v>12</v>
      </c>
      <c r="J1121" s="10" t="n">
        <v>0</v>
      </c>
      <c r="K1121" s="10" t="s">
        <v>20</v>
      </c>
      <c r="L1121" s="11" t="n">
        <v>41457.2702199074</v>
      </c>
      <c r="M1121" s="12" t="s">
        <v>3028</v>
      </c>
      <c r="N1121" s="12" t="s">
        <v>3029</v>
      </c>
      <c r="O1121" s="9" t="str">
        <f aca="false">HYPERLINK("https://pbs.twimg.com/profile_images/378800000078071737/4d962fda00655a2aa8db0f68b39cdc06_normal.jpeg","View")</f>
        <v>View</v>
      </c>
      <c r="P1121" s="10"/>
    </row>
    <row r="1122" customFormat="false" ht="15.75" hidden="false" customHeight="false" outlineLevel="0" collapsed="false">
      <c r="A1122" s="6" t="n">
        <v>43030.0507986111</v>
      </c>
      <c r="B1122" s="7" t="str">
        <f aca="false">HYPERLINK("https://twitter.com/axbxcxrr","@axbxcxrr")</f>
        <v>@axbxcxrr</v>
      </c>
      <c r="C1122" s="8" t="s">
        <v>2261</v>
      </c>
      <c r="D1122" s="8" t="s">
        <v>3010</v>
      </c>
      <c r="E1122" s="9" t="str">
        <f aca="false">HYPERLINK("https://twitter.com/axbxcxrr/status/922012940231884800","922012940231884800")</f>
        <v>922012940231884800</v>
      </c>
      <c r="F1122" s="10" t="s">
        <v>39</v>
      </c>
      <c r="G1122" s="10" t="n">
        <v>813</v>
      </c>
      <c r="H1122" s="10" t="n">
        <v>950</v>
      </c>
      <c r="I1122" s="10" t="n">
        <v>4</v>
      </c>
      <c r="J1122" s="10" t="n">
        <v>0</v>
      </c>
      <c r="K1122" s="10" t="s">
        <v>20</v>
      </c>
      <c r="L1122" s="11" t="n">
        <v>40260.8624652778</v>
      </c>
      <c r="M1122" s="13" t="s">
        <v>106</v>
      </c>
      <c r="N1122" s="12" t="s">
        <v>2263</v>
      </c>
      <c r="O1122" s="9" t="str">
        <f aca="false">HYPERLINK("https://pbs.twimg.com/profile_images/921376975301705729/LVL9qggr_normal.jpg","View")</f>
        <v>View</v>
      </c>
      <c r="P1122" s="10"/>
    </row>
    <row r="1123" customFormat="false" ht="15.75" hidden="false" customHeight="false" outlineLevel="0" collapsed="false">
      <c r="A1123" s="6" t="n">
        <v>43030.0517592593</v>
      </c>
      <c r="B1123" s="7" t="str">
        <f aca="false">HYPERLINK("https://twitter.com/ralpha2017","@ralpha2017")</f>
        <v>@ralpha2017</v>
      </c>
      <c r="C1123" s="8" t="s">
        <v>3030</v>
      </c>
      <c r="D1123" s="8" t="s">
        <v>3031</v>
      </c>
      <c r="E1123" s="9" t="str">
        <f aca="false">HYPERLINK("https://twitter.com/ralpha2017/status/922013287243550720","922013287243550720")</f>
        <v>922013287243550720</v>
      </c>
      <c r="F1123" s="10" t="s">
        <v>39</v>
      </c>
      <c r="G1123" s="10" t="n">
        <v>3376</v>
      </c>
      <c r="H1123" s="10" t="n">
        <v>3484</v>
      </c>
      <c r="I1123" s="10" t="n">
        <v>0</v>
      </c>
      <c r="J1123" s="10" t="n">
        <v>0</v>
      </c>
      <c r="K1123" s="10" t="s">
        <v>20</v>
      </c>
      <c r="L1123" s="11" t="n">
        <v>42983.4615509259</v>
      </c>
      <c r="M1123" s="12" t="s">
        <v>3032</v>
      </c>
      <c r="N1123" s="12" t="s">
        <v>3033</v>
      </c>
      <c r="O1123" s="9" t="str">
        <f aca="false">HYPERLINK("https://pbs.twimg.com/profile_images/905151798603894785/rRFBnAYs_normal.jpg","View")</f>
        <v>View</v>
      </c>
      <c r="P1123" s="10"/>
    </row>
    <row r="1124" customFormat="false" ht="15.75" hidden="false" customHeight="false" outlineLevel="0" collapsed="false">
      <c r="A1124" s="6" t="n">
        <v>43030.0518518519</v>
      </c>
      <c r="B1124" s="7" t="str">
        <f aca="false">HYPERLINK("https://twitter.com/tianlihe","@tianlihe")</f>
        <v>@tianlihe</v>
      </c>
      <c r="C1124" s="14" t="s">
        <v>3034</v>
      </c>
      <c r="D1124" s="8" t="s">
        <v>3035</v>
      </c>
      <c r="E1124" s="9" t="str">
        <f aca="false">HYPERLINK("https://twitter.com/tianlihe/status/922013319334019072","922013319334019072")</f>
        <v>922013319334019072</v>
      </c>
      <c r="F1124" s="10" t="s">
        <v>51</v>
      </c>
      <c r="G1124" s="10" t="n">
        <v>856</v>
      </c>
      <c r="H1124" s="10" t="n">
        <v>2370</v>
      </c>
      <c r="I1124" s="10" t="n">
        <v>1</v>
      </c>
      <c r="J1124" s="10" t="n">
        <v>0</v>
      </c>
      <c r="K1124" s="10" t="s">
        <v>20</v>
      </c>
      <c r="L1124" s="11" t="n">
        <v>41048.9617361111</v>
      </c>
      <c r="M1124" s="12" t="s">
        <v>3036</v>
      </c>
      <c r="N1124" s="13" t="s">
        <v>3037</v>
      </c>
      <c r="O1124" s="9" t="str">
        <f aca="false">HYPERLINK("https://pbs.twimg.com/profile_images/715044447101255680/_5YeA4fD_normal.jpg","View")</f>
        <v>View</v>
      </c>
      <c r="P1124" s="10"/>
    </row>
    <row r="1125" customFormat="false" ht="15.75" hidden="false" customHeight="false" outlineLevel="0" collapsed="false">
      <c r="A1125" s="6" t="n">
        <v>43030.0519791667</v>
      </c>
      <c r="B1125" s="7" t="str">
        <f aca="false">HYPERLINK("https://twitter.com/unlewis","@unlewis")</f>
        <v>@unlewis</v>
      </c>
      <c r="C1125" s="8" t="s">
        <v>3038</v>
      </c>
      <c r="D1125" s="8" t="s">
        <v>3010</v>
      </c>
      <c r="E1125" s="9" t="str">
        <f aca="false">HYPERLINK("https://twitter.com/unlewis/status/922013367253942273","922013367253942273")</f>
        <v>922013367253942273</v>
      </c>
      <c r="F1125" s="10" t="s">
        <v>177</v>
      </c>
      <c r="G1125" s="10" t="n">
        <v>2986</v>
      </c>
      <c r="H1125" s="10" t="n">
        <v>2099</v>
      </c>
      <c r="I1125" s="10" t="n">
        <v>4</v>
      </c>
      <c r="J1125" s="10" t="n">
        <v>0</v>
      </c>
      <c r="K1125" s="10" t="s">
        <v>20</v>
      </c>
      <c r="L1125" s="11" t="n">
        <v>41159.8328356482</v>
      </c>
      <c r="M1125" s="12"/>
      <c r="N1125" s="12" t="s">
        <v>3039</v>
      </c>
      <c r="O1125" s="9" t="str">
        <f aca="false">HYPERLINK("https://pbs.twimg.com/profile_images/862117304196255744/4KSB5b7P_normal.jpg","View")</f>
        <v>View</v>
      </c>
      <c r="P1125" s="10"/>
    </row>
    <row r="1126" customFormat="false" ht="15.75" hidden="false" customHeight="false" outlineLevel="0" collapsed="false">
      <c r="A1126" s="6" t="n">
        <v>43030.0521180556</v>
      </c>
      <c r="B1126" s="7" t="str">
        <f aca="false">HYPERLINK("https://twitter.com/General_News_","@General_News_")</f>
        <v>@General_News_</v>
      </c>
      <c r="C1126" s="8" t="s">
        <v>3040</v>
      </c>
      <c r="D1126" s="8" t="s">
        <v>3041</v>
      </c>
      <c r="E1126" s="9" t="str">
        <f aca="false">HYPERLINK("https://twitter.com/General_News_/status/922013419124994048","922013419124994048")</f>
        <v>922013419124994048</v>
      </c>
      <c r="F1126" s="10" t="s">
        <v>3042</v>
      </c>
      <c r="G1126" s="10" t="n">
        <v>1986</v>
      </c>
      <c r="H1126" s="10" t="n">
        <v>1964</v>
      </c>
      <c r="I1126" s="10" t="n">
        <v>0</v>
      </c>
      <c r="J1126" s="10" t="n">
        <v>0</v>
      </c>
      <c r="K1126" s="10" t="s">
        <v>20</v>
      </c>
      <c r="L1126" s="11" t="n">
        <v>40621.3476967593</v>
      </c>
      <c r="M1126" s="12" t="s">
        <v>230</v>
      </c>
      <c r="N1126" s="12" t="s">
        <v>3043</v>
      </c>
      <c r="O1126" s="9" t="str">
        <f aca="false">HYPERLINK("https://pbs.twimg.com/profile_images/1279304346/Afbeelding_35_normal.png","View")</f>
        <v>View</v>
      </c>
      <c r="P1126" s="10"/>
    </row>
    <row r="1127" customFormat="false" ht="15.75" hidden="false" customHeight="false" outlineLevel="0" collapsed="false">
      <c r="A1127" s="6" t="n">
        <v>43030.0525231481</v>
      </c>
      <c r="B1127" s="7" t="str">
        <f aca="false">HYPERLINK("https://twitter.com/ZyiteGadgets","@ZyiteGadgets")</f>
        <v>@ZyiteGadgets</v>
      </c>
      <c r="C1127" s="8" t="s">
        <v>171</v>
      </c>
      <c r="D1127" s="8" t="s">
        <v>3044</v>
      </c>
      <c r="E1127" s="9" t="str">
        <f aca="false">HYPERLINK("https://twitter.com/ZyiteGadgets/status/922013564122038272","922013564122038272")</f>
        <v>922013564122038272</v>
      </c>
      <c r="F1127" s="10" t="s">
        <v>110</v>
      </c>
      <c r="G1127" s="10" t="n">
        <v>3542</v>
      </c>
      <c r="H1127" s="10" t="n">
        <v>4844</v>
      </c>
      <c r="I1127" s="10" t="n">
        <v>0</v>
      </c>
      <c r="J1127" s="10" t="n">
        <v>0</v>
      </c>
      <c r="K1127" s="10" t="s">
        <v>20</v>
      </c>
      <c r="L1127" s="11" t="n">
        <v>41470.6147800926</v>
      </c>
      <c r="M1127" s="15" t="s">
        <v>173</v>
      </c>
      <c r="N1127" s="12" t="s">
        <v>174</v>
      </c>
      <c r="O1127" s="9" t="str">
        <f aca="false">HYPERLINK("https://pbs.twimg.com/profile_images/487701633489313793/pIxJHFt5_normal.jpeg","View")</f>
        <v>View</v>
      </c>
      <c r="P1127" s="10"/>
    </row>
    <row r="1128" customFormat="false" ht="15.75" hidden="false" customHeight="false" outlineLevel="0" collapsed="false">
      <c r="A1128" s="6" t="n">
        <v>43030.0525578704</v>
      </c>
      <c r="B1128" s="7" t="str">
        <f aca="false">HYPERLINK("https://twitter.com/AynvanBergland","@AynvanBergland")</f>
        <v>@AynvanBergland</v>
      </c>
      <c r="C1128" s="8" t="s">
        <v>3045</v>
      </c>
      <c r="D1128" s="8" t="s">
        <v>3046</v>
      </c>
      <c r="E1128" s="9" t="str">
        <f aca="false">HYPERLINK("https://twitter.com/AynvanBergland/status/922013577799766016","922013577799766016")</f>
        <v>922013577799766016</v>
      </c>
      <c r="F1128" s="10" t="s">
        <v>39</v>
      </c>
      <c r="G1128" s="10" t="n">
        <v>165</v>
      </c>
      <c r="H1128" s="10" t="n">
        <v>25</v>
      </c>
      <c r="I1128" s="10" t="n">
        <v>1</v>
      </c>
      <c r="J1128" s="10" t="n">
        <v>1</v>
      </c>
      <c r="K1128" s="10" t="s">
        <v>20</v>
      </c>
      <c r="L1128" s="11" t="n">
        <v>42453.0233333333</v>
      </c>
      <c r="M1128" s="12"/>
      <c r="N1128" s="12" t="s">
        <v>3047</v>
      </c>
      <c r="O1128" s="9" t="str">
        <f aca="false">HYPERLINK("https://pbs.twimg.com/profile_images/745308000592793600/to66nxz-_normal.jpg","View")</f>
        <v>View</v>
      </c>
      <c r="P1128" s="10"/>
    </row>
    <row r="1129" customFormat="false" ht="15.75" hidden="false" customHeight="false" outlineLevel="0" collapsed="false">
      <c r="A1129" s="6" t="n">
        <v>43030.0529398148</v>
      </c>
      <c r="B1129" s="7" t="str">
        <f aca="false">HYPERLINK("https://twitter.com/globnewsen","@globnewsen")</f>
        <v>@globnewsen</v>
      </c>
      <c r="C1129" s="8" t="s">
        <v>1793</v>
      </c>
      <c r="D1129" s="8" t="s">
        <v>3048</v>
      </c>
      <c r="E1129" s="9" t="str">
        <f aca="false">HYPERLINK("https://twitter.com/globnewsen/status/922013713099616256","922013713099616256")</f>
        <v>922013713099616256</v>
      </c>
      <c r="F1129" s="10" t="s">
        <v>60</v>
      </c>
      <c r="G1129" s="10" t="n">
        <v>538</v>
      </c>
      <c r="H1129" s="10" t="n">
        <v>0</v>
      </c>
      <c r="I1129" s="10" t="n">
        <v>0</v>
      </c>
      <c r="J1129" s="10" t="n">
        <v>0</v>
      </c>
      <c r="K1129" s="10" t="s">
        <v>20</v>
      </c>
      <c r="L1129" s="11" t="n">
        <v>41790.5255902778</v>
      </c>
      <c r="M1129" s="12"/>
      <c r="N1129" s="12"/>
      <c r="O1129" s="9" t="str">
        <f aca="false">HYPERLINK("https://abs.twimg.com/sticky/default_profile_images/default_profile_normal.png","View")</f>
        <v>View</v>
      </c>
      <c r="P1129" s="10"/>
    </row>
    <row r="1130" customFormat="false" ht="15.75" hidden="false" customHeight="false" outlineLevel="0" collapsed="false">
      <c r="A1130" s="6" t="n">
        <v>43030.0538888889</v>
      </c>
      <c r="B1130" s="7" t="str">
        <f aca="false">HYPERLINK("https://twitter.com/WorldNews7777","@WorldNews7777")</f>
        <v>@WorldNews7777</v>
      </c>
      <c r="C1130" s="8" t="s">
        <v>1749</v>
      </c>
      <c r="D1130" s="8" t="s">
        <v>3049</v>
      </c>
      <c r="E1130" s="9" t="str">
        <f aca="false">HYPERLINK("https://twitter.com/WorldNews7777/status/922014056961232896","922014056961232896")</f>
        <v>922014056961232896</v>
      </c>
      <c r="F1130" s="10" t="s">
        <v>60</v>
      </c>
      <c r="G1130" s="10" t="n">
        <v>6456</v>
      </c>
      <c r="H1130" s="10" t="n">
        <v>6318</v>
      </c>
      <c r="I1130" s="10" t="n">
        <v>0</v>
      </c>
      <c r="J1130" s="10" t="n">
        <v>0</v>
      </c>
      <c r="K1130" s="10" t="s">
        <v>20</v>
      </c>
      <c r="L1130" s="11" t="n">
        <v>42489.1319444444</v>
      </c>
      <c r="M1130" s="12" t="s">
        <v>230</v>
      </c>
      <c r="N1130" s="12" t="s">
        <v>1751</v>
      </c>
      <c r="O1130" s="9" t="str">
        <f aca="false">HYPERLINK("https://pbs.twimg.com/profile_images/736884749566889984/BtAvBgS4_normal.jpg","View")</f>
        <v>View</v>
      </c>
      <c r="P1130" s="10"/>
    </row>
    <row r="1131" customFormat="false" ht="15.75" hidden="false" customHeight="false" outlineLevel="0" collapsed="false">
      <c r="A1131" s="6" t="n">
        <v>43030.0550462963</v>
      </c>
      <c r="B1131" s="7" t="str">
        <f aca="false">HYPERLINK("https://twitter.com/CollectedN","@CollectedN")</f>
        <v>@CollectedN</v>
      </c>
      <c r="C1131" s="8" t="s">
        <v>1803</v>
      </c>
      <c r="D1131" s="8" t="s">
        <v>3050</v>
      </c>
      <c r="E1131" s="9" t="str">
        <f aca="false">HYPERLINK("https://twitter.com/CollectedN/status/922014479784792065","922014479784792065")</f>
        <v>922014479784792065</v>
      </c>
      <c r="F1131" s="10" t="s">
        <v>60</v>
      </c>
      <c r="G1131" s="10" t="n">
        <v>21998</v>
      </c>
      <c r="H1131" s="10" t="n">
        <v>16536</v>
      </c>
      <c r="I1131" s="10" t="n">
        <v>0</v>
      </c>
      <c r="J1131" s="10" t="n">
        <v>0</v>
      </c>
      <c r="K1131" s="10" t="s">
        <v>20</v>
      </c>
      <c r="L1131" s="11" t="n">
        <v>41333.7684027778</v>
      </c>
      <c r="M1131" s="12"/>
      <c r="N1131" s="12" t="s">
        <v>1805</v>
      </c>
      <c r="O1131" s="9" t="str">
        <f aca="false">HYPERLINK("https://pbs.twimg.com/profile_images/705925817277108224/nGS1Ko7F_normal.jpg","View")</f>
        <v>View</v>
      </c>
      <c r="P1131" s="10"/>
    </row>
    <row r="1132" customFormat="false" ht="15.75" hidden="false" customHeight="false" outlineLevel="0" collapsed="false">
      <c r="A1132" s="6" t="n">
        <v>43030.0550578704</v>
      </c>
      <c r="B1132" s="7" t="str">
        <f aca="false">HYPERLINK("https://twitter.com/Caetlan","@Caetlan")</f>
        <v>@Caetlan</v>
      </c>
      <c r="C1132" s="8" t="s">
        <v>3051</v>
      </c>
      <c r="D1132" s="8" t="s">
        <v>3052</v>
      </c>
      <c r="E1132" s="9" t="str">
        <f aca="false">HYPERLINK("https://twitter.com/Caetlan/status/922014482473390080","922014482473390080")</f>
        <v>922014482473390080</v>
      </c>
      <c r="F1132" s="10" t="s">
        <v>39</v>
      </c>
      <c r="G1132" s="10" t="n">
        <v>183</v>
      </c>
      <c r="H1132" s="10" t="n">
        <v>328</v>
      </c>
      <c r="I1132" s="10" t="n">
        <v>0</v>
      </c>
      <c r="J1132" s="10" t="n">
        <v>0</v>
      </c>
      <c r="K1132" s="10" t="s">
        <v>20</v>
      </c>
      <c r="L1132" s="11" t="n">
        <v>42011.5542939815</v>
      </c>
      <c r="M1132" s="12" t="s">
        <v>3053</v>
      </c>
      <c r="N1132" s="12" t="s">
        <v>3054</v>
      </c>
      <c r="O1132" s="9" t="str">
        <f aca="false">HYPERLINK("https://pbs.twimg.com/profile_images/552938549482246144/E4MyoFlS_normal.png","View")</f>
        <v>View</v>
      </c>
      <c r="P1132" s="10"/>
    </row>
    <row r="1133" customFormat="false" ht="15.75" hidden="false" customHeight="false" outlineLevel="0" collapsed="false">
      <c r="A1133" s="6" t="n">
        <v>43030.0550578704</v>
      </c>
      <c r="B1133" s="7" t="str">
        <f aca="false">HYPERLINK("https://twitter.com/LazarKarapandza","@LazarKarapandza")</f>
        <v>@LazarKarapandza</v>
      </c>
      <c r="C1133" s="8" t="s">
        <v>3055</v>
      </c>
      <c r="D1133" s="8" t="s">
        <v>3007</v>
      </c>
      <c r="E1133" s="9" t="str">
        <f aca="false">HYPERLINK("https://twitter.com/LazarKarapandza/status/922014484054642688","922014484054642688")</f>
        <v>922014484054642688</v>
      </c>
      <c r="F1133" s="10" t="s">
        <v>51</v>
      </c>
      <c r="G1133" s="10" t="n">
        <v>379</v>
      </c>
      <c r="H1133" s="10" t="n">
        <v>511</v>
      </c>
      <c r="I1133" s="10" t="n">
        <v>12</v>
      </c>
      <c r="J1133" s="10" t="n">
        <v>0</v>
      </c>
      <c r="K1133" s="10" t="s">
        <v>20</v>
      </c>
      <c r="L1133" s="11" t="n">
        <v>40277.5935416667</v>
      </c>
      <c r="M1133" s="12" t="s">
        <v>380</v>
      </c>
      <c r="N1133" s="12" t="s">
        <v>3056</v>
      </c>
      <c r="O1133" s="9" t="str">
        <f aca="false">HYPERLINK("https://pbs.twimg.com/profile_images/795313634054389760/jhuWu9MQ_normal.jpg","View")</f>
        <v>View</v>
      </c>
      <c r="P1133" s="10"/>
    </row>
    <row r="1134" customFormat="false" ht="15.75" hidden="false" customHeight="false" outlineLevel="0" collapsed="false">
      <c r="A1134" s="6" t="n">
        <v>43030.0554282407</v>
      </c>
      <c r="B1134" s="7" t="str">
        <f aca="false">HYPERLINK("https://twitter.com/JoScoMac","@JoScoMac")</f>
        <v>@JoScoMac</v>
      </c>
      <c r="C1134" s="8" t="s">
        <v>192</v>
      </c>
      <c r="D1134" s="8" t="s">
        <v>3057</v>
      </c>
      <c r="E1134" s="9" t="str">
        <f aca="false">HYPERLINK("https://twitter.com/JoScoMac/status/922014614904225792","922014614904225792")</f>
        <v>922014614904225792</v>
      </c>
      <c r="F1134" s="10" t="s">
        <v>39</v>
      </c>
      <c r="G1134" s="10" t="n">
        <v>1948</v>
      </c>
      <c r="H1134" s="10" t="n">
        <v>2263</v>
      </c>
      <c r="I1134" s="10" t="n">
        <v>0</v>
      </c>
      <c r="J1134" s="10" t="n">
        <v>0</v>
      </c>
      <c r="K1134" s="10" t="s">
        <v>20</v>
      </c>
      <c r="L1134" s="11" t="n">
        <v>40555.0766898148</v>
      </c>
      <c r="M1134" s="12" t="s">
        <v>194</v>
      </c>
      <c r="N1134" s="12" t="s">
        <v>195</v>
      </c>
      <c r="O1134" s="9" t="str">
        <f aca="false">HYPERLINK("https://pbs.twimg.com/profile_images/459610975709044736/QNkUQK-a_normal.jpeg","View")</f>
        <v>View</v>
      </c>
      <c r="P1134" s="10"/>
    </row>
    <row r="1135" customFormat="false" ht="15.75" hidden="false" customHeight="false" outlineLevel="0" collapsed="false">
      <c r="A1135" s="6" t="n">
        <v>43030.0556712963</v>
      </c>
      <c r="B1135" s="7" t="str">
        <f aca="false">HYPERLINK("https://twitter.com/Tarr15t","@Tarr15t")</f>
        <v>@Tarr15t</v>
      </c>
      <c r="C1135" s="8" t="s">
        <v>3058</v>
      </c>
      <c r="D1135" s="8" t="s">
        <v>3007</v>
      </c>
      <c r="E1135" s="9" t="str">
        <f aca="false">HYPERLINK("https://twitter.com/Tarr15t/status/922014706247897089","922014706247897089")</f>
        <v>922014706247897089</v>
      </c>
      <c r="F1135" s="10" t="s">
        <v>25</v>
      </c>
      <c r="G1135" s="10" t="n">
        <v>503</v>
      </c>
      <c r="H1135" s="10" t="n">
        <v>1358</v>
      </c>
      <c r="I1135" s="10" t="n">
        <v>12</v>
      </c>
      <c r="J1135" s="10" t="n">
        <v>0</v>
      </c>
      <c r="K1135" s="10" t="s">
        <v>20</v>
      </c>
      <c r="L1135" s="11" t="n">
        <v>39891.6488773148</v>
      </c>
      <c r="M1135" s="12" t="s">
        <v>3059</v>
      </c>
      <c r="N1135" s="12" t="s">
        <v>3060</v>
      </c>
      <c r="O1135" s="9" t="str">
        <f aca="false">HYPERLINK("https://pbs.twimg.com/profile_images/907027084895293442/1keXey0Z_normal.jpg","View")</f>
        <v>View</v>
      </c>
      <c r="P1135" s="10"/>
    </row>
    <row r="1136" customFormat="false" ht="15.75" hidden="false" customHeight="false" outlineLevel="0" collapsed="false">
      <c r="A1136" s="6" t="n">
        <v>43030.055787037</v>
      </c>
      <c r="B1136" s="7" t="str">
        <f aca="false">HYPERLINK("https://twitter.com/MohamedMitha","@MohamedMitha")</f>
        <v>@MohamedMitha</v>
      </c>
      <c r="C1136" s="8" t="s">
        <v>3061</v>
      </c>
      <c r="D1136" s="8" t="s">
        <v>3062</v>
      </c>
      <c r="E1136" s="9" t="str">
        <f aca="false">HYPERLINK("https://twitter.com/MohamedMitha/status/922014745179418625","922014745179418625")</f>
        <v>922014745179418625</v>
      </c>
      <c r="F1136" s="10" t="s">
        <v>39</v>
      </c>
      <c r="G1136" s="10" t="n">
        <v>109</v>
      </c>
      <c r="H1136" s="10" t="n">
        <v>156</v>
      </c>
      <c r="I1136" s="10" t="n">
        <v>0</v>
      </c>
      <c r="J1136" s="10" t="n">
        <v>0</v>
      </c>
      <c r="K1136" s="10" t="s">
        <v>20</v>
      </c>
      <c r="L1136" s="11" t="n">
        <v>40966.1750231482</v>
      </c>
      <c r="M1136" s="12" t="s">
        <v>182</v>
      </c>
      <c r="N1136" s="12"/>
      <c r="O1136" s="9" t="str">
        <f aca="false">HYPERLINK("https://pbs.twimg.com/profile_images/754403895196192769/Lo_HX5uM_normal.jpg","View")</f>
        <v>View</v>
      </c>
      <c r="P1136" s="10"/>
    </row>
    <row r="1137" customFormat="false" ht="15.75" hidden="false" customHeight="false" outlineLevel="0" collapsed="false">
      <c r="A1137" s="6" t="n">
        <v>43030.0558217593</v>
      </c>
      <c r="B1137" s="7" t="str">
        <f aca="false">HYPERLINK("https://twitter.com/hf4tkg","@hf4tkg")</f>
        <v>@hf4tkg</v>
      </c>
      <c r="C1137" s="8" t="s">
        <v>3063</v>
      </c>
      <c r="D1137" s="8" t="s">
        <v>3007</v>
      </c>
      <c r="E1137" s="9" t="str">
        <f aca="false">HYPERLINK("https://twitter.com/hf4tkg/status/922014759091822592","922014759091822592")</f>
        <v>922014759091822592</v>
      </c>
      <c r="F1137" s="10" t="s">
        <v>39</v>
      </c>
      <c r="G1137" s="10" t="n">
        <v>109</v>
      </c>
      <c r="H1137" s="10" t="n">
        <v>34</v>
      </c>
      <c r="I1137" s="10" t="n">
        <v>12</v>
      </c>
      <c r="J1137" s="10" t="n">
        <v>0</v>
      </c>
      <c r="K1137" s="10" t="s">
        <v>20</v>
      </c>
      <c r="L1137" s="11" t="n">
        <v>40411.4248032407</v>
      </c>
      <c r="M1137" s="12"/>
      <c r="N1137" s="12"/>
      <c r="O1137" s="9" t="str">
        <f aca="false">HYPERLINK("https://abs.twimg.com/sticky/default_profile_images/default_profile_normal.png","View")</f>
        <v>View</v>
      </c>
      <c r="P1137" s="10"/>
    </row>
    <row r="1138" customFormat="false" ht="15.75" hidden="false" customHeight="false" outlineLevel="0" collapsed="false">
      <c r="A1138" s="6" t="n">
        <v>43030.0563194444</v>
      </c>
      <c r="B1138" s="7" t="str">
        <f aca="false">HYPERLINK("https://twitter.com/mw3moddedacc2","@mw3moddedacc2")</f>
        <v>@mw3moddedacc2</v>
      </c>
      <c r="C1138" s="8" t="s">
        <v>3064</v>
      </c>
      <c r="D1138" s="8" t="s">
        <v>3065</v>
      </c>
      <c r="E1138" s="9" t="str">
        <f aca="false">HYPERLINK("https://twitter.com/mw3moddedacc2/status/922014941208444929","922014941208444929")</f>
        <v>922014941208444929</v>
      </c>
      <c r="F1138" s="9" t="s">
        <v>1147</v>
      </c>
      <c r="G1138" s="10" t="n">
        <v>111</v>
      </c>
      <c r="H1138" s="10" t="n">
        <v>1139</v>
      </c>
      <c r="I1138" s="10" t="n">
        <v>0</v>
      </c>
      <c r="J1138" s="10" t="n">
        <v>0</v>
      </c>
      <c r="K1138" s="10" t="s">
        <v>20</v>
      </c>
      <c r="L1138" s="11" t="n">
        <v>42194.8690856482</v>
      </c>
      <c r="M1138" s="12"/>
      <c r="N1138" s="12" t="s">
        <v>3066</v>
      </c>
      <c r="O1138" s="9" t="str">
        <f aca="false">HYPERLINK("https://pbs.twimg.com/profile_images/699457334343561217/lcjtDg3D_normal.jpg","View")</f>
        <v>View</v>
      </c>
      <c r="P1138" s="10"/>
    </row>
    <row r="1139" customFormat="false" ht="15.75" hidden="false" customHeight="false" outlineLevel="0" collapsed="false">
      <c r="A1139" s="6" t="n">
        <v>43030.0571412037</v>
      </c>
      <c r="B1139" s="7" t="str">
        <f aca="false">HYPERLINK("https://twitter.com/VotarEsUnDeber","@VotarEsUnDeber")</f>
        <v>@VotarEsUnDeber</v>
      </c>
      <c r="C1139" s="8" t="s">
        <v>2828</v>
      </c>
      <c r="D1139" s="8" t="s">
        <v>3067</v>
      </c>
      <c r="E1139" s="9" t="str">
        <f aca="false">HYPERLINK("https://twitter.com/VotarEsUnDeber/status/922015237162913794","922015237162913794")</f>
        <v>922015237162913794</v>
      </c>
      <c r="F1139" s="10" t="s">
        <v>60</v>
      </c>
      <c r="G1139" s="10" t="n">
        <v>401</v>
      </c>
      <c r="H1139" s="10" t="n">
        <v>708</v>
      </c>
      <c r="I1139" s="10" t="n">
        <v>6</v>
      </c>
      <c r="J1139" s="10" t="n">
        <v>0</v>
      </c>
      <c r="K1139" s="10" t="s">
        <v>20</v>
      </c>
      <c r="L1139" s="11" t="n">
        <v>41541.9787037037</v>
      </c>
      <c r="M1139" s="12" t="s">
        <v>476</v>
      </c>
      <c r="N1139" s="12" t="s">
        <v>2831</v>
      </c>
      <c r="O1139" s="9" t="str">
        <f aca="false">HYPERLINK("https://pbs.twimg.com/profile_images/499209824748306432/iAeMat7D_normal.png","View")</f>
        <v>View</v>
      </c>
      <c r="P1139" s="10"/>
    </row>
    <row r="1140" customFormat="false" ht="15.75" hidden="false" customHeight="false" outlineLevel="0" collapsed="false">
      <c r="A1140" s="6" t="n">
        <v>43030.0579282407</v>
      </c>
      <c r="B1140" s="7" t="str">
        <f aca="false">HYPERLINK("https://twitter.com/VotarEsUnDeber","@VotarEsUnDeber")</f>
        <v>@VotarEsUnDeber</v>
      </c>
      <c r="C1140" s="8" t="s">
        <v>2828</v>
      </c>
      <c r="D1140" s="8" t="s">
        <v>3068</v>
      </c>
      <c r="E1140" s="9" t="str">
        <f aca="false">HYPERLINK("https://twitter.com/VotarEsUnDeber/status/922015523822559238","922015523822559238")</f>
        <v>922015523822559238</v>
      </c>
      <c r="F1140" s="10" t="s">
        <v>2830</v>
      </c>
      <c r="G1140" s="10" t="n">
        <v>401</v>
      </c>
      <c r="H1140" s="10" t="n">
        <v>708</v>
      </c>
      <c r="I1140" s="10" t="n">
        <v>6</v>
      </c>
      <c r="J1140" s="10" t="n">
        <v>0</v>
      </c>
      <c r="K1140" s="10" t="s">
        <v>20</v>
      </c>
      <c r="L1140" s="11" t="n">
        <v>41541.9787037037</v>
      </c>
      <c r="M1140" s="12" t="s">
        <v>476</v>
      </c>
      <c r="N1140" s="12" t="s">
        <v>2831</v>
      </c>
      <c r="O1140" s="9" t="str">
        <f aca="false">HYPERLINK("https://pbs.twimg.com/profile_images/499209824748306432/iAeMat7D_normal.png","View")</f>
        <v>View</v>
      </c>
      <c r="P1140" s="10"/>
    </row>
    <row r="1141" customFormat="false" ht="15.75" hidden="false" customHeight="false" outlineLevel="0" collapsed="false">
      <c r="A1141" s="6" t="n">
        <v>43030.0583912037</v>
      </c>
      <c r="B1141" s="7" t="str">
        <f aca="false">HYPERLINK("https://twitter.com/RejoiceMagNews","@RejoiceMagNews")</f>
        <v>@RejoiceMagNews</v>
      </c>
      <c r="C1141" s="8" t="s">
        <v>3069</v>
      </c>
      <c r="D1141" s="8" t="s">
        <v>3070</v>
      </c>
      <c r="E1141" s="9" t="str">
        <f aca="false">HYPERLINK("https://twitter.com/RejoiceMagNews/status/922015689350684673","922015689350684673")</f>
        <v>922015689350684673</v>
      </c>
      <c r="F1141" s="9" t="s">
        <v>1147</v>
      </c>
      <c r="G1141" s="10" t="n">
        <v>441</v>
      </c>
      <c r="H1141" s="10" t="n">
        <v>996</v>
      </c>
      <c r="I1141" s="10" t="n">
        <v>0</v>
      </c>
      <c r="J1141" s="10" t="n">
        <v>0</v>
      </c>
      <c r="K1141" s="10" t="s">
        <v>20</v>
      </c>
      <c r="L1141" s="11" t="n">
        <v>41069.4606944444</v>
      </c>
      <c r="M1141" s="12" t="s">
        <v>3071</v>
      </c>
      <c r="N1141" s="12" t="s">
        <v>3072</v>
      </c>
      <c r="O1141" s="9" t="str">
        <f aca="false">HYPERLINK("https://pbs.twimg.com/profile_images/552214986681221121/aEONYwJk_normal.jpeg","View")</f>
        <v>View</v>
      </c>
      <c r="P1141" s="10"/>
    </row>
    <row r="1142" customFormat="false" ht="15.75" hidden="false" customHeight="false" outlineLevel="0" collapsed="false">
      <c r="A1142" s="6" t="n">
        <v>43030.0586342593</v>
      </c>
      <c r="B1142" s="7" t="str">
        <f aca="false">HYPERLINK("https://twitter.com/LucySullivan888","@LucySullivan888")</f>
        <v>@LucySullivan888</v>
      </c>
      <c r="C1142" s="8" t="s">
        <v>3073</v>
      </c>
      <c r="D1142" s="8" t="s">
        <v>3074</v>
      </c>
      <c r="E1142" s="9" t="str">
        <f aca="false">HYPERLINK("https://twitter.com/LucySullivan888/status/922015778848759808","922015778848759808")</f>
        <v>922015778848759808</v>
      </c>
      <c r="F1142" s="10" t="s">
        <v>177</v>
      </c>
      <c r="G1142" s="10" t="n">
        <v>5559</v>
      </c>
      <c r="H1142" s="10" t="n">
        <v>5251</v>
      </c>
      <c r="I1142" s="10" t="n">
        <v>1</v>
      </c>
      <c r="J1142" s="10" t="n">
        <v>0</v>
      </c>
      <c r="K1142" s="10" t="s">
        <v>20</v>
      </c>
      <c r="L1142" s="11" t="n">
        <v>42114.8256481482</v>
      </c>
      <c r="M1142" s="12" t="s">
        <v>3075</v>
      </c>
      <c r="N1142" s="12" t="s">
        <v>3076</v>
      </c>
      <c r="O1142" s="9" t="str">
        <f aca="false">HYPERLINK("https://pbs.twimg.com/profile_images/849928840495243264/ZgmykXak_normal.jpg","View")</f>
        <v>View</v>
      </c>
      <c r="P1142" s="10"/>
    </row>
    <row r="1143" customFormat="false" ht="15.75" hidden="false" customHeight="false" outlineLevel="0" collapsed="false">
      <c r="A1143" s="6" t="n">
        <v>43030.060625</v>
      </c>
      <c r="B1143" s="7" t="str">
        <f aca="false">HYPERLINK("https://twitter.com/SurveySunday","@SurveySunday")</f>
        <v>@SurveySunday</v>
      </c>
      <c r="C1143" s="8" t="s">
        <v>2821</v>
      </c>
      <c r="D1143" s="8" t="s">
        <v>3068</v>
      </c>
      <c r="E1143" s="9" t="str">
        <f aca="false">HYPERLINK("https://twitter.com/SurveySunday/status/922016498050322432","922016498050322432")</f>
        <v>922016498050322432</v>
      </c>
      <c r="F1143" s="10" t="s">
        <v>2845</v>
      </c>
      <c r="G1143" s="10" t="n">
        <v>644</v>
      </c>
      <c r="H1143" s="10" t="n">
        <v>43</v>
      </c>
      <c r="I1143" s="10" t="n">
        <v>6</v>
      </c>
      <c r="J1143" s="10" t="n">
        <v>0</v>
      </c>
      <c r="K1143" s="10" t="s">
        <v>20</v>
      </c>
      <c r="L1143" s="11" t="n">
        <v>42757.5905208333</v>
      </c>
      <c r="M1143" s="12" t="s">
        <v>651</v>
      </c>
      <c r="N1143" s="12" t="s">
        <v>2823</v>
      </c>
      <c r="O1143" s="9" t="str">
        <f aca="false">HYPERLINK("https://pbs.twimg.com/profile_images/823540107051470848/H_T9Fdk__normal.jpg","View")</f>
        <v>View</v>
      </c>
      <c r="P1143" s="10"/>
    </row>
    <row r="1144" customFormat="false" ht="15.75" hidden="false" customHeight="false" outlineLevel="0" collapsed="false">
      <c r="A1144" s="6" t="n">
        <v>43030.0613541667</v>
      </c>
      <c r="B1144" s="7" t="str">
        <f aca="false">HYPERLINK("https://twitter.com/DailyPsalms365","@DailyPsalms365")</f>
        <v>@DailyPsalms365</v>
      </c>
      <c r="C1144" s="8" t="s">
        <v>2854</v>
      </c>
      <c r="D1144" s="8" t="s">
        <v>3068</v>
      </c>
      <c r="E1144" s="9" t="str">
        <f aca="false">HYPERLINK("https://twitter.com/DailyPsalms365/status/922016763189002240","922016763189002240")</f>
        <v>922016763189002240</v>
      </c>
      <c r="F1144" s="10" t="s">
        <v>2855</v>
      </c>
      <c r="G1144" s="10" t="n">
        <v>937</v>
      </c>
      <c r="H1144" s="10" t="n">
        <v>56</v>
      </c>
      <c r="I1144" s="10" t="n">
        <v>6</v>
      </c>
      <c r="J1144" s="10" t="n">
        <v>0</v>
      </c>
      <c r="K1144" s="10" t="s">
        <v>20</v>
      </c>
      <c r="L1144" s="11" t="n">
        <v>42758.4451157408</v>
      </c>
      <c r="M1144" s="12" t="s">
        <v>651</v>
      </c>
      <c r="N1144" s="12" t="s">
        <v>2856</v>
      </c>
      <c r="O1144" s="9" t="str">
        <f aca="false">HYPERLINK("https://pbs.twimg.com/profile_images/823606803439218690/rW5Z8l_s_normal.jpg","View")</f>
        <v>View</v>
      </c>
      <c r="P1144" s="10"/>
    </row>
    <row r="1145" customFormat="false" ht="15.75" hidden="false" customHeight="false" outlineLevel="0" collapsed="false">
      <c r="A1145" s="6" t="n">
        <v>43030.0618634259</v>
      </c>
      <c r="B1145" s="7" t="str">
        <f aca="false">HYPERLINK("https://twitter.com/tokyotyrell","@tokyotyrell")</f>
        <v>@tokyotyrell</v>
      </c>
      <c r="C1145" s="8" t="s">
        <v>2548</v>
      </c>
      <c r="D1145" s="8" t="s">
        <v>3077</v>
      </c>
      <c r="E1145" s="9" t="str">
        <f aca="false">HYPERLINK("https://twitter.com/tokyotyrell/status/922016947394330625","922016947394330625")</f>
        <v>922016947394330625</v>
      </c>
      <c r="F1145" s="10" t="s">
        <v>51</v>
      </c>
      <c r="G1145" s="10" t="n">
        <v>1730</v>
      </c>
      <c r="H1145" s="10" t="n">
        <v>1528</v>
      </c>
      <c r="I1145" s="10" t="n">
        <v>1</v>
      </c>
      <c r="J1145" s="10" t="n">
        <v>0</v>
      </c>
      <c r="K1145" s="10" t="s">
        <v>20</v>
      </c>
      <c r="L1145" s="11" t="n">
        <v>39783.0461458333</v>
      </c>
      <c r="M1145" s="12" t="s">
        <v>2549</v>
      </c>
      <c r="N1145" s="12" t="s">
        <v>2550</v>
      </c>
      <c r="O1145" s="9" t="str">
        <f aca="false">HYPERLINK("https://pbs.twimg.com/profile_images/663718527849754624/U-hH8262_normal.jpg","View")</f>
        <v>View</v>
      </c>
      <c r="P1145" s="10"/>
    </row>
    <row r="1146" customFormat="false" ht="15.75" hidden="false" customHeight="false" outlineLevel="0" collapsed="false">
      <c r="A1146" s="6" t="n">
        <v>43030.0623148148</v>
      </c>
      <c r="B1146" s="7" t="str">
        <f aca="false">HYPERLINK("https://twitter.com/ibaheishitsudo","@ibaheishitsudo")</f>
        <v>@ibaheishitsudo</v>
      </c>
      <c r="C1146" s="8" t="s">
        <v>3078</v>
      </c>
      <c r="D1146" s="8" t="s">
        <v>3079</v>
      </c>
      <c r="E1146" s="9" t="str">
        <f aca="false">HYPERLINK("https://twitter.com/ibaheishitsudo/status/922017112461316096","922017112461316096")</f>
        <v>922017112461316096</v>
      </c>
      <c r="F1146" s="10" t="s">
        <v>39</v>
      </c>
      <c r="G1146" s="10" t="n">
        <v>57</v>
      </c>
      <c r="H1146" s="10" t="n">
        <v>0</v>
      </c>
      <c r="I1146" s="10" t="n">
        <v>0</v>
      </c>
      <c r="J1146" s="10" t="n">
        <v>0</v>
      </c>
      <c r="K1146" s="10" t="s">
        <v>20</v>
      </c>
      <c r="L1146" s="11" t="n">
        <v>40284.0894328704</v>
      </c>
      <c r="M1146" s="12" t="s">
        <v>3080</v>
      </c>
      <c r="N1146" s="12" t="s">
        <v>3081</v>
      </c>
      <c r="O1146" s="9" t="str">
        <f aca="false">HYPERLINK("https://pbs.twimg.com/profile_images/825775733997973505/QTRsPotc_normal.jpg","View")</f>
        <v>View</v>
      </c>
      <c r="P1146" s="10"/>
    </row>
    <row r="1147" customFormat="false" ht="15.75" hidden="false" customHeight="false" outlineLevel="0" collapsed="false">
      <c r="A1147" s="6" t="n">
        <v>43030.0628819444</v>
      </c>
      <c r="B1147" s="7" t="str">
        <f aca="false">HYPERLINK("https://twitter.com/twit48aa","@twit48aa")</f>
        <v>@twit48aa</v>
      </c>
      <c r="C1147" s="8" t="s">
        <v>2800</v>
      </c>
      <c r="D1147" s="8" t="s">
        <v>3082</v>
      </c>
      <c r="E1147" s="9" t="str">
        <f aca="false">HYPERLINK("https://twitter.com/twit48aa/status/922017319622270977","922017319622270977")</f>
        <v>922017319622270977</v>
      </c>
      <c r="F1147" s="10" t="s">
        <v>60</v>
      </c>
      <c r="G1147" s="10" t="n">
        <v>10</v>
      </c>
      <c r="H1147" s="10" t="n">
        <v>77</v>
      </c>
      <c r="I1147" s="10" t="n">
        <v>0</v>
      </c>
      <c r="J1147" s="10" t="n">
        <v>0</v>
      </c>
      <c r="K1147" s="10" t="s">
        <v>20</v>
      </c>
      <c r="L1147" s="11" t="n">
        <v>41375.2227430556</v>
      </c>
      <c r="M1147" s="12" t="s">
        <v>2802</v>
      </c>
      <c r="N1147" s="12" t="s">
        <v>2803</v>
      </c>
      <c r="O1147" s="9" t="str">
        <f aca="false">HYPERLINK("https://pbs.twimg.com/profile_images/3506164379/590ab77a416cbb6b88d0f6abb07e22fe_normal.jpeg","View")</f>
        <v>View</v>
      </c>
      <c r="P1147" s="10"/>
    </row>
    <row r="1148" customFormat="false" ht="15.75" hidden="false" customHeight="false" outlineLevel="0" collapsed="false">
      <c r="A1148" s="6" t="n">
        <v>43030.0633101852</v>
      </c>
      <c r="B1148" s="7" t="str">
        <f aca="false">HYPERLINK("https://twitter.com/timelivenews","@timelivenews")</f>
        <v>@timelivenews</v>
      </c>
      <c r="C1148" s="8" t="s">
        <v>3083</v>
      </c>
      <c r="D1148" s="8" t="s">
        <v>3084</v>
      </c>
      <c r="E1148" s="9" t="str">
        <f aca="false">HYPERLINK("https://twitter.com/timelivenews/status/922017474534690816","922017474534690816")</f>
        <v>922017474534690816</v>
      </c>
      <c r="F1148" s="10" t="s">
        <v>1773</v>
      </c>
      <c r="G1148" s="10" t="n">
        <v>1008</v>
      </c>
      <c r="H1148" s="10" t="n">
        <v>1998</v>
      </c>
      <c r="I1148" s="10" t="n">
        <v>0</v>
      </c>
      <c r="J1148" s="10" t="n">
        <v>0</v>
      </c>
      <c r="K1148" s="10" t="s">
        <v>20</v>
      </c>
      <c r="L1148" s="11" t="n">
        <v>41173.318912037</v>
      </c>
      <c r="M1148" s="12"/>
      <c r="N1148" s="12"/>
      <c r="O1148" s="9" t="str">
        <f aca="false">HYPERLINK("https://pbs.twimg.com/profile_images/2645914047/c79803e0dea4e4b85f99f5b019bf0f4c_normal.png","View")</f>
        <v>View</v>
      </c>
      <c r="P1148" s="10"/>
    </row>
    <row r="1149" customFormat="false" ht="15.75" hidden="false" customHeight="false" outlineLevel="0" collapsed="false">
      <c r="A1149" s="6" t="n">
        <v>43030.064224537</v>
      </c>
      <c r="B1149" s="7" t="str">
        <f aca="false">HYPERLINK("https://twitter.com/StandWithMarco_","@StandWithMarco_")</f>
        <v>@StandWithMarco_</v>
      </c>
      <c r="C1149" s="8" t="s">
        <v>2860</v>
      </c>
      <c r="D1149" s="8" t="s">
        <v>3068</v>
      </c>
      <c r="E1149" s="9" t="str">
        <f aca="false">HYPERLINK("https://twitter.com/StandWithMarco_/status/922017802550202369","922017802550202369")</f>
        <v>922017802550202369</v>
      </c>
      <c r="F1149" s="10" t="s">
        <v>2861</v>
      </c>
      <c r="G1149" s="10" t="n">
        <v>356</v>
      </c>
      <c r="H1149" s="10" t="n">
        <v>203</v>
      </c>
      <c r="I1149" s="10" t="n">
        <v>6</v>
      </c>
      <c r="J1149" s="10" t="n">
        <v>0</v>
      </c>
      <c r="K1149" s="10" t="s">
        <v>20</v>
      </c>
      <c r="L1149" s="11" t="n">
        <v>42373.3474884259</v>
      </c>
      <c r="M1149" s="12"/>
      <c r="N1149" s="12"/>
      <c r="O1149" s="9" t="str">
        <f aca="false">HYPERLINK("https://pbs.twimg.com/profile_images/684048556609662976/Br4pKKhi_normal.png","View")</f>
        <v>View</v>
      </c>
      <c r="P1149" s="10"/>
    </row>
    <row r="1150" customFormat="false" ht="15.75" hidden="false" customHeight="false" outlineLevel="0" collapsed="false">
      <c r="A1150" s="6" t="n">
        <v>43030.064525463</v>
      </c>
      <c r="B1150" s="7" t="str">
        <f aca="false">HYPERLINK("https://twitter.com/MiamiGives","@MiamiGives")</f>
        <v>@MiamiGives</v>
      </c>
      <c r="C1150" s="8" t="s">
        <v>2862</v>
      </c>
      <c r="D1150" s="8" t="s">
        <v>3068</v>
      </c>
      <c r="E1150" s="9" t="str">
        <f aca="false">HYPERLINK("https://twitter.com/MiamiGives/status/922017914500321280","922017914500321280")</f>
        <v>922017914500321280</v>
      </c>
      <c r="F1150" s="10" t="s">
        <v>2863</v>
      </c>
      <c r="G1150" s="10" t="n">
        <v>2484</v>
      </c>
      <c r="H1150" s="10" t="n">
        <v>741</v>
      </c>
      <c r="I1150" s="10" t="n">
        <v>6</v>
      </c>
      <c r="J1150" s="10" t="n">
        <v>0</v>
      </c>
      <c r="K1150" s="10" t="s">
        <v>20</v>
      </c>
      <c r="L1150" s="11" t="n">
        <v>42335.5602199074</v>
      </c>
      <c r="M1150" s="12" t="s">
        <v>476</v>
      </c>
      <c r="N1150" s="12" t="s">
        <v>2864</v>
      </c>
      <c r="O1150" s="9" t="str">
        <f aca="false">HYPERLINK("https://pbs.twimg.com/profile_images/684467898329481220/7wpkgfWQ_normal.png","View")</f>
        <v>View</v>
      </c>
      <c r="P1150" s="10"/>
    </row>
    <row r="1151" customFormat="false" ht="15.75" hidden="false" customHeight="false" outlineLevel="0" collapsed="false">
      <c r="A1151" s="6" t="n">
        <v>43030.0661226852</v>
      </c>
      <c r="B1151" s="7" t="str">
        <f aca="false">HYPERLINK("https://twitter.com/iTweet_News","@iTweet_News")</f>
        <v>@iTweet_News</v>
      </c>
      <c r="C1151" s="8" t="s">
        <v>3085</v>
      </c>
      <c r="D1151" s="8" t="s">
        <v>3086</v>
      </c>
      <c r="E1151" s="9" t="str">
        <f aca="false">HYPERLINK("https://twitter.com/iTweet_News/status/922018492198637568","922018492198637568")</f>
        <v>922018492198637568</v>
      </c>
      <c r="F1151" s="10" t="s">
        <v>60</v>
      </c>
      <c r="G1151" s="10" t="n">
        <v>755</v>
      </c>
      <c r="H1151" s="10" t="n">
        <v>1578</v>
      </c>
      <c r="I1151" s="10" t="n">
        <v>0</v>
      </c>
      <c r="J1151" s="10" t="n">
        <v>0</v>
      </c>
      <c r="K1151" s="10" t="s">
        <v>20</v>
      </c>
      <c r="L1151" s="11" t="n">
        <v>42812.1355439815</v>
      </c>
      <c r="M1151" s="12" t="s">
        <v>1143</v>
      </c>
      <c r="N1151" s="12" t="s">
        <v>3087</v>
      </c>
      <c r="O1151" s="9" t="str">
        <f aca="false">HYPERLINK("https://pbs.twimg.com/profile_images/843045177942036480/agM8GR51_normal.jpg","View")</f>
        <v>View</v>
      </c>
      <c r="P1151" s="10"/>
    </row>
    <row r="1152" customFormat="false" ht="15.75" hidden="false" customHeight="false" outlineLevel="0" collapsed="false">
      <c r="A1152" s="6" t="n">
        <v>43030.0666666667</v>
      </c>
      <c r="B1152" s="7" t="str">
        <f aca="false">HYPERLINK("https://twitter.com/PM_Thornton","@PM_Thornton")</f>
        <v>@PM_Thornton</v>
      </c>
      <c r="C1152" s="8" t="s">
        <v>3088</v>
      </c>
      <c r="D1152" s="8" t="s">
        <v>3089</v>
      </c>
      <c r="E1152" s="9" t="str">
        <f aca="false">HYPERLINK("https://twitter.com/PM_Thornton/status/922018689565704193","922018689565704193")</f>
        <v>922018689565704193</v>
      </c>
      <c r="F1152" s="10" t="s">
        <v>276</v>
      </c>
      <c r="G1152" s="10" t="n">
        <v>1573</v>
      </c>
      <c r="H1152" s="10" t="n">
        <v>96</v>
      </c>
      <c r="I1152" s="10" t="n">
        <v>3</v>
      </c>
      <c r="J1152" s="10" t="n">
        <v>9</v>
      </c>
      <c r="K1152" s="10" t="s">
        <v>20</v>
      </c>
      <c r="L1152" s="11" t="n">
        <v>42567.612650463</v>
      </c>
      <c r="M1152" s="12" t="s">
        <v>3090</v>
      </c>
      <c r="N1152" s="12" t="s">
        <v>3091</v>
      </c>
      <c r="O1152" s="9" t="str">
        <f aca="false">HYPERLINK("https://pbs.twimg.com/profile_images/817477553464209408/H4oWGcyM_normal.jpg","View")</f>
        <v>View</v>
      </c>
      <c r="P1152" s="10"/>
    </row>
    <row r="1153" customFormat="false" ht="15.75" hidden="false" customHeight="false" outlineLevel="0" collapsed="false">
      <c r="A1153" s="6" t="n">
        <v>43030.0667824074</v>
      </c>
      <c r="B1153" s="7" t="str">
        <f aca="false">HYPERLINK("https://twitter.com/tallison46","@tallison46")</f>
        <v>@tallison46</v>
      </c>
      <c r="C1153" s="8" t="s">
        <v>3092</v>
      </c>
      <c r="D1153" s="8" t="s">
        <v>3093</v>
      </c>
      <c r="E1153" s="9" t="str">
        <f aca="false">HYPERLINK("https://twitter.com/tallison46/status/922018731961737216","922018731961737216")</f>
        <v>922018731961737216</v>
      </c>
      <c r="F1153" s="10" t="s">
        <v>39</v>
      </c>
      <c r="G1153" s="10" t="n">
        <v>484</v>
      </c>
      <c r="H1153" s="10" t="n">
        <v>461</v>
      </c>
      <c r="I1153" s="10" t="n">
        <v>1</v>
      </c>
      <c r="J1153" s="10" t="n">
        <v>2</v>
      </c>
      <c r="K1153" s="10" t="s">
        <v>20</v>
      </c>
      <c r="L1153" s="11" t="n">
        <v>39581.7305671296</v>
      </c>
      <c r="M1153" s="12" t="s">
        <v>3094</v>
      </c>
      <c r="N1153" s="12"/>
      <c r="O1153" s="9" t="str">
        <f aca="false">HYPERLINK("https://pbs.twimg.com/profile_images/446387267/boots_normal.jpg","View")</f>
        <v>View</v>
      </c>
      <c r="P1153" s="10"/>
    </row>
    <row r="1154" customFormat="false" ht="15.75" hidden="false" customHeight="false" outlineLevel="0" collapsed="false">
      <c r="A1154" s="6" t="n">
        <v>43030.0673263889</v>
      </c>
      <c r="B1154" s="7" t="str">
        <f aca="false">HYPERLINK("https://twitter.com/lopezgovlaw","@lopezgovlaw")</f>
        <v>@lopezgovlaw</v>
      </c>
      <c r="C1154" s="8" t="s">
        <v>2865</v>
      </c>
      <c r="D1154" s="8" t="s">
        <v>3068</v>
      </c>
      <c r="E1154" s="9" t="str">
        <f aca="false">HYPERLINK("https://twitter.com/lopezgovlaw/status/922018927689027585","922018927689027585")</f>
        <v>922018927689027585</v>
      </c>
      <c r="F1154" s="10" t="s">
        <v>2866</v>
      </c>
      <c r="G1154" s="10" t="n">
        <v>7196</v>
      </c>
      <c r="H1154" s="10" t="n">
        <v>1676</v>
      </c>
      <c r="I1154" s="10" t="n">
        <v>6</v>
      </c>
      <c r="J1154" s="10" t="n">
        <v>0</v>
      </c>
      <c r="K1154" s="10" t="s">
        <v>20</v>
      </c>
      <c r="L1154" s="11" t="n">
        <v>40142.8209490741</v>
      </c>
      <c r="M1154" s="12" t="s">
        <v>2867</v>
      </c>
      <c r="N1154" s="12" t="s">
        <v>2868</v>
      </c>
      <c r="O1154" s="9" t="str">
        <f aca="false">HYPERLINK("https://pbs.twimg.com/profile_images/612000460342448128/Xgz6KteQ_normal.jpg","View")</f>
        <v>View</v>
      </c>
      <c r="P1154" s="10"/>
    </row>
    <row r="1155" customFormat="false" ht="15.75" hidden="false" customHeight="false" outlineLevel="0" collapsed="false">
      <c r="A1155" s="6" t="n">
        <v>43030.0681134259</v>
      </c>
      <c r="B1155" s="7" t="str">
        <f aca="false">HYPERLINK("https://twitter.com/jondknight","@jondknight")</f>
        <v>@jondknight</v>
      </c>
      <c r="C1155" s="8" t="s">
        <v>3095</v>
      </c>
      <c r="D1155" s="8" t="s">
        <v>3096</v>
      </c>
      <c r="E1155" s="9" t="str">
        <f aca="false">HYPERLINK("https://twitter.com/jondknight/status/922019211936960512","922019211936960512")</f>
        <v>922019211936960512</v>
      </c>
      <c r="F1155" s="10" t="s">
        <v>39</v>
      </c>
      <c r="G1155" s="10" t="n">
        <v>470</v>
      </c>
      <c r="H1155" s="10" t="n">
        <v>2252</v>
      </c>
      <c r="I1155" s="10" t="n">
        <v>0</v>
      </c>
      <c r="J1155" s="10" t="n">
        <v>0</v>
      </c>
      <c r="K1155" s="10" t="s">
        <v>20</v>
      </c>
      <c r="L1155" s="11" t="n">
        <v>40461.2127314815</v>
      </c>
      <c r="M1155" s="12"/>
      <c r="N1155" s="12"/>
      <c r="O1155" s="9" t="str">
        <f aca="false">HYPERLINK("https://abs.twimg.com/sticky/default_profile_images/default_profile_normal.png","View")</f>
        <v>View</v>
      </c>
      <c r="P1155" s="10"/>
    </row>
    <row r="1156" customFormat="false" ht="15.75" hidden="false" customHeight="false" outlineLevel="0" collapsed="false">
      <c r="A1156" s="6" t="n">
        <v>43030.0709606482</v>
      </c>
      <c r="B1156" s="7" t="str">
        <f aca="false">HYPERLINK("https://twitter.com/RTGWorld","@RTGWorld")</f>
        <v>@RTGWorld</v>
      </c>
      <c r="C1156" s="8" t="s">
        <v>1678</v>
      </c>
      <c r="D1156" s="8" t="s">
        <v>3097</v>
      </c>
      <c r="E1156" s="9" t="str">
        <f aca="false">HYPERLINK("https://twitter.com/RTGWorld/status/922020247120568320","922020247120568320")</f>
        <v>922020247120568320</v>
      </c>
      <c r="F1156" s="10" t="s">
        <v>60</v>
      </c>
      <c r="G1156" s="10" t="n">
        <v>354</v>
      </c>
      <c r="H1156" s="10" t="n">
        <v>5</v>
      </c>
      <c r="I1156" s="10" t="n">
        <v>0</v>
      </c>
      <c r="J1156" s="10" t="n">
        <v>0</v>
      </c>
      <c r="K1156" s="10" t="s">
        <v>20</v>
      </c>
      <c r="L1156" s="11" t="n">
        <v>42111.1254976852</v>
      </c>
      <c r="M1156" s="12"/>
      <c r="N1156" s="12"/>
      <c r="O1156" s="9" t="str">
        <f aca="false">HYPERLINK("https://pbs.twimg.com/profile_images/621177630109249536/Dn9SiFvI_normal.png","View")</f>
        <v>View</v>
      </c>
      <c r="P1156" s="10"/>
    </row>
    <row r="1157" customFormat="false" ht="15.75" hidden="false" customHeight="false" outlineLevel="0" collapsed="false">
      <c r="A1157" s="6" t="n">
        <v>43030.0710416667</v>
      </c>
      <c r="B1157" s="7" t="str">
        <f aca="false">HYPERLINK("https://twitter.com/icewinddale1","@icewinddale1")</f>
        <v>@icewinddale1</v>
      </c>
      <c r="C1157" s="8" t="s">
        <v>3098</v>
      </c>
      <c r="D1157" s="8" t="s">
        <v>3007</v>
      </c>
      <c r="E1157" s="9" t="str">
        <f aca="false">HYPERLINK("https://twitter.com/icewinddale1/status/922020274580619264","922020274580619264")</f>
        <v>922020274580619264</v>
      </c>
      <c r="F1157" s="10" t="s">
        <v>25</v>
      </c>
      <c r="G1157" s="10" t="n">
        <v>477</v>
      </c>
      <c r="H1157" s="10" t="n">
        <v>1517</v>
      </c>
      <c r="I1157" s="10" t="n">
        <v>12</v>
      </c>
      <c r="J1157" s="10" t="n">
        <v>0</v>
      </c>
      <c r="K1157" s="10" t="s">
        <v>20</v>
      </c>
      <c r="L1157" s="11" t="n">
        <v>40688.4981712963</v>
      </c>
      <c r="M1157" s="12"/>
      <c r="N1157" s="12" t="s">
        <v>3099</v>
      </c>
      <c r="O1157" s="9" t="str">
        <f aca="false">HYPERLINK("https://pbs.twimg.com/profile_images/503974386676678656/Ertr3Pdy_normal.jpeg","View")</f>
        <v>View</v>
      </c>
      <c r="P1157" s="10"/>
    </row>
    <row r="1158" customFormat="false" ht="15.75" hidden="false" customHeight="false" outlineLevel="0" collapsed="false">
      <c r="A1158" s="6" t="n">
        <v>43030.0710648148</v>
      </c>
      <c r="B1158" s="7" t="str">
        <f aca="false">HYPERLINK("https://twitter.com/UKElect070515","@UKElect070515")</f>
        <v>@UKElect070515</v>
      </c>
      <c r="C1158" s="8" t="s">
        <v>3100</v>
      </c>
      <c r="D1158" s="8" t="s">
        <v>3101</v>
      </c>
      <c r="E1158" s="9" t="str">
        <f aca="false">HYPERLINK("https://twitter.com/UKElect070515/status/922020281262268416","922020281262268416")</f>
        <v>922020281262268416</v>
      </c>
      <c r="F1158" s="10" t="s">
        <v>60</v>
      </c>
      <c r="G1158" s="10" t="n">
        <v>71</v>
      </c>
      <c r="H1158" s="10" t="n">
        <v>277</v>
      </c>
      <c r="I1158" s="10" t="n">
        <v>0</v>
      </c>
      <c r="J1158" s="10" t="n">
        <v>0</v>
      </c>
      <c r="K1158" s="10" t="s">
        <v>20</v>
      </c>
      <c r="L1158" s="11" t="n">
        <v>42077.5036574074</v>
      </c>
      <c r="M1158" s="12"/>
      <c r="N1158" s="12" t="s">
        <v>3102</v>
      </c>
      <c r="O1158" s="9" t="str">
        <f aca="false">HYPERLINK("https://pbs.twimg.com/profile_images/582431924133728256/jbqYZCMv_normal.png","View")</f>
        <v>View</v>
      </c>
      <c r="P1158" s="10"/>
    </row>
    <row r="1159" customFormat="false" ht="15.75" hidden="false" customHeight="false" outlineLevel="0" collapsed="false">
      <c r="A1159" s="6" t="n">
        <v>43030.0737152778</v>
      </c>
      <c r="B1159" s="7" t="str">
        <f aca="false">HYPERLINK("https://twitter.com/souhaku4","@souhaku4")</f>
        <v>@souhaku4</v>
      </c>
      <c r="C1159" s="14" t="s">
        <v>3103</v>
      </c>
      <c r="D1159" s="8" t="s">
        <v>3007</v>
      </c>
      <c r="E1159" s="9" t="str">
        <f aca="false">HYPERLINK("https://twitter.com/souhaku4/status/922021242760175618","922021242760175618")</f>
        <v>922021242760175618</v>
      </c>
      <c r="F1159" s="10" t="s">
        <v>39</v>
      </c>
      <c r="G1159" s="10" t="n">
        <v>274</v>
      </c>
      <c r="H1159" s="10" t="n">
        <v>267</v>
      </c>
      <c r="I1159" s="10" t="n">
        <v>12</v>
      </c>
      <c r="J1159" s="10" t="n">
        <v>0</v>
      </c>
      <c r="K1159" s="10" t="s">
        <v>20</v>
      </c>
      <c r="L1159" s="11" t="n">
        <v>40605.0432638889</v>
      </c>
      <c r="M1159" s="13" t="s">
        <v>3104</v>
      </c>
      <c r="N1159" s="13" t="s">
        <v>3105</v>
      </c>
      <c r="O1159" s="9" t="str">
        <f aca="false">HYPERLINK("https://pbs.twimg.com/profile_images/1260402308/081130_1539_010001_normal.jpg","View")</f>
        <v>View</v>
      </c>
      <c r="P1159" s="10"/>
    </row>
    <row r="1160" customFormat="false" ht="15.75" hidden="false" customHeight="false" outlineLevel="0" collapsed="false">
      <c r="A1160" s="6" t="n">
        <v>43030.0800694445</v>
      </c>
      <c r="B1160" s="7" t="str">
        <f aca="false">HYPERLINK("https://twitter.com/tallison46","@tallison46")</f>
        <v>@tallison46</v>
      </c>
      <c r="C1160" s="8" t="s">
        <v>3092</v>
      </c>
      <c r="D1160" s="8" t="s">
        <v>3106</v>
      </c>
      <c r="E1160" s="9" t="str">
        <f aca="false">HYPERLINK("https://twitter.com/tallison46/status/922023547207172102","922023547207172102")</f>
        <v>922023547207172102</v>
      </c>
      <c r="F1160" s="10" t="s">
        <v>1017</v>
      </c>
      <c r="G1160" s="10" t="n">
        <v>484</v>
      </c>
      <c r="H1160" s="10" t="n">
        <v>461</v>
      </c>
      <c r="I1160" s="10" t="n">
        <v>1</v>
      </c>
      <c r="J1160" s="10" t="n">
        <v>0</v>
      </c>
      <c r="K1160" s="10" t="s">
        <v>20</v>
      </c>
      <c r="L1160" s="11" t="n">
        <v>39581.7305671296</v>
      </c>
      <c r="M1160" s="12" t="s">
        <v>3094</v>
      </c>
      <c r="N1160" s="12"/>
      <c r="O1160" s="9" t="str">
        <f aca="false">HYPERLINK("https://pbs.twimg.com/profile_images/446387267/boots_normal.jpg","View")</f>
        <v>View</v>
      </c>
      <c r="P1160" s="10"/>
    </row>
    <row r="1161" customFormat="false" ht="15.75" hidden="false" customHeight="false" outlineLevel="0" collapsed="false">
      <c r="A1161" s="6" t="n">
        <v>43030.0824074074</v>
      </c>
      <c r="B1161" s="7" t="str">
        <f aca="false">HYPERLINK("https://twitter.com/Mondestuff","@Mondestuff")</f>
        <v>@Mondestuff</v>
      </c>
      <c r="C1161" s="8" t="s">
        <v>2975</v>
      </c>
      <c r="D1161" s="8" t="s">
        <v>3107</v>
      </c>
      <c r="E1161" s="9" t="str">
        <f aca="false">HYPERLINK("https://twitter.com/Mondestuff/status/922024392133173248","922024392133173248")</f>
        <v>922024392133173248</v>
      </c>
      <c r="F1161" s="10" t="s">
        <v>60</v>
      </c>
      <c r="G1161" s="10" t="n">
        <v>333</v>
      </c>
      <c r="H1161" s="10" t="n">
        <v>1780</v>
      </c>
      <c r="I1161" s="10" t="n">
        <v>0</v>
      </c>
      <c r="J1161" s="10" t="n">
        <v>0</v>
      </c>
      <c r="K1161" s="10" t="s">
        <v>20</v>
      </c>
      <c r="L1161" s="11" t="n">
        <v>42379.9227199074</v>
      </c>
      <c r="M1161" s="12"/>
      <c r="N1161" s="12"/>
      <c r="O1161" s="9" t="str">
        <f aca="false">HYPERLINK("https://pbs.twimg.com/profile_images/914202709212975104/aDTP0-5n_normal.jpg","View")</f>
        <v>View</v>
      </c>
      <c r="P1161" s="10"/>
    </row>
    <row r="1162" customFormat="false" ht="15.75" hidden="false" customHeight="false" outlineLevel="0" collapsed="false">
      <c r="A1162" s="6" t="n">
        <v>43030.0837962963</v>
      </c>
      <c r="B1162" s="7" t="str">
        <f aca="false">HYPERLINK("https://twitter.com/helenyg","@helenyg")</f>
        <v>@helenyg</v>
      </c>
      <c r="C1162" s="8" t="s">
        <v>3108</v>
      </c>
      <c r="D1162" s="8" t="s">
        <v>3109</v>
      </c>
      <c r="E1162" s="9" t="str">
        <f aca="false">HYPERLINK("https://twitter.com/helenyg/status/922024895151853568","922024895151853568")</f>
        <v>922024895151853568</v>
      </c>
      <c r="F1162" s="10" t="s">
        <v>51</v>
      </c>
      <c r="G1162" s="10" t="n">
        <v>16161</v>
      </c>
      <c r="H1162" s="10" t="n">
        <v>12151</v>
      </c>
      <c r="I1162" s="10" t="n">
        <v>0</v>
      </c>
      <c r="J1162" s="10" t="n">
        <v>0</v>
      </c>
      <c r="K1162" s="10" t="s">
        <v>20</v>
      </c>
      <c r="L1162" s="11" t="n">
        <v>39867.644212963</v>
      </c>
      <c r="M1162" s="12" t="s">
        <v>3110</v>
      </c>
      <c r="N1162" s="12" t="s">
        <v>3111</v>
      </c>
      <c r="O1162" s="9" t="str">
        <f aca="false">HYPERLINK("https://pbs.twimg.com/profile_images/892043485901180929/FaysL7Ok_normal.jpg","View")</f>
        <v>View</v>
      </c>
      <c r="P1162" s="10"/>
    </row>
    <row r="1163" customFormat="false" ht="15.75" hidden="false" customHeight="false" outlineLevel="0" collapsed="false">
      <c r="A1163" s="6" t="n">
        <v>43030.0859837963</v>
      </c>
      <c r="B1163" s="7" t="str">
        <f aca="false">HYPERLINK("https://twitter.com/marvellous997","@marvellous997")</f>
        <v>@marvellous997</v>
      </c>
      <c r="C1163" s="8" t="s">
        <v>1788</v>
      </c>
      <c r="D1163" s="8" t="s">
        <v>3112</v>
      </c>
      <c r="E1163" s="9" t="str">
        <f aca="false">HYPERLINK("https://twitter.com/marvellous997/status/922025689443962880","922025689443962880")</f>
        <v>922025689443962880</v>
      </c>
      <c r="F1163" s="10" t="s">
        <v>55</v>
      </c>
      <c r="G1163" s="10" t="n">
        <v>792</v>
      </c>
      <c r="H1163" s="10" t="n">
        <v>59</v>
      </c>
      <c r="I1163" s="10" t="n">
        <v>0</v>
      </c>
      <c r="J1163" s="10" t="n">
        <v>0</v>
      </c>
      <c r="K1163" s="10" t="s">
        <v>20</v>
      </c>
      <c r="L1163" s="11" t="n">
        <v>41334.1588078704</v>
      </c>
      <c r="M1163" s="12" t="s">
        <v>1790</v>
      </c>
      <c r="N1163" s="12" t="s">
        <v>1791</v>
      </c>
      <c r="O1163" s="9" t="str">
        <f aca="false">HYPERLINK("https://pbs.twimg.com/profile_images/765082261150720000/AKwZsJGh_normal.jpg","View")</f>
        <v>View</v>
      </c>
      <c r="P1163" s="10"/>
    </row>
    <row r="1164" customFormat="false" ht="15.75" hidden="false" customHeight="false" outlineLevel="0" collapsed="false">
      <c r="A1164" s="6" t="n">
        <v>43030.0912152778</v>
      </c>
      <c r="B1164" s="7" t="str">
        <f aca="false">HYPERLINK("https://twitter.com/luasaroma","@luasaroma")</f>
        <v>@luasaroma</v>
      </c>
      <c r="C1164" s="8" t="s">
        <v>3113</v>
      </c>
      <c r="D1164" s="8" t="s">
        <v>3114</v>
      </c>
      <c r="E1164" s="9" t="str">
        <f aca="false">HYPERLINK("https://twitter.com/luasaroma/status/922027584694648833","922027584694648833")</f>
        <v>922027584694648833</v>
      </c>
      <c r="F1164" s="10" t="s">
        <v>39</v>
      </c>
      <c r="G1164" s="10" t="n">
        <v>361</v>
      </c>
      <c r="H1164" s="10" t="n">
        <v>1895</v>
      </c>
      <c r="I1164" s="10" t="n">
        <v>0</v>
      </c>
      <c r="J1164" s="10" t="n">
        <v>0</v>
      </c>
      <c r="K1164" s="10" t="s">
        <v>20</v>
      </c>
      <c r="L1164" s="11" t="n">
        <v>40088.4786574074</v>
      </c>
      <c r="M1164" s="12" t="s">
        <v>1436</v>
      </c>
      <c r="N1164" s="12" t="s">
        <v>3115</v>
      </c>
      <c r="O1164" s="9" t="str">
        <f aca="false">HYPERLINK("https://pbs.twimg.com/profile_images/811859402164572160/pxKqFcJI_normal.jpg","View")</f>
        <v>View</v>
      </c>
      <c r="P1164" s="10"/>
    </row>
    <row r="1165" customFormat="false" ht="15.75" hidden="false" customHeight="false" outlineLevel="0" collapsed="false">
      <c r="A1165" s="6" t="n">
        <v>43030.0924421296</v>
      </c>
      <c r="B1165" s="7" t="str">
        <f aca="false">HYPERLINK("https://twitter.com/newslock_uknews","@newslock_uknews")</f>
        <v>@newslock_uknews</v>
      </c>
      <c r="C1165" s="8" t="s">
        <v>3116</v>
      </c>
      <c r="D1165" s="8" t="s">
        <v>3117</v>
      </c>
      <c r="E1165" s="9" t="str">
        <f aca="false">HYPERLINK("https://twitter.com/newslock_uknews/status/922028030654021632","922028030654021632")</f>
        <v>922028030654021632</v>
      </c>
      <c r="F1165" s="10" t="s">
        <v>3042</v>
      </c>
      <c r="G1165" s="10" t="n">
        <v>1842</v>
      </c>
      <c r="H1165" s="10" t="n">
        <v>2080</v>
      </c>
      <c r="I1165" s="10" t="n">
        <v>0</v>
      </c>
      <c r="J1165" s="10" t="n">
        <v>0</v>
      </c>
      <c r="K1165" s="10" t="s">
        <v>20</v>
      </c>
      <c r="L1165" s="11" t="n">
        <v>40929.4348842593</v>
      </c>
      <c r="M1165" s="12"/>
      <c r="N1165" s="12" t="s">
        <v>3118</v>
      </c>
      <c r="O1165" s="9" t="str">
        <f aca="false">HYPERLINK("https://pbs.twimg.com/profile_images/1771571881/Afbeelding_35_normal.png","View")</f>
        <v>View</v>
      </c>
      <c r="P1165" s="10"/>
    </row>
    <row r="1166" customFormat="false" ht="15.75" hidden="false" customHeight="false" outlineLevel="0" collapsed="false">
      <c r="A1166" s="6" t="n">
        <v>43030.0928240741</v>
      </c>
      <c r="B1166" s="7" t="str">
        <f aca="false">HYPERLINK("https://twitter.com/luasaroma","@luasaroma")</f>
        <v>@luasaroma</v>
      </c>
      <c r="C1166" s="8" t="s">
        <v>3113</v>
      </c>
      <c r="D1166" s="8" t="s">
        <v>3119</v>
      </c>
      <c r="E1166" s="9" t="str">
        <f aca="false">HYPERLINK("https://twitter.com/luasaroma/status/922028170110488576","922028170110488576")</f>
        <v>922028170110488576</v>
      </c>
      <c r="F1166" s="10" t="s">
        <v>39</v>
      </c>
      <c r="G1166" s="10" t="n">
        <v>361</v>
      </c>
      <c r="H1166" s="10" t="n">
        <v>1895</v>
      </c>
      <c r="I1166" s="10" t="n">
        <v>0</v>
      </c>
      <c r="J1166" s="10" t="n">
        <v>0</v>
      </c>
      <c r="K1166" s="10" t="s">
        <v>20</v>
      </c>
      <c r="L1166" s="11" t="n">
        <v>40088.4786574074</v>
      </c>
      <c r="M1166" s="12" t="s">
        <v>1436</v>
      </c>
      <c r="N1166" s="12" t="s">
        <v>3115</v>
      </c>
      <c r="O1166" s="9" t="str">
        <f aca="false">HYPERLINK("https://pbs.twimg.com/profile_images/811859402164572160/pxKqFcJI_normal.jpg","View")</f>
        <v>View</v>
      </c>
      <c r="P1166" s="10"/>
    </row>
    <row r="1167" customFormat="false" ht="15.75" hidden="false" customHeight="false" outlineLevel="0" collapsed="false">
      <c r="A1167" s="6" t="n">
        <v>43030.0956828704</v>
      </c>
      <c r="B1167" s="7" t="str">
        <f aca="false">HYPERLINK("https://twitter.com/tvThirdEyeB","@tvThirdEyeB")</f>
        <v>@tvThirdEyeB</v>
      </c>
      <c r="C1167" s="8" t="s">
        <v>2027</v>
      </c>
      <c r="D1167" s="8" t="s">
        <v>3120</v>
      </c>
      <c r="E1167" s="9" t="str">
        <f aca="false">HYPERLINK("https://twitter.com/tvThirdEyeB/status/922029203402268672","922029203402268672")</f>
        <v>922029203402268672</v>
      </c>
      <c r="F1167" s="10" t="s">
        <v>2029</v>
      </c>
      <c r="G1167" s="10" t="n">
        <v>31</v>
      </c>
      <c r="H1167" s="10" t="n">
        <v>0</v>
      </c>
      <c r="I1167" s="10" t="n">
        <v>0</v>
      </c>
      <c r="J1167" s="10" t="n">
        <v>0</v>
      </c>
      <c r="K1167" s="10" t="s">
        <v>20</v>
      </c>
      <c r="L1167" s="11" t="n">
        <v>42972.5932638889</v>
      </c>
      <c r="M1167" s="12" t="s">
        <v>588</v>
      </c>
      <c r="N1167" s="12" t="s">
        <v>2030</v>
      </c>
      <c r="O1167" s="9" t="str">
        <f aca="false">HYPERLINK("https://pbs.twimg.com/profile_images/910606884565950464/P-E5U0ei_normal.jpg","View")</f>
        <v>View</v>
      </c>
      <c r="P1167" s="10"/>
    </row>
    <row r="1168" customFormat="false" ht="15.75" hidden="false" customHeight="false" outlineLevel="0" collapsed="false">
      <c r="A1168" s="6" t="n">
        <v>43030.0959837963</v>
      </c>
      <c r="B1168" s="7" t="str">
        <f aca="false">HYPERLINK("https://twitter.com/StandWithMarco_","@StandWithMarco_")</f>
        <v>@StandWithMarco_</v>
      </c>
      <c r="C1168" s="8" t="s">
        <v>2860</v>
      </c>
      <c r="D1168" s="8" t="s">
        <v>3121</v>
      </c>
      <c r="E1168" s="9" t="str">
        <f aca="false">HYPERLINK("https://twitter.com/StandWithMarco_/status/922029312789925888","922029312789925888")</f>
        <v>922029312789925888</v>
      </c>
      <c r="F1168" s="10" t="s">
        <v>60</v>
      </c>
      <c r="G1168" s="10" t="n">
        <v>356</v>
      </c>
      <c r="H1168" s="10" t="n">
        <v>203</v>
      </c>
      <c r="I1168" s="10" t="n">
        <v>6</v>
      </c>
      <c r="J1168" s="10" t="n">
        <v>0</v>
      </c>
      <c r="K1168" s="10" t="s">
        <v>20</v>
      </c>
      <c r="L1168" s="11" t="n">
        <v>42373.3474884259</v>
      </c>
      <c r="M1168" s="12"/>
      <c r="N1168" s="12"/>
      <c r="O1168" s="9" t="str">
        <f aca="false">HYPERLINK("https://pbs.twimg.com/profile_images/684048556609662976/Br4pKKhi_normal.png","View")</f>
        <v>View</v>
      </c>
      <c r="P1168" s="10"/>
    </row>
    <row r="1169" customFormat="false" ht="15.75" hidden="false" customHeight="false" outlineLevel="0" collapsed="false">
      <c r="A1169" s="6" t="n">
        <v>43030.0971296296</v>
      </c>
      <c r="B1169" s="7" t="str">
        <f aca="false">HYPERLINK("https://twitter.com/lopezgovlaw","@lopezgovlaw")</f>
        <v>@lopezgovlaw</v>
      </c>
      <c r="C1169" s="8" t="s">
        <v>2865</v>
      </c>
      <c r="D1169" s="8" t="s">
        <v>3122</v>
      </c>
      <c r="E1169" s="9" t="str">
        <f aca="false">HYPERLINK("https://twitter.com/lopezgovlaw/status/922029729280032768","922029729280032768")</f>
        <v>922029729280032768</v>
      </c>
      <c r="F1169" s="10" t="s">
        <v>3123</v>
      </c>
      <c r="G1169" s="10" t="n">
        <v>7196</v>
      </c>
      <c r="H1169" s="10" t="n">
        <v>1676</v>
      </c>
      <c r="I1169" s="10" t="n">
        <v>6</v>
      </c>
      <c r="J1169" s="10" t="n">
        <v>0</v>
      </c>
      <c r="K1169" s="10" t="s">
        <v>20</v>
      </c>
      <c r="L1169" s="11" t="n">
        <v>40142.8209490741</v>
      </c>
      <c r="M1169" s="12" t="s">
        <v>2867</v>
      </c>
      <c r="N1169" s="12" t="s">
        <v>2868</v>
      </c>
      <c r="O1169" s="9" t="str">
        <f aca="false">HYPERLINK("https://pbs.twimg.com/profile_images/612000460342448128/Xgz6KteQ_normal.jpg","View")</f>
        <v>View</v>
      </c>
      <c r="P1169" s="10"/>
    </row>
    <row r="1170" customFormat="false" ht="15.75" hidden="false" customHeight="false" outlineLevel="0" collapsed="false">
      <c r="A1170" s="6" t="n">
        <v>43030.0995949074</v>
      </c>
      <c r="B1170" s="7" t="str">
        <f aca="false">HYPERLINK("https://twitter.com/VotarEsUnDeber","@VotarEsUnDeber")</f>
        <v>@VotarEsUnDeber</v>
      </c>
      <c r="C1170" s="8" t="s">
        <v>2828</v>
      </c>
      <c r="D1170" s="8" t="s">
        <v>3122</v>
      </c>
      <c r="E1170" s="9" t="str">
        <f aca="false">HYPERLINK("https://twitter.com/VotarEsUnDeber/status/922030623069491200","922030623069491200")</f>
        <v>922030623069491200</v>
      </c>
      <c r="F1170" s="10" t="s">
        <v>2830</v>
      </c>
      <c r="G1170" s="10" t="n">
        <v>401</v>
      </c>
      <c r="H1170" s="10" t="n">
        <v>708</v>
      </c>
      <c r="I1170" s="10" t="n">
        <v>6</v>
      </c>
      <c r="J1170" s="10" t="n">
        <v>0</v>
      </c>
      <c r="K1170" s="10" t="s">
        <v>20</v>
      </c>
      <c r="L1170" s="11" t="n">
        <v>41541.9787037037</v>
      </c>
      <c r="M1170" s="12" t="s">
        <v>476</v>
      </c>
      <c r="N1170" s="12" t="s">
        <v>2831</v>
      </c>
      <c r="O1170" s="9" t="str">
        <f aca="false">HYPERLINK("https://pbs.twimg.com/profile_images/499209824748306432/iAeMat7D_normal.png","View")</f>
        <v>View</v>
      </c>
      <c r="P1170" s="10"/>
    </row>
    <row r="1171" customFormat="false" ht="15.75" hidden="false" customHeight="false" outlineLevel="0" collapsed="false">
      <c r="A1171" s="6" t="n">
        <v>43030.1000347222</v>
      </c>
      <c r="B1171" s="7" t="str">
        <f aca="false">HYPERLINK("https://twitter.com/FranceForum","@FranceForum")</f>
        <v>@FranceForum</v>
      </c>
      <c r="C1171" s="8" t="s">
        <v>1985</v>
      </c>
      <c r="D1171" s="8" t="s">
        <v>3124</v>
      </c>
      <c r="E1171" s="9" t="str">
        <f aca="false">HYPERLINK("https://twitter.com/FranceForum/status/922030782327136256","922030782327136256")</f>
        <v>922030782327136256</v>
      </c>
      <c r="F1171" s="9" t="s">
        <v>1147</v>
      </c>
      <c r="G1171" s="10" t="n">
        <v>12161</v>
      </c>
      <c r="H1171" s="10" t="n">
        <v>11188</v>
      </c>
      <c r="I1171" s="10" t="n">
        <v>0</v>
      </c>
      <c r="J1171" s="10" t="n">
        <v>0</v>
      </c>
      <c r="K1171" s="10" t="s">
        <v>20</v>
      </c>
      <c r="L1171" s="11" t="n">
        <v>40333.0665046296</v>
      </c>
      <c r="M1171" s="12"/>
      <c r="N1171" s="12" t="s">
        <v>1987</v>
      </c>
      <c r="O1171" s="9" t="str">
        <f aca="false">HYPERLINK("https://pbs.twimg.com/profile_images/958637794/france_normal.jpg","View")</f>
        <v>View</v>
      </c>
      <c r="P1171" s="10"/>
    </row>
    <row r="1172" customFormat="false" ht="15.75" hidden="false" customHeight="false" outlineLevel="0" collapsed="false">
      <c r="A1172" s="6" t="n">
        <v>43030.1000462963</v>
      </c>
      <c r="B1172" s="7" t="str">
        <f aca="false">HYPERLINK("https://twitter.com/France_paris_","@France_paris_")</f>
        <v>@France_paris_</v>
      </c>
      <c r="C1172" s="8" t="s">
        <v>1982</v>
      </c>
      <c r="D1172" s="8" t="s">
        <v>3125</v>
      </c>
      <c r="E1172" s="9" t="str">
        <f aca="false">HYPERLINK("https://twitter.com/France_paris_/status/922030785325961216","922030785325961216")</f>
        <v>922030785325961216</v>
      </c>
      <c r="F1172" s="9" t="s">
        <v>1147</v>
      </c>
      <c r="G1172" s="10" t="n">
        <v>341</v>
      </c>
      <c r="H1172" s="10" t="n">
        <v>131</v>
      </c>
      <c r="I1172" s="10" t="n">
        <v>0</v>
      </c>
      <c r="J1172" s="10" t="n">
        <v>0</v>
      </c>
      <c r="K1172" s="10" t="s">
        <v>20</v>
      </c>
      <c r="L1172" s="11" t="n">
        <v>40425.3068287037</v>
      </c>
      <c r="M1172" s="12"/>
      <c r="N1172" s="12" t="s">
        <v>1984</v>
      </c>
      <c r="O1172" s="9" t="str">
        <f aca="false">HYPERLINK("https://pbs.twimg.com/profile_images/1117155437/france_normal.jpg","View")</f>
        <v>View</v>
      </c>
      <c r="P1172" s="10"/>
    </row>
    <row r="1173" customFormat="false" ht="15.75" hidden="false" customHeight="false" outlineLevel="0" collapsed="false">
      <c r="A1173" s="6" t="n">
        <v>43030.1015625</v>
      </c>
      <c r="B1173" s="7" t="str">
        <f aca="false">HYPERLINK("https://twitter.com/gjmorley","@gjmorley")</f>
        <v>@gjmorley</v>
      </c>
      <c r="C1173" s="14" t="s">
        <v>3126</v>
      </c>
      <c r="D1173" s="8" t="s">
        <v>3127</v>
      </c>
      <c r="E1173" s="9" t="str">
        <f aca="false">HYPERLINK("https://twitter.com/gjmorley/status/922031334922493952","922031334922493952")</f>
        <v>922031334922493952</v>
      </c>
      <c r="F1173" s="10" t="s">
        <v>39</v>
      </c>
      <c r="G1173" s="10" t="n">
        <v>69253</v>
      </c>
      <c r="H1173" s="10" t="n">
        <v>289</v>
      </c>
      <c r="I1173" s="10" t="n">
        <v>11</v>
      </c>
      <c r="J1173" s="10" t="n">
        <v>13</v>
      </c>
      <c r="K1173" s="10" t="s">
        <v>20</v>
      </c>
      <c r="L1173" s="11" t="n">
        <v>40484.9185300926</v>
      </c>
      <c r="M1173" s="13" t="s">
        <v>3128</v>
      </c>
      <c r="N1173" s="13" t="s">
        <v>3129</v>
      </c>
      <c r="O1173" s="9" t="str">
        <f aca="false">HYPERLINK("https://pbs.twimg.com/profile_images/849836581145817090/ld66TbYW_normal.jpg","View")</f>
        <v>View</v>
      </c>
      <c r="P1173" s="10"/>
    </row>
    <row r="1174" customFormat="false" ht="15.75" hidden="false" customHeight="false" outlineLevel="0" collapsed="false">
      <c r="A1174" s="6" t="n">
        <v>43030.1022222222</v>
      </c>
      <c r="B1174" s="7" t="str">
        <f aca="false">HYPERLINK("https://twitter.com/NTKRNow","@NTKRNow")</f>
        <v>@NTKRNow</v>
      </c>
      <c r="C1174" s="8" t="s">
        <v>829</v>
      </c>
      <c r="D1174" s="8" t="s">
        <v>3130</v>
      </c>
      <c r="E1174" s="9" t="str">
        <f aca="false">HYPERLINK("https://twitter.com/NTKRNow/status/922031574933262337","922031574933262337")</f>
        <v>922031574933262337</v>
      </c>
      <c r="F1174" s="10" t="s">
        <v>60</v>
      </c>
      <c r="G1174" s="10" t="n">
        <v>610</v>
      </c>
      <c r="H1174" s="10" t="n">
        <v>4</v>
      </c>
      <c r="I1174" s="10" t="n">
        <v>0</v>
      </c>
      <c r="J1174" s="10" t="n">
        <v>0</v>
      </c>
      <c r="K1174" s="10" t="s">
        <v>20</v>
      </c>
      <c r="L1174" s="11" t="n">
        <v>42402.810625</v>
      </c>
      <c r="M1174" s="12"/>
      <c r="N1174" s="12"/>
      <c r="O1174" s="9" t="str">
        <f aca="false">HYPERLINK("https://abs.twimg.com/sticky/default_profile_images/default_profile_normal.png","View")</f>
        <v>View</v>
      </c>
      <c r="P1174" s="10"/>
    </row>
    <row r="1175" customFormat="false" ht="15.75" hidden="false" customHeight="false" outlineLevel="0" collapsed="false">
      <c r="A1175" s="6" t="n">
        <v>43030.102349537</v>
      </c>
      <c r="B1175" s="7" t="str">
        <f aca="false">HYPERLINK("https://twitter.com/SurveySunday","@SurveySunday")</f>
        <v>@SurveySunday</v>
      </c>
      <c r="C1175" s="8" t="s">
        <v>2821</v>
      </c>
      <c r="D1175" s="8" t="s">
        <v>3122</v>
      </c>
      <c r="E1175" s="9" t="str">
        <f aca="false">HYPERLINK("https://twitter.com/SurveySunday/status/922031619007016960","922031619007016960")</f>
        <v>922031619007016960</v>
      </c>
      <c r="F1175" s="10" t="s">
        <v>2845</v>
      </c>
      <c r="G1175" s="10" t="n">
        <v>644</v>
      </c>
      <c r="H1175" s="10" t="n">
        <v>43</v>
      </c>
      <c r="I1175" s="10" t="n">
        <v>6</v>
      </c>
      <c r="J1175" s="10" t="n">
        <v>0</v>
      </c>
      <c r="K1175" s="10" t="s">
        <v>20</v>
      </c>
      <c r="L1175" s="11" t="n">
        <v>42757.5905208333</v>
      </c>
      <c r="M1175" s="12" t="s">
        <v>651</v>
      </c>
      <c r="N1175" s="12" t="s">
        <v>2823</v>
      </c>
      <c r="O1175" s="9" t="str">
        <f aca="false">HYPERLINK("https://pbs.twimg.com/profile_images/823540107051470848/H_T9Fdk__normal.jpg","View")</f>
        <v>View</v>
      </c>
      <c r="P1175" s="10"/>
    </row>
    <row r="1176" customFormat="false" ht="15.75" hidden="false" customHeight="false" outlineLevel="0" collapsed="false">
      <c r="A1176" s="6" t="n">
        <v>43030.1028935185</v>
      </c>
      <c r="B1176" s="7" t="str">
        <f aca="false">HYPERLINK("https://twitter.com/katsuyatakasu","@katsuyatakasu")</f>
        <v>@katsuyatakasu</v>
      </c>
      <c r="C1176" s="14" t="s">
        <v>3131</v>
      </c>
      <c r="D1176" s="8" t="s">
        <v>3132</v>
      </c>
      <c r="E1176" s="9" t="str">
        <f aca="false">HYPERLINK("https://twitter.com/katsuyatakasu/status/922031816243949570","922031816243949570")</f>
        <v>922031816243949570</v>
      </c>
      <c r="F1176" s="10" t="s">
        <v>25</v>
      </c>
      <c r="G1176" s="10" t="n">
        <v>292082</v>
      </c>
      <c r="H1176" s="10" t="n">
        <v>262</v>
      </c>
      <c r="I1176" s="10" t="n">
        <v>31</v>
      </c>
      <c r="J1176" s="10" t="n">
        <v>109</v>
      </c>
      <c r="K1176" s="10" t="s">
        <v>20</v>
      </c>
      <c r="L1176" s="11" t="n">
        <v>40781.1352083333</v>
      </c>
      <c r="M1176" s="12"/>
      <c r="N1176" s="12"/>
      <c r="O1176" s="9" t="str">
        <f aca="false">HYPERLINK("https://pbs.twimg.com/profile_images/798320119411658753/gkPbBajq_normal.jpg","View")</f>
        <v>View</v>
      </c>
      <c r="P1176" s="10"/>
    </row>
    <row r="1177" customFormat="false" ht="15.75" hidden="false" customHeight="false" outlineLevel="0" collapsed="false">
      <c r="A1177" s="6" t="n">
        <v>43030.1028935185</v>
      </c>
      <c r="B1177" s="7" t="str">
        <f aca="false">HYPERLINK("https://twitter.com/DailyPsalms365","@DailyPsalms365")</f>
        <v>@DailyPsalms365</v>
      </c>
      <c r="C1177" s="8" t="s">
        <v>2854</v>
      </c>
      <c r="D1177" s="8" t="s">
        <v>3122</v>
      </c>
      <c r="E1177" s="9" t="str">
        <f aca="false">HYPERLINK("https://twitter.com/DailyPsalms365/status/922031817695297537","922031817695297537")</f>
        <v>922031817695297537</v>
      </c>
      <c r="F1177" s="10" t="s">
        <v>2855</v>
      </c>
      <c r="G1177" s="10" t="n">
        <v>937</v>
      </c>
      <c r="H1177" s="10" t="n">
        <v>56</v>
      </c>
      <c r="I1177" s="10" t="n">
        <v>6</v>
      </c>
      <c r="J1177" s="10" t="n">
        <v>0</v>
      </c>
      <c r="K1177" s="10" t="s">
        <v>20</v>
      </c>
      <c r="L1177" s="11" t="n">
        <v>42758.4451157408</v>
      </c>
      <c r="M1177" s="12" t="s">
        <v>651</v>
      </c>
      <c r="N1177" s="12" t="s">
        <v>2856</v>
      </c>
      <c r="O1177" s="9" t="str">
        <f aca="false">HYPERLINK("https://pbs.twimg.com/profile_images/823606803439218690/rW5Z8l_s_normal.jpg","View")</f>
        <v>View</v>
      </c>
      <c r="P1177" s="10"/>
    </row>
    <row r="1178" customFormat="false" ht="15.75" hidden="false" customHeight="false" outlineLevel="0" collapsed="false">
      <c r="A1178" s="6" t="n">
        <v>43030.1032986111</v>
      </c>
      <c r="B1178" s="7" t="str">
        <f aca="false">HYPERLINK("https://twitter.com/oochan2017","@oochan2017")</f>
        <v>@oochan2017</v>
      </c>
      <c r="C1178" s="14" t="s">
        <v>3133</v>
      </c>
      <c r="D1178" s="8" t="s">
        <v>3134</v>
      </c>
      <c r="E1178" s="9" t="str">
        <f aca="false">HYPERLINK("https://twitter.com/oochan2017/status/922031962453188608","922031962453188608")</f>
        <v>922031962453188608</v>
      </c>
      <c r="F1178" s="10" t="s">
        <v>39</v>
      </c>
      <c r="G1178" s="10" t="n">
        <v>171</v>
      </c>
      <c r="H1178" s="10" t="n">
        <v>88</v>
      </c>
      <c r="I1178" s="10" t="n">
        <v>11</v>
      </c>
      <c r="J1178" s="10" t="n">
        <v>0</v>
      </c>
      <c r="K1178" s="10" t="s">
        <v>20</v>
      </c>
      <c r="L1178" s="11" t="n">
        <v>40368.7382407407</v>
      </c>
      <c r="M1178" s="13" t="s">
        <v>3135</v>
      </c>
      <c r="N1178" s="13" t="s">
        <v>3136</v>
      </c>
      <c r="O1178" s="9" t="str">
        <f aca="false">HYPERLINK("https://pbs.twimg.com/profile_images/1123328025/041118_2213_001__2__normal.jpg","View")</f>
        <v>View</v>
      </c>
      <c r="P1178" s="10"/>
    </row>
    <row r="1179" customFormat="false" ht="15.75" hidden="false" customHeight="false" outlineLevel="0" collapsed="false">
      <c r="A1179" s="6" t="n">
        <v>43030.1034259259</v>
      </c>
      <c r="B1179" s="7" t="str">
        <f aca="false">HYPERLINK("https://twitter.com/riekohayakawa","@riekohayakawa")</f>
        <v>@riekohayakawa</v>
      </c>
      <c r="C1179" s="8" t="s">
        <v>3137</v>
      </c>
      <c r="D1179" s="8" t="s">
        <v>3138</v>
      </c>
      <c r="E1179" s="9" t="str">
        <f aca="false">HYPERLINK("https://twitter.com/riekohayakawa/status/922032008850587649","922032008850587649")</f>
        <v>922032008850587649</v>
      </c>
      <c r="F1179" s="10" t="s">
        <v>39</v>
      </c>
      <c r="G1179" s="10" t="n">
        <v>517</v>
      </c>
      <c r="H1179" s="10" t="n">
        <v>406</v>
      </c>
      <c r="I1179" s="10" t="n">
        <v>31</v>
      </c>
      <c r="J1179" s="10" t="n">
        <v>0</v>
      </c>
      <c r="K1179" s="10" t="s">
        <v>20</v>
      </c>
      <c r="L1179" s="11" t="n">
        <v>40620.6677662037</v>
      </c>
      <c r="M1179" s="13" t="s">
        <v>3139</v>
      </c>
      <c r="N1179" s="13" t="s">
        <v>3140</v>
      </c>
      <c r="O1179" s="9" t="str">
        <f aca="false">HYPERLINK("https://pbs.twimg.com/profile_images/901204138968498176/t5VEqQZq_normal.jpg","View")</f>
        <v>View</v>
      </c>
      <c r="P1179" s="10"/>
    </row>
    <row r="1180" customFormat="false" ht="15.75" hidden="false" customHeight="false" outlineLevel="0" collapsed="false">
      <c r="A1180" s="6" t="n">
        <v>43030.1039930556</v>
      </c>
      <c r="B1180" s="7" t="str">
        <f aca="false">HYPERLINK("https://twitter.com/fIa6xG9XUTldhdA","@fIa6xG9XUTldhdA")</f>
        <v>@fIa6xG9XUTldhdA</v>
      </c>
      <c r="C1180" s="14" t="s">
        <v>3141</v>
      </c>
      <c r="D1180" s="8" t="s">
        <v>3134</v>
      </c>
      <c r="E1180" s="9" t="str">
        <f aca="false">HYPERLINK("https://twitter.com/fIa6xG9XUTldhdA/status/922032218041548801","922032218041548801")</f>
        <v>922032218041548801</v>
      </c>
      <c r="F1180" s="10" t="s">
        <v>25</v>
      </c>
      <c r="G1180" s="10" t="n">
        <v>77</v>
      </c>
      <c r="H1180" s="10" t="n">
        <v>91</v>
      </c>
      <c r="I1180" s="10" t="n">
        <v>11</v>
      </c>
      <c r="J1180" s="10" t="n">
        <v>0</v>
      </c>
      <c r="K1180" s="10" t="s">
        <v>20</v>
      </c>
      <c r="L1180" s="11" t="n">
        <v>42798.8201851852</v>
      </c>
      <c r="M1180" s="12" t="s">
        <v>574</v>
      </c>
      <c r="N1180" s="13" t="s">
        <v>3142</v>
      </c>
      <c r="O1180" s="9" t="str">
        <f aca="false">HYPERLINK("https://pbs.twimg.com/profile_images/912979085546086400/dwOEIAIn_normal.jpg","View")</f>
        <v>View</v>
      </c>
      <c r="P1180" s="10"/>
    </row>
    <row r="1181" customFormat="false" ht="15.75" hidden="false" customHeight="false" outlineLevel="0" collapsed="false">
      <c r="A1181" s="6" t="n">
        <v>43030.1040162037</v>
      </c>
      <c r="B1181" s="7" t="str">
        <f aca="false">HYPERLINK("https://twitter.com/pa2ponfish_BMR","@pa2ponfish_BMR")</f>
        <v>@pa2ponfish_BMR</v>
      </c>
      <c r="C1181" s="14" t="s">
        <v>3143</v>
      </c>
      <c r="D1181" s="8" t="s">
        <v>3138</v>
      </c>
      <c r="E1181" s="9" t="str">
        <f aca="false">HYPERLINK("https://twitter.com/pa2ponfish_BMR/status/922032225738043392","922032225738043392")</f>
        <v>922032225738043392</v>
      </c>
      <c r="F1181" s="10" t="s">
        <v>39</v>
      </c>
      <c r="G1181" s="10" t="n">
        <v>3782</v>
      </c>
      <c r="H1181" s="10" t="n">
        <v>3633</v>
      </c>
      <c r="I1181" s="10" t="n">
        <v>31</v>
      </c>
      <c r="J1181" s="10" t="n">
        <v>0</v>
      </c>
      <c r="K1181" s="10" t="s">
        <v>20</v>
      </c>
      <c r="L1181" s="11" t="n">
        <v>40562.9207523148</v>
      </c>
      <c r="M1181" s="13" t="s">
        <v>3144</v>
      </c>
      <c r="N1181" s="12" t="s">
        <v>3145</v>
      </c>
      <c r="O1181" s="9" t="str">
        <f aca="false">HYPERLINK("https://pbs.twimg.com/profile_images/917714669371920384/3_KLcvD7_normal.jpg","View")</f>
        <v>View</v>
      </c>
      <c r="P1181" s="10"/>
    </row>
    <row r="1182" customFormat="false" ht="15.75" hidden="false" customHeight="false" outlineLevel="0" collapsed="false">
      <c r="A1182" s="6" t="n">
        <v>43030.1040277778</v>
      </c>
      <c r="B1182" s="7" t="str">
        <f aca="false">HYPERLINK("https://twitter.com/aquapiyo","@aquapiyo")</f>
        <v>@aquapiyo</v>
      </c>
      <c r="C1182" s="14" t="s">
        <v>3146</v>
      </c>
      <c r="D1182" s="8" t="s">
        <v>3138</v>
      </c>
      <c r="E1182" s="9" t="str">
        <f aca="false">HYPERLINK("https://twitter.com/aquapiyo/status/922032227180933120","922032227180933120")</f>
        <v>922032227180933120</v>
      </c>
      <c r="F1182" s="10" t="s">
        <v>39</v>
      </c>
      <c r="G1182" s="10" t="n">
        <v>502</v>
      </c>
      <c r="H1182" s="10" t="n">
        <v>802</v>
      </c>
      <c r="I1182" s="10" t="n">
        <v>31</v>
      </c>
      <c r="J1182" s="10" t="n">
        <v>0</v>
      </c>
      <c r="K1182" s="10" t="s">
        <v>20</v>
      </c>
      <c r="L1182" s="11" t="n">
        <v>40306.096724537</v>
      </c>
      <c r="M1182" s="13" t="s">
        <v>3147</v>
      </c>
      <c r="N1182" s="13" t="s">
        <v>3148</v>
      </c>
      <c r="O1182" s="9" t="str">
        <f aca="false">HYPERLINK("https://pbs.twimg.com/profile_images/1558075642/7d250772-639e-43dc-8255-411ec291235a_normal.png","View")</f>
        <v>View</v>
      </c>
      <c r="P1182" s="10"/>
    </row>
    <row r="1183" customFormat="false" ht="15.75" hidden="false" customHeight="false" outlineLevel="0" collapsed="false">
      <c r="A1183" s="6" t="n">
        <v>43030.104212963</v>
      </c>
      <c r="B1183" s="7" t="str">
        <f aca="false">HYPERLINK("https://twitter.com/saki04209153","@saki04209153")</f>
        <v>@saki04209153</v>
      </c>
      <c r="C1183" s="8" t="s">
        <v>3149</v>
      </c>
      <c r="D1183" s="8" t="s">
        <v>3138</v>
      </c>
      <c r="E1183" s="9" t="str">
        <f aca="false">HYPERLINK("https://twitter.com/saki04209153/status/922032294474301441","922032294474301441")</f>
        <v>922032294474301441</v>
      </c>
      <c r="F1183" s="10" t="s">
        <v>25</v>
      </c>
      <c r="G1183" s="10" t="n">
        <v>363</v>
      </c>
      <c r="H1183" s="10" t="n">
        <v>377</v>
      </c>
      <c r="I1183" s="10" t="n">
        <v>31</v>
      </c>
      <c r="J1183" s="10" t="n">
        <v>0</v>
      </c>
      <c r="K1183" s="10" t="s">
        <v>20</v>
      </c>
      <c r="L1183" s="11" t="n">
        <v>42383.9890740741</v>
      </c>
      <c r="M1183" s="13" t="s">
        <v>3150</v>
      </c>
      <c r="N1183" s="13" t="s">
        <v>3151</v>
      </c>
      <c r="O1183" s="9" t="str">
        <f aca="false">HYPERLINK("https://pbs.twimg.com/profile_images/919059687403765760/PvEazuJW_normal.jpg","View")</f>
        <v>View</v>
      </c>
      <c r="P1183" s="10"/>
    </row>
    <row r="1184" customFormat="false" ht="15.75" hidden="false" customHeight="false" outlineLevel="0" collapsed="false">
      <c r="A1184" s="6" t="n">
        <v>43030.1044444444</v>
      </c>
      <c r="B1184" s="7" t="str">
        <f aca="false">HYPERLINK("https://twitter.com/a110105","@a110105")</f>
        <v>@a110105</v>
      </c>
      <c r="C1184" s="14" t="s">
        <v>3152</v>
      </c>
      <c r="D1184" s="8" t="s">
        <v>3138</v>
      </c>
      <c r="E1184" s="9" t="str">
        <f aca="false">HYPERLINK("https://twitter.com/a110105/status/922032379555848197","922032379555848197")</f>
        <v>922032379555848197</v>
      </c>
      <c r="F1184" s="10" t="s">
        <v>98</v>
      </c>
      <c r="G1184" s="10" t="n">
        <v>297</v>
      </c>
      <c r="H1184" s="10" t="n">
        <v>987</v>
      </c>
      <c r="I1184" s="10" t="n">
        <v>31</v>
      </c>
      <c r="J1184" s="10" t="n">
        <v>0</v>
      </c>
      <c r="K1184" s="10" t="s">
        <v>20</v>
      </c>
      <c r="L1184" s="11" t="n">
        <v>42044.0841666667</v>
      </c>
      <c r="M1184" s="13" t="s">
        <v>3153</v>
      </c>
      <c r="N1184" s="12" t="s">
        <v>3154</v>
      </c>
      <c r="O1184" s="9" t="str">
        <f aca="false">HYPERLINK("https://pbs.twimg.com/profile_images/726664015879901184/slnOaxgg_normal.jpg","View")</f>
        <v>View</v>
      </c>
      <c r="P1184" s="10"/>
    </row>
    <row r="1185" customFormat="false" ht="15.75" hidden="false" customHeight="false" outlineLevel="0" collapsed="false">
      <c r="A1185" s="6" t="n">
        <v>43030.1048148148</v>
      </c>
      <c r="B1185" s="7" t="str">
        <f aca="false">HYPERLINK("https://twitter.com/risa_525_jones","@risa_525_jones")</f>
        <v>@risa_525_jones</v>
      </c>
      <c r="C1185" s="14" t="s">
        <v>3155</v>
      </c>
      <c r="D1185" s="8" t="s">
        <v>3138</v>
      </c>
      <c r="E1185" s="9" t="str">
        <f aca="false">HYPERLINK("https://twitter.com/risa_525_jones/status/922032513228271618","922032513228271618")</f>
        <v>922032513228271618</v>
      </c>
      <c r="F1185" s="10" t="s">
        <v>39</v>
      </c>
      <c r="G1185" s="10" t="n">
        <v>81</v>
      </c>
      <c r="H1185" s="10" t="n">
        <v>292</v>
      </c>
      <c r="I1185" s="10" t="n">
        <v>31</v>
      </c>
      <c r="J1185" s="10" t="n">
        <v>0</v>
      </c>
      <c r="K1185" s="10" t="s">
        <v>20</v>
      </c>
      <c r="L1185" s="11" t="n">
        <v>41761.2513425926</v>
      </c>
      <c r="M1185" s="12"/>
      <c r="N1185" s="12" t="s">
        <v>3156</v>
      </c>
      <c r="O1185" s="9" t="str">
        <f aca="false">HYPERLINK("https://pbs.twimg.com/profile_images/913703838762262529/dQwBiezd_normal.jpg","View")</f>
        <v>View</v>
      </c>
      <c r="P1185" s="10"/>
    </row>
    <row r="1186" customFormat="false" ht="15.75" hidden="false" customHeight="false" outlineLevel="0" collapsed="false">
      <c r="A1186" s="6" t="n">
        <v>43030.104837963</v>
      </c>
      <c r="B1186" s="7" t="str">
        <f aca="false">HYPERLINK("https://twitter.com/amqBPPzWV6MFJjT","@amqBPPzWV6MFJjT")</f>
        <v>@amqBPPzWV6MFJjT</v>
      </c>
      <c r="C1186" s="14" t="s">
        <v>3157</v>
      </c>
      <c r="D1186" s="8" t="s">
        <v>3138</v>
      </c>
      <c r="E1186" s="9" t="str">
        <f aca="false">HYPERLINK("https://twitter.com/amqBPPzWV6MFJjT/status/922032523101724672","922032523101724672")</f>
        <v>922032523101724672</v>
      </c>
      <c r="F1186" s="10" t="s">
        <v>51</v>
      </c>
      <c r="G1186" s="10" t="n">
        <v>214</v>
      </c>
      <c r="H1186" s="10" t="n">
        <v>210</v>
      </c>
      <c r="I1186" s="10" t="n">
        <v>31</v>
      </c>
      <c r="J1186" s="10" t="n">
        <v>0</v>
      </c>
      <c r="K1186" s="10" t="s">
        <v>20</v>
      </c>
      <c r="L1186" s="11" t="n">
        <v>42121.3645486111</v>
      </c>
      <c r="M1186" s="13" t="s">
        <v>3158</v>
      </c>
      <c r="N1186" s="13" t="s">
        <v>3159</v>
      </c>
      <c r="O1186" s="9" t="str">
        <f aca="false">HYPERLINK("https://pbs.twimg.com/profile_images/820647585618632704/PIuy-nRW_normal.jpg","View")</f>
        <v>View</v>
      </c>
      <c r="P1186" s="10"/>
    </row>
    <row r="1187" customFormat="false" ht="15.75" hidden="false" customHeight="false" outlineLevel="0" collapsed="false">
      <c r="A1187" s="6" t="n">
        <v>43030.1053703704</v>
      </c>
      <c r="B1187" s="7" t="str">
        <f aca="false">HYPERLINK("https://twitter.com/naturalbornYaku","@naturalbornYaku")</f>
        <v>@naturalbornYaku</v>
      </c>
      <c r="C1187" s="8" t="s">
        <v>3160</v>
      </c>
      <c r="D1187" s="8" t="s">
        <v>3161</v>
      </c>
      <c r="E1187" s="9" t="str">
        <f aca="false">HYPERLINK("https://twitter.com/naturalbornYaku/status/922032716740141057","922032716740141057")</f>
        <v>922032716740141057</v>
      </c>
      <c r="F1187" s="10" t="s">
        <v>51</v>
      </c>
      <c r="G1187" s="10" t="n">
        <v>188</v>
      </c>
      <c r="H1187" s="10" t="n">
        <v>507</v>
      </c>
      <c r="I1187" s="10" t="n">
        <v>0</v>
      </c>
      <c r="J1187" s="10" t="n">
        <v>0</v>
      </c>
      <c r="K1187" s="10" t="s">
        <v>20</v>
      </c>
      <c r="L1187" s="11" t="n">
        <v>40216.084849537</v>
      </c>
      <c r="M1187" s="12" t="s">
        <v>3162</v>
      </c>
      <c r="N1187" s="13" t="s">
        <v>3163</v>
      </c>
      <c r="O1187" s="9" t="str">
        <f aca="false">HYPERLINK("https://pbs.twimg.com/profile_images/760105132918870016/S7whj0nh_normal.jpg","View")</f>
        <v>View</v>
      </c>
      <c r="P1187" s="10"/>
    </row>
    <row r="1188" customFormat="false" ht="15.75" hidden="false" customHeight="false" outlineLevel="0" collapsed="false">
      <c r="A1188" s="6" t="n">
        <v>43030.1053935185</v>
      </c>
      <c r="B1188" s="7" t="str">
        <f aca="false">HYPERLINK("https://twitter.com/opedtt","@opedtt")</f>
        <v>@opedtt</v>
      </c>
      <c r="C1188" s="14" t="s">
        <v>3164</v>
      </c>
      <c r="D1188" s="8" t="s">
        <v>3138</v>
      </c>
      <c r="E1188" s="9" t="str">
        <f aca="false">HYPERLINK("https://twitter.com/opedtt/status/922032725040627713","922032725040627713")</f>
        <v>922032725040627713</v>
      </c>
      <c r="F1188" s="10" t="s">
        <v>51</v>
      </c>
      <c r="G1188" s="10" t="n">
        <v>381</v>
      </c>
      <c r="H1188" s="10" t="n">
        <v>1564</v>
      </c>
      <c r="I1188" s="10" t="n">
        <v>31</v>
      </c>
      <c r="J1188" s="10" t="n">
        <v>0</v>
      </c>
      <c r="K1188" s="10" t="s">
        <v>20</v>
      </c>
      <c r="L1188" s="11" t="n">
        <v>42743.8443518518</v>
      </c>
      <c r="M1188" s="12"/>
      <c r="N1188" s="12"/>
      <c r="O1188" s="9" t="str">
        <f aca="false">HYPERLINK("https://pbs.twimg.com/profile_images/916687185243398145/RNqXc8Az_normal.jpg","View")</f>
        <v>View</v>
      </c>
      <c r="P1188" s="10"/>
    </row>
    <row r="1189" customFormat="false" ht="15.75" hidden="false" customHeight="false" outlineLevel="0" collapsed="false">
      <c r="A1189" s="6" t="n">
        <v>43030.1058912037</v>
      </c>
      <c r="B1189" s="7" t="str">
        <f aca="false">HYPERLINK("https://twitter.com/StandWithMarco_","@StandWithMarco_")</f>
        <v>@StandWithMarco_</v>
      </c>
      <c r="C1189" s="8" t="s">
        <v>2860</v>
      </c>
      <c r="D1189" s="8" t="s">
        <v>3122</v>
      </c>
      <c r="E1189" s="9" t="str">
        <f aca="false">HYPERLINK("https://twitter.com/StandWithMarco_/status/922032904682770432","922032904682770432")</f>
        <v>922032904682770432</v>
      </c>
      <c r="F1189" s="10" t="s">
        <v>2861</v>
      </c>
      <c r="G1189" s="10" t="n">
        <v>356</v>
      </c>
      <c r="H1189" s="10" t="n">
        <v>203</v>
      </c>
      <c r="I1189" s="10" t="n">
        <v>6</v>
      </c>
      <c r="J1189" s="10" t="n">
        <v>0</v>
      </c>
      <c r="K1189" s="10" t="s">
        <v>20</v>
      </c>
      <c r="L1189" s="11" t="n">
        <v>42373.3474884259</v>
      </c>
      <c r="M1189" s="12"/>
      <c r="N1189" s="12"/>
      <c r="O1189" s="9" t="str">
        <f aca="false">HYPERLINK("https://pbs.twimg.com/profile_images/684048556609662976/Br4pKKhi_normal.png","View")</f>
        <v>View</v>
      </c>
      <c r="P1189" s="10"/>
    </row>
    <row r="1190" customFormat="false" ht="15.75" hidden="false" customHeight="false" outlineLevel="0" collapsed="false">
      <c r="A1190" s="6" t="n">
        <v>43030.106087963</v>
      </c>
      <c r="B1190" s="7" t="str">
        <f aca="false">HYPERLINK("https://twitter.com/MiamiGives","@MiamiGives")</f>
        <v>@MiamiGives</v>
      </c>
      <c r="C1190" s="8" t="s">
        <v>2862</v>
      </c>
      <c r="D1190" s="8" t="s">
        <v>3122</v>
      </c>
      <c r="E1190" s="9" t="str">
        <f aca="false">HYPERLINK("https://twitter.com/MiamiGives/status/922032976279556097","922032976279556097")</f>
        <v>922032976279556097</v>
      </c>
      <c r="F1190" s="10" t="s">
        <v>2863</v>
      </c>
      <c r="G1190" s="10" t="n">
        <v>2484</v>
      </c>
      <c r="H1190" s="10" t="n">
        <v>741</v>
      </c>
      <c r="I1190" s="10" t="n">
        <v>6</v>
      </c>
      <c r="J1190" s="10" t="n">
        <v>0</v>
      </c>
      <c r="K1190" s="10" t="s">
        <v>20</v>
      </c>
      <c r="L1190" s="11" t="n">
        <v>42335.5602199074</v>
      </c>
      <c r="M1190" s="12" t="s">
        <v>476</v>
      </c>
      <c r="N1190" s="12" t="s">
        <v>2864</v>
      </c>
      <c r="O1190" s="9" t="str">
        <f aca="false">HYPERLINK("https://pbs.twimg.com/profile_images/684467898329481220/7wpkgfWQ_normal.png","View")</f>
        <v>View</v>
      </c>
      <c r="P1190" s="10"/>
    </row>
    <row r="1191" customFormat="false" ht="15.75" hidden="false" customHeight="false" outlineLevel="0" collapsed="false">
      <c r="A1191" s="6" t="n">
        <v>43030.1061226852</v>
      </c>
      <c r="B1191" s="7" t="str">
        <f aca="false">HYPERLINK("https://twitter.com/soehina","@soehina")</f>
        <v>@soehina</v>
      </c>
      <c r="C1191" s="14" t="s">
        <v>3165</v>
      </c>
      <c r="D1191" s="8" t="s">
        <v>3138</v>
      </c>
      <c r="E1191" s="9" t="str">
        <f aca="false">HYPERLINK("https://twitter.com/soehina/status/922032986236755968","922032986236755968")</f>
        <v>922032986236755968</v>
      </c>
      <c r="F1191" s="10" t="s">
        <v>51</v>
      </c>
      <c r="G1191" s="10" t="n">
        <v>1415</v>
      </c>
      <c r="H1191" s="10" t="n">
        <v>571</v>
      </c>
      <c r="I1191" s="10" t="n">
        <v>31</v>
      </c>
      <c r="J1191" s="10" t="n">
        <v>0</v>
      </c>
      <c r="K1191" s="10" t="s">
        <v>20</v>
      </c>
      <c r="L1191" s="11" t="n">
        <v>41349.297037037</v>
      </c>
      <c r="M1191" s="13" t="s">
        <v>3166</v>
      </c>
      <c r="N1191" s="12" t="s">
        <v>3167</v>
      </c>
      <c r="O1191" s="9" t="str">
        <f aca="false">HYPERLINK("https://pbs.twimg.com/profile_images/919123303364575232/TkVAQ1hL_normal.jpg","View")</f>
        <v>View</v>
      </c>
      <c r="P1191" s="10"/>
    </row>
    <row r="1192" customFormat="false" ht="15.75" hidden="false" customHeight="false" outlineLevel="0" collapsed="false">
      <c r="A1192" s="6" t="n">
        <v>43030.1061921296</v>
      </c>
      <c r="B1192" s="7" t="str">
        <f aca="false">HYPERLINK("https://twitter.com/khanabdulmajee1","@khanabdulmajee1")</f>
        <v>@khanabdulmajee1</v>
      </c>
      <c r="C1192" s="8" t="s">
        <v>3168</v>
      </c>
      <c r="D1192" s="8" t="s">
        <v>3169</v>
      </c>
      <c r="E1192" s="9" t="str">
        <f aca="false">HYPERLINK("https://twitter.com/khanabdulmajee1/status/922033013675909120","922033013675909120")</f>
        <v>922033013675909120</v>
      </c>
      <c r="F1192" s="10" t="s">
        <v>25</v>
      </c>
      <c r="G1192" s="10" t="n">
        <v>55</v>
      </c>
      <c r="H1192" s="10" t="n">
        <v>84</v>
      </c>
      <c r="I1192" s="10" t="n">
        <v>0</v>
      </c>
      <c r="J1192" s="10" t="n">
        <v>0</v>
      </c>
      <c r="K1192" s="10" t="s">
        <v>20</v>
      </c>
      <c r="L1192" s="11" t="n">
        <v>41173.8036111111</v>
      </c>
      <c r="M1192" s="12" t="s">
        <v>3170</v>
      </c>
      <c r="N1192" s="12" t="s">
        <v>3171</v>
      </c>
      <c r="O1192" s="9" t="str">
        <f aca="false">HYPERLINK("https://pbs.twimg.com/profile_images/2637707824/06309fa8282c551659efe2cc27385559_normal.png","View")</f>
        <v>View</v>
      </c>
      <c r="P1192" s="10"/>
    </row>
    <row r="1193" customFormat="false" ht="15.75" hidden="false" customHeight="false" outlineLevel="0" collapsed="false">
      <c r="A1193" s="6" t="n">
        <v>43030.1068055556</v>
      </c>
      <c r="B1193" s="7" t="str">
        <f aca="false">HYPERLINK("https://twitter.com/yuyuko_111","@yuyuko_111")</f>
        <v>@yuyuko_111</v>
      </c>
      <c r="C1193" s="14" t="s">
        <v>3172</v>
      </c>
      <c r="D1193" s="8" t="s">
        <v>3138</v>
      </c>
      <c r="E1193" s="9" t="str">
        <f aca="false">HYPERLINK("https://twitter.com/yuyuko_111/status/922033234522734592","922033234522734592")</f>
        <v>922033234522734592</v>
      </c>
      <c r="F1193" s="10" t="s">
        <v>51</v>
      </c>
      <c r="G1193" s="10" t="n">
        <v>56</v>
      </c>
      <c r="H1193" s="10" t="n">
        <v>107</v>
      </c>
      <c r="I1193" s="10" t="n">
        <v>31</v>
      </c>
      <c r="J1193" s="10" t="n">
        <v>0</v>
      </c>
      <c r="K1193" s="10" t="s">
        <v>20</v>
      </c>
      <c r="L1193" s="11" t="n">
        <v>40823.3171296296</v>
      </c>
      <c r="M1193" s="12" t="s">
        <v>3173</v>
      </c>
      <c r="N1193" s="12"/>
      <c r="O1193" s="9" t="str">
        <f aca="false">HYPERLINK("https://pbs.twimg.com/profile_images/1583719438/twipple1318362472192_normal.jpg","View")</f>
        <v>View</v>
      </c>
      <c r="P1193" s="10"/>
    </row>
    <row r="1194" customFormat="false" ht="15.75" hidden="false" customHeight="false" outlineLevel="0" collapsed="false">
      <c r="A1194" s="6" t="n">
        <v>43030.1073263889</v>
      </c>
      <c r="B1194" s="7" t="str">
        <f aca="false">HYPERLINK("https://twitter.com/josieLanterneer","@josieLanterneer")</f>
        <v>@josieLanterneer</v>
      </c>
      <c r="C1194" s="8" t="s">
        <v>3174</v>
      </c>
      <c r="D1194" s="8" t="s">
        <v>3175</v>
      </c>
      <c r="E1194" s="9" t="str">
        <f aca="false">HYPERLINK("https://twitter.com/josieLanterneer/status/922033422180257792","922033422180257792")</f>
        <v>922033422180257792</v>
      </c>
      <c r="F1194" s="10" t="s">
        <v>25</v>
      </c>
      <c r="G1194" s="10" t="n">
        <v>278</v>
      </c>
      <c r="H1194" s="10" t="n">
        <v>877</v>
      </c>
      <c r="I1194" s="10" t="n">
        <v>1</v>
      </c>
      <c r="J1194" s="10" t="n">
        <v>0</v>
      </c>
      <c r="K1194" s="10" t="s">
        <v>20</v>
      </c>
      <c r="L1194" s="11" t="n">
        <v>42817.8311689815</v>
      </c>
      <c r="M1194" s="12" t="s">
        <v>3176</v>
      </c>
      <c r="N1194" s="12" t="s">
        <v>3177</v>
      </c>
      <c r="O1194" s="9" t="str">
        <f aca="false">HYPERLINK("https://pbs.twimg.com/profile_images/845144463290712064/O47pGzQ9_normal.jpg","View")</f>
        <v>View</v>
      </c>
      <c r="P1194" s="10"/>
    </row>
    <row r="1195" customFormat="false" ht="15.75" hidden="false" customHeight="false" outlineLevel="0" collapsed="false">
      <c r="A1195" s="6" t="n">
        <v>43030.1097106482</v>
      </c>
      <c r="B1195" s="7" t="str">
        <f aca="false">HYPERLINK("https://twitter.com/1242847","@1242847")</f>
        <v>@1242847</v>
      </c>
      <c r="C1195" s="14" t="s">
        <v>3178</v>
      </c>
      <c r="D1195" s="8" t="s">
        <v>3134</v>
      </c>
      <c r="E1195" s="9" t="str">
        <f aca="false">HYPERLINK("https://twitter.com/1242847/status/922034289327214592","922034289327214592")</f>
        <v>922034289327214592</v>
      </c>
      <c r="F1195" s="10" t="s">
        <v>25</v>
      </c>
      <c r="G1195" s="10" t="n">
        <v>1501</v>
      </c>
      <c r="H1195" s="10" t="n">
        <v>3582</v>
      </c>
      <c r="I1195" s="10" t="n">
        <v>11</v>
      </c>
      <c r="J1195" s="10" t="n">
        <v>0</v>
      </c>
      <c r="K1195" s="10" t="s">
        <v>20</v>
      </c>
      <c r="L1195" s="11" t="n">
        <v>40281.7733564815</v>
      </c>
      <c r="M1195" s="12"/>
      <c r="N1195" s="12"/>
      <c r="O1195" s="9" t="str">
        <f aca="false">HYPERLINK("https://pbs.twimg.com/profile_images/378800000576431632/199c532a56ff69913f6bd62ed9dacd3d_normal.jpeg","View")</f>
        <v>View</v>
      </c>
      <c r="P1195" s="10"/>
    </row>
    <row r="1196" customFormat="false" ht="15.75" hidden="false" customHeight="false" outlineLevel="0" collapsed="false">
      <c r="A1196" s="6" t="n">
        <v>43030.110162037</v>
      </c>
      <c r="B1196" s="7" t="str">
        <f aca="false">HYPERLINK("https://twitter.com/eriua881","@eriua881")</f>
        <v>@eriua881</v>
      </c>
      <c r="C1196" s="14" t="s">
        <v>3179</v>
      </c>
      <c r="D1196" s="8" t="s">
        <v>3138</v>
      </c>
      <c r="E1196" s="9" t="str">
        <f aca="false">HYPERLINK("https://twitter.com/eriua881/status/922034451592253443","922034451592253443")</f>
        <v>922034451592253443</v>
      </c>
      <c r="F1196" s="10" t="s">
        <v>177</v>
      </c>
      <c r="G1196" s="10" t="n">
        <v>25</v>
      </c>
      <c r="H1196" s="10" t="n">
        <v>47</v>
      </c>
      <c r="I1196" s="10" t="n">
        <v>31</v>
      </c>
      <c r="J1196" s="10" t="n">
        <v>0</v>
      </c>
      <c r="K1196" s="10" t="s">
        <v>20</v>
      </c>
      <c r="L1196" s="11" t="n">
        <v>41278.3525347222</v>
      </c>
      <c r="M1196" s="12" t="s">
        <v>3180</v>
      </c>
      <c r="N1196" s="13" t="s">
        <v>3181</v>
      </c>
      <c r="O1196" s="9" t="str">
        <f aca="false">HYPERLINK("https://pbs.twimg.com/profile_images/915809188487479296/k678i7aQ_normal.jpg","View")</f>
        <v>View</v>
      </c>
      <c r="P1196" s="10"/>
    </row>
    <row r="1197" customFormat="false" ht="15.75" hidden="false" customHeight="false" outlineLevel="0" collapsed="false">
      <c r="A1197" s="6" t="n">
        <v>43030.1101851852</v>
      </c>
      <c r="B1197" s="7" t="str">
        <f aca="false">HYPERLINK("https://twitter.com/coolgrease_4649","@coolgrease_4649")</f>
        <v>@coolgrease_4649</v>
      </c>
      <c r="C1197" s="8" t="s">
        <v>3182</v>
      </c>
      <c r="D1197" s="8" t="s">
        <v>3138</v>
      </c>
      <c r="E1197" s="9" t="str">
        <f aca="false">HYPERLINK("https://twitter.com/coolgrease_4649/status/922034461851582469","922034461851582469")</f>
        <v>922034461851582469</v>
      </c>
      <c r="F1197" s="10" t="s">
        <v>25</v>
      </c>
      <c r="G1197" s="10" t="n">
        <v>581</v>
      </c>
      <c r="H1197" s="10" t="n">
        <v>1017</v>
      </c>
      <c r="I1197" s="10" t="n">
        <v>31</v>
      </c>
      <c r="J1197" s="10" t="n">
        <v>0</v>
      </c>
      <c r="K1197" s="10" t="s">
        <v>20</v>
      </c>
      <c r="L1197" s="11" t="n">
        <v>41356.4585763889</v>
      </c>
      <c r="M1197" s="12"/>
      <c r="N1197" s="13" t="s">
        <v>3183</v>
      </c>
      <c r="O1197" s="9" t="str">
        <f aca="false">HYPERLINK("https://pbs.twimg.com/profile_images/3425038502/6d9f5fbfe575292f5b30b455ae531b87_normal.jpeg","View")</f>
        <v>View</v>
      </c>
      <c r="P1197" s="10"/>
    </row>
    <row r="1198" customFormat="false" ht="15.75" hidden="false" customHeight="false" outlineLevel="0" collapsed="false">
      <c r="A1198" s="6" t="n">
        <v>43030.1122106482</v>
      </c>
      <c r="B1198" s="7" t="str">
        <f aca="false">HYPERLINK("https://twitter.com/tomihi1223","@tomihi1223")</f>
        <v>@tomihi1223</v>
      </c>
      <c r="C1198" s="14" t="s">
        <v>3184</v>
      </c>
      <c r="D1198" s="8" t="s">
        <v>3185</v>
      </c>
      <c r="E1198" s="9" t="str">
        <f aca="false">HYPERLINK("https://twitter.com/tomihi1223/status/922035194634289152","922035194634289152")</f>
        <v>922035194634289152</v>
      </c>
      <c r="F1198" s="10" t="s">
        <v>39</v>
      </c>
      <c r="G1198" s="10" t="n">
        <v>200</v>
      </c>
      <c r="H1198" s="10" t="n">
        <v>160</v>
      </c>
      <c r="I1198" s="10" t="n">
        <v>0</v>
      </c>
      <c r="J1198" s="10" t="n">
        <v>0</v>
      </c>
      <c r="K1198" s="10" t="s">
        <v>20</v>
      </c>
      <c r="L1198" s="11" t="n">
        <v>40769.2161226852</v>
      </c>
      <c r="M1198" s="12"/>
      <c r="N1198" s="12" t="s">
        <v>3186</v>
      </c>
      <c r="O1198" s="9" t="str">
        <f aca="false">HYPERLINK("https://pbs.twimg.com/profile_images/1494672722/200902041357000_normal.jpg","View")</f>
        <v>View</v>
      </c>
      <c r="P1198" s="10"/>
    </row>
    <row r="1199" customFormat="false" ht="15.75" hidden="false" customHeight="false" outlineLevel="0" collapsed="false">
      <c r="A1199" s="6" t="n">
        <v>43030.1124652778</v>
      </c>
      <c r="B1199" s="7" t="str">
        <f aca="false">HYPERLINK("https://twitter.com/z_c5j","@z_c5j")</f>
        <v>@z_c5j</v>
      </c>
      <c r="C1199" s="14" t="s">
        <v>3187</v>
      </c>
      <c r="D1199" s="8" t="s">
        <v>3134</v>
      </c>
      <c r="E1199" s="9" t="str">
        <f aca="false">HYPERLINK("https://twitter.com/z_c5j/status/922035285961072640","922035285961072640")</f>
        <v>922035285961072640</v>
      </c>
      <c r="F1199" s="10" t="s">
        <v>51</v>
      </c>
      <c r="G1199" s="10" t="n">
        <v>527</v>
      </c>
      <c r="H1199" s="10" t="n">
        <v>755</v>
      </c>
      <c r="I1199" s="10" t="n">
        <v>11</v>
      </c>
      <c r="J1199" s="10" t="n">
        <v>0</v>
      </c>
      <c r="K1199" s="10" t="s">
        <v>20</v>
      </c>
      <c r="L1199" s="11" t="n">
        <v>42527.9403703704</v>
      </c>
      <c r="M1199" s="13" t="s">
        <v>106</v>
      </c>
      <c r="N1199" s="13" t="s">
        <v>3188</v>
      </c>
      <c r="O1199" s="9" t="str">
        <f aca="false">HYPERLINK("https://pbs.twimg.com/profile_images/913395010325721088/8nAonson_normal.jpg","View")</f>
        <v>View</v>
      </c>
      <c r="P1199" s="10"/>
    </row>
    <row r="1200" customFormat="false" ht="15.75" hidden="false" customHeight="false" outlineLevel="0" collapsed="false">
      <c r="A1200" s="6" t="n">
        <v>43030.1146064815</v>
      </c>
      <c r="B1200" s="7" t="str">
        <f aca="false">HYPERLINK("https://twitter.com/mi02ta44","@mi02ta44")</f>
        <v>@mi02ta44</v>
      </c>
      <c r="C1200" s="8" t="s">
        <v>3189</v>
      </c>
      <c r="D1200" s="8" t="s">
        <v>3138</v>
      </c>
      <c r="E1200" s="9" t="str">
        <f aca="false">HYPERLINK("https://twitter.com/mi02ta44/status/922036064260202496","922036064260202496")</f>
        <v>922036064260202496</v>
      </c>
      <c r="F1200" s="10" t="s">
        <v>25</v>
      </c>
      <c r="G1200" s="10" t="n">
        <v>108</v>
      </c>
      <c r="H1200" s="10" t="n">
        <v>156</v>
      </c>
      <c r="I1200" s="10" t="n">
        <v>31</v>
      </c>
      <c r="J1200" s="10" t="n">
        <v>0</v>
      </c>
      <c r="K1200" s="10" t="s">
        <v>20</v>
      </c>
      <c r="L1200" s="11" t="n">
        <v>41630.840625</v>
      </c>
      <c r="M1200" s="13" t="s">
        <v>152</v>
      </c>
      <c r="N1200" s="12" t="s">
        <v>3190</v>
      </c>
      <c r="O1200" s="9" t="str">
        <f aca="false">HYPERLINK("https://pbs.twimg.com/profile_images/883117030622220288/CRbLmjTK_normal.jpg","View")</f>
        <v>View</v>
      </c>
      <c r="P1200" s="10"/>
    </row>
    <row r="1201" customFormat="false" ht="15.75" hidden="false" customHeight="false" outlineLevel="0" collapsed="false">
      <c r="A1201" s="6" t="n">
        <v>43030.1149537037</v>
      </c>
      <c r="B1201" s="7" t="str">
        <f aca="false">HYPERLINK("https://twitter.com/Ava__z","@Ava__z")</f>
        <v>@Ava__z</v>
      </c>
      <c r="C1201" s="8" t="s">
        <v>3191</v>
      </c>
      <c r="D1201" s="8" t="s">
        <v>3138</v>
      </c>
      <c r="E1201" s="9" t="str">
        <f aca="false">HYPERLINK("https://twitter.com/Ava__z/status/922036189573632000","922036189573632000")</f>
        <v>922036189573632000</v>
      </c>
      <c r="F1201" s="10" t="s">
        <v>3192</v>
      </c>
      <c r="G1201" s="10" t="n">
        <v>3804</v>
      </c>
      <c r="H1201" s="10" t="n">
        <v>0</v>
      </c>
      <c r="I1201" s="10" t="n">
        <v>31</v>
      </c>
      <c r="J1201" s="10" t="n">
        <v>0</v>
      </c>
      <c r="K1201" s="10" t="s">
        <v>20</v>
      </c>
      <c r="L1201" s="11" t="n">
        <v>42823.3826273148</v>
      </c>
      <c r="M1201" s="12" t="s">
        <v>203</v>
      </c>
      <c r="N1201" s="12"/>
      <c r="O1201" s="9" t="str">
        <f aca="false">HYPERLINK("https://pbs.twimg.com/profile_images/847119945209200640/7gz6zrfi_normal.jpg","View")</f>
        <v>View</v>
      </c>
      <c r="P1201" s="10"/>
    </row>
    <row r="1202" customFormat="false" ht="15.75" hidden="false" customHeight="false" outlineLevel="0" collapsed="false">
      <c r="A1202" s="6" t="n">
        <v>43030.1155902778</v>
      </c>
      <c r="B1202" s="7" t="str">
        <f aca="false">HYPERLINK("https://twitter.com/BrunoscTimbeta","@BrunoscTimbeta")</f>
        <v>@BrunoscTimbeta</v>
      </c>
      <c r="C1202" s="8" t="s">
        <v>3193</v>
      </c>
      <c r="D1202" s="8" t="s">
        <v>3194</v>
      </c>
      <c r="E1202" s="9" t="str">
        <f aca="false">HYPERLINK("https://twitter.com/BrunoscTimbeta/status/922036418104446976","922036418104446976")</f>
        <v>922036418104446976</v>
      </c>
      <c r="F1202" s="10" t="s">
        <v>60</v>
      </c>
      <c r="G1202" s="10" t="n">
        <v>233</v>
      </c>
      <c r="H1202" s="10" t="n">
        <v>134</v>
      </c>
      <c r="I1202" s="10" t="n">
        <v>0</v>
      </c>
      <c r="J1202" s="10" t="n">
        <v>0</v>
      </c>
      <c r="K1202" s="10" t="s">
        <v>20</v>
      </c>
      <c r="L1202" s="11" t="n">
        <v>41102.6140972222</v>
      </c>
      <c r="M1202" s="12"/>
      <c r="N1202" s="12"/>
      <c r="O1202" s="9" t="str">
        <f aca="false">HYPERLINK("https://pbs.twimg.com/profile_images/893615964784398336/w5rW9bwz_normal.jpg","View")</f>
        <v>View</v>
      </c>
      <c r="P1202" s="10"/>
    </row>
    <row r="1203" customFormat="false" ht="15.75" hidden="false" customHeight="false" outlineLevel="0" collapsed="false">
      <c r="A1203" s="6" t="n">
        <v>43030.1173148148</v>
      </c>
      <c r="B1203" s="7" t="str">
        <f aca="false">HYPERLINK("https://twitter.com/yusan1ban","@yusan1ban")</f>
        <v>@yusan1ban</v>
      </c>
      <c r="C1203" s="14" t="s">
        <v>3195</v>
      </c>
      <c r="D1203" s="8" t="s">
        <v>3138</v>
      </c>
      <c r="E1203" s="9" t="str">
        <f aca="false">HYPERLINK("https://twitter.com/yusan1ban/status/922037044511088641","922037044511088641")</f>
        <v>922037044511088641</v>
      </c>
      <c r="F1203" s="10" t="s">
        <v>51</v>
      </c>
      <c r="G1203" s="10" t="n">
        <v>188</v>
      </c>
      <c r="H1203" s="10" t="n">
        <v>396</v>
      </c>
      <c r="I1203" s="10" t="n">
        <v>31</v>
      </c>
      <c r="J1203" s="10" t="n">
        <v>0</v>
      </c>
      <c r="K1203" s="10" t="s">
        <v>20</v>
      </c>
      <c r="L1203" s="11" t="n">
        <v>41108.8166087963</v>
      </c>
      <c r="M1203" s="12"/>
      <c r="N1203" s="12"/>
      <c r="O1203" s="9" t="str">
        <f aca="false">HYPERLINK("https://abs.twimg.com/sticky/default_profile_images/default_profile_normal.png","View")</f>
        <v>View</v>
      </c>
      <c r="P1203" s="10"/>
    </row>
    <row r="1204" customFormat="false" ht="15.75" hidden="false" customHeight="false" outlineLevel="0" collapsed="false">
      <c r="A1204" s="6" t="n">
        <v>43030.1174537037</v>
      </c>
      <c r="B1204" s="7" t="str">
        <f aca="false">HYPERLINK("https://twitter.com/2039am","@2039am")</f>
        <v>@2039am</v>
      </c>
      <c r="C1204" s="8" t="n">
        <v>31</v>
      </c>
      <c r="D1204" s="8" t="s">
        <v>3138</v>
      </c>
      <c r="E1204" s="9" t="str">
        <f aca="false">HYPERLINK("https://twitter.com/2039am/status/922037096105181185","922037096105181185")</f>
        <v>922037096105181185</v>
      </c>
      <c r="F1204" s="10" t="s">
        <v>98</v>
      </c>
      <c r="G1204" s="10" t="n">
        <v>122</v>
      </c>
      <c r="H1204" s="10" t="n">
        <v>158</v>
      </c>
      <c r="I1204" s="10" t="n">
        <v>31</v>
      </c>
      <c r="J1204" s="10" t="n">
        <v>0</v>
      </c>
      <c r="K1204" s="10" t="s">
        <v>20</v>
      </c>
      <c r="L1204" s="11" t="n">
        <v>42925.2051736111</v>
      </c>
      <c r="M1204" s="13" t="s">
        <v>3196</v>
      </c>
      <c r="N1204" s="13" t="s">
        <v>3197</v>
      </c>
      <c r="O1204" s="9" t="str">
        <f aca="false">HYPERLINK("https://pbs.twimg.com/profile_images/884022756353875968/3WBhQxeF_normal.jpg","View")</f>
        <v>View</v>
      </c>
      <c r="P1204" s="10"/>
    </row>
    <row r="1205" customFormat="false" ht="15.75" hidden="false" customHeight="false" outlineLevel="0" collapsed="false">
      <c r="A1205" s="6" t="n">
        <v>43030.1205555556</v>
      </c>
      <c r="B1205" s="7" t="str">
        <f aca="false">HYPERLINK("https://twitter.com/Lastkombo","@Lastkombo")</f>
        <v>@Lastkombo</v>
      </c>
      <c r="C1205" s="8" t="s">
        <v>3198</v>
      </c>
      <c r="D1205" s="8" t="s">
        <v>3199</v>
      </c>
      <c r="E1205" s="9" t="str">
        <f aca="false">HYPERLINK("https://twitter.com/Lastkombo/status/922038217267916800","922038217267916800")</f>
        <v>922038217267916800</v>
      </c>
      <c r="F1205" s="10" t="s">
        <v>39</v>
      </c>
      <c r="G1205" s="10" t="n">
        <v>29</v>
      </c>
      <c r="H1205" s="10" t="n">
        <v>4</v>
      </c>
      <c r="I1205" s="10" t="n">
        <v>0</v>
      </c>
      <c r="J1205" s="10" t="n">
        <v>0</v>
      </c>
      <c r="K1205" s="10" t="s">
        <v>20</v>
      </c>
      <c r="L1205" s="11" t="n">
        <v>42970.4016782407</v>
      </c>
      <c r="M1205" s="12" t="s">
        <v>3200</v>
      </c>
      <c r="N1205" s="12" t="s">
        <v>3201</v>
      </c>
      <c r="O1205" s="9" t="str">
        <f aca="false">HYPERLINK("https://pbs.twimg.com/profile_images/900398172358488066/HJrol8dM_normal.jpg","View")</f>
        <v>View</v>
      </c>
      <c r="P1205" s="10"/>
    </row>
    <row r="1206" customFormat="false" ht="15.75" hidden="false" customHeight="false" outlineLevel="0" collapsed="false">
      <c r="A1206" s="6" t="n">
        <v>43030.1205787037</v>
      </c>
      <c r="B1206" s="7" t="str">
        <f aca="false">HYPERLINK("https://twitter.com/IBTimesUK","@IBTimesUK")</f>
        <v>@IBTimesUK</v>
      </c>
      <c r="C1206" s="8" t="s">
        <v>3202</v>
      </c>
      <c r="D1206" s="8" t="s">
        <v>3203</v>
      </c>
      <c r="E1206" s="9" t="str">
        <f aca="false">HYPERLINK("https://twitter.com/IBTimesUK/status/922038227405598721","922038227405598721")</f>
        <v>922038227405598721</v>
      </c>
      <c r="F1206" s="10" t="s">
        <v>268</v>
      </c>
      <c r="G1206" s="10" t="n">
        <v>32277</v>
      </c>
      <c r="H1206" s="10" t="n">
        <v>1068</v>
      </c>
      <c r="I1206" s="10" t="n">
        <v>2</v>
      </c>
      <c r="J1206" s="10" t="n">
        <v>1</v>
      </c>
      <c r="K1206" s="10" t="s">
        <v>20</v>
      </c>
      <c r="L1206" s="11" t="n">
        <v>39981.1365740741</v>
      </c>
      <c r="M1206" s="12" t="s">
        <v>893</v>
      </c>
      <c r="N1206" s="12" t="s">
        <v>3204</v>
      </c>
      <c r="O1206" s="9" t="str">
        <f aca="false">HYPERLINK("https://pbs.twimg.com/profile_images/856922877018468362/O1xt2dpN_normal.jpg","View")</f>
        <v>View</v>
      </c>
      <c r="P1206" s="10"/>
    </row>
    <row r="1207" customFormat="false" ht="15.75" hidden="false" customHeight="false" outlineLevel="0" collapsed="false">
      <c r="A1207" s="6" t="n">
        <v>43030.1206828704</v>
      </c>
      <c r="B1207" s="7" t="str">
        <f aca="false">HYPERLINK("https://twitter.com/LasVegasNvBlog","@LasVegasNvBlog")</f>
        <v>@LasVegasNvBlog</v>
      </c>
      <c r="C1207" s="8" t="s">
        <v>3205</v>
      </c>
      <c r="D1207" s="8" t="s">
        <v>3206</v>
      </c>
      <c r="E1207" s="9" t="str">
        <f aca="false">HYPERLINK("https://twitter.com/LasVegasNvBlog/status/922038262897807360","922038262897807360")</f>
        <v>922038262897807360</v>
      </c>
      <c r="F1207" s="9" t="s">
        <v>979</v>
      </c>
      <c r="G1207" s="10" t="n">
        <v>1027</v>
      </c>
      <c r="H1207" s="10" t="n">
        <v>155</v>
      </c>
      <c r="I1207" s="10" t="n">
        <v>0</v>
      </c>
      <c r="J1207" s="10" t="n">
        <v>0</v>
      </c>
      <c r="K1207" s="10" t="s">
        <v>20</v>
      </c>
      <c r="L1207" s="11" t="n">
        <v>40288.715150463</v>
      </c>
      <c r="M1207" s="12"/>
      <c r="N1207" s="12" t="s">
        <v>3207</v>
      </c>
      <c r="O1207" s="9" t="str">
        <f aca="false">HYPERLINK("https://pbs.twimg.com/profile_images/475447222343974914/m_fTU6NP_normal.png","View")</f>
        <v>View</v>
      </c>
      <c r="P1207" s="10"/>
    </row>
    <row r="1208" customFormat="false" ht="15.75" hidden="false" customHeight="false" outlineLevel="0" collapsed="false">
      <c r="A1208" s="6" t="n">
        <v>43030.1212268519</v>
      </c>
      <c r="B1208" s="7" t="str">
        <f aca="false">HYPERLINK("https://twitter.com/Lastkombo","@Lastkombo")</f>
        <v>@Lastkombo</v>
      </c>
      <c r="C1208" s="8" t="s">
        <v>3198</v>
      </c>
      <c r="D1208" s="8" t="s">
        <v>3208</v>
      </c>
      <c r="E1208" s="9" t="str">
        <f aca="false">HYPERLINK("https://twitter.com/Lastkombo/status/922038461221269506","922038461221269506")</f>
        <v>922038461221269506</v>
      </c>
      <c r="F1208" s="10" t="s">
        <v>39</v>
      </c>
      <c r="G1208" s="10" t="n">
        <v>29</v>
      </c>
      <c r="H1208" s="10" t="n">
        <v>4</v>
      </c>
      <c r="I1208" s="10" t="n">
        <v>0</v>
      </c>
      <c r="J1208" s="10" t="n">
        <v>0</v>
      </c>
      <c r="K1208" s="10" t="s">
        <v>20</v>
      </c>
      <c r="L1208" s="11" t="n">
        <v>42970.4016782407</v>
      </c>
      <c r="M1208" s="12" t="s">
        <v>3200</v>
      </c>
      <c r="N1208" s="12" t="s">
        <v>3201</v>
      </c>
      <c r="O1208" s="9" t="str">
        <f aca="false">HYPERLINK("https://pbs.twimg.com/profile_images/900398172358488066/HJrol8dM_normal.jpg","View")</f>
        <v>View</v>
      </c>
      <c r="P1208" s="10"/>
    </row>
    <row r="1209" customFormat="false" ht="15.75" hidden="false" customHeight="false" outlineLevel="0" collapsed="false">
      <c r="A1209" s="6" t="n">
        <v>43030.1230671296</v>
      </c>
      <c r="B1209" s="7" t="str">
        <f aca="false">HYPERLINK("https://twitter.com/NTKRNow","@NTKRNow")</f>
        <v>@NTKRNow</v>
      </c>
      <c r="C1209" s="8" t="s">
        <v>829</v>
      </c>
      <c r="D1209" s="8" t="s">
        <v>3209</v>
      </c>
      <c r="E1209" s="9" t="str">
        <f aca="false">HYPERLINK("https://twitter.com/NTKRNow/status/922039127188656128","922039127188656128")</f>
        <v>922039127188656128</v>
      </c>
      <c r="F1209" s="10" t="s">
        <v>60</v>
      </c>
      <c r="G1209" s="10" t="n">
        <v>610</v>
      </c>
      <c r="H1209" s="10" t="n">
        <v>4</v>
      </c>
      <c r="I1209" s="10" t="n">
        <v>0</v>
      </c>
      <c r="J1209" s="10" t="n">
        <v>0</v>
      </c>
      <c r="K1209" s="10" t="s">
        <v>20</v>
      </c>
      <c r="L1209" s="11" t="n">
        <v>42402.810625</v>
      </c>
      <c r="M1209" s="12"/>
      <c r="N1209" s="12"/>
      <c r="O1209" s="9" t="str">
        <f aca="false">HYPERLINK("https://abs.twimg.com/sticky/default_profile_images/default_profile_normal.png","View")</f>
        <v>View</v>
      </c>
      <c r="P1209" s="10"/>
    </row>
    <row r="1210" customFormat="false" ht="15.75" hidden="false" customHeight="false" outlineLevel="0" collapsed="false">
      <c r="A1210" s="6" t="n">
        <v>43030.1231018519</v>
      </c>
      <c r="B1210" s="7" t="str">
        <f aca="false">HYPERLINK("https://twitter.com/all_newsonline1","@all_newsonline1")</f>
        <v>@all_newsonline1</v>
      </c>
      <c r="C1210" s="8" t="s">
        <v>1232</v>
      </c>
      <c r="D1210" s="8" t="s">
        <v>3210</v>
      </c>
      <c r="E1210" s="9" t="str">
        <f aca="false">HYPERLINK("https://twitter.com/all_newsonline1/status/922039139364720640","922039139364720640")</f>
        <v>922039139364720640</v>
      </c>
      <c r="F1210" s="10" t="s">
        <v>60</v>
      </c>
      <c r="G1210" s="10" t="n">
        <v>888</v>
      </c>
      <c r="H1210" s="10" t="n">
        <v>590</v>
      </c>
      <c r="I1210" s="10" t="n">
        <v>0</v>
      </c>
      <c r="J1210" s="10" t="n">
        <v>0</v>
      </c>
      <c r="K1210" s="10" t="s">
        <v>20</v>
      </c>
      <c r="L1210" s="11" t="n">
        <v>42724.3415740741</v>
      </c>
      <c r="M1210" s="12"/>
      <c r="N1210" s="12" t="s">
        <v>1234</v>
      </c>
      <c r="O1210" s="9" t="str">
        <f aca="false">HYPERLINK("https://pbs.twimg.com/profile_images/811251050716004352/I8BfZXTc_normal.jpg","View")</f>
        <v>View</v>
      </c>
      <c r="P1210" s="10"/>
    </row>
    <row r="1211" customFormat="false" ht="15.75" hidden="false" customHeight="false" outlineLevel="0" collapsed="false">
      <c r="A1211" s="6" t="n">
        <v>43030.1231944444</v>
      </c>
      <c r="B1211" s="7" t="str">
        <f aca="false">HYPERLINK("https://twitter.com/TCminicooper","@TCminicooper")</f>
        <v>@TCminicooper</v>
      </c>
      <c r="C1211" s="8" t="s">
        <v>3211</v>
      </c>
      <c r="D1211" s="8" t="s">
        <v>3138</v>
      </c>
      <c r="E1211" s="9" t="str">
        <f aca="false">HYPERLINK("https://twitter.com/TCminicooper/status/922039173447499776","922039173447499776")</f>
        <v>922039173447499776</v>
      </c>
      <c r="F1211" s="10" t="s">
        <v>25</v>
      </c>
      <c r="G1211" s="10" t="n">
        <v>71</v>
      </c>
      <c r="H1211" s="10" t="n">
        <v>461</v>
      </c>
      <c r="I1211" s="10" t="n">
        <v>31</v>
      </c>
      <c r="J1211" s="10" t="n">
        <v>0</v>
      </c>
      <c r="K1211" s="10" t="s">
        <v>20</v>
      </c>
      <c r="L1211" s="11" t="n">
        <v>41965.3544907407</v>
      </c>
      <c r="M1211" s="12"/>
      <c r="N1211" s="13" t="s">
        <v>3212</v>
      </c>
      <c r="O1211" s="9" t="str">
        <f aca="false">HYPERLINK("https://pbs.twimg.com/profile_images/921734355566837765/Eb-cjxsx_normal.jpg","View")</f>
        <v>View</v>
      </c>
      <c r="P1211" s="10"/>
    </row>
    <row r="1212" customFormat="false" ht="15.75" hidden="false" customHeight="false" outlineLevel="0" collapsed="false">
      <c r="A1212" s="6" t="n">
        <v>43030.1235532408</v>
      </c>
      <c r="B1212" s="7" t="str">
        <f aca="false">HYPERLINK("https://twitter.com/opusflow","@opusflow")</f>
        <v>@opusflow</v>
      </c>
      <c r="C1212" s="8" t="s">
        <v>3213</v>
      </c>
      <c r="D1212" s="8" t="s">
        <v>3214</v>
      </c>
      <c r="E1212" s="9" t="str">
        <f aca="false">HYPERLINK("https://twitter.com/opusflow/status/922039304930709504","922039304930709504")</f>
        <v>922039304930709504</v>
      </c>
      <c r="F1212" s="10" t="s">
        <v>39</v>
      </c>
      <c r="G1212" s="10" t="n">
        <v>2625</v>
      </c>
      <c r="H1212" s="10" t="n">
        <v>4453</v>
      </c>
      <c r="I1212" s="10" t="n">
        <v>2</v>
      </c>
      <c r="J1212" s="10" t="n">
        <v>0</v>
      </c>
      <c r="K1212" s="10" t="s">
        <v>20</v>
      </c>
      <c r="L1212" s="11" t="n">
        <v>40610.0470138889</v>
      </c>
      <c r="M1212" s="12" t="s">
        <v>1635</v>
      </c>
      <c r="N1212" s="12" t="s">
        <v>3215</v>
      </c>
      <c r="O1212" s="9" t="str">
        <f aca="false">HYPERLINK("https://pbs.twimg.com/profile_images/582507588270612480/RK1CgI7X_normal.png","View")</f>
        <v>View</v>
      </c>
      <c r="P1212" s="10"/>
    </row>
    <row r="1213" customFormat="false" ht="15.75" hidden="false" customHeight="false" outlineLevel="0" collapsed="false">
      <c r="A1213" s="6" t="n">
        <v>43030.1241550926</v>
      </c>
      <c r="B1213" s="7" t="str">
        <f aca="false">HYPERLINK("https://twitter.com/Chisako331","@Chisako331")</f>
        <v>@Chisako331</v>
      </c>
      <c r="C1213" s="8" t="s">
        <v>3216</v>
      </c>
      <c r="D1213" s="8" t="s">
        <v>3138</v>
      </c>
      <c r="E1213" s="9" t="str">
        <f aca="false">HYPERLINK("https://twitter.com/Chisako331/status/922039521352359936","922039521352359936")</f>
        <v>922039521352359936</v>
      </c>
      <c r="F1213" s="10" t="s">
        <v>25</v>
      </c>
      <c r="G1213" s="10" t="n">
        <v>1183</v>
      </c>
      <c r="H1213" s="10" t="n">
        <v>921</v>
      </c>
      <c r="I1213" s="10" t="n">
        <v>31</v>
      </c>
      <c r="J1213" s="10" t="n">
        <v>0</v>
      </c>
      <c r="K1213" s="10" t="s">
        <v>20</v>
      </c>
      <c r="L1213" s="11" t="n">
        <v>41469.2274768519</v>
      </c>
      <c r="M1213" s="12" t="s">
        <v>574</v>
      </c>
      <c r="N1213" s="12" t="s">
        <v>3217</v>
      </c>
      <c r="O1213" s="9" t="str">
        <f aca="false">HYPERLINK("https://pbs.twimg.com/profile_images/860478805982367745/vpXP8SZ2_normal.jpg","View")</f>
        <v>View</v>
      </c>
      <c r="P1213" s="10"/>
    </row>
    <row r="1214" customFormat="false" ht="15.75" hidden="false" customHeight="false" outlineLevel="0" collapsed="false">
      <c r="A1214" s="6" t="n">
        <v>43030.1243287037</v>
      </c>
      <c r="B1214" s="7" t="str">
        <f aca="false">HYPERLINK("https://twitter.com/Cyril_Grey","@Cyril_Grey")</f>
        <v>@Cyril_Grey</v>
      </c>
      <c r="C1214" s="8" t="s">
        <v>3218</v>
      </c>
      <c r="D1214" s="8" t="s">
        <v>3134</v>
      </c>
      <c r="E1214" s="9" t="str">
        <f aca="false">HYPERLINK("https://twitter.com/Cyril_Grey/status/922039585474932737","922039585474932737")</f>
        <v>922039585474932737</v>
      </c>
      <c r="F1214" s="10" t="s">
        <v>3219</v>
      </c>
      <c r="G1214" s="10" t="n">
        <v>207</v>
      </c>
      <c r="H1214" s="10" t="n">
        <v>437</v>
      </c>
      <c r="I1214" s="10" t="n">
        <v>11</v>
      </c>
      <c r="J1214" s="10" t="n">
        <v>0</v>
      </c>
      <c r="K1214" s="10" t="s">
        <v>20</v>
      </c>
      <c r="L1214" s="11" t="n">
        <v>41335.7499537037</v>
      </c>
      <c r="M1214" s="12"/>
      <c r="N1214" s="12" t="s">
        <v>3220</v>
      </c>
      <c r="O1214" s="9" t="str">
        <f aca="false">HYPERLINK("https://pbs.twimg.com/profile_images/3369449496/d9efbaaa633c31462b29ac11a11922bc_normal.jpeg","View")</f>
        <v>View</v>
      </c>
      <c r="P1214" s="10"/>
    </row>
    <row r="1215" customFormat="false" ht="15.75" hidden="false" customHeight="false" outlineLevel="0" collapsed="false">
      <c r="A1215" s="6" t="n">
        <v>43030.1256481481</v>
      </c>
      <c r="B1215" s="7" t="str">
        <f aca="false">HYPERLINK("https://twitter.com/tiger3kai","@tiger3kai")</f>
        <v>@tiger3kai</v>
      </c>
      <c r="C1215" s="14" t="s">
        <v>3221</v>
      </c>
      <c r="D1215" s="8" t="s">
        <v>3138</v>
      </c>
      <c r="E1215" s="9" t="str">
        <f aca="false">HYPERLINK("https://twitter.com/tiger3kai/status/922040062820343808","922040062820343808")</f>
        <v>922040062820343808</v>
      </c>
      <c r="F1215" s="10" t="s">
        <v>25</v>
      </c>
      <c r="G1215" s="10" t="n">
        <v>624</v>
      </c>
      <c r="H1215" s="10" t="n">
        <v>2517</v>
      </c>
      <c r="I1215" s="10" t="n">
        <v>31</v>
      </c>
      <c r="J1215" s="10" t="n">
        <v>0</v>
      </c>
      <c r="K1215" s="10" t="s">
        <v>20</v>
      </c>
      <c r="L1215" s="11" t="n">
        <v>40110.2680208333</v>
      </c>
      <c r="M1215" s="13" t="s">
        <v>3222</v>
      </c>
      <c r="N1215" s="13" t="s">
        <v>3223</v>
      </c>
      <c r="O1215" s="9" t="str">
        <f aca="false">HYPERLINK("https://pbs.twimg.com/profile_images/487699887/c40f_normal.jpg","View")</f>
        <v>View</v>
      </c>
      <c r="P1215" s="10"/>
    </row>
    <row r="1216" customFormat="false" ht="15.75" hidden="false" customHeight="false" outlineLevel="0" collapsed="false">
      <c r="A1216" s="6" t="n">
        <v>43030.1260763889</v>
      </c>
      <c r="B1216" s="7" t="str">
        <f aca="false">HYPERLINK("https://twitter.com/Shige0301","@Shige0301")</f>
        <v>@Shige0301</v>
      </c>
      <c r="C1216" s="14" t="s">
        <v>3224</v>
      </c>
      <c r="D1216" s="8" t="s">
        <v>3225</v>
      </c>
      <c r="E1216" s="9" t="str">
        <f aca="false">HYPERLINK("https://twitter.com/Shige0301/status/922040217107808256","922040217107808256")</f>
        <v>922040217107808256</v>
      </c>
      <c r="F1216" s="10" t="s">
        <v>177</v>
      </c>
      <c r="G1216" s="10" t="n">
        <v>256</v>
      </c>
      <c r="H1216" s="10" t="n">
        <v>509</v>
      </c>
      <c r="I1216" s="10" t="n">
        <v>0</v>
      </c>
      <c r="J1216" s="10" t="n">
        <v>0</v>
      </c>
      <c r="K1216" s="10" t="s">
        <v>20</v>
      </c>
      <c r="L1216" s="11" t="n">
        <v>40341.2478472222</v>
      </c>
      <c r="M1216" s="13" t="s">
        <v>3226</v>
      </c>
      <c r="N1216" s="12" t="s">
        <v>3227</v>
      </c>
      <c r="O1216" s="9" t="str">
        <f aca="false">HYPERLINK("https://pbs.twimg.com/profile_images/858066756715257856/bdzyowuz_normal.jpg","View")</f>
        <v>View</v>
      </c>
      <c r="P1216" s="10"/>
    </row>
    <row r="1217" customFormat="false" ht="15.75" hidden="false" customHeight="false" outlineLevel="0" collapsed="false">
      <c r="A1217" s="6" t="n">
        <v>43030.1266319444</v>
      </c>
      <c r="B1217" s="7" t="str">
        <f aca="false">HYPERLINK("https://twitter.com/NTKRNow","@NTKRNow")</f>
        <v>@NTKRNow</v>
      </c>
      <c r="C1217" s="8" t="s">
        <v>829</v>
      </c>
      <c r="D1217" s="8" t="s">
        <v>3228</v>
      </c>
      <c r="E1217" s="9" t="str">
        <f aca="false">HYPERLINK("https://twitter.com/NTKRNow/status/922040418644131840","922040418644131840")</f>
        <v>922040418644131840</v>
      </c>
      <c r="F1217" s="10" t="s">
        <v>60</v>
      </c>
      <c r="G1217" s="10" t="n">
        <v>610</v>
      </c>
      <c r="H1217" s="10" t="n">
        <v>4</v>
      </c>
      <c r="I1217" s="10" t="n">
        <v>0</v>
      </c>
      <c r="J1217" s="10" t="n">
        <v>0</v>
      </c>
      <c r="K1217" s="10" t="s">
        <v>20</v>
      </c>
      <c r="L1217" s="11" t="n">
        <v>42402.810625</v>
      </c>
      <c r="M1217" s="12"/>
      <c r="N1217" s="12"/>
      <c r="O1217" s="9" t="str">
        <f aca="false">HYPERLINK("https://abs.twimg.com/sticky/default_profile_images/default_profile_normal.png","View")</f>
        <v>View</v>
      </c>
      <c r="P1217" s="10"/>
    </row>
    <row r="1218" customFormat="false" ht="15.75" hidden="false" customHeight="false" outlineLevel="0" collapsed="false">
      <c r="A1218" s="6" t="n">
        <v>43030.1281944444</v>
      </c>
      <c r="B1218" s="7" t="str">
        <f aca="false">HYPERLINK("https://twitter.com/358amaterasu","@358amaterasu")</f>
        <v>@358amaterasu</v>
      </c>
      <c r="C1218" s="14" t="s">
        <v>3229</v>
      </c>
      <c r="D1218" s="8" t="s">
        <v>3138</v>
      </c>
      <c r="E1218" s="9" t="str">
        <f aca="false">HYPERLINK("https://twitter.com/358amaterasu/status/922040987613937665","922040987613937665")</f>
        <v>922040987613937665</v>
      </c>
      <c r="F1218" s="10" t="s">
        <v>51</v>
      </c>
      <c r="G1218" s="10" t="n">
        <v>101</v>
      </c>
      <c r="H1218" s="10" t="n">
        <v>217</v>
      </c>
      <c r="I1218" s="10" t="n">
        <v>31</v>
      </c>
      <c r="J1218" s="10" t="n">
        <v>0</v>
      </c>
      <c r="K1218" s="10" t="s">
        <v>20</v>
      </c>
      <c r="L1218" s="11" t="n">
        <v>42783.2892592593</v>
      </c>
      <c r="M1218" s="12"/>
      <c r="N1218" s="13" t="s">
        <v>3230</v>
      </c>
      <c r="O1218" s="9" t="str">
        <f aca="false">HYPERLINK("https://pbs.twimg.com/profile_images/832610225211404288/-vJvKj2x_normal.jpg","View")</f>
        <v>View</v>
      </c>
      <c r="P1218" s="10"/>
    </row>
    <row r="1219" customFormat="false" ht="15.75" hidden="false" customHeight="false" outlineLevel="0" collapsed="false">
      <c r="A1219" s="6" t="n">
        <v>43030.129375</v>
      </c>
      <c r="B1219" s="7" t="str">
        <f aca="false">HYPERLINK("https://twitter.com/StarTraveler4","@StarTraveler4")</f>
        <v>@StarTraveler4</v>
      </c>
      <c r="C1219" s="8" t="s">
        <v>3231</v>
      </c>
      <c r="D1219" s="8" t="s">
        <v>3232</v>
      </c>
      <c r="E1219" s="9" t="str">
        <f aca="false">HYPERLINK("https://twitter.com/StarTraveler4/status/922041412748742657","922041412748742657")</f>
        <v>922041412748742657</v>
      </c>
      <c r="F1219" s="10" t="s">
        <v>25</v>
      </c>
      <c r="G1219" s="10" t="n">
        <v>78</v>
      </c>
      <c r="H1219" s="10" t="n">
        <v>259</v>
      </c>
      <c r="I1219" s="10" t="n">
        <v>0</v>
      </c>
      <c r="J1219" s="10" t="n">
        <v>0</v>
      </c>
      <c r="K1219" s="10" t="s">
        <v>20</v>
      </c>
      <c r="L1219" s="11" t="n">
        <v>43029.6375810185</v>
      </c>
      <c r="M1219" s="12"/>
      <c r="N1219" s="12" t="s">
        <v>3233</v>
      </c>
      <c r="O1219" s="9" t="str">
        <f aca="false">HYPERLINK("https://pbs.twimg.com/profile_images/921952714749292544/HanEQal7_normal.jpg","View")</f>
        <v>View</v>
      </c>
      <c r="P1219" s="10"/>
    </row>
    <row r="1220" customFormat="false" ht="15.75" hidden="false" customHeight="false" outlineLevel="0" collapsed="false">
      <c r="A1220" s="6" t="n">
        <v>43030.1308217593</v>
      </c>
      <c r="B1220" s="7" t="str">
        <f aca="false">HYPERLINK("https://twitter.com/Israelifreedom","@Israelifreedom")</f>
        <v>@Israelifreedom</v>
      </c>
      <c r="C1220" s="8" t="s">
        <v>3234</v>
      </c>
      <c r="D1220" s="8" t="s">
        <v>3235</v>
      </c>
      <c r="E1220" s="9" t="str">
        <f aca="false">HYPERLINK("https://twitter.com/Israelifreedom/status/922041937791717377","922041937791717377")</f>
        <v>922041937791717377</v>
      </c>
      <c r="F1220" s="10" t="s">
        <v>39</v>
      </c>
      <c r="G1220" s="10" t="n">
        <v>1098</v>
      </c>
      <c r="H1220" s="10" t="n">
        <v>144</v>
      </c>
      <c r="I1220" s="10" t="n">
        <v>1</v>
      </c>
      <c r="J1220" s="10" t="n">
        <v>0</v>
      </c>
      <c r="K1220" s="10" t="s">
        <v>20</v>
      </c>
      <c r="L1220" s="11" t="n">
        <v>40660.2003240741</v>
      </c>
      <c r="M1220" s="12" t="s">
        <v>3236</v>
      </c>
      <c r="N1220" s="12" t="s">
        <v>3237</v>
      </c>
      <c r="O1220" s="9" t="str">
        <f aca="false">HYPERLINK("https://pbs.twimg.com/profile_images/1328020799/100040_normal.jpg","View")</f>
        <v>View</v>
      </c>
      <c r="P1220" s="10"/>
    </row>
    <row r="1221" customFormat="false" ht="15.75" hidden="false" customHeight="false" outlineLevel="0" collapsed="false">
      <c r="A1221" s="6" t="n">
        <v>43030.1311921296</v>
      </c>
      <c r="B1221" s="7" t="str">
        <f aca="false">HYPERLINK("https://twitter.com/The_Oilholic","@The_Oilholic")</f>
        <v>@The_Oilholic</v>
      </c>
      <c r="C1221" s="8" t="s">
        <v>3238</v>
      </c>
      <c r="D1221" s="8" t="s">
        <v>3239</v>
      </c>
      <c r="E1221" s="9" t="str">
        <f aca="false">HYPERLINK("https://twitter.com/The_Oilholic/status/922042071963328512","922042071963328512")</f>
        <v>922042071963328512</v>
      </c>
      <c r="F1221" s="10" t="s">
        <v>39</v>
      </c>
      <c r="G1221" s="10" t="n">
        <v>1441</v>
      </c>
      <c r="H1221" s="10" t="n">
        <v>397</v>
      </c>
      <c r="I1221" s="10" t="n">
        <v>1</v>
      </c>
      <c r="J1221" s="10" t="n">
        <v>0</v>
      </c>
      <c r="K1221" s="10" t="s">
        <v>20</v>
      </c>
      <c r="L1221" s="11" t="n">
        <v>41294.2786921296</v>
      </c>
      <c r="M1221" s="12" t="s">
        <v>1319</v>
      </c>
      <c r="N1221" s="12" t="s">
        <v>3240</v>
      </c>
      <c r="O1221" s="9" t="str">
        <f aca="false">HYPERLINK("https://pbs.twimg.com/profile_images/3134162476/fb23f37c3859e1adc0e8bd5b8961908e_normal.jpeg","View")</f>
        <v>View</v>
      </c>
      <c r="P1221" s="10"/>
    </row>
    <row r="1222" customFormat="false" ht="15.75" hidden="false" customHeight="false" outlineLevel="0" collapsed="false">
      <c r="A1222" s="6" t="n">
        <v>43030.1334606482</v>
      </c>
      <c r="B1222" s="7" t="str">
        <f aca="false">HYPERLINK("https://twitter.com/Israelifreedom","@Israelifreedom")</f>
        <v>@Israelifreedom</v>
      </c>
      <c r="C1222" s="8" t="s">
        <v>3234</v>
      </c>
      <c r="D1222" s="8" t="s">
        <v>3241</v>
      </c>
      <c r="E1222" s="9" t="str">
        <f aca="false">HYPERLINK("https://twitter.com/Israelifreedom/status/922042893816287232","922042893816287232")</f>
        <v>922042893816287232</v>
      </c>
      <c r="F1222" s="10" t="s">
        <v>1017</v>
      </c>
      <c r="G1222" s="10" t="n">
        <v>1098</v>
      </c>
      <c r="H1222" s="10" t="n">
        <v>144</v>
      </c>
      <c r="I1222" s="10" t="n">
        <v>1</v>
      </c>
      <c r="J1222" s="10" t="n">
        <v>0</v>
      </c>
      <c r="K1222" s="10" t="s">
        <v>20</v>
      </c>
      <c r="L1222" s="11" t="n">
        <v>40660.2003240741</v>
      </c>
      <c r="M1222" s="12" t="s">
        <v>3236</v>
      </c>
      <c r="N1222" s="12" t="s">
        <v>3237</v>
      </c>
      <c r="O1222" s="9" t="str">
        <f aca="false">HYPERLINK("https://pbs.twimg.com/profile_images/1328020799/100040_normal.jpg","View")</f>
        <v>View</v>
      </c>
      <c r="P1222" s="10"/>
    </row>
    <row r="1223" customFormat="false" ht="15.75" hidden="false" customHeight="false" outlineLevel="0" collapsed="false">
      <c r="A1223" s="6" t="n">
        <v>43030.1337847222</v>
      </c>
      <c r="B1223" s="7" t="str">
        <f aca="false">HYPERLINK("https://twitter.com/sd345t","@sd345t")</f>
        <v>@sd345t</v>
      </c>
      <c r="C1223" s="8" t="s">
        <v>3242</v>
      </c>
      <c r="D1223" s="8" t="s">
        <v>3138</v>
      </c>
      <c r="E1223" s="9" t="str">
        <f aca="false">HYPERLINK("https://twitter.com/sd345t/status/922043011688685569","922043011688685569")</f>
        <v>922043011688685569</v>
      </c>
      <c r="F1223" s="10" t="s">
        <v>51</v>
      </c>
      <c r="G1223" s="10" t="n">
        <v>2790</v>
      </c>
      <c r="H1223" s="10" t="n">
        <v>2558</v>
      </c>
      <c r="I1223" s="10" t="n">
        <v>31</v>
      </c>
      <c r="J1223" s="10" t="n">
        <v>0</v>
      </c>
      <c r="K1223" s="10" t="s">
        <v>20</v>
      </c>
      <c r="L1223" s="11" t="n">
        <v>40296.99125</v>
      </c>
      <c r="M1223" s="13" t="s">
        <v>3243</v>
      </c>
      <c r="N1223" s="13" t="s">
        <v>3244</v>
      </c>
      <c r="O1223" s="9" t="str">
        <f aca="false">HYPERLINK("https://pbs.twimg.com/profile_images/458898324968316929/8avRLvmR_normal.jpeg","View")</f>
        <v>View</v>
      </c>
      <c r="P1223" s="10"/>
    </row>
    <row r="1224" customFormat="false" ht="15.75" hidden="false" customHeight="false" outlineLevel="0" collapsed="false">
      <c r="A1224" s="6" t="n">
        <v>43030.1391898148</v>
      </c>
      <c r="B1224" s="7" t="str">
        <f aca="false">HYPERLINK("https://twitter.com/ranaalikash","@ranaalikash")</f>
        <v>@ranaalikash</v>
      </c>
      <c r="C1224" s="8" t="s">
        <v>3245</v>
      </c>
      <c r="D1224" s="8" t="s">
        <v>3246</v>
      </c>
      <c r="E1224" s="9" t="str">
        <f aca="false">HYPERLINK("https://twitter.com/ranaalikash/status/922044971930341376","922044971930341376")</f>
        <v>922044971930341376</v>
      </c>
      <c r="F1224" s="10" t="s">
        <v>60</v>
      </c>
      <c r="G1224" s="10" t="n">
        <v>555</v>
      </c>
      <c r="H1224" s="10" t="n">
        <v>497</v>
      </c>
      <c r="I1224" s="10" t="n">
        <v>0</v>
      </c>
      <c r="J1224" s="10" t="n">
        <v>0</v>
      </c>
      <c r="K1224" s="10" t="s">
        <v>20</v>
      </c>
      <c r="L1224" s="11" t="n">
        <v>41290.3037615741</v>
      </c>
      <c r="M1224" s="12" t="s">
        <v>2102</v>
      </c>
      <c r="N1224" s="12" t="s">
        <v>3247</v>
      </c>
      <c r="O1224" s="9" t="str">
        <f aca="false">HYPERLINK("https://pbs.twimg.com/profile_images/844077052567285760/wjvEi4tV_normal.jpg","View")</f>
        <v>View</v>
      </c>
      <c r="P1224" s="10"/>
    </row>
    <row r="1225" customFormat="false" ht="15.75" hidden="false" customHeight="false" outlineLevel="0" collapsed="false">
      <c r="A1225" s="6" t="n">
        <v>43030.1395717593</v>
      </c>
      <c r="B1225" s="7" t="str">
        <f aca="false">HYPERLINK("https://twitter.com/newsoneplace","@newsoneplace")</f>
        <v>@newsoneplace</v>
      </c>
      <c r="C1225" s="7" t="s">
        <v>3248</v>
      </c>
      <c r="D1225" s="8" t="s">
        <v>3249</v>
      </c>
      <c r="E1225" s="9" t="str">
        <f aca="false">HYPERLINK("https://twitter.com/newsoneplace/status/922045109549649920","922045109549649920")</f>
        <v>922045109549649920</v>
      </c>
      <c r="F1225" s="10" t="s">
        <v>3250</v>
      </c>
      <c r="G1225" s="10" t="n">
        <v>1002</v>
      </c>
      <c r="H1225" s="10" t="n">
        <v>108</v>
      </c>
      <c r="I1225" s="10" t="n">
        <v>0</v>
      </c>
      <c r="J1225" s="10" t="n">
        <v>0</v>
      </c>
      <c r="K1225" s="10" t="s">
        <v>20</v>
      </c>
      <c r="L1225" s="11" t="n">
        <v>42250.2606712963</v>
      </c>
      <c r="M1225" s="12"/>
      <c r="N1225" s="12" t="s">
        <v>3251</v>
      </c>
      <c r="O1225" s="9" t="str">
        <f aca="false">HYPERLINK("https://pbs.twimg.com/profile_images/743969278483963904/25yd5Un3_normal.jpg","View")</f>
        <v>View</v>
      </c>
      <c r="P1225" s="10"/>
    </row>
    <row r="1226" customFormat="false" ht="15.75" hidden="false" customHeight="false" outlineLevel="0" collapsed="false">
      <c r="A1226" s="6" t="n">
        <v>43030.1414236111</v>
      </c>
      <c r="B1226" s="7" t="str">
        <f aca="false">HYPERLINK("https://twitter.com/tvThirdEyeB","@tvThirdEyeB")</f>
        <v>@tvThirdEyeB</v>
      </c>
      <c r="C1226" s="8" t="s">
        <v>2027</v>
      </c>
      <c r="D1226" s="8" t="s">
        <v>3252</v>
      </c>
      <c r="E1226" s="9" t="str">
        <f aca="false">HYPERLINK("https://twitter.com/tvThirdEyeB/status/922045780642246656","922045780642246656")</f>
        <v>922045780642246656</v>
      </c>
      <c r="F1226" s="10" t="s">
        <v>2029</v>
      </c>
      <c r="G1226" s="10" t="n">
        <v>31</v>
      </c>
      <c r="H1226" s="10" t="n">
        <v>0</v>
      </c>
      <c r="I1226" s="10" t="n">
        <v>0</v>
      </c>
      <c r="J1226" s="10" t="n">
        <v>0</v>
      </c>
      <c r="K1226" s="10" t="s">
        <v>20</v>
      </c>
      <c r="L1226" s="11" t="n">
        <v>42972.5932638889</v>
      </c>
      <c r="M1226" s="12" t="s">
        <v>588</v>
      </c>
      <c r="N1226" s="12" t="s">
        <v>2030</v>
      </c>
      <c r="O1226" s="9" t="str">
        <f aca="false">HYPERLINK("https://pbs.twimg.com/profile_images/910606884565950464/P-E5U0ei_normal.jpg","View")</f>
        <v>View</v>
      </c>
      <c r="P1226" s="10"/>
    </row>
    <row r="1227" customFormat="false" ht="15.75" hidden="false" customHeight="false" outlineLevel="0" collapsed="false">
      <c r="A1227" s="6" t="n">
        <v>43030.1415277778</v>
      </c>
      <c r="B1227" s="7" t="str">
        <f aca="false">HYPERLINK("https://twitter.com/MariStaking","@MariStaking")</f>
        <v>@MariStaking</v>
      </c>
      <c r="C1227" s="8" t="s">
        <v>3253</v>
      </c>
      <c r="D1227" s="8" t="s">
        <v>3138</v>
      </c>
      <c r="E1227" s="9" t="str">
        <f aca="false">HYPERLINK("https://twitter.com/MariStaking/status/922045819666161665","922045819666161665")</f>
        <v>922045819666161665</v>
      </c>
      <c r="F1227" s="10" t="s">
        <v>51</v>
      </c>
      <c r="G1227" s="10" t="n">
        <v>94</v>
      </c>
      <c r="H1227" s="10" t="n">
        <v>232</v>
      </c>
      <c r="I1227" s="10" t="n">
        <v>31</v>
      </c>
      <c r="J1227" s="10" t="n">
        <v>0</v>
      </c>
      <c r="K1227" s="10" t="s">
        <v>20</v>
      </c>
      <c r="L1227" s="11" t="n">
        <v>41276.1969097222</v>
      </c>
      <c r="M1227" s="12" t="s">
        <v>3254</v>
      </c>
      <c r="N1227" s="12" t="s">
        <v>3255</v>
      </c>
      <c r="O1227" s="9" t="str">
        <f aca="false">HYPERLINK("https://pbs.twimg.com/profile_images/901526738743603200/_mImmYJn_normal.jpg","View")</f>
        <v>View</v>
      </c>
      <c r="P1227" s="10"/>
    </row>
    <row r="1228" customFormat="false" ht="15.75" hidden="false" customHeight="false" outlineLevel="0" collapsed="false">
      <c r="A1228" s="6" t="n">
        <v>43030.1428125</v>
      </c>
      <c r="B1228" s="7" t="str">
        <f aca="false">HYPERLINK("https://twitter.com/harisnest","@harisnest")</f>
        <v>@harisnest</v>
      </c>
      <c r="C1228" s="8" t="s">
        <v>3256</v>
      </c>
      <c r="D1228" s="8" t="s">
        <v>3257</v>
      </c>
      <c r="E1228" s="9" t="str">
        <f aca="false">HYPERLINK("https://twitter.com/harisnest/status/922046284030148608","922046284030148608")</f>
        <v>922046284030148608</v>
      </c>
      <c r="F1228" s="10" t="s">
        <v>51</v>
      </c>
      <c r="G1228" s="10" t="n">
        <v>15</v>
      </c>
      <c r="H1228" s="10" t="n">
        <v>20</v>
      </c>
      <c r="I1228" s="10" t="n">
        <v>0</v>
      </c>
      <c r="J1228" s="10" t="n">
        <v>0</v>
      </c>
      <c r="K1228" s="10" t="s">
        <v>20</v>
      </c>
      <c r="L1228" s="11" t="n">
        <v>40786.3969560185</v>
      </c>
      <c r="M1228" s="12"/>
      <c r="N1228" s="12" t="s">
        <v>3258</v>
      </c>
      <c r="O1228" s="9" t="str">
        <f aca="false">HYPERLINK("https://pbs.twimg.com/profile_images/599019151835865088/YbdpBrFC_normal.jpg","View")</f>
        <v>View</v>
      </c>
      <c r="P1228" s="10"/>
    </row>
    <row r="1229" customFormat="false" ht="15.75" hidden="false" customHeight="false" outlineLevel="0" collapsed="false">
      <c r="A1229" s="6" t="n">
        <v>43030.1438310185</v>
      </c>
      <c r="B1229" s="7" t="str">
        <f aca="false">HYPERLINK("https://twitter.com/Moonbootica","@Moonbootica")</f>
        <v>@Moonbootica</v>
      </c>
      <c r="C1229" s="8" t="s">
        <v>3259</v>
      </c>
      <c r="D1229" s="8" t="s">
        <v>3260</v>
      </c>
      <c r="E1229" s="9" t="str">
        <f aca="false">HYPERLINK("https://twitter.com/Moonbootica/status/922046654756327424","922046654756327424")</f>
        <v>922046654756327424</v>
      </c>
      <c r="F1229" s="10" t="s">
        <v>39</v>
      </c>
      <c r="G1229" s="10" t="n">
        <v>3629</v>
      </c>
      <c r="H1229" s="10" t="n">
        <v>4993</v>
      </c>
      <c r="I1229" s="10" t="n">
        <v>0</v>
      </c>
      <c r="J1229" s="10" t="n">
        <v>0</v>
      </c>
      <c r="K1229" s="10" t="s">
        <v>20</v>
      </c>
      <c r="L1229" s="11" t="n">
        <v>39747.5064351852</v>
      </c>
      <c r="M1229" s="12" t="s">
        <v>3261</v>
      </c>
      <c r="N1229" s="12" t="s">
        <v>3262</v>
      </c>
      <c r="O1229" s="9" t="str">
        <f aca="false">HYPERLINK("https://pbs.twimg.com/profile_images/472443105405186048/ELgkuG3X_normal.jpeg","View")</f>
        <v>View</v>
      </c>
      <c r="P1229" s="10"/>
    </row>
    <row r="1230" customFormat="false" ht="15.75" hidden="false" customHeight="false" outlineLevel="0" collapsed="false">
      <c r="A1230" s="6" t="n">
        <v>43030.1462384259</v>
      </c>
      <c r="B1230" s="7" t="str">
        <f aca="false">HYPERLINK("https://twitter.com/Paveluljuk","@Paveluljuk")</f>
        <v>@Paveluljuk</v>
      </c>
      <c r="C1230" s="8" t="s">
        <v>3263</v>
      </c>
      <c r="D1230" s="8" t="s">
        <v>3264</v>
      </c>
      <c r="E1230" s="9" t="str">
        <f aca="false">HYPERLINK("https://twitter.com/Paveluljuk/status/922047526269784064","922047526269784064")</f>
        <v>922047526269784064</v>
      </c>
      <c r="F1230" s="10" t="s">
        <v>39</v>
      </c>
      <c r="G1230" s="10" t="n">
        <v>6638</v>
      </c>
      <c r="H1230" s="10" t="n">
        <v>5936</v>
      </c>
      <c r="I1230" s="10" t="n">
        <v>0</v>
      </c>
      <c r="J1230" s="10" t="n">
        <v>0</v>
      </c>
      <c r="K1230" s="10" t="s">
        <v>20</v>
      </c>
      <c r="L1230" s="11" t="n">
        <v>41065.235775463</v>
      </c>
      <c r="M1230" s="12" t="s">
        <v>3265</v>
      </c>
      <c r="N1230" s="12" t="s">
        <v>3266</v>
      </c>
      <c r="O1230" s="9" t="str">
        <f aca="false">HYPERLINK("https://pbs.twimg.com/profile_images/886198487137873921/zmFeaY9W_normal.jpg","View")</f>
        <v>View</v>
      </c>
      <c r="P1230" s="10"/>
    </row>
    <row r="1231" customFormat="false" ht="15.75" hidden="false" customHeight="false" outlineLevel="0" collapsed="false">
      <c r="A1231" s="6" t="n">
        <v>43030.1476967593</v>
      </c>
      <c r="B1231" s="7" t="str">
        <f aca="false">HYPERLINK("https://twitter.com/RiyadhVision","@RiyadhVision")</f>
        <v>@RiyadhVision</v>
      </c>
      <c r="C1231" s="8" t="s">
        <v>3267</v>
      </c>
      <c r="D1231" s="8" t="s">
        <v>3268</v>
      </c>
      <c r="E1231" s="9" t="str">
        <f aca="false">HYPERLINK("https://twitter.com/RiyadhVision/status/922048053024100352","922048053024100352")</f>
        <v>922048053024100352</v>
      </c>
      <c r="F1231" s="10" t="s">
        <v>47</v>
      </c>
      <c r="G1231" s="10" t="n">
        <v>784</v>
      </c>
      <c r="H1231" s="10" t="n">
        <v>1351</v>
      </c>
      <c r="I1231" s="10" t="n">
        <v>0</v>
      </c>
      <c r="J1231" s="10" t="n">
        <v>0</v>
      </c>
      <c r="K1231" s="10" t="s">
        <v>20</v>
      </c>
      <c r="L1231" s="11" t="n">
        <v>41782.306712963</v>
      </c>
      <c r="M1231" s="12" t="s">
        <v>3269</v>
      </c>
      <c r="N1231" s="15" t="s">
        <v>3270</v>
      </c>
      <c r="O1231" s="9" t="str">
        <f aca="false">HYPERLINK("https://pbs.twimg.com/profile_images/860085459875225600/h_77j6Gu_normal.jpg","View")</f>
        <v>View</v>
      </c>
      <c r="P1231" s="10"/>
    </row>
    <row r="1232" customFormat="false" ht="15.75" hidden="false" customHeight="false" outlineLevel="0" collapsed="false">
      <c r="A1232" s="6" t="n">
        <v>43030.1478009259</v>
      </c>
      <c r="B1232" s="7" t="str">
        <f aca="false">HYPERLINK("https://twitter.com/RiyadhVision","@RiyadhVision")</f>
        <v>@RiyadhVision</v>
      </c>
      <c r="C1232" s="8" t="s">
        <v>3267</v>
      </c>
      <c r="D1232" s="8" t="s">
        <v>3271</v>
      </c>
      <c r="E1232" s="9" t="str">
        <f aca="false">HYPERLINK("https://twitter.com/RiyadhVision/status/922048093079687173","922048093079687173")</f>
        <v>922048093079687173</v>
      </c>
      <c r="F1232" s="10" t="s">
        <v>47</v>
      </c>
      <c r="G1232" s="10" t="n">
        <v>784</v>
      </c>
      <c r="H1232" s="10" t="n">
        <v>1351</v>
      </c>
      <c r="I1232" s="10" t="n">
        <v>0</v>
      </c>
      <c r="J1232" s="10" t="n">
        <v>0</v>
      </c>
      <c r="K1232" s="10" t="s">
        <v>20</v>
      </c>
      <c r="L1232" s="11" t="n">
        <v>41782.306712963</v>
      </c>
      <c r="M1232" s="12" t="s">
        <v>3269</v>
      </c>
      <c r="N1232" s="15" t="s">
        <v>3270</v>
      </c>
      <c r="O1232" s="9" t="str">
        <f aca="false">HYPERLINK("https://pbs.twimg.com/profile_images/860085459875225600/h_77j6Gu_normal.jpg","View")</f>
        <v>View</v>
      </c>
      <c r="P1232" s="10"/>
    </row>
    <row r="1233" customFormat="false" ht="15.75" hidden="false" customHeight="false" outlineLevel="0" collapsed="false">
      <c r="A1233" s="6" t="n">
        <v>43030.1524074074</v>
      </c>
      <c r="B1233" s="7" t="str">
        <f aca="false">HYPERLINK("https://twitter.com/RonnieChopra1","@RonnieChopra1")</f>
        <v>@RonnieChopra1</v>
      </c>
      <c r="C1233" s="8" t="s">
        <v>3272</v>
      </c>
      <c r="D1233" s="8" t="s">
        <v>3273</v>
      </c>
      <c r="E1233" s="9" t="str">
        <f aca="false">HYPERLINK("https://twitter.com/RonnieChopra1/status/922049762425298944","922049762425298944")</f>
        <v>922049762425298944</v>
      </c>
      <c r="F1233" s="10" t="s">
        <v>39</v>
      </c>
      <c r="G1233" s="10" t="n">
        <v>341</v>
      </c>
      <c r="H1233" s="10" t="n">
        <v>340</v>
      </c>
      <c r="I1233" s="10" t="n">
        <v>0</v>
      </c>
      <c r="J1233" s="10" t="n">
        <v>0</v>
      </c>
      <c r="K1233" s="10" t="s">
        <v>20</v>
      </c>
      <c r="L1233" s="11" t="n">
        <v>41331.9768287037</v>
      </c>
      <c r="M1233" s="12" t="s">
        <v>182</v>
      </c>
      <c r="N1233" s="12" t="s">
        <v>3274</v>
      </c>
      <c r="O1233" s="9" t="str">
        <f aca="false">HYPERLINK("https://pbs.twimg.com/profile_images/3313936859/e9c0e1009ee15e8f9e5d5f37ffa845a5_normal.jpeg","View")</f>
        <v>View</v>
      </c>
      <c r="P1233" s="10"/>
    </row>
    <row r="1234" customFormat="false" ht="15.75" hidden="false" customHeight="false" outlineLevel="0" collapsed="false">
      <c r="A1234" s="6" t="n">
        <v>43030.1566435185</v>
      </c>
      <c r="B1234" s="7" t="str">
        <f aca="false">HYPERLINK("https://twitter.com/lopezgovlaw","@lopezgovlaw")</f>
        <v>@lopezgovlaw</v>
      </c>
      <c r="C1234" s="8" t="s">
        <v>2865</v>
      </c>
      <c r="D1234" s="8" t="s">
        <v>3275</v>
      </c>
      <c r="E1234" s="9" t="str">
        <f aca="false">HYPERLINK("https://twitter.com/lopezgovlaw/status/922051295468548096","922051295468548096")</f>
        <v>922051295468548096</v>
      </c>
      <c r="F1234" s="10" t="s">
        <v>60</v>
      </c>
      <c r="G1234" s="10" t="n">
        <v>7196</v>
      </c>
      <c r="H1234" s="10" t="n">
        <v>1676</v>
      </c>
      <c r="I1234" s="10" t="n">
        <v>3</v>
      </c>
      <c r="J1234" s="10" t="n">
        <v>0</v>
      </c>
      <c r="K1234" s="10" t="s">
        <v>20</v>
      </c>
      <c r="L1234" s="11" t="n">
        <v>40142.8209490741</v>
      </c>
      <c r="M1234" s="12" t="s">
        <v>2867</v>
      </c>
      <c r="N1234" s="12" t="s">
        <v>2868</v>
      </c>
      <c r="O1234" s="9" t="str">
        <f aca="false">HYPERLINK("https://pbs.twimg.com/profile_images/612000460342448128/Xgz6KteQ_normal.jpg","View")</f>
        <v>View</v>
      </c>
      <c r="P1234" s="10"/>
    </row>
    <row r="1235" customFormat="false" ht="15.75" hidden="false" customHeight="false" outlineLevel="0" collapsed="false">
      <c r="A1235" s="6" t="n">
        <v>43030.1577777778</v>
      </c>
      <c r="B1235" s="7" t="str">
        <f aca="false">HYPERLINK("https://twitter.com/StandWithMarco_","@StandWithMarco_")</f>
        <v>@StandWithMarco_</v>
      </c>
      <c r="C1235" s="8" t="s">
        <v>2860</v>
      </c>
      <c r="D1235" s="8" t="s">
        <v>3276</v>
      </c>
      <c r="E1235" s="9" t="str">
        <f aca="false">HYPERLINK("https://twitter.com/StandWithMarco_/status/922051706036326400","922051706036326400")</f>
        <v>922051706036326400</v>
      </c>
      <c r="F1235" s="10" t="s">
        <v>2861</v>
      </c>
      <c r="G1235" s="10" t="n">
        <v>356</v>
      </c>
      <c r="H1235" s="10" t="n">
        <v>203</v>
      </c>
      <c r="I1235" s="10" t="n">
        <v>3</v>
      </c>
      <c r="J1235" s="10" t="n">
        <v>0</v>
      </c>
      <c r="K1235" s="10" t="s">
        <v>20</v>
      </c>
      <c r="L1235" s="11" t="n">
        <v>42373.3474884259</v>
      </c>
      <c r="M1235" s="12"/>
      <c r="N1235" s="12"/>
      <c r="O1235" s="9" t="str">
        <f aca="false">HYPERLINK("https://pbs.twimg.com/profile_images/684048556609662976/Br4pKKhi_normal.png","View")</f>
        <v>View</v>
      </c>
      <c r="P1235" s="10"/>
    </row>
    <row r="1236" customFormat="false" ht="15.75" hidden="false" customHeight="false" outlineLevel="0" collapsed="false">
      <c r="A1236" s="6" t="n">
        <v>43030.1579398148</v>
      </c>
      <c r="B1236" s="7" t="str">
        <f aca="false">HYPERLINK("https://twitter.com/MiamiGives","@MiamiGives")</f>
        <v>@MiamiGives</v>
      </c>
      <c r="C1236" s="8" t="s">
        <v>2862</v>
      </c>
      <c r="D1236" s="8" t="s">
        <v>3276</v>
      </c>
      <c r="E1236" s="9" t="str">
        <f aca="false">HYPERLINK("https://twitter.com/MiamiGives/status/922051765998096384","922051765998096384")</f>
        <v>922051765998096384</v>
      </c>
      <c r="F1236" s="10" t="s">
        <v>2863</v>
      </c>
      <c r="G1236" s="10" t="n">
        <v>2484</v>
      </c>
      <c r="H1236" s="10" t="n">
        <v>741</v>
      </c>
      <c r="I1236" s="10" t="n">
        <v>3</v>
      </c>
      <c r="J1236" s="10" t="n">
        <v>0</v>
      </c>
      <c r="K1236" s="10" t="s">
        <v>20</v>
      </c>
      <c r="L1236" s="11" t="n">
        <v>42335.5602199074</v>
      </c>
      <c r="M1236" s="12" t="s">
        <v>476</v>
      </c>
      <c r="N1236" s="12" t="s">
        <v>2864</v>
      </c>
      <c r="O1236" s="9" t="str">
        <f aca="false">HYPERLINK("https://pbs.twimg.com/profile_images/684467898329481220/7wpkgfWQ_normal.png","View")</f>
        <v>View</v>
      </c>
      <c r="P1236" s="10"/>
    </row>
    <row r="1237" customFormat="false" ht="15.75" hidden="false" customHeight="false" outlineLevel="0" collapsed="false">
      <c r="A1237" s="6" t="n">
        <v>43030.15875</v>
      </c>
      <c r="B1237" s="7" t="str">
        <f aca="false">HYPERLINK("https://twitter.com/OxaYosf","@OxaYosf")</f>
        <v>@OxaYosf</v>
      </c>
      <c r="C1237" s="8" t="s">
        <v>3277</v>
      </c>
      <c r="D1237" s="8" t="s">
        <v>3278</v>
      </c>
      <c r="E1237" s="9" t="str">
        <f aca="false">HYPERLINK("https://twitter.com/OxaYosf/status/922052059192614913","922052059192614913")</f>
        <v>922052059192614913</v>
      </c>
      <c r="F1237" s="10" t="s">
        <v>60</v>
      </c>
      <c r="G1237" s="10" t="n">
        <v>5</v>
      </c>
      <c r="H1237" s="10" t="n">
        <v>75</v>
      </c>
      <c r="I1237" s="10" t="n">
        <v>0</v>
      </c>
      <c r="J1237" s="10" t="n">
        <v>0</v>
      </c>
      <c r="K1237" s="10" t="s">
        <v>20</v>
      </c>
      <c r="L1237" s="11" t="n">
        <v>42875.2619444444</v>
      </c>
      <c r="M1237" s="12"/>
      <c r="N1237" s="12"/>
      <c r="O1237" s="9" t="str">
        <f aca="false">HYPERLINK("https://abs.twimg.com/sticky/default_profile_images/default_profile_normal.png","View")</f>
        <v>View</v>
      </c>
      <c r="P1237" s="10"/>
    </row>
    <row r="1238" customFormat="false" ht="15.75" hidden="false" customHeight="false" outlineLevel="0" collapsed="false">
      <c r="A1238" s="6" t="n">
        <v>43030.1622106482</v>
      </c>
      <c r="B1238" s="7" t="str">
        <f aca="false">HYPERLINK("https://twitter.com/alan_rosario69","@alan_rosario69")</f>
        <v>@alan_rosario69</v>
      </c>
      <c r="C1238" s="8" t="s">
        <v>3279</v>
      </c>
      <c r="D1238" s="8" t="s">
        <v>3280</v>
      </c>
      <c r="E1238" s="9" t="str">
        <f aca="false">HYPERLINK("https://twitter.com/alan_rosario69/status/922053311578148864","922053311578148864")</f>
        <v>922053311578148864</v>
      </c>
      <c r="F1238" s="10" t="s">
        <v>51</v>
      </c>
      <c r="G1238" s="10" t="n">
        <v>3460</v>
      </c>
      <c r="H1238" s="10" t="n">
        <v>4894</v>
      </c>
      <c r="I1238" s="10" t="n">
        <v>0</v>
      </c>
      <c r="J1238" s="10" t="n">
        <v>0</v>
      </c>
      <c r="K1238" s="10" t="s">
        <v>20</v>
      </c>
      <c r="L1238" s="11" t="n">
        <v>42822.6507638889</v>
      </c>
      <c r="M1238" s="12" t="s">
        <v>601</v>
      </c>
      <c r="N1238" s="12" t="s">
        <v>3281</v>
      </c>
      <c r="O1238" s="9" t="str">
        <f aca="false">HYPERLINK("https://pbs.twimg.com/profile_images/846871249800302592/gFA-7_I0_normal.jpg","View")</f>
        <v>View</v>
      </c>
      <c r="P1238" s="10"/>
    </row>
    <row r="1239" customFormat="false" ht="15.75" hidden="false" customHeight="false" outlineLevel="0" collapsed="false">
      <c r="A1239" s="6" t="n">
        <v>43030.1624768519</v>
      </c>
      <c r="B1239" s="7" t="str">
        <f aca="false">HYPERLINK("https://twitter.com/VotarEsUnDeber","@VotarEsUnDeber")</f>
        <v>@VotarEsUnDeber</v>
      </c>
      <c r="C1239" s="8" t="s">
        <v>2828</v>
      </c>
      <c r="D1239" s="8" t="s">
        <v>3276</v>
      </c>
      <c r="E1239" s="9" t="str">
        <f aca="false">HYPERLINK("https://twitter.com/VotarEsUnDeber/status/922053410823819265","922053410823819265")</f>
        <v>922053410823819265</v>
      </c>
      <c r="F1239" s="10" t="s">
        <v>2830</v>
      </c>
      <c r="G1239" s="10" t="n">
        <v>401</v>
      </c>
      <c r="H1239" s="10" t="n">
        <v>708</v>
      </c>
      <c r="I1239" s="10" t="n">
        <v>3</v>
      </c>
      <c r="J1239" s="10" t="n">
        <v>0</v>
      </c>
      <c r="K1239" s="10" t="s">
        <v>20</v>
      </c>
      <c r="L1239" s="11" t="n">
        <v>41541.9787037037</v>
      </c>
      <c r="M1239" s="12" t="s">
        <v>476</v>
      </c>
      <c r="N1239" s="12" t="s">
        <v>2831</v>
      </c>
      <c r="O1239" s="9" t="str">
        <f aca="false">HYPERLINK("https://pbs.twimg.com/profile_images/499209824748306432/iAeMat7D_normal.png","View")</f>
        <v>View</v>
      </c>
      <c r="P1239" s="10"/>
    </row>
    <row r="1240" customFormat="false" ht="15.75" hidden="false" customHeight="false" outlineLevel="0" collapsed="false">
      <c r="A1240" s="6" t="n">
        <v>43030.1743634259</v>
      </c>
      <c r="B1240" s="7" t="str">
        <f aca="false">HYPERLINK("https://twitter.com/SugimuraIP","@SugimuraIP")</f>
        <v>@SugimuraIP</v>
      </c>
      <c r="C1240" s="8" t="s">
        <v>3282</v>
      </c>
      <c r="D1240" s="8" t="s">
        <v>3283</v>
      </c>
      <c r="E1240" s="9" t="str">
        <f aca="false">HYPERLINK("https://twitter.com/SugimuraIP/status/922057719397404672","922057719397404672")</f>
        <v>922057719397404672</v>
      </c>
      <c r="F1240" s="10" t="s">
        <v>60</v>
      </c>
      <c r="G1240" s="10" t="n">
        <v>1682</v>
      </c>
      <c r="H1240" s="10" t="n">
        <v>748</v>
      </c>
      <c r="I1240" s="10" t="n">
        <v>0</v>
      </c>
      <c r="J1240" s="10" t="n">
        <v>0</v>
      </c>
      <c r="K1240" s="10" t="s">
        <v>20</v>
      </c>
      <c r="L1240" s="11" t="n">
        <v>41494.9969444444</v>
      </c>
      <c r="M1240" s="12" t="s">
        <v>1473</v>
      </c>
      <c r="N1240" s="12" t="s">
        <v>3284</v>
      </c>
      <c r="O1240" s="9" t="str">
        <f aca="false">HYPERLINK("https://pbs.twimg.com/profile_images/378800000263751071/fbce8dd28d77a613d95f31dcbda75470_normal.jpeg","View")</f>
        <v>View</v>
      </c>
      <c r="P1240" s="10"/>
    </row>
    <row r="1241" customFormat="false" ht="15.75" hidden="false" customHeight="false" outlineLevel="0" collapsed="false">
      <c r="A1241" s="6" t="n">
        <v>43030.1743981481</v>
      </c>
      <c r="B1241" s="7" t="str">
        <f aca="false">HYPERLINK("https://twitter.com/SkyNewsBreak","@SkyNewsBreak")</f>
        <v>@SkyNewsBreak</v>
      </c>
      <c r="C1241" s="8" t="s">
        <v>3285</v>
      </c>
      <c r="D1241" s="8" t="s">
        <v>3286</v>
      </c>
      <c r="E1241" s="9" t="str">
        <f aca="false">HYPERLINK("https://twitter.com/SkyNewsBreak/status/922057728100585478","922057728100585478")</f>
        <v>922057728100585478</v>
      </c>
      <c r="F1241" s="10" t="s">
        <v>276</v>
      </c>
      <c r="G1241" s="10" t="n">
        <v>2993130</v>
      </c>
      <c r="H1241" s="10" t="n">
        <v>3</v>
      </c>
      <c r="I1241" s="10" t="n">
        <v>71</v>
      </c>
      <c r="J1241" s="10" t="n">
        <v>103</v>
      </c>
      <c r="K1241" s="10" t="s">
        <v>20</v>
      </c>
      <c r="L1241" s="11" t="n">
        <v>40121.1428819444</v>
      </c>
      <c r="M1241" s="12" t="s">
        <v>1319</v>
      </c>
      <c r="N1241" s="12" t="s">
        <v>3287</v>
      </c>
      <c r="O1241" s="9" t="str">
        <f aca="false">HYPERLINK("https://pbs.twimg.com/profile_images/880362687208857601/jCvF--mX_normal.jpg","View")</f>
        <v>View</v>
      </c>
      <c r="P1241" s="10"/>
    </row>
    <row r="1242" customFormat="false" ht="15.75" hidden="false" customHeight="false" outlineLevel="0" collapsed="false">
      <c r="A1242" s="6" t="n">
        <v>43030.1745601852</v>
      </c>
      <c r="B1242" s="7" t="str">
        <f aca="false">HYPERLINK("https://twitter.com/STForeignDesk","@STForeignDesk")</f>
        <v>@STForeignDesk</v>
      </c>
      <c r="C1242" s="8" t="s">
        <v>3288</v>
      </c>
      <c r="D1242" s="8" t="s">
        <v>3289</v>
      </c>
      <c r="E1242" s="9" t="str">
        <f aca="false">HYPERLINK("https://twitter.com/STForeignDesk/status/922057789303750656","922057789303750656")</f>
        <v>922057789303750656</v>
      </c>
      <c r="F1242" s="10" t="s">
        <v>276</v>
      </c>
      <c r="G1242" s="10" t="n">
        <v>39376</v>
      </c>
      <c r="H1242" s="10" t="n">
        <v>109</v>
      </c>
      <c r="I1242" s="10" t="n">
        <v>1</v>
      </c>
      <c r="J1242" s="10" t="n">
        <v>2</v>
      </c>
      <c r="K1242" s="10" t="s">
        <v>20</v>
      </c>
      <c r="L1242" s="11" t="n">
        <v>41303.312025463</v>
      </c>
      <c r="M1242" s="12" t="s">
        <v>186</v>
      </c>
      <c r="N1242" s="12" t="s">
        <v>3290</v>
      </c>
      <c r="O1242" s="9" t="str">
        <f aca="false">HYPERLINK("https://pbs.twimg.com/profile_images/616014877300142080/6I99bogh_normal.jpg","View")</f>
        <v>View</v>
      </c>
      <c r="P1242" s="10"/>
    </row>
    <row r="1243" customFormat="false" ht="15.75" hidden="false" customHeight="false" outlineLevel="0" collapsed="false">
      <c r="A1243" s="6" t="n">
        <v>43030.1745601852</v>
      </c>
      <c r="B1243" s="7" t="str">
        <f aca="false">HYPERLINK("https://twitter.com/STcom","@STcom")</f>
        <v>@STcom</v>
      </c>
      <c r="C1243" s="8" t="s">
        <v>3291</v>
      </c>
      <c r="D1243" s="8" t="s">
        <v>3292</v>
      </c>
      <c r="E1243" s="9" t="str">
        <f aca="false">HYPERLINK("https://twitter.com/STcom/status/922057789375205376","922057789375205376")</f>
        <v>922057789375205376</v>
      </c>
      <c r="F1243" s="10" t="s">
        <v>276</v>
      </c>
      <c r="G1243" s="10" t="n">
        <v>957122</v>
      </c>
      <c r="H1243" s="10" t="n">
        <v>126</v>
      </c>
      <c r="I1243" s="10" t="n">
        <v>7</v>
      </c>
      <c r="J1243" s="10" t="n">
        <v>10</v>
      </c>
      <c r="K1243" s="10" t="s">
        <v>20</v>
      </c>
      <c r="L1243" s="11" t="n">
        <v>39937.9919328704</v>
      </c>
      <c r="M1243" s="12" t="s">
        <v>186</v>
      </c>
      <c r="N1243" s="12" t="s">
        <v>3293</v>
      </c>
      <c r="O1243" s="9" t="str">
        <f aca="false">HYPERLINK("https://pbs.twimg.com/profile_images/630988935720648704/HkmsHBTM_normal.jpg","View")</f>
        <v>View</v>
      </c>
      <c r="P1243" s="10"/>
    </row>
    <row r="1244" customFormat="false" ht="15.75" hidden="false" customHeight="false" outlineLevel="0" collapsed="false">
      <c r="A1244" s="6" t="n">
        <v>43030.1746875</v>
      </c>
      <c r="B1244" s="7" t="str">
        <f aca="false">HYPERLINK("https://twitter.com/ipcrimeunit","@ipcrimeunit")</f>
        <v>@ipcrimeunit</v>
      </c>
      <c r="C1244" s="8" t="s">
        <v>3294</v>
      </c>
      <c r="D1244" s="8" t="s">
        <v>3295</v>
      </c>
      <c r="E1244" s="9" t="str">
        <f aca="false">HYPERLINK("https://twitter.com/ipcrimeunit/status/922057836477239296","922057836477239296")</f>
        <v>922057836477239296</v>
      </c>
      <c r="F1244" s="10" t="s">
        <v>39</v>
      </c>
      <c r="G1244" s="10" t="n">
        <v>10839</v>
      </c>
      <c r="H1244" s="10" t="n">
        <v>11902</v>
      </c>
      <c r="I1244" s="10" t="n">
        <v>71</v>
      </c>
      <c r="J1244" s="10" t="n">
        <v>0</v>
      </c>
      <c r="K1244" s="10" t="s">
        <v>20</v>
      </c>
      <c r="L1244" s="11" t="n">
        <v>40133.489537037</v>
      </c>
      <c r="M1244" s="12" t="s">
        <v>3296</v>
      </c>
      <c r="N1244" s="12" t="s">
        <v>3297</v>
      </c>
      <c r="O1244" s="9" t="str">
        <f aca="false">HYPERLINK("https://pbs.twimg.com/profile_images/378800000725258242/4d0a9338abeabe59b7e476fcec3f3271_normal.png","View")</f>
        <v>View</v>
      </c>
      <c r="P1244" s="10"/>
    </row>
    <row r="1245" customFormat="false" ht="15.75" hidden="false" customHeight="false" outlineLevel="0" collapsed="false">
      <c r="A1245" s="6" t="n">
        <v>43030.1747569444</v>
      </c>
      <c r="B1245" s="7" t="str">
        <f aca="false">HYPERLINK("https://twitter.com/vrai777","@vrai777")</f>
        <v>@vrai777</v>
      </c>
      <c r="C1245" s="8" t="s">
        <v>335</v>
      </c>
      <c r="D1245" s="8" t="s">
        <v>3298</v>
      </c>
      <c r="E1245" s="9" t="str">
        <f aca="false">HYPERLINK("https://twitter.com/vrai777/status/922057861668200448","922057861668200448")</f>
        <v>922057861668200448</v>
      </c>
      <c r="F1245" s="10" t="s">
        <v>60</v>
      </c>
      <c r="G1245" s="10" t="n">
        <v>7959</v>
      </c>
      <c r="H1245" s="10" t="n">
        <v>71</v>
      </c>
      <c r="I1245" s="10" t="n">
        <v>0</v>
      </c>
      <c r="J1245" s="10" t="n">
        <v>0</v>
      </c>
      <c r="K1245" s="10" t="s">
        <v>20</v>
      </c>
      <c r="L1245" s="11" t="n">
        <v>39878.7593287037</v>
      </c>
      <c r="M1245" s="12" t="s">
        <v>295</v>
      </c>
      <c r="N1245" s="12" t="s">
        <v>337</v>
      </c>
      <c r="O1245" s="9" t="str">
        <f aca="false">HYPERLINK("https://pbs.twimg.com/profile_images/688775800284266496/qhWTo08H_normal.png","View")</f>
        <v>View</v>
      </c>
      <c r="P1245" s="10"/>
    </row>
    <row r="1246" customFormat="false" ht="15.75" hidden="false" customHeight="false" outlineLevel="0" collapsed="false">
      <c r="A1246" s="6" t="n">
        <v>43030.175</v>
      </c>
      <c r="B1246" s="7" t="str">
        <f aca="false">HYPERLINK("https://twitter.com/Saarahali6","@Saarahali6")</f>
        <v>@Saarahali6</v>
      </c>
      <c r="C1246" s="8" t="s">
        <v>3299</v>
      </c>
      <c r="D1246" s="8" t="s">
        <v>3295</v>
      </c>
      <c r="E1246" s="9" t="str">
        <f aca="false">HYPERLINK("https://twitter.com/Saarahali6/status/922057949736001536","922057949736001536")</f>
        <v>922057949736001536</v>
      </c>
      <c r="F1246" s="10" t="s">
        <v>51</v>
      </c>
      <c r="G1246" s="10" t="n">
        <v>171</v>
      </c>
      <c r="H1246" s="10" t="n">
        <v>224</v>
      </c>
      <c r="I1246" s="10" t="n">
        <v>71</v>
      </c>
      <c r="J1246" s="10" t="n">
        <v>0</v>
      </c>
      <c r="K1246" s="10" t="s">
        <v>20</v>
      </c>
      <c r="L1246" s="11" t="n">
        <v>42786.3992013889</v>
      </c>
      <c r="M1246" s="12" t="s">
        <v>3300</v>
      </c>
      <c r="N1246" s="12"/>
      <c r="O1246" s="9" t="str">
        <f aca="false">HYPERLINK("https://abs.twimg.com/sticky/default_profile_images/default_profile_normal.png","View")</f>
        <v>View</v>
      </c>
      <c r="P1246" s="10"/>
    </row>
    <row r="1247" customFormat="false" ht="15.75" hidden="false" customHeight="false" outlineLevel="0" collapsed="false">
      <c r="A1247" s="6" t="n">
        <v>43030.1750231482</v>
      </c>
      <c r="B1247" s="7" t="str">
        <f aca="false">HYPERLINK("https://twitter.com/paradise1966","@paradise1966")</f>
        <v>@paradise1966</v>
      </c>
      <c r="C1247" s="8" t="s">
        <v>3301</v>
      </c>
      <c r="D1247" s="8" t="s">
        <v>3295</v>
      </c>
      <c r="E1247" s="9" t="str">
        <f aca="false">HYPERLINK("https://twitter.com/paradise1966/status/922057956560130048","922057956560130048")</f>
        <v>922057956560130048</v>
      </c>
      <c r="F1247" s="10" t="s">
        <v>25</v>
      </c>
      <c r="G1247" s="10" t="n">
        <v>214</v>
      </c>
      <c r="H1247" s="10" t="n">
        <v>680</v>
      </c>
      <c r="I1247" s="10" t="n">
        <v>71</v>
      </c>
      <c r="J1247" s="10" t="n">
        <v>0</v>
      </c>
      <c r="K1247" s="10" t="s">
        <v>20</v>
      </c>
      <c r="L1247" s="11" t="n">
        <v>39936.0591782407</v>
      </c>
      <c r="M1247" s="12" t="s">
        <v>3302</v>
      </c>
      <c r="N1247" s="12"/>
      <c r="O1247" s="9" t="str">
        <f aca="false">HYPERLINK("https://pbs.twimg.com/profile_images/889218702645899264/BMnTiD2o_normal.jpg","View")</f>
        <v>View</v>
      </c>
      <c r="P1247" s="10"/>
    </row>
    <row r="1248" customFormat="false" ht="15.75" hidden="false" customHeight="false" outlineLevel="0" collapsed="false">
      <c r="A1248" s="6" t="n">
        <v>43030.1751041667</v>
      </c>
      <c r="B1248" s="7" t="str">
        <f aca="false">HYPERLINK("https://twitter.com/STForeignDesk","@STForeignDesk")</f>
        <v>@STForeignDesk</v>
      </c>
      <c r="C1248" s="8" t="s">
        <v>3288</v>
      </c>
      <c r="D1248" s="8" t="s">
        <v>3303</v>
      </c>
      <c r="E1248" s="9" t="str">
        <f aca="false">HYPERLINK("https://twitter.com/STForeignDesk/status/922057987836874752","922057987836874752")</f>
        <v>922057987836874752</v>
      </c>
      <c r="F1248" s="10" t="s">
        <v>276</v>
      </c>
      <c r="G1248" s="10" t="n">
        <v>39376</v>
      </c>
      <c r="H1248" s="10" t="n">
        <v>109</v>
      </c>
      <c r="I1248" s="10" t="n">
        <v>4</v>
      </c>
      <c r="J1248" s="10" t="n">
        <v>4</v>
      </c>
      <c r="K1248" s="10" t="s">
        <v>20</v>
      </c>
      <c r="L1248" s="11" t="n">
        <v>41303.312025463</v>
      </c>
      <c r="M1248" s="12" t="s">
        <v>186</v>
      </c>
      <c r="N1248" s="12" t="s">
        <v>3290</v>
      </c>
      <c r="O1248" s="9" t="str">
        <f aca="false">HYPERLINK("https://pbs.twimg.com/profile_images/616014877300142080/6I99bogh_normal.jpg","View")</f>
        <v>View</v>
      </c>
      <c r="P1248" s="10"/>
    </row>
    <row r="1249" customFormat="false" ht="15.75" hidden="false" customHeight="false" outlineLevel="0" collapsed="false">
      <c r="A1249" s="6" t="n">
        <v>43030.1751157407</v>
      </c>
      <c r="B1249" s="7" t="str">
        <f aca="false">HYPERLINK("https://twitter.com/News24_7Aus","@News24_7Aus")</f>
        <v>@News24_7Aus</v>
      </c>
      <c r="C1249" s="8" t="s">
        <v>3304</v>
      </c>
      <c r="D1249" s="8" t="s">
        <v>3295</v>
      </c>
      <c r="E1249" s="9" t="str">
        <f aca="false">HYPERLINK("https://twitter.com/News24_7Aus/status/922057988201787407","922057988201787407")</f>
        <v>922057988201787407</v>
      </c>
      <c r="F1249" s="10" t="s">
        <v>51</v>
      </c>
      <c r="G1249" s="10" t="n">
        <v>633</v>
      </c>
      <c r="H1249" s="10" t="n">
        <v>1416</v>
      </c>
      <c r="I1249" s="10" t="n">
        <v>71</v>
      </c>
      <c r="J1249" s="10" t="n">
        <v>0</v>
      </c>
      <c r="K1249" s="10" t="s">
        <v>20</v>
      </c>
      <c r="L1249" s="11" t="n">
        <v>41351.1819560185</v>
      </c>
      <c r="M1249" s="12" t="s">
        <v>1199</v>
      </c>
      <c r="N1249" s="12" t="s">
        <v>3305</v>
      </c>
      <c r="O1249" s="9" t="str">
        <f aca="false">HYPERLINK("https://pbs.twimg.com/profile_images/3784675737/51b0048b793ad25963638ffc905bcd56_normal.jpeg","View")</f>
        <v>View</v>
      </c>
      <c r="P1249" s="10"/>
    </row>
    <row r="1250" customFormat="false" ht="15.75" hidden="false" customHeight="false" outlineLevel="0" collapsed="false">
      <c r="A1250" s="6" t="n">
        <v>43030.1751388889</v>
      </c>
      <c r="B1250" s="7" t="str">
        <f aca="false">HYPERLINK("https://twitter.com/billymoore100","@billymoore100")</f>
        <v>@billymoore100</v>
      </c>
      <c r="C1250" s="8" t="s">
        <v>3306</v>
      </c>
      <c r="D1250" s="8" t="s">
        <v>3295</v>
      </c>
      <c r="E1250" s="9" t="str">
        <f aca="false">HYPERLINK("https://twitter.com/billymoore100/status/922057999987994625","922057999987994625")</f>
        <v>922057999987994625</v>
      </c>
      <c r="F1250" s="10" t="s">
        <v>25</v>
      </c>
      <c r="G1250" s="10" t="n">
        <v>608</v>
      </c>
      <c r="H1250" s="10" t="n">
        <v>4717</v>
      </c>
      <c r="I1250" s="10" t="n">
        <v>71</v>
      </c>
      <c r="J1250" s="10" t="n">
        <v>0</v>
      </c>
      <c r="K1250" s="10" t="s">
        <v>20</v>
      </c>
      <c r="L1250" s="11" t="n">
        <v>41862.4882523148</v>
      </c>
      <c r="M1250" s="12"/>
      <c r="N1250" s="12"/>
      <c r="O1250" s="9" t="str">
        <f aca="false">HYPERLINK("https://pbs.twimg.com/profile_images/798911212058710016/QjQtVae__normal.jpg","View")</f>
        <v>View</v>
      </c>
      <c r="P1250" s="10"/>
    </row>
    <row r="1251" customFormat="false" ht="15.75" hidden="false" customHeight="false" outlineLevel="0" collapsed="false">
      <c r="A1251" s="6" t="n">
        <v>43030.1751736111</v>
      </c>
      <c r="B1251" s="7" t="str">
        <f aca="false">HYPERLINK("https://twitter.com/democracytoday7","@democracytoday7")</f>
        <v>@democracytoday7</v>
      </c>
      <c r="C1251" s="8" t="s">
        <v>3307</v>
      </c>
      <c r="D1251" s="8" t="s">
        <v>3308</v>
      </c>
      <c r="E1251" s="9" t="str">
        <f aca="false">HYPERLINK("https://twitter.com/democracytoday7/status/922058012029841409","922058012029841409")</f>
        <v>922058012029841409</v>
      </c>
      <c r="F1251" s="10" t="s">
        <v>60</v>
      </c>
      <c r="G1251" s="10" t="n">
        <v>42</v>
      </c>
      <c r="H1251" s="10" t="n">
        <v>237</v>
      </c>
      <c r="I1251" s="10" t="n">
        <v>0</v>
      </c>
      <c r="J1251" s="10" t="n">
        <v>0</v>
      </c>
      <c r="K1251" s="10" t="s">
        <v>20</v>
      </c>
      <c r="L1251" s="11" t="n">
        <v>42764.6043865741</v>
      </c>
      <c r="M1251" s="12" t="s">
        <v>203</v>
      </c>
      <c r="N1251" s="12" t="s">
        <v>3309</v>
      </c>
      <c r="O1251" s="9" t="str">
        <f aca="false">HYPERLINK("https://pbs.twimg.com/profile_images/826980573663068160/iw7lr7i6_normal.jpg","View")</f>
        <v>View</v>
      </c>
      <c r="P1251" s="10"/>
    </row>
    <row r="1252" customFormat="false" ht="15.75" hidden="false" customHeight="false" outlineLevel="0" collapsed="false">
      <c r="A1252" s="6" t="n">
        <v>43030.1752546296</v>
      </c>
      <c r="B1252" s="7" t="str">
        <f aca="false">HYPERLINK("https://twitter.com/rinka_dog","@rinka_dog")</f>
        <v>@rinka_dog</v>
      </c>
      <c r="C1252" s="8" t="s">
        <v>3310</v>
      </c>
      <c r="D1252" s="8" t="s">
        <v>3295</v>
      </c>
      <c r="E1252" s="9" t="str">
        <f aca="false">HYPERLINK("https://twitter.com/rinka_dog/status/922058039607382016","922058039607382016")</f>
        <v>922058039607382016</v>
      </c>
      <c r="F1252" s="10" t="s">
        <v>39</v>
      </c>
      <c r="G1252" s="10" t="n">
        <v>162</v>
      </c>
      <c r="H1252" s="10" t="n">
        <v>136</v>
      </c>
      <c r="I1252" s="10" t="n">
        <v>71</v>
      </c>
      <c r="J1252" s="10" t="n">
        <v>0</v>
      </c>
      <c r="K1252" s="10" t="s">
        <v>20</v>
      </c>
      <c r="L1252" s="11" t="n">
        <v>42035.1860648148</v>
      </c>
      <c r="M1252" s="12"/>
      <c r="N1252" s="12"/>
      <c r="O1252" s="9" t="str">
        <f aca="false">HYPERLINK("https://pbs.twimg.com/profile_images/911899138547175424/9qAuNcIC_normal.jpg","View")</f>
        <v>View</v>
      </c>
      <c r="P1252" s="10"/>
    </row>
    <row r="1253" customFormat="false" ht="15.75" hidden="false" customHeight="false" outlineLevel="0" collapsed="false">
      <c r="A1253" s="6" t="n">
        <v>43030.1753935185</v>
      </c>
      <c r="B1253" s="7" t="str">
        <f aca="false">HYPERLINK("https://twitter.com/SkyNews","@SkyNews")</f>
        <v>@SkyNews</v>
      </c>
      <c r="C1253" s="8" t="s">
        <v>3311</v>
      </c>
      <c r="D1253" s="8" t="s">
        <v>3295</v>
      </c>
      <c r="E1253" s="9" t="str">
        <f aca="false">HYPERLINK("https://twitter.com/SkyNews/status/922058092065558528","922058092065558528")</f>
        <v>922058092065558528</v>
      </c>
      <c r="F1253" s="10" t="s">
        <v>276</v>
      </c>
      <c r="G1253" s="10" t="n">
        <v>4358643</v>
      </c>
      <c r="H1253" s="10" t="n">
        <v>11</v>
      </c>
      <c r="I1253" s="10" t="n">
        <v>71</v>
      </c>
      <c r="J1253" s="10" t="n">
        <v>0</v>
      </c>
      <c r="K1253" s="10" t="s">
        <v>20</v>
      </c>
      <c r="L1253" s="11" t="n">
        <v>39282.3214467593</v>
      </c>
      <c r="M1253" s="12" t="s">
        <v>1319</v>
      </c>
      <c r="N1253" s="12" t="s">
        <v>3312</v>
      </c>
      <c r="O1253" s="9" t="str">
        <f aca="false">HYPERLINK("https://pbs.twimg.com/profile_images/880366112751456257/GKkxouK6_normal.jpg","View")</f>
        <v>View</v>
      </c>
      <c r="P1253" s="10"/>
    </row>
    <row r="1254" customFormat="false" ht="15.75" hidden="false" customHeight="false" outlineLevel="0" collapsed="false">
      <c r="A1254" s="6" t="n">
        <v>43030.1754398148</v>
      </c>
      <c r="B1254" s="7" t="str">
        <f aca="false">HYPERLINK("https://twitter.com/rekuza2014mp","@rekuza2014mp")</f>
        <v>@rekuza2014mp</v>
      </c>
      <c r="C1254" s="14" t="s">
        <v>3313</v>
      </c>
      <c r="D1254" s="8" t="s">
        <v>3314</v>
      </c>
      <c r="E1254" s="9" t="str">
        <f aca="false">HYPERLINK("https://twitter.com/rekuza2014mp/status/922058109257883653","922058109257883653")</f>
        <v>922058109257883653</v>
      </c>
      <c r="F1254" s="10" t="s">
        <v>39</v>
      </c>
      <c r="G1254" s="10" t="n">
        <v>1051</v>
      </c>
      <c r="H1254" s="10" t="n">
        <v>4124</v>
      </c>
      <c r="I1254" s="10" t="n">
        <v>7</v>
      </c>
      <c r="J1254" s="10" t="n">
        <v>0</v>
      </c>
      <c r="K1254" s="10" t="s">
        <v>20</v>
      </c>
      <c r="L1254" s="11" t="n">
        <v>41720.7288888889</v>
      </c>
      <c r="M1254" s="12"/>
      <c r="N1254" s="12" t="s">
        <v>3315</v>
      </c>
      <c r="O1254" s="9" t="str">
        <f aca="false">HYPERLINK("https://pbs.twimg.com/profile_images/455728477895806976/Luq8uT2t_normal.jpeg","View")</f>
        <v>View</v>
      </c>
      <c r="P1254" s="10"/>
    </row>
    <row r="1255" customFormat="false" ht="15.75" hidden="false" customHeight="false" outlineLevel="0" collapsed="false">
      <c r="A1255" s="6" t="n">
        <v>43030.1756712963</v>
      </c>
      <c r="B1255" s="7" t="str">
        <f aca="false">HYPERLINK("https://twitter.com/randhano","@randhano")</f>
        <v>@randhano</v>
      </c>
      <c r="C1255" s="8" t="s">
        <v>3316</v>
      </c>
      <c r="D1255" s="8" t="s">
        <v>3295</v>
      </c>
      <c r="E1255" s="9" t="str">
        <f aca="false">HYPERLINK("https://twitter.com/randhano/status/922058190610563073","922058190610563073")</f>
        <v>922058190610563073</v>
      </c>
      <c r="F1255" s="10" t="s">
        <v>39</v>
      </c>
      <c r="G1255" s="10" t="n">
        <v>51</v>
      </c>
      <c r="H1255" s="10" t="n">
        <v>323</v>
      </c>
      <c r="I1255" s="10" t="n">
        <v>71</v>
      </c>
      <c r="J1255" s="10" t="n">
        <v>0</v>
      </c>
      <c r="K1255" s="10" t="s">
        <v>20</v>
      </c>
      <c r="L1255" s="11" t="n">
        <v>42854.1311111111</v>
      </c>
      <c r="M1255" s="12"/>
      <c r="N1255" s="12"/>
      <c r="O1255" s="9" t="str">
        <f aca="false">HYPERLINK("https://pbs.twimg.com/profile_images/858266700818644992/LhaAgND7_normal.jpg","View")</f>
        <v>View</v>
      </c>
      <c r="P1255" s="10"/>
    </row>
    <row r="1256" customFormat="false" ht="15.75" hidden="false" customHeight="false" outlineLevel="0" collapsed="false">
      <c r="A1256" s="6" t="n">
        <v>43030.1756944445</v>
      </c>
      <c r="B1256" s="7" t="str">
        <f aca="false">HYPERLINK("https://twitter.com/Squid_Express","@Squid_Express")</f>
        <v>@Squid_Express</v>
      </c>
      <c r="C1256" s="8" t="s">
        <v>3317</v>
      </c>
      <c r="D1256" s="8" t="s">
        <v>3318</v>
      </c>
      <c r="E1256" s="9" t="str">
        <f aca="false">HYPERLINK("https://twitter.com/Squid_Express/status/922058201524088832","922058201524088832")</f>
        <v>922058201524088832</v>
      </c>
      <c r="F1256" s="10" t="s">
        <v>39</v>
      </c>
      <c r="G1256" s="10" t="n">
        <v>156</v>
      </c>
      <c r="H1256" s="10" t="n">
        <v>229</v>
      </c>
      <c r="I1256" s="10" t="n">
        <v>4</v>
      </c>
      <c r="J1256" s="10" t="n">
        <v>0</v>
      </c>
      <c r="K1256" s="10" t="s">
        <v>20</v>
      </c>
      <c r="L1256" s="11" t="n">
        <v>40650.5561689815</v>
      </c>
      <c r="M1256" s="12" t="s">
        <v>3319</v>
      </c>
      <c r="N1256" s="12" t="s">
        <v>3320</v>
      </c>
      <c r="O1256" s="9" t="str">
        <f aca="false">HYPERLINK("https://pbs.twimg.com/profile_images/903434553997443073/EntCeGGg_normal.jpg","View")</f>
        <v>View</v>
      </c>
      <c r="P1256" s="10"/>
    </row>
    <row r="1257" customFormat="false" ht="15.75" hidden="false" customHeight="false" outlineLevel="0" collapsed="false">
      <c r="A1257" s="6" t="n">
        <v>43030.1758564815</v>
      </c>
      <c r="B1257" s="7" t="str">
        <f aca="false">HYPERLINK("https://twitter.com/SocialistLiam","@SocialistLiam")</f>
        <v>@SocialistLiam</v>
      </c>
      <c r="C1257" s="8" t="s">
        <v>3321</v>
      </c>
      <c r="D1257" s="8" t="s">
        <v>3295</v>
      </c>
      <c r="E1257" s="9" t="str">
        <f aca="false">HYPERLINK("https://twitter.com/SocialistLiam/status/922058259632181248","922058259632181248")</f>
        <v>922058259632181248</v>
      </c>
      <c r="F1257" s="10" t="s">
        <v>51</v>
      </c>
      <c r="G1257" s="10" t="n">
        <v>322</v>
      </c>
      <c r="H1257" s="10" t="n">
        <v>1153</v>
      </c>
      <c r="I1257" s="10" t="n">
        <v>71</v>
      </c>
      <c r="J1257" s="10" t="n">
        <v>0</v>
      </c>
      <c r="K1257" s="10" t="s">
        <v>20</v>
      </c>
      <c r="L1257" s="11" t="n">
        <v>40127.6528356482</v>
      </c>
      <c r="M1257" s="12" t="s">
        <v>3322</v>
      </c>
      <c r="N1257" s="12" t="s">
        <v>3323</v>
      </c>
      <c r="O1257" s="9" t="str">
        <f aca="false">HYPERLINK("https://pbs.twimg.com/profile_images/898910808402526216/ImVqQKsO_normal.jpg","View")</f>
        <v>View</v>
      </c>
      <c r="P1257" s="10"/>
    </row>
    <row r="1258" customFormat="false" ht="15.75" hidden="false" customHeight="false" outlineLevel="0" collapsed="false">
      <c r="A1258" s="6" t="n">
        <v>43030.1759027778</v>
      </c>
      <c r="B1258" s="7" t="str">
        <f aca="false">HYPERLINK("https://twitter.com/cairowire","@cairowire")</f>
        <v>@cairowire</v>
      </c>
      <c r="C1258" s="8" t="s">
        <v>3324</v>
      </c>
      <c r="D1258" s="8" t="s">
        <v>3295</v>
      </c>
      <c r="E1258" s="9" t="str">
        <f aca="false">HYPERLINK("https://twitter.com/cairowire/status/922058273779535872","922058273779535872")</f>
        <v>922058273779535872</v>
      </c>
      <c r="F1258" s="10" t="s">
        <v>51</v>
      </c>
      <c r="G1258" s="10" t="n">
        <v>39793</v>
      </c>
      <c r="H1258" s="10" t="n">
        <v>702</v>
      </c>
      <c r="I1258" s="10" t="n">
        <v>71</v>
      </c>
      <c r="J1258" s="10" t="n">
        <v>0</v>
      </c>
      <c r="K1258" s="10" t="s">
        <v>20</v>
      </c>
      <c r="L1258" s="11" t="n">
        <v>40585.9821527778</v>
      </c>
      <c r="M1258" s="12" t="s">
        <v>3325</v>
      </c>
      <c r="N1258" s="12" t="s">
        <v>3326</v>
      </c>
      <c r="O1258" s="9" t="str">
        <f aca="false">HYPERLINK("https://pbs.twimg.com/profile_images/485002903053025280/KpkndYb0_normal.png","View")</f>
        <v>View</v>
      </c>
      <c r="P1258" s="10"/>
    </row>
    <row r="1259" customFormat="false" ht="15.75" hidden="false" customHeight="false" outlineLevel="0" collapsed="false">
      <c r="A1259" s="6" t="n">
        <v>43030.1760416667</v>
      </c>
      <c r="B1259" s="7" t="str">
        <f aca="false">HYPERLINK("https://twitter.com/NewsThisSecond","@NewsThisSecond")</f>
        <v>@NewsThisSecond</v>
      </c>
      <c r="C1259" s="8" t="s">
        <v>3327</v>
      </c>
      <c r="D1259" s="8" t="s">
        <v>3286</v>
      </c>
      <c r="E1259" s="9" t="str">
        <f aca="false">HYPERLINK("https://twitter.com/NewsThisSecond/status/922058327202435072","922058327202435072")</f>
        <v>922058327202435072</v>
      </c>
      <c r="F1259" s="10" t="s">
        <v>60</v>
      </c>
      <c r="G1259" s="10" t="n">
        <v>19090</v>
      </c>
      <c r="H1259" s="10" t="n">
        <v>0</v>
      </c>
      <c r="I1259" s="10" t="n">
        <v>1</v>
      </c>
      <c r="J1259" s="10" t="n">
        <v>0</v>
      </c>
      <c r="K1259" s="10" t="s">
        <v>20</v>
      </c>
      <c r="L1259" s="11" t="n">
        <v>41269.7151157407</v>
      </c>
      <c r="M1259" s="12" t="s">
        <v>3328</v>
      </c>
      <c r="N1259" s="12" t="s">
        <v>3329</v>
      </c>
      <c r="O1259" s="9" t="str">
        <f aca="false">HYPERLINK("https://pbs.twimg.com/profile_images/922967315578347520/ko_kh-3q_normal.jpg","View")</f>
        <v>View</v>
      </c>
      <c r="P1259" s="10"/>
    </row>
    <row r="1260" customFormat="false" ht="15.75" hidden="false" customHeight="false" outlineLevel="0" collapsed="false">
      <c r="A1260" s="6" t="n">
        <v>43030.1760648148</v>
      </c>
      <c r="B1260" s="7" t="str">
        <f aca="false">HYPERLINK("https://twitter.com/fairy_m_s_7","@fairy_m_s_7")</f>
        <v>@fairy_m_s_7</v>
      </c>
      <c r="C1260" s="8" t="s">
        <v>3330</v>
      </c>
      <c r="D1260" s="8" t="s">
        <v>3295</v>
      </c>
      <c r="E1260" s="9" t="str">
        <f aca="false">HYPERLINK("https://twitter.com/fairy_m_s_7/status/922058332919046152","922058332919046152")</f>
        <v>922058332919046152</v>
      </c>
      <c r="F1260" s="10" t="s">
        <v>98</v>
      </c>
      <c r="G1260" s="10" t="n">
        <v>274</v>
      </c>
      <c r="H1260" s="10" t="n">
        <v>1103</v>
      </c>
      <c r="I1260" s="10" t="n">
        <v>71</v>
      </c>
      <c r="J1260" s="10" t="n">
        <v>0</v>
      </c>
      <c r="K1260" s="10" t="s">
        <v>20</v>
      </c>
      <c r="L1260" s="11" t="n">
        <v>41765.0001388889</v>
      </c>
      <c r="M1260" s="12"/>
      <c r="N1260" s="13" t="s">
        <v>3331</v>
      </c>
      <c r="O1260" s="9" t="str">
        <f aca="false">HYPERLINK("https://pbs.twimg.com/profile_images/553956376414654465/FrHOwQYf_normal.jpeg","View")</f>
        <v>View</v>
      </c>
      <c r="P1260" s="10"/>
    </row>
    <row r="1261" customFormat="false" ht="15.75" hidden="false" customHeight="false" outlineLevel="0" collapsed="false">
      <c r="A1261" s="6" t="n">
        <v>43030.1762268519</v>
      </c>
      <c r="B1261" s="7" t="str">
        <f aca="false">HYPERLINK("https://twitter.com/DZPAPIER","@DZPAPIER")</f>
        <v>@DZPAPIER</v>
      </c>
      <c r="C1261" s="14" t="s">
        <v>3332</v>
      </c>
      <c r="D1261" s="8" t="s">
        <v>3318</v>
      </c>
      <c r="E1261" s="9" t="str">
        <f aca="false">HYPERLINK("https://twitter.com/DZPAPIER/status/922058392151060480","922058392151060480")</f>
        <v>922058392151060480</v>
      </c>
      <c r="F1261" s="10" t="s">
        <v>276</v>
      </c>
      <c r="G1261" s="10" t="n">
        <v>548</v>
      </c>
      <c r="H1261" s="10" t="n">
        <v>4840</v>
      </c>
      <c r="I1261" s="10" t="n">
        <v>4</v>
      </c>
      <c r="J1261" s="10" t="n">
        <v>0</v>
      </c>
      <c r="K1261" s="10" t="s">
        <v>20</v>
      </c>
      <c r="L1261" s="11" t="n">
        <v>40023.4136226852</v>
      </c>
      <c r="M1261" s="12"/>
      <c r="N1261" s="13" t="s">
        <v>3333</v>
      </c>
      <c r="O1261" s="9" t="str">
        <f aca="false">HYPERLINK("https://pbs.twimg.com/profile_images/919706528315195392/rK6ZzVeN_normal.jpg","View")</f>
        <v>View</v>
      </c>
      <c r="P1261" s="10"/>
    </row>
    <row r="1262" customFormat="false" ht="15.75" hidden="false" customHeight="false" outlineLevel="0" collapsed="false">
      <c r="A1262" s="6" t="n">
        <v>43030.1763194444</v>
      </c>
      <c r="B1262" s="7" t="str">
        <f aca="false">HYPERLINK("https://twitter.com/JosephBurite","@JosephBurite")</f>
        <v>@JosephBurite</v>
      </c>
      <c r="C1262" s="8" t="s">
        <v>3334</v>
      </c>
      <c r="D1262" s="8" t="s">
        <v>3295</v>
      </c>
      <c r="E1262" s="9" t="str">
        <f aca="false">HYPERLINK("https://twitter.com/JosephBurite/status/922058427395969025","922058427395969025")</f>
        <v>922058427395969025</v>
      </c>
      <c r="F1262" s="10" t="s">
        <v>25</v>
      </c>
      <c r="G1262" s="10" t="n">
        <v>1952</v>
      </c>
      <c r="H1262" s="10" t="n">
        <v>1886</v>
      </c>
      <c r="I1262" s="10" t="n">
        <v>71</v>
      </c>
      <c r="J1262" s="10" t="n">
        <v>0</v>
      </c>
      <c r="K1262" s="10" t="s">
        <v>20</v>
      </c>
      <c r="L1262" s="11" t="n">
        <v>39895.0892013889</v>
      </c>
      <c r="M1262" s="12" t="s">
        <v>3335</v>
      </c>
      <c r="N1262" s="12" t="s">
        <v>3336</v>
      </c>
      <c r="O1262" s="9" t="str">
        <f aca="false">HYPERLINK("https://pbs.twimg.com/profile_images/880735338762825729/idtC-bT5_normal.jpg","View")</f>
        <v>View</v>
      </c>
      <c r="P1262" s="10"/>
    </row>
    <row r="1263" customFormat="false" ht="15.75" hidden="false" customHeight="false" outlineLevel="0" collapsed="false">
      <c r="A1263" s="6" t="n">
        <v>43030.1764699074</v>
      </c>
      <c r="B1263" s="7" t="str">
        <f aca="false">HYPERLINK("https://twitter.com/UKCenter_HQ","@UKCenter_HQ")</f>
        <v>@UKCenter_HQ</v>
      </c>
      <c r="C1263" s="8" t="s">
        <v>3337</v>
      </c>
      <c r="D1263" s="8" t="s">
        <v>3286</v>
      </c>
      <c r="E1263" s="9" t="str">
        <f aca="false">HYPERLINK("https://twitter.com/UKCenter_HQ/status/922058482869665794","922058482869665794")</f>
        <v>922058482869665794</v>
      </c>
      <c r="F1263" s="10" t="s">
        <v>60</v>
      </c>
      <c r="G1263" s="10" t="n">
        <v>99</v>
      </c>
      <c r="H1263" s="10" t="n">
        <v>43</v>
      </c>
      <c r="I1263" s="10" t="n">
        <v>0</v>
      </c>
      <c r="J1263" s="10" t="n">
        <v>0</v>
      </c>
      <c r="K1263" s="10" t="s">
        <v>20</v>
      </c>
      <c r="L1263" s="11" t="n">
        <v>42258.5820717593</v>
      </c>
      <c r="M1263" s="12" t="s">
        <v>203</v>
      </c>
      <c r="N1263" s="12" t="s">
        <v>3338</v>
      </c>
      <c r="O1263" s="9" t="str">
        <f aca="false">HYPERLINK("https://pbs.twimg.com/profile_images/902191656144953345/i7R59pQW_normal.jpg","View")</f>
        <v>View</v>
      </c>
      <c r="P1263" s="10"/>
    </row>
    <row r="1264" customFormat="false" ht="15.75" hidden="false" customHeight="false" outlineLevel="0" collapsed="false">
      <c r="A1264" s="6" t="n">
        <v>43030.1766435185</v>
      </c>
      <c r="B1264" s="7" t="str">
        <f aca="false">HYPERLINK("https://twitter.com/Jacob_Gerhard","@Jacob_Gerhard")</f>
        <v>@Jacob_Gerhard</v>
      </c>
      <c r="C1264" s="8" t="s">
        <v>3339</v>
      </c>
      <c r="D1264" s="8" t="s">
        <v>3295</v>
      </c>
      <c r="E1264" s="9" t="str">
        <f aca="false">HYPERLINK("https://twitter.com/Jacob_Gerhard/status/922058544895098880","922058544895098880")</f>
        <v>922058544895098880</v>
      </c>
      <c r="F1264" s="10" t="s">
        <v>39</v>
      </c>
      <c r="G1264" s="10" t="n">
        <v>214</v>
      </c>
      <c r="H1264" s="10" t="n">
        <v>618</v>
      </c>
      <c r="I1264" s="10" t="n">
        <v>71</v>
      </c>
      <c r="J1264" s="10" t="n">
        <v>0</v>
      </c>
      <c r="K1264" s="10" t="s">
        <v>20</v>
      </c>
      <c r="L1264" s="11" t="n">
        <v>41327.8096527778</v>
      </c>
      <c r="M1264" s="12" t="s">
        <v>3340</v>
      </c>
      <c r="N1264" s="12" t="s">
        <v>3341</v>
      </c>
      <c r="O1264" s="9" t="str">
        <f aca="false">HYPERLINK("https://pbs.twimg.com/profile_images/923711317235634176/HOPNCbKb_normal.jpg","View")</f>
        <v>View</v>
      </c>
      <c r="P1264" s="10"/>
    </row>
    <row r="1265" customFormat="false" ht="15.75" hidden="false" customHeight="false" outlineLevel="0" collapsed="false">
      <c r="A1265" s="6" t="n">
        <v>43030.1766550926</v>
      </c>
      <c r="B1265" s="7" t="str">
        <f aca="false">HYPERLINK("https://twitter.com/ConorConneally","@ConorConneally")</f>
        <v>@ConorConneally</v>
      </c>
      <c r="C1265" s="8" t="s">
        <v>3342</v>
      </c>
      <c r="D1265" s="8" t="s">
        <v>3295</v>
      </c>
      <c r="E1265" s="9" t="str">
        <f aca="false">HYPERLINK("https://twitter.com/ConorConneally/status/922058546157629440","922058546157629440")</f>
        <v>922058546157629440</v>
      </c>
      <c r="F1265" s="10" t="s">
        <v>51</v>
      </c>
      <c r="G1265" s="10" t="n">
        <v>107</v>
      </c>
      <c r="H1265" s="10" t="n">
        <v>684</v>
      </c>
      <c r="I1265" s="10" t="n">
        <v>71</v>
      </c>
      <c r="J1265" s="10" t="n">
        <v>0</v>
      </c>
      <c r="K1265" s="10" t="s">
        <v>20</v>
      </c>
      <c r="L1265" s="11" t="n">
        <v>42966.6104513889</v>
      </c>
      <c r="M1265" s="12" t="s">
        <v>3343</v>
      </c>
      <c r="N1265" s="12" t="s">
        <v>3344</v>
      </c>
      <c r="O1265" s="9" t="str">
        <f aca="false">HYPERLINK("https://pbs.twimg.com/profile_images/912296317011062785/1sInZiOQ_normal.jpg","View")</f>
        <v>View</v>
      </c>
      <c r="P1265" s="10"/>
    </row>
    <row r="1266" customFormat="false" ht="15.75" hidden="false" customHeight="false" outlineLevel="0" collapsed="false">
      <c r="A1266" s="6" t="n">
        <v>43030.1766666667</v>
      </c>
      <c r="B1266" s="7" t="str">
        <f aca="false">HYPERLINK("https://twitter.com/stefangarciaa","@stefangarciaa")</f>
        <v>@stefangarciaa</v>
      </c>
      <c r="C1266" s="8" t="s">
        <v>3345</v>
      </c>
      <c r="D1266" s="8" t="s">
        <v>3295</v>
      </c>
      <c r="E1266" s="9" t="str">
        <f aca="false">HYPERLINK("https://twitter.com/stefangarciaa/status/922058551559884800","922058551559884800")</f>
        <v>922058551559884800</v>
      </c>
      <c r="F1266" s="10" t="s">
        <v>51</v>
      </c>
      <c r="G1266" s="10" t="n">
        <v>325</v>
      </c>
      <c r="H1266" s="10" t="n">
        <v>295</v>
      </c>
      <c r="I1266" s="10" t="n">
        <v>71</v>
      </c>
      <c r="J1266" s="10" t="n">
        <v>0</v>
      </c>
      <c r="K1266" s="10" t="s">
        <v>20</v>
      </c>
      <c r="L1266" s="11" t="n">
        <v>41469.5153703704</v>
      </c>
      <c r="M1266" s="12" t="s">
        <v>203</v>
      </c>
      <c r="N1266" s="12" t="s">
        <v>3346</v>
      </c>
      <c r="O1266" s="9" t="str">
        <f aca="false">HYPERLINK("https://pbs.twimg.com/profile_images/860979186344886272/Hgy-Mupy_normal.jpg","View")</f>
        <v>View</v>
      </c>
      <c r="P1266" s="10"/>
    </row>
    <row r="1267" customFormat="false" ht="15.75" hidden="false" customHeight="false" outlineLevel="0" collapsed="false">
      <c r="A1267" s="6" t="n">
        <v>43030.1767013889</v>
      </c>
      <c r="B1267" s="7" t="str">
        <f aca="false">HYPERLINK("https://twitter.com/JPahtaharju","@JPahtaharju")</f>
        <v>@JPahtaharju</v>
      </c>
      <c r="C1267" s="8" t="s">
        <v>3347</v>
      </c>
      <c r="D1267" s="8" t="s">
        <v>3295</v>
      </c>
      <c r="E1267" s="9" t="str">
        <f aca="false">HYPERLINK("https://twitter.com/JPahtaharju/status/922058565099114496","922058565099114496")</f>
        <v>922058565099114496</v>
      </c>
      <c r="F1267" s="10" t="s">
        <v>25</v>
      </c>
      <c r="G1267" s="10" t="n">
        <v>455</v>
      </c>
      <c r="H1267" s="10" t="n">
        <v>1463</v>
      </c>
      <c r="I1267" s="10" t="n">
        <v>71</v>
      </c>
      <c r="J1267" s="10" t="n">
        <v>0</v>
      </c>
      <c r="K1267" s="10" t="s">
        <v>20</v>
      </c>
      <c r="L1267" s="11" t="n">
        <v>41912.0713425926</v>
      </c>
      <c r="M1267" s="12" t="s">
        <v>3348</v>
      </c>
      <c r="N1267" s="12" t="s">
        <v>3349</v>
      </c>
      <c r="O1267" s="9" t="str">
        <f aca="false">HYPERLINK("https://pbs.twimg.com/profile_images/839910525358211072/J_z-Rpug_normal.jpg","View")</f>
        <v>View</v>
      </c>
      <c r="P1267" s="10"/>
    </row>
    <row r="1268" customFormat="false" ht="15.75" hidden="false" customHeight="false" outlineLevel="0" collapsed="false">
      <c r="A1268" s="6" t="n">
        <v>43030.1767592593</v>
      </c>
      <c r="B1268" s="7" t="str">
        <f aca="false">HYPERLINK("https://twitter.com/NarrendraM","@NarrendraM")</f>
        <v>@NarrendraM</v>
      </c>
      <c r="C1268" s="8" t="s">
        <v>468</v>
      </c>
      <c r="D1268" s="8" t="s">
        <v>3350</v>
      </c>
      <c r="E1268" s="9" t="str">
        <f aca="false">HYPERLINK("https://twitter.com/NarrendraM/status/922058586410356736","922058586410356736")</f>
        <v>922058586410356736</v>
      </c>
      <c r="F1268" s="10" t="s">
        <v>60</v>
      </c>
      <c r="G1268" s="10" t="n">
        <v>1999</v>
      </c>
      <c r="H1268" s="10" t="n">
        <v>252</v>
      </c>
      <c r="I1268" s="10" t="n">
        <v>0</v>
      </c>
      <c r="J1268" s="10" t="n">
        <v>0</v>
      </c>
      <c r="K1268" s="10" t="s">
        <v>20</v>
      </c>
      <c r="L1268" s="11" t="n">
        <v>42471.0737037037</v>
      </c>
      <c r="M1268" s="12" t="s">
        <v>253</v>
      </c>
      <c r="N1268" s="12" t="s">
        <v>470</v>
      </c>
      <c r="O1268" s="9" t="str">
        <f aca="false">HYPERLINK("https://pbs.twimg.com/profile_images/743939643738034176/WkGloI0u_normal.jpg","View")</f>
        <v>View</v>
      </c>
      <c r="P1268" s="10"/>
    </row>
    <row r="1269" customFormat="false" ht="15.75" hidden="false" customHeight="false" outlineLevel="0" collapsed="false">
      <c r="A1269" s="6" t="n">
        <v>43030.1768402778</v>
      </c>
      <c r="B1269" s="7" t="str">
        <f aca="false">HYPERLINK("https://twitter.com/Freedom_4_GB","@Freedom_4_GB")</f>
        <v>@Freedom_4_GB</v>
      </c>
      <c r="C1269" s="8" t="s">
        <v>3351</v>
      </c>
      <c r="D1269" s="8" t="s">
        <v>3295</v>
      </c>
      <c r="E1269" s="9" t="str">
        <f aca="false">HYPERLINK("https://twitter.com/Freedom_4_GB/status/922058616152166400","922058616152166400")</f>
        <v>922058616152166400</v>
      </c>
      <c r="F1269" s="10" t="s">
        <v>51</v>
      </c>
      <c r="G1269" s="10" t="n">
        <v>230</v>
      </c>
      <c r="H1269" s="10" t="n">
        <v>66</v>
      </c>
      <c r="I1269" s="10" t="n">
        <v>71</v>
      </c>
      <c r="J1269" s="10" t="n">
        <v>0</v>
      </c>
      <c r="K1269" s="10" t="s">
        <v>20</v>
      </c>
      <c r="L1269" s="11" t="n">
        <v>41640.7206018519</v>
      </c>
      <c r="M1269" s="12" t="s">
        <v>3352</v>
      </c>
      <c r="N1269" s="12" t="s">
        <v>3353</v>
      </c>
      <c r="O1269" s="9" t="str">
        <f aca="false">HYPERLINK("https://pbs.twimg.com/profile_images/914912337571799042/KRD6ifyb_normal.jpg","View")</f>
        <v>View</v>
      </c>
      <c r="P1269" s="10"/>
    </row>
    <row r="1270" customFormat="false" ht="15.75" hidden="false" customHeight="false" outlineLevel="0" collapsed="false">
      <c r="A1270" s="6" t="n">
        <v>43030.1769328704</v>
      </c>
      <c r="B1270" s="7" t="str">
        <f aca="false">HYPERLINK("https://twitter.com/Gabenewsinfo","@Gabenewsinfo")</f>
        <v>@Gabenewsinfo</v>
      </c>
      <c r="C1270" s="8" t="s">
        <v>3354</v>
      </c>
      <c r="D1270" s="8" t="s">
        <v>3355</v>
      </c>
      <c r="E1270" s="9" t="str">
        <f aca="false">HYPERLINK("https://twitter.com/Gabenewsinfo/status/922058649790382080","922058649790382080")</f>
        <v>922058649790382080</v>
      </c>
      <c r="F1270" s="10" t="s">
        <v>25</v>
      </c>
      <c r="G1270" s="10" t="n">
        <v>1159</v>
      </c>
      <c r="H1270" s="10" t="n">
        <v>2253</v>
      </c>
      <c r="I1270" s="10" t="n">
        <v>0</v>
      </c>
      <c r="J1270" s="10" t="n">
        <v>0</v>
      </c>
      <c r="K1270" s="10" t="s">
        <v>20</v>
      </c>
      <c r="L1270" s="11" t="n">
        <v>40776.9219791667</v>
      </c>
      <c r="M1270" s="12" t="s">
        <v>3356</v>
      </c>
      <c r="N1270" s="12" t="s">
        <v>3357</v>
      </c>
      <c r="O1270" s="9" t="str">
        <f aca="false">HYPERLINK("https://pbs.twimg.com/profile_images/820108691869405184/1zXn8NZ2_normal.jpg","View")</f>
        <v>View</v>
      </c>
      <c r="P1270" s="10"/>
    </row>
    <row r="1271" customFormat="false" ht="15.75" hidden="false" customHeight="false" outlineLevel="0" collapsed="false">
      <c r="A1271" s="6" t="n">
        <v>43030.1773032407</v>
      </c>
      <c r="B1271" s="7" t="str">
        <f aca="false">HYPERLINK("https://twitter.com/ddamned","@ddamned")</f>
        <v>@ddamned</v>
      </c>
      <c r="C1271" s="8" t="s">
        <v>3358</v>
      </c>
      <c r="D1271" s="8" t="s">
        <v>3295</v>
      </c>
      <c r="E1271" s="9" t="str">
        <f aca="false">HYPERLINK("https://twitter.com/ddamned/status/922058783588782080","922058783588782080")</f>
        <v>922058783588782080</v>
      </c>
      <c r="F1271" s="10" t="s">
        <v>51</v>
      </c>
      <c r="G1271" s="10" t="n">
        <v>3121</v>
      </c>
      <c r="H1271" s="10" t="n">
        <v>649</v>
      </c>
      <c r="I1271" s="10" t="n">
        <v>71</v>
      </c>
      <c r="J1271" s="10" t="n">
        <v>0</v>
      </c>
      <c r="K1271" s="10" t="s">
        <v>20</v>
      </c>
      <c r="L1271" s="11" t="n">
        <v>39569.6386805555</v>
      </c>
      <c r="M1271" s="12" t="s">
        <v>893</v>
      </c>
      <c r="N1271" s="12" t="s">
        <v>3359</v>
      </c>
      <c r="O1271" s="9" t="str">
        <f aca="false">HYPERLINK("https://pbs.twimg.com/profile_images/3039296087/f275e412d74fa1975f1fe1a97bab50e1_normal.jpeg","View")</f>
        <v>View</v>
      </c>
      <c r="P1271" s="10"/>
    </row>
    <row r="1272" customFormat="false" ht="15.75" hidden="false" customHeight="false" outlineLevel="0" collapsed="false">
      <c r="A1272" s="6" t="n">
        <v>43030.1773263889</v>
      </c>
      <c r="B1272" s="7" t="str">
        <f aca="false">HYPERLINK("https://twitter.com/TheNewsAlerts","@TheNewsAlerts")</f>
        <v>@TheNewsAlerts</v>
      </c>
      <c r="C1272" s="8" t="s">
        <v>3360</v>
      </c>
      <c r="D1272" s="8" t="s">
        <v>3286</v>
      </c>
      <c r="E1272" s="9" t="str">
        <f aca="false">HYPERLINK("https://twitter.com/TheNewsAlerts/status/922058792187125761","922058792187125761")</f>
        <v>922058792187125761</v>
      </c>
      <c r="F1272" s="10" t="s">
        <v>60</v>
      </c>
      <c r="G1272" s="10" t="n">
        <v>706</v>
      </c>
      <c r="H1272" s="10" t="n">
        <v>565</v>
      </c>
      <c r="I1272" s="10" t="n">
        <v>0</v>
      </c>
      <c r="J1272" s="10" t="n">
        <v>0</v>
      </c>
      <c r="K1272" s="10" t="s">
        <v>20</v>
      </c>
      <c r="L1272" s="11" t="n">
        <v>40368.5926157407</v>
      </c>
      <c r="M1272" s="12" t="s">
        <v>3361</v>
      </c>
      <c r="N1272" s="12" t="s">
        <v>3362</v>
      </c>
      <c r="O1272" s="9" t="str">
        <f aca="false">HYPERLINK("https://pbs.twimg.com/profile_images/824973109522464768/RosVlZDx_normal.jpg","View")</f>
        <v>View</v>
      </c>
      <c r="P1272" s="10"/>
    </row>
    <row r="1273" customFormat="false" ht="15.75" hidden="false" customHeight="false" outlineLevel="0" collapsed="false">
      <c r="A1273" s="6" t="n">
        <v>43030.1775347222</v>
      </c>
      <c r="B1273" s="7" t="str">
        <f aca="false">HYPERLINK("https://twitter.com/PR2SH","@PR2SH")</f>
        <v>@PR2SH</v>
      </c>
      <c r="C1273" s="8" t="s">
        <v>3363</v>
      </c>
      <c r="D1273" s="8" t="s">
        <v>3314</v>
      </c>
      <c r="E1273" s="9" t="str">
        <f aca="false">HYPERLINK("https://twitter.com/PR2SH/status/922058866249969665","922058866249969665")</f>
        <v>922058866249969665</v>
      </c>
      <c r="F1273" s="10" t="s">
        <v>39</v>
      </c>
      <c r="G1273" s="10" t="n">
        <v>438</v>
      </c>
      <c r="H1273" s="10" t="n">
        <v>345</v>
      </c>
      <c r="I1273" s="10" t="n">
        <v>7</v>
      </c>
      <c r="J1273" s="10" t="n">
        <v>0</v>
      </c>
      <c r="K1273" s="10" t="s">
        <v>20</v>
      </c>
      <c r="L1273" s="11" t="n">
        <v>40302.0122337963</v>
      </c>
      <c r="M1273" s="12" t="s">
        <v>186</v>
      </c>
      <c r="N1273" s="12" t="s">
        <v>3364</v>
      </c>
      <c r="O1273" s="9" t="str">
        <f aca="false">HYPERLINK("https://pbs.twimg.com/profile_images/912130197041815552/RWD10Krw_normal.jpg","View")</f>
        <v>View</v>
      </c>
      <c r="P1273" s="10"/>
    </row>
    <row r="1274" customFormat="false" ht="15.75" hidden="false" customHeight="false" outlineLevel="0" collapsed="false">
      <c r="A1274" s="6" t="n">
        <v>43030.1777199074</v>
      </c>
      <c r="B1274" s="7" t="str">
        <f aca="false">HYPERLINK("https://twitter.com/Polls4UK","@Polls4UK")</f>
        <v>@Polls4UK</v>
      </c>
      <c r="C1274" s="8" t="s">
        <v>3365</v>
      </c>
      <c r="D1274" s="8" t="s">
        <v>3366</v>
      </c>
      <c r="E1274" s="9" t="str">
        <f aca="false">HYPERLINK("https://twitter.com/Polls4UK/status/922058932671123456","922058932671123456")</f>
        <v>922058932671123456</v>
      </c>
      <c r="F1274" s="10" t="s">
        <v>60</v>
      </c>
      <c r="G1274" s="10" t="n">
        <v>631</v>
      </c>
      <c r="H1274" s="10" t="n">
        <v>823</v>
      </c>
      <c r="I1274" s="10" t="n">
        <v>0</v>
      </c>
      <c r="J1274" s="10" t="n">
        <v>0</v>
      </c>
      <c r="K1274" s="10" t="s">
        <v>20</v>
      </c>
      <c r="L1274" s="11" t="n">
        <v>42859.1318981481</v>
      </c>
      <c r="M1274" s="12" t="s">
        <v>203</v>
      </c>
      <c r="N1274" s="12" t="s">
        <v>3367</v>
      </c>
      <c r="O1274" s="9" t="str">
        <f aca="false">HYPERLINK("https://pbs.twimg.com/profile_images/860236702551597056/KbfVgmoa_normal.jpg","View")</f>
        <v>View</v>
      </c>
      <c r="P1274" s="10"/>
    </row>
    <row r="1275" customFormat="false" ht="15.75" hidden="false" customHeight="false" outlineLevel="0" collapsed="false">
      <c r="A1275" s="6" t="n">
        <v>43030.1777314815</v>
      </c>
      <c r="B1275" s="7" t="str">
        <f aca="false">HYPERLINK("https://twitter.com/Bis_Sandeep","@Bis_Sandeep")</f>
        <v>@Bis_Sandeep</v>
      </c>
      <c r="C1275" s="8" t="s">
        <v>3368</v>
      </c>
      <c r="D1275" s="8" t="s">
        <v>3366</v>
      </c>
      <c r="E1275" s="9" t="str">
        <f aca="false">HYPERLINK("https://twitter.com/Bis_Sandeep/status/922058936014032896","922058936014032896")</f>
        <v>922058936014032896</v>
      </c>
      <c r="F1275" s="10" t="s">
        <v>60</v>
      </c>
      <c r="G1275" s="10" t="n">
        <v>360</v>
      </c>
      <c r="H1275" s="10" t="n">
        <v>239</v>
      </c>
      <c r="I1275" s="10" t="n">
        <v>0</v>
      </c>
      <c r="J1275" s="10" t="n">
        <v>0</v>
      </c>
      <c r="K1275" s="10" t="s">
        <v>20</v>
      </c>
      <c r="L1275" s="11" t="n">
        <v>42279.9984606481</v>
      </c>
      <c r="M1275" s="12" t="s">
        <v>1877</v>
      </c>
      <c r="N1275" s="12" t="s">
        <v>3369</v>
      </c>
      <c r="O1275" s="9" t="str">
        <f aca="false">HYPERLINK("https://pbs.twimg.com/profile_images/783299746706305025/0F1TPHVV_normal.jpg","View")</f>
        <v>View</v>
      </c>
      <c r="P1275" s="10"/>
    </row>
    <row r="1276" customFormat="false" ht="15.75" hidden="false" customHeight="false" outlineLevel="0" collapsed="false">
      <c r="A1276" s="6" t="n">
        <v>43030.1778009259</v>
      </c>
      <c r="B1276" s="7" t="str">
        <f aca="false">HYPERLINK("https://twitter.com/SourceAny","@SourceAny")</f>
        <v>@SourceAny</v>
      </c>
      <c r="C1276" s="8" t="s">
        <v>3370</v>
      </c>
      <c r="D1276" s="8" t="s">
        <v>3350</v>
      </c>
      <c r="E1276" s="9" t="str">
        <f aca="false">HYPERLINK("https://twitter.com/SourceAny/status/922058965193838592","922058965193838592")</f>
        <v>922058965193838592</v>
      </c>
      <c r="F1276" s="10" t="s">
        <v>60</v>
      </c>
      <c r="G1276" s="10" t="n">
        <v>674</v>
      </c>
      <c r="H1276" s="10" t="n">
        <v>1336</v>
      </c>
      <c r="I1276" s="10" t="n">
        <v>0</v>
      </c>
      <c r="J1276" s="10" t="n">
        <v>0</v>
      </c>
      <c r="K1276" s="10" t="s">
        <v>20</v>
      </c>
      <c r="L1276" s="11" t="n">
        <v>42566.7503356481</v>
      </c>
      <c r="M1276" s="12"/>
      <c r="N1276" s="12" t="s">
        <v>3371</v>
      </c>
      <c r="O1276" s="9" t="str">
        <f aca="false">HYPERLINK("https://pbs.twimg.com/profile_images/908274369557921792/FtpZYDnt_normal.jpg","View")</f>
        <v>View</v>
      </c>
      <c r="P1276" s="10"/>
    </row>
    <row r="1277" customFormat="false" ht="15.75" hidden="false" customHeight="false" outlineLevel="0" collapsed="false">
      <c r="A1277" s="6" t="n">
        <v>43030.1778472222</v>
      </c>
      <c r="B1277" s="7" t="str">
        <f aca="false">HYPERLINK("https://twitter.com/TenerifeTommy","@TenerifeTommy")</f>
        <v>@TenerifeTommy</v>
      </c>
      <c r="C1277" s="8" t="s">
        <v>3372</v>
      </c>
      <c r="D1277" s="8" t="s">
        <v>3373</v>
      </c>
      <c r="E1277" s="9" t="str">
        <f aca="false">HYPERLINK("https://twitter.com/TenerifeTommy/status/922058980142276608","922058980142276608")</f>
        <v>922058980142276608</v>
      </c>
      <c r="F1277" s="10" t="s">
        <v>60</v>
      </c>
      <c r="G1277" s="10" t="n">
        <v>298</v>
      </c>
      <c r="H1277" s="10" t="n">
        <v>530</v>
      </c>
      <c r="I1277" s="10" t="n">
        <v>0</v>
      </c>
      <c r="J1277" s="10" t="n">
        <v>0</v>
      </c>
      <c r="K1277" s="10" t="s">
        <v>20</v>
      </c>
      <c r="L1277" s="11" t="n">
        <v>41261.2547337963</v>
      </c>
      <c r="M1277" s="12" t="s">
        <v>3374</v>
      </c>
      <c r="N1277" s="12" t="s">
        <v>3375</v>
      </c>
      <c r="O1277" s="9" t="str">
        <f aca="false">HYPERLINK("https://pbs.twimg.com/profile_images/818036678598295552/QBJUV4OP_normal.jpg","View")</f>
        <v>View</v>
      </c>
      <c r="P1277" s="10"/>
    </row>
    <row r="1278" customFormat="false" ht="15.75" hidden="false" customHeight="false" outlineLevel="0" collapsed="false">
      <c r="A1278" s="6" t="n">
        <v>43030.1780324074</v>
      </c>
      <c r="B1278" s="7" t="str">
        <f aca="false">HYPERLINK("https://twitter.com/needleholeshop","@needleholeshop")</f>
        <v>@needleholeshop</v>
      </c>
      <c r="C1278" s="7" t="s">
        <v>3376</v>
      </c>
      <c r="D1278" s="8" t="s">
        <v>3350</v>
      </c>
      <c r="E1278" s="9" t="str">
        <f aca="false">HYPERLINK("https://twitter.com/needleholeshop/status/922059046152269824","922059046152269824")</f>
        <v>922059046152269824</v>
      </c>
      <c r="F1278" s="10" t="s">
        <v>60</v>
      </c>
      <c r="G1278" s="10" t="n">
        <v>3513</v>
      </c>
      <c r="H1278" s="10" t="n">
        <v>1504</v>
      </c>
      <c r="I1278" s="10" t="n">
        <v>0</v>
      </c>
      <c r="J1278" s="10" t="n">
        <v>0</v>
      </c>
      <c r="K1278" s="10" t="s">
        <v>20</v>
      </c>
      <c r="L1278" s="11" t="n">
        <v>41345.1265509259</v>
      </c>
      <c r="M1278" s="12" t="s">
        <v>893</v>
      </c>
      <c r="N1278" s="12" t="s">
        <v>3377</v>
      </c>
      <c r="O1278" s="9" t="str">
        <f aca="false">HYPERLINK("https://pbs.twimg.com/profile_images/661851566014636032/5OdLjCJ9_normal.jpg","View")</f>
        <v>View</v>
      </c>
      <c r="P1278" s="10"/>
    </row>
    <row r="1279" customFormat="false" ht="15.75" hidden="false" customHeight="false" outlineLevel="0" collapsed="false">
      <c r="A1279" s="6" t="n">
        <v>43030.1780555556</v>
      </c>
      <c r="B1279" s="7" t="str">
        <f aca="false">HYPERLINK("https://twitter.com/BurlingtonIOW","@BurlingtonIOW")</f>
        <v>@BurlingtonIOW</v>
      </c>
      <c r="C1279" s="8" t="s">
        <v>3378</v>
      </c>
      <c r="D1279" s="8" t="s">
        <v>3379</v>
      </c>
      <c r="E1279" s="9" t="str">
        <f aca="false">HYPERLINK("https://twitter.com/BurlingtonIOW/status/922059056470286336","922059056470286336")</f>
        <v>922059056470286336</v>
      </c>
      <c r="F1279" s="10" t="s">
        <v>60</v>
      </c>
      <c r="G1279" s="10" t="n">
        <v>337</v>
      </c>
      <c r="H1279" s="10" t="n">
        <v>470</v>
      </c>
      <c r="I1279" s="10" t="n">
        <v>0</v>
      </c>
      <c r="J1279" s="10" t="n">
        <v>0</v>
      </c>
      <c r="K1279" s="10" t="s">
        <v>20</v>
      </c>
      <c r="L1279" s="11" t="n">
        <v>41899.2161342593</v>
      </c>
      <c r="M1279" s="12" t="s">
        <v>3380</v>
      </c>
      <c r="N1279" s="12" t="s">
        <v>3381</v>
      </c>
      <c r="O1279" s="9" t="str">
        <f aca="false">HYPERLINK("https://pbs.twimg.com/profile_images/902892992201089024/v-ex1TmU_normal.jpg","View")</f>
        <v>View</v>
      </c>
      <c r="P1279" s="10"/>
    </row>
    <row r="1280" customFormat="false" ht="15.75" hidden="false" customHeight="false" outlineLevel="0" collapsed="false">
      <c r="A1280" s="6" t="n">
        <v>43030.1783680556</v>
      </c>
      <c r="B1280" s="7" t="str">
        <f aca="false">HYPERLINK("https://twitter.com/giu17raffa","@giu17raffa")</f>
        <v>@giu17raffa</v>
      </c>
      <c r="C1280" s="8" t="s">
        <v>3382</v>
      </c>
      <c r="D1280" s="8" t="s">
        <v>3383</v>
      </c>
      <c r="E1280" s="9" t="str">
        <f aca="false">HYPERLINK("https://twitter.com/giu17raffa/status/922059166621093888","922059166621093888")</f>
        <v>922059166621093888</v>
      </c>
      <c r="F1280" s="10" t="s">
        <v>51</v>
      </c>
      <c r="G1280" s="10" t="n">
        <v>933</v>
      </c>
      <c r="H1280" s="10" t="n">
        <v>608</v>
      </c>
      <c r="I1280" s="10" t="n">
        <v>2</v>
      </c>
      <c r="J1280" s="10" t="n">
        <v>1</v>
      </c>
      <c r="K1280" s="10" t="s">
        <v>20</v>
      </c>
      <c r="L1280" s="11" t="n">
        <v>40606.0636111111</v>
      </c>
      <c r="M1280" s="12" t="s">
        <v>3384</v>
      </c>
      <c r="N1280" s="12" t="s">
        <v>3385</v>
      </c>
      <c r="O1280" s="9" t="str">
        <f aca="false">HYPERLINK("https://pbs.twimg.com/profile_images/752617822384250880/1SoX9B6C_normal.jpg","View")</f>
        <v>View</v>
      </c>
      <c r="P1280" s="10"/>
    </row>
    <row r="1281" customFormat="false" ht="15.75" hidden="false" customHeight="false" outlineLevel="0" collapsed="false">
      <c r="A1281" s="6" t="n">
        <v>43030.1784375</v>
      </c>
      <c r="B1281" s="7" t="str">
        <f aca="false">HYPERLINK("https://twitter.com/AcesCalifornia","@AcesCalifornia")</f>
        <v>@AcesCalifornia</v>
      </c>
      <c r="C1281" s="8" t="s">
        <v>3386</v>
      </c>
      <c r="D1281" s="8" t="s">
        <v>3295</v>
      </c>
      <c r="E1281" s="9" t="str">
        <f aca="false">HYPERLINK("https://twitter.com/AcesCalifornia/status/922059195792461824","922059195792461824")</f>
        <v>922059195792461824</v>
      </c>
      <c r="F1281" s="10" t="s">
        <v>39</v>
      </c>
      <c r="G1281" s="10" t="n">
        <v>277</v>
      </c>
      <c r="H1281" s="10" t="n">
        <v>262</v>
      </c>
      <c r="I1281" s="10" t="n">
        <v>71</v>
      </c>
      <c r="J1281" s="10" t="n">
        <v>0</v>
      </c>
      <c r="K1281" s="10" t="s">
        <v>20</v>
      </c>
      <c r="L1281" s="11" t="n">
        <v>41299.5257175926</v>
      </c>
      <c r="M1281" s="12" t="s">
        <v>3387</v>
      </c>
      <c r="N1281" s="12" t="s">
        <v>3388</v>
      </c>
      <c r="O1281" s="9" t="str">
        <f aca="false">HYPERLINK("https://pbs.twimg.com/profile_images/875833406130724865/6BoFyJ0h_normal.jpg","View")</f>
        <v>View</v>
      </c>
      <c r="P1281" s="10"/>
    </row>
    <row r="1282" customFormat="false" ht="15.75" hidden="false" customHeight="false" outlineLevel="0" collapsed="false">
      <c r="A1282" s="6" t="n">
        <v>43030.1785300926</v>
      </c>
      <c r="B1282" s="7" t="str">
        <f aca="false">HYPERLINK("https://twitter.com/JohnMack83","@JohnMack83")</f>
        <v>@JohnMack83</v>
      </c>
      <c r="C1282" s="8" t="s">
        <v>3389</v>
      </c>
      <c r="D1282" s="8" t="s">
        <v>3295</v>
      </c>
      <c r="E1282" s="9" t="str">
        <f aca="false">HYPERLINK("https://twitter.com/JohnMack83/status/922059226998075392","922059226998075392")</f>
        <v>922059226998075392</v>
      </c>
      <c r="F1282" s="10" t="s">
        <v>25</v>
      </c>
      <c r="G1282" s="10" t="n">
        <v>1257</v>
      </c>
      <c r="H1282" s="10" t="n">
        <v>1562</v>
      </c>
      <c r="I1282" s="10" t="n">
        <v>71</v>
      </c>
      <c r="J1282" s="10" t="n">
        <v>0</v>
      </c>
      <c r="K1282" s="10" t="s">
        <v>20</v>
      </c>
      <c r="L1282" s="11" t="n">
        <v>41154.2614236111</v>
      </c>
      <c r="M1282" s="12"/>
      <c r="N1282" s="12" t="s">
        <v>3390</v>
      </c>
      <c r="O1282" s="9" t="str">
        <f aca="false">HYPERLINK("https://pbs.twimg.com/profile_images/920270460260151296/1bQZy1ce_normal.jpg","View")</f>
        <v>View</v>
      </c>
      <c r="P1282" s="10"/>
    </row>
    <row r="1283" customFormat="false" ht="15.75" hidden="false" customHeight="false" outlineLevel="0" collapsed="false">
      <c r="A1283" s="6" t="n">
        <v>43030.1785648148</v>
      </c>
      <c r="B1283" s="7" t="str">
        <f aca="false">HYPERLINK("https://twitter.com/Channel1World","@Channel1World")</f>
        <v>@Channel1World</v>
      </c>
      <c r="C1283" s="8" t="s">
        <v>368</v>
      </c>
      <c r="D1283" s="8" t="s">
        <v>3391</v>
      </c>
      <c r="E1283" s="9" t="str">
        <f aca="false">HYPERLINK("https://twitter.com/Channel1World/status/922059241283866625","922059241283866625")</f>
        <v>922059241283866625</v>
      </c>
      <c r="F1283" s="10" t="s">
        <v>60</v>
      </c>
      <c r="G1283" s="10" t="n">
        <v>300</v>
      </c>
      <c r="H1283" s="10" t="n">
        <v>379</v>
      </c>
      <c r="I1283" s="10" t="n">
        <v>0</v>
      </c>
      <c r="J1283" s="10" t="n">
        <v>0</v>
      </c>
      <c r="K1283" s="10" t="s">
        <v>20</v>
      </c>
      <c r="L1283" s="11" t="n">
        <v>41518.6582060185</v>
      </c>
      <c r="M1283" s="12" t="s">
        <v>370</v>
      </c>
      <c r="N1283" s="12" t="s">
        <v>371</v>
      </c>
      <c r="O1283" s="9" t="str">
        <f aca="false">HYPERLINK("https://pbs.twimg.com/profile_images/419021757064822784/OrKoJTcl_normal.jpeg","View")</f>
        <v>View</v>
      </c>
      <c r="P1283" s="10"/>
    </row>
    <row r="1284" customFormat="false" ht="15.75" hidden="false" customHeight="false" outlineLevel="0" collapsed="false">
      <c r="A1284" s="6" t="n">
        <v>43030.1786226852</v>
      </c>
      <c r="B1284" s="7" t="str">
        <f aca="false">HYPERLINK("https://twitter.com/DylanHayward94","@DylanHayward94")</f>
        <v>@DylanHayward94</v>
      </c>
      <c r="C1284" s="8" t="s">
        <v>3392</v>
      </c>
      <c r="D1284" s="8" t="s">
        <v>3286</v>
      </c>
      <c r="E1284" s="9" t="str">
        <f aca="false">HYPERLINK("https://twitter.com/DylanHayward94/status/922059261517156353","922059261517156353")</f>
        <v>922059261517156353</v>
      </c>
      <c r="F1284" s="10" t="s">
        <v>60</v>
      </c>
      <c r="G1284" s="10" t="n">
        <v>12074</v>
      </c>
      <c r="H1284" s="10" t="n">
        <v>1</v>
      </c>
      <c r="I1284" s="10" t="n">
        <v>0</v>
      </c>
      <c r="J1284" s="10" t="n">
        <v>0</v>
      </c>
      <c r="K1284" s="10" t="s">
        <v>20</v>
      </c>
      <c r="L1284" s="11" t="n">
        <v>41224.5590393519</v>
      </c>
      <c r="M1284" s="12"/>
      <c r="N1284" s="12" t="s">
        <v>3393</v>
      </c>
      <c r="O1284" s="9" t="str">
        <f aca="false">HYPERLINK("https://pbs.twimg.com/profile_images/881555052325986304/r86-uOmL_normal.jpg","View")</f>
        <v>View</v>
      </c>
      <c r="P1284" s="10"/>
    </row>
    <row r="1285" customFormat="false" ht="15.75" hidden="false" customHeight="false" outlineLevel="0" collapsed="false">
      <c r="A1285" s="6" t="n">
        <v>43030.1786342593</v>
      </c>
      <c r="B1285" s="7" t="str">
        <f aca="false">HYPERLINK("https://twitter.com/KopitiamBot","@KopitiamBot")</f>
        <v>@KopitiamBot</v>
      </c>
      <c r="C1285" s="8" t="s">
        <v>3394</v>
      </c>
      <c r="D1285" s="8" t="s">
        <v>3395</v>
      </c>
      <c r="E1285" s="9" t="str">
        <f aca="false">HYPERLINK("https://twitter.com/KopitiamBot/status/922059265455640576","922059265455640576")</f>
        <v>922059265455640576</v>
      </c>
      <c r="F1285" s="9" t="s">
        <v>979</v>
      </c>
      <c r="G1285" s="10" t="n">
        <v>137</v>
      </c>
      <c r="H1285" s="10" t="n">
        <v>0</v>
      </c>
      <c r="I1285" s="10" t="n">
        <v>0</v>
      </c>
      <c r="J1285" s="10" t="n">
        <v>0</v>
      </c>
      <c r="K1285" s="10" t="s">
        <v>20</v>
      </c>
      <c r="L1285" s="11" t="n">
        <v>42492.9124768519</v>
      </c>
      <c r="M1285" s="12" t="s">
        <v>186</v>
      </c>
      <c r="N1285" s="12" t="s">
        <v>3396</v>
      </c>
      <c r="O1285" s="9" t="str">
        <f aca="false">HYPERLINK("https://pbs.twimg.com/profile_images/727361549673730048/8lLDWbpp_normal.jpg","View")</f>
        <v>View</v>
      </c>
      <c r="P1285" s="10"/>
    </row>
    <row r="1286" customFormat="false" ht="15.75" hidden="false" customHeight="false" outlineLevel="0" collapsed="false">
      <c r="A1286" s="6" t="n">
        <v>43030.1786805556</v>
      </c>
      <c r="B1286" s="7" t="str">
        <f aca="false">HYPERLINK("https://twitter.com/Missycilious","@Missycilious")</f>
        <v>@Missycilious</v>
      </c>
      <c r="C1286" s="8" t="s">
        <v>3397</v>
      </c>
      <c r="D1286" s="8" t="s">
        <v>3350</v>
      </c>
      <c r="E1286" s="9" t="str">
        <f aca="false">HYPERLINK("https://twitter.com/Missycilious/status/922059282295771136","922059282295771136")</f>
        <v>922059282295771136</v>
      </c>
      <c r="F1286" s="10" t="s">
        <v>60</v>
      </c>
      <c r="G1286" s="10" t="n">
        <v>2912</v>
      </c>
      <c r="H1286" s="10" t="n">
        <v>2420</v>
      </c>
      <c r="I1286" s="10" t="n">
        <v>0</v>
      </c>
      <c r="J1286" s="10" t="n">
        <v>0</v>
      </c>
      <c r="K1286" s="10" t="s">
        <v>20</v>
      </c>
      <c r="L1286" s="11" t="n">
        <v>39879.5985648148</v>
      </c>
      <c r="M1286" s="12" t="s">
        <v>3398</v>
      </c>
      <c r="N1286" s="12" t="s">
        <v>3399</v>
      </c>
      <c r="O1286" s="9" t="str">
        <f aca="false">HYPERLINK("https://pbs.twimg.com/profile_images/854216224150097920/6UAQ_mRJ_normal.jpg","View")</f>
        <v>View</v>
      </c>
      <c r="P1286" s="10"/>
    </row>
    <row r="1287" customFormat="false" ht="15.75" hidden="false" customHeight="false" outlineLevel="0" collapsed="false">
      <c r="A1287" s="6" t="n">
        <v>43030.1786805556</v>
      </c>
      <c r="B1287" s="7" t="str">
        <f aca="false">HYPERLINK("https://twitter.com/BSAFunds","@BSAFunds")</f>
        <v>@BSAFunds</v>
      </c>
      <c r="C1287" s="8" t="s">
        <v>924</v>
      </c>
      <c r="D1287" s="8" t="s">
        <v>3400</v>
      </c>
      <c r="E1287" s="9" t="str">
        <f aca="false">HYPERLINK("https://twitter.com/BSAFunds/status/922059283482796032","922059283482796032")</f>
        <v>922059283482796032</v>
      </c>
      <c r="F1287" s="10" t="s">
        <v>60</v>
      </c>
      <c r="G1287" s="10" t="n">
        <v>20871</v>
      </c>
      <c r="H1287" s="10" t="n">
        <v>8926</v>
      </c>
      <c r="I1287" s="10" t="n">
        <v>0</v>
      </c>
      <c r="J1287" s="10" t="n">
        <v>0</v>
      </c>
      <c r="K1287" s="10" t="s">
        <v>20</v>
      </c>
      <c r="L1287" s="11" t="n">
        <v>42601.9481828704</v>
      </c>
      <c r="M1287" s="12" t="s">
        <v>312</v>
      </c>
      <c r="N1287" s="12" t="s">
        <v>926</v>
      </c>
      <c r="O1287" s="9" t="str">
        <f aca="false">HYPERLINK("https://pbs.twimg.com/profile_images/912769166960033792/N4LAmrTs_normal.jpg","View")</f>
        <v>View</v>
      </c>
      <c r="P1287" s="10"/>
    </row>
    <row r="1288" customFormat="false" ht="15.75" hidden="false" customHeight="false" outlineLevel="0" collapsed="false">
      <c r="A1288" s="6" t="n">
        <v>43030.1797222222</v>
      </c>
      <c r="B1288" s="7" t="str">
        <f aca="false">HYPERLINK("https://twitter.com/tomhatton1","@tomhatton1")</f>
        <v>@tomhatton1</v>
      </c>
      <c r="C1288" s="8" t="s">
        <v>3401</v>
      </c>
      <c r="D1288" s="8" t="s">
        <v>3295</v>
      </c>
      <c r="E1288" s="9" t="str">
        <f aca="false">HYPERLINK("https://twitter.com/tomhatton1/status/922059661137805312","922059661137805312")</f>
        <v>922059661137805312</v>
      </c>
      <c r="F1288" s="10" t="s">
        <v>25</v>
      </c>
      <c r="G1288" s="10" t="n">
        <v>1958</v>
      </c>
      <c r="H1288" s="10" t="n">
        <v>2753</v>
      </c>
      <c r="I1288" s="10" t="n">
        <v>71</v>
      </c>
      <c r="J1288" s="10" t="n">
        <v>0</v>
      </c>
      <c r="K1288" s="10" t="s">
        <v>20</v>
      </c>
      <c r="L1288" s="11" t="n">
        <v>40283.490787037</v>
      </c>
      <c r="M1288" s="12" t="s">
        <v>893</v>
      </c>
      <c r="N1288" s="12" t="s">
        <v>3402</v>
      </c>
      <c r="O1288" s="9" t="str">
        <f aca="false">HYPERLINK("https://pbs.twimg.com/profile_images/896282061916516353/KdkHIx4Q_normal.jpg","View")</f>
        <v>View</v>
      </c>
      <c r="P1288" s="10"/>
    </row>
    <row r="1289" customFormat="false" ht="15.75" hidden="false" customHeight="false" outlineLevel="0" collapsed="false">
      <c r="A1289" s="6" t="n">
        <v>43030.1805555556</v>
      </c>
      <c r="B1289" s="7" t="str">
        <f aca="false">HYPERLINK("https://twitter.com/mariko_sUKI277y","@mariko_sUKI277y")</f>
        <v>@mariko_sUKI277y</v>
      </c>
      <c r="C1289" s="14" t="s">
        <v>3403</v>
      </c>
      <c r="D1289" s="8" t="s">
        <v>3138</v>
      </c>
      <c r="E1289" s="9" t="str">
        <f aca="false">HYPERLINK("https://twitter.com/mariko_sUKI277y/status/922059961412108289","922059961412108289")</f>
        <v>922059961412108289</v>
      </c>
      <c r="F1289" s="10" t="s">
        <v>51</v>
      </c>
      <c r="G1289" s="10" t="n">
        <v>1693</v>
      </c>
      <c r="H1289" s="10" t="n">
        <v>1418</v>
      </c>
      <c r="I1289" s="10" t="n">
        <v>31</v>
      </c>
      <c r="J1289" s="10" t="n">
        <v>0</v>
      </c>
      <c r="K1289" s="10" t="s">
        <v>20</v>
      </c>
      <c r="L1289" s="11" t="n">
        <v>40833.0479398148</v>
      </c>
      <c r="M1289" s="13" t="s">
        <v>3404</v>
      </c>
      <c r="N1289" s="13" t="s">
        <v>3405</v>
      </c>
      <c r="O1289" s="9" t="str">
        <f aca="false">HYPERLINK("https://pbs.twimg.com/profile_images/563925831953571840/JytUn2G1_normal.jpeg","View")</f>
        <v>View</v>
      </c>
      <c r="P1289" s="10"/>
    </row>
    <row r="1290" customFormat="false" ht="15.75" hidden="false" customHeight="false" outlineLevel="0" collapsed="false">
      <c r="A1290" s="6" t="n">
        <v>43030.1805787037</v>
      </c>
      <c r="B1290" s="7" t="str">
        <f aca="false">HYPERLINK("https://twitter.com/News365247live","@News365247live")</f>
        <v>@News365247live</v>
      </c>
      <c r="C1290" s="8" t="s">
        <v>376</v>
      </c>
      <c r="D1290" s="8" t="s">
        <v>3295</v>
      </c>
      <c r="E1290" s="9" t="str">
        <f aca="false">HYPERLINK("https://twitter.com/News365247live/status/922059969590988800","922059969590988800")</f>
        <v>922059969590988800</v>
      </c>
      <c r="F1290" s="10" t="s">
        <v>377</v>
      </c>
      <c r="G1290" s="10" t="n">
        <v>1535</v>
      </c>
      <c r="H1290" s="10" t="n">
        <v>5001</v>
      </c>
      <c r="I1290" s="10" t="n">
        <v>71</v>
      </c>
      <c r="J1290" s="10" t="n">
        <v>0</v>
      </c>
      <c r="K1290" s="10" t="s">
        <v>20</v>
      </c>
      <c r="L1290" s="11" t="n">
        <v>42728.3420949074</v>
      </c>
      <c r="M1290" s="12" t="s">
        <v>357</v>
      </c>
      <c r="N1290" s="12" t="s">
        <v>378</v>
      </c>
      <c r="O1290" s="9" t="str">
        <f aca="false">HYPERLINK("https://pbs.twimg.com/profile_images/813047771091472384/ZtakiWrG_normal.jpg","View")</f>
        <v>View</v>
      </c>
      <c r="P1290" s="10"/>
    </row>
    <row r="1291" customFormat="false" ht="15.75" hidden="false" customHeight="false" outlineLevel="0" collapsed="false">
      <c r="A1291" s="6" t="n">
        <v>43030.1807291667</v>
      </c>
      <c r="B1291" s="7" t="str">
        <f aca="false">HYPERLINK("https://twitter.com/AndySimpson96","@AndySimpson96")</f>
        <v>@AndySimpson96</v>
      </c>
      <c r="C1291" s="8" t="s">
        <v>3406</v>
      </c>
      <c r="D1291" s="8" t="s">
        <v>3295</v>
      </c>
      <c r="E1291" s="9" t="str">
        <f aca="false">HYPERLINK("https://twitter.com/AndySimpson96/status/922060025987764224","922060025987764224")</f>
        <v>922060025987764224</v>
      </c>
      <c r="F1291" s="10" t="s">
        <v>25</v>
      </c>
      <c r="G1291" s="10" t="n">
        <v>530</v>
      </c>
      <c r="H1291" s="10" t="n">
        <v>2073</v>
      </c>
      <c r="I1291" s="10" t="n">
        <v>71</v>
      </c>
      <c r="J1291" s="10" t="n">
        <v>0</v>
      </c>
      <c r="K1291" s="10" t="s">
        <v>20</v>
      </c>
      <c r="L1291" s="11" t="n">
        <v>40982.0291898148</v>
      </c>
      <c r="M1291" s="12" t="s">
        <v>3407</v>
      </c>
      <c r="N1291" s="12" t="s">
        <v>3408</v>
      </c>
      <c r="O1291" s="9" t="str">
        <f aca="false">HYPERLINK("https://pbs.twimg.com/profile_images/895363337676091392/M-vq2TMJ_normal.jpg","View")</f>
        <v>View</v>
      </c>
      <c r="P1291" s="10"/>
    </row>
    <row r="1292" customFormat="false" ht="15.75" hidden="false" customHeight="false" outlineLevel="0" collapsed="false">
      <c r="A1292" s="6" t="n">
        <v>43030.180775463</v>
      </c>
      <c r="B1292" s="7" t="str">
        <f aca="false">HYPERLINK("https://twitter.com/Geminids_JP","@Geminids_JP")</f>
        <v>@Geminids_JP</v>
      </c>
      <c r="C1292" s="8" t="s">
        <v>2824</v>
      </c>
      <c r="D1292" s="8" t="s">
        <v>3409</v>
      </c>
      <c r="E1292" s="9" t="str">
        <f aca="false">HYPERLINK("https://twitter.com/Geminids_JP/status/922060039325544448","922060039325544448")</f>
        <v>922060039325544448</v>
      </c>
      <c r="F1292" s="10" t="s">
        <v>51</v>
      </c>
      <c r="G1292" s="10" t="n">
        <v>57</v>
      </c>
      <c r="H1292" s="10" t="n">
        <v>91</v>
      </c>
      <c r="I1292" s="10" t="n">
        <v>0</v>
      </c>
      <c r="J1292" s="10" t="n">
        <v>0</v>
      </c>
      <c r="K1292" s="10" t="s">
        <v>20</v>
      </c>
      <c r="L1292" s="11" t="n">
        <v>40691.6957407407</v>
      </c>
      <c r="M1292" s="13" t="s">
        <v>2826</v>
      </c>
      <c r="N1292" s="13" t="s">
        <v>2827</v>
      </c>
      <c r="O1292" s="9" t="str">
        <f aca="false">HYPERLINK("https://pbs.twimg.com/profile_images/878834182193008640/znnaRh7V_normal.jpg","View")</f>
        <v>View</v>
      </c>
      <c r="P1292" s="10"/>
    </row>
    <row r="1293" customFormat="false" ht="15.75" hidden="false" customHeight="false" outlineLevel="0" collapsed="false">
      <c r="A1293" s="6" t="n">
        <v>43030.1809259259</v>
      </c>
      <c r="B1293" s="7" t="str">
        <f aca="false">HYPERLINK("https://twitter.com/notbatmanyet","@notbatmanyet")</f>
        <v>@notbatmanyet</v>
      </c>
      <c r="C1293" s="8" t="s">
        <v>3410</v>
      </c>
      <c r="D1293" s="8" t="s">
        <v>3007</v>
      </c>
      <c r="E1293" s="9" t="str">
        <f aca="false">HYPERLINK("https://twitter.com/notbatmanyet/status/922060094015180801","922060094015180801")</f>
        <v>922060094015180801</v>
      </c>
      <c r="F1293" s="10" t="s">
        <v>51</v>
      </c>
      <c r="G1293" s="10" t="n">
        <v>96116</v>
      </c>
      <c r="H1293" s="10" t="n">
        <v>101923</v>
      </c>
      <c r="I1293" s="10" t="n">
        <v>12</v>
      </c>
      <c r="J1293" s="10" t="n">
        <v>0</v>
      </c>
      <c r="K1293" s="10" t="s">
        <v>20</v>
      </c>
      <c r="L1293" s="11" t="n">
        <v>41555.6115393519</v>
      </c>
      <c r="M1293" s="12" t="s">
        <v>3411</v>
      </c>
      <c r="N1293" s="12" t="s">
        <v>3412</v>
      </c>
      <c r="O1293" s="9" t="str">
        <f aca="false">HYPERLINK("https://pbs.twimg.com/profile_images/921501882174115840/ZeHfi-Tk_normal.jpg","View")</f>
        <v>View</v>
      </c>
      <c r="P1293" s="10"/>
    </row>
    <row r="1294" customFormat="false" ht="15.75" hidden="false" customHeight="false" outlineLevel="0" collapsed="false">
      <c r="A1294" s="6" t="n">
        <v>43030.1812615741</v>
      </c>
      <c r="B1294" s="7" t="str">
        <f aca="false">HYPERLINK("https://twitter.com/mydaymywin","@mydaymywin")</f>
        <v>@mydaymywin</v>
      </c>
      <c r="C1294" s="8" t="s">
        <v>3413</v>
      </c>
      <c r="D1294" s="8" t="s">
        <v>3414</v>
      </c>
      <c r="E1294" s="9" t="str">
        <f aca="false">HYPERLINK("https://twitter.com/mydaymywin/status/922060216547635201","922060216547635201")</f>
        <v>922060216547635201</v>
      </c>
      <c r="F1294" s="10" t="s">
        <v>25</v>
      </c>
      <c r="G1294" s="10" t="n">
        <v>3777</v>
      </c>
      <c r="H1294" s="10" t="n">
        <v>1429</v>
      </c>
      <c r="I1294" s="10" t="n">
        <v>0</v>
      </c>
      <c r="J1294" s="10" t="n">
        <v>0</v>
      </c>
      <c r="K1294" s="10" t="s">
        <v>20</v>
      </c>
      <c r="L1294" s="11" t="n">
        <v>41080.0970833333</v>
      </c>
      <c r="M1294" s="12" t="s">
        <v>3415</v>
      </c>
      <c r="N1294" s="12" t="s">
        <v>3416</v>
      </c>
      <c r="O1294" s="9" t="str">
        <f aca="false">HYPERLINK("https://pbs.twimg.com/profile_images/873441591574183936/406hDqg8_normal.jpg","View")</f>
        <v>View</v>
      </c>
      <c r="P1294" s="10"/>
    </row>
    <row r="1295" customFormat="false" ht="15.75" hidden="false" customHeight="false" outlineLevel="0" collapsed="false">
      <c r="A1295" s="6" t="n">
        <v>43030.1813657407</v>
      </c>
      <c r="B1295" s="7" t="str">
        <f aca="false">HYPERLINK("https://twitter.com/walkileaks","@walkileaks")</f>
        <v>@walkileaks</v>
      </c>
      <c r="C1295" s="8" t="s">
        <v>1267</v>
      </c>
      <c r="D1295" s="8" t="s">
        <v>3417</v>
      </c>
      <c r="E1295" s="9" t="str">
        <f aca="false">HYPERLINK("https://twitter.com/walkileaks/status/922060253411213313","922060253411213313")</f>
        <v>922060253411213313</v>
      </c>
      <c r="F1295" s="9" t="s">
        <v>979</v>
      </c>
      <c r="G1295" s="10" t="n">
        <v>533</v>
      </c>
      <c r="H1295" s="10" t="n">
        <v>738</v>
      </c>
      <c r="I1295" s="10" t="n">
        <v>0</v>
      </c>
      <c r="J1295" s="10" t="n">
        <v>0</v>
      </c>
      <c r="K1295" s="10" t="s">
        <v>20</v>
      </c>
      <c r="L1295" s="11" t="n">
        <v>41239.3942361111</v>
      </c>
      <c r="M1295" s="12" t="s">
        <v>230</v>
      </c>
      <c r="N1295" s="12" t="s">
        <v>1269</v>
      </c>
      <c r="O1295" s="9" t="str">
        <f aca="false">HYPERLINK("https://pbs.twimg.com/profile_images/782945569501286401/BOfnIaHw_normal.jpg","View")</f>
        <v>View</v>
      </c>
      <c r="P1295" s="10"/>
    </row>
    <row r="1296" customFormat="false" ht="15.75" hidden="false" customHeight="false" outlineLevel="0" collapsed="false">
      <c r="A1296" s="6" t="n">
        <v>43030.1815856481</v>
      </c>
      <c r="B1296" s="7" t="str">
        <f aca="false">HYPERLINK("https://twitter.com/Independent","@Independent")</f>
        <v>@Independent</v>
      </c>
      <c r="C1296" s="8" t="s">
        <v>1284</v>
      </c>
      <c r="D1296" s="8" t="s">
        <v>3418</v>
      </c>
      <c r="E1296" s="9" t="str">
        <f aca="false">HYPERLINK("https://twitter.com/Independent/status/922060334210404353","922060334210404353")</f>
        <v>922060334210404353</v>
      </c>
      <c r="F1296" s="10" t="s">
        <v>276</v>
      </c>
      <c r="G1296" s="10" t="n">
        <v>2392804</v>
      </c>
      <c r="H1296" s="10" t="n">
        <v>1105</v>
      </c>
      <c r="I1296" s="10" t="n">
        <v>27</v>
      </c>
      <c r="J1296" s="10" t="n">
        <v>17</v>
      </c>
      <c r="K1296" s="10" t="s">
        <v>20</v>
      </c>
      <c r="L1296" s="11" t="n">
        <v>39746.7086689815</v>
      </c>
      <c r="M1296" s="12" t="s">
        <v>893</v>
      </c>
      <c r="N1296" s="12" t="s">
        <v>1286</v>
      </c>
      <c r="O1296" s="9" t="str">
        <f aca="false">HYPERLINK("https://pbs.twimg.com/profile_images/583628771972018176/ztJn926g_normal.png","View")</f>
        <v>View</v>
      </c>
      <c r="P1296" s="10"/>
    </row>
    <row r="1297" customFormat="false" ht="15.75" hidden="false" customHeight="false" outlineLevel="0" collapsed="false">
      <c r="A1297" s="6" t="n">
        <v>43030.1817592593</v>
      </c>
      <c r="B1297" s="7" t="str">
        <f aca="false">HYPERLINK("https://twitter.com/Udlah","@Udlah")</f>
        <v>@Udlah</v>
      </c>
      <c r="C1297" s="8" t="s">
        <v>3419</v>
      </c>
      <c r="D1297" s="8" t="s">
        <v>3295</v>
      </c>
      <c r="E1297" s="9" t="str">
        <f aca="false">HYPERLINK("https://twitter.com/Udlah/status/922060398848815104","922060398848815104")</f>
        <v>922060398848815104</v>
      </c>
      <c r="F1297" s="10" t="s">
        <v>51</v>
      </c>
      <c r="G1297" s="10" t="n">
        <v>283</v>
      </c>
      <c r="H1297" s="10" t="n">
        <v>186</v>
      </c>
      <c r="I1297" s="10" t="n">
        <v>71</v>
      </c>
      <c r="J1297" s="10" t="n">
        <v>0</v>
      </c>
      <c r="K1297" s="10" t="s">
        <v>20</v>
      </c>
      <c r="L1297" s="11" t="n">
        <v>40582.333587963</v>
      </c>
      <c r="M1297" s="12" t="s">
        <v>3420</v>
      </c>
      <c r="N1297" s="12" t="s">
        <v>3421</v>
      </c>
      <c r="O1297" s="9" t="str">
        <f aca="false">HYPERLINK("https://pbs.twimg.com/profile_images/849348242370437120/PWA4fqMi_normal.jpg","View")</f>
        <v>View</v>
      </c>
      <c r="P1297" s="10"/>
    </row>
    <row r="1298" customFormat="false" ht="15.75" hidden="false" customHeight="false" outlineLevel="0" collapsed="false">
      <c r="A1298" s="6" t="n">
        <v>43030.1818518519</v>
      </c>
      <c r="B1298" s="7" t="str">
        <f aca="false">HYPERLINK("https://twitter.com/fairy_m_s_7","@fairy_m_s_7")</f>
        <v>@fairy_m_s_7</v>
      </c>
      <c r="C1298" s="8" t="s">
        <v>3330</v>
      </c>
      <c r="D1298" s="8" t="s">
        <v>3422</v>
      </c>
      <c r="E1298" s="9" t="str">
        <f aca="false">HYPERLINK("https://twitter.com/fairy_m_s_7/status/922060432524812288","922060432524812288")</f>
        <v>922060432524812288</v>
      </c>
      <c r="F1298" s="10" t="s">
        <v>98</v>
      </c>
      <c r="G1298" s="10" t="n">
        <v>274</v>
      </c>
      <c r="H1298" s="10" t="n">
        <v>1103</v>
      </c>
      <c r="I1298" s="10" t="n">
        <v>27</v>
      </c>
      <c r="J1298" s="10" t="n">
        <v>0</v>
      </c>
      <c r="K1298" s="10" t="s">
        <v>20</v>
      </c>
      <c r="L1298" s="11" t="n">
        <v>41765.0001388889</v>
      </c>
      <c r="M1298" s="12"/>
      <c r="N1298" s="13" t="s">
        <v>3331</v>
      </c>
      <c r="O1298" s="9" t="str">
        <f aca="false">HYPERLINK("https://pbs.twimg.com/profile_images/553956376414654465/FrHOwQYf_normal.jpeg","View")</f>
        <v>View</v>
      </c>
      <c r="P1298" s="10"/>
    </row>
    <row r="1299" customFormat="false" ht="15.75" hidden="false" customHeight="false" outlineLevel="0" collapsed="false">
      <c r="A1299" s="6" t="n">
        <v>43030.1819097222</v>
      </c>
      <c r="B1299" s="7" t="str">
        <f aca="false">HYPERLINK("https://twitter.com/rafaelangel0812","@rafaelangel0812")</f>
        <v>@rafaelangel0812</v>
      </c>
      <c r="C1299" s="8" t="s">
        <v>438</v>
      </c>
      <c r="D1299" s="8" t="s">
        <v>3423</v>
      </c>
      <c r="E1299" s="9" t="str">
        <f aca="false">HYPERLINK("https://twitter.com/rafaelangel0812/status/922060454104633346","922060454104633346")</f>
        <v>922060454104633346</v>
      </c>
      <c r="F1299" s="10" t="s">
        <v>60</v>
      </c>
      <c r="G1299" s="10" t="n">
        <v>280</v>
      </c>
      <c r="H1299" s="10" t="n">
        <v>285</v>
      </c>
      <c r="I1299" s="10" t="n">
        <v>0</v>
      </c>
      <c r="J1299" s="10" t="n">
        <v>0</v>
      </c>
      <c r="K1299" s="10" t="s">
        <v>20</v>
      </c>
      <c r="L1299" s="11" t="n">
        <v>42695.8406597222</v>
      </c>
      <c r="M1299" s="12" t="s">
        <v>440</v>
      </c>
      <c r="N1299" s="12" t="s">
        <v>441</v>
      </c>
      <c r="O1299" s="9" t="str">
        <f aca="false">HYPERLINK("https://pbs.twimg.com/profile_images/844730128311705601/dbv74UTC_normal.jpg","View")</f>
        <v>View</v>
      </c>
      <c r="P1299" s="10"/>
    </row>
    <row r="1300" customFormat="false" ht="15.75" hidden="false" customHeight="false" outlineLevel="0" collapsed="false">
      <c r="A1300" s="6" t="n">
        <v>43030.1819791667</v>
      </c>
      <c r="B1300" s="7" t="str">
        <f aca="false">HYPERLINK("https://twitter.com/rapplerdotcom","@rapplerdotcom")</f>
        <v>@rapplerdotcom</v>
      </c>
      <c r="C1300" s="8" t="s">
        <v>1600</v>
      </c>
      <c r="D1300" s="8" t="s">
        <v>3424</v>
      </c>
      <c r="E1300" s="9" t="str">
        <f aca="false">HYPERLINK("https://twitter.com/rapplerdotcom/status/922060475390681088","922060475390681088")</f>
        <v>922060475390681088</v>
      </c>
      <c r="F1300" s="10" t="s">
        <v>1167</v>
      </c>
      <c r="G1300" s="10" t="n">
        <v>2854239</v>
      </c>
      <c r="H1300" s="10" t="n">
        <v>399</v>
      </c>
      <c r="I1300" s="10" t="n">
        <v>15</v>
      </c>
      <c r="J1300" s="10" t="n">
        <v>29</v>
      </c>
      <c r="K1300" s="10" t="s">
        <v>20</v>
      </c>
      <c r="L1300" s="11" t="n">
        <v>40730.9820601852</v>
      </c>
      <c r="M1300" s="12" t="s">
        <v>1239</v>
      </c>
      <c r="N1300" s="12" t="s">
        <v>1602</v>
      </c>
      <c r="O1300" s="9" t="str">
        <f aca="false">HYPERLINK("https://pbs.twimg.com/profile_images/882886291687223296/PBbhxROe_normal.jpg","View")</f>
        <v>View</v>
      </c>
      <c r="P1300" s="10"/>
    </row>
    <row r="1301" customFormat="false" ht="15.75" hidden="false" customHeight="false" outlineLevel="0" collapsed="false">
      <c r="A1301" s="6" t="n">
        <v>43030.1820833333</v>
      </c>
      <c r="B1301" s="7" t="str">
        <f aca="false">HYPERLINK("https://twitter.com/morissie","@morissie")</f>
        <v>@morissie</v>
      </c>
      <c r="C1301" s="8" t="s">
        <v>3425</v>
      </c>
      <c r="D1301" s="8" t="s">
        <v>3422</v>
      </c>
      <c r="E1301" s="9" t="str">
        <f aca="false">HYPERLINK("https://twitter.com/morissie/status/922060515550957568","922060515550957568")</f>
        <v>922060515550957568</v>
      </c>
      <c r="F1301" s="10" t="s">
        <v>51</v>
      </c>
      <c r="G1301" s="10" t="n">
        <v>1875</v>
      </c>
      <c r="H1301" s="10" t="n">
        <v>1860</v>
      </c>
      <c r="I1301" s="10" t="n">
        <v>27</v>
      </c>
      <c r="J1301" s="10" t="n">
        <v>0</v>
      </c>
      <c r="K1301" s="10" t="s">
        <v>20</v>
      </c>
      <c r="L1301" s="11" t="n">
        <v>40162.345787037</v>
      </c>
      <c r="M1301" s="12" t="s">
        <v>3426</v>
      </c>
      <c r="N1301" s="12" t="s">
        <v>3427</v>
      </c>
      <c r="O1301" s="9" t="str">
        <f aca="false">HYPERLINK("https://pbs.twimg.com/profile_images/882784445228437504/hp978ZN0_normal.jpg","View")</f>
        <v>View</v>
      </c>
      <c r="P1301" s="10"/>
    </row>
    <row r="1302" customFormat="false" ht="15.75" hidden="false" customHeight="false" outlineLevel="0" collapsed="false">
      <c r="A1302" s="6" t="n">
        <v>43030.1822916667</v>
      </c>
      <c r="B1302" s="7" t="str">
        <f aca="false">HYPERLINK("https://twitter.com/PaginaNuova","@PaginaNuova")</f>
        <v>@PaginaNuova</v>
      </c>
      <c r="C1302" s="8" t="s">
        <v>991</v>
      </c>
      <c r="D1302" s="8" t="s">
        <v>3428</v>
      </c>
      <c r="E1302" s="9" t="str">
        <f aca="false">HYPERLINK("https://twitter.com/PaginaNuova/status/922060589924519936","922060589924519936")</f>
        <v>922060589924519936</v>
      </c>
      <c r="F1302" s="10" t="s">
        <v>60</v>
      </c>
      <c r="G1302" s="10" t="n">
        <v>1162</v>
      </c>
      <c r="H1302" s="10" t="n">
        <v>512</v>
      </c>
      <c r="I1302" s="10" t="n">
        <v>0</v>
      </c>
      <c r="J1302" s="10" t="n">
        <v>0</v>
      </c>
      <c r="K1302" s="10" t="s">
        <v>20</v>
      </c>
      <c r="L1302" s="11" t="n">
        <v>39795.7385416667</v>
      </c>
      <c r="M1302" s="12" t="s">
        <v>993</v>
      </c>
      <c r="N1302" s="12" t="s">
        <v>994</v>
      </c>
      <c r="O1302" s="9" t="str">
        <f aca="false">HYPERLINK("https://pbs.twimg.com/profile_images/733085909457993728/CNCcL-S7_normal.jpg","View")</f>
        <v>View</v>
      </c>
      <c r="P1302" s="10"/>
    </row>
    <row r="1303" customFormat="false" ht="15.75" hidden="false" customHeight="false" outlineLevel="0" collapsed="false">
      <c r="A1303" s="6" t="n">
        <v>43030.1822916667</v>
      </c>
      <c r="B1303" s="7" t="str">
        <f aca="false">HYPERLINK("https://twitter.com/matrix____","@matrix____")</f>
        <v>@matrix____</v>
      </c>
      <c r="C1303" s="8" t="s">
        <v>3429</v>
      </c>
      <c r="D1303" s="8" t="s">
        <v>3422</v>
      </c>
      <c r="E1303" s="9" t="str">
        <f aca="false">HYPERLINK("https://twitter.com/matrix____/status/922060591916752898","922060591916752898")</f>
        <v>922060591916752898</v>
      </c>
      <c r="F1303" s="10" t="s">
        <v>25</v>
      </c>
      <c r="G1303" s="10" t="n">
        <v>3025</v>
      </c>
      <c r="H1303" s="10" t="n">
        <v>99</v>
      </c>
      <c r="I1303" s="10" t="n">
        <v>27</v>
      </c>
      <c r="J1303" s="10" t="n">
        <v>0</v>
      </c>
      <c r="K1303" s="10" t="s">
        <v>20</v>
      </c>
      <c r="L1303" s="11" t="n">
        <v>40899.4175231482</v>
      </c>
      <c r="M1303" s="12"/>
      <c r="N1303" s="12" t="s">
        <v>3430</v>
      </c>
      <c r="O1303" s="9" t="str">
        <f aca="false">HYPERLINK("https://pbs.twimg.com/profile_images/2562735424/xehron89ogped2vk6umj_normal.jpeg","View")</f>
        <v>View</v>
      </c>
      <c r="P1303" s="10"/>
    </row>
    <row r="1304" customFormat="false" ht="15.75" hidden="false" customHeight="false" outlineLevel="0" collapsed="false">
      <c r="A1304" s="6" t="n">
        <v>43030.1823958333</v>
      </c>
      <c r="B1304" s="7" t="str">
        <f aca="false">HYPERLINK("https://twitter.com/Gbaghazi","@Gbaghazi")</f>
        <v>@Gbaghazi</v>
      </c>
      <c r="C1304" s="8" t="s">
        <v>3431</v>
      </c>
      <c r="D1304" s="8" t="s">
        <v>3422</v>
      </c>
      <c r="E1304" s="9" t="str">
        <f aca="false">HYPERLINK("https://twitter.com/Gbaghazi/status/922060627300048896","922060627300048896")</f>
        <v>922060627300048896</v>
      </c>
      <c r="F1304" s="10" t="s">
        <v>51</v>
      </c>
      <c r="G1304" s="10" t="n">
        <v>374</v>
      </c>
      <c r="H1304" s="10" t="n">
        <v>1596</v>
      </c>
      <c r="I1304" s="10" t="n">
        <v>27</v>
      </c>
      <c r="J1304" s="10" t="n">
        <v>0</v>
      </c>
      <c r="K1304" s="10" t="s">
        <v>20</v>
      </c>
      <c r="L1304" s="11" t="n">
        <v>41344.2016319444</v>
      </c>
      <c r="M1304" s="12" t="s">
        <v>3432</v>
      </c>
      <c r="N1304" s="12" t="s">
        <v>3433</v>
      </c>
      <c r="O1304" s="9" t="str">
        <f aca="false">HYPERLINK("https://pbs.twimg.com/profile_images/872802678123966465/KbDrrhO6_normal.jpg","View")</f>
        <v>View</v>
      </c>
      <c r="P1304" s="10"/>
    </row>
    <row r="1305" customFormat="false" ht="15.75" hidden="false" customHeight="false" outlineLevel="0" collapsed="false">
      <c r="A1305" s="6" t="n">
        <v>43030.1824421296</v>
      </c>
      <c r="B1305" s="7" t="str">
        <f aca="false">HYPERLINK("https://twitter.com/blueingreenemo","@blueingreenemo")</f>
        <v>@blueingreenemo</v>
      </c>
      <c r="C1305" s="8" t="s">
        <v>3434</v>
      </c>
      <c r="D1305" s="8" t="s">
        <v>3422</v>
      </c>
      <c r="E1305" s="9" t="str">
        <f aca="false">HYPERLINK("https://twitter.com/blueingreenemo/status/922060643011788800","922060643011788800")</f>
        <v>922060643011788800</v>
      </c>
      <c r="F1305" s="10" t="s">
        <v>25</v>
      </c>
      <c r="G1305" s="10" t="n">
        <v>501</v>
      </c>
      <c r="H1305" s="10" t="n">
        <v>3543</v>
      </c>
      <c r="I1305" s="10" t="n">
        <v>27</v>
      </c>
      <c r="J1305" s="10" t="n">
        <v>0</v>
      </c>
      <c r="K1305" s="10" t="s">
        <v>20</v>
      </c>
      <c r="L1305" s="11" t="n">
        <v>42843.3051273148</v>
      </c>
      <c r="M1305" s="12" t="s">
        <v>3435</v>
      </c>
      <c r="N1305" s="12" t="s">
        <v>3436</v>
      </c>
      <c r="O1305" s="9" t="str">
        <f aca="false">HYPERLINK("https://pbs.twimg.com/profile_images/918587246772674560/9wX9UW6I_normal.jpg","View")</f>
        <v>View</v>
      </c>
      <c r="P1305" s="10"/>
    </row>
    <row r="1306" customFormat="false" ht="15.75" hidden="false" customHeight="false" outlineLevel="0" collapsed="false">
      <c r="A1306" s="6" t="n">
        <v>43030.1824421296</v>
      </c>
      <c r="B1306" s="7" t="str">
        <f aca="false">HYPERLINK("https://twitter.com/knifetwirls","@knifetwirls")</f>
        <v>@knifetwirls</v>
      </c>
      <c r="C1306" s="8" t="s">
        <v>3437</v>
      </c>
      <c r="D1306" s="8" t="s">
        <v>3438</v>
      </c>
      <c r="E1306" s="9" t="str">
        <f aca="false">HYPERLINK("https://twitter.com/knifetwirls/status/922060643892523008","922060643892523008")</f>
        <v>922060643892523008</v>
      </c>
      <c r="F1306" s="10" t="s">
        <v>25</v>
      </c>
      <c r="G1306" s="10" t="n">
        <v>269</v>
      </c>
      <c r="H1306" s="10" t="n">
        <v>726</v>
      </c>
      <c r="I1306" s="10" t="n">
        <v>15</v>
      </c>
      <c r="J1306" s="10" t="n">
        <v>0</v>
      </c>
      <c r="K1306" s="10" t="s">
        <v>20</v>
      </c>
      <c r="L1306" s="11" t="n">
        <v>40233.1009143519</v>
      </c>
      <c r="M1306" s="12"/>
      <c r="N1306" s="12" t="s">
        <v>3439</v>
      </c>
      <c r="O1306" s="9" t="str">
        <f aca="false">HYPERLINK("https://pbs.twimg.com/profile_images/614390641422774274/CPbxUGcW_normal.png","View")</f>
        <v>View</v>
      </c>
      <c r="P1306" s="10"/>
    </row>
    <row r="1307" customFormat="false" ht="15.75" hidden="false" customHeight="false" outlineLevel="0" collapsed="false">
      <c r="A1307" s="6" t="n">
        <v>43030.1824768519</v>
      </c>
      <c r="B1307" s="7" t="str">
        <f aca="false">HYPERLINK("https://twitter.com/mukmook","@mukmook")</f>
        <v>@mukmook</v>
      </c>
      <c r="C1307" s="8" t="s">
        <v>3440</v>
      </c>
      <c r="D1307" s="8" t="s">
        <v>3438</v>
      </c>
      <c r="E1307" s="9" t="str">
        <f aca="false">HYPERLINK("https://twitter.com/mukmook/status/922060657884676096","922060657884676096")</f>
        <v>922060657884676096</v>
      </c>
      <c r="F1307" s="10" t="s">
        <v>276</v>
      </c>
      <c r="G1307" s="10" t="n">
        <v>3130</v>
      </c>
      <c r="H1307" s="10" t="n">
        <v>1184</v>
      </c>
      <c r="I1307" s="10" t="n">
        <v>15</v>
      </c>
      <c r="J1307" s="10" t="n">
        <v>0</v>
      </c>
      <c r="K1307" s="10" t="s">
        <v>20</v>
      </c>
      <c r="L1307" s="11" t="n">
        <v>39975.9523958333</v>
      </c>
      <c r="M1307" s="12" t="s">
        <v>3441</v>
      </c>
      <c r="N1307" s="12" t="s">
        <v>3442</v>
      </c>
      <c r="O1307" s="9" t="str">
        <f aca="false">HYPERLINK("https://pbs.twimg.com/profile_images/893090107451777025/hbaGmOe1_normal.jpg","View")</f>
        <v>View</v>
      </c>
      <c r="P1307" s="10"/>
    </row>
    <row r="1308" customFormat="false" ht="15.75" hidden="false" customHeight="false" outlineLevel="0" collapsed="false">
      <c r="A1308" s="6" t="n">
        <v>43030.1827662037</v>
      </c>
      <c r="B1308" s="7" t="str">
        <f aca="false">HYPERLINK("https://twitter.com/peterpobjecky","@peterpobjecky")</f>
        <v>@peterpobjecky</v>
      </c>
      <c r="C1308" s="8" t="s">
        <v>3443</v>
      </c>
      <c r="D1308" s="8" t="s">
        <v>3422</v>
      </c>
      <c r="E1308" s="9" t="str">
        <f aca="false">HYPERLINK("https://twitter.com/peterpobjecky/status/922060760909479942","922060760909479942")</f>
        <v>922060760909479942</v>
      </c>
      <c r="F1308" s="10" t="s">
        <v>25</v>
      </c>
      <c r="G1308" s="10" t="n">
        <v>1029</v>
      </c>
      <c r="H1308" s="10" t="n">
        <v>1019</v>
      </c>
      <c r="I1308" s="10" t="n">
        <v>27</v>
      </c>
      <c r="J1308" s="10" t="n">
        <v>0</v>
      </c>
      <c r="K1308" s="10" t="s">
        <v>20</v>
      </c>
      <c r="L1308" s="11" t="n">
        <v>41142.3994328704</v>
      </c>
      <c r="M1308" s="12" t="s">
        <v>3444</v>
      </c>
      <c r="N1308" s="12"/>
      <c r="O1308" s="9" t="str">
        <f aca="false">HYPERLINK("https://pbs.twimg.com/profile_images/901830648448638977/PWRnGYoF_normal.jpg","View")</f>
        <v>View</v>
      </c>
      <c r="P1308" s="10"/>
    </row>
    <row r="1309" customFormat="false" ht="15.75" hidden="false" customHeight="false" outlineLevel="0" collapsed="false">
      <c r="A1309" s="6" t="n">
        <v>43030.1831018519</v>
      </c>
      <c r="B1309" s="7" t="str">
        <f aca="false">HYPERLINK("https://twitter.com/newsly","@newsly")</f>
        <v>@newsly</v>
      </c>
      <c r="C1309" s="8" t="s">
        <v>1281</v>
      </c>
      <c r="D1309" s="8" t="s">
        <v>3445</v>
      </c>
      <c r="E1309" s="9" t="str">
        <f aca="false">HYPERLINK("https://twitter.com/newsly/status/922060883420880896","922060883420880896")</f>
        <v>922060883420880896</v>
      </c>
      <c r="F1309" s="10" t="s">
        <v>60</v>
      </c>
      <c r="G1309" s="10" t="n">
        <v>313</v>
      </c>
      <c r="H1309" s="10" t="n">
        <v>2</v>
      </c>
      <c r="I1309" s="10" t="n">
        <v>0</v>
      </c>
      <c r="J1309" s="10" t="n">
        <v>0</v>
      </c>
      <c r="K1309" s="10" t="s">
        <v>20</v>
      </c>
      <c r="L1309" s="11" t="n">
        <v>42393.464224537</v>
      </c>
      <c r="M1309" s="12" t="s">
        <v>203</v>
      </c>
      <c r="N1309" s="12" t="s">
        <v>1283</v>
      </c>
      <c r="O1309" s="9" t="str">
        <f aca="false">HYPERLINK("https://pbs.twimg.com/profile_images/776195317549105152/HsppNplW_normal.jpg","View")</f>
        <v>View</v>
      </c>
      <c r="P1309" s="10"/>
    </row>
    <row r="1310" customFormat="false" ht="15.75" hidden="false" customHeight="false" outlineLevel="0" collapsed="false">
      <c r="A1310" s="6" t="n">
        <v>43030.1833217593</v>
      </c>
      <c r="B1310" s="7" t="str">
        <f aca="false">HYPERLINK("https://twitter.com/newslivenetwork","@newslivenetwork")</f>
        <v>@newslivenetwork</v>
      </c>
      <c r="C1310" s="8" t="s">
        <v>1668</v>
      </c>
      <c r="D1310" s="8" t="s">
        <v>3446</v>
      </c>
      <c r="E1310" s="9" t="str">
        <f aca="false">HYPERLINK("https://twitter.com/newslivenetwork/status/922060964199092224","922060964199092224")</f>
        <v>922060964199092224</v>
      </c>
      <c r="F1310" s="10" t="s">
        <v>55</v>
      </c>
      <c r="G1310" s="10" t="n">
        <v>272</v>
      </c>
      <c r="H1310" s="10" t="n">
        <v>87</v>
      </c>
      <c r="I1310" s="10" t="n">
        <v>0</v>
      </c>
      <c r="J1310" s="10" t="n">
        <v>0</v>
      </c>
      <c r="K1310" s="10" t="s">
        <v>20</v>
      </c>
      <c r="L1310" s="11" t="n">
        <v>42741.4719675926</v>
      </c>
      <c r="M1310" s="12" t="s">
        <v>1670</v>
      </c>
      <c r="N1310" s="12" t="s">
        <v>1671</v>
      </c>
      <c r="O1310" s="9" t="str">
        <f aca="false">HYPERLINK("https://pbs.twimg.com/profile_images/877414144424660992/scfhocj3_normal.jpg","View")</f>
        <v>View</v>
      </c>
      <c r="P1310" s="10"/>
    </row>
    <row r="1311" customFormat="false" ht="15.75" hidden="false" customHeight="false" outlineLevel="0" collapsed="false">
      <c r="A1311" s="6" t="n">
        <v>43030.1834143519</v>
      </c>
      <c r="B1311" s="7" t="str">
        <f aca="false">HYPERLINK("https://twitter.com/Anon_Eu","@Anon_Eu")</f>
        <v>@Anon_Eu</v>
      </c>
      <c r="C1311" s="8" t="s">
        <v>1270</v>
      </c>
      <c r="D1311" s="8" t="s">
        <v>3447</v>
      </c>
      <c r="E1311" s="9" t="str">
        <f aca="false">HYPERLINK("https://twitter.com/Anon_Eu/status/922060995689832448","922060995689832448")</f>
        <v>922060995689832448</v>
      </c>
      <c r="F1311" s="9" t="s">
        <v>1147</v>
      </c>
      <c r="G1311" s="10" t="n">
        <v>13150</v>
      </c>
      <c r="H1311" s="10" t="n">
        <v>6968</v>
      </c>
      <c r="I1311" s="10" t="n">
        <v>0</v>
      </c>
      <c r="J1311" s="10" t="n">
        <v>0</v>
      </c>
      <c r="K1311" s="10" t="s">
        <v>20</v>
      </c>
      <c r="L1311" s="11" t="n">
        <v>41161.5910416667</v>
      </c>
      <c r="M1311" s="12" t="s">
        <v>1272</v>
      </c>
      <c r="N1311" s="12" t="s">
        <v>1273</v>
      </c>
      <c r="O1311" s="9" t="str">
        <f aca="false">HYPERLINK("https://pbs.twimg.com/profile_images/839870179282669570/K5jLYmlF_normal.jpg","View")</f>
        <v>View</v>
      </c>
      <c r="P1311" s="10"/>
    </row>
    <row r="1312" customFormat="false" ht="15.75" hidden="false" customHeight="false" outlineLevel="0" collapsed="false">
      <c r="A1312" s="6" t="n">
        <v>43030.183599537</v>
      </c>
      <c r="B1312" s="7" t="str">
        <f aca="false">HYPERLINK("https://twitter.com/BattleOfTyr","@BattleOfTyr")</f>
        <v>@BattleOfTyr</v>
      </c>
      <c r="C1312" s="8" t="s">
        <v>3448</v>
      </c>
      <c r="D1312" s="8" t="s">
        <v>3318</v>
      </c>
      <c r="E1312" s="9" t="str">
        <f aca="false">HYPERLINK("https://twitter.com/BattleOfTyr/status/922061065952915456","922061065952915456")</f>
        <v>922061065952915456</v>
      </c>
      <c r="F1312" s="10" t="s">
        <v>51</v>
      </c>
      <c r="G1312" s="10" t="n">
        <v>159</v>
      </c>
      <c r="H1312" s="10" t="n">
        <v>620</v>
      </c>
      <c r="I1312" s="10" t="n">
        <v>4</v>
      </c>
      <c r="J1312" s="10" t="n">
        <v>0</v>
      </c>
      <c r="K1312" s="10" t="s">
        <v>20</v>
      </c>
      <c r="L1312" s="11" t="n">
        <v>40670.5792708333</v>
      </c>
      <c r="M1312" s="12" t="s">
        <v>3449</v>
      </c>
      <c r="N1312" s="12" t="s">
        <v>3450</v>
      </c>
      <c r="O1312" s="9" t="str">
        <f aca="false">HYPERLINK("https://pbs.twimg.com/profile_images/905791605864615936/BvbjAnhY_normal.jpg","View")</f>
        <v>View</v>
      </c>
      <c r="P1312" s="10"/>
    </row>
    <row r="1313" customFormat="false" ht="15.75" hidden="false" customHeight="false" outlineLevel="0" collapsed="false">
      <c r="A1313" s="6" t="n">
        <v>43030.1838078704</v>
      </c>
      <c r="B1313" s="7" t="str">
        <f aca="false">HYPERLINK("https://twitter.com/mukmook","@mukmook")</f>
        <v>@mukmook</v>
      </c>
      <c r="C1313" s="8" t="s">
        <v>3440</v>
      </c>
      <c r="D1313" s="8" t="s">
        <v>3295</v>
      </c>
      <c r="E1313" s="9" t="str">
        <f aca="false">HYPERLINK("https://twitter.com/mukmook/status/922061138103115776","922061138103115776")</f>
        <v>922061138103115776</v>
      </c>
      <c r="F1313" s="10" t="s">
        <v>276</v>
      </c>
      <c r="G1313" s="10" t="n">
        <v>3130</v>
      </c>
      <c r="H1313" s="10" t="n">
        <v>1184</v>
      </c>
      <c r="I1313" s="10" t="n">
        <v>71</v>
      </c>
      <c r="J1313" s="10" t="n">
        <v>0</v>
      </c>
      <c r="K1313" s="10" t="s">
        <v>20</v>
      </c>
      <c r="L1313" s="11" t="n">
        <v>39975.9523958333</v>
      </c>
      <c r="M1313" s="12" t="s">
        <v>3441</v>
      </c>
      <c r="N1313" s="12" t="s">
        <v>3442</v>
      </c>
      <c r="O1313" s="9" t="str">
        <f aca="false">HYPERLINK("https://pbs.twimg.com/profile_images/893090107451777025/hbaGmOe1_normal.jpg","View")</f>
        <v>View</v>
      </c>
      <c r="P1313" s="10"/>
    </row>
    <row r="1314" customFormat="false" ht="15.75" hidden="false" customHeight="false" outlineLevel="0" collapsed="false">
      <c r="A1314" s="6" t="n">
        <v>43030.1838888889</v>
      </c>
      <c r="B1314" s="7" t="str">
        <f aca="false">HYPERLINK("https://twitter.com/MaterialBee","@MaterialBee")</f>
        <v>@MaterialBee</v>
      </c>
      <c r="C1314" s="14" t="s">
        <v>3451</v>
      </c>
      <c r="D1314" s="8" t="s">
        <v>3422</v>
      </c>
      <c r="E1314" s="9" t="str">
        <f aca="false">HYPERLINK("https://twitter.com/MaterialBee/status/922061169564585984","922061169564585984")</f>
        <v>922061169564585984</v>
      </c>
      <c r="F1314" s="10" t="s">
        <v>51</v>
      </c>
      <c r="G1314" s="10" t="n">
        <v>627</v>
      </c>
      <c r="H1314" s="10" t="n">
        <v>555</v>
      </c>
      <c r="I1314" s="10" t="n">
        <v>27</v>
      </c>
      <c r="J1314" s="10" t="n">
        <v>0</v>
      </c>
      <c r="K1314" s="10" t="s">
        <v>20</v>
      </c>
      <c r="L1314" s="11" t="n">
        <v>40305.683900463</v>
      </c>
      <c r="M1314" s="13" t="s">
        <v>3452</v>
      </c>
      <c r="N1314" s="13" t="s">
        <v>3453</v>
      </c>
      <c r="O1314" s="9" t="str">
        <f aca="false">HYPERLINK("https://pbs.twimg.com/profile_images/1241364770/top_hasu_normal.png","View")</f>
        <v>View</v>
      </c>
      <c r="P1314" s="10"/>
    </row>
    <row r="1315" customFormat="false" ht="15.75" hidden="false" customHeight="false" outlineLevel="0" collapsed="false">
      <c r="A1315" s="6" t="n">
        <v>43030.1838888889</v>
      </c>
      <c r="B1315" s="7" t="str">
        <f aca="false">HYPERLINK("https://twitter.com/lily_karga","@lily_karga")</f>
        <v>@lily_karga</v>
      </c>
      <c r="C1315" s="8" t="s">
        <v>3454</v>
      </c>
      <c r="D1315" s="8" t="s">
        <v>3422</v>
      </c>
      <c r="E1315" s="9" t="str">
        <f aca="false">HYPERLINK("https://twitter.com/lily_karga/status/922061170105815040","922061170105815040")</f>
        <v>922061170105815040</v>
      </c>
      <c r="F1315" s="10" t="s">
        <v>98</v>
      </c>
      <c r="G1315" s="10" t="n">
        <v>229</v>
      </c>
      <c r="H1315" s="10" t="n">
        <v>385</v>
      </c>
      <c r="I1315" s="10" t="n">
        <v>27</v>
      </c>
      <c r="J1315" s="10" t="n">
        <v>0</v>
      </c>
      <c r="K1315" s="10" t="s">
        <v>20</v>
      </c>
      <c r="L1315" s="11" t="n">
        <v>39877.1616319444</v>
      </c>
      <c r="M1315" s="12" t="s">
        <v>3455</v>
      </c>
      <c r="N1315" s="12" t="s">
        <v>3456</v>
      </c>
      <c r="O1315" s="9" t="str">
        <f aca="false">HYPERLINK("https://pbs.twimg.com/profile_images/922163102434590723/kw0NA940_normal.jpg","View")</f>
        <v>View</v>
      </c>
      <c r="P1315" s="10"/>
    </row>
    <row r="1316" customFormat="false" ht="15.75" hidden="false" customHeight="false" outlineLevel="0" collapsed="false">
      <c r="A1316" s="6" t="n">
        <v>43030.1840046296</v>
      </c>
      <c r="B1316" s="7" t="str">
        <f aca="false">HYPERLINK("https://twitter.com/nimbosa","@nimbosa")</f>
        <v>@nimbosa</v>
      </c>
      <c r="C1316" s="8" t="s">
        <v>3457</v>
      </c>
      <c r="D1316" s="8" t="s">
        <v>3438</v>
      </c>
      <c r="E1316" s="9" t="str">
        <f aca="false">HYPERLINK("https://twitter.com/nimbosa/status/922061210228363265","922061210228363265")</f>
        <v>922061210228363265</v>
      </c>
      <c r="F1316" s="10" t="s">
        <v>3458</v>
      </c>
      <c r="G1316" s="10" t="n">
        <v>2157</v>
      </c>
      <c r="H1316" s="10" t="n">
        <v>2996</v>
      </c>
      <c r="I1316" s="10" t="n">
        <v>15</v>
      </c>
      <c r="J1316" s="10" t="n">
        <v>0</v>
      </c>
      <c r="K1316" s="10" t="s">
        <v>20</v>
      </c>
      <c r="L1316" s="11" t="n">
        <v>39688.8645949074</v>
      </c>
      <c r="M1316" s="12" t="s">
        <v>3459</v>
      </c>
      <c r="N1316" s="12" t="s">
        <v>3460</v>
      </c>
      <c r="O1316" s="9" t="str">
        <f aca="false">HYPERLINK("https://pbs.twimg.com/profile_images/851113235554091008/3FHO485l_normal.jpg","View")</f>
        <v>View</v>
      </c>
      <c r="P1316" s="10"/>
    </row>
    <row r="1317" customFormat="false" ht="15.75" hidden="false" customHeight="false" outlineLevel="0" collapsed="false">
      <c r="A1317" s="6" t="n">
        <v>43030.1841087963</v>
      </c>
      <c r="B1317" s="7" t="str">
        <f aca="false">HYPERLINK("https://twitter.com/nournewsnet","@nournewsnet")</f>
        <v>@nournewsnet</v>
      </c>
      <c r="C1317" s="8" t="s">
        <v>3461</v>
      </c>
      <c r="D1317" s="8" t="s">
        <v>3422</v>
      </c>
      <c r="E1317" s="9" t="str">
        <f aca="false">HYPERLINK("https://twitter.com/nournewsnet/status/922061249868951552","922061249868951552")</f>
        <v>922061249868951552</v>
      </c>
      <c r="F1317" s="10" t="s">
        <v>51</v>
      </c>
      <c r="G1317" s="10" t="n">
        <v>813</v>
      </c>
      <c r="H1317" s="10" t="n">
        <v>589</v>
      </c>
      <c r="I1317" s="10" t="n">
        <v>27</v>
      </c>
      <c r="J1317" s="10" t="n">
        <v>0</v>
      </c>
      <c r="K1317" s="10" t="s">
        <v>20</v>
      </c>
      <c r="L1317" s="11" t="n">
        <v>40056.6244097222</v>
      </c>
      <c r="M1317" s="12" t="s">
        <v>1754</v>
      </c>
      <c r="N1317" s="12" t="s">
        <v>3462</v>
      </c>
      <c r="O1317" s="9" t="str">
        <f aca="false">HYPERLINK("https://pbs.twimg.com/profile_images/914161434635972611/BBAK69A9_normal.jpg","View")</f>
        <v>View</v>
      </c>
      <c r="P1317" s="10"/>
    </row>
    <row r="1318" customFormat="false" ht="15.75" hidden="false" customHeight="false" outlineLevel="0" collapsed="false">
      <c r="A1318" s="6" t="n">
        <v>43030.1841782408</v>
      </c>
      <c r="B1318" s="7" t="str">
        <f aca="false">HYPERLINK("https://twitter.com/IBTimesUKBiz","@IBTimesUKBiz")</f>
        <v>@IBTimesUKBiz</v>
      </c>
      <c r="C1318" s="8" t="s">
        <v>3463</v>
      </c>
      <c r="D1318" s="8" t="s">
        <v>3464</v>
      </c>
      <c r="E1318" s="9" t="str">
        <f aca="false">HYPERLINK("https://twitter.com/IBTimesUKBiz/status/922061273889730562","922061273889730562")</f>
        <v>922061273889730562</v>
      </c>
      <c r="F1318" s="10" t="s">
        <v>39</v>
      </c>
      <c r="G1318" s="10" t="n">
        <v>1667</v>
      </c>
      <c r="H1318" s="10" t="n">
        <v>228</v>
      </c>
      <c r="I1318" s="10" t="n">
        <v>1</v>
      </c>
      <c r="J1318" s="10" t="n">
        <v>0</v>
      </c>
      <c r="K1318" s="10" t="s">
        <v>20</v>
      </c>
      <c r="L1318" s="11" t="n">
        <v>41032.2300462963</v>
      </c>
      <c r="M1318" s="12" t="s">
        <v>893</v>
      </c>
      <c r="N1318" s="12" t="s">
        <v>3465</v>
      </c>
      <c r="O1318" s="9" t="str">
        <f aca="false">HYPERLINK("https://pbs.twimg.com/profile_images/696672865291259904/fRobKsFo_normal.jpg","View")</f>
        <v>View</v>
      </c>
      <c r="P1318" s="10"/>
    </row>
    <row r="1319" customFormat="false" ht="15.75" hidden="false" customHeight="false" outlineLevel="0" collapsed="false">
      <c r="A1319" s="6" t="n">
        <v>43030.1844097222</v>
      </c>
      <c r="B1319" s="7" t="str">
        <f aca="false">HYPERLINK("https://twitter.com/Genghiskenn","@Genghiskenn")</f>
        <v>@Genghiskenn</v>
      </c>
      <c r="C1319" s="8" t="s">
        <v>3466</v>
      </c>
      <c r="D1319" s="8" t="s">
        <v>3438</v>
      </c>
      <c r="E1319" s="9" t="str">
        <f aca="false">HYPERLINK("https://twitter.com/Genghiskenn/status/922061358992015360","922061358992015360")</f>
        <v>922061358992015360</v>
      </c>
      <c r="F1319" s="10" t="s">
        <v>39</v>
      </c>
      <c r="G1319" s="10" t="n">
        <v>763</v>
      </c>
      <c r="H1319" s="10" t="n">
        <v>322</v>
      </c>
      <c r="I1319" s="10" t="n">
        <v>15</v>
      </c>
      <c r="J1319" s="10" t="n">
        <v>0</v>
      </c>
      <c r="K1319" s="10" t="s">
        <v>20</v>
      </c>
      <c r="L1319" s="11" t="n">
        <v>41835.1631018519</v>
      </c>
      <c r="M1319" s="12" t="s">
        <v>3467</v>
      </c>
      <c r="N1319" s="12" t="s">
        <v>3468</v>
      </c>
      <c r="O1319" s="9" t="str">
        <f aca="false">HYPERLINK("https://pbs.twimg.com/profile_images/861575172410679296/BI6bxPHi_normal.jpg","View")</f>
        <v>View</v>
      </c>
      <c r="P1319" s="10"/>
    </row>
    <row r="1320" customFormat="false" ht="15.75" hidden="false" customHeight="false" outlineLevel="0" collapsed="false">
      <c r="A1320" s="6" t="n">
        <v>43030.1844560185</v>
      </c>
      <c r="B1320" s="7" t="str">
        <f aca="false">HYPERLINK("https://twitter.com/STcom","@STcom")</f>
        <v>@STcom</v>
      </c>
      <c r="C1320" s="8" t="s">
        <v>3291</v>
      </c>
      <c r="D1320" s="8" t="s">
        <v>3469</v>
      </c>
      <c r="E1320" s="9" t="str">
        <f aca="false">HYPERLINK("https://twitter.com/STcom/status/922061374368317441","922061374368317441")</f>
        <v>922061374368317441</v>
      </c>
      <c r="F1320" s="10" t="s">
        <v>276</v>
      </c>
      <c r="G1320" s="10" t="n">
        <v>957122</v>
      </c>
      <c r="H1320" s="10" t="n">
        <v>126</v>
      </c>
      <c r="I1320" s="10" t="n">
        <v>19</v>
      </c>
      <c r="J1320" s="10" t="n">
        <v>17</v>
      </c>
      <c r="K1320" s="10" t="s">
        <v>20</v>
      </c>
      <c r="L1320" s="11" t="n">
        <v>39937.9919328704</v>
      </c>
      <c r="M1320" s="12" t="s">
        <v>186</v>
      </c>
      <c r="N1320" s="12" t="s">
        <v>3293</v>
      </c>
      <c r="O1320" s="9" t="str">
        <f aca="false">HYPERLINK("https://pbs.twimg.com/profile_images/630988935720648704/HkmsHBTM_normal.jpg","View")</f>
        <v>View</v>
      </c>
      <c r="P1320" s="10"/>
    </row>
    <row r="1321" customFormat="false" ht="15.75" hidden="false" customHeight="false" outlineLevel="0" collapsed="false">
      <c r="A1321" s="6" t="n">
        <v>43030.1844907407</v>
      </c>
      <c r="B1321" s="7" t="str">
        <f aca="false">HYPERLINK("https://twitter.com/debralenora","@debralenora")</f>
        <v>@debralenora</v>
      </c>
      <c r="C1321" s="8" t="s">
        <v>3470</v>
      </c>
      <c r="D1321" s="8" t="s">
        <v>3422</v>
      </c>
      <c r="E1321" s="9" t="str">
        <f aca="false">HYPERLINK("https://twitter.com/debralenora/status/922061385470799872","922061385470799872")</f>
        <v>922061385470799872</v>
      </c>
      <c r="F1321" s="10" t="s">
        <v>25</v>
      </c>
      <c r="G1321" s="10" t="n">
        <v>2030</v>
      </c>
      <c r="H1321" s="10" t="n">
        <v>2697</v>
      </c>
      <c r="I1321" s="10" t="n">
        <v>27</v>
      </c>
      <c r="J1321" s="10" t="n">
        <v>0</v>
      </c>
      <c r="K1321" s="10" t="s">
        <v>20</v>
      </c>
      <c r="L1321" s="11" t="n">
        <v>41105.8369560185</v>
      </c>
      <c r="M1321" s="12" t="s">
        <v>312</v>
      </c>
      <c r="N1321" s="12" t="s">
        <v>3471</v>
      </c>
      <c r="O1321" s="9" t="str">
        <f aca="false">HYPERLINK("https://pbs.twimg.com/profile_images/840284842621308929/npAw6Bcr_normal.jpg","View")</f>
        <v>View</v>
      </c>
      <c r="P1321" s="10"/>
    </row>
    <row r="1322" customFormat="false" ht="15.75" hidden="false" customHeight="false" outlineLevel="0" collapsed="false">
      <c r="A1322" s="6" t="n">
        <v>43030.1845138889</v>
      </c>
      <c r="B1322" s="7" t="str">
        <f aca="false">HYPERLINK("https://twitter.com/matthewsotalik1","@matthewsotalik1")</f>
        <v>@matthewsotalik1</v>
      </c>
      <c r="C1322" s="8" t="s">
        <v>3472</v>
      </c>
      <c r="D1322" s="8" t="s">
        <v>3473</v>
      </c>
      <c r="E1322" s="9" t="str">
        <f aca="false">HYPERLINK("https://twitter.com/matthewsotalik1/status/922061394761146368","922061394761146368")</f>
        <v>922061394761146368</v>
      </c>
      <c r="F1322" s="9" t="s">
        <v>979</v>
      </c>
      <c r="G1322" s="10" t="n">
        <v>125</v>
      </c>
      <c r="H1322" s="10" t="n">
        <v>557</v>
      </c>
      <c r="I1322" s="10" t="n">
        <v>0</v>
      </c>
      <c r="J1322" s="10" t="n">
        <v>0</v>
      </c>
      <c r="K1322" s="10" t="s">
        <v>20</v>
      </c>
      <c r="L1322" s="11" t="n">
        <v>42496.9921990741</v>
      </c>
      <c r="M1322" s="12" t="s">
        <v>3474</v>
      </c>
      <c r="N1322" s="12"/>
      <c r="O1322" s="9" t="str">
        <f aca="false">HYPERLINK("https://pbs.twimg.com/profile_images/728839749822259200/hoqaHTjC_normal.jpg","View")</f>
        <v>View</v>
      </c>
      <c r="P1322" s="10"/>
    </row>
    <row r="1323" customFormat="false" ht="15.75" hidden="false" customHeight="false" outlineLevel="0" collapsed="false">
      <c r="A1323" s="6" t="n">
        <v>43030.1846296296</v>
      </c>
      <c r="B1323" s="7" t="str">
        <f aca="false">HYPERLINK("https://twitter.com/garyvirgilpres","@garyvirgilpres")</f>
        <v>@garyvirgilpres</v>
      </c>
      <c r="C1323" s="8" t="s">
        <v>3475</v>
      </c>
      <c r="D1323" s="8" t="s">
        <v>3476</v>
      </c>
      <c r="E1323" s="9" t="str">
        <f aca="false">HYPERLINK("https://twitter.com/garyvirgilpres/status/922061439657021440","922061439657021440")</f>
        <v>922061439657021440</v>
      </c>
      <c r="F1323" s="10" t="s">
        <v>39</v>
      </c>
      <c r="G1323" s="10" t="n">
        <v>1206</v>
      </c>
      <c r="H1323" s="10" t="n">
        <v>1161</v>
      </c>
      <c r="I1323" s="10" t="n">
        <v>0</v>
      </c>
      <c r="J1323" s="10" t="n">
        <v>0</v>
      </c>
      <c r="K1323" s="10" t="s">
        <v>20</v>
      </c>
      <c r="L1323" s="11" t="n">
        <v>41563.7471643519</v>
      </c>
      <c r="M1323" s="12" t="s">
        <v>3477</v>
      </c>
      <c r="N1323" s="12" t="s">
        <v>3478</v>
      </c>
      <c r="O1323" s="9" t="str">
        <f aca="false">HYPERLINK("https://pbs.twimg.com/profile_images/911694721386414080/kBPmrw8b_normal.jpg","View")</f>
        <v>View</v>
      </c>
      <c r="P1323" s="10"/>
    </row>
    <row r="1324" customFormat="false" ht="15.75" hidden="false" customHeight="false" outlineLevel="0" collapsed="false">
      <c r="A1324" s="6" t="n">
        <v>43030.1848263889</v>
      </c>
      <c r="B1324" s="7" t="str">
        <f aca="false">HYPERLINK("https://twitter.com/BenABrittain","@BenABrittain")</f>
        <v>@BenABrittain</v>
      </c>
      <c r="C1324" s="8" t="s">
        <v>3479</v>
      </c>
      <c r="D1324" s="8" t="s">
        <v>3295</v>
      </c>
      <c r="E1324" s="9" t="str">
        <f aca="false">HYPERLINK("https://twitter.com/BenABrittain/status/922061508980498432","922061508980498432")</f>
        <v>922061508980498432</v>
      </c>
      <c r="F1324" s="10" t="s">
        <v>51</v>
      </c>
      <c r="G1324" s="10" t="n">
        <v>1384</v>
      </c>
      <c r="H1324" s="10" t="n">
        <v>653</v>
      </c>
      <c r="I1324" s="10" t="n">
        <v>71</v>
      </c>
      <c r="J1324" s="10" t="n">
        <v>0</v>
      </c>
      <c r="K1324" s="10" t="s">
        <v>20</v>
      </c>
      <c r="L1324" s="11" t="n">
        <v>40548.1591319444</v>
      </c>
      <c r="M1324" s="12" t="s">
        <v>3480</v>
      </c>
      <c r="N1324" s="12" t="s">
        <v>3481</v>
      </c>
      <c r="O1324" s="9" t="str">
        <f aca="false">HYPERLINK("https://pbs.twimg.com/profile_images/920698764687527936/Mf53qBsM_normal.jpg","View")</f>
        <v>View</v>
      </c>
      <c r="P1324" s="10"/>
    </row>
    <row r="1325" customFormat="false" ht="15.75" hidden="false" customHeight="false" outlineLevel="0" collapsed="false">
      <c r="A1325" s="6" t="n">
        <v>43030.1848611111</v>
      </c>
      <c r="B1325" s="7" t="str">
        <f aca="false">HYPERLINK("https://twitter.com/Mart1naGaloo","@Mart1naGaloo")</f>
        <v>@Mart1naGaloo</v>
      </c>
      <c r="C1325" s="8" t="s">
        <v>3482</v>
      </c>
      <c r="D1325" s="8" t="s">
        <v>3422</v>
      </c>
      <c r="E1325" s="9" t="str">
        <f aca="false">HYPERLINK("https://twitter.com/Mart1naGaloo/status/922061520661635072","922061520661635072")</f>
        <v>922061520661635072</v>
      </c>
      <c r="F1325" s="10" t="s">
        <v>51</v>
      </c>
      <c r="G1325" s="10" t="n">
        <v>306</v>
      </c>
      <c r="H1325" s="10" t="n">
        <v>2133</v>
      </c>
      <c r="I1325" s="10" t="n">
        <v>27</v>
      </c>
      <c r="J1325" s="10" t="n">
        <v>0</v>
      </c>
      <c r="K1325" s="10" t="s">
        <v>20</v>
      </c>
      <c r="L1325" s="11" t="n">
        <v>41530.2928587963</v>
      </c>
      <c r="M1325" s="12" t="s">
        <v>3483</v>
      </c>
      <c r="N1325" s="12" t="s">
        <v>3484</v>
      </c>
      <c r="O1325" s="9" t="str">
        <f aca="false">HYPERLINK("https://pbs.twimg.com/profile_images/774253276086820864/qK90LisH_normal.jpg","View")</f>
        <v>View</v>
      </c>
      <c r="P1325" s="10"/>
    </row>
    <row r="1326" customFormat="false" ht="15.75" hidden="false" customHeight="false" outlineLevel="0" collapsed="false">
      <c r="A1326" s="6" t="n">
        <v>43030.1851273148</v>
      </c>
      <c r="B1326" s="7" t="str">
        <f aca="false">HYPERLINK("https://twitter.com/NarrendraM","@NarrendraM")</f>
        <v>@NarrendraM</v>
      </c>
      <c r="C1326" s="8" t="s">
        <v>468</v>
      </c>
      <c r="D1326" s="8" t="s">
        <v>3485</v>
      </c>
      <c r="E1326" s="9" t="str">
        <f aca="false">HYPERLINK("https://twitter.com/NarrendraM/status/922061617193541632","922061617193541632")</f>
        <v>922061617193541632</v>
      </c>
      <c r="F1326" s="10" t="s">
        <v>60</v>
      </c>
      <c r="G1326" s="10" t="n">
        <v>1999</v>
      </c>
      <c r="H1326" s="10" t="n">
        <v>252</v>
      </c>
      <c r="I1326" s="10" t="n">
        <v>0</v>
      </c>
      <c r="J1326" s="10" t="n">
        <v>0</v>
      </c>
      <c r="K1326" s="10" t="s">
        <v>20</v>
      </c>
      <c r="L1326" s="11" t="n">
        <v>42471.0737037037</v>
      </c>
      <c r="M1326" s="12" t="s">
        <v>253</v>
      </c>
      <c r="N1326" s="12" t="s">
        <v>470</v>
      </c>
      <c r="O1326" s="9" t="str">
        <f aca="false">HYPERLINK("https://pbs.twimg.com/profile_images/743939643738034176/WkGloI0u_normal.jpg","View")</f>
        <v>View</v>
      </c>
      <c r="P1326" s="10"/>
    </row>
    <row r="1327" customFormat="false" ht="15.75" hidden="false" customHeight="false" outlineLevel="0" collapsed="false">
      <c r="A1327" s="6" t="n">
        <v>43030.1851736111</v>
      </c>
      <c r="B1327" s="7" t="str">
        <f aca="false">HYPERLINK("https://twitter.com/Carlanun","@Carlanun")</f>
        <v>@Carlanun</v>
      </c>
      <c r="C1327" s="8" t="s">
        <v>1300</v>
      </c>
      <c r="D1327" s="8" t="s">
        <v>3422</v>
      </c>
      <c r="E1327" s="9" t="str">
        <f aca="false">HYPERLINK("https://twitter.com/Carlanun/status/922061633639170048","922061633639170048")</f>
        <v>922061633639170048</v>
      </c>
      <c r="F1327" s="10" t="s">
        <v>39</v>
      </c>
      <c r="G1327" s="10" t="n">
        <v>1100</v>
      </c>
      <c r="H1327" s="10" t="n">
        <v>343</v>
      </c>
      <c r="I1327" s="10" t="n">
        <v>27</v>
      </c>
      <c r="J1327" s="10" t="n">
        <v>0</v>
      </c>
      <c r="K1327" s="10" t="s">
        <v>20</v>
      </c>
      <c r="L1327" s="11" t="n">
        <v>40615.2164236111</v>
      </c>
      <c r="M1327" s="12" t="s">
        <v>1301</v>
      </c>
      <c r="N1327" s="12" t="s">
        <v>1302</v>
      </c>
      <c r="O1327" s="9" t="str">
        <f aca="false">HYPERLINK("https://pbs.twimg.com/profile_images/918472430141825024/F5a3RyiV_normal.jpg","View")</f>
        <v>View</v>
      </c>
      <c r="P1327" s="10"/>
    </row>
    <row r="1328" customFormat="false" ht="15.75" hidden="false" customHeight="false" outlineLevel="0" collapsed="false">
      <c r="A1328" s="6" t="n">
        <v>43030.1851851852</v>
      </c>
      <c r="B1328" s="7" t="str">
        <f aca="false">HYPERLINK("https://twitter.com/deCespedes","@deCespedes")</f>
        <v>@deCespedes</v>
      </c>
      <c r="C1328" s="8" t="s">
        <v>3486</v>
      </c>
      <c r="D1328" s="8" t="s">
        <v>3487</v>
      </c>
      <c r="E1328" s="9" t="str">
        <f aca="false">HYPERLINK("https://twitter.com/deCespedes/status/922061638349545472","922061638349545472")</f>
        <v>922061638349545472</v>
      </c>
      <c r="F1328" s="10" t="s">
        <v>51</v>
      </c>
      <c r="G1328" s="10" t="n">
        <v>3846</v>
      </c>
      <c r="H1328" s="10" t="n">
        <v>2589</v>
      </c>
      <c r="I1328" s="10" t="n">
        <v>2</v>
      </c>
      <c r="J1328" s="10" t="n">
        <v>2</v>
      </c>
      <c r="K1328" s="10" t="s">
        <v>20</v>
      </c>
      <c r="L1328" s="11" t="n">
        <v>40578.1775347222</v>
      </c>
      <c r="M1328" s="12" t="s">
        <v>3488</v>
      </c>
      <c r="N1328" s="12" t="s">
        <v>3489</v>
      </c>
      <c r="O1328" s="9" t="str">
        <f aca="false">HYPERLINK("https://pbs.twimg.com/profile_images/903967120106643457/hImq2x_K_normal.jpg","View")</f>
        <v>View</v>
      </c>
      <c r="P1328" s="10"/>
    </row>
    <row r="1329" customFormat="false" ht="15.75" hidden="false" customHeight="false" outlineLevel="0" collapsed="false">
      <c r="A1329" s="6" t="n">
        <v>43030.1852199074</v>
      </c>
      <c r="B1329" s="7" t="str">
        <f aca="false">HYPERLINK("https://twitter.com/Nkiritu","@Nkiritu")</f>
        <v>@Nkiritu</v>
      </c>
      <c r="C1329" s="8" t="s">
        <v>3490</v>
      </c>
      <c r="D1329" s="8" t="s">
        <v>3491</v>
      </c>
      <c r="E1329" s="9" t="str">
        <f aca="false">HYPERLINK("https://twitter.com/Nkiritu/status/922061650164944896","922061650164944896")</f>
        <v>922061650164944896</v>
      </c>
      <c r="F1329" s="10" t="s">
        <v>39</v>
      </c>
      <c r="G1329" s="10" t="n">
        <v>191</v>
      </c>
      <c r="H1329" s="10" t="n">
        <v>287</v>
      </c>
      <c r="I1329" s="10" t="n">
        <v>0</v>
      </c>
      <c r="J1329" s="10" t="n">
        <v>0</v>
      </c>
      <c r="K1329" s="10" t="s">
        <v>20</v>
      </c>
      <c r="L1329" s="11" t="n">
        <v>40448.9576851852</v>
      </c>
      <c r="M1329" s="12" t="s">
        <v>3492</v>
      </c>
      <c r="N1329" s="12"/>
      <c r="O1329" s="9" t="str">
        <f aca="false">HYPERLINK("https://pbs.twimg.com/profile_images/556084660174745601/fvZevlfw_normal.jpeg","View")</f>
        <v>View</v>
      </c>
      <c r="P1329" s="10"/>
    </row>
    <row r="1330" customFormat="false" ht="15.75" hidden="false" customHeight="false" outlineLevel="0" collapsed="false">
      <c r="A1330" s="6" t="n">
        <v>43030.1852662037</v>
      </c>
      <c r="B1330" s="7" t="str">
        <f aca="false">HYPERLINK("https://twitter.com/YusufDFI","@YusufDFI")</f>
        <v>@YusufDFI</v>
      </c>
      <c r="C1330" s="8" t="s">
        <v>3493</v>
      </c>
      <c r="D1330" s="8" t="s">
        <v>3295</v>
      </c>
      <c r="E1330" s="9" t="str">
        <f aca="false">HYPERLINK("https://twitter.com/YusufDFI/status/922061669047480320","922061669047480320")</f>
        <v>922061669047480320</v>
      </c>
      <c r="F1330" s="10" t="s">
        <v>51</v>
      </c>
      <c r="G1330" s="10" t="n">
        <v>16096</v>
      </c>
      <c r="H1330" s="10" t="n">
        <v>1120</v>
      </c>
      <c r="I1330" s="10" t="n">
        <v>71</v>
      </c>
      <c r="J1330" s="10" t="n">
        <v>0</v>
      </c>
      <c r="K1330" s="10" t="s">
        <v>20</v>
      </c>
      <c r="L1330" s="11" t="n">
        <v>41348.0859837963</v>
      </c>
      <c r="M1330" s="12" t="s">
        <v>1104</v>
      </c>
      <c r="N1330" s="12" t="s">
        <v>3494</v>
      </c>
      <c r="O1330" s="9" t="str">
        <f aca="false">HYPERLINK("https://pbs.twimg.com/profile_images/906765284387594240/n958b9Ks_normal.jpg","View")</f>
        <v>View</v>
      </c>
      <c r="P1330" s="10"/>
    </row>
    <row r="1331" customFormat="false" ht="15.75" hidden="false" customHeight="false" outlineLevel="0" collapsed="false">
      <c r="A1331" s="6" t="n">
        <v>43030.1854050926</v>
      </c>
      <c r="B1331" s="7" t="str">
        <f aca="false">HYPERLINK("https://twitter.com/AlanLondonCity","@AlanLondonCity")</f>
        <v>@AlanLondonCity</v>
      </c>
      <c r="C1331" s="8" t="s">
        <v>3495</v>
      </c>
      <c r="D1331" s="8" t="s">
        <v>3422</v>
      </c>
      <c r="E1331" s="9" t="str">
        <f aca="false">HYPERLINK("https://twitter.com/AlanLondonCity/status/922061717055725569","922061717055725569")</f>
        <v>922061717055725569</v>
      </c>
      <c r="F1331" s="10" t="s">
        <v>51</v>
      </c>
      <c r="G1331" s="10" t="n">
        <v>56977</v>
      </c>
      <c r="H1331" s="10" t="n">
        <v>114</v>
      </c>
      <c r="I1331" s="10" t="n">
        <v>27</v>
      </c>
      <c r="J1331" s="10" t="n">
        <v>0</v>
      </c>
      <c r="K1331" s="10" t="s">
        <v>20</v>
      </c>
      <c r="L1331" s="11" t="n">
        <v>42990.5023958333</v>
      </c>
      <c r="M1331" s="12" t="s">
        <v>182</v>
      </c>
      <c r="N1331" s="12" t="s">
        <v>3496</v>
      </c>
      <c r="O1331" s="9" t="str">
        <f aca="false">HYPERLINK("https://pbs.twimg.com/profile_images/907681852466573312/c3GaQ5WR_normal.jpg","View")</f>
        <v>View</v>
      </c>
      <c r="P1331" s="10"/>
    </row>
    <row r="1332" customFormat="false" ht="15.75" hidden="false" customHeight="false" outlineLevel="0" collapsed="false">
      <c r="A1332" s="6" t="n">
        <v>43030.1854976852</v>
      </c>
      <c r="B1332" s="7" t="str">
        <f aca="false">HYPERLINK("https://twitter.com/Apocrifos","@Apocrifos")</f>
        <v>@Apocrifos</v>
      </c>
      <c r="C1332" s="8" t="s">
        <v>1297</v>
      </c>
      <c r="D1332" s="8" t="s">
        <v>3497</v>
      </c>
      <c r="E1332" s="9" t="str">
        <f aca="false">HYPERLINK("https://twitter.com/Apocrifos/status/922061753122508800","922061753122508800")</f>
        <v>922061753122508800</v>
      </c>
      <c r="F1332" s="10" t="s">
        <v>60</v>
      </c>
      <c r="G1332" s="10" t="n">
        <v>777</v>
      </c>
      <c r="H1332" s="10" t="n">
        <v>508</v>
      </c>
      <c r="I1332" s="10" t="n">
        <v>0</v>
      </c>
      <c r="J1332" s="10" t="n">
        <v>0</v>
      </c>
      <c r="K1332" s="10" t="s">
        <v>20</v>
      </c>
      <c r="L1332" s="11" t="n">
        <v>39961.4268287037</v>
      </c>
      <c r="M1332" s="12" t="s">
        <v>551</v>
      </c>
      <c r="N1332" s="12" t="s">
        <v>1299</v>
      </c>
      <c r="O1332" s="9" t="str">
        <f aca="false">HYPERLINK("https://pbs.twimg.com/profile_images/3672960453/ea0d6104e1c4773a26d48d5437e962d8_normal.jpeg","View")</f>
        <v>View</v>
      </c>
      <c r="P1332" s="10"/>
    </row>
    <row r="1333" customFormat="false" ht="15.75" hidden="false" customHeight="false" outlineLevel="0" collapsed="false">
      <c r="A1333" s="6" t="n">
        <v>43030.1855092593</v>
      </c>
      <c r="B1333" s="7" t="str">
        <f aca="false">HYPERLINK("https://twitter.com/MyAlliesNews","@MyAlliesNews")</f>
        <v>@MyAlliesNews</v>
      </c>
      <c r="C1333" s="8" t="s">
        <v>3498</v>
      </c>
      <c r="D1333" s="8" t="s">
        <v>3499</v>
      </c>
      <c r="E1333" s="9" t="str">
        <f aca="false">HYPERLINK("https://twitter.com/MyAlliesNews/status/922061756364664833","922061756364664833")</f>
        <v>922061756364664833</v>
      </c>
      <c r="F1333" s="10" t="s">
        <v>3500</v>
      </c>
      <c r="G1333" s="10" t="n">
        <v>569</v>
      </c>
      <c r="H1333" s="10" t="n">
        <v>0</v>
      </c>
      <c r="I1333" s="10" t="n">
        <v>0</v>
      </c>
      <c r="J1333" s="10" t="n">
        <v>0</v>
      </c>
      <c r="K1333" s="10" t="s">
        <v>20</v>
      </c>
      <c r="L1333" s="11" t="n">
        <v>41717.3170833333</v>
      </c>
      <c r="M1333" s="12"/>
      <c r="N1333" s="12" t="s">
        <v>3501</v>
      </c>
      <c r="O1333" s="9" t="str">
        <f aca="false">HYPERLINK("https://pbs.twimg.com/profile_images/577892873095401473/dP2JPlyp_normal.png","View")</f>
        <v>View</v>
      </c>
      <c r="P1333" s="10"/>
    </row>
    <row r="1334" customFormat="false" ht="15.75" hidden="false" customHeight="false" outlineLevel="0" collapsed="false">
      <c r="A1334" s="6" t="n">
        <v>43030.1856365741</v>
      </c>
      <c r="B1334" s="7" t="str">
        <f aca="false">HYPERLINK("https://twitter.com/bhaavyatra","@bhaavyatra")</f>
        <v>@bhaavyatra</v>
      </c>
      <c r="C1334" s="8" t="s">
        <v>3502</v>
      </c>
      <c r="D1334" s="8" t="s">
        <v>3295</v>
      </c>
      <c r="E1334" s="9" t="str">
        <f aca="false">HYPERLINK("https://twitter.com/bhaavyatra/status/922061804221562885","922061804221562885")</f>
        <v>922061804221562885</v>
      </c>
      <c r="F1334" s="10" t="s">
        <v>25</v>
      </c>
      <c r="G1334" s="10" t="n">
        <v>173</v>
      </c>
      <c r="H1334" s="10" t="n">
        <v>77</v>
      </c>
      <c r="I1334" s="10" t="n">
        <v>71</v>
      </c>
      <c r="J1334" s="10" t="n">
        <v>0</v>
      </c>
      <c r="K1334" s="10" t="s">
        <v>20</v>
      </c>
      <c r="L1334" s="11" t="n">
        <v>41470.93375</v>
      </c>
      <c r="M1334" s="12"/>
      <c r="N1334" s="12" t="s">
        <v>3503</v>
      </c>
      <c r="O1334" s="9" t="str">
        <f aca="false">HYPERLINK("https://pbs.twimg.com/profile_images/921712114049335297/Z5tDOXEX_normal.jpg","View")</f>
        <v>View</v>
      </c>
      <c r="P1334" s="10"/>
    </row>
    <row r="1335" customFormat="false" ht="15.75" hidden="false" customHeight="false" outlineLevel="0" collapsed="false">
      <c r="A1335" s="6" t="n">
        <v>43030.1856944444</v>
      </c>
      <c r="B1335" s="7" t="str">
        <f aca="false">HYPERLINK("https://twitter.com/zachvega","@zachvega")</f>
        <v>@zachvega</v>
      </c>
      <c r="C1335" s="8" t="s">
        <v>3504</v>
      </c>
      <c r="D1335" s="8" t="s">
        <v>3295</v>
      </c>
      <c r="E1335" s="9" t="str">
        <f aca="false">HYPERLINK("https://twitter.com/zachvega/status/922061822722826240","922061822722826240")</f>
        <v>922061822722826240</v>
      </c>
      <c r="F1335" s="10" t="s">
        <v>51</v>
      </c>
      <c r="G1335" s="10" t="n">
        <v>154</v>
      </c>
      <c r="H1335" s="10" t="n">
        <v>977</v>
      </c>
      <c r="I1335" s="10" t="n">
        <v>71</v>
      </c>
      <c r="J1335" s="10" t="n">
        <v>0</v>
      </c>
      <c r="K1335" s="10" t="s">
        <v>20</v>
      </c>
      <c r="L1335" s="11" t="n">
        <v>42273.513599537</v>
      </c>
      <c r="M1335" s="12" t="s">
        <v>3505</v>
      </c>
      <c r="N1335" s="12" t="s">
        <v>3506</v>
      </c>
      <c r="O1335" s="9" t="str">
        <f aca="false">HYPERLINK("https://pbs.twimg.com/profile_images/912330438571646976/iGJvFw6M_normal.jpg","View")</f>
        <v>View</v>
      </c>
      <c r="P1335" s="10"/>
    </row>
    <row r="1336" customFormat="false" ht="15.75" hidden="false" customHeight="false" outlineLevel="0" collapsed="false">
      <c r="A1336" s="6" t="n">
        <v>43030.1857523148</v>
      </c>
      <c r="B1336" s="7" t="str">
        <f aca="false">HYPERLINK("https://twitter.com/ski_57","@ski_57")</f>
        <v>@ski_57</v>
      </c>
      <c r="C1336" s="8" t="s">
        <v>3507</v>
      </c>
      <c r="D1336" s="8" t="s">
        <v>3422</v>
      </c>
      <c r="E1336" s="9" t="str">
        <f aca="false">HYPERLINK("https://twitter.com/ski_57/status/922061843581014016","922061843581014016")</f>
        <v>922061843581014016</v>
      </c>
      <c r="F1336" s="10" t="s">
        <v>51</v>
      </c>
      <c r="G1336" s="10" t="n">
        <v>336</v>
      </c>
      <c r="H1336" s="10" t="n">
        <v>566</v>
      </c>
      <c r="I1336" s="10" t="n">
        <v>27</v>
      </c>
      <c r="J1336" s="10" t="n">
        <v>0</v>
      </c>
      <c r="K1336" s="10" t="s">
        <v>20</v>
      </c>
      <c r="L1336" s="11" t="n">
        <v>40389.4313773148</v>
      </c>
      <c r="M1336" s="12" t="s">
        <v>3508</v>
      </c>
      <c r="N1336" s="12" t="s">
        <v>3509</v>
      </c>
      <c r="O1336" s="9" t="str">
        <f aca="false">HYPERLINK("https://pbs.twimg.com/profile_images/682256313196384256/8xJqYCjY_normal.jpg","View")</f>
        <v>View</v>
      </c>
      <c r="P1336" s="10"/>
    </row>
    <row r="1337" customFormat="false" ht="15.75" hidden="false" customHeight="false" outlineLevel="0" collapsed="false">
      <c r="A1337" s="6" t="n">
        <v>43030.1858333333</v>
      </c>
      <c r="B1337" s="7" t="str">
        <f aca="false">HYPERLINK("https://twitter.com/jerichorayel","@jerichorayel")</f>
        <v>@jerichorayel</v>
      </c>
      <c r="C1337" s="8" t="s">
        <v>3510</v>
      </c>
      <c r="D1337" s="8" t="s">
        <v>3438</v>
      </c>
      <c r="E1337" s="9" t="str">
        <f aca="false">HYPERLINK("https://twitter.com/jerichorayel/status/922061871947173888","922061871947173888")</f>
        <v>922061871947173888</v>
      </c>
      <c r="F1337" s="10" t="s">
        <v>51</v>
      </c>
      <c r="G1337" s="10" t="n">
        <v>2319</v>
      </c>
      <c r="H1337" s="10" t="n">
        <v>1196</v>
      </c>
      <c r="I1337" s="10" t="n">
        <v>15</v>
      </c>
      <c r="J1337" s="10" t="n">
        <v>0</v>
      </c>
      <c r="K1337" s="10" t="s">
        <v>20</v>
      </c>
      <c r="L1337" s="11" t="n">
        <v>40029.2593402778</v>
      </c>
      <c r="M1337" s="12" t="s">
        <v>3511</v>
      </c>
      <c r="N1337" s="12" t="s">
        <v>3512</v>
      </c>
      <c r="O1337" s="9" t="str">
        <f aca="false">HYPERLINK("https://pbs.twimg.com/profile_images/2943391980/d38409a5e93fc23e4cd985b0a37b386b_normal.jpeg","View")</f>
        <v>View</v>
      </c>
      <c r="P1337" s="10"/>
    </row>
    <row r="1338" customFormat="false" ht="15.75" hidden="false" customHeight="false" outlineLevel="0" collapsed="false">
      <c r="A1338" s="6" t="n">
        <v>43030.1858449074</v>
      </c>
      <c r="B1338" s="7" t="str">
        <f aca="false">HYPERLINK("https://twitter.com/vtn449","@vtn449")</f>
        <v>@vtn449</v>
      </c>
      <c r="C1338" s="8" t="s">
        <v>3513</v>
      </c>
      <c r="D1338" s="8" t="s">
        <v>3514</v>
      </c>
      <c r="E1338" s="9" t="str">
        <f aca="false">HYPERLINK("https://twitter.com/vtn449/status/922061876191625216","922061876191625216")</f>
        <v>922061876191625216</v>
      </c>
      <c r="F1338" s="10" t="s">
        <v>39</v>
      </c>
      <c r="G1338" s="10" t="n">
        <v>572</v>
      </c>
      <c r="H1338" s="10" t="n">
        <v>137</v>
      </c>
      <c r="I1338" s="10" t="n">
        <v>19</v>
      </c>
      <c r="J1338" s="10" t="n">
        <v>0</v>
      </c>
      <c r="K1338" s="10" t="s">
        <v>20</v>
      </c>
      <c r="L1338" s="11" t="n">
        <v>40242.6141203704</v>
      </c>
      <c r="M1338" s="12" t="s">
        <v>186</v>
      </c>
      <c r="N1338" s="13" t="s">
        <v>3515</v>
      </c>
      <c r="O1338" s="9" t="str">
        <f aca="false">HYPERLINK("https://pbs.twimg.com/profile_images/1764956709/390211_215966585155112_151206238297814_485912_1341909967_n_normal.jpg","View")</f>
        <v>View</v>
      </c>
      <c r="P1338" s="10"/>
    </row>
    <row r="1339" customFormat="false" ht="15.75" hidden="false" customHeight="false" outlineLevel="0" collapsed="false">
      <c r="A1339" s="6" t="n">
        <v>43030.1858912037</v>
      </c>
      <c r="B1339" s="7" t="str">
        <f aca="false">HYPERLINK("https://twitter.com/YingruW","@YingruW")</f>
        <v>@YingruW</v>
      </c>
      <c r="C1339" s="8" t="s">
        <v>3516</v>
      </c>
      <c r="D1339" s="8" t="s">
        <v>3314</v>
      </c>
      <c r="E1339" s="9" t="str">
        <f aca="false">HYPERLINK("https://twitter.com/YingruW/status/922061895703470080","922061895703470080")</f>
        <v>922061895703470080</v>
      </c>
      <c r="F1339" s="10" t="s">
        <v>51</v>
      </c>
      <c r="G1339" s="10" t="n">
        <v>0</v>
      </c>
      <c r="H1339" s="10" t="n">
        <v>6</v>
      </c>
      <c r="I1339" s="10" t="n">
        <v>7</v>
      </c>
      <c r="J1339" s="10" t="n">
        <v>0</v>
      </c>
      <c r="K1339" s="10" t="s">
        <v>20</v>
      </c>
      <c r="L1339" s="11" t="n">
        <v>42884.8296875</v>
      </c>
      <c r="M1339" s="12" t="s">
        <v>186</v>
      </c>
      <c r="N1339" s="12"/>
      <c r="O1339" s="9" t="str">
        <f aca="false">HYPERLINK("https://abs.twimg.com/sticky/default_profile_images/default_profile_normal.png","View")</f>
        <v>View</v>
      </c>
      <c r="P1339" s="10"/>
    </row>
    <row r="1340" customFormat="false" ht="15.75" hidden="false" customHeight="false" outlineLevel="0" collapsed="false">
      <c r="A1340" s="6" t="n">
        <v>43030.1858912037</v>
      </c>
      <c r="B1340" s="7" t="str">
        <f aca="false">HYPERLINK("https://twitter.com/vincenaval","@vincenaval")</f>
        <v>@vincenaval</v>
      </c>
      <c r="C1340" s="8" t="s">
        <v>3517</v>
      </c>
      <c r="D1340" s="8" t="s">
        <v>3438</v>
      </c>
      <c r="E1340" s="9" t="str">
        <f aca="false">HYPERLINK("https://twitter.com/vincenaval/status/922061896437473280","922061896437473280")</f>
        <v>922061896437473280</v>
      </c>
      <c r="F1340" s="10" t="s">
        <v>51</v>
      </c>
      <c r="G1340" s="10" t="n">
        <v>941</v>
      </c>
      <c r="H1340" s="10" t="n">
        <v>935</v>
      </c>
      <c r="I1340" s="10" t="n">
        <v>15</v>
      </c>
      <c r="J1340" s="10" t="n">
        <v>0</v>
      </c>
      <c r="K1340" s="10" t="s">
        <v>20</v>
      </c>
      <c r="L1340" s="11" t="n">
        <v>39942.3016319444</v>
      </c>
      <c r="M1340" s="12" t="s">
        <v>1239</v>
      </c>
      <c r="N1340" s="12" t="s">
        <v>3518</v>
      </c>
      <c r="O1340" s="9" t="str">
        <f aca="false">HYPERLINK("https://pbs.twimg.com/profile_images/871600887239553024/uxGoAtjR_normal.jpg","View")</f>
        <v>View</v>
      </c>
      <c r="P1340" s="10"/>
    </row>
    <row r="1341" customFormat="false" ht="15.75" hidden="false" customHeight="false" outlineLevel="0" collapsed="false">
      <c r="A1341" s="6" t="n">
        <v>43030.1859259259</v>
      </c>
      <c r="B1341" s="7" t="str">
        <f aca="false">HYPERLINK("https://twitter.com/vtn449","@vtn449")</f>
        <v>@vtn449</v>
      </c>
      <c r="C1341" s="8" t="s">
        <v>3513</v>
      </c>
      <c r="D1341" s="8" t="s">
        <v>3314</v>
      </c>
      <c r="E1341" s="9" t="str">
        <f aca="false">HYPERLINK("https://twitter.com/vtn449/status/922061908982640640","922061908982640640")</f>
        <v>922061908982640640</v>
      </c>
      <c r="F1341" s="10" t="s">
        <v>39</v>
      </c>
      <c r="G1341" s="10" t="n">
        <v>572</v>
      </c>
      <c r="H1341" s="10" t="n">
        <v>137</v>
      </c>
      <c r="I1341" s="10" t="n">
        <v>7</v>
      </c>
      <c r="J1341" s="10" t="n">
        <v>0</v>
      </c>
      <c r="K1341" s="10" t="s">
        <v>20</v>
      </c>
      <c r="L1341" s="11" t="n">
        <v>40242.6141203704</v>
      </c>
      <c r="M1341" s="12" t="s">
        <v>186</v>
      </c>
      <c r="N1341" s="13" t="s">
        <v>3515</v>
      </c>
      <c r="O1341" s="9" t="str">
        <f aca="false">HYPERLINK("https://pbs.twimg.com/profile_images/1764956709/390211_215966585155112_151206238297814_485912_1341909967_n_normal.jpg","View")</f>
        <v>View</v>
      </c>
      <c r="P1341" s="10"/>
    </row>
    <row r="1342" customFormat="false" ht="15.75" hidden="false" customHeight="false" outlineLevel="0" collapsed="false">
      <c r="A1342" s="6" t="n">
        <v>43030.1861689815</v>
      </c>
      <c r="B1342" s="7" t="str">
        <f aca="false">HYPERLINK("https://twitter.com/IBTimesUKBiz","@IBTimesUKBiz")</f>
        <v>@IBTimesUKBiz</v>
      </c>
      <c r="C1342" s="8" t="s">
        <v>3463</v>
      </c>
      <c r="D1342" s="8" t="s">
        <v>3519</v>
      </c>
      <c r="E1342" s="9" t="str">
        <f aca="false">HYPERLINK("https://twitter.com/IBTimesUKBiz/status/922061994399817728","922061994399817728")</f>
        <v>922061994399817728</v>
      </c>
      <c r="F1342" s="10" t="s">
        <v>39</v>
      </c>
      <c r="G1342" s="10" t="n">
        <v>1667</v>
      </c>
      <c r="H1342" s="10" t="n">
        <v>228</v>
      </c>
      <c r="I1342" s="10" t="n">
        <v>0</v>
      </c>
      <c r="J1342" s="10" t="n">
        <v>0</v>
      </c>
      <c r="K1342" s="10" t="s">
        <v>20</v>
      </c>
      <c r="L1342" s="11" t="n">
        <v>41032.2300462963</v>
      </c>
      <c r="M1342" s="12" t="s">
        <v>893</v>
      </c>
      <c r="N1342" s="12" t="s">
        <v>3465</v>
      </c>
      <c r="O1342" s="9" t="str">
        <f aca="false">HYPERLINK("https://pbs.twimg.com/profile_images/696672865291259904/fRobKsFo_normal.jpg","View")</f>
        <v>View</v>
      </c>
      <c r="P1342" s="10"/>
    </row>
    <row r="1343" customFormat="false" ht="15.75" hidden="false" customHeight="false" outlineLevel="0" collapsed="false">
      <c r="A1343" s="6" t="n">
        <v>43030.1862268519</v>
      </c>
      <c r="B1343" s="7" t="str">
        <f aca="false">HYPERLINK("https://twitter.com/avarakai","@avarakai")</f>
        <v>@avarakai</v>
      </c>
      <c r="C1343" s="8" t="s">
        <v>3520</v>
      </c>
      <c r="D1343" s="8" t="s">
        <v>3295</v>
      </c>
      <c r="E1343" s="9" t="str">
        <f aca="false">HYPERLINK("https://twitter.com/avarakai/status/922062017632002048","922062017632002048")</f>
        <v>922062017632002048</v>
      </c>
      <c r="F1343" s="10" t="s">
        <v>25</v>
      </c>
      <c r="G1343" s="10" t="n">
        <v>8636</v>
      </c>
      <c r="H1343" s="10" t="n">
        <v>673</v>
      </c>
      <c r="I1343" s="10" t="n">
        <v>71</v>
      </c>
      <c r="J1343" s="10" t="n">
        <v>0</v>
      </c>
      <c r="K1343" s="10" t="s">
        <v>20</v>
      </c>
      <c r="L1343" s="11" t="n">
        <v>39929.1506944444</v>
      </c>
      <c r="M1343" s="12" t="s">
        <v>3521</v>
      </c>
      <c r="N1343" s="12" t="s">
        <v>3522</v>
      </c>
      <c r="O1343" s="9" t="str">
        <f aca="false">HYPERLINK("https://pbs.twimg.com/profile_images/895513254042247168/LdYIVOHC_normal.jpg","View")</f>
        <v>View</v>
      </c>
      <c r="P1343" s="10"/>
    </row>
    <row r="1344" customFormat="false" ht="15.75" hidden="false" customHeight="false" outlineLevel="0" collapsed="false">
      <c r="A1344" s="6" t="n">
        <v>43030.1862731482</v>
      </c>
      <c r="B1344" s="7" t="str">
        <f aca="false">HYPERLINK("https://twitter.com/ricryanb","@ricryanb")</f>
        <v>@ricryanb</v>
      </c>
      <c r="C1344" s="8" t="s">
        <v>3523</v>
      </c>
      <c r="D1344" s="8" t="s">
        <v>3438</v>
      </c>
      <c r="E1344" s="9" t="str">
        <f aca="false">HYPERLINK("https://twitter.com/ricryanb/status/922062033108869120","922062033108869120")</f>
        <v>922062033108869120</v>
      </c>
      <c r="F1344" s="10" t="s">
        <v>39</v>
      </c>
      <c r="G1344" s="10" t="n">
        <v>366</v>
      </c>
      <c r="H1344" s="10" t="n">
        <v>178</v>
      </c>
      <c r="I1344" s="10" t="n">
        <v>15</v>
      </c>
      <c r="J1344" s="10" t="n">
        <v>0</v>
      </c>
      <c r="K1344" s="10" t="s">
        <v>20</v>
      </c>
      <c r="L1344" s="11" t="n">
        <v>40052.9632986111</v>
      </c>
      <c r="M1344" s="12" t="s">
        <v>3524</v>
      </c>
      <c r="N1344" s="12" t="s">
        <v>3525</v>
      </c>
      <c r="O1344" s="9" t="str">
        <f aca="false">HYPERLINK("https://pbs.twimg.com/profile_images/908115975119052800/zg6KvAcy_normal.jpg","View")</f>
        <v>View</v>
      </c>
      <c r="P1344" s="10"/>
    </row>
    <row r="1345" customFormat="false" ht="15.75" hidden="false" customHeight="false" outlineLevel="0" collapsed="false">
      <c r="A1345" s="6" t="n">
        <v>43030.1863425926</v>
      </c>
      <c r="B1345" s="7" t="str">
        <f aca="false">HYPERLINK("https://twitter.com/dwnews","@dwnews")</f>
        <v>@dwnews</v>
      </c>
      <c r="C1345" s="8" t="s">
        <v>3526</v>
      </c>
      <c r="D1345" s="8" t="s">
        <v>3527</v>
      </c>
      <c r="E1345" s="9" t="str">
        <f aca="false">HYPERLINK("https://twitter.com/dwnews/status/922062059331866624","922062059331866624")</f>
        <v>922062059331866624</v>
      </c>
      <c r="F1345" s="10" t="s">
        <v>268</v>
      </c>
      <c r="G1345" s="10" t="n">
        <v>160614</v>
      </c>
      <c r="H1345" s="10" t="n">
        <v>866</v>
      </c>
      <c r="I1345" s="10" t="n">
        <v>18</v>
      </c>
      <c r="J1345" s="10" t="n">
        <v>9</v>
      </c>
      <c r="K1345" s="10" t="s">
        <v>20</v>
      </c>
      <c r="L1345" s="11" t="n">
        <v>39220.1672453704</v>
      </c>
      <c r="M1345" s="12" t="s">
        <v>3528</v>
      </c>
      <c r="N1345" s="12" t="s">
        <v>3529</v>
      </c>
      <c r="O1345" s="9" t="str">
        <f aca="false">HYPERLINK("https://pbs.twimg.com/profile_images/900261211509489666/-1Fu5hU8_normal.jpg","View")</f>
        <v>View</v>
      </c>
      <c r="P1345" s="10"/>
    </row>
    <row r="1346" customFormat="false" ht="15.75" hidden="false" customHeight="false" outlineLevel="0" collapsed="false">
      <c r="A1346" s="6" t="n">
        <v>43030.1863425926</v>
      </c>
      <c r="B1346" s="7" t="str">
        <f aca="false">HYPERLINK("https://twitter.com/Vibhorkedia1","@Vibhorkedia1")</f>
        <v>@Vibhorkedia1</v>
      </c>
      <c r="C1346" s="8" t="s">
        <v>3530</v>
      </c>
      <c r="D1346" s="8" t="s">
        <v>3295</v>
      </c>
      <c r="E1346" s="9" t="str">
        <f aca="false">HYPERLINK("https://twitter.com/Vibhorkedia1/status/922062060401311744","922062060401311744")</f>
        <v>922062060401311744</v>
      </c>
      <c r="F1346" s="10" t="s">
        <v>25</v>
      </c>
      <c r="G1346" s="10" t="n">
        <v>301</v>
      </c>
      <c r="H1346" s="10" t="n">
        <v>1742</v>
      </c>
      <c r="I1346" s="10" t="n">
        <v>71</v>
      </c>
      <c r="J1346" s="10" t="n">
        <v>0</v>
      </c>
      <c r="K1346" s="10" t="s">
        <v>20</v>
      </c>
      <c r="L1346" s="11" t="n">
        <v>40714.3942361111</v>
      </c>
      <c r="M1346" s="12" t="s">
        <v>3531</v>
      </c>
      <c r="N1346" s="12" t="s">
        <v>3532</v>
      </c>
      <c r="O1346" s="9" t="str">
        <f aca="false">HYPERLINK("https://pbs.twimg.com/profile_images/835065845005107200/1-HqF8nl_normal.jpg","View")</f>
        <v>View</v>
      </c>
      <c r="P1346" s="10"/>
    </row>
    <row r="1347" customFormat="false" ht="15.75" hidden="false" customHeight="false" outlineLevel="0" collapsed="false">
      <c r="A1347" s="6" t="n">
        <v>43030.1865277778</v>
      </c>
      <c r="B1347" s="7" t="str">
        <f aca="false">HYPERLINK("https://twitter.com/AlanLondonCity","@AlanLondonCity")</f>
        <v>@AlanLondonCity</v>
      </c>
      <c r="C1347" s="8" t="s">
        <v>3495</v>
      </c>
      <c r="D1347" s="8" t="s">
        <v>3295</v>
      </c>
      <c r="E1347" s="9" t="str">
        <f aca="false">HYPERLINK("https://twitter.com/AlanLondonCity/status/922062124377141249","922062124377141249")</f>
        <v>922062124377141249</v>
      </c>
      <c r="F1347" s="10" t="s">
        <v>51</v>
      </c>
      <c r="G1347" s="10" t="n">
        <v>56977</v>
      </c>
      <c r="H1347" s="10" t="n">
        <v>114</v>
      </c>
      <c r="I1347" s="10" t="n">
        <v>71</v>
      </c>
      <c r="J1347" s="10" t="n">
        <v>0</v>
      </c>
      <c r="K1347" s="10" t="s">
        <v>20</v>
      </c>
      <c r="L1347" s="11" t="n">
        <v>42990.5023958333</v>
      </c>
      <c r="M1347" s="12" t="s">
        <v>182</v>
      </c>
      <c r="N1347" s="12" t="s">
        <v>3496</v>
      </c>
      <c r="O1347" s="9" t="str">
        <f aca="false">HYPERLINK("https://pbs.twimg.com/profile_images/907681852466573312/c3GaQ5WR_normal.jpg","View")</f>
        <v>View</v>
      </c>
      <c r="P1347" s="10"/>
    </row>
    <row r="1348" customFormat="false" ht="15.75" hidden="false" customHeight="false" outlineLevel="0" collapsed="false">
      <c r="A1348" s="6" t="n">
        <v>43030.1865740741</v>
      </c>
      <c r="B1348" s="7" t="str">
        <f aca="false">HYPERLINK("https://twitter.com/thefrankreport","@thefrankreport")</f>
        <v>@thefrankreport</v>
      </c>
      <c r="C1348" s="8" t="s">
        <v>3533</v>
      </c>
      <c r="D1348" s="8" t="s">
        <v>3534</v>
      </c>
      <c r="E1348" s="9" t="str">
        <f aca="false">HYPERLINK("https://twitter.com/thefrankreport/status/922062143054155777","922062143054155777")</f>
        <v>922062143054155777</v>
      </c>
      <c r="F1348" s="10" t="s">
        <v>177</v>
      </c>
      <c r="G1348" s="10" t="n">
        <v>2070</v>
      </c>
      <c r="H1348" s="10" t="n">
        <v>185</v>
      </c>
      <c r="I1348" s="10" t="n">
        <v>1</v>
      </c>
      <c r="J1348" s="10" t="n">
        <v>0</v>
      </c>
      <c r="K1348" s="10" t="s">
        <v>20</v>
      </c>
      <c r="L1348" s="11" t="n">
        <v>39722.9758217593</v>
      </c>
      <c r="M1348" s="12" t="s">
        <v>3535</v>
      </c>
      <c r="N1348" s="12" t="s">
        <v>3536</v>
      </c>
      <c r="O1348" s="9" t="str">
        <f aca="false">HYPERLINK("https://pbs.twimg.com/profile_images/61123900/romaneeconti_normal.jpg","View")</f>
        <v>View</v>
      </c>
      <c r="P1348" s="10"/>
    </row>
    <row r="1349" customFormat="false" ht="15.75" hidden="false" customHeight="false" outlineLevel="0" collapsed="false">
      <c r="A1349" s="6" t="n">
        <v>43030.1866203704</v>
      </c>
      <c r="B1349" s="7" t="str">
        <f aca="false">HYPERLINK("https://twitter.com/JoelLabi","@JoelLabi")</f>
        <v>@JoelLabi</v>
      </c>
      <c r="C1349" s="8" t="s">
        <v>3537</v>
      </c>
      <c r="D1349" s="8" t="s">
        <v>3538</v>
      </c>
      <c r="E1349" s="9" t="str">
        <f aca="false">HYPERLINK("https://twitter.com/JoelLabi/status/922062159059722241","922062159059722241")</f>
        <v>922062159059722241</v>
      </c>
      <c r="F1349" s="10" t="s">
        <v>51</v>
      </c>
      <c r="G1349" s="10" t="n">
        <v>1296</v>
      </c>
      <c r="H1349" s="10" t="n">
        <v>1365</v>
      </c>
      <c r="I1349" s="10" t="n">
        <v>0</v>
      </c>
      <c r="J1349" s="10" t="n">
        <v>0</v>
      </c>
      <c r="K1349" s="10" t="s">
        <v>20</v>
      </c>
      <c r="L1349" s="11" t="n">
        <v>40617.7753125</v>
      </c>
      <c r="M1349" s="12" t="s">
        <v>68</v>
      </c>
      <c r="N1349" s="12" t="s">
        <v>3539</v>
      </c>
      <c r="O1349" s="9" t="str">
        <f aca="false">HYPERLINK("https://pbs.twimg.com/profile_images/793281745227362305/WFz62l1V_normal.jpg","View")</f>
        <v>View</v>
      </c>
      <c r="P1349" s="10"/>
    </row>
    <row r="1350" customFormat="false" ht="15.75" hidden="false" customHeight="false" outlineLevel="0" collapsed="false">
      <c r="A1350" s="6" t="n">
        <v>43030.1867708333</v>
      </c>
      <c r="B1350" s="7" t="str">
        <f aca="false">HYPERLINK("https://twitter.com/FouLePierrot","@FouLePierrot")</f>
        <v>@FouLePierrot</v>
      </c>
      <c r="C1350" s="8" t="s">
        <v>3540</v>
      </c>
      <c r="D1350" s="8" t="s">
        <v>3541</v>
      </c>
      <c r="E1350" s="9" t="str">
        <f aca="false">HYPERLINK("https://twitter.com/FouLePierrot/status/922062214424436738","922062214424436738")</f>
        <v>922062214424436738</v>
      </c>
      <c r="F1350" s="10" t="s">
        <v>39</v>
      </c>
      <c r="G1350" s="10" t="n">
        <v>232</v>
      </c>
      <c r="H1350" s="10" t="n">
        <v>1523</v>
      </c>
      <c r="I1350" s="10" t="n">
        <v>18</v>
      </c>
      <c r="J1350" s="10" t="n">
        <v>0</v>
      </c>
      <c r="K1350" s="10" t="s">
        <v>20</v>
      </c>
      <c r="L1350" s="11" t="n">
        <v>39927.6535532407</v>
      </c>
      <c r="M1350" s="12"/>
      <c r="N1350" s="12" t="s">
        <v>3542</v>
      </c>
      <c r="O1350" s="9" t="str">
        <f aca="false">HYPERLINK("https://pbs.twimg.com/profile_images/678662697114701824/bMvBmiMZ_normal.png","View")</f>
        <v>View</v>
      </c>
      <c r="P1350" s="10"/>
    </row>
    <row r="1351" customFormat="false" ht="15.75" hidden="false" customHeight="false" outlineLevel="0" collapsed="false">
      <c r="A1351" s="6" t="n">
        <v>43030.1868055556</v>
      </c>
      <c r="B1351" s="7" t="str">
        <f aca="false">HYPERLINK("https://twitter.com/CryPartisan","@CryPartisan")</f>
        <v>@CryPartisan</v>
      </c>
      <c r="C1351" s="8" t="s">
        <v>3543</v>
      </c>
      <c r="D1351" s="8" t="s">
        <v>3295</v>
      </c>
      <c r="E1351" s="9" t="str">
        <f aca="false">HYPERLINK("https://twitter.com/CryPartisan/status/922062226760007680","922062226760007680")</f>
        <v>922062226760007680</v>
      </c>
      <c r="F1351" s="10" t="s">
        <v>25</v>
      </c>
      <c r="G1351" s="10" t="n">
        <v>6319</v>
      </c>
      <c r="H1351" s="10" t="n">
        <v>81</v>
      </c>
      <c r="I1351" s="10" t="n">
        <v>71</v>
      </c>
      <c r="J1351" s="10" t="n">
        <v>0</v>
      </c>
      <c r="K1351" s="10" t="s">
        <v>20</v>
      </c>
      <c r="L1351" s="11" t="n">
        <v>42775.3735300926</v>
      </c>
      <c r="M1351" s="12" t="s">
        <v>182</v>
      </c>
      <c r="N1351" s="12" t="s">
        <v>3544</v>
      </c>
      <c r="O1351" s="9" t="str">
        <f aca="false">HYPERLINK("https://pbs.twimg.com/profile_images/829767072414629888/1abggils_normal.jpg","View")</f>
        <v>View</v>
      </c>
      <c r="P1351" s="10"/>
    </row>
    <row r="1352" customFormat="false" ht="15.75" hidden="false" customHeight="false" outlineLevel="0" collapsed="false">
      <c r="A1352" s="6" t="n">
        <v>43030.187037037</v>
      </c>
      <c r="B1352" s="7" t="str">
        <f aca="false">HYPERLINK("https://twitter.com/Balram78237104","@Balram78237104")</f>
        <v>@Balram78237104</v>
      </c>
      <c r="C1352" s="8" t="s">
        <v>3545</v>
      </c>
      <c r="D1352" s="8" t="s">
        <v>3295</v>
      </c>
      <c r="E1352" s="9" t="str">
        <f aca="false">HYPERLINK("https://twitter.com/Balram78237104/status/922062310352461827","922062310352461827")</f>
        <v>922062310352461827</v>
      </c>
      <c r="F1352" s="10" t="s">
        <v>25</v>
      </c>
      <c r="G1352" s="10" t="n">
        <v>411</v>
      </c>
      <c r="H1352" s="10" t="n">
        <v>2133</v>
      </c>
      <c r="I1352" s="10" t="n">
        <v>71</v>
      </c>
      <c r="J1352" s="10" t="n">
        <v>0</v>
      </c>
      <c r="K1352" s="10" t="s">
        <v>20</v>
      </c>
      <c r="L1352" s="11" t="n">
        <v>41764.3067013889</v>
      </c>
      <c r="M1352" s="12" t="s">
        <v>3546</v>
      </c>
      <c r="N1352" s="12" t="s">
        <v>3547</v>
      </c>
      <c r="O1352" s="9" t="str">
        <f aca="false">HYPERLINK("https://pbs.twimg.com/profile_images/465502958038183936/iC4F8WF1_normal.jpeg","View")</f>
        <v>View</v>
      </c>
      <c r="P1352" s="10"/>
    </row>
    <row r="1353" customFormat="false" ht="15.75" hidden="false" customHeight="false" outlineLevel="0" collapsed="false">
      <c r="A1353" s="6" t="n">
        <v>43030.1870601852</v>
      </c>
      <c r="B1353" s="7" t="str">
        <f aca="false">HYPERLINK("https://twitter.com/SheronWilkie","@SheronWilkie")</f>
        <v>@SheronWilkie</v>
      </c>
      <c r="C1353" s="8" t="s">
        <v>3548</v>
      </c>
      <c r="D1353" s="8" t="s">
        <v>3422</v>
      </c>
      <c r="E1353" s="9" t="str">
        <f aca="false">HYPERLINK("https://twitter.com/SheronWilkie/status/922062319873658880","922062319873658880")</f>
        <v>922062319873658880</v>
      </c>
      <c r="F1353" s="10" t="s">
        <v>51</v>
      </c>
      <c r="G1353" s="10" t="n">
        <v>2011</v>
      </c>
      <c r="H1353" s="10" t="n">
        <v>3261</v>
      </c>
      <c r="I1353" s="10" t="n">
        <v>27</v>
      </c>
      <c r="J1353" s="10" t="n">
        <v>0</v>
      </c>
      <c r="K1353" s="10" t="s">
        <v>20</v>
      </c>
      <c r="L1353" s="11" t="n">
        <v>41893.1893402778</v>
      </c>
      <c r="M1353" s="12"/>
      <c r="N1353" s="12" t="s">
        <v>3549</v>
      </c>
      <c r="O1353" s="9" t="str">
        <f aca="false">HYPERLINK("https://pbs.twimg.com/profile_images/874260508639207424/Npkd88Sz_normal.jpg","View")</f>
        <v>View</v>
      </c>
      <c r="P1353" s="10"/>
    </row>
    <row r="1354" customFormat="false" ht="15.75" hidden="false" customHeight="false" outlineLevel="0" collapsed="false">
      <c r="A1354" s="6" t="n">
        <v>43030.1871296296</v>
      </c>
      <c r="B1354" s="7" t="str">
        <f aca="false">HYPERLINK("https://twitter.com/matteimc","@matteimc")</f>
        <v>@matteimc</v>
      </c>
      <c r="C1354" s="8" t="s">
        <v>3550</v>
      </c>
      <c r="D1354" s="8" t="s">
        <v>3551</v>
      </c>
      <c r="E1354" s="9" t="str">
        <f aca="false">HYPERLINK("https://twitter.com/matteimc/status/922062344896831488","922062344896831488")</f>
        <v>922062344896831488</v>
      </c>
      <c r="F1354" s="10" t="s">
        <v>177</v>
      </c>
      <c r="G1354" s="10" t="n">
        <v>1236</v>
      </c>
      <c r="H1354" s="10" t="n">
        <v>445</v>
      </c>
      <c r="I1354" s="10" t="n">
        <v>2</v>
      </c>
      <c r="J1354" s="10" t="n">
        <v>0</v>
      </c>
      <c r="K1354" s="10" t="s">
        <v>20</v>
      </c>
      <c r="L1354" s="11" t="n">
        <v>41272.0368634259</v>
      </c>
      <c r="M1354" s="12"/>
      <c r="N1354" s="12" t="s">
        <v>3552</v>
      </c>
      <c r="O1354" s="9" t="str">
        <f aca="false">HYPERLINK("https://pbs.twimg.com/profile_images/3061689503/6282708d2d1b420637473a5095ce832b_normal.jpeg","View")</f>
        <v>View</v>
      </c>
      <c r="P1354" s="10"/>
    </row>
    <row r="1355" customFormat="false" ht="15.75" hidden="false" customHeight="false" outlineLevel="0" collapsed="false">
      <c r="A1355" s="6" t="n">
        <v>43030.1872106482</v>
      </c>
      <c r="B1355" s="7" t="str">
        <f aca="false">HYPERLINK("https://twitter.com/fairy_m_s_7","@fairy_m_s_7")</f>
        <v>@fairy_m_s_7</v>
      </c>
      <c r="C1355" s="8" t="s">
        <v>3330</v>
      </c>
      <c r="D1355" s="8" t="s">
        <v>3541</v>
      </c>
      <c r="E1355" s="9" t="str">
        <f aca="false">HYPERLINK("https://twitter.com/fairy_m_s_7/status/922062372084244481","922062372084244481")</f>
        <v>922062372084244481</v>
      </c>
      <c r="F1355" s="10" t="s">
        <v>98</v>
      </c>
      <c r="G1355" s="10" t="n">
        <v>274</v>
      </c>
      <c r="H1355" s="10" t="n">
        <v>1103</v>
      </c>
      <c r="I1355" s="10" t="n">
        <v>18</v>
      </c>
      <c r="J1355" s="10" t="n">
        <v>0</v>
      </c>
      <c r="K1355" s="10" t="s">
        <v>20</v>
      </c>
      <c r="L1355" s="11" t="n">
        <v>41765.0001388889</v>
      </c>
      <c r="M1355" s="12"/>
      <c r="N1355" s="13" t="s">
        <v>3331</v>
      </c>
      <c r="O1355" s="9" t="str">
        <f aca="false">HYPERLINK("https://pbs.twimg.com/profile_images/553956376414654465/FrHOwQYf_normal.jpeg","View")</f>
        <v>View</v>
      </c>
      <c r="P1355" s="10"/>
    </row>
    <row r="1356" customFormat="false" ht="15.75" hidden="false" customHeight="false" outlineLevel="0" collapsed="false">
      <c r="A1356" s="6" t="n">
        <v>43030.1873263889</v>
      </c>
      <c r="B1356" s="7" t="str">
        <f aca="false">HYPERLINK("https://twitter.com/rishabh_arya95","@rishabh_arya95")</f>
        <v>@rishabh_arya95</v>
      </c>
      <c r="C1356" s="8" t="s">
        <v>3553</v>
      </c>
      <c r="D1356" s="8" t="s">
        <v>3295</v>
      </c>
      <c r="E1356" s="9" t="str">
        <f aca="false">HYPERLINK("https://twitter.com/rishabh_arya95/status/922062415965036544","922062415965036544")</f>
        <v>922062415965036544</v>
      </c>
      <c r="F1356" s="10" t="s">
        <v>51</v>
      </c>
      <c r="G1356" s="10" t="n">
        <v>304</v>
      </c>
      <c r="H1356" s="10" t="n">
        <v>1499</v>
      </c>
      <c r="I1356" s="10" t="n">
        <v>71</v>
      </c>
      <c r="J1356" s="10" t="n">
        <v>0</v>
      </c>
      <c r="K1356" s="10" t="s">
        <v>20</v>
      </c>
      <c r="L1356" s="11" t="n">
        <v>40128.0883217593</v>
      </c>
      <c r="M1356" s="12" t="s">
        <v>64</v>
      </c>
      <c r="N1356" s="12"/>
      <c r="O1356" s="9" t="str">
        <f aca="false">HYPERLINK("https://pbs.twimg.com/profile_images/862010537424470017/xGkflMJm_normal.jpg","View")</f>
        <v>View</v>
      </c>
      <c r="P1356" s="10"/>
    </row>
    <row r="1357" customFormat="false" ht="15.75" hidden="false" customHeight="false" outlineLevel="0" collapsed="false">
      <c r="A1357" s="6" t="n">
        <v>43030.1874189815</v>
      </c>
      <c r="B1357" s="7" t="str">
        <f aca="false">HYPERLINK("https://twitter.com/fiore_eterno","@fiore_eterno")</f>
        <v>@fiore_eterno</v>
      </c>
      <c r="C1357" s="8" t="s">
        <v>3554</v>
      </c>
      <c r="D1357" s="8" t="s">
        <v>3555</v>
      </c>
      <c r="E1357" s="9" t="str">
        <f aca="false">HYPERLINK("https://twitter.com/fiore_eterno/status/922062447589990400","922062447589990400")</f>
        <v>922062447589990400</v>
      </c>
      <c r="F1357" s="10" t="s">
        <v>25</v>
      </c>
      <c r="G1357" s="10" t="n">
        <v>2222</v>
      </c>
      <c r="H1357" s="10" t="n">
        <v>4621</v>
      </c>
      <c r="I1357" s="10" t="n">
        <v>1</v>
      </c>
      <c r="J1357" s="10" t="n">
        <v>0</v>
      </c>
      <c r="K1357" s="10" t="s">
        <v>20</v>
      </c>
      <c r="L1357" s="11" t="n">
        <v>42860.7712152778</v>
      </c>
      <c r="M1357" s="12" t="s">
        <v>3556</v>
      </c>
      <c r="N1357" s="13" t="s">
        <v>3557</v>
      </c>
      <c r="O1357" s="9" t="str">
        <f aca="false">HYPERLINK("https://pbs.twimg.com/profile_images/909377187177832448/DCr_neNR_normal.jpg","View")</f>
        <v>View</v>
      </c>
      <c r="P1357" s="10"/>
    </row>
    <row r="1358" customFormat="false" ht="15.75" hidden="false" customHeight="false" outlineLevel="0" collapsed="false">
      <c r="A1358" s="6" t="n">
        <v>43030.1877314815</v>
      </c>
      <c r="B1358" s="7" t="str">
        <f aca="false">HYPERLINK("https://twitter.com/SCMP_News","@SCMP_News")</f>
        <v>@SCMP_News</v>
      </c>
      <c r="C1358" s="8" t="s">
        <v>2290</v>
      </c>
      <c r="D1358" s="8" t="s">
        <v>3558</v>
      </c>
      <c r="E1358" s="9" t="str">
        <f aca="false">HYPERLINK("https://twitter.com/SCMP_News/status/922062561973035009","922062561973035009")</f>
        <v>922062561973035009</v>
      </c>
      <c r="F1358" s="10" t="s">
        <v>1167</v>
      </c>
      <c r="G1358" s="10" t="n">
        <v>506508</v>
      </c>
      <c r="H1358" s="10" t="n">
        <v>345</v>
      </c>
      <c r="I1358" s="10" t="n">
        <v>4</v>
      </c>
      <c r="J1358" s="10" t="n">
        <v>5</v>
      </c>
      <c r="K1358" s="10" t="s">
        <v>20</v>
      </c>
      <c r="L1358" s="11" t="n">
        <v>39884.077662037</v>
      </c>
      <c r="M1358" s="12" t="s">
        <v>68</v>
      </c>
      <c r="N1358" s="12" t="s">
        <v>2292</v>
      </c>
      <c r="O1358" s="9" t="str">
        <f aca="false">HYPERLINK("https://pbs.twimg.com/profile_images/593315521707159552/nSAjByJO_normal.png","View")</f>
        <v>View</v>
      </c>
      <c r="P1358" s="10"/>
    </row>
    <row r="1359" customFormat="false" ht="15.75" hidden="false" customHeight="false" outlineLevel="0" collapsed="false">
      <c r="A1359" s="6" t="n">
        <v>43030.1877546296</v>
      </c>
      <c r="B1359" s="7" t="str">
        <f aca="false">HYPERLINK("https://twitter.com/bot_silo","@bot_silo")</f>
        <v>@bot_silo</v>
      </c>
      <c r="C1359" s="8" t="s">
        <v>3559</v>
      </c>
      <c r="D1359" s="8" t="s">
        <v>3560</v>
      </c>
      <c r="E1359" s="9" t="str">
        <f aca="false">HYPERLINK("https://twitter.com/bot_silo/status/922062568784629760","922062568784629760")</f>
        <v>922062568784629760</v>
      </c>
      <c r="F1359" s="10" t="s">
        <v>3559</v>
      </c>
      <c r="G1359" s="10" t="n">
        <v>51</v>
      </c>
      <c r="H1359" s="10" t="n">
        <v>1</v>
      </c>
      <c r="I1359" s="10" t="n">
        <v>0</v>
      </c>
      <c r="J1359" s="10" t="n">
        <v>0</v>
      </c>
      <c r="K1359" s="10" t="s">
        <v>20</v>
      </c>
      <c r="L1359" s="11" t="n">
        <v>42739.5057407407</v>
      </c>
      <c r="M1359" s="12"/>
      <c r="N1359" s="12" t="s">
        <v>3561</v>
      </c>
      <c r="O1359" s="9" t="str">
        <f aca="false">HYPERLINK("https://pbs.twimg.com/profile_images/816738961460776967/S_1rJEDT_normal.jpg","View")</f>
        <v>View</v>
      </c>
      <c r="P1359" s="10"/>
    </row>
    <row r="1360" customFormat="false" ht="15.75" hidden="false" customHeight="false" outlineLevel="0" collapsed="false">
      <c r="A1360" s="6" t="n">
        <v>43030.1878703704</v>
      </c>
      <c r="B1360" s="7" t="str">
        <f aca="false">HYPERLINK("https://twitter.com/natfkdhazelnuts","@natfkdhazelnuts")</f>
        <v>@natfkdhazelnuts</v>
      </c>
      <c r="C1360" s="8" t="s">
        <v>3562</v>
      </c>
      <c r="D1360" s="8" t="s">
        <v>3563</v>
      </c>
      <c r="E1360" s="9" t="str">
        <f aca="false">HYPERLINK("https://twitter.com/natfkdhazelnuts/status/922062611859902466","922062611859902466")</f>
        <v>922062611859902466</v>
      </c>
      <c r="F1360" s="10" t="s">
        <v>39</v>
      </c>
      <c r="G1360" s="10" t="n">
        <v>33</v>
      </c>
      <c r="H1360" s="10" t="n">
        <v>25</v>
      </c>
      <c r="I1360" s="10" t="n">
        <v>0</v>
      </c>
      <c r="J1360" s="10" t="n">
        <v>0</v>
      </c>
      <c r="K1360" s="10" t="s">
        <v>20</v>
      </c>
      <c r="L1360" s="11" t="n">
        <v>40307.9574768519</v>
      </c>
      <c r="M1360" s="12" t="s">
        <v>3564</v>
      </c>
      <c r="N1360" s="12" t="s">
        <v>3565</v>
      </c>
      <c r="O1360" s="9" t="str">
        <f aca="false">HYPERLINK("https://pbs.twimg.com/profile_images/1474066405/princeachmed_horse1_normal.jpg","View")</f>
        <v>View</v>
      </c>
      <c r="P1360" s="10"/>
    </row>
    <row r="1361" customFormat="false" ht="15.75" hidden="false" customHeight="false" outlineLevel="0" collapsed="false">
      <c r="A1361" s="6" t="n">
        <v>43030.1883333333</v>
      </c>
      <c r="B1361" s="7" t="str">
        <f aca="false">HYPERLINK("https://twitter.com/_le_sim_","@_le_sim_")</f>
        <v>@_le_sim_</v>
      </c>
      <c r="C1361" s="8" t="s">
        <v>3566</v>
      </c>
      <c r="D1361" s="8" t="s">
        <v>3541</v>
      </c>
      <c r="E1361" s="9" t="str">
        <f aca="false">HYPERLINK("https://twitter.com/_le_sim_/status/922062777887236102","922062777887236102")</f>
        <v>922062777887236102</v>
      </c>
      <c r="F1361" s="10" t="s">
        <v>51</v>
      </c>
      <c r="G1361" s="10" t="n">
        <v>1745</v>
      </c>
      <c r="H1361" s="10" t="n">
        <v>1476</v>
      </c>
      <c r="I1361" s="10" t="n">
        <v>18</v>
      </c>
      <c r="J1361" s="10" t="n">
        <v>0</v>
      </c>
      <c r="K1361" s="10" t="s">
        <v>20</v>
      </c>
      <c r="L1361" s="11" t="n">
        <v>41962.633599537</v>
      </c>
      <c r="M1361" s="12" t="s">
        <v>3567</v>
      </c>
      <c r="N1361" s="12" t="s">
        <v>3568</v>
      </c>
      <c r="O1361" s="9" t="str">
        <f aca="false">HYPERLINK("https://pbs.twimg.com/profile_images/901867076394127360/0uL6wf0v_normal.jpg","View")</f>
        <v>View</v>
      </c>
      <c r="P1361" s="10"/>
    </row>
    <row r="1362" customFormat="false" ht="15.75" hidden="false" customHeight="false" outlineLevel="0" collapsed="false">
      <c r="A1362" s="6" t="n">
        <v>43030.1883680556</v>
      </c>
      <c r="B1362" s="7" t="str">
        <f aca="false">HYPERLINK("https://twitter.com/nochebur","@nochebur")</f>
        <v>@nochebur</v>
      </c>
      <c r="C1362" s="8" t="s">
        <v>3569</v>
      </c>
      <c r="D1362" s="8" t="s">
        <v>3570</v>
      </c>
      <c r="E1362" s="9" t="str">
        <f aca="false">HYPERLINK("https://twitter.com/nochebur/status/922062793506820096","922062793506820096")</f>
        <v>922062793506820096</v>
      </c>
      <c r="F1362" s="10" t="s">
        <v>3571</v>
      </c>
      <c r="G1362" s="10" t="n">
        <v>142</v>
      </c>
      <c r="H1362" s="10" t="n">
        <v>368</v>
      </c>
      <c r="I1362" s="10" t="n">
        <v>0</v>
      </c>
      <c r="J1362" s="10" t="n">
        <v>0</v>
      </c>
      <c r="K1362" s="10" t="s">
        <v>20</v>
      </c>
      <c r="L1362" s="11" t="n">
        <v>40029.5442708333</v>
      </c>
      <c r="M1362" s="12" t="s">
        <v>1436</v>
      </c>
      <c r="N1362" s="12" t="s">
        <v>3572</v>
      </c>
      <c r="O1362" s="9" t="str">
        <f aca="false">HYPERLINK("https://pbs.twimg.com/profile_images/834538403706314752/YVVqcKjW_normal.jpg","View")</f>
        <v>View</v>
      </c>
      <c r="P1362" s="10"/>
    </row>
    <row r="1363" customFormat="false" ht="15.75" hidden="false" customHeight="false" outlineLevel="0" collapsed="false">
      <c r="A1363" s="6" t="n">
        <v>43030.1884837963</v>
      </c>
      <c r="B1363" s="7" t="str">
        <f aca="false">HYPERLINK("https://twitter.com/JamesDoorley","@JamesDoorley")</f>
        <v>@JamesDoorley</v>
      </c>
      <c r="C1363" s="8" t="s">
        <v>3573</v>
      </c>
      <c r="D1363" s="8" t="s">
        <v>3541</v>
      </c>
      <c r="E1363" s="9" t="str">
        <f aca="false">HYPERLINK("https://twitter.com/JamesDoorley/status/922062836301553664","922062836301553664")</f>
        <v>922062836301553664</v>
      </c>
      <c r="F1363" s="10" t="s">
        <v>51</v>
      </c>
      <c r="G1363" s="10" t="n">
        <v>2585</v>
      </c>
      <c r="H1363" s="10" t="n">
        <v>2575</v>
      </c>
      <c r="I1363" s="10" t="n">
        <v>18</v>
      </c>
      <c r="J1363" s="10" t="n">
        <v>0</v>
      </c>
      <c r="K1363" s="10" t="s">
        <v>20</v>
      </c>
      <c r="L1363" s="11" t="n">
        <v>40606.2233333333</v>
      </c>
      <c r="M1363" s="12" t="s">
        <v>3574</v>
      </c>
      <c r="N1363" s="12" t="s">
        <v>3575</v>
      </c>
      <c r="O1363" s="9" t="str">
        <f aca="false">HYPERLINK("https://pbs.twimg.com/profile_images/773266263661539334/RfQPOitx_normal.jpg","View")</f>
        <v>View</v>
      </c>
      <c r="P1363" s="10"/>
    </row>
    <row r="1364" customFormat="false" ht="15.75" hidden="false" customHeight="false" outlineLevel="0" collapsed="false">
      <c r="A1364" s="6" t="n">
        <v>43030.1885300926</v>
      </c>
      <c r="B1364" s="7" t="str">
        <f aca="false">HYPERLINK("https://twitter.com/BloombergQuint","@BloombergQuint")</f>
        <v>@BloombergQuint</v>
      </c>
      <c r="C1364" s="8" t="s">
        <v>692</v>
      </c>
      <c r="D1364" s="8" t="s">
        <v>3576</v>
      </c>
      <c r="E1364" s="9" t="str">
        <f aca="false">HYPERLINK("https://twitter.com/BloombergQuint/status/922062850859851776","922062850859851776")</f>
        <v>922062850859851776</v>
      </c>
      <c r="F1364" s="10" t="s">
        <v>39</v>
      </c>
      <c r="G1364" s="10" t="n">
        <v>24547</v>
      </c>
      <c r="H1364" s="10" t="n">
        <v>329</v>
      </c>
      <c r="I1364" s="10" t="n">
        <v>0</v>
      </c>
      <c r="J1364" s="10" t="n">
        <v>1</v>
      </c>
      <c r="K1364" s="10" t="s">
        <v>20</v>
      </c>
      <c r="L1364" s="11" t="n">
        <v>42458.0631828704</v>
      </c>
      <c r="M1364" s="12" t="s">
        <v>253</v>
      </c>
      <c r="N1364" s="12" t="s">
        <v>694</v>
      </c>
      <c r="O1364" s="9" t="str">
        <f aca="false">HYPERLINK("https://pbs.twimg.com/profile_images/913063487613440001/oU9k6XU7_normal.jpg","View")</f>
        <v>View</v>
      </c>
      <c r="P1364" s="10"/>
    </row>
    <row r="1365" customFormat="false" ht="15.75" hidden="false" customHeight="false" outlineLevel="0" collapsed="false">
      <c r="A1365" s="6" t="n">
        <v>43030.188599537</v>
      </c>
      <c r="B1365" s="7" t="str">
        <f aca="false">HYPERLINK("https://twitter.com/cr15b","@cr15b")</f>
        <v>@cr15b</v>
      </c>
      <c r="C1365" s="8" t="s">
        <v>3577</v>
      </c>
      <c r="D1365" s="8" t="s">
        <v>3541</v>
      </c>
      <c r="E1365" s="9" t="str">
        <f aca="false">HYPERLINK("https://twitter.com/cr15b/status/922062878462574592","922062878462574592")</f>
        <v>922062878462574592</v>
      </c>
      <c r="F1365" s="10" t="s">
        <v>276</v>
      </c>
      <c r="G1365" s="10" t="n">
        <v>1187</v>
      </c>
      <c r="H1365" s="10" t="n">
        <v>905</v>
      </c>
      <c r="I1365" s="10" t="n">
        <v>18</v>
      </c>
      <c r="J1365" s="10" t="n">
        <v>0</v>
      </c>
      <c r="K1365" s="10" t="s">
        <v>20</v>
      </c>
      <c r="L1365" s="11" t="n">
        <v>40107.0402546296</v>
      </c>
      <c r="M1365" s="12" t="s">
        <v>3578</v>
      </c>
      <c r="N1365" s="12" t="s">
        <v>3579</v>
      </c>
      <c r="O1365" s="9" t="str">
        <f aca="false">HYPERLINK("https://pbs.twimg.com/profile_images/873178593882492928/mQA3v5co_normal.jpg","View")</f>
        <v>View</v>
      </c>
      <c r="P1365" s="10"/>
    </row>
    <row r="1366" customFormat="false" ht="15.75" hidden="false" customHeight="false" outlineLevel="0" collapsed="false">
      <c r="A1366" s="6" t="n">
        <v>43030.1886226852</v>
      </c>
      <c r="B1366" s="7" t="str">
        <f aca="false">HYPERLINK("https://twitter.com/cliffordtopham","@cliffordtopham")</f>
        <v>@cliffordtopham</v>
      </c>
      <c r="C1366" s="8" t="s">
        <v>3580</v>
      </c>
      <c r="D1366" s="8" t="s">
        <v>3314</v>
      </c>
      <c r="E1366" s="9" t="str">
        <f aca="false">HYPERLINK("https://twitter.com/cliffordtopham/status/922062883789398016","922062883789398016")</f>
        <v>922062883789398016</v>
      </c>
      <c r="F1366" s="10" t="s">
        <v>51</v>
      </c>
      <c r="G1366" s="10" t="n">
        <v>1575</v>
      </c>
      <c r="H1366" s="10" t="n">
        <v>379</v>
      </c>
      <c r="I1366" s="10" t="n">
        <v>7</v>
      </c>
      <c r="J1366" s="10" t="n">
        <v>0</v>
      </c>
      <c r="K1366" s="10" t="s">
        <v>20</v>
      </c>
      <c r="L1366" s="11" t="n">
        <v>41072.9920138889</v>
      </c>
      <c r="M1366" s="12"/>
      <c r="N1366" s="12" t="s">
        <v>3581</v>
      </c>
      <c r="O1366" s="9" t="str">
        <f aca="false">HYPERLINK("https://pbs.twimg.com/profile_images/714074147433943040/LIPZyWMp_normal.jpg","View")</f>
        <v>View</v>
      </c>
      <c r="P1366" s="10"/>
    </row>
    <row r="1367" customFormat="false" ht="15.75" hidden="false" customHeight="false" outlineLevel="0" collapsed="false">
      <c r="A1367" s="6" t="n">
        <v>43030.1888425926</v>
      </c>
      <c r="B1367" s="7" t="str">
        <f aca="false">HYPERLINK("https://twitter.com/Carlorwm","@Carlorwm")</f>
        <v>@Carlorwm</v>
      </c>
      <c r="C1367" s="14" t="s">
        <v>3582</v>
      </c>
      <c r="D1367" s="8" t="s">
        <v>3583</v>
      </c>
      <c r="E1367" s="9" t="str">
        <f aca="false">HYPERLINK("https://twitter.com/Carlorwm/status/922062963111890950","922062963111890950")</f>
        <v>922062963111890950</v>
      </c>
      <c r="F1367" s="10" t="s">
        <v>25</v>
      </c>
      <c r="G1367" s="10" t="n">
        <v>189</v>
      </c>
      <c r="H1367" s="10" t="n">
        <v>550</v>
      </c>
      <c r="I1367" s="10" t="n">
        <v>4</v>
      </c>
      <c r="J1367" s="10" t="n">
        <v>0</v>
      </c>
      <c r="K1367" s="10" t="s">
        <v>20</v>
      </c>
      <c r="L1367" s="11" t="n">
        <v>41624.035</v>
      </c>
      <c r="M1367" s="12"/>
      <c r="N1367" s="13" t="s">
        <v>3584</v>
      </c>
      <c r="O1367" s="9" t="str">
        <f aca="false">HYPERLINK("https://pbs.twimg.com/profile_images/418406599191846912/jNevT5j7_normal.jpeg","View")</f>
        <v>View</v>
      </c>
      <c r="P1367" s="10"/>
    </row>
    <row r="1368" customFormat="false" ht="15.75" hidden="false" customHeight="false" outlineLevel="0" collapsed="false">
      <c r="A1368" s="6" t="n">
        <v>43030.1889467593</v>
      </c>
      <c r="B1368" s="7" t="str">
        <f aca="false">HYPERLINK("https://twitter.com/hiltonholloway","@hiltonholloway")</f>
        <v>@hiltonholloway</v>
      </c>
      <c r="C1368" s="8" t="s">
        <v>3585</v>
      </c>
      <c r="D1368" s="8" t="s">
        <v>3541</v>
      </c>
      <c r="E1368" s="9" t="str">
        <f aca="false">HYPERLINK("https://twitter.com/hiltonholloway/status/922063003234775040","922063003234775040")</f>
        <v>922063003234775040</v>
      </c>
      <c r="F1368" s="10" t="s">
        <v>25</v>
      </c>
      <c r="G1368" s="10" t="n">
        <v>3711</v>
      </c>
      <c r="H1368" s="10" t="n">
        <v>2317</v>
      </c>
      <c r="I1368" s="10" t="n">
        <v>18</v>
      </c>
      <c r="J1368" s="10" t="n">
        <v>0</v>
      </c>
      <c r="K1368" s="10" t="s">
        <v>20</v>
      </c>
      <c r="L1368" s="11" t="n">
        <v>40304.4870717593</v>
      </c>
      <c r="M1368" s="12" t="s">
        <v>1319</v>
      </c>
      <c r="N1368" s="12" t="s">
        <v>3586</v>
      </c>
      <c r="O1368" s="9" t="str">
        <f aca="false">HYPERLINK("https://pbs.twimg.com/profile_images/564863107906818049/3RNdSwcz_normal.jpeg","View")</f>
        <v>View</v>
      </c>
      <c r="P1368" s="10"/>
    </row>
    <row r="1369" customFormat="false" ht="15.75" hidden="false" customHeight="false" outlineLevel="0" collapsed="false">
      <c r="A1369" s="6" t="n">
        <v>43030.1889699074</v>
      </c>
      <c r="B1369" s="7" t="str">
        <f aca="false">HYPERLINK("https://twitter.com/sudar2k","@sudar2k")</f>
        <v>@sudar2k</v>
      </c>
      <c r="C1369" s="8" t="s">
        <v>3587</v>
      </c>
      <c r="D1369" s="8" t="s">
        <v>3295</v>
      </c>
      <c r="E1369" s="9" t="str">
        <f aca="false">HYPERLINK("https://twitter.com/sudar2k/status/922063009601568768","922063009601568768")</f>
        <v>922063009601568768</v>
      </c>
      <c r="F1369" s="10" t="s">
        <v>25</v>
      </c>
      <c r="G1369" s="10" t="n">
        <v>1046</v>
      </c>
      <c r="H1369" s="10" t="n">
        <v>840</v>
      </c>
      <c r="I1369" s="10" t="n">
        <v>71</v>
      </c>
      <c r="J1369" s="10" t="n">
        <v>0</v>
      </c>
      <c r="K1369" s="10" t="s">
        <v>20</v>
      </c>
      <c r="L1369" s="11" t="n">
        <v>41877.9824421296</v>
      </c>
      <c r="M1369" s="12" t="s">
        <v>3588</v>
      </c>
      <c r="N1369" s="12" t="s">
        <v>3589</v>
      </c>
      <c r="O1369" s="9" t="str">
        <f aca="false">HYPERLINK("https://pbs.twimg.com/profile_images/910732158855237632/Y6QjGYqy_normal.jpg","View")</f>
        <v>View</v>
      </c>
      <c r="P1369" s="10"/>
    </row>
    <row r="1370" customFormat="false" ht="15.75" hidden="false" customHeight="false" outlineLevel="0" collapsed="false">
      <c r="A1370" s="6" t="n">
        <v>43030.1893402778</v>
      </c>
      <c r="B1370" s="7" t="str">
        <f aca="false">HYPERLINK("https://twitter.com/ITraveler111","@ITraveler111")</f>
        <v>@ITraveler111</v>
      </c>
      <c r="C1370" s="8" t="s">
        <v>3590</v>
      </c>
      <c r="D1370" s="8" t="s">
        <v>3295</v>
      </c>
      <c r="E1370" s="9" t="str">
        <f aca="false">HYPERLINK("https://twitter.com/ITraveler111/status/922063145128153088","922063145128153088")</f>
        <v>922063145128153088</v>
      </c>
      <c r="F1370" s="10" t="s">
        <v>51</v>
      </c>
      <c r="G1370" s="10" t="n">
        <v>1262</v>
      </c>
      <c r="H1370" s="10" t="n">
        <v>866</v>
      </c>
      <c r="I1370" s="10" t="n">
        <v>71</v>
      </c>
      <c r="J1370" s="10" t="n">
        <v>0</v>
      </c>
      <c r="K1370" s="10" t="s">
        <v>20</v>
      </c>
      <c r="L1370" s="11" t="n">
        <v>41384.4786111111</v>
      </c>
      <c r="M1370" s="12" t="s">
        <v>491</v>
      </c>
      <c r="N1370" s="12" t="s">
        <v>3591</v>
      </c>
      <c r="O1370" s="9" t="str">
        <f aca="false">HYPERLINK("https://pbs.twimg.com/profile_images/901890668443947010/f1PyAJWH_normal.jpg","View")</f>
        <v>View</v>
      </c>
      <c r="P1370" s="10"/>
    </row>
    <row r="1371" customFormat="false" ht="15.75" hidden="false" customHeight="false" outlineLevel="0" collapsed="false">
      <c r="A1371" s="6" t="n">
        <v>43030.1894444445</v>
      </c>
      <c r="B1371" s="7" t="str">
        <f aca="false">HYPERLINK("https://twitter.com/tomoryoshka48","@tomoryoshka48")</f>
        <v>@tomoryoshka48</v>
      </c>
      <c r="C1371" s="8" t="s">
        <v>3592</v>
      </c>
      <c r="D1371" s="8" t="s">
        <v>3583</v>
      </c>
      <c r="E1371" s="9" t="str">
        <f aca="false">HYPERLINK("https://twitter.com/tomoryoshka48/status/922063182570536962","922063182570536962")</f>
        <v>922063182570536962</v>
      </c>
      <c r="F1371" s="10" t="s">
        <v>51</v>
      </c>
      <c r="G1371" s="10" t="n">
        <v>1135</v>
      </c>
      <c r="H1371" s="10" t="n">
        <v>894</v>
      </c>
      <c r="I1371" s="10" t="n">
        <v>4</v>
      </c>
      <c r="J1371" s="10" t="n">
        <v>0</v>
      </c>
      <c r="K1371" s="10" t="s">
        <v>20</v>
      </c>
      <c r="L1371" s="11" t="n">
        <v>39924.8737731481</v>
      </c>
      <c r="M1371" s="13" t="s">
        <v>152</v>
      </c>
      <c r="N1371" s="12" t="s">
        <v>3593</v>
      </c>
      <c r="O1371" s="9" t="str">
        <f aca="false">HYPERLINK("https://pbs.twimg.com/profile_images/922821664882155520/I1aug1BH_normal.jpg","View")</f>
        <v>View</v>
      </c>
      <c r="P1371" s="10"/>
    </row>
    <row r="1372" customFormat="false" ht="15.75" hidden="false" customHeight="false" outlineLevel="0" collapsed="false">
      <c r="A1372" s="6" t="n">
        <v>43030.1900810185</v>
      </c>
      <c r="B1372" s="7" t="str">
        <f aca="false">HYPERLINK("https://twitter.com/vaswaniravi","@vaswaniravi")</f>
        <v>@vaswaniravi</v>
      </c>
      <c r="C1372" s="8" t="s">
        <v>3594</v>
      </c>
      <c r="D1372" s="8" t="s">
        <v>3295</v>
      </c>
      <c r="E1372" s="9" t="str">
        <f aca="false">HYPERLINK("https://twitter.com/vaswaniravi/status/922063411697008640","922063411697008640")</f>
        <v>922063411697008640</v>
      </c>
      <c r="F1372" s="10" t="s">
        <v>25</v>
      </c>
      <c r="G1372" s="10" t="n">
        <v>197</v>
      </c>
      <c r="H1372" s="10" t="n">
        <v>854</v>
      </c>
      <c r="I1372" s="10" t="n">
        <v>71</v>
      </c>
      <c r="J1372" s="10" t="n">
        <v>0</v>
      </c>
      <c r="K1372" s="10" t="s">
        <v>20</v>
      </c>
      <c r="L1372" s="11" t="n">
        <v>39990.9617476852</v>
      </c>
      <c r="M1372" s="12" t="s">
        <v>3595</v>
      </c>
      <c r="N1372" s="12"/>
      <c r="O1372" s="9" t="str">
        <f aca="false">HYPERLINK("https://pbs.twimg.com/profile_images/905317974/my_pic_normal.jpg","View")</f>
        <v>View</v>
      </c>
      <c r="P1372" s="10"/>
    </row>
    <row r="1373" customFormat="false" ht="15.75" hidden="false" customHeight="false" outlineLevel="0" collapsed="false">
      <c r="A1373" s="6" t="n">
        <v>43030.1903009259</v>
      </c>
      <c r="B1373" s="7" t="str">
        <f aca="false">HYPERLINK("https://twitter.com/chrissimpson164","@chrissimpson164")</f>
        <v>@chrissimpson164</v>
      </c>
      <c r="C1373" s="8" t="s">
        <v>3596</v>
      </c>
      <c r="D1373" s="8" t="s">
        <v>3295</v>
      </c>
      <c r="E1373" s="9" t="str">
        <f aca="false">HYPERLINK("https://twitter.com/chrissimpson164/status/922063495096610816","922063495096610816")</f>
        <v>922063495096610816</v>
      </c>
      <c r="F1373" s="10" t="s">
        <v>25</v>
      </c>
      <c r="G1373" s="10" t="n">
        <v>950</v>
      </c>
      <c r="H1373" s="10" t="n">
        <v>1293</v>
      </c>
      <c r="I1373" s="10" t="n">
        <v>71</v>
      </c>
      <c r="J1373" s="10" t="n">
        <v>0</v>
      </c>
      <c r="K1373" s="10" t="s">
        <v>20</v>
      </c>
      <c r="L1373" s="11" t="n">
        <v>42266.3217361111</v>
      </c>
      <c r="M1373" s="12" t="s">
        <v>3597</v>
      </c>
      <c r="N1373" s="12" t="s">
        <v>3598</v>
      </c>
      <c r="O1373" s="9" t="str">
        <f aca="false">HYPERLINK("https://pbs.twimg.com/profile_images/729632839604506625/7FHwHiM5_normal.jpg","View")</f>
        <v>View</v>
      </c>
      <c r="P1373" s="10"/>
    </row>
    <row r="1374" customFormat="false" ht="15.75" hidden="false" customHeight="false" outlineLevel="0" collapsed="false">
      <c r="A1374" s="6" t="n">
        <v>43030.1904513889</v>
      </c>
      <c r="B1374" s="7" t="str">
        <f aca="false">HYPERLINK("https://twitter.com/Leroy_Lynch","@Leroy_Lynch")</f>
        <v>@Leroy_Lynch</v>
      </c>
      <c r="C1374" s="8" t="s">
        <v>1505</v>
      </c>
      <c r="D1374" s="8" t="s">
        <v>3422</v>
      </c>
      <c r="E1374" s="9" t="str">
        <f aca="false">HYPERLINK("https://twitter.com/Leroy_Lynch/status/922063548552900608","922063548552900608")</f>
        <v>922063548552900608</v>
      </c>
      <c r="F1374" s="10" t="s">
        <v>39</v>
      </c>
      <c r="G1374" s="10" t="n">
        <v>3184</v>
      </c>
      <c r="H1374" s="10" t="n">
        <v>2128</v>
      </c>
      <c r="I1374" s="10" t="n">
        <v>27</v>
      </c>
      <c r="J1374" s="10" t="n">
        <v>0</v>
      </c>
      <c r="K1374" s="10" t="s">
        <v>20</v>
      </c>
      <c r="L1374" s="11" t="n">
        <v>40810.9897569444</v>
      </c>
      <c r="M1374" s="12" t="s">
        <v>1507</v>
      </c>
      <c r="N1374" s="12" t="s">
        <v>1508</v>
      </c>
      <c r="O1374" s="9" t="str">
        <f aca="false">HYPERLINK("https://pbs.twimg.com/profile_images/813199011192573953/YdNpGd5I_normal.jpg","View")</f>
        <v>View</v>
      </c>
      <c r="P1374" s="10"/>
    </row>
    <row r="1375" customFormat="false" ht="15.75" hidden="false" customHeight="false" outlineLevel="0" collapsed="false">
      <c r="A1375" s="6" t="n">
        <v>43030.1906597222</v>
      </c>
      <c r="B1375" s="7" t="str">
        <f aca="false">HYPERLINK("https://twitter.com/justinmccurry","@justinmccurry")</f>
        <v>@justinmccurry</v>
      </c>
      <c r="C1375" s="8" t="s">
        <v>3599</v>
      </c>
      <c r="D1375" s="8" t="s">
        <v>3600</v>
      </c>
      <c r="E1375" s="9" t="str">
        <f aca="false">HYPERLINK("https://twitter.com/justinmccurry/status/922063622943080449","922063622943080449")</f>
        <v>922063622943080449</v>
      </c>
      <c r="F1375" s="10" t="s">
        <v>39</v>
      </c>
      <c r="G1375" s="10" t="n">
        <v>11029</v>
      </c>
      <c r="H1375" s="10" t="n">
        <v>3262</v>
      </c>
      <c r="I1375" s="10" t="n">
        <v>0</v>
      </c>
      <c r="J1375" s="10" t="n">
        <v>0</v>
      </c>
      <c r="K1375" s="10" t="s">
        <v>20</v>
      </c>
      <c r="L1375" s="11" t="n">
        <v>39977.7712384259</v>
      </c>
      <c r="M1375" s="12" t="s">
        <v>1473</v>
      </c>
      <c r="N1375" s="12" t="s">
        <v>3601</v>
      </c>
      <c r="O1375" s="9" t="str">
        <f aca="false">HYPERLINK("https://pbs.twimg.com/profile_images/794554325376778240/yvCLKhro_normal.jpg","View")</f>
        <v>View</v>
      </c>
      <c r="P1375" s="10"/>
    </row>
    <row r="1376" customFormat="false" ht="15.75" hidden="false" customHeight="false" outlineLevel="0" collapsed="false">
      <c r="A1376" s="6" t="n">
        <v>43030.1907291667</v>
      </c>
      <c r="B1376" s="7" t="str">
        <f aca="false">HYPERLINK("https://twitter.com/Carlanun","@Carlanun")</f>
        <v>@Carlanun</v>
      </c>
      <c r="C1376" s="8" t="s">
        <v>1300</v>
      </c>
      <c r="D1376" s="8" t="s">
        <v>3541</v>
      </c>
      <c r="E1376" s="9" t="str">
        <f aca="false">HYPERLINK("https://twitter.com/Carlanun/status/922063648251662338","922063648251662338")</f>
        <v>922063648251662338</v>
      </c>
      <c r="F1376" s="10" t="s">
        <v>39</v>
      </c>
      <c r="G1376" s="10" t="n">
        <v>1100</v>
      </c>
      <c r="H1376" s="10" t="n">
        <v>343</v>
      </c>
      <c r="I1376" s="10" t="n">
        <v>18</v>
      </c>
      <c r="J1376" s="10" t="n">
        <v>0</v>
      </c>
      <c r="K1376" s="10" t="s">
        <v>20</v>
      </c>
      <c r="L1376" s="11" t="n">
        <v>40615.2164236111</v>
      </c>
      <c r="M1376" s="12" t="s">
        <v>1301</v>
      </c>
      <c r="N1376" s="12" t="s">
        <v>1302</v>
      </c>
      <c r="O1376" s="9" t="str">
        <f aca="false">HYPERLINK("https://pbs.twimg.com/profile_images/918472430141825024/F5a3RyiV_normal.jpg","View")</f>
        <v>View</v>
      </c>
      <c r="P1376" s="10"/>
    </row>
    <row r="1377" customFormat="false" ht="15.75" hidden="false" customHeight="false" outlineLevel="0" collapsed="false">
      <c r="A1377" s="6" t="n">
        <v>43030.1909490741</v>
      </c>
      <c r="B1377" s="7" t="str">
        <f aca="false">HYPERLINK("https://twitter.com/kotobukilloyd78","@kotobukilloyd78")</f>
        <v>@kotobukilloyd78</v>
      </c>
      <c r="C1377" s="8" t="s">
        <v>3602</v>
      </c>
      <c r="D1377" s="8" t="s">
        <v>3583</v>
      </c>
      <c r="E1377" s="9" t="str">
        <f aca="false">HYPERLINK("https://twitter.com/kotobukilloyd78/status/922063727964200960","922063727964200960")</f>
        <v>922063727964200960</v>
      </c>
      <c r="F1377" s="10" t="s">
        <v>39</v>
      </c>
      <c r="G1377" s="10" t="n">
        <v>532</v>
      </c>
      <c r="H1377" s="10" t="n">
        <v>504</v>
      </c>
      <c r="I1377" s="10" t="n">
        <v>4</v>
      </c>
      <c r="J1377" s="10" t="n">
        <v>0</v>
      </c>
      <c r="K1377" s="10" t="s">
        <v>20</v>
      </c>
      <c r="L1377" s="11" t="n">
        <v>41932.2162152778</v>
      </c>
      <c r="M1377" s="12" t="s">
        <v>3603</v>
      </c>
      <c r="N1377" s="12" t="s">
        <v>3604</v>
      </c>
      <c r="O1377" s="9" t="str">
        <f aca="false">HYPERLINK("https://pbs.twimg.com/profile_images/607910257285734402/nCOpu-I2_normal.jpg","View")</f>
        <v>View</v>
      </c>
      <c r="P1377" s="10"/>
    </row>
    <row r="1378" customFormat="false" ht="15.75" hidden="false" customHeight="false" outlineLevel="0" collapsed="false">
      <c r="A1378" s="6" t="n">
        <v>43030.1910532407</v>
      </c>
      <c r="B1378" s="7" t="str">
        <f aca="false">HYPERLINK("https://twitter.com/kotobukilloyd78","@kotobukilloyd78")</f>
        <v>@kotobukilloyd78</v>
      </c>
      <c r="C1378" s="8" t="s">
        <v>3602</v>
      </c>
      <c r="D1378" s="8" t="s">
        <v>3541</v>
      </c>
      <c r="E1378" s="9" t="str">
        <f aca="false">HYPERLINK("https://twitter.com/kotobukilloyd78/status/922063765075509248","922063765075509248")</f>
        <v>922063765075509248</v>
      </c>
      <c r="F1378" s="10" t="s">
        <v>39</v>
      </c>
      <c r="G1378" s="10" t="n">
        <v>532</v>
      </c>
      <c r="H1378" s="10" t="n">
        <v>504</v>
      </c>
      <c r="I1378" s="10" t="n">
        <v>18</v>
      </c>
      <c r="J1378" s="10" t="n">
        <v>0</v>
      </c>
      <c r="K1378" s="10" t="s">
        <v>20</v>
      </c>
      <c r="L1378" s="11" t="n">
        <v>41932.2162152778</v>
      </c>
      <c r="M1378" s="12" t="s">
        <v>3603</v>
      </c>
      <c r="N1378" s="12" t="s">
        <v>3604</v>
      </c>
      <c r="O1378" s="9" t="str">
        <f aca="false">HYPERLINK("https://pbs.twimg.com/profile_images/607910257285734402/nCOpu-I2_normal.jpg","View")</f>
        <v>View</v>
      </c>
      <c r="P1378" s="10"/>
    </row>
    <row r="1379" customFormat="false" ht="15.75" hidden="false" customHeight="false" outlineLevel="0" collapsed="false">
      <c r="A1379" s="6" t="n">
        <v>43030.1912152778</v>
      </c>
      <c r="B1379" s="7" t="str">
        <f aca="false">HYPERLINK("https://twitter.com/kotobukilloyd78","@kotobukilloyd78")</f>
        <v>@kotobukilloyd78</v>
      </c>
      <c r="C1379" s="8" t="s">
        <v>3602</v>
      </c>
      <c r="D1379" s="8" t="s">
        <v>3605</v>
      </c>
      <c r="E1379" s="9" t="str">
        <f aca="false">HYPERLINK("https://twitter.com/kotobukilloyd78/status/922063823149740032","922063823149740032")</f>
        <v>922063823149740032</v>
      </c>
      <c r="F1379" s="10" t="s">
        <v>39</v>
      </c>
      <c r="G1379" s="10" t="n">
        <v>532</v>
      </c>
      <c r="H1379" s="10" t="n">
        <v>504</v>
      </c>
      <c r="I1379" s="10" t="n">
        <v>2</v>
      </c>
      <c r="J1379" s="10" t="n">
        <v>0</v>
      </c>
      <c r="K1379" s="10" t="s">
        <v>20</v>
      </c>
      <c r="L1379" s="11" t="n">
        <v>41932.2162152778</v>
      </c>
      <c r="M1379" s="12" t="s">
        <v>3603</v>
      </c>
      <c r="N1379" s="12" t="s">
        <v>3604</v>
      </c>
      <c r="O1379" s="9" t="str">
        <f aca="false">HYPERLINK("https://pbs.twimg.com/profile_images/607910257285734402/nCOpu-I2_normal.jpg","View")</f>
        <v>View</v>
      </c>
      <c r="P1379" s="10"/>
    </row>
    <row r="1380" customFormat="false" ht="15.75" hidden="false" customHeight="false" outlineLevel="0" collapsed="false">
      <c r="A1380" s="6" t="n">
        <v>43030.1912268518</v>
      </c>
      <c r="B1380" s="7" t="str">
        <f aca="false">HYPERLINK("https://twitter.com/ChannelNewsAsia","@ChannelNewsAsia")</f>
        <v>@ChannelNewsAsia</v>
      </c>
      <c r="C1380" s="8" t="s">
        <v>3606</v>
      </c>
      <c r="D1380" s="8" t="s">
        <v>3607</v>
      </c>
      <c r="E1380" s="9" t="str">
        <f aca="false">HYPERLINK("https://twitter.com/ChannelNewsAsia/status/922063828451332096","922063828451332096")</f>
        <v>922063828451332096</v>
      </c>
      <c r="F1380" s="10" t="s">
        <v>276</v>
      </c>
      <c r="G1380" s="10" t="n">
        <v>844262</v>
      </c>
      <c r="H1380" s="10" t="n">
        <v>181</v>
      </c>
      <c r="I1380" s="10" t="n">
        <v>16</v>
      </c>
      <c r="J1380" s="10" t="n">
        <v>5</v>
      </c>
      <c r="K1380" s="10" t="s">
        <v>20</v>
      </c>
      <c r="L1380" s="11" t="n">
        <v>39940.0935532407</v>
      </c>
      <c r="M1380" s="12" t="s">
        <v>186</v>
      </c>
      <c r="N1380" s="12" t="s">
        <v>3608</v>
      </c>
      <c r="O1380" s="9" t="str">
        <f aca="false">HYPERLINK("https://pbs.twimg.com/profile_images/876772485215141889/k58i8c8N_normal.jpg","View")</f>
        <v>View</v>
      </c>
      <c r="P1380" s="10"/>
    </row>
    <row r="1381" customFormat="false" ht="15.75" hidden="false" customHeight="false" outlineLevel="0" collapsed="false">
      <c r="A1381" s="6" t="n">
        <v>43030.19125</v>
      </c>
      <c r="B1381" s="7" t="str">
        <f aca="false">HYPERLINK("https://twitter.com/manatrue","@manatrue")</f>
        <v>@manatrue</v>
      </c>
      <c r="C1381" s="8" t="s">
        <v>3609</v>
      </c>
      <c r="D1381" s="8" t="s">
        <v>3295</v>
      </c>
      <c r="E1381" s="9" t="str">
        <f aca="false">HYPERLINK("https://twitter.com/manatrue/status/922063837276397568","922063837276397568")</f>
        <v>922063837276397568</v>
      </c>
      <c r="F1381" s="10" t="s">
        <v>276</v>
      </c>
      <c r="G1381" s="10" t="n">
        <v>3019</v>
      </c>
      <c r="H1381" s="10" t="n">
        <v>775</v>
      </c>
      <c r="I1381" s="10" t="n">
        <v>71</v>
      </c>
      <c r="J1381" s="10" t="n">
        <v>0</v>
      </c>
      <c r="K1381" s="10" t="s">
        <v>20</v>
      </c>
      <c r="L1381" s="11" t="n">
        <v>40090.3988194445</v>
      </c>
      <c r="M1381" s="12" t="s">
        <v>3610</v>
      </c>
      <c r="N1381" s="12" t="s">
        <v>3611</v>
      </c>
      <c r="O1381" s="9" t="str">
        <f aca="false">HYPERLINK("https://pbs.twimg.com/profile_images/539037960847372289/wZoLa3Sn_normal.jpeg","View")</f>
        <v>View</v>
      </c>
      <c r="P1381" s="10"/>
    </row>
    <row r="1382" customFormat="false" ht="15.75" hidden="false" customHeight="false" outlineLevel="0" collapsed="false">
      <c r="A1382" s="6" t="n">
        <v>43030.1913078704</v>
      </c>
      <c r="B1382" s="7" t="str">
        <f aca="false">HYPERLINK("https://twitter.com/deanmarin","@deanmarin")</f>
        <v>@deanmarin</v>
      </c>
      <c r="C1382" s="8" t="s">
        <v>3612</v>
      </c>
      <c r="D1382" s="8" t="s">
        <v>3541</v>
      </c>
      <c r="E1382" s="9" t="str">
        <f aca="false">HYPERLINK("https://twitter.com/deanmarin/status/922063858298245121","922063858298245121")</f>
        <v>922063858298245121</v>
      </c>
      <c r="F1382" s="10" t="s">
        <v>25</v>
      </c>
      <c r="G1382" s="10" t="n">
        <v>5518</v>
      </c>
      <c r="H1382" s="10" t="n">
        <v>3608</v>
      </c>
      <c r="I1382" s="10" t="n">
        <v>18</v>
      </c>
      <c r="J1382" s="10" t="n">
        <v>0</v>
      </c>
      <c r="K1382" s="10" t="s">
        <v>20</v>
      </c>
      <c r="L1382" s="11" t="n">
        <v>40298.0973958333</v>
      </c>
      <c r="M1382" s="12" t="s">
        <v>3613</v>
      </c>
      <c r="N1382" s="12" t="s">
        <v>3614</v>
      </c>
      <c r="O1382" s="9" t="str">
        <f aca="false">HYPERLINK("https://pbs.twimg.com/profile_images/597356964352491520/llaJmSyM_normal.jpg","View")</f>
        <v>View</v>
      </c>
      <c r="P1382" s="10"/>
    </row>
    <row r="1383" customFormat="false" ht="15.75" hidden="false" customHeight="false" outlineLevel="0" collapsed="false">
      <c r="A1383" s="6" t="n">
        <v>43030.1914351852</v>
      </c>
      <c r="B1383" s="7" t="str">
        <f aca="false">HYPERLINK("https://twitter.com/sixteinliesena","@sixteinliesena")</f>
        <v>@sixteinliesena</v>
      </c>
      <c r="C1383" s="8" t="s">
        <v>3615</v>
      </c>
      <c r="D1383" s="8" t="s">
        <v>3295</v>
      </c>
      <c r="E1383" s="9" t="str">
        <f aca="false">HYPERLINK("https://twitter.com/sixteinliesena/status/922063902556299265","922063902556299265")</f>
        <v>922063902556299265</v>
      </c>
      <c r="F1383" s="10" t="s">
        <v>25</v>
      </c>
      <c r="G1383" s="10" t="n">
        <v>543</v>
      </c>
      <c r="H1383" s="10" t="n">
        <v>662</v>
      </c>
      <c r="I1383" s="10" t="n">
        <v>71</v>
      </c>
      <c r="J1383" s="10" t="n">
        <v>0</v>
      </c>
      <c r="K1383" s="10" t="s">
        <v>20</v>
      </c>
      <c r="L1383" s="11" t="n">
        <v>40067.1269560185</v>
      </c>
      <c r="M1383" s="12" t="s">
        <v>3616</v>
      </c>
      <c r="N1383" s="12" t="s">
        <v>3617</v>
      </c>
      <c r="O1383" s="9" t="str">
        <f aca="false">HYPERLINK("https://pbs.twimg.com/profile_images/900200466646269952/xdFoCPnZ_normal.jpg","View")</f>
        <v>View</v>
      </c>
      <c r="P1383" s="10"/>
    </row>
    <row r="1384" customFormat="false" ht="15.75" hidden="false" customHeight="false" outlineLevel="0" collapsed="false">
      <c r="A1384" s="6" t="n">
        <v>43030.1917013889</v>
      </c>
      <c r="B1384" s="7" t="str">
        <f aca="false">HYPERLINK("https://twitter.com/guardianworld","@guardianworld")</f>
        <v>@guardianworld</v>
      </c>
      <c r="C1384" s="8" t="s">
        <v>2058</v>
      </c>
      <c r="D1384" s="8" t="s">
        <v>3618</v>
      </c>
      <c r="E1384" s="9" t="str">
        <f aca="false">HYPERLINK("https://twitter.com/guardianworld/status/922063999574749185","922063999574749185")</f>
        <v>922063999574749185</v>
      </c>
      <c r="F1384" s="9" t="s">
        <v>1147</v>
      </c>
      <c r="G1384" s="10" t="n">
        <v>527838</v>
      </c>
      <c r="H1384" s="10" t="n">
        <v>397</v>
      </c>
      <c r="I1384" s="10" t="n">
        <v>11</v>
      </c>
      <c r="J1384" s="10" t="n">
        <v>5</v>
      </c>
      <c r="K1384" s="10" t="s">
        <v>20</v>
      </c>
      <c r="L1384" s="11" t="n">
        <v>40346.3089930556</v>
      </c>
      <c r="M1384" s="12" t="s">
        <v>893</v>
      </c>
      <c r="N1384" s="12" t="s">
        <v>2060</v>
      </c>
      <c r="O1384" s="9" t="str">
        <f aca="false">HYPERLINK("https://pbs.twimg.com/profile_images/564785448090750976/8rX_2Cb1_normal.png","View")</f>
        <v>View</v>
      </c>
      <c r="P1384" s="10"/>
    </row>
    <row r="1385" customFormat="false" ht="15.75" hidden="false" customHeight="false" outlineLevel="0" collapsed="false">
      <c r="A1385" s="6" t="n">
        <v>43030.1920138889</v>
      </c>
      <c r="B1385" s="7" t="str">
        <f aca="false">HYPERLINK("https://twitter.com/iemackin","@iemackin")</f>
        <v>@iemackin</v>
      </c>
      <c r="C1385" s="8" t="s">
        <v>3619</v>
      </c>
      <c r="D1385" s="8" t="s">
        <v>3620</v>
      </c>
      <c r="E1385" s="9" t="str">
        <f aca="false">HYPERLINK("https://twitter.com/iemackin/status/922064114234658819","922064114234658819")</f>
        <v>922064114234658819</v>
      </c>
      <c r="F1385" s="10" t="s">
        <v>51</v>
      </c>
      <c r="G1385" s="10" t="n">
        <v>1133</v>
      </c>
      <c r="H1385" s="10" t="n">
        <v>1012</v>
      </c>
      <c r="I1385" s="10" t="n">
        <v>11</v>
      </c>
      <c r="J1385" s="10" t="n">
        <v>0</v>
      </c>
      <c r="K1385" s="10" t="s">
        <v>20</v>
      </c>
      <c r="L1385" s="11" t="n">
        <v>39545.3950578704</v>
      </c>
      <c r="M1385" s="12" t="s">
        <v>3621</v>
      </c>
      <c r="N1385" s="12" t="s">
        <v>3622</v>
      </c>
      <c r="O1385" s="9" t="str">
        <f aca="false">HYPERLINK("https://pbs.twimg.com/profile_images/886681817985765376/0zxjpt24_normal.jpg","View")</f>
        <v>View</v>
      </c>
      <c r="P1385" s="10"/>
    </row>
    <row r="1386" customFormat="false" ht="15.75" hidden="false" customHeight="false" outlineLevel="0" collapsed="false">
      <c r="A1386" s="6" t="n">
        <v>43030.192037037</v>
      </c>
      <c r="B1386" s="7" t="str">
        <f aca="false">HYPERLINK("https://twitter.com/woainiu","@woainiu")</f>
        <v>@woainiu</v>
      </c>
      <c r="C1386" s="8" t="s">
        <v>3623</v>
      </c>
      <c r="D1386" s="8" t="s">
        <v>3620</v>
      </c>
      <c r="E1386" s="9" t="str">
        <f aca="false">HYPERLINK("https://twitter.com/woainiu/status/922064123428352000","922064123428352000")</f>
        <v>922064123428352000</v>
      </c>
      <c r="F1386" s="10" t="s">
        <v>51</v>
      </c>
      <c r="G1386" s="10" t="n">
        <v>71</v>
      </c>
      <c r="H1386" s="10" t="n">
        <v>220</v>
      </c>
      <c r="I1386" s="10" t="n">
        <v>11</v>
      </c>
      <c r="J1386" s="10" t="n">
        <v>0</v>
      </c>
      <c r="K1386" s="10" t="s">
        <v>20</v>
      </c>
      <c r="L1386" s="11" t="n">
        <v>40286.0010069445</v>
      </c>
      <c r="M1386" s="12" t="s">
        <v>1529</v>
      </c>
      <c r="N1386" s="12" t="s">
        <v>3624</v>
      </c>
      <c r="O1386" s="9" t="str">
        <f aca="false">HYPERLINK("https://pbs.twimg.com/profile_images/906423455989481473/8j2WUXP5_normal.jpg","View")</f>
        <v>View</v>
      </c>
      <c r="P1386" s="10"/>
    </row>
    <row r="1387" customFormat="false" ht="15.75" hidden="false" customHeight="false" outlineLevel="0" collapsed="false">
      <c r="A1387" s="6" t="n">
        <v>43030.1920601852</v>
      </c>
      <c r="B1387" s="7" t="str">
        <f aca="false">HYPERLINK("https://twitter.com/AmolTikam","@AmolTikam")</f>
        <v>@AmolTikam</v>
      </c>
      <c r="C1387" s="8" t="s">
        <v>3625</v>
      </c>
      <c r="D1387" s="8" t="s">
        <v>3295</v>
      </c>
      <c r="E1387" s="9" t="str">
        <f aca="false">HYPERLINK("https://twitter.com/AmolTikam/status/922064131363971072","922064131363971072")</f>
        <v>922064131363971072</v>
      </c>
      <c r="F1387" s="10" t="s">
        <v>25</v>
      </c>
      <c r="G1387" s="10" t="n">
        <v>1469</v>
      </c>
      <c r="H1387" s="10" t="n">
        <v>2167</v>
      </c>
      <c r="I1387" s="10" t="n">
        <v>71</v>
      </c>
      <c r="J1387" s="10" t="n">
        <v>0</v>
      </c>
      <c r="K1387" s="10" t="s">
        <v>20</v>
      </c>
      <c r="L1387" s="11" t="n">
        <v>40054.2972106481</v>
      </c>
      <c r="M1387" s="12"/>
      <c r="N1387" s="12"/>
      <c r="O1387" s="9" t="str">
        <f aca="false">HYPERLINK("https://pbs.twimg.com/profile_images/686524658582032385/VXtfVs-f_normal.jpg","View")</f>
        <v>View</v>
      </c>
      <c r="P1387" s="10"/>
    </row>
    <row r="1388" customFormat="false" ht="15.75" hidden="false" customHeight="false" outlineLevel="0" collapsed="false">
      <c r="A1388" s="6" t="n">
        <v>43030.1922685185</v>
      </c>
      <c r="B1388" s="7" t="str">
        <f aca="false">HYPERLINK("https://twitter.com/alistairpge","@alistairpge")</f>
        <v>@alistairpge</v>
      </c>
      <c r="C1388" s="8" t="s">
        <v>3626</v>
      </c>
      <c r="D1388" s="8" t="s">
        <v>3295</v>
      </c>
      <c r="E1388" s="9" t="str">
        <f aca="false">HYPERLINK("https://twitter.com/alistairpge/status/922064206534463488","922064206534463488")</f>
        <v>922064206534463488</v>
      </c>
      <c r="F1388" s="10" t="s">
        <v>51</v>
      </c>
      <c r="G1388" s="10" t="n">
        <v>1035</v>
      </c>
      <c r="H1388" s="10" t="n">
        <v>272</v>
      </c>
      <c r="I1388" s="10" t="n">
        <v>71</v>
      </c>
      <c r="J1388" s="10" t="n">
        <v>0</v>
      </c>
      <c r="K1388" s="10" t="s">
        <v>20</v>
      </c>
      <c r="L1388" s="11" t="n">
        <v>41654.3089583333</v>
      </c>
      <c r="M1388" s="12" t="s">
        <v>3627</v>
      </c>
      <c r="N1388" s="12" t="s">
        <v>3628</v>
      </c>
      <c r="O1388" s="9" t="str">
        <f aca="false">HYPERLINK("https://pbs.twimg.com/profile_images/702803430662938625/ZRfX_XIK_normal.jpg","View")</f>
        <v>View</v>
      </c>
      <c r="P1388" s="10"/>
    </row>
    <row r="1389" customFormat="false" ht="15.75" hidden="false" customHeight="false" outlineLevel="0" collapsed="false">
      <c r="A1389" s="6" t="n">
        <v>43030.1923148148</v>
      </c>
      <c r="B1389" s="7" t="str">
        <f aca="false">HYPERLINK("https://twitter.com/VishalSng","@VishalSng")</f>
        <v>@VishalSng</v>
      </c>
      <c r="C1389" s="8" t="s">
        <v>3629</v>
      </c>
      <c r="D1389" s="8" t="s">
        <v>3295</v>
      </c>
      <c r="E1389" s="9" t="str">
        <f aca="false">HYPERLINK("https://twitter.com/VishalSng/status/922064223903125504","922064223903125504")</f>
        <v>922064223903125504</v>
      </c>
      <c r="F1389" s="10" t="s">
        <v>98</v>
      </c>
      <c r="G1389" s="10" t="n">
        <v>93</v>
      </c>
      <c r="H1389" s="10" t="n">
        <v>430</v>
      </c>
      <c r="I1389" s="10" t="n">
        <v>71</v>
      </c>
      <c r="J1389" s="10" t="n">
        <v>0</v>
      </c>
      <c r="K1389" s="10" t="s">
        <v>20</v>
      </c>
      <c r="L1389" s="11" t="n">
        <v>40074.8825462963</v>
      </c>
      <c r="M1389" s="12" t="s">
        <v>72</v>
      </c>
      <c r="N1389" s="12" t="s">
        <v>3630</v>
      </c>
      <c r="O1389" s="9" t="str">
        <f aca="false">HYPERLINK("https://abs.twimg.com/sticky/default_profile_images/default_profile_normal.png","View")</f>
        <v>View</v>
      </c>
      <c r="P1389" s="10"/>
    </row>
    <row r="1390" customFormat="false" ht="15.75" hidden="false" customHeight="false" outlineLevel="0" collapsed="false">
      <c r="A1390" s="6" t="n">
        <v>43030.1923611111</v>
      </c>
      <c r="B1390" s="7" t="str">
        <f aca="false">HYPERLINK("https://twitter.com/vtn449","@vtn449")</f>
        <v>@vtn449</v>
      </c>
      <c r="C1390" s="8" t="s">
        <v>3513</v>
      </c>
      <c r="D1390" s="8" t="s">
        <v>3631</v>
      </c>
      <c r="E1390" s="9" t="str">
        <f aca="false">HYPERLINK("https://twitter.com/vtn449/status/922064238981419008","922064238981419008")</f>
        <v>922064238981419008</v>
      </c>
      <c r="F1390" s="10" t="s">
        <v>39</v>
      </c>
      <c r="G1390" s="10" t="n">
        <v>572</v>
      </c>
      <c r="H1390" s="10" t="n">
        <v>137</v>
      </c>
      <c r="I1390" s="10" t="n">
        <v>16</v>
      </c>
      <c r="J1390" s="10" t="n">
        <v>0</v>
      </c>
      <c r="K1390" s="10" t="s">
        <v>20</v>
      </c>
      <c r="L1390" s="11" t="n">
        <v>40242.6141203704</v>
      </c>
      <c r="M1390" s="12" t="s">
        <v>186</v>
      </c>
      <c r="N1390" s="13" t="s">
        <v>3515</v>
      </c>
      <c r="O1390" s="9" t="str">
        <f aca="false">HYPERLINK("https://pbs.twimg.com/profile_images/1764956709/390211_215966585155112_151206238297814_485912_1341909967_n_normal.jpg","View")</f>
        <v>View</v>
      </c>
      <c r="P1390" s="10"/>
    </row>
    <row r="1391" customFormat="false" ht="15.75" hidden="false" customHeight="false" outlineLevel="0" collapsed="false">
      <c r="A1391" s="6" t="n">
        <v>43030.1928935185</v>
      </c>
      <c r="B1391" s="7" t="str">
        <f aca="false">HYPERLINK("https://twitter.com/lakematt","@lakematt")</f>
        <v>@lakematt</v>
      </c>
      <c r="C1391" s="8" t="s">
        <v>3632</v>
      </c>
      <c r="D1391" s="8" t="s">
        <v>3295</v>
      </c>
      <c r="E1391" s="9" t="str">
        <f aca="false">HYPERLINK("https://twitter.com/lakematt/status/922064430900436992","922064430900436992")</f>
        <v>922064430900436992</v>
      </c>
      <c r="F1391" s="10" t="s">
        <v>51</v>
      </c>
      <c r="G1391" s="10" t="n">
        <v>1180</v>
      </c>
      <c r="H1391" s="10" t="n">
        <v>2968</v>
      </c>
      <c r="I1391" s="10" t="n">
        <v>71</v>
      </c>
      <c r="J1391" s="10" t="n">
        <v>0</v>
      </c>
      <c r="K1391" s="10" t="s">
        <v>20</v>
      </c>
      <c r="L1391" s="11" t="n">
        <v>40664.6624189815</v>
      </c>
      <c r="M1391" s="12" t="s">
        <v>3633</v>
      </c>
      <c r="N1391" s="12" t="s">
        <v>3634</v>
      </c>
      <c r="O1391" s="9" t="str">
        <f aca="false">HYPERLINK("https://pbs.twimg.com/profile_images/884080792233758723/wczOZzi7_normal.jpg","View")</f>
        <v>View</v>
      </c>
      <c r="P1391" s="10"/>
    </row>
    <row r="1392" customFormat="false" ht="15.75" hidden="false" customHeight="false" outlineLevel="0" collapsed="false">
      <c r="A1392" s="6" t="n">
        <v>43030.1931944444</v>
      </c>
      <c r="B1392" s="7" t="str">
        <f aca="false">HYPERLINK("https://twitter.com/arg60mgr","@arg60mgr")</f>
        <v>@arg60mgr</v>
      </c>
      <c r="C1392" s="8" t="s">
        <v>3635</v>
      </c>
      <c r="D1392" s="8" t="s">
        <v>3620</v>
      </c>
      <c r="E1392" s="9" t="str">
        <f aca="false">HYPERLINK("https://twitter.com/arg60mgr/status/922064541990649857","922064541990649857")</f>
        <v>922064541990649857</v>
      </c>
      <c r="F1392" s="10" t="s">
        <v>51</v>
      </c>
      <c r="G1392" s="10" t="n">
        <v>73</v>
      </c>
      <c r="H1392" s="10" t="n">
        <v>490</v>
      </c>
      <c r="I1392" s="10" t="n">
        <v>11</v>
      </c>
      <c r="J1392" s="10" t="n">
        <v>0</v>
      </c>
      <c r="K1392" s="10" t="s">
        <v>20</v>
      </c>
      <c r="L1392" s="11" t="n">
        <v>42337.2813078704</v>
      </c>
      <c r="M1392" s="12" t="s">
        <v>3636</v>
      </c>
      <c r="N1392" s="12"/>
      <c r="O1392" s="9" t="str">
        <f aca="false">HYPERLINK("https://pbs.twimg.com/profile_images/711676194576588805/2wW5z2vC_normal.jpg","View")</f>
        <v>View</v>
      </c>
      <c r="P1392" s="10"/>
    </row>
    <row r="1393" customFormat="false" ht="15.75" hidden="false" customHeight="false" outlineLevel="0" collapsed="false">
      <c r="A1393" s="6" t="n">
        <v>43030.1932175926</v>
      </c>
      <c r="B1393" s="7" t="str">
        <f aca="false">HYPERLINK("https://twitter.com/guardian","@guardian")</f>
        <v>@guardian</v>
      </c>
      <c r="C1393" s="8" t="s">
        <v>3637</v>
      </c>
      <c r="D1393" s="8" t="s">
        <v>3638</v>
      </c>
      <c r="E1393" s="9" t="str">
        <f aca="false">HYPERLINK("https://twitter.com/guardian/status/922064549582385152","922064549582385152")</f>
        <v>922064549582385152</v>
      </c>
      <c r="F1393" s="10" t="s">
        <v>268</v>
      </c>
      <c r="G1393" s="10" t="n">
        <v>6861719</v>
      </c>
      <c r="H1393" s="10" t="n">
        <v>1111</v>
      </c>
      <c r="I1393" s="10" t="n">
        <v>71</v>
      </c>
      <c r="J1393" s="10" t="n">
        <v>54</v>
      </c>
      <c r="K1393" s="10" t="s">
        <v>20</v>
      </c>
      <c r="L1393" s="11" t="n">
        <v>40122.6592476852</v>
      </c>
      <c r="M1393" s="12" t="s">
        <v>893</v>
      </c>
      <c r="N1393" s="12" t="s">
        <v>3639</v>
      </c>
      <c r="O1393" s="9" t="str">
        <f aca="false">HYPERLINK("https://pbs.twimg.com/profile_images/877153924637175809/deHwf3Qu_normal.jpg","View")</f>
        <v>View</v>
      </c>
      <c r="P1393" s="10"/>
    </row>
    <row r="1394" customFormat="false" ht="15.75" hidden="false" customHeight="false" outlineLevel="0" collapsed="false">
      <c r="A1394" s="6" t="n">
        <v>43030.1932523148</v>
      </c>
      <c r="B1394" s="7" t="str">
        <f aca="false">HYPERLINK("https://twitter.com/mikeashley19","@mikeashley19")</f>
        <v>@mikeashley19</v>
      </c>
      <c r="C1394" s="8" t="s">
        <v>3640</v>
      </c>
      <c r="D1394" s="8" t="s">
        <v>3295</v>
      </c>
      <c r="E1394" s="9" t="str">
        <f aca="false">HYPERLINK("https://twitter.com/mikeashley19/status/922064562165370880","922064562165370880")</f>
        <v>922064562165370880</v>
      </c>
      <c r="F1394" s="10" t="s">
        <v>51</v>
      </c>
      <c r="G1394" s="10" t="n">
        <v>82</v>
      </c>
      <c r="H1394" s="10" t="n">
        <v>395</v>
      </c>
      <c r="I1394" s="10" t="n">
        <v>71</v>
      </c>
      <c r="J1394" s="10" t="n">
        <v>0</v>
      </c>
      <c r="K1394" s="10" t="s">
        <v>20</v>
      </c>
      <c r="L1394" s="11" t="n">
        <v>40957.470625</v>
      </c>
      <c r="M1394" s="12" t="s">
        <v>3641</v>
      </c>
      <c r="N1394" s="12"/>
      <c r="O1394" s="9" t="str">
        <f aca="false">HYPERLINK("https://pbs.twimg.com/profile_images/378800000114638585/0c72d46e2a675beddd4f907ec9ac386f_normal.jpeg","View")</f>
        <v>View</v>
      </c>
      <c r="P1394" s="10"/>
    </row>
    <row r="1395" customFormat="false" ht="15.75" hidden="false" customHeight="false" outlineLevel="0" collapsed="false">
      <c r="A1395" s="6" t="n">
        <v>43030.193275463</v>
      </c>
      <c r="B1395" s="7" t="str">
        <f aca="false">HYPERLINK("https://twitter.com/minnin5000","@minnin5000")</f>
        <v>@minnin5000</v>
      </c>
      <c r="C1395" s="8" t="s">
        <v>3642</v>
      </c>
      <c r="D1395" s="8" t="s">
        <v>3643</v>
      </c>
      <c r="E1395" s="9" t="str">
        <f aca="false">HYPERLINK("https://twitter.com/minnin5000/status/922064572424556544","922064572424556544")</f>
        <v>922064572424556544</v>
      </c>
      <c r="F1395" s="10" t="s">
        <v>60</v>
      </c>
      <c r="G1395" s="10" t="n">
        <v>241</v>
      </c>
      <c r="H1395" s="10" t="n">
        <v>260</v>
      </c>
      <c r="I1395" s="10" t="n">
        <v>0</v>
      </c>
      <c r="J1395" s="10" t="n">
        <v>0</v>
      </c>
      <c r="K1395" s="10" t="s">
        <v>20</v>
      </c>
      <c r="L1395" s="11" t="n">
        <v>42541.8846412037</v>
      </c>
      <c r="M1395" s="12" t="s">
        <v>3053</v>
      </c>
      <c r="N1395" s="12" t="s">
        <v>3644</v>
      </c>
      <c r="O1395" s="9" t="str">
        <f aca="false">HYPERLINK("https://pbs.twimg.com/profile_images/861227525392932864/dhAKWgpQ_normal.jpg","View")</f>
        <v>View</v>
      </c>
      <c r="P1395" s="10"/>
    </row>
    <row r="1396" customFormat="false" ht="15.75" hidden="false" customHeight="false" outlineLevel="0" collapsed="false">
      <c r="A1396" s="6" t="n">
        <v>43030.1934375</v>
      </c>
      <c r="B1396" s="7" t="str">
        <f aca="false">HYPERLINK("https://twitter.com/yumegiwa98","@yumegiwa98")</f>
        <v>@yumegiwa98</v>
      </c>
      <c r="C1396" s="8" t="s">
        <v>3645</v>
      </c>
      <c r="D1396" s="8" t="s">
        <v>3646</v>
      </c>
      <c r="E1396" s="9" t="str">
        <f aca="false">HYPERLINK("https://twitter.com/yumegiwa98/status/922064628984700928","922064628984700928")</f>
        <v>922064628984700928</v>
      </c>
      <c r="F1396" s="10" t="s">
        <v>51</v>
      </c>
      <c r="G1396" s="10" t="n">
        <v>16</v>
      </c>
      <c r="H1396" s="10" t="n">
        <v>40</v>
      </c>
      <c r="I1396" s="10" t="n">
        <v>71</v>
      </c>
      <c r="J1396" s="10" t="n">
        <v>0</v>
      </c>
      <c r="K1396" s="10" t="s">
        <v>20</v>
      </c>
      <c r="L1396" s="11" t="n">
        <v>42960.4101388889</v>
      </c>
      <c r="M1396" s="12" t="s">
        <v>3647</v>
      </c>
      <c r="N1396" s="12" t="s">
        <v>3648</v>
      </c>
      <c r="O1396" s="9" t="str">
        <f aca="false">HYPERLINK("https://pbs.twimg.com/profile_images/919590668393050113/j25tunpX_normal.jpg","View")</f>
        <v>View</v>
      </c>
      <c r="P1396" s="10"/>
    </row>
    <row r="1397" customFormat="false" ht="15.75" hidden="false" customHeight="false" outlineLevel="0" collapsed="false">
      <c r="A1397" s="6" t="n">
        <v>43030.1934490741</v>
      </c>
      <c r="B1397" s="7" t="str">
        <f aca="false">HYPERLINK("https://twitter.com/arifjamallodhi","@arifjamallodhi")</f>
        <v>@arifjamallodhi</v>
      </c>
      <c r="C1397" s="8" t="s">
        <v>3649</v>
      </c>
      <c r="D1397" s="8" t="s">
        <v>3646</v>
      </c>
      <c r="E1397" s="9" t="str">
        <f aca="false">HYPERLINK("https://twitter.com/arifjamallodhi/status/922064632386392069","922064632386392069")</f>
        <v>922064632386392069</v>
      </c>
      <c r="F1397" s="10" t="s">
        <v>39</v>
      </c>
      <c r="G1397" s="10" t="n">
        <v>1117</v>
      </c>
      <c r="H1397" s="10" t="n">
        <v>621</v>
      </c>
      <c r="I1397" s="10" t="n">
        <v>71</v>
      </c>
      <c r="J1397" s="10" t="n">
        <v>0</v>
      </c>
      <c r="K1397" s="10" t="s">
        <v>20</v>
      </c>
      <c r="L1397" s="11" t="n">
        <v>40175.2164236111</v>
      </c>
      <c r="M1397" s="12"/>
      <c r="N1397" s="12" t="s">
        <v>3650</v>
      </c>
      <c r="O1397" s="9" t="str">
        <f aca="false">HYPERLINK("https://pbs.twimg.com/profile_images/639750512967946240/fvAtY6x8_normal.jpg","View")</f>
        <v>View</v>
      </c>
      <c r="P1397" s="10"/>
    </row>
    <row r="1398" customFormat="false" ht="15.75" hidden="false" customHeight="false" outlineLevel="0" collapsed="false">
      <c r="A1398" s="6" t="n">
        <v>43030.1935532407</v>
      </c>
      <c r="B1398" s="7" t="str">
        <f aca="false">HYPERLINK("https://twitter.com/MyAlliesNews","@MyAlliesNews")</f>
        <v>@MyAlliesNews</v>
      </c>
      <c r="C1398" s="8" t="s">
        <v>3498</v>
      </c>
      <c r="D1398" s="8" t="s">
        <v>3651</v>
      </c>
      <c r="E1398" s="9" t="str">
        <f aca="false">HYPERLINK("https://twitter.com/MyAlliesNews/status/922064670508441600","922064670508441600")</f>
        <v>922064670508441600</v>
      </c>
      <c r="F1398" s="10" t="s">
        <v>3500</v>
      </c>
      <c r="G1398" s="10" t="n">
        <v>569</v>
      </c>
      <c r="H1398" s="10" t="n">
        <v>0</v>
      </c>
      <c r="I1398" s="10" t="n">
        <v>0</v>
      </c>
      <c r="J1398" s="10" t="n">
        <v>0</v>
      </c>
      <c r="K1398" s="10" t="s">
        <v>20</v>
      </c>
      <c r="L1398" s="11" t="n">
        <v>41717.3170833333</v>
      </c>
      <c r="M1398" s="12"/>
      <c r="N1398" s="12" t="s">
        <v>3501</v>
      </c>
      <c r="O1398" s="9" t="str">
        <f aca="false">HYPERLINK("https://pbs.twimg.com/profile_images/577892873095401473/dP2JPlyp_normal.png","View")</f>
        <v>View</v>
      </c>
      <c r="P1398" s="10"/>
    </row>
    <row r="1399" customFormat="false" ht="15.75" hidden="false" customHeight="false" outlineLevel="0" collapsed="false">
      <c r="A1399" s="6" t="n">
        <v>43030.1935648148</v>
      </c>
      <c r="B1399" s="7" t="str">
        <f aca="false">HYPERLINK("https://twitter.com/Conservative_JA","@Conservative_JA")</f>
        <v>@Conservative_JA</v>
      </c>
      <c r="C1399" s="8" t="s">
        <v>3652</v>
      </c>
      <c r="D1399" s="8" t="s">
        <v>3653</v>
      </c>
      <c r="E1399" s="9" t="str">
        <f aca="false">HYPERLINK("https://twitter.com/Conservative_JA/status/922064676841803777","922064676841803777")</f>
        <v>922064676841803777</v>
      </c>
      <c r="F1399" s="10" t="s">
        <v>39</v>
      </c>
      <c r="G1399" s="10" t="n">
        <v>236</v>
      </c>
      <c r="H1399" s="10" t="n">
        <v>701</v>
      </c>
      <c r="I1399" s="10" t="n">
        <v>0</v>
      </c>
      <c r="J1399" s="10" t="n">
        <v>0</v>
      </c>
      <c r="K1399" s="10" t="s">
        <v>20</v>
      </c>
      <c r="L1399" s="11" t="n">
        <v>43014.5457291667</v>
      </c>
      <c r="M1399" s="12" t="s">
        <v>203</v>
      </c>
      <c r="N1399" s="12" t="s">
        <v>3654</v>
      </c>
      <c r="O1399" s="9" t="str">
        <f aca="false">HYPERLINK("https://pbs.twimg.com/profile_images/916720923130068992/1lIx-4j__normal.jpg","View")</f>
        <v>View</v>
      </c>
      <c r="P1399" s="10"/>
    </row>
    <row r="1400" customFormat="false" ht="15.75" hidden="false" customHeight="false" outlineLevel="0" collapsed="false">
      <c r="A1400" s="6" t="n">
        <v>43030.1936342593</v>
      </c>
      <c r="B1400" s="7" t="str">
        <f aca="false">HYPERLINK("https://twitter.com/trinotech","@trinotech")</f>
        <v>@trinotech</v>
      </c>
      <c r="C1400" s="8" t="s">
        <v>3655</v>
      </c>
      <c r="D1400" s="8" t="s">
        <v>3646</v>
      </c>
      <c r="E1400" s="9" t="str">
        <f aca="false">HYPERLINK("https://twitter.com/trinotech/status/922064699201646593","922064699201646593")</f>
        <v>922064699201646593</v>
      </c>
      <c r="F1400" s="10" t="s">
        <v>51</v>
      </c>
      <c r="G1400" s="10" t="n">
        <v>1253</v>
      </c>
      <c r="H1400" s="10" t="n">
        <v>1576</v>
      </c>
      <c r="I1400" s="10" t="n">
        <v>71</v>
      </c>
      <c r="J1400" s="10" t="n">
        <v>0</v>
      </c>
      <c r="K1400" s="10" t="s">
        <v>20</v>
      </c>
      <c r="L1400" s="11" t="n">
        <v>40840.0440277778</v>
      </c>
      <c r="M1400" s="12" t="s">
        <v>3656</v>
      </c>
      <c r="N1400" s="12"/>
      <c r="O1400" s="9" t="str">
        <f aca="false">HYPERLINK("https://pbs.twimg.com/profile_images/884198951825616896/AIRlIw0s_normal.jpg","View")</f>
        <v>View</v>
      </c>
      <c r="P1400" s="10"/>
    </row>
    <row r="1401" customFormat="false" ht="15.75" hidden="false" customHeight="false" outlineLevel="0" collapsed="false">
      <c r="A1401" s="6" t="n">
        <v>43030.1938078704</v>
      </c>
      <c r="B1401" s="7" t="str">
        <f aca="false">HYPERLINK("https://twitter.com/walkileaks","@walkileaks")</f>
        <v>@walkileaks</v>
      </c>
      <c r="C1401" s="8" t="s">
        <v>1267</v>
      </c>
      <c r="D1401" s="8" t="s">
        <v>3657</v>
      </c>
      <c r="E1401" s="9" t="str">
        <f aca="false">HYPERLINK("https://twitter.com/walkileaks/status/922064762598457344","922064762598457344")</f>
        <v>922064762598457344</v>
      </c>
      <c r="F1401" s="9" t="s">
        <v>979</v>
      </c>
      <c r="G1401" s="10" t="n">
        <v>533</v>
      </c>
      <c r="H1401" s="10" t="n">
        <v>738</v>
      </c>
      <c r="I1401" s="10" t="n">
        <v>0</v>
      </c>
      <c r="J1401" s="10" t="n">
        <v>0</v>
      </c>
      <c r="K1401" s="10" t="s">
        <v>20</v>
      </c>
      <c r="L1401" s="11" t="n">
        <v>41239.3942361111</v>
      </c>
      <c r="M1401" s="12" t="s">
        <v>230</v>
      </c>
      <c r="N1401" s="12" t="s">
        <v>1269</v>
      </c>
      <c r="O1401" s="9" t="str">
        <f aca="false">HYPERLINK("https://pbs.twimg.com/profile_images/782945569501286401/BOfnIaHw_normal.jpg","View")</f>
        <v>View</v>
      </c>
      <c r="P1401" s="10"/>
    </row>
    <row r="1402" customFormat="false" ht="15.75" hidden="false" customHeight="false" outlineLevel="0" collapsed="false">
      <c r="A1402" s="6" t="n">
        <v>43030.1939699074</v>
      </c>
      <c r="B1402" s="7" t="str">
        <f aca="false">HYPERLINK("https://twitter.com/SojournerNow","@SojournerNow")</f>
        <v>@SojournerNow</v>
      </c>
      <c r="C1402" s="8" t="s">
        <v>3658</v>
      </c>
      <c r="D1402" s="8" t="s">
        <v>3646</v>
      </c>
      <c r="E1402" s="9" t="str">
        <f aca="false">HYPERLINK("https://twitter.com/SojournerNow/status/922064821503365120","922064821503365120")</f>
        <v>922064821503365120</v>
      </c>
      <c r="F1402" s="10" t="s">
        <v>39</v>
      </c>
      <c r="G1402" s="10" t="n">
        <v>2708</v>
      </c>
      <c r="H1402" s="10" t="n">
        <v>5001</v>
      </c>
      <c r="I1402" s="10" t="n">
        <v>71</v>
      </c>
      <c r="J1402" s="10" t="n">
        <v>0</v>
      </c>
      <c r="K1402" s="10" t="s">
        <v>20</v>
      </c>
      <c r="L1402" s="11" t="n">
        <v>41637.4065509259</v>
      </c>
      <c r="M1402" s="12" t="s">
        <v>3659</v>
      </c>
      <c r="N1402" s="12" t="s">
        <v>3660</v>
      </c>
      <c r="O1402" s="9" t="str">
        <f aca="false">HYPERLINK("https://pbs.twimg.com/profile_images/921508441214009344/RacWFT1S_normal.jpg","View")</f>
        <v>View</v>
      </c>
      <c r="P1402" s="10"/>
    </row>
    <row r="1403" customFormat="false" ht="15.75" hidden="false" customHeight="false" outlineLevel="0" collapsed="false">
      <c r="A1403" s="6" t="n">
        <v>43030.1940856482</v>
      </c>
      <c r="B1403" s="7" t="str">
        <f aca="false">HYPERLINK("https://twitter.com/TorstenGustaf11","@TorstenGustaf11")</f>
        <v>@TorstenGustaf11</v>
      </c>
      <c r="C1403" s="8" t="s">
        <v>3661</v>
      </c>
      <c r="D1403" s="8" t="s">
        <v>3422</v>
      </c>
      <c r="E1403" s="9" t="str">
        <f aca="false">HYPERLINK("https://twitter.com/TorstenGustaf11/status/922064864281088000","922064864281088000")</f>
        <v>922064864281088000</v>
      </c>
      <c r="F1403" s="10" t="s">
        <v>177</v>
      </c>
      <c r="G1403" s="10" t="n">
        <v>46</v>
      </c>
      <c r="H1403" s="10" t="n">
        <v>368</v>
      </c>
      <c r="I1403" s="10" t="n">
        <v>27</v>
      </c>
      <c r="J1403" s="10" t="n">
        <v>0</v>
      </c>
      <c r="K1403" s="10" t="s">
        <v>20</v>
      </c>
      <c r="L1403" s="11" t="n">
        <v>42196.0594328704</v>
      </c>
      <c r="M1403" s="12" t="s">
        <v>3662</v>
      </c>
      <c r="N1403" s="12" t="s">
        <v>3663</v>
      </c>
      <c r="O1403" s="9" t="str">
        <f aca="false">HYPERLINK("https://pbs.twimg.com/profile_images/622023339767406592/rzDmb_az_normal.jpg","View")</f>
        <v>View</v>
      </c>
      <c r="P1403" s="10"/>
    </row>
    <row r="1404" customFormat="false" ht="15.75" hidden="false" customHeight="false" outlineLevel="0" collapsed="false">
      <c r="A1404" s="6" t="n">
        <v>43030.1940856482</v>
      </c>
      <c r="B1404" s="7" t="str">
        <f aca="false">HYPERLINK("https://twitter.com/sopicali","@sopicali")</f>
        <v>@sopicali</v>
      </c>
      <c r="C1404" s="8" t="s">
        <v>2086</v>
      </c>
      <c r="D1404" s="8" t="s">
        <v>3664</v>
      </c>
      <c r="E1404" s="9" t="str">
        <f aca="false">HYPERLINK("https://twitter.com/sopicali/status/922064865602211842","922064865602211842")</f>
        <v>922064865602211842</v>
      </c>
      <c r="F1404" s="10" t="s">
        <v>60</v>
      </c>
      <c r="G1404" s="10" t="n">
        <v>44</v>
      </c>
      <c r="H1404" s="10" t="n">
        <v>170</v>
      </c>
      <c r="I1404" s="10" t="n">
        <v>0</v>
      </c>
      <c r="J1404" s="10" t="n">
        <v>0</v>
      </c>
      <c r="K1404" s="10" t="s">
        <v>20</v>
      </c>
      <c r="L1404" s="11" t="n">
        <v>40546.6565277778</v>
      </c>
      <c r="M1404" s="12"/>
      <c r="N1404" s="12"/>
      <c r="O1404" s="9" t="str">
        <f aca="false">HYPERLINK("https://pbs.twimg.com/profile_images/1900200896/alhie_sm11_normal.jpg","View")</f>
        <v>View</v>
      </c>
      <c r="P1404" s="10"/>
    </row>
    <row r="1405" customFormat="false" ht="15.75" hidden="false" customHeight="false" outlineLevel="0" collapsed="false">
      <c r="A1405" s="6" t="n">
        <v>43030.194212963</v>
      </c>
      <c r="B1405" s="7" t="str">
        <f aca="false">HYPERLINK("https://twitter.com/angieevanhorn","@angieevanhorn")</f>
        <v>@angieevanhorn</v>
      </c>
      <c r="C1405" s="8" t="s">
        <v>3665</v>
      </c>
      <c r="D1405" s="8" t="s">
        <v>3646</v>
      </c>
      <c r="E1405" s="9" t="str">
        <f aca="false">HYPERLINK("https://twitter.com/angieevanhorn/status/922064912125513728","922064912125513728")</f>
        <v>922064912125513728</v>
      </c>
      <c r="F1405" s="10" t="s">
        <v>39</v>
      </c>
      <c r="G1405" s="10" t="n">
        <v>725</v>
      </c>
      <c r="H1405" s="10" t="n">
        <v>642</v>
      </c>
      <c r="I1405" s="10" t="n">
        <v>71</v>
      </c>
      <c r="J1405" s="10" t="n">
        <v>0</v>
      </c>
      <c r="K1405" s="10" t="s">
        <v>20</v>
      </c>
      <c r="L1405" s="11" t="n">
        <v>41150.8703240741</v>
      </c>
      <c r="M1405" s="12" t="s">
        <v>502</v>
      </c>
      <c r="N1405" s="12" t="s">
        <v>3666</v>
      </c>
      <c r="O1405" s="9" t="str">
        <f aca="false">HYPERLINK("https://pbs.twimg.com/profile_images/472180274378203136/rv9oHNRE_normal.jpeg","View")</f>
        <v>View</v>
      </c>
      <c r="P1405" s="10"/>
    </row>
    <row r="1406" customFormat="false" ht="15.75" hidden="false" customHeight="false" outlineLevel="0" collapsed="false">
      <c r="A1406" s="6" t="n">
        <v>43030.1942361111</v>
      </c>
      <c r="B1406" s="7" t="str">
        <f aca="false">HYPERLINK("https://twitter.com/SUBARUMSJ22","@SUBARUMSJ22")</f>
        <v>@SUBARUMSJ22</v>
      </c>
      <c r="C1406" s="14" t="s">
        <v>3667</v>
      </c>
      <c r="D1406" s="8" t="s">
        <v>3646</v>
      </c>
      <c r="E1406" s="9" t="str">
        <f aca="false">HYPERLINK("https://twitter.com/SUBARUMSJ22/status/922064918987227137","922064918987227137")</f>
        <v>922064918987227137</v>
      </c>
      <c r="F1406" s="10" t="s">
        <v>25</v>
      </c>
      <c r="G1406" s="10" t="n">
        <v>69</v>
      </c>
      <c r="H1406" s="10" t="n">
        <v>449</v>
      </c>
      <c r="I1406" s="10" t="n">
        <v>71</v>
      </c>
      <c r="J1406" s="10" t="n">
        <v>0</v>
      </c>
      <c r="K1406" s="10" t="s">
        <v>20</v>
      </c>
      <c r="L1406" s="11" t="n">
        <v>43013.9800347222</v>
      </c>
      <c r="M1406" s="13" t="s">
        <v>3668</v>
      </c>
      <c r="N1406" s="13" t="s">
        <v>3669</v>
      </c>
      <c r="O1406" s="9" t="str">
        <f aca="false">HYPERLINK("https://pbs.twimg.com/profile_images/916234263191629824/XkhE4Rll_normal.jpg","View")</f>
        <v>View</v>
      </c>
      <c r="P1406" s="10"/>
    </row>
    <row r="1407" customFormat="false" ht="15.75" hidden="false" customHeight="false" outlineLevel="0" collapsed="false">
      <c r="A1407" s="6" t="n">
        <v>43030.1942824074</v>
      </c>
      <c r="B1407" s="7" t="str">
        <f aca="false">HYPERLINK("https://twitter.com/cincomar","@cincomar")</f>
        <v>@cincomar</v>
      </c>
      <c r="C1407" s="8" t="s">
        <v>3670</v>
      </c>
      <c r="D1407" s="8" t="s">
        <v>3646</v>
      </c>
      <c r="E1407" s="9" t="str">
        <f aca="false">HYPERLINK("https://twitter.com/cincomar/status/922064936334901249","922064936334901249")</f>
        <v>922064936334901249</v>
      </c>
      <c r="F1407" s="10" t="s">
        <v>25</v>
      </c>
      <c r="G1407" s="10" t="n">
        <v>784</v>
      </c>
      <c r="H1407" s="10" t="n">
        <v>1713</v>
      </c>
      <c r="I1407" s="10" t="n">
        <v>71</v>
      </c>
      <c r="J1407" s="10" t="n">
        <v>0</v>
      </c>
      <c r="K1407" s="10" t="s">
        <v>20</v>
      </c>
      <c r="L1407" s="11" t="n">
        <v>39858.5437731482</v>
      </c>
      <c r="M1407" s="12" t="s">
        <v>3671</v>
      </c>
      <c r="N1407" s="12"/>
      <c r="O1407" s="9" t="str">
        <f aca="false">HYPERLINK("https://pbs.twimg.com/profile_images/826911157151608832/_ENo8cjA_normal.jpg","View")</f>
        <v>View</v>
      </c>
      <c r="P1407" s="10"/>
    </row>
    <row r="1408" customFormat="false" ht="15.75" hidden="false" customHeight="false" outlineLevel="0" collapsed="false">
      <c r="A1408" s="6" t="n">
        <v>43030.1943171296</v>
      </c>
      <c r="B1408" s="7" t="str">
        <f aca="false">HYPERLINK("https://twitter.com/UchikogaHiroshi","@UchikogaHiroshi")</f>
        <v>@UchikogaHiroshi</v>
      </c>
      <c r="C1408" s="14" t="s">
        <v>3672</v>
      </c>
      <c r="D1408" s="8" t="s">
        <v>3646</v>
      </c>
      <c r="E1408" s="9" t="str">
        <f aca="false">HYPERLINK("https://twitter.com/UchikogaHiroshi/status/922064948607324160","922064948607324160")</f>
        <v>922064948607324160</v>
      </c>
      <c r="F1408" s="10" t="s">
        <v>39</v>
      </c>
      <c r="G1408" s="10" t="n">
        <v>176</v>
      </c>
      <c r="H1408" s="10" t="n">
        <v>422</v>
      </c>
      <c r="I1408" s="10" t="n">
        <v>71</v>
      </c>
      <c r="J1408" s="10" t="n">
        <v>0</v>
      </c>
      <c r="K1408" s="10" t="s">
        <v>20</v>
      </c>
      <c r="L1408" s="11" t="n">
        <v>42908.2134490741</v>
      </c>
      <c r="M1408" s="13" t="s">
        <v>3673</v>
      </c>
      <c r="N1408" s="13" t="s">
        <v>3674</v>
      </c>
      <c r="O1408" s="9" t="str">
        <f aca="false">HYPERLINK("https://pbs.twimg.com/profile_images/882860972003569664/2PrHFwtA_normal.jpg","View")</f>
        <v>View</v>
      </c>
      <c r="P1408" s="10"/>
    </row>
    <row r="1409" customFormat="false" ht="15.75" hidden="false" customHeight="false" outlineLevel="0" collapsed="false">
      <c r="A1409" s="6" t="n">
        <v>43030.1944444445</v>
      </c>
      <c r="B1409" s="7" t="str">
        <f aca="false">HYPERLINK("https://twitter.com/MaterialBee","@MaterialBee")</f>
        <v>@MaterialBee</v>
      </c>
      <c r="C1409" s="14" t="s">
        <v>3451</v>
      </c>
      <c r="D1409" s="8" t="s">
        <v>3646</v>
      </c>
      <c r="E1409" s="9" t="str">
        <f aca="false">HYPERLINK("https://twitter.com/MaterialBee/status/922064992609767425","922064992609767425")</f>
        <v>922064992609767425</v>
      </c>
      <c r="F1409" s="10" t="s">
        <v>51</v>
      </c>
      <c r="G1409" s="10" t="n">
        <v>627</v>
      </c>
      <c r="H1409" s="10" t="n">
        <v>555</v>
      </c>
      <c r="I1409" s="10" t="n">
        <v>71</v>
      </c>
      <c r="J1409" s="10" t="n">
        <v>0</v>
      </c>
      <c r="K1409" s="10" t="s">
        <v>20</v>
      </c>
      <c r="L1409" s="11" t="n">
        <v>40305.683900463</v>
      </c>
      <c r="M1409" s="13" t="s">
        <v>3452</v>
      </c>
      <c r="N1409" s="13" t="s">
        <v>3453</v>
      </c>
      <c r="O1409" s="9" t="str">
        <f aca="false">HYPERLINK("https://pbs.twimg.com/profile_images/1241364770/top_hasu_normal.png","View")</f>
        <v>View</v>
      </c>
      <c r="P1409" s="10"/>
    </row>
    <row r="1410" customFormat="false" ht="15.75" hidden="false" customHeight="false" outlineLevel="0" collapsed="false">
      <c r="A1410" s="6" t="n">
        <v>43030.1944560185</v>
      </c>
      <c r="B1410" s="7" t="str">
        <f aca="false">HYPERLINK("https://twitter.com/CTVNews","@CTVNews")</f>
        <v>@CTVNews</v>
      </c>
      <c r="C1410" s="8" t="s">
        <v>3675</v>
      </c>
      <c r="D1410" s="8" t="s">
        <v>3676</v>
      </c>
      <c r="E1410" s="9" t="str">
        <f aca="false">HYPERLINK("https://twitter.com/CTVNews/status/922064997714407424","922064997714407424")</f>
        <v>922064997714407424</v>
      </c>
      <c r="F1410" s="10" t="s">
        <v>3677</v>
      </c>
      <c r="G1410" s="10" t="n">
        <v>643607</v>
      </c>
      <c r="H1410" s="10" t="n">
        <v>317</v>
      </c>
      <c r="I1410" s="10" t="n">
        <v>3</v>
      </c>
      <c r="J1410" s="10" t="n">
        <v>5</v>
      </c>
      <c r="K1410" s="10" t="s">
        <v>20</v>
      </c>
      <c r="L1410" s="11" t="n">
        <v>40466.3671527778</v>
      </c>
      <c r="M1410" s="12"/>
      <c r="N1410" s="12" t="s">
        <v>3678</v>
      </c>
      <c r="O1410" s="9" t="str">
        <f aca="false">HYPERLINK("https://pbs.twimg.com/profile_images/378800000530407839/22101d60543a76ebf9506a60f37e1534_normal.jpeg","View")</f>
        <v>View</v>
      </c>
      <c r="P1410" s="10"/>
    </row>
    <row r="1411" customFormat="false" ht="15.75" hidden="false" customHeight="false" outlineLevel="0" collapsed="false">
      <c r="A1411" s="6" t="n">
        <v>43030.1944560185</v>
      </c>
      <c r="B1411" s="7" t="str">
        <f aca="false">HYPERLINK("https://twitter.com/AFP","@AFP")</f>
        <v>@AFP</v>
      </c>
      <c r="C1411" s="8" t="s">
        <v>3679</v>
      </c>
      <c r="D1411" s="8" t="s">
        <v>3680</v>
      </c>
      <c r="E1411" s="9" t="str">
        <f aca="false">HYPERLINK("https://twitter.com/AFP/status/922064999169888256","922064999169888256")</f>
        <v>922064999169888256</v>
      </c>
      <c r="F1411" s="10" t="s">
        <v>276</v>
      </c>
      <c r="G1411" s="10" t="n">
        <v>1290728</v>
      </c>
      <c r="H1411" s="10" t="n">
        <v>559</v>
      </c>
      <c r="I1411" s="10" t="n">
        <v>6</v>
      </c>
      <c r="J1411" s="10" t="n">
        <v>2</v>
      </c>
      <c r="K1411" s="10" t="s">
        <v>20</v>
      </c>
      <c r="L1411" s="11" t="n">
        <v>40812.7327546296</v>
      </c>
      <c r="M1411" s="12" t="s">
        <v>567</v>
      </c>
      <c r="N1411" s="12" t="s">
        <v>3681</v>
      </c>
      <c r="O1411" s="9" t="str">
        <f aca="false">HYPERLINK("https://pbs.twimg.com/profile_images/697343883630481408/c08JBfBB_normal.jpg","View")</f>
        <v>View</v>
      </c>
      <c r="P1411" s="10"/>
    </row>
    <row r="1412" customFormat="false" ht="15.75" hidden="false" customHeight="false" outlineLevel="0" collapsed="false">
      <c r="A1412" s="6" t="n">
        <v>43030.1945023148</v>
      </c>
      <c r="B1412" s="7" t="str">
        <f aca="false">HYPERLINK("https://twitter.com/News365247live","@News365247live")</f>
        <v>@News365247live</v>
      </c>
      <c r="C1412" s="8" t="s">
        <v>376</v>
      </c>
      <c r="D1412" s="8" t="s">
        <v>3646</v>
      </c>
      <c r="E1412" s="9" t="str">
        <f aca="false">HYPERLINK("https://twitter.com/News365247live/status/922065014835486720","922065014835486720")</f>
        <v>922065014835486720</v>
      </c>
      <c r="F1412" s="10" t="s">
        <v>377</v>
      </c>
      <c r="G1412" s="10" t="n">
        <v>1534</v>
      </c>
      <c r="H1412" s="10" t="n">
        <v>5001</v>
      </c>
      <c r="I1412" s="10" t="n">
        <v>71</v>
      </c>
      <c r="J1412" s="10" t="n">
        <v>0</v>
      </c>
      <c r="K1412" s="10" t="s">
        <v>20</v>
      </c>
      <c r="L1412" s="11" t="n">
        <v>42728.3420949074</v>
      </c>
      <c r="M1412" s="12" t="s">
        <v>357</v>
      </c>
      <c r="N1412" s="12" t="s">
        <v>378</v>
      </c>
      <c r="O1412" s="9" t="str">
        <f aca="false">HYPERLINK("https://pbs.twimg.com/profile_images/813047771091472384/ZtakiWrG_normal.jpg","View")</f>
        <v>View</v>
      </c>
      <c r="P1412" s="10"/>
    </row>
    <row r="1413" customFormat="false" ht="15.75" hidden="false" customHeight="false" outlineLevel="0" collapsed="false">
      <c r="A1413" s="6" t="n">
        <v>43030.194537037</v>
      </c>
      <c r="B1413" s="7" t="str">
        <f aca="false">HYPERLINK("https://twitter.com/drDendere","@drDendere")</f>
        <v>@drDendere</v>
      </c>
      <c r="C1413" s="8" t="s">
        <v>3682</v>
      </c>
      <c r="D1413" s="8" t="s">
        <v>3646</v>
      </c>
      <c r="E1413" s="9" t="str">
        <f aca="false">HYPERLINK("https://twitter.com/drDendere/status/922065026718097408","922065026718097408")</f>
        <v>922065026718097408</v>
      </c>
      <c r="F1413" s="10" t="s">
        <v>51</v>
      </c>
      <c r="G1413" s="10" t="n">
        <v>1775</v>
      </c>
      <c r="H1413" s="10" t="n">
        <v>1182</v>
      </c>
      <c r="I1413" s="10" t="n">
        <v>71</v>
      </c>
      <c r="J1413" s="10" t="n">
        <v>0</v>
      </c>
      <c r="K1413" s="10" t="s">
        <v>20</v>
      </c>
      <c r="L1413" s="11" t="n">
        <v>42174.3365509259</v>
      </c>
      <c r="M1413" s="12" t="s">
        <v>3032</v>
      </c>
      <c r="N1413" s="12" t="s">
        <v>3683</v>
      </c>
      <c r="O1413" s="9" t="str">
        <f aca="false">HYPERLINK("https://pbs.twimg.com/profile_images/823372358173990912/_e4JHK3o_normal.jpg","View")</f>
        <v>View</v>
      </c>
      <c r="P1413" s="10"/>
    </row>
    <row r="1414" customFormat="false" ht="15.75" hidden="false" customHeight="false" outlineLevel="0" collapsed="false">
      <c r="A1414" s="6" t="n">
        <v>43030.1947685185</v>
      </c>
      <c r="B1414" s="7" t="str">
        <f aca="false">HYPERLINK("https://twitter.com/Silver_1234","@Silver_1234")</f>
        <v>@Silver_1234</v>
      </c>
      <c r="C1414" s="8" t="s">
        <v>3684</v>
      </c>
      <c r="D1414" s="8" t="s">
        <v>3685</v>
      </c>
      <c r="E1414" s="9" t="str">
        <f aca="false">HYPERLINK("https://twitter.com/Silver_1234/status/922065113120567296","922065113120567296")</f>
        <v>922065113120567296</v>
      </c>
      <c r="F1414" s="10" t="s">
        <v>51</v>
      </c>
      <c r="G1414" s="10" t="n">
        <v>13449</v>
      </c>
      <c r="H1414" s="10" t="n">
        <v>12508</v>
      </c>
      <c r="I1414" s="10" t="n">
        <v>6</v>
      </c>
      <c r="J1414" s="10" t="n">
        <v>0</v>
      </c>
      <c r="K1414" s="10" t="s">
        <v>20</v>
      </c>
      <c r="L1414" s="11" t="n">
        <v>40834.6489351852</v>
      </c>
      <c r="M1414" s="12" t="s">
        <v>574</v>
      </c>
      <c r="N1414" s="12" t="s">
        <v>3686</v>
      </c>
      <c r="O1414" s="9" t="str">
        <f aca="false">HYPERLINK("https://pbs.twimg.com/profile_images/477026218374471680/VMbKNyOu_normal.jpeg","View")</f>
        <v>View</v>
      </c>
      <c r="P1414" s="10"/>
    </row>
    <row r="1415" customFormat="false" ht="15.75" hidden="false" customHeight="false" outlineLevel="0" collapsed="false">
      <c r="A1415" s="6" t="n">
        <v>43030.1947800926</v>
      </c>
      <c r="B1415" s="7" t="str">
        <f aca="false">HYPERLINK("https://twitter.com/PTraiphoomi","@PTraiphoomi")</f>
        <v>@PTraiphoomi</v>
      </c>
      <c r="C1415" s="8" t="s">
        <v>3687</v>
      </c>
      <c r="D1415" s="8" t="s">
        <v>3620</v>
      </c>
      <c r="E1415" s="9" t="str">
        <f aca="false">HYPERLINK("https://twitter.com/PTraiphoomi/status/922065117948272640","922065117948272640")</f>
        <v>922065117948272640</v>
      </c>
      <c r="F1415" s="10" t="s">
        <v>51</v>
      </c>
      <c r="G1415" s="10" t="n">
        <v>34</v>
      </c>
      <c r="H1415" s="10" t="n">
        <v>148</v>
      </c>
      <c r="I1415" s="10" t="n">
        <v>11</v>
      </c>
      <c r="J1415" s="10" t="n">
        <v>0</v>
      </c>
      <c r="K1415" s="10" t="s">
        <v>20</v>
      </c>
      <c r="L1415" s="11" t="n">
        <v>42345.4001041667</v>
      </c>
      <c r="M1415" s="12" t="s">
        <v>3688</v>
      </c>
      <c r="N1415" s="12" t="s">
        <v>3689</v>
      </c>
      <c r="O1415" s="9" t="str">
        <f aca="false">HYPERLINK("https://pbs.twimg.com/profile_images/916709366606131200/LYz9LA2P_normal.jpg","View")</f>
        <v>View</v>
      </c>
      <c r="P1415" s="10"/>
    </row>
    <row r="1416" customFormat="false" ht="15.75" hidden="false" customHeight="false" outlineLevel="0" collapsed="false">
      <c r="A1416" s="6" t="n">
        <v>43030.1947916667</v>
      </c>
      <c r="B1416" s="7" t="str">
        <f aca="false">HYPERLINK("https://twitter.com/YasuhiroYotsum2","@YasuhiroYotsum2")</f>
        <v>@YasuhiroYotsum2</v>
      </c>
      <c r="C1416" s="8" t="s">
        <v>2931</v>
      </c>
      <c r="D1416" s="8" t="s">
        <v>3690</v>
      </c>
      <c r="E1416" s="9" t="str">
        <f aca="false">HYPERLINK("https://twitter.com/YasuhiroYotsum2/status/922065120737529857","922065120737529857")</f>
        <v>922065120737529857</v>
      </c>
      <c r="F1416" s="10" t="s">
        <v>177</v>
      </c>
      <c r="G1416" s="10" t="n">
        <v>218</v>
      </c>
      <c r="H1416" s="10" t="n">
        <v>87</v>
      </c>
      <c r="I1416" s="10" t="n">
        <v>1</v>
      </c>
      <c r="J1416" s="10" t="n">
        <v>0</v>
      </c>
      <c r="K1416" s="10" t="s">
        <v>20</v>
      </c>
      <c r="L1416" s="11" t="n">
        <v>42850.4637847222</v>
      </c>
      <c r="M1416" s="12"/>
      <c r="N1416" s="12"/>
      <c r="O1416" s="9" t="str">
        <f aca="false">HYPERLINK("https://pbs.twimg.com/profile_images/864197206886240256/QVudOIO4_normal.jpg","View")</f>
        <v>View</v>
      </c>
      <c r="P1416" s="10"/>
    </row>
    <row r="1417" customFormat="false" ht="15.75" hidden="false" customHeight="false" outlineLevel="0" collapsed="false">
      <c r="A1417" s="6" t="n">
        <v>43030.1950462963</v>
      </c>
      <c r="B1417" s="7" t="str">
        <f aca="false">HYPERLINK("https://twitter.com/Y_Mukai","@Y_Mukai")</f>
        <v>@Y_Mukai</v>
      </c>
      <c r="C1417" s="8" t="s">
        <v>3691</v>
      </c>
      <c r="D1417" s="8" t="s">
        <v>3631</v>
      </c>
      <c r="E1417" s="9" t="str">
        <f aca="false">HYPERLINK("https://twitter.com/Y_Mukai/status/922065210826821633","922065210826821633")</f>
        <v>922065210826821633</v>
      </c>
      <c r="F1417" s="10" t="s">
        <v>1017</v>
      </c>
      <c r="G1417" s="10" t="n">
        <v>2228</v>
      </c>
      <c r="H1417" s="10" t="n">
        <v>4254</v>
      </c>
      <c r="I1417" s="10" t="n">
        <v>16</v>
      </c>
      <c r="J1417" s="10" t="n">
        <v>0</v>
      </c>
      <c r="K1417" s="10" t="s">
        <v>20</v>
      </c>
      <c r="L1417" s="11" t="n">
        <v>40051.3134259259</v>
      </c>
      <c r="M1417" s="13" t="s">
        <v>3692</v>
      </c>
      <c r="N1417" s="12" t="s">
        <v>3693</v>
      </c>
      <c r="O1417" s="9" t="str">
        <f aca="false">HYPERLINK("https://pbs.twimg.com/profile_images/1260551876/080610_2328_01_normal.jpg","View")</f>
        <v>View</v>
      </c>
      <c r="P1417" s="10"/>
    </row>
    <row r="1418" customFormat="false" ht="15.75" hidden="false" customHeight="false" outlineLevel="0" collapsed="false">
      <c r="A1418" s="6" t="n">
        <v>43030.1950462963</v>
      </c>
      <c r="B1418" s="7" t="str">
        <f aca="false">HYPERLINK("https://twitter.com/Drew1403","@Drew1403")</f>
        <v>@Drew1403</v>
      </c>
      <c r="C1418" s="8" t="s">
        <v>3694</v>
      </c>
      <c r="D1418" s="8" t="s">
        <v>3646</v>
      </c>
      <c r="E1418" s="9" t="str">
        <f aca="false">HYPERLINK("https://twitter.com/Drew1403/status/922065214383718400","922065214383718400")</f>
        <v>922065214383718400</v>
      </c>
      <c r="F1418" s="10" t="s">
        <v>25</v>
      </c>
      <c r="G1418" s="10" t="n">
        <v>523</v>
      </c>
      <c r="H1418" s="10" t="n">
        <v>907</v>
      </c>
      <c r="I1418" s="10" t="n">
        <v>71</v>
      </c>
      <c r="J1418" s="10" t="n">
        <v>0</v>
      </c>
      <c r="K1418" s="10" t="s">
        <v>20</v>
      </c>
      <c r="L1418" s="11" t="n">
        <v>40105.6710185185</v>
      </c>
      <c r="M1418" s="12" t="s">
        <v>3695</v>
      </c>
      <c r="N1418" s="12" t="s">
        <v>3696</v>
      </c>
      <c r="O1418" s="9" t="str">
        <f aca="false">HYPERLINK("https://pbs.twimg.com/profile_images/856401019261132800/XKTNwfPk_normal.jpg","View")</f>
        <v>View</v>
      </c>
      <c r="P1418" s="10"/>
    </row>
    <row r="1419" customFormat="false" ht="15.75" hidden="false" customHeight="false" outlineLevel="0" collapsed="false">
      <c r="A1419" s="6" t="n">
        <v>43030.1953356482</v>
      </c>
      <c r="B1419" s="7" t="str">
        <f aca="false">HYPERLINK("https://twitter.com/OutdoorsmanDan","@OutdoorsmanDan")</f>
        <v>@OutdoorsmanDan</v>
      </c>
      <c r="C1419" s="8" t="s">
        <v>3697</v>
      </c>
      <c r="D1419" s="8" t="s">
        <v>3698</v>
      </c>
      <c r="E1419" s="9" t="str">
        <f aca="false">HYPERLINK("https://twitter.com/OutdoorsmanDan/status/922065318385553408","922065318385553408")</f>
        <v>922065318385553408</v>
      </c>
      <c r="F1419" s="10" t="s">
        <v>25</v>
      </c>
      <c r="G1419" s="10" t="n">
        <v>388</v>
      </c>
      <c r="H1419" s="10" t="n">
        <v>850</v>
      </c>
      <c r="I1419" s="10" t="n">
        <v>3</v>
      </c>
      <c r="J1419" s="10" t="n">
        <v>0</v>
      </c>
      <c r="K1419" s="10" t="s">
        <v>20</v>
      </c>
      <c r="L1419" s="11" t="n">
        <v>42383.5987962963</v>
      </c>
      <c r="M1419" s="12" t="s">
        <v>3699</v>
      </c>
      <c r="N1419" s="12" t="s">
        <v>3700</v>
      </c>
      <c r="O1419" s="9" t="str">
        <f aca="false">HYPERLINK("https://pbs.twimg.com/profile_images/920651691896295424/Vmyt0ahQ_normal.jpg","View")</f>
        <v>View</v>
      </c>
      <c r="P1419" s="10"/>
    </row>
    <row r="1420" customFormat="false" ht="15.75" hidden="false" customHeight="false" outlineLevel="0" collapsed="false">
      <c r="A1420" s="6" t="n">
        <v>43030.1954050926</v>
      </c>
      <c r="B1420" s="7" t="str">
        <f aca="false">HYPERLINK("https://twitter.com/livechannelfeed","@livechannelfeed")</f>
        <v>@livechannelfeed</v>
      </c>
      <c r="C1420" s="8" t="s">
        <v>2384</v>
      </c>
      <c r="D1420" s="8" t="s">
        <v>3701</v>
      </c>
      <c r="E1420" s="9" t="str">
        <f aca="false">HYPERLINK("https://twitter.com/livechannelfeed/status/922065340829495296","922065340829495296")</f>
        <v>922065340829495296</v>
      </c>
      <c r="F1420" s="10" t="s">
        <v>60</v>
      </c>
      <c r="G1420" s="10" t="n">
        <v>3923</v>
      </c>
      <c r="H1420" s="10" t="n">
        <v>3266</v>
      </c>
      <c r="I1420" s="10" t="n">
        <v>0</v>
      </c>
      <c r="J1420" s="10" t="n">
        <v>0</v>
      </c>
      <c r="K1420" s="10" t="s">
        <v>20</v>
      </c>
      <c r="L1420" s="11" t="n">
        <v>42710.8456365741</v>
      </c>
      <c r="M1420" s="12" t="s">
        <v>312</v>
      </c>
      <c r="N1420" s="12" t="s">
        <v>2386</v>
      </c>
      <c r="O1420" s="9" t="str">
        <f aca="false">HYPERLINK("https://pbs.twimg.com/profile_images/806606820504731649/rCR1WeBs_normal.jpg","View")</f>
        <v>View</v>
      </c>
      <c r="P1420" s="10"/>
    </row>
    <row r="1421" customFormat="false" ht="15.75" hidden="false" customHeight="false" outlineLevel="0" collapsed="false">
      <c r="A1421" s="6" t="n">
        <v>43030.195474537</v>
      </c>
      <c r="B1421" s="7" t="str">
        <f aca="false">HYPERLINK("https://twitter.com/matrix____","@matrix____")</f>
        <v>@matrix____</v>
      </c>
      <c r="C1421" s="8" t="s">
        <v>3429</v>
      </c>
      <c r="D1421" s="8" t="s">
        <v>3541</v>
      </c>
      <c r="E1421" s="9" t="str">
        <f aca="false">HYPERLINK("https://twitter.com/matrix____/status/922065368599769090","922065368599769090")</f>
        <v>922065368599769090</v>
      </c>
      <c r="F1421" s="10" t="s">
        <v>25</v>
      </c>
      <c r="G1421" s="10" t="n">
        <v>3025</v>
      </c>
      <c r="H1421" s="10" t="n">
        <v>99</v>
      </c>
      <c r="I1421" s="10" t="n">
        <v>18</v>
      </c>
      <c r="J1421" s="10" t="n">
        <v>0</v>
      </c>
      <c r="K1421" s="10" t="s">
        <v>20</v>
      </c>
      <c r="L1421" s="11" t="n">
        <v>40899.4175231482</v>
      </c>
      <c r="M1421" s="12"/>
      <c r="N1421" s="12" t="s">
        <v>3430</v>
      </c>
      <c r="O1421" s="9" t="str">
        <f aca="false">HYPERLINK("https://pbs.twimg.com/profile_images/2562735424/xehron89ogped2vk6umj_normal.jpeg","View")</f>
        <v>View</v>
      </c>
      <c r="P1421" s="10"/>
    </row>
    <row r="1422" customFormat="false" ht="15.75" hidden="false" customHeight="false" outlineLevel="0" collapsed="false">
      <c r="A1422" s="6" t="n">
        <v>43030.1955902778</v>
      </c>
      <c r="B1422" s="7" t="str">
        <f aca="false">HYPERLINK("https://twitter.com/base_thai","@base_thai")</f>
        <v>@base_thai</v>
      </c>
      <c r="C1422" s="8" t="s">
        <v>3702</v>
      </c>
      <c r="D1422" s="8" t="s">
        <v>3685</v>
      </c>
      <c r="E1422" s="9" t="str">
        <f aca="false">HYPERLINK("https://twitter.com/base_thai/status/922065409750155264","922065409750155264")</f>
        <v>922065409750155264</v>
      </c>
      <c r="F1422" s="10" t="s">
        <v>39</v>
      </c>
      <c r="G1422" s="10" t="n">
        <v>4379</v>
      </c>
      <c r="H1422" s="10" t="n">
        <v>4137</v>
      </c>
      <c r="I1422" s="10" t="n">
        <v>6</v>
      </c>
      <c r="J1422" s="10" t="n">
        <v>0</v>
      </c>
      <c r="K1422" s="10" t="s">
        <v>20</v>
      </c>
      <c r="L1422" s="11" t="n">
        <v>41825.1043634259</v>
      </c>
      <c r="M1422" s="12"/>
      <c r="N1422" s="12" t="s">
        <v>3703</v>
      </c>
      <c r="O1422" s="9" t="str">
        <f aca="false">HYPERLINK("https://pbs.twimg.com/profile_images/878138126891220992/4GvuA4YU_normal.jpg","View")</f>
        <v>View</v>
      </c>
      <c r="P1422" s="10"/>
    </row>
    <row r="1423" customFormat="false" ht="15.75" hidden="false" customHeight="false" outlineLevel="0" collapsed="false">
      <c r="A1423" s="6" t="n">
        <v>43030.1956712963</v>
      </c>
      <c r="B1423" s="7" t="str">
        <f aca="false">HYPERLINK("https://twitter.com/harrydtwit1","@harrydtwit1")</f>
        <v>@harrydtwit1</v>
      </c>
      <c r="C1423" s="8" t="s">
        <v>3704</v>
      </c>
      <c r="D1423" s="8" t="s">
        <v>3620</v>
      </c>
      <c r="E1423" s="9" t="str">
        <f aca="false">HYPERLINK("https://twitter.com/harrydtwit1/status/922065439454351360","922065439454351360")</f>
        <v>922065439454351360</v>
      </c>
      <c r="F1423" s="10" t="s">
        <v>25</v>
      </c>
      <c r="G1423" s="10" t="n">
        <v>883</v>
      </c>
      <c r="H1423" s="10" t="n">
        <v>2386</v>
      </c>
      <c r="I1423" s="10" t="n">
        <v>11</v>
      </c>
      <c r="J1423" s="10" t="n">
        <v>0</v>
      </c>
      <c r="K1423" s="10" t="s">
        <v>20</v>
      </c>
      <c r="L1423" s="11" t="n">
        <v>42805.3453935185</v>
      </c>
      <c r="M1423" s="12" t="s">
        <v>3705</v>
      </c>
      <c r="N1423" s="12" t="s">
        <v>3706</v>
      </c>
      <c r="O1423" s="9" t="str">
        <f aca="false">HYPERLINK("https://pbs.twimg.com/profile_images/840689632236978176/8hgjUvdO_normal.jpg","View")</f>
        <v>View</v>
      </c>
      <c r="P1423" s="10"/>
    </row>
    <row r="1424" customFormat="false" ht="15.75" hidden="false" customHeight="false" outlineLevel="0" collapsed="false">
      <c r="A1424" s="6" t="n">
        <v>43030.1957523148</v>
      </c>
      <c r="B1424" s="7" t="str">
        <f aca="false">HYPERLINK("https://twitter.com/takemyhands","@takemyhands")</f>
        <v>@takemyhands</v>
      </c>
      <c r="C1424" s="14" t="s">
        <v>3707</v>
      </c>
      <c r="D1424" s="8" t="s">
        <v>3646</v>
      </c>
      <c r="E1424" s="9" t="str">
        <f aca="false">HYPERLINK("https://twitter.com/takemyhands/status/922065467786772480","922065467786772480")</f>
        <v>922065467786772480</v>
      </c>
      <c r="F1424" s="10" t="s">
        <v>51</v>
      </c>
      <c r="G1424" s="10" t="n">
        <v>699</v>
      </c>
      <c r="H1424" s="10" t="n">
        <v>674</v>
      </c>
      <c r="I1424" s="10" t="n">
        <v>71</v>
      </c>
      <c r="J1424" s="10" t="n">
        <v>0</v>
      </c>
      <c r="K1424" s="10" t="s">
        <v>20</v>
      </c>
      <c r="L1424" s="11" t="n">
        <v>39962.2326273148</v>
      </c>
      <c r="M1424" s="12" t="s">
        <v>1529</v>
      </c>
      <c r="N1424" s="13" t="s">
        <v>3708</v>
      </c>
      <c r="O1424" s="9" t="str">
        <f aca="false">HYPERLINK("https://pbs.twimg.com/profile_images/876253110645137408/2ozsCipJ_normal.jpg","View")</f>
        <v>View</v>
      </c>
      <c r="P1424" s="10"/>
    </row>
    <row r="1425" customFormat="false" ht="15.75" hidden="false" customHeight="false" outlineLevel="0" collapsed="false">
      <c r="A1425" s="6" t="n">
        <v>43030.1959259259</v>
      </c>
      <c r="B1425" s="7" t="str">
        <f aca="false">HYPERLINK("https://twitter.com/NTKRNow","@NTKRNow")</f>
        <v>@NTKRNow</v>
      </c>
      <c r="C1425" s="8" t="s">
        <v>829</v>
      </c>
      <c r="D1425" s="8" t="s">
        <v>3709</v>
      </c>
      <c r="E1425" s="9" t="str">
        <f aca="false">HYPERLINK("https://twitter.com/NTKRNow/status/922065530428719104","922065530428719104")</f>
        <v>922065530428719104</v>
      </c>
      <c r="F1425" s="10" t="s">
        <v>60</v>
      </c>
      <c r="G1425" s="10" t="n">
        <v>610</v>
      </c>
      <c r="H1425" s="10" t="n">
        <v>4</v>
      </c>
      <c r="I1425" s="10" t="n">
        <v>0</v>
      </c>
      <c r="J1425" s="10" t="n">
        <v>0</v>
      </c>
      <c r="K1425" s="10" t="s">
        <v>20</v>
      </c>
      <c r="L1425" s="11" t="n">
        <v>42402.810625</v>
      </c>
      <c r="M1425" s="12"/>
      <c r="N1425" s="12"/>
      <c r="O1425" s="9" t="str">
        <f aca="false">HYPERLINK("https://abs.twimg.com/sticky/default_profile_images/default_profile_normal.png","View")</f>
        <v>View</v>
      </c>
      <c r="P1425" s="10"/>
    </row>
    <row r="1426" customFormat="false" ht="15.75" hidden="false" customHeight="false" outlineLevel="0" collapsed="false">
      <c r="A1426" s="6" t="n">
        <v>43030.1959259259</v>
      </c>
      <c r="B1426" s="7" t="str">
        <f aca="false">HYPERLINK("https://twitter.com/onlinelords","@onlinelords")</f>
        <v>@onlinelords</v>
      </c>
      <c r="C1426" s="8" t="s">
        <v>3710</v>
      </c>
      <c r="D1426" s="8" t="s">
        <v>3711</v>
      </c>
      <c r="E1426" s="9" t="str">
        <f aca="false">HYPERLINK("https://twitter.com/onlinelords/status/922065531691261952","922065531691261952")</f>
        <v>922065531691261952</v>
      </c>
      <c r="F1426" s="10" t="s">
        <v>60</v>
      </c>
      <c r="G1426" s="10" t="n">
        <v>510</v>
      </c>
      <c r="H1426" s="10" t="n">
        <v>1816</v>
      </c>
      <c r="I1426" s="10" t="n">
        <v>0</v>
      </c>
      <c r="J1426" s="10" t="n">
        <v>0</v>
      </c>
      <c r="K1426" s="10" t="s">
        <v>20</v>
      </c>
      <c r="L1426" s="11" t="n">
        <v>42910.4271412037</v>
      </c>
      <c r="M1426" s="12" t="s">
        <v>3712</v>
      </c>
      <c r="N1426" s="12" t="s">
        <v>3713</v>
      </c>
      <c r="O1426" s="9" t="str">
        <f aca="false">HYPERLINK("https://pbs.twimg.com/profile_images/919643248817254400/z8AUB3Qm_normal.jpg","View")</f>
        <v>View</v>
      </c>
      <c r="P1426" s="10"/>
    </row>
    <row r="1427" customFormat="false" ht="15.75" hidden="false" customHeight="false" outlineLevel="0" collapsed="false">
      <c r="A1427" s="6" t="n">
        <v>43030.1959375</v>
      </c>
      <c r="B1427" s="7" t="str">
        <f aca="false">HYPERLINK("https://twitter.com/BOMpongsakorn","@BOMpongsakorn")</f>
        <v>@BOMpongsakorn</v>
      </c>
      <c r="C1427" s="8" t="s">
        <v>3714</v>
      </c>
      <c r="D1427" s="8" t="s">
        <v>3685</v>
      </c>
      <c r="E1427" s="9" t="str">
        <f aca="false">HYPERLINK("https://twitter.com/BOMpongsakorn/status/922065534228692992","922065534228692992")</f>
        <v>922065534228692992</v>
      </c>
      <c r="F1427" s="10" t="s">
        <v>51</v>
      </c>
      <c r="G1427" s="10" t="n">
        <v>307</v>
      </c>
      <c r="H1427" s="10" t="n">
        <v>233</v>
      </c>
      <c r="I1427" s="10" t="n">
        <v>6</v>
      </c>
      <c r="J1427" s="10" t="n">
        <v>0</v>
      </c>
      <c r="K1427" s="10" t="s">
        <v>20</v>
      </c>
      <c r="L1427" s="11" t="n">
        <v>40643.170150463</v>
      </c>
      <c r="M1427" s="12"/>
      <c r="N1427" s="12"/>
      <c r="O1427" s="9" t="str">
        <f aca="false">HYPERLINK("https://pbs.twimg.com/profile_images/891330091703189505/KuFyczVH_normal.jpg","View")</f>
        <v>View</v>
      </c>
      <c r="P1427" s="10"/>
    </row>
    <row r="1428" customFormat="false" ht="15.75" hidden="false" customHeight="false" outlineLevel="0" collapsed="false">
      <c r="A1428" s="6" t="n">
        <v>43030.1960185185</v>
      </c>
      <c r="B1428" s="7" t="str">
        <f aca="false">HYPERLINK("https://twitter.com/Censelio","@Censelio")</f>
        <v>@Censelio</v>
      </c>
      <c r="C1428" s="8" t="s">
        <v>3715</v>
      </c>
      <c r="D1428" s="8" t="s">
        <v>3716</v>
      </c>
      <c r="E1428" s="9" t="str">
        <f aca="false">HYPERLINK("https://twitter.com/Censelio/status/922065565472215040","922065565472215040")</f>
        <v>922065565472215040</v>
      </c>
      <c r="F1428" s="10" t="s">
        <v>177</v>
      </c>
      <c r="G1428" s="10" t="n">
        <v>16683</v>
      </c>
      <c r="H1428" s="10" t="n">
        <v>1413</v>
      </c>
      <c r="I1428" s="10" t="n">
        <v>0</v>
      </c>
      <c r="J1428" s="10" t="n">
        <v>1</v>
      </c>
      <c r="K1428" s="10" t="s">
        <v>20</v>
      </c>
      <c r="L1428" s="11" t="n">
        <v>40013.2533796296</v>
      </c>
      <c r="M1428" s="12"/>
      <c r="N1428" s="12" t="s">
        <v>3717</v>
      </c>
      <c r="O1428" s="9" t="str">
        <f aca="false">HYPERLINK("https://pbs.twimg.com/profile_images/800389986977718272/_ACXfqq7_normal.jpg","View")</f>
        <v>View</v>
      </c>
      <c r="P1428" s="10"/>
    </row>
    <row r="1429" customFormat="false" ht="15.75" hidden="false" customHeight="false" outlineLevel="0" collapsed="false">
      <c r="A1429" s="6" t="n">
        <v>43030.196087963</v>
      </c>
      <c r="B1429" s="7" t="str">
        <f aca="false">HYPERLINK("https://twitter.com/tthanomnua","@tthanomnua")</f>
        <v>@tthanomnua</v>
      </c>
      <c r="C1429" s="8" t="s">
        <v>3718</v>
      </c>
      <c r="D1429" s="8" t="s">
        <v>3631</v>
      </c>
      <c r="E1429" s="9" t="str">
        <f aca="false">HYPERLINK("https://twitter.com/tthanomnua/status/922065591271284738","922065591271284738")</f>
        <v>922065591271284738</v>
      </c>
      <c r="F1429" s="10" t="s">
        <v>51</v>
      </c>
      <c r="G1429" s="10" t="n">
        <v>1335</v>
      </c>
      <c r="H1429" s="10" t="n">
        <v>477</v>
      </c>
      <c r="I1429" s="10" t="n">
        <v>16</v>
      </c>
      <c r="J1429" s="10" t="n">
        <v>0</v>
      </c>
      <c r="K1429" s="10" t="s">
        <v>20</v>
      </c>
      <c r="L1429" s="11" t="n">
        <v>40260.7666898148</v>
      </c>
      <c r="M1429" s="12" t="s">
        <v>3719</v>
      </c>
      <c r="N1429" s="12" t="s">
        <v>3720</v>
      </c>
      <c r="O1429" s="9" t="str">
        <f aca="false">HYPERLINK("https://pbs.twimg.com/profile_images/786689732055015424/fAasB3Vt_normal.jpg","View")</f>
        <v>View</v>
      </c>
      <c r="P1429" s="10"/>
    </row>
    <row r="1430" customFormat="false" ht="15.75" hidden="false" customHeight="false" outlineLevel="0" collapsed="false">
      <c r="A1430" s="6" t="n">
        <v>43030.1961226852</v>
      </c>
      <c r="B1430" s="7" t="str">
        <f aca="false">HYPERLINK("https://twitter.com/michaelebuka200","@michaelebuka200")</f>
        <v>@michaelebuka200</v>
      </c>
      <c r="C1430" s="8" t="s">
        <v>3721</v>
      </c>
      <c r="D1430" s="8" t="s">
        <v>3722</v>
      </c>
      <c r="E1430" s="9" t="str">
        <f aca="false">HYPERLINK("https://twitter.com/michaelebuka200/status/922065604714037248","922065604714037248")</f>
        <v>922065604714037248</v>
      </c>
      <c r="F1430" s="10" t="s">
        <v>3723</v>
      </c>
      <c r="G1430" s="10" t="n">
        <v>3110</v>
      </c>
      <c r="H1430" s="10" t="n">
        <v>2178</v>
      </c>
      <c r="I1430" s="10" t="n">
        <v>0</v>
      </c>
      <c r="J1430" s="10" t="n">
        <v>0</v>
      </c>
      <c r="K1430" s="10" t="s">
        <v>20</v>
      </c>
      <c r="L1430" s="11" t="n">
        <v>41996.0375925926</v>
      </c>
      <c r="M1430" s="12" t="s">
        <v>2452</v>
      </c>
      <c r="N1430" s="12" t="s">
        <v>3724</v>
      </c>
      <c r="O1430" s="9" t="str">
        <f aca="false">HYPERLINK("https://pbs.twimg.com/profile_images/921511431425724416/lzC6JxTn_normal.jpg","View")</f>
        <v>View</v>
      </c>
      <c r="P1430" s="10"/>
    </row>
    <row r="1431" customFormat="false" ht="15.75" hidden="false" customHeight="false" outlineLevel="0" collapsed="false">
      <c r="A1431" s="6" t="n">
        <v>43030.1961805556</v>
      </c>
      <c r="B1431" s="7" t="str">
        <f aca="false">HYPERLINK("https://twitter.com/gongon23","@gongon23")</f>
        <v>@gongon23</v>
      </c>
      <c r="C1431" s="14" t="s">
        <v>3725</v>
      </c>
      <c r="D1431" s="8" t="s">
        <v>3726</v>
      </c>
      <c r="E1431" s="9" t="str">
        <f aca="false">HYPERLINK("https://twitter.com/gongon23/status/922065622204157952","922065622204157952")</f>
        <v>922065622204157952</v>
      </c>
      <c r="F1431" s="10" t="s">
        <v>51</v>
      </c>
      <c r="G1431" s="10" t="n">
        <v>1189</v>
      </c>
      <c r="H1431" s="10" t="n">
        <v>2565</v>
      </c>
      <c r="I1431" s="10" t="n">
        <v>0</v>
      </c>
      <c r="J1431" s="10" t="n">
        <v>0</v>
      </c>
      <c r="K1431" s="10" t="s">
        <v>20</v>
      </c>
      <c r="L1431" s="11" t="n">
        <v>40214.1462847222</v>
      </c>
      <c r="M1431" s="13" t="s">
        <v>152</v>
      </c>
      <c r="N1431" s="13" t="s">
        <v>3727</v>
      </c>
      <c r="O1431" s="9" t="str">
        <f aca="false">HYPERLINK("https://pbs.twimg.com/profile_images/810011834090561536/9neYEME4_normal.jpg","View")</f>
        <v>View</v>
      </c>
      <c r="P1431" s="10"/>
    </row>
    <row r="1432" customFormat="false" ht="15.75" hidden="false" customHeight="false" outlineLevel="0" collapsed="false">
      <c r="A1432" s="6" t="n">
        <v>43030.1962037037</v>
      </c>
      <c r="B1432" s="7" t="str">
        <f aca="false">HYPERLINK("https://twitter.com/Claire_Phipps","@Claire_Phipps")</f>
        <v>@Claire_Phipps</v>
      </c>
      <c r="C1432" s="8" t="s">
        <v>3728</v>
      </c>
      <c r="D1432" s="8" t="s">
        <v>3729</v>
      </c>
      <c r="E1432" s="9" t="str">
        <f aca="false">HYPERLINK("https://twitter.com/Claire_Phipps/status/922065630810980353","922065630810980353")</f>
        <v>922065630810980353</v>
      </c>
      <c r="F1432" s="10" t="s">
        <v>51</v>
      </c>
      <c r="G1432" s="10" t="n">
        <v>24757</v>
      </c>
      <c r="H1432" s="10" t="n">
        <v>1485</v>
      </c>
      <c r="I1432" s="10" t="n">
        <v>0</v>
      </c>
      <c r="J1432" s="10" t="n">
        <v>0</v>
      </c>
      <c r="K1432" s="10" t="s">
        <v>20</v>
      </c>
      <c r="L1432" s="11" t="n">
        <v>40379.6350115741</v>
      </c>
      <c r="M1432" s="12" t="s">
        <v>1408</v>
      </c>
      <c r="N1432" s="12" t="s">
        <v>3730</v>
      </c>
      <c r="O1432" s="9" t="str">
        <f aca="false">HYPERLINK("https://pbs.twimg.com/profile_images/437859396651999232/9x9wJcA-_normal.png","View")</f>
        <v>View</v>
      </c>
      <c r="P1432" s="10"/>
    </row>
    <row r="1433" customFormat="false" ht="15.75" hidden="false" customHeight="false" outlineLevel="0" collapsed="false">
      <c r="A1433" s="6" t="n">
        <v>43030.1962152778</v>
      </c>
      <c r="B1433" s="7" t="str">
        <f aca="false">HYPERLINK("https://twitter.com/azrielb","@azrielb")</f>
        <v>@azrielb</v>
      </c>
      <c r="C1433" s="8" t="s">
        <v>3731</v>
      </c>
      <c r="D1433" s="8" t="s">
        <v>3732</v>
      </c>
      <c r="E1433" s="9" t="str">
        <f aca="false">HYPERLINK("https://twitter.com/azrielb/status/922065635575762944","922065635575762944")</f>
        <v>922065635575762944</v>
      </c>
      <c r="F1433" s="10" t="s">
        <v>51</v>
      </c>
      <c r="G1433" s="10" t="n">
        <v>2694</v>
      </c>
      <c r="H1433" s="10" t="n">
        <v>2139</v>
      </c>
      <c r="I1433" s="10" t="n">
        <v>0</v>
      </c>
      <c r="J1433" s="10" t="n">
        <v>0</v>
      </c>
      <c r="K1433" s="10" t="s">
        <v>20</v>
      </c>
      <c r="L1433" s="11" t="n">
        <v>39900.5645717593</v>
      </c>
      <c r="M1433" s="12" t="s">
        <v>3361</v>
      </c>
      <c r="N1433" s="12" t="s">
        <v>3733</v>
      </c>
      <c r="O1433" s="9" t="str">
        <f aca="false">HYPERLINK("https://pbs.twimg.com/profile_images/768848672880791555/kKBhueLp_normal.jpg","View")</f>
        <v>View</v>
      </c>
      <c r="P1433" s="10"/>
    </row>
    <row r="1434" customFormat="false" ht="15.75" hidden="false" customHeight="false" outlineLevel="0" collapsed="false">
      <c r="A1434" s="6" t="n">
        <v>43030.1962384259</v>
      </c>
      <c r="B1434" s="7" t="str">
        <f aca="false">HYPERLINK("https://twitter.com/jm3107","@jm3107")</f>
        <v>@jm3107</v>
      </c>
      <c r="C1434" s="8" t="s">
        <v>3734</v>
      </c>
      <c r="D1434" s="8" t="s">
        <v>3735</v>
      </c>
      <c r="E1434" s="9" t="str">
        <f aca="false">HYPERLINK("https://twitter.com/jm3107/status/922065644832649219","922065644832649219")</f>
        <v>922065644832649219</v>
      </c>
      <c r="F1434" s="10" t="s">
        <v>25</v>
      </c>
      <c r="G1434" s="10" t="n">
        <v>3282</v>
      </c>
      <c r="H1434" s="10" t="n">
        <v>4646</v>
      </c>
      <c r="I1434" s="10" t="n">
        <v>0</v>
      </c>
      <c r="J1434" s="10" t="n">
        <v>0</v>
      </c>
      <c r="K1434" s="10" t="s">
        <v>20</v>
      </c>
      <c r="L1434" s="11" t="n">
        <v>39223.4144444444</v>
      </c>
      <c r="M1434" s="12" t="s">
        <v>3736</v>
      </c>
      <c r="N1434" s="12" t="s">
        <v>3737</v>
      </c>
      <c r="O1434" s="9" t="str">
        <f aca="false">HYPERLINK("https://pbs.twimg.com/profile_images/543378949/kreuz_normal.jpg","View")</f>
        <v>View</v>
      </c>
      <c r="P1434" s="10"/>
    </row>
    <row r="1435" customFormat="false" ht="15.75" hidden="false" customHeight="false" outlineLevel="0" collapsed="false">
      <c r="A1435" s="6" t="n">
        <v>43030.1963078704</v>
      </c>
      <c r="B1435" s="7" t="str">
        <f aca="false">HYPERLINK("https://twitter.com/ClaireMailey","@ClaireMailey")</f>
        <v>@ClaireMailey</v>
      </c>
      <c r="C1435" s="8" t="s">
        <v>3738</v>
      </c>
      <c r="D1435" s="8" t="s">
        <v>3739</v>
      </c>
      <c r="E1435" s="9" t="str">
        <f aca="false">HYPERLINK("https://twitter.com/ClaireMailey/status/922065670400983041","922065670400983041")</f>
        <v>922065670400983041</v>
      </c>
      <c r="F1435" s="10" t="s">
        <v>51</v>
      </c>
      <c r="G1435" s="10" t="n">
        <v>0</v>
      </c>
      <c r="H1435" s="10" t="n">
        <v>2</v>
      </c>
      <c r="I1435" s="10" t="n">
        <v>0</v>
      </c>
      <c r="J1435" s="10" t="n">
        <v>0</v>
      </c>
      <c r="K1435" s="10" t="s">
        <v>20</v>
      </c>
      <c r="L1435" s="11" t="n">
        <v>42902.1211689815</v>
      </c>
      <c r="M1435" s="12"/>
      <c r="N1435" s="12" t="s">
        <v>3740</v>
      </c>
      <c r="O1435" s="9" t="str">
        <f aca="false">HYPERLINK("https://abs.twimg.com/sticky/default_profile_images/default_profile_normal.png","View")</f>
        <v>View</v>
      </c>
      <c r="P1435" s="10"/>
    </row>
    <row r="1436" customFormat="false" ht="15.75" hidden="false" customHeight="false" outlineLevel="0" collapsed="false">
      <c r="A1436" s="6" t="n">
        <v>43030.1963773148</v>
      </c>
      <c r="B1436" s="7" t="str">
        <f aca="false">HYPERLINK("https://twitter.com/thetravelbizman","@thetravelbizman")</f>
        <v>@thetravelbizman</v>
      </c>
      <c r="C1436" s="8" t="s">
        <v>3741</v>
      </c>
      <c r="D1436" s="8" t="s">
        <v>3742</v>
      </c>
      <c r="E1436" s="9" t="str">
        <f aca="false">HYPERLINK("https://twitter.com/thetravelbizman/status/922065693469798402","922065693469798402")</f>
        <v>922065693469798402</v>
      </c>
      <c r="F1436" s="10" t="s">
        <v>51</v>
      </c>
      <c r="G1436" s="10" t="n">
        <v>50</v>
      </c>
      <c r="H1436" s="10" t="n">
        <v>154</v>
      </c>
      <c r="I1436" s="10" t="n">
        <v>0</v>
      </c>
      <c r="J1436" s="10" t="n">
        <v>0</v>
      </c>
      <c r="K1436" s="10" t="s">
        <v>20</v>
      </c>
      <c r="L1436" s="11" t="n">
        <v>42938.4509722222</v>
      </c>
      <c r="M1436" s="12" t="s">
        <v>3743</v>
      </c>
      <c r="N1436" s="12" t="s">
        <v>3744</v>
      </c>
      <c r="O1436" s="9" t="str">
        <f aca="false">HYPERLINK("https://pbs.twimg.com/profile_images/915984329859313664/N8QvPDLU_normal.jpg","View")</f>
        <v>View</v>
      </c>
      <c r="P1436" s="10"/>
    </row>
    <row r="1437" customFormat="false" ht="15.75" hidden="false" customHeight="false" outlineLevel="0" collapsed="false">
      <c r="A1437" s="6" t="n">
        <v>43030.196412037</v>
      </c>
      <c r="B1437" s="7" t="str">
        <f aca="false">HYPERLINK("https://twitter.com/hikat_t","@hikat_t")</f>
        <v>@hikat_t</v>
      </c>
      <c r="C1437" s="14" t="s">
        <v>3745</v>
      </c>
      <c r="D1437" s="8" t="s">
        <v>3646</v>
      </c>
      <c r="E1437" s="9" t="str">
        <f aca="false">HYPERLINK("https://twitter.com/hikat_t/status/922065708900483072","922065708900483072")</f>
        <v>922065708900483072</v>
      </c>
      <c r="F1437" s="10" t="s">
        <v>25</v>
      </c>
      <c r="G1437" s="10" t="n">
        <v>223</v>
      </c>
      <c r="H1437" s="10" t="n">
        <v>106</v>
      </c>
      <c r="I1437" s="10" t="n">
        <v>71</v>
      </c>
      <c r="J1437" s="10" t="n">
        <v>0</v>
      </c>
      <c r="K1437" s="10" t="s">
        <v>20</v>
      </c>
      <c r="L1437" s="11" t="n">
        <v>40297.3865625</v>
      </c>
      <c r="M1437" s="12"/>
      <c r="N1437" s="13" t="s">
        <v>3746</v>
      </c>
      <c r="O1437" s="9" t="str">
        <f aca="false">HYPERLINK("https://pbs.twimg.com/profile_images/876075245228105729/w0B5UxQ0_normal.jpg","View")</f>
        <v>View</v>
      </c>
      <c r="P1437" s="10"/>
    </row>
    <row r="1438" customFormat="false" ht="15.75" hidden="false" customHeight="false" outlineLevel="0" collapsed="false">
      <c r="A1438" s="6" t="n">
        <v>43030.1964351852</v>
      </c>
      <c r="B1438" s="7" t="str">
        <f aca="false">HYPERLINK("https://twitter.com/AlanLondonCity","@AlanLondonCity")</f>
        <v>@AlanLondonCity</v>
      </c>
      <c r="C1438" s="8" t="s">
        <v>3495</v>
      </c>
      <c r="D1438" s="8" t="s">
        <v>3646</v>
      </c>
      <c r="E1438" s="9" t="str">
        <f aca="false">HYPERLINK("https://twitter.com/AlanLondonCity/status/922065716400009217","922065716400009217")</f>
        <v>922065716400009217</v>
      </c>
      <c r="F1438" s="10" t="s">
        <v>51</v>
      </c>
      <c r="G1438" s="10" t="n">
        <v>56976</v>
      </c>
      <c r="H1438" s="10" t="n">
        <v>114</v>
      </c>
      <c r="I1438" s="10" t="n">
        <v>71</v>
      </c>
      <c r="J1438" s="10" t="n">
        <v>0</v>
      </c>
      <c r="K1438" s="10" t="s">
        <v>20</v>
      </c>
      <c r="L1438" s="11" t="n">
        <v>42990.5023958333</v>
      </c>
      <c r="M1438" s="12" t="s">
        <v>182</v>
      </c>
      <c r="N1438" s="12" t="s">
        <v>3496</v>
      </c>
      <c r="O1438" s="9" t="str">
        <f aca="false">HYPERLINK("https://pbs.twimg.com/profile_images/907681852466573312/c3GaQ5WR_normal.jpg","View")</f>
        <v>View</v>
      </c>
      <c r="P1438" s="10"/>
    </row>
    <row r="1439" customFormat="false" ht="15.75" hidden="false" customHeight="false" outlineLevel="0" collapsed="false">
      <c r="A1439" s="6" t="n">
        <v>43030.1964930556</v>
      </c>
      <c r="B1439" s="7" t="str">
        <f aca="false">HYPERLINK("https://twitter.com/agentsmithmi","@agentsmithmi")</f>
        <v>@agentsmithmi</v>
      </c>
      <c r="C1439" s="8" t="s">
        <v>3747</v>
      </c>
      <c r="D1439" s="8" t="s">
        <v>3748</v>
      </c>
      <c r="E1439" s="9" t="str">
        <f aca="false">HYPERLINK("https://twitter.com/agentsmithmi/status/922065737459499008","922065737459499008")</f>
        <v>922065737459499008</v>
      </c>
      <c r="F1439" s="10" t="s">
        <v>25</v>
      </c>
      <c r="G1439" s="10" t="n">
        <v>794</v>
      </c>
      <c r="H1439" s="10" t="n">
        <v>1682</v>
      </c>
      <c r="I1439" s="10" t="n">
        <v>0</v>
      </c>
      <c r="J1439" s="10" t="n">
        <v>0</v>
      </c>
      <c r="K1439" s="10" t="s">
        <v>20</v>
      </c>
      <c r="L1439" s="11" t="n">
        <v>40988.0063657407</v>
      </c>
      <c r="M1439" s="12" t="s">
        <v>3749</v>
      </c>
      <c r="N1439" s="13" t="s">
        <v>3750</v>
      </c>
      <c r="O1439" s="9" t="str">
        <f aca="false">HYPERLINK("https://pbs.twimg.com/profile_images/619174296506646529/N-YlFucb_normal.jpg","View")</f>
        <v>View</v>
      </c>
      <c r="P1439" s="10"/>
    </row>
    <row r="1440" customFormat="false" ht="15.75" hidden="false" customHeight="false" outlineLevel="0" collapsed="false">
      <c r="A1440" s="6" t="n">
        <v>43030.1965046296</v>
      </c>
      <c r="B1440" s="7" t="str">
        <f aca="false">HYPERLINK("https://twitter.com/michaeljting","@michaeljting")</f>
        <v>@michaeljting</v>
      </c>
      <c r="C1440" s="8" t="s">
        <v>3751</v>
      </c>
      <c r="D1440" s="8" t="s">
        <v>3314</v>
      </c>
      <c r="E1440" s="9" t="str">
        <f aca="false">HYPERLINK("https://twitter.com/michaeljting/status/922065739829276672","922065739829276672")</f>
        <v>922065739829276672</v>
      </c>
      <c r="F1440" s="10" t="s">
        <v>51</v>
      </c>
      <c r="G1440" s="10" t="n">
        <v>249</v>
      </c>
      <c r="H1440" s="10" t="n">
        <v>117</v>
      </c>
      <c r="I1440" s="10" t="n">
        <v>7</v>
      </c>
      <c r="J1440" s="10" t="n">
        <v>0</v>
      </c>
      <c r="K1440" s="10" t="s">
        <v>20</v>
      </c>
      <c r="L1440" s="11" t="n">
        <v>39973.3027546296</v>
      </c>
      <c r="M1440" s="12" t="s">
        <v>186</v>
      </c>
      <c r="N1440" s="12" t="s">
        <v>3752</v>
      </c>
      <c r="O1440" s="9" t="str">
        <f aca="false">HYPERLINK("https://pbs.twimg.com/profile_images/842785557369376768/RxGJCvtW_normal.jpg","View")</f>
        <v>View</v>
      </c>
      <c r="P1440" s="10"/>
    </row>
    <row r="1441" customFormat="false" ht="15.75" hidden="false" customHeight="false" outlineLevel="0" collapsed="false">
      <c r="A1441" s="6" t="n">
        <v>43030.1965625</v>
      </c>
      <c r="B1441" s="7" t="str">
        <f aca="false">HYPERLINK("https://twitter.com/calguimaraes","@calguimaraes")</f>
        <v>@calguimaraes</v>
      </c>
      <c r="C1441" s="8" t="s">
        <v>3753</v>
      </c>
      <c r="D1441" s="8" t="s">
        <v>3754</v>
      </c>
      <c r="E1441" s="9" t="str">
        <f aca="false">HYPERLINK("https://twitter.com/calguimaraes/status/922065761945997315","922065761945997315")</f>
        <v>922065761945997315</v>
      </c>
      <c r="F1441" s="10" t="s">
        <v>51</v>
      </c>
      <c r="G1441" s="10" t="n">
        <v>163</v>
      </c>
      <c r="H1441" s="10" t="n">
        <v>285</v>
      </c>
      <c r="I1441" s="10" t="n">
        <v>0</v>
      </c>
      <c r="J1441" s="10" t="n">
        <v>0</v>
      </c>
      <c r="K1441" s="10" t="s">
        <v>20</v>
      </c>
      <c r="L1441" s="11" t="n">
        <v>40003.7691550926</v>
      </c>
      <c r="M1441" s="12" t="s">
        <v>1448</v>
      </c>
      <c r="N1441" s="12" t="s">
        <v>3755</v>
      </c>
      <c r="O1441" s="9" t="str">
        <f aca="false">HYPERLINK("https://pbs.twimg.com/profile_images/2489812855/bxpw5vkwll7ynh3qfsz0_normal.jpeg","View")</f>
        <v>View</v>
      </c>
      <c r="P1441" s="10"/>
    </row>
    <row r="1442" customFormat="false" ht="15.75" hidden="false" customHeight="false" outlineLevel="0" collapsed="false">
      <c r="A1442" s="6" t="n">
        <v>43030.1965856482</v>
      </c>
      <c r="B1442" s="7" t="str">
        <f aca="false">HYPERLINK("https://twitter.com/Simas_Ko","@Simas_Ko")</f>
        <v>@Simas_Ko</v>
      </c>
      <c r="C1442" s="8" t="s">
        <v>3756</v>
      </c>
      <c r="D1442" s="8" t="s">
        <v>3646</v>
      </c>
      <c r="E1442" s="9" t="str">
        <f aca="false">HYPERLINK("https://twitter.com/Simas_Ko/status/922065769298563073","922065769298563073")</f>
        <v>922065769298563073</v>
      </c>
      <c r="F1442" s="10" t="s">
        <v>39</v>
      </c>
      <c r="G1442" s="10" t="n">
        <v>85</v>
      </c>
      <c r="H1442" s="10" t="n">
        <v>1234</v>
      </c>
      <c r="I1442" s="10" t="n">
        <v>71</v>
      </c>
      <c r="J1442" s="10" t="n">
        <v>0</v>
      </c>
      <c r="K1442" s="10" t="s">
        <v>20</v>
      </c>
      <c r="L1442" s="11" t="n">
        <v>42232.1559953704</v>
      </c>
      <c r="M1442" s="12" t="s">
        <v>1168</v>
      </c>
      <c r="N1442" s="12" t="s">
        <v>3757</v>
      </c>
      <c r="O1442" s="9" t="str">
        <f aca="false">HYPERLINK("https://pbs.twimg.com/profile_images/632867086327508992/MGHVmqkl_normal.jpg","View")</f>
        <v>View</v>
      </c>
      <c r="P1442" s="10"/>
    </row>
    <row r="1443" customFormat="false" ht="15.75" hidden="false" customHeight="false" outlineLevel="0" collapsed="false">
      <c r="A1443" s="6" t="n">
        <v>43030.1965972222</v>
      </c>
      <c r="B1443" s="7" t="str">
        <f aca="false">HYPERLINK("https://twitter.com/indignindigente","@indignindigente")</f>
        <v>@indignindigente</v>
      </c>
      <c r="C1443" s="8" t="s">
        <v>3758</v>
      </c>
      <c r="D1443" s="8" t="s">
        <v>3646</v>
      </c>
      <c r="E1443" s="9" t="str">
        <f aca="false">HYPERLINK("https://twitter.com/indignindigente/status/922065773241208832","922065773241208832")</f>
        <v>922065773241208832</v>
      </c>
      <c r="F1443" s="10" t="s">
        <v>39</v>
      </c>
      <c r="G1443" s="10" t="n">
        <v>11622</v>
      </c>
      <c r="H1443" s="10" t="n">
        <v>9129</v>
      </c>
      <c r="I1443" s="10" t="n">
        <v>71</v>
      </c>
      <c r="J1443" s="10" t="n">
        <v>0</v>
      </c>
      <c r="K1443" s="10" t="s">
        <v>20</v>
      </c>
      <c r="L1443" s="11" t="n">
        <v>40710.468275463</v>
      </c>
      <c r="M1443" s="12" t="s">
        <v>3759</v>
      </c>
      <c r="N1443" s="12" t="s">
        <v>3760</v>
      </c>
      <c r="O1443" s="9" t="str">
        <f aca="false">HYPERLINK("https://pbs.twimg.com/profile_images/733236025665851393/TEvTpSQh_normal.jpg","View")</f>
        <v>View</v>
      </c>
      <c r="P1443" s="10"/>
    </row>
    <row r="1444" customFormat="false" ht="15.75" hidden="false" customHeight="false" outlineLevel="0" collapsed="false">
      <c r="A1444" s="6" t="n">
        <v>43030.1966203704</v>
      </c>
      <c r="B1444" s="7" t="str">
        <f aca="false">HYPERLINK("https://twitter.com/TGU_Kondo","@TGU_Kondo")</f>
        <v>@TGU_Kondo</v>
      </c>
      <c r="C1444" s="14" t="s">
        <v>3761</v>
      </c>
      <c r="D1444" s="8" t="s">
        <v>3762</v>
      </c>
      <c r="E1444" s="9" t="str">
        <f aca="false">HYPERLINK("https://twitter.com/TGU_Kondo/status/922065783458426880","922065783458426880")</f>
        <v>922065783458426880</v>
      </c>
      <c r="F1444" s="10" t="s">
        <v>3763</v>
      </c>
      <c r="G1444" s="10" t="n">
        <v>616</v>
      </c>
      <c r="H1444" s="10" t="n">
        <v>455</v>
      </c>
      <c r="I1444" s="10" t="n">
        <v>0</v>
      </c>
      <c r="J1444" s="10" t="n">
        <v>0</v>
      </c>
      <c r="K1444" s="10" t="s">
        <v>20</v>
      </c>
      <c r="L1444" s="11" t="n">
        <v>41436.0492824074</v>
      </c>
      <c r="M1444" s="13" t="s">
        <v>3764</v>
      </c>
      <c r="N1444" s="13" t="s">
        <v>3765</v>
      </c>
      <c r="O1444" s="9" t="str">
        <f aca="false">HYPERLINK("https://pbs.twimg.com/profile_images/507404389854625793/dM1XkgYv_normal.jpeg","View")</f>
        <v>View</v>
      </c>
      <c r="P1444" s="10"/>
    </row>
    <row r="1445" customFormat="false" ht="15.75" hidden="false" customHeight="false" outlineLevel="0" collapsed="false">
      <c r="A1445" s="6" t="n">
        <v>43030.1966898148</v>
      </c>
      <c r="B1445" s="7" t="str">
        <f aca="false">HYPERLINK("https://twitter.com/trueblue00000","@trueblue00000")</f>
        <v>@trueblue00000</v>
      </c>
      <c r="C1445" s="8" t="s">
        <v>3766</v>
      </c>
      <c r="D1445" s="8" t="s">
        <v>3767</v>
      </c>
      <c r="E1445" s="9" t="str">
        <f aca="false">HYPERLINK("https://twitter.com/trueblue00000/status/922065807458304000","922065807458304000")</f>
        <v>922065807458304000</v>
      </c>
      <c r="F1445" s="10" t="s">
        <v>25</v>
      </c>
      <c r="G1445" s="10" t="n">
        <v>42</v>
      </c>
      <c r="H1445" s="10" t="n">
        <v>53</v>
      </c>
      <c r="I1445" s="10" t="n">
        <v>0</v>
      </c>
      <c r="J1445" s="10" t="n">
        <v>0</v>
      </c>
      <c r="K1445" s="10" t="s">
        <v>20</v>
      </c>
      <c r="L1445" s="11" t="n">
        <v>40602.534849537</v>
      </c>
      <c r="M1445" s="12" t="s">
        <v>3768</v>
      </c>
      <c r="N1445" s="12" t="s">
        <v>3769</v>
      </c>
      <c r="O1445" s="9" t="str">
        <f aca="false">HYPERLINK("https://pbs.twimg.com/profile_images/1257924372/zdjecie1_normal.jpg","View")</f>
        <v>View</v>
      </c>
      <c r="P1445" s="10"/>
    </row>
    <row r="1446" customFormat="false" ht="15.75" hidden="false" customHeight="false" outlineLevel="0" collapsed="false">
      <c r="A1446" s="6" t="n">
        <v>43030.1967592593</v>
      </c>
      <c r="B1446" s="7" t="str">
        <f aca="false">HYPERLINK("https://twitter.com/aaronsuar","@aaronsuar")</f>
        <v>@aaronsuar</v>
      </c>
      <c r="C1446" s="8" t="s">
        <v>3770</v>
      </c>
      <c r="D1446" s="8" t="s">
        <v>3771</v>
      </c>
      <c r="E1446" s="9" t="str">
        <f aca="false">HYPERLINK("https://twitter.com/aaronsuar/status/922065834981429248","922065834981429248")</f>
        <v>922065834981429248</v>
      </c>
      <c r="F1446" s="10" t="s">
        <v>51</v>
      </c>
      <c r="G1446" s="10" t="n">
        <v>525</v>
      </c>
      <c r="H1446" s="10" t="n">
        <v>519</v>
      </c>
      <c r="I1446" s="10" t="n">
        <v>0</v>
      </c>
      <c r="J1446" s="10" t="n">
        <v>0</v>
      </c>
      <c r="K1446" s="10" t="s">
        <v>20</v>
      </c>
      <c r="L1446" s="11" t="n">
        <v>40544.1252893519</v>
      </c>
      <c r="M1446" s="12" t="s">
        <v>3772</v>
      </c>
      <c r="N1446" s="12" t="s">
        <v>3773</v>
      </c>
      <c r="O1446" s="9" t="str">
        <f aca="false">HYPERLINK("https://pbs.twimg.com/profile_images/877962362040569857/V4Rm-WHy_normal.jpg","View")</f>
        <v>View</v>
      </c>
      <c r="P1446" s="10"/>
    </row>
    <row r="1447" customFormat="false" ht="15.75" hidden="false" customHeight="false" outlineLevel="0" collapsed="false">
      <c r="A1447" s="6" t="n">
        <v>43030.1968981482</v>
      </c>
      <c r="B1447" s="7" t="str">
        <f aca="false">HYPERLINK("https://twitter.com/insspires","@insspires")</f>
        <v>@insspires</v>
      </c>
      <c r="C1447" s="8" t="s">
        <v>3774</v>
      </c>
      <c r="D1447" s="8" t="s">
        <v>3775</v>
      </c>
      <c r="E1447" s="9" t="str">
        <f aca="false">HYPERLINK("https://twitter.com/insspires/status/922065882330910721","922065882330910721")</f>
        <v>922065882330910721</v>
      </c>
      <c r="F1447" s="10" t="s">
        <v>60</v>
      </c>
      <c r="G1447" s="10" t="n">
        <v>2374</v>
      </c>
      <c r="H1447" s="10" t="n">
        <v>2038</v>
      </c>
      <c r="I1447" s="10" t="n">
        <v>0</v>
      </c>
      <c r="J1447" s="10" t="n">
        <v>0</v>
      </c>
      <c r="K1447" s="10" t="s">
        <v>20</v>
      </c>
      <c r="L1447" s="11" t="n">
        <v>40812.7989467593</v>
      </c>
      <c r="M1447" s="12" t="s">
        <v>3776</v>
      </c>
      <c r="N1447" s="12" t="s">
        <v>3777</v>
      </c>
      <c r="O1447" s="9" t="str">
        <f aca="false">HYPERLINK("https://pbs.twimg.com/profile_images/603247172566392832/HnheMN3b_normal.jpg","View")</f>
        <v>View</v>
      </c>
      <c r="P1447" s="10"/>
    </row>
    <row r="1448" customFormat="false" ht="15.75" hidden="false" customHeight="false" outlineLevel="0" collapsed="false">
      <c r="A1448" s="6" t="n">
        <v>43030.1969560185</v>
      </c>
      <c r="B1448" s="7" t="str">
        <f aca="false">HYPERLINK("https://twitter.com/jeanhoey","@jeanhoey")</f>
        <v>@jeanhoey</v>
      </c>
      <c r="C1448" s="8" t="s">
        <v>3778</v>
      </c>
      <c r="D1448" s="8" t="s">
        <v>3646</v>
      </c>
      <c r="E1448" s="9" t="str">
        <f aca="false">HYPERLINK("https://twitter.com/jeanhoey/status/922065903486951424","922065903486951424")</f>
        <v>922065903486951424</v>
      </c>
      <c r="F1448" s="10" t="s">
        <v>51</v>
      </c>
      <c r="G1448" s="10" t="n">
        <v>827</v>
      </c>
      <c r="H1448" s="10" t="n">
        <v>1029</v>
      </c>
      <c r="I1448" s="10" t="n">
        <v>71</v>
      </c>
      <c r="J1448" s="10" t="n">
        <v>0</v>
      </c>
      <c r="K1448" s="10" t="s">
        <v>20</v>
      </c>
      <c r="L1448" s="11" t="n">
        <v>40066.1989236111</v>
      </c>
      <c r="M1448" s="12" t="s">
        <v>3779</v>
      </c>
      <c r="N1448" s="12" t="s">
        <v>3780</v>
      </c>
      <c r="O1448" s="9" t="str">
        <f aca="false">HYPERLINK("https://pbs.twimg.com/profile_images/664602476423856128/Uz7XJLCU_normal.jpg","View")</f>
        <v>View</v>
      </c>
      <c r="P1448" s="10"/>
    </row>
    <row r="1449" customFormat="false" ht="15.75" hidden="false" customHeight="false" outlineLevel="0" collapsed="false">
      <c r="A1449" s="6" t="n">
        <v>43030.1970486111</v>
      </c>
      <c r="B1449" s="7" t="str">
        <f aca="false">HYPERLINK("https://twitter.com/vicTHOR68","@vicTHOR68")</f>
        <v>@vicTHOR68</v>
      </c>
      <c r="C1449" s="8" t="s">
        <v>3781</v>
      </c>
      <c r="D1449" s="8" t="s">
        <v>3438</v>
      </c>
      <c r="E1449" s="9" t="str">
        <f aca="false">HYPERLINK("https://twitter.com/vicTHOR68/status/922065937427132416","922065937427132416")</f>
        <v>922065937427132416</v>
      </c>
      <c r="F1449" s="10" t="s">
        <v>25</v>
      </c>
      <c r="G1449" s="10" t="n">
        <v>514</v>
      </c>
      <c r="H1449" s="10" t="n">
        <v>1415</v>
      </c>
      <c r="I1449" s="10" t="n">
        <v>15</v>
      </c>
      <c r="J1449" s="10" t="n">
        <v>0</v>
      </c>
      <c r="K1449" s="10" t="s">
        <v>20</v>
      </c>
      <c r="L1449" s="11" t="n">
        <v>40424.8751736111</v>
      </c>
      <c r="M1449" s="12" t="s">
        <v>1670</v>
      </c>
      <c r="N1449" s="12" t="s">
        <v>3782</v>
      </c>
      <c r="O1449" s="9" t="str">
        <f aca="false">HYPERLINK("https://pbs.twimg.com/profile_images/906779001804308480/zurPsG2g_normal.jpg","View")</f>
        <v>View</v>
      </c>
      <c r="P1449" s="10"/>
    </row>
    <row r="1450" customFormat="false" ht="15.75" hidden="false" customHeight="false" outlineLevel="0" collapsed="false">
      <c r="A1450" s="6" t="n">
        <v>43030.1970717593</v>
      </c>
      <c r="B1450" s="7" t="str">
        <f aca="false">HYPERLINK("https://twitter.com/MiguelSarante","@MiguelSarante")</f>
        <v>@MiguelSarante</v>
      </c>
      <c r="C1450" s="8" t="s">
        <v>3783</v>
      </c>
      <c r="D1450" s="8" t="s">
        <v>3646</v>
      </c>
      <c r="E1450" s="9" t="str">
        <f aca="false">HYPERLINK("https://twitter.com/MiguelSarante/status/922065944700219397","922065944700219397")</f>
        <v>922065944700219397</v>
      </c>
      <c r="F1450" s="10" t="s">
        <v>25</v>
      </c>
      <c r="G1450" s="10" t="n">
        <v>2350</v>
      </c>
      <c r="H1450" s="10" t="n">
        <v>3055</v>
      </c>
      <c r="I1450" s="10" t="n">
        <v>71</v>
      </c>
      <c r="J1450" s="10" t="n">
        <v>0</v>
      </c>
      <c r="K1450" s="10" t="s">
        <v>20</v>
      </c>
      <c r="L1450" s="11" t="n">
        <v>40436.854537037</v>
      </c>
      <c r="M1450" s="12" t="s">
        <v>3784</v>
      </c>
      <c r="N1450" s="12" t="s">
        <v>3785</v>
      </c>
      <c r="O1450" s="9" t="str">
        <f aca="false">HYPERLINK("https://pbs.twimg.com/profile_images/917767476229935104/jPfA67ur_normal.jpg","View")</f>
        <v>View</v>
      </c>
      <c r="P1450" s="10"/>
    </row>
    <row r="1451" customFormat="false" ht="15.75" hidden="false" customHeight="false" outlineLevel="0" collapsed="false">
      <c r="A1451" s="6" t="n">
        <v>43030.1971412037</v>
      </c>
      <c r="B1451" s="7" t="str">
        <f aca="false">HYPERLINK("https://twitter.com/EastSideScribe","@EastSideScribe")</f>
        <v>@EastSideScribe</v>
      </c>
      <c r="C1451" s="8" t="s">
        <v>3786</v>
      </c>
      <c r="D1451" s="8" t="s">
        <v>3541</v>
      </c>
      <c r="E1451" s="9" t="str">
        <f aca="false">HYPERLINK("https://twitter.com/EastSideScribe/status/922065969928957952","922065969928957952")</f>
        <v>922065969928957952</v>
      </c>
      <c r="F1451" s="10" t="s">
        <v>98</v>
      </c>
      <c r="G1451" s="10" t="n">
        <v>503</v>
      </c>
      <c r="H1451" s="10" t="n">
        <v>2244</v>
      </c>
      <c r="I1451" s="10" t="n">
        <v>18</v>
      </c>
      <c r="J1451" s="10" t="n">
        <v>0</v>
      </c>
      <c r="K1451" s="10" t="s">
        <v>20</v>
      </c>
      <c r="L1451" s="11" t="n">
        <v>41598.2761458333</v>
      </c>
      <c r="M1451" s="12" t="s">
        <v>3787</v>
      </c>
      <c r="N1451" s="12" t="s">
        <v>3788</v>
      </c>
      <c r="O1451" s="9" t="str">
        <f aca="false">HYPERLINK("https://pbs.twimg.com/profile_images/439803909826023424/UDTLpSAk_normal.jpeg","View")</f>
        <v>View</v>
      </c>
      <c r="P1451" s="10"/>
    </row>
    <row r="1452" customFormat="false" ht="15.75" hidden="false" customHeight="false" outlineLevel="0" collapsed="false">
      <c r="A1452" s="6" t="n">
        <v>43030.1971643519</v>
      </c>
      <c r="B1452" s="7" t="str">
        <f aca="false">HYPERLINK("https://twitter.com/JayCrane83","@JayCrane83")</f>
        <v>@JayCrane83</v>
      </c>
      <c r="C1452" s="8" t="s">
        <v>3789</v>
      </c>
      <c r="D1452" s="8" t="s">
        <v>3295</v>
      </c>
      <c r="E1452" s="9" t="str">
        <f aca="false">HYPERLINK("https://twitter.com/JayCrane83/status/922065978233688064","922065978233688064")</f>
        <v>922065978233688064</v>
      </c>
      <c r="F1452" s="10" t="s">
        <v>3790</v>
      </c>
      <c r="G1452" s="10" t="n">
        <v>6469</v>
      </c>
      <c r="H1452" s="10" t="n">
        <v>2617</v>
      </c>
      <c r="I1452" s="10" t="n">
        <v>71</v>
      </c>
      <c r="J1452" s="10" t="n">
        <v>0</v>
      </c>
      <c r="K1452" s="10" t="s">
        <v>20</v>
      </c>
      <c r="L1452" s="11" t="n">
        <v>42588.395787037</v>
      </c>
      <c r="M1452" s="12" t="s">
        <v>3791</v>
      </c>
      <c r="N1452" s="12" t="s">
        <v>3792</v>
      </c>
      <c r="O1452" s="9" t="str">
        <f aca="false">HYPERLINK("https://pbs.twimg.com/profile_images/922482564220248065/c9wSb0Kz_normal.jpg","View")</f>
        <v>View</v>
      </c>
      <c r="P1452" s="10"/>
    </row>
    <row r="1453" customFormat="false" ht="15.75" hidden="false" customHeight="false" outlineLevel="0" collapsed="false">
      <c r="A1453" s="6" t="n">
        <v>43030.1971643519</v>
      </c>
      <c r="B1453" s="7" t="str">
        <f aca="false">HYPERLINK("https://twitter.com/Sid_soothsayer","@Sid_soothsayer")</f>
        <v>@Sid_soothsayer</v>
      </c>
      <c r="C1453" s="8" t="s">
        <v>3793</v>
      </c>
      <c r="D1453" s="8" t="s">
        <v>3794</v>
      </c>
      <c r="E1453" s="9" t="str">
        <f aca="false">HYPERLINK("https://twitter.com/Sid_soothsayer/status/922065979370360832","922065979370360832")</f>
        <v>922065979370360832</v>
      </c>
      <c r="F1453" s="10" t="s">
        <v>51</v>
      </c>
      <c r="G1453" s="10" t="n">
        <v>2746</v>
      </c>
      <c r="H1453" s="10" t="n">
        <v>3591</v>
      </c>
      <c r="I1453" s="10" t="n">
        <v>0</v>
      </c>
      <c r="J1453" s="10" t="n">
        <v>0</v>
      </c>
      <c r="K1453" s="10" t="s">
        <v>20</v>
      </c>
      <c r="L1453" s="11" t="n">
        <v>42226.2760185185</v>
      </c>
      <c r="M1453" s="12" t="s">
        <v>253</v>
      </c>
      <c r="N1453" s="12" t="s">
        <v>3795</v>
      </c>
      <c r="O1453" s="9" t="str">
        <f aca="false">HYPERLINK("https://pbs.twimg.com/profile_images/885782885537533952/AElOOLL9_normal.jpg","View")</f>
        <v>View</v>
      </c>
      <c r="P1453" s="10"/>
    </row>
    <row r="1454" customFormat="false" ht="15.75" hidden="false" customHeight="false" outlineLevel="0" collapsed="false">
      <c r="A1454" s="6" t="n">
        <v>43030.1972337963</v>
      </c>
      <c r="B1454" s="7" t="str">
        <f aca="false">HYPERLINK("https://twitter.com/9b3OR2qdITMbDcd","@9b3OR2qdITMbDcd")</f>
        <v>@9b3OR2qdITMbDcd</v>
      </c>
      <c r="C1454" s="14" t="s">
        <v>3796</v>
      </c>
      <c r="D1454" s="8" t="s">
        <v>3541</v>
      </c>
      <c r="E1454" s="9" t="str">
        <f aca="false">HYPERLINK("https://twitter.com/9b3OR2qdITMbDcd/status/922066006456934400","922066006456934400")</f>
        <v>922066006456934400</v>
      </c>
      <c r="F1454" s="10" t="s">
        <v>177</v>
      </c>
      <c r="G1454" s="10" t="n">
        <v>1260334</v>
      </c>
      <c r="H1454" s="10" t="n">
        <v>2287</v>
      </c>
      <c r="I1454" s="10" t="n">
        <v>18</v>
      </c>
      <c r="J1454" s="10" t="n">
        <v>0</v>
      </c>
      <c r="K1454" s="10" t="s">
        <v>20</v>
      </c>
      <c r="L1454" s="11" t="n">
        <v>42581.3831712963</v>
      </c>
      <c r="M1454" s="13" t="s">
        <v>3797</v>
      </c>
      <c r="N1454" s="13" t="s">
        <v>3798</v>
      </c>
      <c r="O1454" s="9" t="str">
        <f aca="false">HYPERLINK("https://pbs.twimg.com/profile_images/759426044512178176/e8MouqvM_normal.jpg","View")</f>
        <v>View</v>
      </c>
      <c r="P1454" s="10"/>
    </row>
    <row r="1455" customFormat="false" ht="15.75" hidden="false" customHeight="false" outlineLevel="0" collapsed="false">
      <c r="A1455" s="6" t="n">
        <v>43030.1973032407</v>
      </c>
      <c r="B1455" s="7" t="str">
        <f aca="false">HYPERLINK("https://twitter.com/sr99news","@sr99news")</f>
        <v>@sr99news</v>
      </c>
      <c r="C1455" s="8" t="s">
        <v>3799</v>
      </c>
      <c r="D1455" s="8" t="s">
        <v>3800</v>
      </c>
      <c r="E1455" s="9" t="str">
        <f aca="false">HYPERLINK("https://twitter.com/sr99news/status/922066030846812165","922066030846812165")</f>
        <v>922066030846812165</v>
      </c>
      <c r="F1455" s="9" t="s">
        <v>1147</v>
      </c>
      <c r="G1455" s="10" t="n">
        <v>581</v>
      </c>
      <c r="H1455" s="10" t="n">
        <v>951</v>
      </c>
      <c r="I1455" s="10" t="n">
        <v>0</v>
      </c>
      <c r="J1455" s="10" t="n">
        <v>0</v>
      </c>
      <c r="K1455" s="10" t="s">
        <v>20</v>
      </c>
      <c r="L1455" s="11" t="n">
        <v>41100.0491666667</v>
      </c>
      <c r="M1455" s="12"/>
      <c r="N1455" s="12" t="s">
        <v>3801</v>
      </c>
      <c r="O1455" s="9" t="str">
        <f aca="false">HYPERLINK("https://pbs.twimg.com/profile_images/2384492336/167468_453137031381197_1173533582_n_normal.jpg","View")</f>
        <v>View</v>
      </c>
      <c r="P1455" s="10"/>
    </row>
    <row r="1456" customFormat="false" ht="15.75" hidden="false" customHeight="false" outlineLevel="0" collapsed="false">
      <c r="A1456" s="6" t="n">
        <v>43030.197337963</v>
      </c>
      <c r="B1456" s="7" t="str">
        <f aca="false">HYPERLINK("https://twitter.com/NarrendraM","@NarrendraM")</f>
        <v>@NarrendraM</v>
      </c>
      <c r="C1456" s="8" t="s">
        <v>468</v>
      </c>
      <c r="D1456" s="8" t="s">
        <v>3802</v>
      </c>
      <c r="E1456" s="9" t="str">
        <f aca="false">HYPERLINK("https://twitter.com/NarrendraM/status/922066042242912256","922066042242912256")</f>
        <v>922066042242912256</v>
      </c>
      <c r="F1456" s="10" t="s">
        <v>60</v>
      </c>
      <c r="G1456" s="10" t="n">
        <v>1999</v>
      </c>
      <c r="H1456" s="10" t="n">
        <v>252</v>
      </c>
      <c r="I1456" s="10" t="n">
        <v>0</v>
      </c>
      <c r="J1456" s="10" t="n">
        <v>0</v>
      </c>
      <c r="K1456" s="10" t="s">
        <v>20</v>
      </c>
      <c r="L1456" s="11" t="n">
        <v>42471.0737037037</v>
      </c>
      <c r="M1456" s="12" t="s">
        <v>253</v>
      </c>
      <c r="N1456" s="12" t="s">
        <v>470</v>
      </c>
      <c r="O1456" s="9" t="str">
        <f aca="false">HYPERLINK("https://pbs.twimg.com/profile_images/743939643738034176/WkGloI0u_normal.jpg","View")</f>
        <v>View</v>
      </c>
      <c r="P1456" s="10"/>
    </row>
    <row r="1457" customFormat="false" ht="15.75" hidden="false" customHeight="false" outlineLevel="0" collapsed="false">
      <c r="A1457" s="6" t="n">
        <v>43030.197337963</v>
      </c>
      <c r="B1457" s="7" t="str">
        <f aca="false">HYPERLINK("https://twitter.com/ybfishel","@ybfishel")</f>
        <v>@ybfishel</v>
      </c>
      <c r="C1457" s="8" t="s">
        <v>3803</v>
      </c>
      <c r="D1457" s="8" t="s">
        <v>3804</v>
      </c>
      <c r="E1457" s="9" t="str">
        <f aca="false">HYPERLINK("https://twitter.com/ybfishel/status/922066044100820993","922066044100820993")</f>
        <v>922066044100820993</v>
      </c>
      <c r="F1457" s="10" t="s">
        <v>39</v>
      </c>
      <c r="G1457" s="10" t="n">
        <v>279</v>
      </c>
      <c r="H1457" s="10" t="n">
        <v>72</v>
      </c>
      <c r="I1457" s="10" t="n">
        <v>0</v>
      </c>
      <c r="J1457" s="10" t="n">
        <v>0</v>
      </c>
      <c r="K1457" s="10" t="s">
        <v>20</v>
      </c>
      <c r="L1457" s="11" t="n">
        <v>39446.3924305556</v>
      </c>
      <c r="M1457" s="12" t="s">
        <v>3805</v>
      </c>
      <c r="N1457" s="12" t="s">
        <v>3806</v>
      </c>
      <c r="O1457" s="9" t="str">
        <f aca="false">HYPERLINK("https://pbs.twimg.com/profile_images/1443709775/twit_pic_normal.jpg","View")</f>
        <v>View</v>
      </c>
      <c r="P1457" s="10"/>
    </row>
    <row r="1458" customFormat="false" ht="15.75" hidden="false" customHeight="false" outlineLevel="0" collapsed="false">
      <c r="A1458" s="6" t="n">
        <v>43030.1974074074</v>
      </c>
      <c r="B1458" s="7" t="str">
        <f aca="false">HYPERLINK("https://twitter.com/TheNewsAlerts","@TheNewsAlerts")</f>
        <v>@TheNewsAlerts</v>
      </c>
      <c r="C1458" s="8" t="s">
        <v>3360</v>
      </c>
      <c r="D1458" s="8" t="s">
        <v>3807</v>
      </c>
      <c r="E1458" s="9" t="str">
        <f aca="false">HYPERLINK("https://twitter.com/TheNewsAlerts/status/922066068167974914","922066068167974914")</f>
        <v>922066068167974914</v>
      </c>
      <c r="F1458" s="10" t="s">
        <v>60</v>
      </c>
      <c r="G1458" s="10" t="n">
        <v>706</v>
      </c>
      <c r="H1458" s="10" t="n">
        <v>565</v>
      </c>
      <c r="I1458" s="10" t="n">
        <v>0</v>
      </c>
      <c r="J1458" s="10" t="n">
        <v>0</v>
      </c>
      <c r="K1458" s="10" t="s">
        <v>20</v>
      </c>
      <c r="L1458" s="11" t="n">
        <v>40368.5926157407</v>
      </c>
      <c r="M1458" s="12" t="s">
        <v>3361</v>
      </c>
      <c r="N1458" s="12" t="s">
        <v>3362</v>
      </c>
      <c r="O1458" s="9" t="str">
        <f aca="false">HYPERLINK("https://pbs.twimg.com/profile_images/824973109522464768/RosVlZDx_normal.jpg","View")</f>
        <v>View</v>
      </c>
      <c r="P1458" s="10"/>
    </row>
    <row r="1459" customFormat="false" ht="15.75" hidden="false" customHeight="false" outlineLevel="0" collapsed="false">
      <c r="A1459" s="6" t="n">
        <v>43030.1975694444</v>
      </c>
      <c r="B1459" s="7" t="str">
        <f aca="false">HYPERLINK("https://twitter.com/PS641600","@PS641600")</f>
        <v>@PS641600</v>
      </c>
      <c r="C1459" s="8" t="s">
        <v>2146</v>
      </c>
      <c r="D1459" s="8" t="s">
        <v>3808</v>
      </c>
      <c r="E1459" s="9" t="str">
        <f aca="false">HYPERLINK("https://twitter.com/PS641600/status/922066125265035264","922066125265035264")</f>
        <v>922066125265035264</v>
      </c>
      <c r="F1459" s="10" t="s">
        <v>159</v>
      </c>
      <c r="G1459" s="10" t="n">
        <v>3978</v>
      </c>
      <c r="H1459" s="10" t="n">
        <v>4083</v>
      </c>
      <c r="I1459" s="10" t="n">
        <v>0</v>
      </c>
      <c r="J1459" s="10" t="n">
        <v>0</v>
      </c>
      <c r="K1459" s="10" t="s">
        <v>20</v>
      </c>
      <c r="L1459" s="11" t="n">
        <v>40521.6192361111</v>
      </c>
      <c r="M1459" s="12" t="s">
        <v>2148</v>
      </c>
      <c r="N1459" s="12" t="s">
        <v>2149</v>
      </c>
      <c r="O1459" s="9" t="str">
        <f aca="false">HYPERLINK("https://pbs.twimg.com/profile_images/907275579438850048/mAQAJ-Qp_normal.jpg","View")</f>
        <v>View</v>
      </c>
      <c r="P1459" s="10"/>
    </row>
    <row r="1460" customFormat="false" ht="15.75" hidden="false" customHeight="false" outlineLevel="0" collapsed="false">
      <c r="A1460" s="6" t="n">
        <v>43030.1975810185</v>
      </c>
      <c r="B1460" s="7" t="str">
        <f aca="false">HYPERLINK("https://twitter.com/RonnieChopra1","@RonnieChopra1")</f>
        <v>@RonnieChopra1</v>
      </c>
      <c r="C1460" s="8" t="s">
        <v>3272</v>
      </c>
      <c r="D1460" s="8" t="s">
        <v>3646</v>
      </c>
      <c r="E1460" s="9" t="str">
        <f aca="false">HYPERLINK("https://twitter.com/RonnieChopra1/status/922066129459269633","922066129459269633")</f>
        <v>922066129459269633</v>
      </c>
      <c r="F1460" s="10" t="s">
        <v>39</v>
      </c>
      <c r="G1460" s="10" t="n">
        <v>341</v>
      </c>
      <c r="H1460" s="10" t="n">
        <v>340</v>
      </c>
      <c r="I1460" s="10" t="n">
        <v>71</v>
      </c>
      <c r="J1460" s="10" t="n">
        <v>0</v>
      </c>
      <c r="K1460" s="10" t="s">
        <v>20</v>
      </c>
      <c r="L1460" s="11" t="n">
        <v>41331.9768287037</v>
      </c>
      <c r="M1460" s="12" t="s">
        <v>182</v>
      </c>
      <c r="N1460" s="12" t="s">
        <v>3274</v>
      </c>
      <c r="O1460" s="9" t="str">
        <f aca="false">HYPERLINK("https://pbs.twimg.com/profile_images/3313936859/e9c0e1009ee15e8f9e5d5f37ffa845a5_normal.jpeg","View")</f>
        <v>View</v>
      </c>
      <c r="P1460" s="10"/>
    </row>
    <row r="1461" customFormat="false" ht="15.75" hidden="false" customHeight="false" outlineLevel="0" collapsed="false">
      <c r="A1461" s="6" t="n">
        <v>43030.1976851852</v>
      </c>
      <c r="B1461" s="7" t="str">
        <f aca="false">HYPERLINK("https://twitter.com/Pirat_Kristos","@Pirat_Kristos")</f>
        <v>@Pirat_Kristos</v>
      </c>
      <c r="C1461" s="8" t="s">
        <v>3809</v>
      </c>
      <c r="D1461" s="8" t="s">
        <v>3605</v>
      </c>
      <c r="E1461" s="9" t="str">
        <f aca="false">HYPERLINK("https://twitter.com/Pirat_Kristos/status/922066168067878912","922066168067878912")</f>
        <v>922066168067878912</v>
      </c>
      <c r="F1461" s="10" t="s">
        <v>25</v>
      </c>
      <c r="G1461" s="10" t="n">
        <v>3013</v>
      </c>
      <c r="H1461" s="10" t="n">
        <v>1798</v>
      </c>
      <c r="I1461" s="10" t="n">
        <v>2</v>
      </c>
      <c r="J1461" s="10" t="n">
        <v>0</v>
      </c>
      <c r="K1461" s="10" t="s">
        <v>20</v>
      </c>
      <c r="L1461" s="11" t="n">
        <v>40308.9050462963</v>
      </c>
      <c r="M1461" s="12" t="s">
        <v>3810</v>
      </c>
      <c r="N1461" s="12" t="s">
        <v>3811</v>
      </c>
      <c r="O1461" s="9" t="str">
        <f aca="false">HYPERLINK("https://pbs.twimg.com/profile_images/881199747268300801/lueUdQfr_normal.jpg","View")</f>
        <v>View</v>
      </c>
      <c r="P1461" s="10"/>
    </row>
    <row r="1462" customFormat="false" ht="15.75" hidden="false" customHeight="false" outlineLevel="0" collapsed="false">
      <c r="A1462" s="6" t="n">
        <v>43030.1977662037</v>
      </c>
      <c r="B1462" s="7" t="str">
        <f aca="false">HYPERLINK("https://twitter.com/F5here","@F5here")</f>
        <v>@F5here</v>
      </c>
      <c r="C1462" s="8" t="s">
        <v>3812</v>
      </c>
      <c r="D1462" s="8" t="s">
        <v>3813</v>
      </c>
      <c r="E1462" s="9" t="str">
        <f aca="false">HYPERLINK("https://twitter.com/F5here/status/922066199130775557","922066199130775557")</f>
        <v>922066199130775557</v>
      </c>
      <c r="F1462" s="10" t="s">
        <v>25</v>
      </c>
      <c r="G1462" s="10" t="n">
        <v>2415</v>
      </c>
      <c r="H1462" s="10" t="n">
        <v>751</v>
      </c>
      <c r="I1462" s="10" t="n">
        <v>0</v>
      </c>
      <c r="J1462" s="10" t="n">
        <v>0</v>
      </c>
      <c r="K1462" s="10" t="s">
        <v>20</v>
      </c>
      <c r="L1462" s="11" t="n">
        <v>40065.10375</v>
      </c>
      <c r="M1462" s="12" t="s">
        <v>3814</v>
      </c>
      <c r="N1462" s="12" t="s">
        <v>3815</v>
      </c>
      <c r="O1462" s="9" t="str">
        <f aca="false">HYPERLINK("https://pbs.twimg.com/profile_images/1496934454/81b4940b-8464-448a-bd21-1b7d1a0e762f_normal.png","View")</f>
        <v>View</v>
      </c>
      <c r="P1462" s="10"/>
    </row>
    <row r="1463" customFormat="false" ht="15.75" hidden="false" customHeight="false" outlineLevel="0" collapsed="false">
      <c r="A1463" s="6" t="n">
        <v>43030.1978009259</v>
      </c>
      <c r="B1463" s="7" t="str">
        <f aca="false">HYPERLINK("https://twitter.com/jayjaydenis","@jayjaydenis")</f>
        <v>@jayjaydenis</v>
      </c>
      <c r="C1463" s="8" t="s">
        <v>3816</v>
      </c>
      <c r="D1463" s="8" t="s">
        <v>3620</v>
      </c>
      <c r="E1463" s="9" t="str">
        <f aca="false">HYPERLINK("https://twitter.com/jayjaydenis/status/922066211268997121","922066211268997121")</f>
        <v>922066211268997121</v>
      </c>
      <c r="F1463" s="10" t="s">
        <v>39</v>
      </c>
      <c r="G1463" s="10" t="n">
        <v>1812</v>
      </c>
      <c r="H1463" s="10" t="n">
        <v>1335</v>
      </c>
      <c r="I1463" s="10" t="n">
        <v>11</v>
      </c>
      <c r="J1463" s="10" t="n">
        <v>0</v>
      </c>
      <c r="K1463" s="10" t="s">
        <v>20</v>
      </c>
      <c r="L1463" s="11" t="n">
        <v>40628.3169907407</v>
      </c>
      <c r="M1463" s="12" t="s">
        <v>2797</v>
      </c>
      <c r="N1463" s="12" t="s">
        <v>3817</v>
      </c>
      <c r="O1463" s="9" t="str">
        <f aca="false">HYPERLINK("https://pbs.twimg.com/profile_images/742755769204899840/I6UXFopG_normal.jpg","View")</f>
        <v>View</v>
      </c>
      <c r="P1463" s="10"/>
    </row>
    <row r="1464" customFormat="false" ht="15.75" hidden="false" customHeight="false" outlineLevel="0" collapsed="false">
      <c r="A1464" s="6" t="n">
        <v>43030.1978703704</v>
      </c>
      <c r="B1464" s="7" t="str">
        <f aca="false">HYPERLINK("https://twitter.com/tqpzm","@tqpzm")</f>
        <v>@tqpzm</v>
      </c>
      <c r="C1464" s="14" t="s">
        <v>3818</v>
      </c>
      <c r="D1464" s="8" t="s">
        <v>3819</v>
      </c>
      <c r="E1464" s="9" t="str">
        <f aca="false">HYPERLINK("https://twitter.com/tqpzm/status/922066237072519168","922066237072519168")</f>
        <v>922066237072519168</v>
      </c>
      <c r="F1464" s="10" t="s">
        <v>55</v>
      </c>
      <c r="G1464" s="10" t="n">
        <v>180</v>
      </c>
      <c r="H1464" s="10" t="n">
        <v>8</v>
      </c>
      <c r="I1464" s="10" t="n">
        <v>0</v>
      </c>
      <c r="J1464" s="10" t="n">
        <v>0</v>
      </c>
      <c r="K1464" s="10" t="s">
        <v>20</v>
      </c>
      <c r="L1464" s="11" t="n">
        <v>40464.9325810185</v>
      </c>
      <c r="M1464" s="12"/>
      <c r="N1464" s="12"/>
      <c r="O1464" s="9" t="str">
        <f aca="false">HYPERLINK("https://pbs.twimg.com/profile_images/1148542178/___normal.jpg","View")</f>
        <v>View</v>
      </c>
      <c r="P1464" s="10"/>
    </row>
    <row r="1465" customFormat="false" ht="15.75" hidden="false" customHeight="false" outlineLevel="0" collapsed="false">
      <c r="A1465" s="6" t="n">
        <v>43030.1979166667</v>
      </c>
      <c r="B1465" s="7" t="str">
        <f aca="false">HYPERLINK("https://twitter.com/kzyk74","@kzyk74")</f>
        <v>@kzyk74</v>
      </c>
      <c r="C1465" s="8" t="s">
        <v>3820</v>
      </c>
      <c r="D1465" s="8" t="s">
        <v>3698</v>
      </c>
      <c r="E1465" s="9" t="str">
        <f aca="false">HYPERLINK("https://twitter.com/kzyk74/status/922066251391819776","922066251391819776")</f>
        <v>922066251391819776</v>
      </c>
      <c r="F1465" s="10" t="s">
        <v>39</v>
      </c>
      <c r="G1465" s="10" t="n">
        <v>592</v>
      </c>
      <c r="H1465" s="10" t="n">
        <v>1398</v>
      </c>
      <c r="I1465" s="10" t="n">
        <v>3</v>
      </c>
      <c r="J1465" s="10" t="n">
        <v>0</v>
      </c>
      <c r="K1465" s="10" t="s">
        <v>20</v>
      </c>
      <c r="L1465" s="11" t="n">
        <v>40314.9524652778</v>
      </c>
      <c r="M1465" s="12" t="s">
        <v>3821</v>
      </c>
      <c r="N1465" s="12" t="s">
        <v>3822</v>
      </c>
      <c r="O1465" s="9" t="str">
        <f aca="false">HYPERLINK("https://pbs.twimg.com/profile_images/804280333126377472/Mr8ZgCpP_normal.jpg","View")</f>
        <v>View</v>
      </c>
      <c r="P1465" s="10"/>
    </row>
    <row r="1466" customFormat="false" ht="15.75" hidden="false" customHeight="false" outlineLevel="0" collapsed="false">
      <c r="A1466" s="6" t="n">
        <v>43030.1979513889</v>
      </c>
      <c r="B1466" s="7" t="str">
        <f aca="false">HYPERLINK("https://twitter.com/takaochikubu","@takaochikubu")</f>
        <v>@takaochikubu</v>
      </c>
      <c r="C1466" s="8" t="s">
        <v>3823</v>
      </c>
      <c r="D1466" s="8" t="s">
        <v>3824</v>
      </c>
      <c r="E1466" s="9" t="str">
        <f aca="false">HYPERLINK("https://twitter.com/takaochikubu/status/922066263987425280","922066263987425280")</f>
        <v>922066263987425280</v>
      </c>
      <c r="F1466" s="10" t="s">
        <v>110</v>
      </c>
      <c r="G1466" s="10" t="n">
        <v>154</v>
      </c>
      <c r="H1466" s="10" t="n">
        <v>237</v>
      </c>
      <c r="I1466" s="10" t="n">
        <v>0</v>
      </c>
      <c r="J1466" s="10" t="n">
        <v>0</v>
      </c>
      <c r="K1466" s="10" t="s">
        <v>20</v>
      </c>
      <c r="L1466" s="11" t="n">
        <v>40173.2107638889</v>
      </c>
      <c r="M1466" s="12" t="s">
        <v>3825</v>
      </c>
      <c r="N1466" s="12" t="s">
        <v>3826</v>
      </c>
      <c r="O1466" s="9" t="str">
        <f aca="false">HYPERLINK("https://pbs.twimg.com/profile_images/826263560875499520/HXG9LEeh_normal.jpg","View")</f>
        <v>View</v>
      </c>
      <c r="P1466" s="10"/>
    </row>
    <row r="1467" customFormat="false" ht="15.75" hidden="false" customHeight="false" outlineLevel="0" collapsed="false">
      <c r="A1467" s="6" t="n">
        <v>43030.1979976852</v>
      </c>
      <c r="B1467" s="7" t="str">
        <f aca="false">HYPERLINK("https://twitter.com/Etrangloir","@Etrangloir")</f>
        <v>@Etrangloir</v>
      </c>
      <c r="C1467" s="8" t="s">
        <v>3827</v>
      </c>
      <c r="D1467" s="8" t="s">
        <v>3828</v>
      </c>
      <c r="E1467" s="9" t="str">
        <f aca="false">HYPERLINK("https://twitter.com/Etrangloir/status/922066281372766208","922066281372766208")</f>
        <v>922066281372766208</v>
      </c>
      <c r="F1467" s="10" t="s">
        <v>25</v>
      </c>
      <c r="G1467" s="10" t="n">
        <v>21</v>
      </c>
      <c r="H1467" s="10" t="n">
        <v>125</v>
      </c>
      <c r="I1467" s="10" t="n">
        <v>0</v>
      </c>
      <c r="J1467" s="10" t="n">
        <v>0</v>
      </c>
      <c r="K1467" s="10" t="s">
        <v>20</v>
      </c>
      <c r="L1467" s="11" t="n">
        <v>39999.3344791667</v>
      </c>
      <c r="M1467" s="12" t="s">
        <v>3488</v>
      </c>
      <c r="N1467" s="12" t="s">
        <v>3829</v>
      </c>
      <c r="O1467" s="9" t="str">
        <f aca="false">HYPERLINK("https://pbs.twimg.com/profile_images/641686881504247808/0uh4XfUe_normal.jpg","View")</f>
        <v>View</v>
      </c>
      <c r="P1467" s="10"/>
    </row>
    <row r="1468" customFormat="false" ht="15.75" hidden="false" customHeight="false" outlineLevel="0" collapsed="false">
      <c r="A1468" s="6" t="n">
        <v>43030.1981365741</v>
      </c>
      <c r="B1468" s="7" t="str">
        <f aca="false">HYPERLINK("https://twitter.com/arvindmahajan","@arvindmahajan")</f>
        <v>@arvindmahajan</v>
      </c>
      <c r="C1468" s="8" t="s">
        <v>3830</v>
      </c>
      <c r="D1468" s="8" t="s">
        <v>3831</v>
      </c>
      <c r="E1468" s="9" t="str">
        <f aca="false">HYPERLINK("https://twitter.com/arvindmahajan/status/922066333897957377","922066333897957377")</f>
        <v>922066333897957377</v>
      </c>
      <c r="F1468" s="10" t="s">
        <v>51</v>
      </c>
      <c r="G1468" s="10" t="n">
        <v>3308</v>
      </c>
      <c r="H1468" s="10" t="n">
        <v>2056</v>
      </c>
      <c r="I1468" s="10" t="n">
        <v>1</v>
      </c>
      <c r="J1468" s="10" t="n">
        <v>0</v>
      </c>
      <c r="K1468" s="10" t="s">
        <v>20</v>
      </c>
      <c r="L1468" s="11" t="n">
        <v>39523.3996412037</v>
      </c>
      <c r="M1468" s="12" t="s">
        <v>3832</v>
      </c>
      <c r="N1468" s="12" t="s">
        <v>3833</v>
      </c>
      <c r="O1468" s="9" t="str">
        <f aca="false">HYPERLINK("https://pbs.twimg.com/profile_images/897094357576286208/71UHwTZ0_normal.jpg","View")</f>
        <v>View</v>
      </c>
      <c r="P1468" s="10"/>
    </row>
    <row r="1469" customFormat="false" ht="15.75" hidden="false" customHeight="false" outlineLevel="0" collapsed="false">
      <c r="A1469" s="6" t="n">
        <v>43030.1982291667</v>
      </c>
      <c r="B1469" s="7" t="str">
        <f aca="false">HYPERLINK("https://twitter.com/ZyiteGadgets","@ZyiteGadgets")</f>
        <v>@ZyiteGadgets</v>
      </c>
      <c r="C1469" s="8" t="s">
        <v>171</v>
      </c>
      <c r="D1469" s="8" t="s">
        <v>3834</v>
      </c>
      <c r="E1469" s="9" t="str">
        <f aca="false">HYPERLINK("https://twitter.com/ZyiteGadgets/status/922066367079239680","922066367079239680")</f>
        <v>922066367079239680</v>
      </c>
      <c r="F1469" s="10" t="s">
        <v>110</v>
      </c>
      <c r="G1469" s="10" t="n">
        <v>3542</v>
      </c>
      <c r="H1469" s="10" t="n">
        <v>4844</v>
      </c>
      <c r="I1469" s="10" t="n">
        <v>0</v>
      </c>
      <c r="J1469" s="10" t="n">
        <v>0</v>
      </c>
      <c r="K1469" s="10" t="s">
        <v>20</v>
      </c>
      <c r="L1469" s="11" t="n">
        <v>41470.6147800926</v>
      </c>
      <c r="M1469" s="15" t="s">
        <v>173</v>
      </c>
      <c r="N1469" s="12" t="s">
        <v>174</v>
      </c>
      <c r="O1469" s="9" t="str">
        <f aca="false">HYPERLINK("https://pbs.twimg.com/profile_images/487701633489313793/pIxJHFt5_normal.jpeg","View")</f>
        <v>View</v>
      </c>
      <c r="P1469" s="10"/>
    </row>
    <row r="1470" customFormat="false" ht="15.75" hidden="false" customHeight="false" outlineLevel="0" collapsed="false">
      <c r="A1470" s="6" t="n">
        <v>43030.1982638889</v>
      </c>
      <c r="B1470" s="7" t="str">
        <f aca="false">HYPERLINK("https://twitter.com/Social_Media_a3","@Social_Media_a3")</f>
        <v>@Social_Media_a3</v>
      </c>
      <c r="C1470" s="8" t="s">
        <v>3835</v>
      </c>
      <c r="D1470" s="8" t="s">
        <v>3836</v>
      </c>
      <c r="E1470" s="9" t="str">
        <f aca="false">HYPERLINK("https://twitter.com/Social_Media_a3/status/922066379779567616","922066379779567616")</f>
        <v>922066379779567616</v>
      </c>
      <c r="F1470" s="10" t="s">
        <v>110</v>
      </c>
      <c r="G1470" s="10" t="n">
        <v>22053</v>
      </c>
      <c r="H1470" s="10" t="n">
        <v>20261</v>
      </c>
      <c r="I1470" s="10" t="n">
        <v>0</v>
      </c>
      <c r="J1470" s="10" t="n">
        <v>0</v>
      </c>
      <c r="K1470" s="10" t="s">
        <v>20</v>
      </c>
      <c r="L1470" s="11" t="n">
        <v>41906.200625</v>
      </c>
      <c r="M1470" s="12"/>
      <c r="N1470" s="12" t="s">
        <v>3837</v>
      </c>
      <c r="O1470" s="9" t="str">
        <f aca="false">HYPERLINK("https://pbs.twimg.com/profile_images/859667203506831360/yk4_iOzZ_normal.jpg","View")</f>
        <v>View</v>
      </c>
      <c r="P1470" s="10"/>
    </row>
    <row r="1471" customFormat="false" ht="15.75" hidden="false" customHeight="false" outlineLevel="0" collapsed="false">
      <c r="A1471" s="6" t="n">
        <v>43030.1983217593</v>
      </c>
      <c r="B1471" s="7" t="str">
        <f aca="false">HYPERLINK("https://twitter.com/redpky","@redpky")</f>
        <v>@redpky</v>
      </c>
      <c r="C1471" s="8" t="s">
        <v>3838</v>
      </c>
      <c r="D1471" s="8" t="s">
        <v>3646</v>
      </c>
      <c r="E1471" s="9" t="str">
        <f aca="false">HYPERLINK("https://twitter.com/redpky/status/922066400750968833","922066400750968833")</f>
        <v>922066400750968833</v>
      </c>
      <c r="F1471" s="10" t="s">
        <v>39</v>
      </c>
      <c r="G1471" s="10" t="n">
        <v>80</v>
      </c>
      <c r="H1471" s="10" t="n">
        <v>1039</v>
      </c>
      <c r="I1471" s="10" t="n">
        <v>71</v>
      </c>
      <c r="J1471" s="10" t="n">
        <v>0</v>
      </c>
      <c r="K1471" s="10" t="s">
        <v>20</v>
      </c>
      <c r="L1471" s="11" t="n">
        <v>40001.1393287037</v>
      </c>
      <c r="M1471" s="12"/>
      <c r="N1471" s="12"/>
      <c r="O1471" s="9" t="str">
        <f aca="false">HYPERLINK("https://pbs.twimg.com/profile_images/914553565695193089/0DMjRSe1_normal.jpg","View")</f>
        <v>View</v>
      </c>
      <c r="P1471" s="10"/>
    </row>
    <row r="1472" customFormat="false" ht="15.75" hidden="false" customHeight="false" outlineLevel="0" collapsed="false">
      <c r="A1472" s="6" t="n">
        <v>43030.1984606481</v>
      </c>
      <c r="B1472" s="7" t="str">
        <f aca="false">HYPERLINK("https://twitter.com/04bronx","@04bronx")</f>
        <v>@04bronx</v>
      </c>
      <c r="C1472" s="14" t="s">
        <v>3839</v>
      </c>
      <c r="D1472" s="8" t="s">
        <v>3646</v>
      </c>
      <c r="E1472" s="9" t="str">
        <f aca="false">HYPERLINK("https://twitter.com/04bronx/status/922066450147262464","922066450147262464")</f>
        <v>922066450147262464</v>
      </c>
      <c r="F1472" s="10" t="s">
        <v>25</v>
      </c>
      <c r="G1472" s="10" t="n">
        <v>97</v>
      </c>
      <c r="H1472" s="10" t="n">
        <v>491</v>
      </c>
      <c r="I1472" s="10" t="n">
        <v>71</v>
      </c>
      <c r="J1472" s="10" t="n">
        <v>0</v>
      </c>
      <c r="K1472" s="10" t="s">
        <v>20</v>
      </c>
      <c r="L1472" s="11" t="n">
        <v>42009.3571527778</v>
      </c>
      <c r="M1472" s="13" t="s">
        <v>3840</v>
      </c>
      <c r="N1472" s="13" t="s">
        <v>3841</v>
      </c>
      <c r="O1472" s="9" t="str">
        <f aca="false">HYPERLINK("https://pbs.twimg.com/profile_images/631432735270174720/ylNcsRh1_normal.jpg","View")</f>
        <v>View</v>
      </c>
      <c r="P1472" s="10"/>
    </row>
    <row r="1473" customFormat="false" ht="15.75" hidden="false" customHeight="false" outlineLevel="0" collapsed="false">
      <c r="A1473" s="6" t="n">
        <v>43030.1984606481</v>
      </c>
      <c r="B1473" s="7" t="str">
        <f aca="false">HYPERLINK("https://twitter.com/YashKVerm","@YashKVerm")</f>
        <v>@YashKVerm</v>
      </c>
      <c r="C1473" s="8" t="s">
        <v>1066</v>
      </c>
      <c r="D1473" s="8" t="s">
        <v>3514</v>
      </c>
      <c r="E1473" s="9" t="str">
        <f aca="false">HYPERLINK("https://twitter.com/YashKVerm/status/922066451480985600","922066451480985600")</f>
        <v>922066451480985600</v>
      </c>
      <c r="F1473" s="10" t="s">
        <v>98</v>
      </c>
      <c r="G1473" s="10" t="n">
        <v>1872</v>
      </c>
      <c r="H1473" s="10" t="n">
        <v>4311</v>
      </c>
      <c r="I1473" s="10" t="n">
        <v>19</v>
      </c>
      <c r="J1473" s="10" t="n">
        <v>0</v>
      </c>
      <c r="K1473" s="10" t="s">
        <v>20</v>
      </c>
      <c r="L1473" s="11" t="n">
        <v>41244.3866782407</v>
      </c>
      <c r="M1473" s="12"/>
      <c r="N1473" s="12"/>
      <c r="O1473" s="9" t="str">
        <f aca="false">HYPERLINK("https://pbs.twimg.com/profile_images/461229918366339072/pa6jfXz9_normal.jpeg","View")</f>
        <v>View</v>
      </c>
      <c r="P1473" s="10"/>
    </row>
    <row r="1474" customFormat="false" ht="15.75" hidden="false" customHeight="false" outlineLevel="0" collapsed="false">
      <c r="A1474" s="6" t="n">
        <v>43030.1984837963</v>
      </c>
      <c r="B1474" s="7" t="str">
        <f aca="false">HYPERLINK("https://twitter.com/MyDailyReporter","@MyDailyReporter")</f>
        <v>@MyDailyReporter</v>
      </c>
      <c r="C1474" s="8" t="s">
        <v>2125</v>
      </c>
      <c r="D1474" s="8" t="s">
        <v>3842</v>
      </c>
      <c r="E1474" s="9" t="str">
        <f aca="false">HYPERLINK("https://twitter.com/MyDailyReporter/status/922066457646764032","922066457646764032")</f>
        <v>922066457646764032</v>
      </c>
      <c r="F1474" s="10" t="s">
        <v>60</v>
      </c>
      <c r="G1474" s="10" t="n">
        <v>298</v>
      </c>
      <c r="H1474" s="10" t="n">
        <v>0</v>
      </c>
      <c r="I1474" s="10" t="n">
        <v>0</v>
      </c>
      <c r="J1474" s="10" t="n">
        <v>0</v>
      </c>
      <c r="K1474" s="10" t="s">
        <v>20</v>
      </c>
      <c r="L1474" s="11" t="n">
        <v>42308.4636458333</v>
      </c>
      <c r="M1474" s="12"/>
      <c r="N1474" s="12"/>
      <c r="O1474" s="9" t="str">
        <f aca="false">HYPERLINK("https://pbs.twimg.com/profile_images/660520809585315841/YEKGmz9g_normal.png","View")</f>
        <v>View</v>
      </c>
      <c r="P1474" s="10"/>
    </row>
    <row r="1475" customFormat="false" ht="15.75" hidden="false" customHeight="false" outlineLevel="0" collapsed="false">
      <c r="A1475" s="6" t="n">
        <v>43030.1985300926</v>
      </c>
      <c r="B1475" s="7" t="str">
        <f aca="false">HYPERLINK("https://twitter.com/bdnews24","@bdnews24")</f>
        <v>@bdnews24</v>
      </c>
      <c r="C1475" s="8" t="s">
        <v>216</v>
      </c>
      <c r="D1475" s="8" t="s">
        <v>3843</v>
      </c>
      <c r="E1475" s="9" t="str">
        <f aca="false">HYPERLINK("https://twitter.com/bdnews24/status/922066473912274946","922066473912274946")</f>
        <v>922066473912274946</v>
      </c>
      <c r="F1475" s="10" t="s">
        <v>60</v>
      </c>
      <c r="G1475" s="10" t="n">
        <v>215604</v>
      </c>
      <c r="H1475" s="10" t="n">
        <v>67887</v>
      </c>
      <c r="I1475" s="10" t="n">
        <v>0</v>
      </c>
      <c r="J1475" s="10" t="n">
        <v>0</v>
      </c>
      <c r="K1475" s="10" t="s">
        <v>20</v>
      </c>
      <c r="L1475" s="11" t="n">
        <v>39844.4680439815</v>
      </c>
      <c r="M1475" s="12" t="s">
        <v>218</v>
      </c>
      <c r="N1475" s="12" t="s">
        <v>219</v>
      </c>
      <c r="O1475" s="9" t="str">
        <f aca="false">HYPERLINK("https://pbs.twimg.com/profile_images/718433521509994497/4iW9RC_r_normal.jpg","View")</f>
        <v>View</v>
      </c>
      <c r="P1475" s="10"/>
    </row>
    <row r="1476" customFormat="false" ht="15.75" hidden="false" customHeight="false" outlineLevel="0" collapsed="false">
      <c r="A1476" s="6" t="n">
        <v>43030.1985300926</v>
      </c>
      <c r="B1476" s="7" t="str">
        <f aca="false">HYPERLINK("https://twitter.com/kensei_honjo","@kensei_honjo")</f>
        <v>@kensei_honjo</v>
      </c>
      <c r="C1476" s="14" t="s">
        <v>3844</v>
      </c>
      <c r="D1476" s="8" t="s">
        <v>3646</v>
      </c>
      <c r="E1476" s="9" t="str">
        <f aca="false">HYPERLINK("https://twitter.com/kensei_honjo/status/922066474298105856","922066474298105856")</f>
        <v>922066474298105856</v>
      </c>
      <c r="F1476" s="10" t="s">
        <v>51</v>
      </c>
      <c r="G1476" s="10" t="n">
        <v>254</v>
      </c>
      <c r="H1476" s="10" t="n">
        <v>401</v>
      </c>
      <c r="I1476" s="10" t="n">
        <v>71</v>
      </c>
      <c r="J1476" s="10" t="n">
        <v>0</v>
      </c>
      <c r="K1476" s="10" t="s">
        <v>20</v>
      </c>
      <c r="L1476" s="11" t="n">
        <v>41428.4545833333</v>
      </c>
      <c r="M1476" s="12" t="s">
        <v>3845</v>
      </c>
      <c r="N1476" s="13" t="s">
        <v>3846</v>
      </c>
      <c r="O1476" s="9" t="str">
        <f aca="false">HYPERLINK("https://pbs.twimg.com/profile_images/3751295877/2342acdf3d59cf623ad4c32cbb398b36_normal.jpeg","View")</f>
        <v>View</v>
      </c>
      <c r="P1476" s="10"/>
    </row>
    <row r="1477" customFormat="false" ht="15.75" hidden="false" customHeight="false" outlineLevel="0" collapsed="false">
      <c r="A1477" s="6" t="n">
        <v>43030.1986111111</v>
      </c>
      <c r="B1477" s="7" t="str">
        <f aca="false">HYPERLINK("https://twitter.com/DeMOCKERYcy","@DeMOCKERYcy")</f>
        <v>@DeMOCKERYcy</v>
      </c>
      <c r="C1477" s="8" t="s">
        <v>2162</v>
      </c>
      <c r="D1477" s="8" t="s">
        <v>3847</v>
      </c>
      <c r="E1477" s="9" t="str">
        <f aca="false">HYPERLINK("https://twitter.com/DeMOCKERYcy/status/922066502563651585","922066502563651585")</f>
        <v>922066502563651585</v>
      </c>
      <c r="F1477" s="10" t="s">
        <v>60</v>
      </c>
      <c r="G1477" s="10" t="n">
        <v>2212</v>
      </c>
      <c r="H1477" s="10" t="n">
        <v>708</v>
      </c>
      <c r="I1477" s="10" t="n">
        <v>0</v>
      </c>
      <c r="J1477" s="10" t="n">
        <v>0</v>
      </c>
      <c r="K1477" s="10" t="s">
        <v>20</v>
      </c>
      <c r="L1477" s="11" t="n">
        <v>41401.1149652778</v>
      </c>
      <c r="M1477" s="12" t="s">
        <v>2164</v>
      </c>
      <c r="N1477" s="12" t="s">
        <v>2165</v>
      </c>
      <c r="O1477" s="9" t="str">
        <f aca="false">HYPERLINK("https://pbs.twimg.com/profile_images/905014922035302408/uBnynb0Z_normal.jpg","View")</f>
        <v>View</v>
      </c>
      <c r="P1477" s="10"/>
    </row>
    <row r="1478" customFormat="false" ht="15.75" hidden="false" customHeight="false" outlineLevel="0" collapsed="false">
      <c r="A1478" s="6" t="n">
        <v>43030.1986342593</v>
      </c>
      <c r="B1478" s="7" t="str">
        <f aca="false">HYPERLINK("https://twitter.com/JaneDav45507892","@JaneDav45507892")</f>
        <v>@JaneDav45507892</v>
      </c>
      <c r="C1478" s="8" t="s">
        <v>3848</v>
      </c>
      <c r="D1478" s="8" t="s">
        <v>3646</v>
      </c>
      <c r="E1478" s="9" t="str">
        <f aca="false">HYPERLINK("https://twitter.com/JaneDav45507892/status/922066511703003136","922066511703003136")</f>
        <v>922066511703003136</v>
      </c>
      <c r="F1478" s="10" t="s">
        <v>51</v>
      </c>
      <c r="G1478" s="10" t="n">
        <v>701</v>
      </c>
      <c r="H1478" s="10" t="n">
        <v>596</v>
      </c>
      <c r="I1478" s="10" t="n">
        <v>71</v>
      </c>
      <c r="J1478" s="10" t="n">
        <v>0</v>
      </c>
      <c r="K1478" s="10" t="s">
        <v>20</v>
      </c>
      <c r="L1478" s="11" t="n">
        <v>42551.1506481482</v>
      </c>
      <c r="M1478" s="12" t="s">
        <v>3849</v>
      </c>
      <c r="N1478" s="12"/>
      <c r="O1478" s="9" t="str">
        <f aca="false">HYPERLINK("https://pbs.twimg.com/profile_images/862663657582469124/aYngLx-I_normal.jpg","View")</f>
        <v>View</v>
      </c>
      <c r="P1478" s="10"/>
    </row>
    <row r="1479" customFormat="false" ht="15.75" hidden="false" customHeight="false" outlineLevel="0" collapsed="false">
      <c r="A1479" s="6" t="n">
        <v>43030.1986574074</v>
      </c>
      <c r="B1479" s="7" t="str">
        <f aca="false">HYPERLINK("https://twitter.com/Ben0war","@Ben0war")</f>
        <v>@Ben0war</v>
      </c>
      <c r="C1479" s="8" t="s">
        <v>3850</v>
      </c>
      <c r="D1479" s="8" t="s">
        <v>3646</v>
      </c>
      <c r="E1479" s="9" t="str">
        <f aca="false">HYPERLINK("https://twitter.com/Ben0war/status/922066519420489728","922066519420489728")</f>
        <v>922066519420489728</v>
      </c>
      <c r="F1479" s="10" t="s">
        <v>25</v>
      </c>
      <c r="G1479" s="10" t="n">
        <v>102</v>
      </c>
      <c r="H1479" s="10" t="n">
        <v>903</v>
      </c>
      <c r="I1479" s="10" t="n">
        <v>71</v>
      </c>
      <c r="J1479" s="10" t="n">
        <v>0</v>
      </c>
      <c r="K1479" s="10" t="s">
        <v>20</v>
      </c>
      <c r="L1479" s="11" t="n">
        <v>40930.6206481481</v>
      </c>
      <c r="M1479" s="12" t="s">
        <v>3053</v>
      </c>
      <c r="N1479" s="12" t="s">
        <v>3851</v>
      </c>
      <c r="O1479" s="9" t="str">
        <f aca="false">HYPERLINK("https://pbs.twimg.com/profile_images/876862581641801729/Y9c3cKIP_normal.jpg","View")</f>
        <v>View</v>
      </c>
      <c r="P1479" s="10"/>
    </row>
    <row r="1480" customFormat="false" ht="15.75" hidden="false" customHeight="false" outlineLevel="0" collapsed="false">
      <c r="A1480" s="6" t="n">
        <v>43030.1990972222</v>
      </c>
      <c r="B1480" s="7" t="str">
        <f aca="false">HYPERLINK("https://twitter.com/santoku1101","@santoku1101")</f>
        <v>@santoku1101</v>
      </c>
      <c r="C1480" s="14" t="s">
        <v>3852</v>
      </c>
      <c r="D1480" s="8" t="s">
        <v>3646</v>
      </c>
      <c r="E1480" s="9" t="str">
        <f aca="false">HYPERLINK("https://twitter.com/santoku1101/status/922066681429606401","922066681429606401")</f>
        <v>922066681429606401</v>
      </c>
      <c r="F1480" s="10" t="s">
        <v>276</v>
      </c>
      <c r="G1480" s="10" t="n">
        <v>239</v>
      </c>
      <c r="H1480" s="10" t="n">
        <v>478</v>
      </c>
      <c r="I1480" s="10" t="n">
        <v>71</v>
      </c>
      <c r="J1480" s="10" t="n">
        <v>0</v>
      </c>
      <c r="K1480" s="10" t="s">
        <v>20</v>
      </c>
      <c r="L1480" s="11" t="n">
        <v>40287.173912037</v>
      </c>
      <c r="M1480" s="12"/>
      <c r="N1480" s="12" t="s">
        <v>3853</v>
      </c>
      <c r="O1480" s="9" t="str">
        <f aca="false">HYPERLINK("https://pbs.twimg.com/profile_images/549528910904299522/PxQwWjFb_normal.jpeg","View")</f>
        <v>View</v>
      </c>
      <c r="P1480" s="10"/>
    </row>
    <row r="1481" customFormat="false" ht="15.75" hidden="false" customHeight="false" outlineLevel="0" collapsed="false">
      <c r="A1481" s="6" t="n">
        <v>43030.1992476852</v>
      </c>
      <c r="B1481" s="7" t="str">
        <f aca="false">HYPERLINK("https://twitter.com/mcdemirkoll","@mcdemirkoll")</f>
        <v>@mcdemirkoll</v>
      </c>
      <c r="C1481" s="8" t="s">
        <v>3854</v>
      </c>
      <c r="D1481" s="8" t="s">
        <v>3855</v>
      </c>
      <c r="E1481" s="9" t="str">
        <f aca="false">HYPERLINK("https://twitter.com/mcdemirkoll/status/922066735372496897","922066735372496897")</f>
        <v>922066735372496897</v>
      </c>
      <c r="F1481" s="10" t="s">
        <v>51</v>
      </c>
      <c r="G1481" s="10" t="n">
        <v>314</v>
      </c>
      <c r="H1481" s="10" t="n">
        <v>644</v>
      </c>
      <c r="I1481" s="10" t="n">
        <v>0</v>
      </c>
      <c r="J1481" s="10" t="n">
        <v>0</v>
      </c>
      <c r="K1481" s="10" t="s">
        <v>20</v>
      </c>
      <c r="L1481" s="11" t="n">
        <v>41913.0469328704</v>
      </c>
      <c r="M1481" s="12" t="s">
        <v>893</v>
      </c>
      <c r="N1481" s="12" t="s">
        <v>3856</v>
      </c>
      <c r="O1481" s="9" t="str">
        <f aca="false">HYPERLINK("https://pbs.twimg.com/profile_images/915982643547779073/ZqOrfm01_normal.jpg","View")</f>
        <v>View</v>
      </c>
      <c r="P1481" s="10"/>
    </row>
    <row r="1482" customFormat="false" ht="15.75" hidden="false" customHeight="false" outlineLevel="0" collapsed="false">
      <c r="A1482" s="6" t="n">
        <v>43030.1993518519</v>
      </c>
      <c r="B1482" s="7" t="str">
        <f aca="false">HYPERLINK("https://twitter.com/wittich","@wittich")</f>
        <v>@wittich</v>
      </c>
      <c r="C1482" s="8" t="s">
        <v>1151</v>
      </c>
      <c r="D1482" s="8" t="s">
        <v>3857</v>
      </c>
      <c r="E1482" s="9" t="str">
        <f aca="false">HYPERLINK("https://twitter.com/wittich/status/922066771816910849","922066771816910849")</f>
        <v>922066771816910849</v>
      </c>
      <c r="F1482" s="10" t="s">
        <v>55</v>
      </c>
      <c r="G1482" s="10" t="n">
        <v>2611</v>
      </c>
      <c r="H1482" s="10" t="n">
        <v>1727</v>
      </c>
      <c r="I1482" s="10" t="n">
        <v>0</v>
      </c>
      <c r="J1482" s="10" t="n">
        <v>0</v>
      </c>
      <c r="K1482" s="10" t="s">
        <v>20</v>
      </c>
      <c r="L1482" s="11" t="n">
        <v>39375.5249768519</v>
      </c>
      <c r="M1482" s="12" t="s">
        <v>1153</v>
      </c>
      <c r="N1482" s="12" t="s">
        <v>1154</v>
      </c>
      <c r="O1482" s="9" t="str">
        <f aca="false">HYPERLINK("https://pbs.twimg.com/profile_images/840685455729446912/M8OlVjm3_normal.jpg","View")</f>
        <v>View</v>
      </c>
      <c r="P1482" s="10"/>
    </row>
    <row r="1483" customFormat="false" ht="15.75" hidden="false" customHeight="false" outlineLevel="0" collapsed="false">
      <c r="A1483" s="6" t="n">
        <v>43030.1994560185</v>
      </c>
      <c r="B1483" s="7" t="str">
        <f aca="false">HYPERLINK("https://twitter.com/KarloMdz","@KarloMdz")</f>
        <v>@KarloMdz</v>
      </c>
      <c r="C1483" s="8" t="s">
        <v>1011</v>
      </c>
      <c r="D1483" s="8" t="s">
        <v>3858</v>
      </c>
      <c r="E1483" s="9" t="str">
        <f aca="false">HYPERLINK("https://twitter.com/KarloMdz/status/922066811532824576","922066811532824576")</f>
        <v>922066811532824576</v>
      </c>
      <c r="F1483" s="10" t="s">
        <v>60</v>
      </c>
      <c r="G1483" s="10" t="n">
        <v>311</v>
      </c>
      <c r="H1483" s="10" t="n">
        <v>137</v>
      </c>
      <c r="I1483" s="10" t="n">
        <v>0</v>
      </c>
      <c r="J1483" s="10" t="n">
        <v>0</v>
      </c>
      <c r="K1483" s="10" t="s">
        <v>20</v>
      </c>
      <c r="L1483" s="11" t="n">
        <v>42132.3644212963</v>
      </c>
      <c r="M1483" s="12" t="s">
        <v>1013</v>
      </c>
      <c r="N1483" s="12" t="s">
        <v>1014</v>
      </c>
      <c r="O1483" s="9" t="str">
        <f aca="false">HYPERLINK("https://pbs.twimg.com/profile_images/830713335117127680/Q5qrinGt_normal.jpg","View")</f>
        <v>View</v>
      </c>
      <c r="P1483" s="10"/>
    </row>
    <row r="1484" customFormat="false" ht="15.75" hidden="false" customHeight="false" outlineLevel="0" collapsed="false">
      <c r="A1484" s="6" t="n">
        <v>43030.1996412037</v>
      </c>
      <c r="B1484" s="7" t="str">
        <f aca="false">HYPERLINK("https://twitter.com/TheresaAFallon","@TheresaAFallon")</f>
        <v>@TheresaAFallon</v>
      </c>
      <c r="C1484" s="8" t="s">
        <v>3859</v>
      </c>
      <c r="D1484" s="8" t="s">
        <v>3860</v>
      </c>
      <c r="E1484" s="9" t="str">
        <f aca="false">HYPERLINK("https://twitter.com/TheresaAFallon/status/922066876976455681","922066876976455681")</f>
        <v>922066876976455681</v>
      </c>
      <c r="F1484" s="10" t="s">
        <v>39</v>
      </c>
      <c r="G1484" s="10" t="n">
        <v>12498</v>
      </c>
      <c r="H1484" s="10" t="n">
        <v>9080</v>
      </c>
      <c r="I1484" s="10" t="n">
        <v>0</v>
      </c>
      <c r="J1484" s="10" t="n">
        <v>1</v>
      </c>
      <c r="K1484" s="10" t="s">
        <v>20</v>
      </c>
      <c r="L1484" s="11" t="n">
        <v>41721.5580324074</v>
      </c>
      <c r="M1484" s="12" t="s">
        <v>1168</v>
      </c>
      <c r="N1484" s="12" t="s">
        <v>3861</v>
      </c>
      <c r="O1484" s="9" t="str">
        <f aca="false">HYPERLINK("https://pbs.twimg.com/profile_images/649602371648000000/TR22zWWv_normal.png","View")</f>
        <v>View</v>
      </c>
      <c r="P1484" s="10"/>
    </row>
    <row r="1485" customFormat="false" ht="15.75" hidden="false" customHeight="false" outlineLevel="0" collapsed="false">
      <c r="A1485" s="6" t="n">
        <v>43030.1996412037</v>
      </c>
      <c r="B1485" s="7" t="str">
        <f aca="false">HYPERLINK("https://twitter.com/Apocrifos","@Apocrifos")</f>
        <v>@Apocrifos</v>
      </c>
      <c r="C1485" s="8" t="s">
        <v>1297</v>
      </c>
      <c r="D1485" s="8" t="s">
        <v>3862</v>
      </c>
      <c r="E1485" s="9" t="str">
        <f aca="false">HYPERLINK("https://twitter.com/Apocrifos/status/922066878507479047","922066878507479047")</f>
        <v>922066878507479047</v>
      </c>
      <c r="F1485" s="10" t="s">
        <v>60</v>
      </c>
      <c r="G1485" s="10" t="n">
        <v>777</v>
      </c>
      <c r="H1485" s="10" t="n">
        <v>508</v>
      </c>
      <c r="I1485" s="10" t="n">
        <v>0</v>
      </c>
      <c r="J1485" s="10" t="n">
        <v>0</v>
      </c>
      <c r="K1485" s="10" t="s">
        <v>20</v>
      </c>
      <c r="L1485" s="11" t="n">
        <v>39961.4268287037</v>
      </c>
      <c r="M1485" s="12" t="s">
        <v>551</v>
      </c>
      <c r="N1485" s="12" t="s">
        <v>1299</v>
      </c>
      <c r="O1485" s="9" t="str">
        <f aca="false">HYPERLINK("https://pbs.twimg.com/profile_images/3672960453/ea0d6104e1c4773a26d48d5437e962d8_normal.jpeg","View")</f>
        <v>View</v>
      </c>
      <c r="P1485" s="10"/>
    </row>
    <row r="1486" customFormat="false" ht="15.75" hidden="false" customHeight="false" outlineLevel="0" collapsed="false">
      <c r="A1486" s="6" t="n">
        <v>43030.1996643519</v>
      </c>
      <c r="B1486" s="7" t="str">
        <f aca="false">HYPERLINK("https://twitter.com/globalissuesweb","@globalissuesweb")</f>
        <v>@globalissuesweb</v>
      </c>
      <c r="C1486" s="8" t="s">
        <v>2136</v>
      </c>
      <c r="D1486" s="8" t="s">
        <v>3863</v>
      </c>
      <c r="E1486" s="9" t="str">
        <f aca="false">HYPERLINK("https://twitter.com/globalissuesweb/status/922066885411254272","922066885411254272")</f>
        <v>922066885411254272</v>
      </c>
      <c r="F1486" s="9" t="s">
        <v>2138</v>
      </c>
      <c r="G1486" s="10" t="n">
        <v>155654</v>
      </c>
      <c r="H1486" s="10" t="n">
        <v>2419</v>
      </c>
      <c r="I1486" s="10" t="n">
        <v>0</v>
      </c>
      <c r="J1486" s="10" t="n">
        <v>0</v>
      </c>
      <c r="K1486" s="10" t="s">
        <v>20</v>
      </c>
      <c r="L1486" s="11" t="n">
        <v>40037.4634143518</v>
      </c>
      <c r="M1486" s="12" t="s">
        <v>2139</v>
      </c>
      <c r="N1486" s="12" t="s">
        <v>2140</v>
      </c>
      <c r="O1486" s="9" t="str">
        <f aca="false">HYPERLINK("https://pbs.twimg.com/profile_images/2634696934/fbbd02b9e0ac76801b12e7fdecdf68be_normal.jpeg","View")</f>
        <v>View</v>
      </c>
      <c r="P1486" s="10"/>
    </row>
    <row r="1487" customFormat="false" ht="15.75" hidden="false" customHeight="false" outlineLevel="0" collapsed="false">
      <c r="A1487" s="6" t="n">
        <v>43030.1996990741</v>
      </c>
      <c r="B1487" s="7" t="str">
        <f aca="false">HYPERLINK("https://twitter.com/kubotch52","@kubotch52")</f>
        <v>@kubotch52</v>
      </c>
      <c r="C1487" s="14" t="s">
        <v>3864</v>
      </c>
      <c r="D1487" s="8" t="s">
        <v>3646</v>
      </c>
      <c r="E1487" s="9" t="str">
        <f aca="false">HYPERLINK("https://twitter.com/kubotch52/status/922066898199625728","922066898199625728")</f>
        <v>922066898199625728</v>
      </c>
      <c r="F1487" s="10" t="s">
        <v>51</v>
      </c>
      <c r="G1487" s="10" t="n">
        <v>219</v>
      </c>
      <c r="H1487" s="10" t="n">
        <v>307</v>
      </c>
      <c r="I1487" s="10" t="n">
        <v>71</v>
      </c>
      <c r="J1487" s="10" t="n">
        <v>0</v>
      </c>
      <c r="K1487" s="10" t="s">
        <v>20</v>
      </c>
      <c r="L1487" s="11" t="n">
        <v>40674.3966319444</v>
      </c>
      <c r="M1487" s="12"/>
      <c r="N1487" s="13" t="s">
        <v>3865</v>
      </c>
      <c r="O1487" s="9" t="str">
        <f aca="false">HYPERLINK("https://pbs.twimg.com/profile_images/618841332774100993/9m6UT11g_normal.jpg","View")</f>
        <v>View</v>
      </c>
      <c r="P1487" s="10"/>
    </row>
    <row r="1488" customFormat="false" ht="15.75" hidden="false" customHeight="false" outlineLevel="0" collapsed="false">
      <c r="A1488" s="6" t="n">
        <v>43030.199837963</v>
      </c>
      <c r="B1488" s="7" t="str">
        <f aca="false">HYPERLINK("https://twitter.com/aparanjape","@aparanjape")</f>
        <v>@aparanjape</v>
      </c>
      <c r="C1488" s="8" t="s">
        <v>3866</v>
      </c>
      <c r="D1488" s="8" t="s">
        <v>3867</v>
      </c>
      <c r="E1488" s="9" t="str">
        <f aca="false">HYPERLINK("https://twitter.com/aparanjape/status/922066947159855105","922066947159855105")</f>
        <v>922066947159855105</v>
      </c>
      <c r="F1488" s="10" t="s">
        <v>25</v>
      </c>
      <c r="G1488" s="10" t="n">
        <v>25279</v>
      </c>
      <c r="H1488" s="10" t="n">
        <v>737</v>
      </c>
      <c r="I1488" s="10" t="n">
        <v>5</v>
      </c>
      <c r="J1488" s="10" t="n">
        <v>11</v>
      </c>
      <c r="K1488" s="10" t="s">
        <v>20</v>
      </c>
      <c r="L1488" s="11" t="n">
        <v>39526.1762268519</v>
      </c>
      <c r="M1488" s="12" t="s">
        <v>3531</v>
      </c>
      <c r="N1488" s="12" t="s">
        <v>3868</v>
      </c>
      <c r="O1488" s="9" t="str">
        <f aca="false">HYPERLINK("https://pbs.twimg.com/profile_images/1360512861/211915_1560781420_1605069_n_normal.jpg","View")</f>
        <v>View</v>
      </c>
      <c r="P1488" s="10"/>
    </row>
    <row r="1489" customFormat="false" ht="15.75" hidden="false" customHeight="false" outlineLevel="0" collapsed="false">
      <c r="A1489" s="6" t="n">
        <v>43030.199837963</v>
      </c>
      <c r="B1489" s="7" t="str">
        <f aca="false">HYPERLINK("https://twitter.com/Atsushi_Saka","@Atsushi_Saka")</f>
        <v>@Atsushi_Saka</v>
      </c>
      <c r="C1489" s="14" t="s">
        <v>3869</v>
      </c>
      <c r="D1489" s="8" t="s">
        <v>3646</v>
      </c>
      <c r="E1489" s="9" t="str">
        <f aca="false">HYPERLINK("https://twitter.com/Atsushi_Saka/status/922066947516149760","922066947516149760")</f>
        <v>922066947516149760</v>
      </c>
      <c r="F1489" s="10" t="s">
        <v>51</v>
      </c>
      <c r="G1489" s="10" t="n">
        <v>1647</v>
      </c>
      <c r="H1489" s="10" t="n">
        <v>2224</v>
      </c>
      <c r="I1489" s="10" t="n">
        <v>71</v>
      </c>
      <c r="J1489" s="10" t="n">
        <v>0</v>
      </c>
      <c r="K1489" s="10" t="s">
        <v>20</v>
      </c>
      <c r="L1489" s="11" t="n">
        <v>40432.990150463</v>
      </c>
      <c r="M1489" s="12"/>
      <c r="N1489" s="12"/>
      <c r="O1489" s="9" t="str">
        <f aca="false">HYPERLINK("https://pbs.twimg.com/profile_images/1482146945/profile_normal.jpg","View")</f>
        <v>View</v>
      </c>
      <c r="P1489" s="10"/>
    </row>
    <row r="1490" customFormat="false" ht="15.75" hidden="false" customHeight="false" outlineLevel="0" collapsed="false">
      <c r="A1490" s="6" t="n">
        <v>43030.199837963</v>
      </c>
      <c r="B1490" s="7" t="str">
        <f aca="false">HYPERLINK("https://twitter.com/dzbreaking1","@dzbreaking1")</f>
        <v>@dzbreaking1</v>
      </c>
      <c r="C1490" s="8" t="s">
        <v>3870</v>
      </c>
      <c r="D1490" s="8" t="s">
        <v>3871</v>
      </c>
      <c r="E1490" s="9" t="str">
        <f aca="false">HYPERLINK("https://twitter.com/dzbreaking1/status/922066950884352000","922066950884352000")</f>
        <v>922066950884352000</v>
      </c>
      <c r="F1490" s="10" t="s">
        <v>39</v>
      </c>
      <c r="G1490" s="10" t="n">
        <v>434</v>
      </c>
      <c r="H1490" s="10" t="n">
        <v>221</v>
      </c>
      <c r="I1490" s="10" t="n">
        <v>0</v>
      </c>
      <c r="J1490" s="10" t="n">
        <v>0</v>
      </c>
      <c r="K1490" s="10" t="s">
        <v>20</v>
      </c>
      <c r="L1490" s="11" t="n">
        <v>42711.3216550926</v>
      </c>
      <c r="M1490" s="12"/>
      <c r="N1490" s="12"/>
      <c r="O1490" s="9" t="str">
        <f aca="false">HYPERLINK("https://pbs.twimg.com/profile_images/806530517537538048/Zqz0XuPO_normal.jpg","View")</f>
        <v>View</v>
      </c>
      <c r="P1490" s="10"/>
    </row>
    <row r="1491" customFormat="false" ht="15.75" hidden="false" customHeight="false" outlineLevel="0" collapsed="false">
      <c r="A1491" s="6" t="n">
        <v>43030.199849537</v>
      </c>
      <c r="B1491" s="7" t="str">
        <f aca="false">HYPERLINK("https://twitter.com/joan32173631","@joan32173631")</f>
        <v>@joan32173631</v>
      </c>
      <c r="C1491" s="8" t="s">
        <v>3872</v>
      </c>
      <c r="D1491" s="8" t="s">
        <v>3646</v>
      </c>
      <c r="E1491" s="9" t="str">
        <f aca="false">HYPERLINK("https://twitter.com/joan32173631/status/922066952205557760","922066952205557760")</f>
        <v>922066952205557760</v>
      </c>
      <c r="F1491" s="10" t="s">
        <v>51</v>
      </c>
      <c r="G1491" s="10" t="n">
        <v>2926</v>
      </c>
      <c r="H1491" s="10" t="n">
        <v>2361</v>
      </c>
      <c r="I1491" s="10" t="n">
        <v>71</v>
      </c>
      <c r="J1491" s="10" t="n">
        <v>0</v>
      </c>
      <c r="K1491" s="10" t="s">
        <v>20</v>
      </c>
      <c r="L1491" s="11" t="n">
        <v>42117.0162384259</v>
      </c>
      <c r="M1491" s="12" t="s">
        <v>1635</v>
      </c>
      <c r="N1491" s="12" t="s">
        <v>3873</v>
      </c>
      <c r="O1491" s="9" t="str">
        <f aca="false">HYPERLINK("https://pbs.twimg.com/profile_images/708358719164252160/jNmlJO7l_normal.jpg","View")</f>
        <v>View</v>
      </c>
      <c r="P1491" s="10"/>
    </row>
    <row r="1492" customFormat="false" ht="15.75" hidden="false" customHeight="false" outlineLevel="0" collapsed="false">
      <c r="A1492" s="6" t="n">
        <v>43030.199849537</v>
      </c>
      <c r="B1492" s="7" t="str">
        <f aca="false">HYPERLINK("https://twitter.com/PanusD","@PanusD")</f>
        <v>@PanusD</v>
      </c>
      <c r="C1492" s="8" t="s">
        <v>3874</v>
      </c>
      <c r="D1492" s="8" t="s">
        <v>3631</v>
      </c>
      <c r="E1492" s="9" t="str">
        <f aca="false">HYPERLINK("https://twitter.com/PanusD/status/922066953010790400","922066953010790400")</f>
        <v>922066953010790400</v>
      </c>
      <c r="F1492" s="10" t="s">
        <v>51</v>
      </c>
      <c r="G1492" s="10" t="n">
        <v>12963</v>
      </c>
      <c r="H1492" s="10" t="n">
        <v>1262</v>
      </c>
      <c r="I1492" s="10" t="n">
        <v>16</v>
      </c>
      <c r="J1492" s="10" t="n">
        <v>0</v>
      </c>
      <c r="K1492" s="10" t="s">
        <v>20</v>
      </c>
      <c r="L1492" s="11" t="n">
        <v>39963.3967476852</v>
      </c>
      <c r="M1492" s="12" t="s">
        <v>3875</v>
      </c>
      <c r="N1492" s="12" t="s">
        <v>3876</v>
      </c>
      <c r="O1492" s="9" t="str">
        <f aca="false">HYPERLINK("https://pbs.twimg.com/profile_images/506510768670404608/UhZXIZBB_normal.jpeg","View")</f>
        <v>View</v>
      </c>
      <c r="P1492" s="10"/>
    </row>
    <row r="1493" customFormat="false" ht="15.75" hidden="false" customHeight="false" outlineLevel="0" collapsed="false">
      <c r="A1493" s="6" t="n">
        <v>43030.2000231482</v>
      </c>
      <c r="B1493" s="7" t="str">
        <f aca="false">HYPERLINK("https://twitter.com/karmanomad","@karmanomad")</f>
        <v>@karmanomad</v>
      </c>
      <c r="C1493" s="8" t="s">
        <v>3877</v>
      </c>
      <c r="D1493" s="8" t="s">
        <v>3878</v>
      </c>
      <c r="E1493" s="9" t="str">
        <f aca="false">HYPERLINK("https://twitter.com/karmanomad/status/922067014742630400","922067014742630400")</f>
        <v>922067014742630400</v>
      </c>
      <c r="F1493" s="10" t="s">
        <v>39</v>
      </c>
      <c r="G1493" s="10" t="n">
        <v>10759</v>
      </c>
      <c r="H1493" s="10" t="n">
        <v>4944</v>
      </c>
      <c r="I1493" s="10" t="n">
        <v>1</v>
      </c>
      <c r="J1493" s="10" t="n">
        <v>0</v>
      </c>
      <c r="K1493" s="10" t="s">
        <v>20</v>
      </c>
      <c r="L1493" s="11" t="n">
        <v>39909.1908449074</v>
      </c>
      <c r="M1493" s="12" t="s">
        <v>723</v>
      </c>
      <c r="N1493" s="12" t="s">
        <v>3879</v>
      </c>
      <c r="O1493" s="9" t="str">
        <f aca="false">HYPERLINK("https://pbs.twimg.com/profile_images/270940258/Nirmal_Tp1_normal.jpg","View")</f>
        <v>View</v>
      </c>
      <c r="P1493" s="10"/>
    </row>
    <row r="1494" customFormat="false" ht="15.75" hidden="false" customHeight="false" outlineLevel="0" collapsed="false">
      <c r="A1494" s="6" t="n">
        <v>43030.2000925926</v>
      </c>
      <c r="B1494" s="7" t="str">
        <f aca="false">HYPERLINK("https://twitter.com/DJLNR","@DJLNR")</f>
        <v>@DJLNR</v>
      </c>
      <c r="C1494" s="8" t="s">
        <v>2097</v>
      </c>
      <c r="D1494" s="8" t="s">
        <v>3880</v>
      </c>
      <c r="E1494" s="9" t="str">
        <f aca="false">HYPERLINK("https://twitter.com/DJLNR/status/922067039392583680","922067039392583680")</f>
        <v>922067039392583680</v>
      </c>
      <c r="F1494" s="10" t="s">
        <v>60</v>
      </c>
      <c r="G1494" s="10" t="n">
        <v>598</v>
      </c>
      <c r="H1494" s="10" t="n">
        <v>292</v>
      </c>
      <c r="I1494" s="10" t="n">
        <v>0</v>
      </c>
      <c r="J1494" s="10" t="n">
        <v>0</v>
      </c>
      <c r="K1494" s="10" t="s">
        <v>20</v>
      </c>
      <c r="L1494" s="11" t="n">
        <v>40688.0078125</v>
      </c>
      <c r="M1494" s="12" t="s">
        <v>1843</v>
      </c>
      <c r="N1494" s="12" t="s">
        <v>2099</v>
      </c>
      <c r="O1494" s="9" t="str">
        <f aca="false">HYPERLINK("https://pbs.twimg.com/profile_images/627437968974872576/SIshWruB_normal.jpg","View")</f>
        <v>View</v>
      </c>
      <c r="P1494" s="10"/>
    </row>
    <row r="1495" customFormat="false" ht="15.75" hidden="false" customHeight="false" outlineLevel="0" collapsed="false">
      <c r="A1495" s="6" t="n">
        <v>43030.2001157407</v>
      </c>
      <c r="B1495" s="7" t="str">
        <f aca="false">HYPERLINK("https://twitter.com/davemasters","@davemasters")</f>
        <v>@davemasters</v>
      </c>
      <c r="C1495" s="8" t="s">
        <v>3881</v>
      </c>
      <c r="D1495" s="8" t="s">
        <v>3882</v>
      </c>
      <c r="E1495" s="9" t="str">
        <f aca="false">HYPERLINK("https://twitter.com/davemasters/status/922067049781764096","922067049781764096")</f>
        <v>922067049781764096</v>
      </c>
      <c r="F1495" s="9" t="s">
        <v>1147</v>
      </c>
      <c r="G1495" s="10" t="n">
        <v>17589</v>
      </c>
      <c r="H1495" s="10" t="n">
        <v>11766</v>
      </c>
      <c r="I1495" s="10" t="n">
        <v>0</v>
      </c>
      <c r="J1495" s="10" t="n">
        <v>0</v>
      </c>
      <c r="K1495" s="10" t="s">
        <v>20</v>
      </c>
      <c r="L1495" s="11" t="n">
        <v>39899.2738888889</v>
      </c>
      <c r="M1495" s="12" t="s">
        <v>3883</v>
      </c>
      <c r="N1495" s="12" t="s">
        <v>3884</v>
      </c>
      <c r="O1495" s="9" t="str">
        <f aca="false">HYPERLINK("https://pbs.twimg.com/profile_images/778544636834873344/KGDBrRMY_normal.jpg","View")</f>
        <v>View</v>
      </c>
      <c r="P1495" s="10"/>
    </row>
    <row r="1496" customFormat="false" ht="15.75" hidden="false" customHeight="false" outlineLevel="0" collapsed="false">
      <c r="A1496" s="6" t="n">
        <v>43030.2001157407</v>
      </c>
      <c r="B1496" s="7" t="str">
        <f aca="false">HYPERLINK("https://twitter.com/masiw_net","@masiw_net")</f>
        <v>@masiw_net</v>
      </c>
      <c r="C1496" s="14" t="s">
        <v>3885</v>
      </c>
      <c r="D1496" s="8" t="s">
        <v>3886</v>
      </c>
      <c r="E1496" s="9" t="str">
        <f aca="false">HYPERLINK("https://twitter.com/masiw_net/status/922067050608001024","922067050608001024")</f>
        <v>922067050608001024</v>
      </c>
      <c r="F1496" s="10" t="s">
        <v>51</v>
      </c>
      <c r="G1496" s="10" t="n">
        <v>596</v>
      </c>
      <c r="H1496" s="10" t="n">
        <v>44</v>
      </c>
      <c r="I1496" s="10" t="n">
        <v>1</v>
      </c>
      <c r="J1496" s="10" t="n">
        <v>0</v>
      </c>
      <c r="K1496" s="10" t="s">
        <v>20</v>
      </c>
      <c r="L1496" s="11" t="n">
        <v>40216.7643981482</v>
      </c>
      <c r="M1496" s="13" t="s">
        <v>3887</v>
      </c>
      <c r="N1496" s="13" t="s">
        <v>3888</v>
      </c>
      <c r="O1496" s="9" t="str">
        <f aca="false">HYPERLINK("https://pbs.twimg.com/profile_images/1569303392/756927_203886701_normal.jpg","View")</f>
        <v>View</v>
      </c>
      <c r="P1496" s="10"/>
    </row>
    <row r="1497" customFormat="false" ht="15.75" hidden="false" customHeight="false" outlineLevel="0" collapsed="false">
      <c r="A1497" s="6" t="n">
        <v>43030.2001388889</v>
      </c>
      <c r="B1497" s="7" t="str">
        <f aca="false">HYPERLINK("https://twitter.com/scarlettsoraya1","@scarlettsoraya1")</f>
        <v>@scarlettsoraya1</v>
      </c>
      <c r="C1497" s="8" t="s">
        <v>3889</v>
      </c>
      <c r="D1497" s="8" t="s">
        <v>3890</v>
      </c>
      <c r="E1497" s="9" t="str">
        <f aca="false">HYPERLINK("https://twitter.com/scarlettsoraya1/status/922067058304487430","922067058304487430")</f>
        <v>922067058304487430</v>
      </c>
      <c r="F1497" s="9" t="s">
        <v>1147</v>
      </c>
      <c r="G1497" s="10" t="n">
        <v>2867</v>
      </c>
      <c r="H1497" s="10" t="n">
        <v>4577</v>
      </c>
      <c r="I1497" s="10" t="n">
        <v>0</v>
      </c>
      <c r="J1497" s="10" t="n">
        <v>0</v>
      </c>
      <c r="K1497" s="10" t="s">
        <v>20</v>
      </c>
      <c r="L1497" s="11" t="n">
        <v>42781.3271180556</v>
      </c>
      <c r="M1497" s="12" t="s">
        <v>3891</v>
      </c>
      <c r="N1497" s="12" t="s">
        <v>3892</v>
      </c>
      <c r="O1497" s="9" t="str">
        <f aca="false">HYPERLINK("https://pbs.twimg.com/profile_images/831902762208284672/EDCjKabx_normal.jpg","View")</f>
        <v>View</v>
      </c>
      <c r="P1497" s="10"/>
    </row>
    <row r="1498" customFormat="false" ht="15.75" hidden="false" customHeight="false" outlineLevel="0" collapsed="false">
      <c r="A1498" s="6" t="n">
        <v>43030.2002199074</v>
      </c>
      <c r="B1498" s="7" t="str">
        <f aca="false">HYPERLINK("https://twitter.com/GuardianAus","@GuardianAus")</f>
        <v>@GuardianAus</v>
      </c>
      <c r="C1498" s="8" t="s">
        <v>2078</v>
      </c>
      <c r="D1498" s="8" t="s">
        <v>3893</v>
      </c>
      <c r="E1498" s="9" t="str">
        <f aca="false">HYPERLINK("https://twitter.com/GuardianAus/status/922067089011208193","922067089011208193")</f>
        <v>922067089011208193</v>
      </c>
      <c r="F1498" s="10" t="s">
        <v>268</v>
      </c>
      <c r="G1498" s="10" t="n">
        <v>167597</v>
      </c>
      <c r="H1498" s="10" t="n">
        <v>117</v>
      </c>
      <c r="I1498" s="10" t="n">
        <v>2</v>
      </c>
      <c r="J1498" s="10" t="n">
        <v>3</v>
      </c>
      <c r="K1498" s="10" t="s">
        <v>20</v>
      </c>
      <c r="L1498" s="11" t="n">
        <v>41289.303287037</v>
      </c>
      <c r="M1498" s="12" t="s">
        <v>1199</v>
      </c>
      <c r="N1498" s="12" t="s">
        <v>2080</v>
      </c>
      <c r="O1498" s="9" t="str">
        <f aca="false">HYPERLINK("https://pbs.twimg.com/profile_images/875549008407576576/wNTVvshs_normal.jpg","View")</f>
        <v>View</v>
      </c>
      <c r="P1498" s="10"/>
    </row>
    <row r="1499" customFormat="false" ht="15.75" hidden="false" customHeight="false" outlineLevel="0" collapsed="false">
      <c r="A1499" s="6" t="n">
        <v>43030.2002314815</v>
      </c>
      <c r="B1499" s="7" t="str">
        <f aca="false">HYPERLINK("https://twitter.com/BanankoJanko","@BanankoJanko")</f>
        <v>@BanankoJanko</v>
      </c>
      <c r="C1499" s="8" t="s">
        <v>1034</v>
      </c>
      <c r="D1499" s="8" t="s">
        <v>3894</v>
      </c>
      <c r="E1499" s="9" t="str">
        <f aca="false">HYPERLINK("https://twitter.com/BanankoJanko/status/922067089887825920","922067089887825920")</f>
        <v>922067089887825920</v>
      </c>
      <c r="F1499" s="10" t="s">
        <v>60</v>
      </c>
      <c r="G1499" s="10" t="n">
        <v>87</v>
      </c>
      <c r="H1499" s="10" t="n">
        <v>53</v>
      </c>
      <c r="I1499" s="10" t="n">
        <v>0</v>
      </c>
      <c r="J1499" s="10" t="n">
        <v>0</v>
      </c>
      <c r="K1499" s="10" t="s">
        <v>20</v>
      </c>
      <c r="L1499" s="11" t="n">
        <v>42837.1011458333</v>
      </c>
      <c r="M1499" s="12"/>
      <c r="N1499" s="15" t="s">
        <v>1036</v>
      </c>
      <c r="O1499" s="9" t="str">
        <f aca="false">HYPERLINK("https://pbs.twimg.com/profile_images/852669910123675651/CVUt6bXC_normal.jpg","View")</f>
        <v>View</v>
      </c>
      <c r="P1499" s="10"/>
    </row>
    <row r="1500" customFormat="false" ht="15.75" hidden="false" customHeight="false" outlineLevel="0" collapsed="false">
      <c r="A1500" s="6" t="n">
        <v>43030.200474537</v>
      </c>
      <c r="B1500" s="7" t="str">
        <f aca="false">HYPERLINK("https://twitter.com/Tomo_LYLTTF","@Tomo_LYLTTF")</f>
        <v>@Tomo_LYLTTF</v>
      </c>
      <c r="C1500" s="8" t="s">
        <v>3895</v>
      </c>
      <c r="D1500" s="8" t="s">
        <v>3631</v>
      </c>
      <c r="E1500" s="9" t="str">
        <f aca="false">HYPERLINK("https://twitter.com/Tomo_LYLTTF/status/922067179318546432","922067179318546432")</f>
        <v>922067179318546432</v>
      </c>
      <c r="F1500" s="10" t="s">
        <v>3763</v>
      </c>
      <c r="G1500" s="10" t="n">
        <v>678</v>
      </c>
      <c r="H1500" s="10" t="n">
        <v>70</v>
      </c>
      <c r="I1500" s="10" t="n">
        <v>16</v>
      </c>
      <c r="J1500" s="10" t="n">
        <v>0</v>
      </c>
      <c r="K1500" s="10" t="s">
        <v>20</v>
      </c>
      <c r="L1500" s="11" t="n">
        <v>39961.1507986111</v>
      </c>
      <c r="M1500" s="12" t="s">
        <v>3896</v>
      </c>
      <c r="N1500" s="12" t="s">
        <v>3897</v>
      </c>
      <c r="O1500" s="9" t="str">
        <f aca="false">HYPERLINK("https://pbs.twimg.com/profile_images/919037129023299584/zTPKKuBv_normal.jpg","View")</f>
        <v>View</v>
      </c>
      <c r="P1500" s="10"/>
    </row>
    <row r="1501" customFormat="false" ht="15.75" hidden="false" customHeight="false" outlineLevel="0" collapsed="false">
      <c r="A1501" s="6" t="n">
        <v>43030.2004861111</v>
      </c>
      <c r="B1501" s="7" t="str">
        <f aca="false">HYPERLINK("https://twitter.com/GboruM","@GboruM")</f>
        <v>@GboruM</v>
      </c>
      <c r="C1501" s="8" t="s">
        <v>2206</v>
      </c>
      <c r="D1501" s="8" t="s">
        <v>3898</v>
      </c>
      <c r="E1501" s="9" t="str">
        <f aca="false">HYPERLINK("https://twitter.com/GboruM/status/922067182225362945","922067182225362945")</f>
        <v>922067182225362945</v>
      </c>
      <c r="F1501" s="10" t="s">
        <v>55</v>
      </c>
      <c r="G1501" s="10" t="n">
        <v>12129</v>
      </c>
      <c r="H1501" s="10" t="n">
        <v>287</v>
      </c>
      <c r="I1501" s="10" t="n">
        <v>1</v>
      </c>
      <c r="J1501" s="10" t="n">
        <v>0</v>
      </c>
      <c r="K1501" s="10" t="s">
        <v>20</v>
      </c>
      <c r="L1501" s="11" t="n">
        <v>41246.9268518519</v>
      </c>
      <c r="M1501" s="12" t="s">
        <v>1670</v>
      </c>
      <c r="N1501" s="12" t="s">
        <v>2208</v>
      </c>
      <c r="O1501" s="9" t="str">
        <f aca="false">HYPERLINK("https://pbs.twimg.com/profile_images/923809863121166336/FPYIgixr_normal.jpg","View")</f>
        <v>View</v>
      </c>
      <c r="P1501" s="10"/>
    </row>
    <row r="1502" customFormat="false" ht="15.75" hidden="false" customHeight="false" outlineLevel="0" collapsed="false">
      <c r="A1502" s="6" t="n">
        <v>43030.2007175926</v>
      </c>
      <c r="B1502" s="7" t="str">
        <f aca="false">HYPERLINK("https://twitter.com/fchralph","@fchralph")</f>
        <v>@fchralph</v>
      </c>
      <c r="C1502" s="8" t="s">
        <v>3899</v>
      </c>
      <c r="D1502" s="8" t="s">
        <v>3514</v>
      </c>
      <c r="E1502" s="9" t="str">
        <f aca="false">HYPERLINK("https://twitter.com/fchralph/status/922067267453456384","922067267453456384")</f>
        <v>922067267453456384</v>
      </c>
      <c r="F1502" s="10" t="s">
        <v>177</v>
      </c>
      <c r="G1502" s="10" t="n">
        <v>820</v>
      </c>
      <c r="H1502" s="10" t="n">
        <v>1188</v>
      </c>
      <c r="I1502" s="10" t="n">
        <v>19</v>
      </c>
      <c r="J1502" s="10" t="n">
        <v>0</v>
      </c>
      <c r="K1502" s="10" t="s">
        <v>20</v>
      </c>
      <c r="L1502" s="11" t="n">
        <v>40546.175474537</v>
      </c>
      <c r="M1502" s="12" t="s">
        <v>3900</v>
      </c>
      <c r="N1502" s="12" t="s">
        <v>3901</v>
      </c>
      <c r="O1502" s="9" t="str">
        <f aca="false">HYPERLINK("https://pbs.twimg.com/profile_images/2744323103/28c9b21e44117398ffb90356e965c8d5_normal.jpeg","View")</f>
        <v>View</v>
      </c>
      <c r="P1502" s="10"/>
    </row>
    <row r="1503" customFormat="false" ht="15.75" hidden="false" customHeight="false" outlineLevel="0" collapsed="false">
      <c r="A1503" s="6" t="n">
        <v>43030.2008564815</v>
      </c>
      <c r="B1503" s="7" t="str">
        <f aca="false">HYPERLINK("https://twitter.com/nusasepatu","@nusasepatu")</f>
        <v>@nusasepatu</v>
      </c>
      <c r="C1503" s="8" t="s">
        <v>2082</v>
      </c>
      <c r="D1503" s="8" t="s">
        <v>3902</v>
      </c>
      <c r="E1503" s="9" t="str">
        <f aca="false">HYPERLINK("https://twitter.com/nusasepatu/status/922067317911097344","922067317911097344")</f>
        <v>922067317911097344</v>
      </c>
      <c r="F1503" s="10" t="s">
        <v>60</v>
      </c>
      <c r="G1503" s="10" t="n">
        <v>9660</v>
      </c>
      <c r="H1503" s="10" t="n">
        <v>60</v>
      </c>
      <c r="I1503" s="10" t="n">
        <v>0</v>
      </c>
      <c r="J1503" s="10" t="n">
        <v>0</v>
      </c>
      <c r="K1503" s="10" t="s">
        <v>20</v>
      </c>
      <c r="L1503" s="11" t="n">
        <v>42100.2371759259</v>
      </c>
      <c r="M1503" s="12" t="s">
        <v>2084</v>
      </c>
      <c r="N1503" s="12" t="s">
        <v>2085</v>
      </c>
      <c r="O1503" s="9" t="str">
        <f aca="false">HYPERLINK("https://pbs.twimg.com/profile_images/757500649319739392/XI08kMsz_normal.jpg","View")</f>
        <v>View</v>
      </c>
      <c r="P1503" s="10"/>
    </row>
    <row r="1504" customFormat="false" ht="15.75" hidden="false" customHeight="false" outlineLevel="0" collapsed="false">
      <c r="A1504" s="6" t="n">
        <v>43030.2008796296</v>
      </c>
      <c r="B1504" s="7" t="str">
        <f aca="false">HYPERLINK("https://twitter.com/MaxiMolinaGomez","@MaxiMolinaGomez")</f>
        <v>@MaxiMolinaGomez</v>
      </c>
      <c r="C1504" s="8" t="s">
        <v>3903</v>
      </c>
      <c r="D1504" s="8" t="s">
        <v>3685</v>
      </c>
      <c r="E1504" s="9" t="str">
        <f aca="false">HYPERLINK("https://twitter.com/MaxiMolinaGomez/status/922067326471692288","922067326471692288")</f>
        <v>922067326471692288</v>
      </c>
      <c r="F1504" s="10" t="s">
        <v>25</v>
      </c>
      <c r="G1504" s="10" t="n">
        <v>287</v>
      </c>
      <c r="H1504" s="10" t="n">
        <v>258</v>
      </c>
      <c r="I1504" s="10" t="n">
        <v>6</v>
      </c>
      <c r="J1504" s="10" t="n">
        <v>0</v>
      </c>
      <c r="K1504" s="10" t="s">
        <v>20</v>
      </c>
      <c r="L1504" s="11" t="n">
        <v>40473.8897453704</v>
      </c>
      <c r="M1504" s="12" t="s">
        <v>3904</v>
      </c>
      <c r="N1504" s="12" t="s">
        <v>3905</v>
      </c>
      <c r="O1504" s="9" t="str">
        <f aca="false">HYPERLINK("https://pbs.twimg.com/profile_images/869415116349091840/mxWQZIl6_normal.jpg","View")</f>
        <v>View</v>
      </c>
      <c r="P1504" s="10"/>
    </row>
    <row r="1505" customFormat="false" ht="15.75" hidden="false" customHeight="false" outlineLevel="0" collapsed="false">
      <c r="A1505" s="6" t="n">
        <v>43030.2011226852</v>
      </c>
      <c r="B1505" s="7" t="str">
        <f aca="false">HYPERLINK("https://twitter.com/RoyVillaroel","@RoyVillaroel")</f>
        <v>@RoyVillaroel</v>
      </c>
      <c r="C1505" s="8" t="s">
        <v>3906</v>
      </c>
      <c r="D1505" s="8" t="s">
        <v>3438</v>
      </c>
      <c r="E1505" s="9" t="str">
        <f aca="false">HYPERLINK("https://twitter.com/RoyVillaroel/status/922067416049319936","922067416049319936")</f>
        <v>922067416049319936</v>
      </c>
      <c r="F1505" s="10" t="s">
        <v>39</v>
      </c>
      <c r="G1505" s="10" t="n">
        <v>843</v>
      </c>
      <c r="H1505" s="10" t="n">
        <v>431</v>
      </c>
      <c r="I1505" s="10" t="n">
        <v>15</v>
      </c>
      <c r="J1505" s="10" t="n">
        <v>0</v>
      </c>
      <c r="K1505" s="10" t="s">
        <v>20</v>
      </c>
      <c r="L1505" s="11" t="n">
        <v>41017.409837963</v>
      </c>
      <c r="M1505" s="12" t="s">
        <v>3907</v>
      </c>
      <c r="N1505" s="12" t="s">
        <v>3908</v>
      </c>
      <c r="O1505" s="9" t="str">
        <f aca="false">HYPERLINK("https://pbs.twimg.com/profile_images/906169081035988992/RPHuCX2Q_normal.jpg","View")</f>
        <v>View</v>
      </c>
      <c r="P1505" s="10"/>
    </row>
    <row r="1506" customFormat="false" ht="15.75" hidden="false" customHeight="false" outlineLevel="0" collapsed="false">
      <c r="A1506" s="6" t="n">
        <v>43030.2017361111</v>
      </c>
      <c r="B1506" s="7" t="str">
        <f aca="false">HYPERLINK("https://twitter.com/sEbNewz","@sEbNewz")</f>
        <v>@sEbNewz</v>
      </c>
      <c r="C1506" s="8" t="s">
        <v>3909</v>
      </c>
      <c r="D1506" s="8" t="s">
        <v>3646</v>
      </c>
      <c r="E1506" s="9" t="str">
        <f aca="false">HYPERLINK("https://twitter.com/sEbNewz/status/922067637701574657","922067637701574657")</f>
        <v>922067637701574657</v>
      </c>
      <c r="F1506" s="10" t="s">
        <v>3910</v>
      </c>
      <c r="G1506" s="10" t="n">
        <v>37</v>
      </c>
      <c r="H1506" s="10" t="n">
        <v>1</v>
      </c>
      <c r="I1506" s="10" t="n">
        <v>71</v>
      </c>
      <c r="J1506" s="10" t="n">
        <v>0</v>
      </c>
      <c r="K1506" s="10" t="s">
        <v>20</v>
      </c>
      <c r="L1506" s="11" t="n">
        <v>42708.646087963</v>
      </c>
      <c r="M1506" s="12"/>
      <c r="N1506" s="12"/>
      <c r="O1506" s="9" t="str">
        <f aca="false">HYPERLINK("https://abs.twimg.com/sticky/default_profile_images/default_profile_normal.png","View")</f>
        <v>View</v>
      </c>
      <c r="P1506" s="10"/>
    </row>
    <row r="1507" customFormat="false" ht="15.75" hidden="false" customHeight="false" outlineLevel="0" collapsed="false">
      <c r="A1507" s="6" t="n">
        <v>43030.2017939815</v>
      </c>
      <c r="B1507" s="7" t="str">
        <f aca="false">HYPERLINK("https://twitter.com/the__himanish","@the__himanish")</f>
        <v>@the__himanish</v>
      </c>
      <c r="C1507" s="8" t="s">
        <v>382</v>
      </c>
      <c r="D1507" s="8" t="s">
        <v>3911</v>
      </c>
      <c r="E1507" s="9" t="str">
        <f aca="false">HYPERLINK("https://twitter.com/the__himanish/status/922067657867833345","922067657867833345")</f>
        <v>922067657867833345</v>
      </c>
      <c r="F1507" s="10" t="s">
        <v>60</v>
      </c>
      <c r="G1507" s="10" t="n">
        <v>1811</v>
      </c>
      <c r="H1507" s="10" t="n">
        <v>1625</v>
      </c>
      <c r="I1507" s="10" t="n">
        <v>0</v>
      </c>
      <c r="J1507" s="10" t="n">
        <v>0</v>
      </c>
      <c r="K1507" s="10" t="s">
        <v>20</v>
      </c>
      <c r="L1507" s="11" t="n">
        <v>40222.1517824074</v>
      </c>
      <c r="M1507" s="12" t="s">
        <v>87</v>
      </c>
      <c r="N1507" s="12" t="s">
        <v>384</v>
      </c>
      <c r="O1507" s="9" t="str">
        <f aca="false">HYPERLINK("https://pbs.twimg.com/profile_images/914165533918015489/A6iR_gz2_normal.jpg","View")</f>
        <v>View</v>
      </c>
      <c r="P1507" s="10"/>
    </row>
    <row r="1508" customFormat="false" ht="15.75" hidden="false" customHeight="false" outlineLevel="0" collapsed="false">
      <c r="A1508" s="6" t="n">
        <v>43030.2022106481</v>
      </c>
      <c r="B1508" s="7" t="str">
        <f aca="false">HYPERLINK("https://twitter.com/tmtweetz","@tmtweetz")</f>
        <v>@tmtweetz</v>
      </c>
      <c r="C1508" s="8" t="s">
        <v>3912</v>
      </c>
      <c r="D1508" s="8" t="s">
        <v>3646</v>
      </c>
      <c r="E1508" s="9" t="str">
        <f aca="false">HYPERLINK("https://twitter.com/tmtweetz/status/922067810376994816","922067810376994816")</f>
        <v>922067810376994816</v>
      </c>
      <c r="F1508" s="10" t="s">
        <v>51</v>
      </c>
      <c r="G1508" s="10" t="n">
        <v>2851</v>
      </c>
      <c r="H1508" s="10" t="n">
        <v>2289</v>
      </c>
      <c r="I1508" s="10" t="n">
        <v>71</v>
      </c>
      <c r="J1508" s="10" t="n">
        <v>0</v>
      </c>
      <c r="K1508" s="10" t="s">
        <v>20</v>
      </c>
      <c r="L1508" s="11" t="n">
        <v>39698.8624884259</v>
      </c>
      <c r="M1508" s="12"/>
      <c r="N1508" s="12" t="s">
        <v>3913</v>
      </c>
      <c r="O1508" s="9" t="str">
        <f aca="false">HYPERLINK("https://pbs.twimg.com/profile_images/912111840586592256/ViF-mLP3_normal.jpg","View")</f>
        <v>View</v>
      </c>
      <c r="P1508" s="10"/>
    </row>
    <row r="1509" customFormat="false" ht="15.75" hidden="false" customHeight="false" outlineLevel="0" collapsed="false">
      <c r="A1509" s="6" t="n">
        <v>43030.2023032407</v>
      </c>
      <c r="B1509" s="7" t="str">
        <f aca="false">HYPERLINK("https://twitter.com/bijugovind","@bijugovind")</f>
        <v>@bijugovind</v>
      </c>
      <c r="C1509" s="8" t="s">
        <v>3914</v>
      </c>
      <c r="D1509" s="8" t="s">
        <v>3915</v>
      </c>
      <c r="E1509" s="9" t="str">
        <f aca="false">HYPERLINK("https://twitter.com/bijugovind/status/922067840890421250","922067840890421250")</f>
        <v>922067840890421250</v>
      </c>
      <c r="F1509" s="10" t="s">
        <v>25</v>
      </c>
      <c r="G1509" s="10" t="n">
        <v>7304</v>
      </c>
      <c r="H1509" s="10" t="n">
        <v>1746</v>
      </c>
      <c r="I1509" s="10" t="n">
        <v>5</v>
      </c>
      <c r="J1509" s="10" t="n">
        <v>10</v>
      </c>
      <c r="K1509" s="10" t="s">
        <v>20</v>
      </c>
      <c r="L1509" s="11" t="n">
        <v>39995.2873726852</v>
      </c>
      <c r="M1509" s="12" t="s">
        <v>3916</v>
      </c>
      <c r="N1509" s="12" t="s">
        <v>3917</v>
      </c>
      <c r="O1509" s="9" t="str">
        <f aca="false">HYPERLINK("https://pbs.twimg.com/profile_images/718857472866328576/QJti0QPa_normal.jpg","View")</f>
        <v>View</v>
      </c>
      <c r="P1509" s="10"/>
    </row>
    <row r="1510" customFormat="false" ht="15.75" hidden="false" customHeight="false" outlineLevel="0" collapsed="false">
      <c r="A1510" s="6" t="n">
        <v>43030.202349537</v>
      </c>
      <c r="B1510" s="7" t="str">
        <f aca="false">HYPERLINK("https://twitter.com/clevelandmq","@clevelandmq")</f>
        <v>@clevelandmq</v>
      </c>
      <c r="C1510" s="8" t="s">
        <v>3918</v>
      </c>
      <c r="D1510" s="8" t="s">
        <v>3919</v>
      </c>
      <c r="E1510" s="9" t="str">
        <f aca="false">HYPERLINK("https://twitter.com/clevelandmq/status/922067859941089281","922067859941089281")</f>
        <v>922067859941089281</v>
      </c>
      <c r="F1510" s="10" t="s">
        <v>60</v>
      </c>
      <c r="G1510" s="10" t="n">
        <v>579</v>
      </c>
      <c r="H1510" s="10" t="n">
        <v>407</v>
      </c>
      <c r="I1510" s="10" t="n">
        <v>0</v>
      </c>
      <c r="J1510" s="10" t="n">
        <v>0</v>
      </c>
      <c r="K1510" s="10" t="s">
        <v>20</v>
      </c>
      <c r="L1510" s="11" t="n">
        <v>41205.2899189815</v>
      </c>
      <c r="M1510" s="12" t="s">
        <v>3920</v>
      </c>
      <c r="N1510" s="12" t="s">
        <v>3921</v>
      </c>
      <c r="O1510" s="9" t="str">
        <f aca="false">HYPERLINK("https://pbs.twimg.com/profile_images/2754688326/2e3c3440c5c21677c4d10a65cfb0dc73_normal.jpeg","View")</f>
        <v>View</v>
      </c>
      <c r="P1510" s="10"/>
    </row>
    <row r="1511" customFormat="false" ht="15.75" hidden="false" customHeight="false" outlineLevel="0" collapsed="false">
      <c r="A1511" s="6" t="n">
        <v>43030.2023611111</v>
      </c>
      <c r="B1511" s="7" t="str">
        <f aca="false">HYPERLINK("https://twitter.com/Werei0603","@Werei0603")</f>
        <v>@Werei0603</v>
      </c>
      <c r="C1511" s="8" t="s">
        <v>3922</v>
      </c>
      <c r="D1511" s="8" t="s">
        <v>3923</v>
      </c>
      <c r="E1511" s="9" t="str">
        <f aca="false">HYPERLINK("https://twitter.com/Werei0603/status/922067863967428608","922067863967428608")</f>
        <v>922067863967428608</v>
      </c>
      <c r="F1511" s="10" t="s">
        <v>39</v>
      </c>
      <c r="G1511" s="10" t="n">
        <v>12</v>
      </c>
      <c r="H1511" s="10" t="n">
        <v>36</v>
      </c>
      <c r="I1511" s="10" t="n">
        <v>0</v>
      </c>
      <c r="J1511" s="10" t="n">
        <v>0</v>
      </c>
      <c r="K1511" s="10" t="s">
        <v>20</v>
      </c>
      <c r="L1511" s="11" t="n">
        <v>42172.0337731481</v>
      </c>
      <c r="M1511" s="12" t="s">
        <v>3924</v>
      </c>
      <c r="N1511" s="13" t="s">
        <v>3925</v>
      </c>
      <c r="O1511" s="9" t="str">
        <f aca="false">HYPERLINK("https://pbs.twimg.com/profile_images/786823789606608896/tzz8B2of_normal.jpg","View")</f>
        <v>View</v>
      </c>
      <c r="P1511" s="10"/>
    </row>
    <row r="1512" customFormat="false" ht="15.75" hidden="false" customHeight="false" outlineLevel="0" collapsed="false">
      <c r="A1512" s="6" t="n">
        <v>43030.2024074074</v>
      </c>
      <c r="B1512" s="7" t="str">
        <f aca="false">HYPERLINK("https://twitter.com/suzuken2002","@suzuken2002")</f>
        <v>@suzuken2002</v>
      </c>
      <c r="C1512" s="8" t="s">
        <v>3926</v>
      </c>
      <c r="D1512" s="8" t="s">
        <v>3927</v>
      </c>
      <c r="E1512" s="9" t="str">
        <f aca="false">HYPERLINK("https://twitter.com/suzuken2002/status/922067881990299659","922067881990299659")</f>
        <v>922067881990299659</v>
      </c>
      <c r="F1512" s="10" t="s">
        <v>51</v>
      </c>
      <c r="G1512" s="10" t="n">
        <v>3204</v>
      </c>
      <c r="H1512" s="10" t="n">
        <v>4534</v>
      </c>
      <c r="I1512" s="10" t="n">
        <v>0</v>
      </c>
      <c r="J1512" s="10" t="n">
        <v>0</v>
      </c>
      <c r="K1512" s="10" t="s">
        <v>20</v>
      </c>
      <c r="L1512" s="11" t="n">
        <v>39920.0345601852</v>
      </c>
      <c r="M1512" s="12" t="s">
        <v>3928</v>
      </c>
      <c r="N1512" s="12" t="s">
        <v>3929</v>
      </c>
      <c r="O1512" s="9" t="str">
        <f aca="false">HYPERLINK("https://pbs.twimg.com/profile_images/559029303711510529/k7g5Gwk9_normal.jpeg","View")</f>
        <v>View</v>
      </c>
      <c r="P1512" s="10"/>
    </row>
    <row r="1513" customFormat="false" ht="15.75" hidden="false" customHeight="false" outlineLevel="0" collapsed="false">
      <c r="A1513" s="6" t="n">
        <v>43030.2028472222</v>
      </c>
      <c r="B1513" s="7" t="str">
        <f aca="false">HYPERLINK("https://twitter.com/jrterriers","@jrterriers")</f>
        <v>@jrterriers</v>
      </c>
      <c r="C1513" s="8" t="s">
        <v>3930</v>
      </c>
      <c r="D1513" s="8" t="s">
        <v>3931</v>
      </c>
      <c r="E1513" s="9" t="str">
        <f aca="false">HYPERLINK("https://twitter.com/jrterriers/status/922068037896982528","922068037896982528")</f>
        <v>922068037896982528</v>
      </c>
      <c r="F1513" s="10" t="s">
        <v>51</v>
      </c>
      <c r="G1513" s="10" t="n">
        <v>96</v>
      </c>
      <c r="H1513" s="10" t="n">
        <v>1190</v>
      </c>
      <c r="I1513" s="10" t="n">
        <v>0</v>
      </c>
      <c r="J1513" s="10" t="n">
        <v>0</v>
      </c>
      <c r="K1513" s="10" t="s">
        <v>20</v>
      </c>
      <c r="L1513" s="11" t="n">
        <v>39856.2109027778</v>
      </c>
      <c r="M1513" s="12" t="s">
        <v>3932</v>
      </c>
      <c r="N1513" s="12"/>
      <c r="O1513" s="9" t="str">
        <f aca="false">HYPERLINK("https://pbs.twimg.com/profile_images/378800000435057136/c04b6e33b4f6b922c675a7f237a8beb2_normal.jpeg","View")</f>
        <v>View</v>
      </c>
      <c r="P1513" s="10"/>
    </row>
    <row r="1514" customFormat="false" ht="15.75" hidden="false" customHeight="false" outlineLevel="0" collapsed="false">
      <c r="A1514" s="6" t="n">
        <v>43030.2029050926</v>
      </c>
      <c r="B1514" s="7" t="str">
        <f aca="false">HYPERLINK("https://twitter.com/isracede507","@isracede507")</f>
        <v>@isracede507</v>
      </c>
      <c r="C1514" s="8" t="s">
        <v>3933</v>
      </c>
      <c r="D1514" s="8" t="s">
        <v>3631</v>
      </c>
      <c r="E1514" s="9" t="str">
        <f aca="false">HYPERLINK("https://twitter.com/isracede507/status/922068062198796288","922068062198796288")</f>
        <v>922068062198796288</v>
      </c>
      <c r="F1514" s="10" t="s">
        <v>25</v>
      </c>
      <c r="G1514" s="10" t="n">
        <v>387</v>
      </c>
      <c r="H1514" s="10" t="n">
        <v>179</v>
      </c>
      <c r="I1514" s="10" t="n">
        <v>16</v>
      </c>
      <c r="J1514" s="10" t="n">
        <v>0</v>
      </c>
      <c r="K1514" s="10" t="s">
        <v>20</v>
      </c>
      <c r="L1514" s="11" t="n">
        <v>40788.6944328704</v>
      </c>
      <c r="M1514" s="12" t="s">
        <v>3934</v>
      </c>
      <c r="N1514" s="12" t="s">
        <v>3935</v>
      </c>
      <c r="O1514" s="9" t="str">
        <f aca="false">HYPERLINK("https://pbs.twimg.com/profile_images/884199871904976896/6hGDm7p0_normal.jpg","View")</f>
        <v>View</v>
      </c>
      <c r="P1514" s="10"/>
    </row>
    <row r="1515" customFormat="false" ht="15.75" hidden="false" customHeight="false" outlineLevel="0" collapsed="false">
      <c r="A1515" s="6" t="n">
        <v>43030.2029398148</v>
      </c>
      <c r="B1515" s="7" t="str">
        <f aca="false">HYPERLINK("https://twitter.com/motokorich","@motokorich")</f>
        <v>@motokorich</v>
      </c>
      <c r="C1515" s="8" t="s">
        <v>3936</v>
      </c>
      <c r="D1515" s="8" t="s">
        <v>3937</v>
      </c>
      <c r="E1515" s="9" t="str">
        <f aca="false">HYPERLINK("https://twitter.com/motokorich/status/922068075012411392","922068075012411392")</f>
        <v>922068075012411392</v>
      </c>
      <c r="F1515" s="10" t="s">
        <v>39</v>
      </c>
      <c r="G1515" s="10" t="n">
        <v>25708</v>
      </c>
      <c r="H1515" s="10" t="n">
        <v>2567</v>
      </c>
      <c r="I1515" s="10" t="n">
        <v>0</v>
      </c>
      <c r="J1515" s="10" t="n">
        <v>1</v>
      </c>
      <c r="K1515" s="10" t="s">
        <v>20</v>
      </c>
      <c r="L1515" s="11" t="n">
        <v>39993.357037037</v>
      </c>
      <c r="M1515" s="12" t="s">
        <v>574</v>
      </c>
      <c r="N1515" s="13" t="s">
        <v>3938</v>
      </c>
      <c r="O1515" s="9" t="str">
        <f aca="false">HYPERLINK("https://pbs.twimg.com/profile_images/781455693597413380/eASkJAc5_normal.jpg","View")</f>
        <v>View</v>
      </c>
      <c r="P1515" s="10"/>
    </row>
    <row r="1516" customFormat="false" ht="15.75" hidden="false" customHeight="false" outlineLevel="0" collapsed="false">
      <c r="A1516" s="6" t="n">
        <v>43030.2029513889</v>
      </c>
      <c r="B1516" s="7" t="str">
        <f aca="false">HYPERLINK("https://twitter.com/PierreGestede","@PierreGestede")</f>
        <v>@PierreGestede</v>
      </c>
      <c r="C1516" s="8" t="s">
        <v>3939</v>
      </c>
      <c r="D1516" s="8" t="s">
        <v>3646</v>
      </c>
      <c r="E1516" s="9" t="str">
        <f aca="false">HYPERLINK("https://twitter.com/PierreGestede/status/922068077470273536","922068077470273536")</f>
        <v>922068077470273536</v>
      </c>
      <c r="F1516" s="10" t="s">
        <v>177</v>
      </c>
      <c r="G1516" s="10" t="n">
        <v>772</v>
      </c>
      <c r="H1516" s="10" t="n">
        <v>814</v>
      </c>
      <c r="I1516" s="10" t="n">
        <v>71</v>
      </c>
      <c r="J1516" s="10" t="n">
        <v>0</v>
      </c>
      <c r="K1516" s="10" t="s">
        <v>20</v>
      </c>
      <c r="L1516" s="11" t="n">
        <v>41132.0696643519</v>
      </c>
      <c r="M1516" s="12" t="s">
        <v>805</v>
      </c>
      <c r="N1516" s="12"/>
      <c r="O1516" s="9" t="str">
        <f aca="false">HYPERLINK("https://pbs.twimg.com/profile_images/378800000633901274/9fe1e84eb676b209bea3d72c6d6596c3_normal.jpeg","View")</f>
        <v>View</v>
      </c>
      <c r="P1516" s="10"/>
    </row>
    <row r="1517" customFormat="false" ht="15.75" hidden="false" customHeight="false" outlineLevel="0" collapsed="false">
      <c r="A1517" s="6" t="n">
        <v>43030.202974537</v>
      </c>
      <c r="B1517" s="7" t="str">
        <f aca="false">HYPERLINK("https://twitter.com/YashKVerm","@YashKVerm")</f>
        <v>@YashKVerm</v>
      </c>
      <c r="C1517" s="8" t="s">
        <v>1066</v>
      </c>
      <c r="D1517" s="8" t="s">
        <v>3422</v>
      </c>
      <c r="E1517" s="9" t="str">
        <f aca="false">HYPERLINK("https://twitter.com/YashKVerm/status/922068086227734531","922068086227734531")</f>
        <v>922068086227734531</v>
      </c>
      <c r="F1517" s="10" t="s">
        <v>98</v>
      </c>
      <c r="G1517" s="10" t="n">
        <v>1872</v>
      </c>
      <c r="H1517" s="10" t="n">
        <v>4311</v>
      </c>
      <c r="I1517" s="10" t="n">
        <v>27</v>
      </c>
      <c r="J1517" s="10" t="n">
        <v>0</v>
      </c>
      <c r="K1517" s="10" t="s">
        <v>20</v>
      </c>
      <c r="L1517" s="11" t="n">
        <v>41244.3866782407</v>
      </c>
      <c r="M1517" s="12"/>
      <c r="N1517" s="12"/>
      <c r="O1517" s="9" t="str">
        <f aca="false">HYPERLINK("https://pbs.twimg.com/profile_images/461229918366339072/pa6jfXz9_normal.jpeg","View")</f>
        <v>View</v>
      </c>
      <c r="P1517" s="10"/>
    </row>
    <row r="1518" customFormat="false" ht="15.75" hidden="false" customHeight="false" outlineLevel="0" collapsed="false">
      <c r="A1518" s="6" t="n">
        <v>43030.2030439815</v>
      </c>
      <c r="B1518" s="7" t="str">
        <f aca="false">HYPERLINK("https://twitter.com/OxaYosf","@OxaYosf")</f>
        <v>@OxaYosf</v>
      </c>
      <c r="C1518" s="8" t="s">
        <v>3277</v>
      </c>
      <c r="D1518" s="8" t="s">
        <v>3940</v>
      </c>
      <c r="E1518" s="9" t="str">
        <f aca="false">HYPERLINK("https://twitter.com/OxaYosf/status/922068112593313792","922068112593313792")</f>
        <v>922068112593313792</v>
      </c>
      <c r="F1518" s="10" t="s">
        <v>60</v>
      </c>
      <c r="G1518" s="10" t="n">
        <v>5</v>
      </c>
      <c r="H1518" s="10" t="n">
        <v>75</v>
      </c>
      <c r="I1518" s="10" t="n">
        <v>0</v>
      </c>
      <c r="J1518" s="10" t="n">
        <v>0</v>
      </c>
      <c r="K1518" s="10" t="s">
        <v>20</v>
      </c>
      <c r="L1518" s="11" t="n">
        <v>42875.2619444444</v>
      </c>
      <c r="M1518" s="12"/>
      <c r="N1518" s="12"/>
      <c r="O1518" s="9" t="str">
        <f aca="false">HYPERLINK("https://abs.twimg.com/sticky/default_profile_images/default_profile_normal.png","View")</f>
        <v>View</v>
      </c>
      <c r="P1518" s="10"/>
    </row>
    <row r="1519" customFormat="false" ht="15.75" hidden="false" customHeight="false" outlineLevel="0" collapsed="false">
      <c r="A1519" s="6" t="n">
        <v>43030.2031944444</v>
      </c>
      <c r="B1519" s="7" t="str">
        <f aca="false">HYPERLINK("https://twitter.com/keigoi","@keigoi")</f>
        <v>@keigoi</v>
      </c>
      <c r="C1519" s="8" t="s">
        <v>3941</v>
      </c>
      <c r="D1519" s="8" t="s">
        <v>3942</v>
      </c>
      <c r="E1519" s="9" t="str">
        <f aca="false">HYPERLINK("https://twitter.com/keigoi/status/922068163600171009","922068163600171009")</f>
        <v>922068163600171009</v>
      </c>
      <c r="F1519" s="10" t="s">
        <v>51</v>
      </c>
      <c r="G1519" s="10" t="n">
        <v>1682</v>
      </c>
      <c r="H1519" s="10" t="n">
        <v>612</v>
      </c>
      <c r="I1519" s="10" t="n">
        <v>0</v>
      </c>
      <c r="J1519" s="10" t="n">
        <v>0</v>
      </c>
      <c r="K1519" s="10" t="s">
        <v>20</v>
      </c>
      <c r="L1519" s="11" t="n">
        <v>39180.0029050926</v>
      </c>
      <c r="M1519" s="12" t="s">
        <v>3943</v>
      </c>
      <c r="N1519" s="12" t="s">
        <v>3944</v>
      </c>
      <c r="O1519" s="9" t="str">
        <f aca="false">HYPERLINK("https://pbs.twimg.com/profile_images/815214393663188993/AZbtws7L_normal.jpg","View")</f>
        <v>View</v>
      </c>
      <c r="P1519" s="10"/>
    </row>
    <row r="1520" customFormat="false" ht="15.75" hidden="false" customHeight="false" outlineLevel="0" collapsed="false">
      <c r="A1520" s="6" t="n">
        <v>43030.2032291667</v>
      </c>
      <c r="B1520" s="7" t="str">
        <f aca="false">HYPERLINK("https://twitter.com/she1182","@she1182")</f>
        <v>@she1182</v>
      </c>
      <c r="C1520" s="14" t="s">
        <v>3945</v>
      </c>
      <c r="D1520" s="8" t="s">
        <v>3946</v>
      </c>
      <c r="E1520" s="9" t="str">
        <f aca="false">HYPERLINK("https://twitter.com/she1182/status/922068179249111040","922068179249111040")</f>
        <v>922068179249111040</v>
      </c>
      <c r="F1520" s="10" t="s">
        <v>39</v>
      </c>
      <c r="G1520" s="10" t="n">
        <v>595</v>
      </c>
      <c r="H1520" s="10" t="n">
        <v>948</v>
      </c>
      <c r="I1520" s="10" t="n">
        <v>0</v>
      </c>
      <c r="J1520" s="10" t="n">
        <v>0</v>
      </c>
      <c r="K1520" s="10" t="s">
        <v>20</v>
      </c>
      <c r="L1520" s="11" t="n">
        <v>39442.061875</v>
      </c>
      <c r="M1520" s="13" t="s">
        <v>3947</v>
      </c>
      <c r="N1520" s="12" t="s">
        <v>3948</v>
      </c>
      <c r="O1520" s="9" t="str">
        <f aca="false">HYPERLINK("https://pbs.twimg.com/profile_images/783216276592140288/B42qN0HS_normal.jpg","View")</f>
        <v>View</v>
      </c>
      <c r="P1520" s="10"/>
    </row>
    <row r="1521" customFormat="false" ht="15.75" hidden="false" customHeight="false" outlineLevel="0" collapsed="false">
      <c r="A1521" s="6" t="n">
        <v>43030.2032407407</v>
      </c>
      <c r="B1521" s="7" t="str">
        <f aca="false">HYPERLINK("https://twitter.com/cltkidlit","@cltkidlit")</f>
        <v>@cltkidlit</v>
      </c>
      <c r="C1521" s="8" t="s">
        <v>3949</v>
      </c>
      <c r="D1521" s="8" t="s">
        <v>3422</v>
      </c>
      <c r="E1521" s="9" t="str">
        <f aca="false">HYPERLINK("https://twitter.com/cltkidlit/status/922068182411735040","922068182411735040")</f>
        <v>922068182411735040</v>
      </c>
      <c r="F1521" s="10" t="s">
        <v>98</v>
      </c>
      <c r="G1521" s="10" t="n">
        <v>296</v>
      </c>
      <c r="H1521" s="10" t="n">
        <v>600</v>
      </c>
      <c r="I1521" s="10" t="n">
        <v>27</v>
      </c>
      <c r="J1521" s="10" t="n">
        <v>0</v>
      </c>
      <c r="K1521" s="10" t="s">
        <v>20</v>
      </c>
      <c r="L1521" s="11" t="n">
        <v>41313.0734490741</v>
      </c>
      <c r="M1521" s="12"/>
      <c r="N1521" s="12" t="s">
        <v>3950</v>
      </c>
      <c r="O1521" s="9" t="str">
        <f aca="false">HYPERLINK("https://pbs.twimg.com/profile_images/416333762528440320/ZaTXEyOs_normal.jpeg","View")</f>
        <v>View</v>
      </c>
      <c r="P1521" s="10"/>
    </row>
    <row r="1522" customFormat="false" ht="15.75" hidden="false" customHeight="false" outlineLevel="0" collapsed="false">
      <c r="A1522" s="6" t="n">
        <v>43030.2032986111</v>
      </c>
      <c r="B1522" s="7" t="str">
        <f aca="false">HYPERLINK("https://twitter.com/naturalkitchen7","@naturalkitchen7")</f>
        <v>@naturalkitchen7</v>
      </c>
      <c r="C1522" s="8" t="s">
        <v>3951</v>
      </c>
      <c r="D1522" s="8" t="s">
        <v>3646</v>
      </c>
      <c r="E1522" s="9" t="str">
        <f aca="false">HYPERLINK("https://twitter.com/naturalkitchen7/status/922068201675956226","922068201675956226")</f>
        <v>922068201675956226</v>
      </c>
      <c r="F1522" s="10" t="s">
        <v>39</v>
      </c>
      <c r="G1522" s="10" t="n">
        <v>3705</v>
      </c>
      <c r="H1522" s="10" t="n">
        <v>3678</v>
      </c>
      <c r="I1522" s="10" t="n">
        <v>71</v>
      </c>
      <c r="J1522" s="10" t="n">
        <v>0</v>
      </c>
      <c r="K1522" s="10" t="s">
        <v>20</v>
      </c>
      <c r="L1522" s="11" t="n">
        <v>41975.8018518519</v>
      </c>
      <c r="M1522" s="12"/>
      <c r="N1522" s="12" t="s">
        <v>3952</v>
      </c>
      <c r="O1522" s="9" t="str">
        <f aca="false">HYPERLINK("https://pbs.twimg.com/profile_images/920553692595593217/5_5GUOMQ_normal.jpg","View")</f>
        <v>View</v>
      </c>
      <c r="P1522" s="10"/>
    </row>
    <row r="1523" customFormat="false" ht="15.75" hidden="false" customHeight="false" outlineLevel="0" collapsed="false">
      <c r="A1523" s="6" t="n">
        <v>43030.2033333333</v>
      </c>
      <c r="B1523" s="7" t="str">
        <f aca="false">HYPERLINK("https://twitter.com/RyanLailvaux","@RyanLailvaux")</f>
        <v>@RyanLailvaux</v>
      </c>
      <c r="C1523" s="8" t="s">
        <v>3953</v>
      </c>
      <c r="D1523" s="8" t="s">
        <v>3646</v>
      </c>
      <c r="E1523" s="9" t="str">
        <f aca="false">HYPERLINK("https://twitter.com/RyanLailvaux/status/922068217882963968","922068217882963968")</f>
        <v>922068217882963968</v>
      </c>
      <c r="F1523" s="10" t="s">
        <v>25</v>
      </c>
      <c r="G1523" s="10" t="n">
        <v>1551</v>
      </c>
      <c r="H1523" s="10" t="n">
        <v>675</v>
      </c>
      <c r="I1523" s="10" t="n">
        <v>71</v>
      </c>
      <c r="J1523" s="10" t="n">
        <v>0</v>
      </c>
      <c r="K1523" s="10" t="s">
        <v>20</v>
      </c>
      <c r="L1523" s="11" t="n">
        <v>41321.2176736111</v>
      </c>
      <c r="M1523" s="12" t="s">
        <v>3954</v>
      </c>
      <c r="N1523" s="12" t="s">
        <v>3955</v>
      </c>
      <c r="O1523" s="9" t="str">
        <f aca="false">HYPERLINK("https://pbs.twimg.com/profile_images/887033527245656064/0r7SVy6d_normal.jpg","View")</f>
        <v>View</v>
      </c>
      <c r="P1523" s="10"/>
    </row>
    <row r="1524" customFormat="false" ht="15.75" hidden="false" customHeight="false" outlineLevel="0" collapsed="false">
      <c r="A1524" s="6" t="n">
        <v>43030.2033912037</v>
      </c>
      <c r="B1524" s="7" t="str">
        <f aca="false">HYPERLINK("https://twitter.com/naaaaaagi66","@naaaaaagi66")</f>
        <v>@naaaaaagi66</v>
      </c>
      <c r="C1524" s="14" t="s">
        <v>3956</v>
      </c>
      <c r="D1524" s="8" t="s">
        <v>3620</v>
      </c>
      <c r="E1524" s="9" t="str">
        <f aca="false">HYPERLINK("https://twitter.com/naaaaaagi66/status/922068236933332993","922068236933332993")</f>
        <v>922068236933332993</v>
      </c>
      <c r="F1524" s="10" t="s">
        <v>51</v>
      </c>
      <c r="G1524" s="10" t="n">
        <v>559</v>
      </c>
      <c r="H1524" s="10" t="n">
        <v>46</v>
      </c>
      <c r="I1524" s="10" t="n">
        <v>11</v>
      </c>
      <c r="J1524" s="10" t="n">
        <v>0</v>
      </c>
      <c r="K1524" s="10" t="s">
        <v>20</v>
      </c>
      <c r="L1524" s="11" t="n">
        <v>42103.9601157407</v>
      </c>
      <c r="M1524" s="12"/>
      <c r="N1524" s="12" t="s">
        <v>3957</v>
      </c>
      <c r="O1524" s="9" t="str">
        <f aca="false">HYPERLINK("https://pbs.twimg.com/profile_images/916122230140026880/pKEuUyOo_normal.jpg","View")</f>
        <v>View</v>
      </c>
      <c r="P1524" s="10"/>
    </row>
    <row r="1525" customFormat="false" ht="15.75" hidden="false" customHeight="false" outlineLevel="0" collapsed="false">
      <c r="A1525" s="6" t="n">
        <v>43030.2035763889</v>
      </c>
      <c r="B1525" s="7" t="str">
        <f aca="false">HYPERLINK("https://twitter.com/motokorich","@motokorich")</f>
        <v>@motokorich</v>
      </c>
      <c r="C1525" s="8" t="s">
        <v>3936</v>
      </c>
      <c r="D1525" s="8" t="s">
        <v>3958</v>
      </c>
      <c r="E1525" s="9" t="str">
        <f aca="false">HYPERLINK("https://twitter.com/motokorich/status/922068302410772480","922068302410772480")</f>
        <v>922068302410772480</v>
      </c>
      <c r="F1525" s="10" t="s">
        <v>39</v>
      </c>
      <c r="G1525" s="10" t="n">
        <v>25708</v>
      </c>
      <c r="H1525" s="10" t="n">
        <v>2567</v>
      </c>
      <c r="I1525" s="10" t="n">
        <v>17</v>
      </c>
      <c r="J1525" s="10" t="n">
        <v>12</v>
      </c>
      <c r="K1525" s="10" t="s">
        <v>20</v>
      </c>
      <c r="L1525" s="11" t="n">
        <v>39993.357037037</v>
      </c>
      <c r="M1525" s="12" t="s">
        <v>574</v>
      </c>
      <c r="N1525" s="13" t="s">
        <v>3938</v>
      </c>
      <c r="O1525" s="9" t="str">
        <f aca="false">HYPERLINK("https://pbs.twimg.com/profile_images/781455693597413380/eASkJAc5_normal.jpg","View")</f>
        <v>View</v>
      </c>
      <c r="P1525" s="10"/>
    </row>
    <row r="1526" customFormat="false" ht="15.75" hidden="false" customHeight="false" outlineLevel="0" collapsed="false">
      <c r="A1526" s="6" t="n">
        <v>43030.203587963</v>
      </c>
      <c r="B1526" s="7" t="str">
        <f aca="false">HYPERLINK("https://twitter.com/WorldNewsGPS","@WorldNewsGPS")</f>
        <v>@WorldNewsGPS</v>
      </c>
      <c r="C1526" s="8" t="s">
        <v>2573</v>
      </c>
      <c r="D1526" s="8" t="s">
        <v>3959</v>
      </c>
      <c r="E1526" s="9" t="str">
        <f aca="false">HYPERLINK("https://twitter.com/WorldNewsGPS/status/922068306588086272","922068306588086272")</f>
        <v>922068306588086272</v>
      </c>
      <c r="F1526" s="9" t="s">
        <v>1147</v>
      </c>
      <c r="G1526" s="10" t="n">
        <v>5082</v>
      </c>
      <c r="H1526" s="10" t="n">
        <v>3634</v>
      </c>
      <c r="I1526" s="10" t="n">
        <v>0</v>
      </c>
      <c r="J1526" s="10" t="n">
        <v>0</v>
      </c>
      <c r="K1526" s="10" t="s">
        <v>20</v>
      </c>
      <c r="L1526" s="11" t="n">
        <v>41855.6448263889</v>
      </c>
      <c r="M1526" s="12" t="s">
        <v>2575</v>
      </c>
      <c r="N1526" s="12" t="s">
        <v>2576</v>
      </c>
      <c r="O1526" s="9" t="str">
        <f aca="false">HYPERLINK("https://pbs.twimg.com/profile_images/923461394355257344/b0o17ueG_normal.jpg","View")</f>
        <v>View</v>
      </c>
      <c r="P1526" s="10"/>
    </row>
    <row r="1527" customFormat="false" ht="15.75" hidden="false" customHeight="false" outlineLevel="0" collapsed="false">
      <c r="A1527" s="6" t="n">
        <v>43030.2038888889</v>
      </c>
      <c r="B1527" s="7" t="str">
        <f aca="false">HYPERLINK("https://twitter.com/AJENews","@AJENews")</f>
        <v>@AJENews</v>
      </c>
      <c r="C1527" s="8" t="s">
        <v>3960</v>
      </c>
      <c r="D1527" s="8" t="s">
        <v>3961</v>
      </c>
      <c r="E1527" s="9" t="str">
        <f aca="false">HYPERLINK("https://twitter.com/AJENews/status/922068416516820992","922068416516820992")</f>
        <v>922068416516820992</v>
      </c>
      <c r="F1527" s="10" t="s">
        <v>268</v>
      </c>
      <c r="G1527" s="10" t="n">
        <v>1337244</v>
      </c>
      <c r="H1527" s="10" t="n">
        <v>377</v>
      </c>
      <c r="I1527" s="10" t="n">
        <v>24</v>
      </c>
      <c r="J1527" s="10" t="n">
        <v>26</v>
      </c>
      <c r="K1527" s="10" t="s">
        <v>20</v>
      </c>
      <c r="L1527" s="11" t="n">
        <v>39810.0017592593</v>
      </c>
      <c r="M1527" s="12" t="s">
        <v>3962</v>
      </c>
      <c r="N1527" s="12" t="s">
        <v>3963</v>
      </c>
      <c r="O1527" s="9" t="str">
        <f aca="false">HYPERLINK("https://pbs.twimg.com/profile_images/875639380781563906/b1J1YbIE_normal.jpg","View")</f>
        <v>View</v>
      </c>
      <c r="P1527" s="10"/>
    </row>
    <row r="1528" customFormat="false" ht="15.75" hidden="false" customHeight="false" outlineLevel="0" collapsed="false">
      <c r="A1528" s="6" t="n">
        <v>43030.203912037</v>
      </c>
      <c r="B1528" s="7" t="str">
        <f aca="false">HYPERLINK("https://twitter.com/dieselmydog","@dieselmydog")</f>
        <v>@dieselmydog</v>
      </c>
      <c r="C1528" s="8" t="s">
        <v>3964</v>
      </c>
      <c r="D1528" s="8" t="s">
        <v>3631</v>
      </c>
      <c r="E1528" s="9" t="str">
        <f aca="false">HYPERLINK("https://twitter.com/dieselmydog/status/922068424204812288","922068424204812288")</f>
        <v>922068424204812288</v>
      </c>
      <c r="F1528" s="10" t="s">
        <v>177</v>
      </c>
      <c r="G1528" s="10" t="n">
        <v>1281</v>
      </c>
      <c r="H1528" s="10" t="n">
        <v>3041</v>
      </c>
      <c r="I1528" s="10" t="n">
        <v>16</v>
      </c>
      <c r="J1528" s="10" t="n">
        <v>0</v>
      </c>
      <c r="K1528" s="10" t="s">
        <v>20</v>
      </c>
      <c r="L1528" s="11" t="n">
        <v>40703.0996643519</v>
      </c>
      <c r="M1528" s="12" t="s">
        <v>3965</v>
      </c>
      <c r="N1528" s="12" t="s">
        <v>3966</v>
      </c>
      <c r="O1528" s="9" t="str">
        <f aca="false">HYPERLINK("https://pbs.twimg.com/profile_images/659275687862251520/3q51n3Mh_normal.jpg","View")</f>
        <v>View</v>
      </c>
      <c r="P1528" s="10"/>
    </row>
    <row r="1529" customFormat="false" ht="15.75" hidden="false" customHeight="false" outlineLevel="0" collapsed="false">
      <c r="A1529" s="6" t="n">
        <v>43030.2039236111</v>
      </c>
      <c r="B1529" s="7" t="str">
        <f aca="false">HYPERLINK("https://twitter.com/she1182","@she1182")</f>
        <v>@she1182</v>
      </c>
      <c r="C1529" s="14" t="s">
        <v>3945</v>
      </c>
      <c r="D1529" s="8" t="s">
        <v>3967</v>
      </c>
      <c r="E1529" s="9" t="str">
        <f aca="false">HYPERLINK("https://twitter.com/she1182/status/922068431104438274","922068431104438274")</f>
        <v>922068431104438274</v>
      </c>
      <c r="F1529" s="10" t="s">
        <v>39</v>
      </c>
      <c r="G1529" s="10" t="n">
        <v>595</v>
      </c>
      <c r="H1529" s="10" t="n">
        <v>948</v>
      </c>
      <c r="I1529" s="10" t="n">
        <v>0</v>
      </c>
      <c r="J1529" s="10" t="n">
        <v>0</v>
      </c>
      <c r="K1529" s="10" t="s">
        <v>20</v>
      </c>
      <c r="L1529" s="11" t="n">
        <v>39442.061875</v>
      </c>
      <c r="M1529" s="13" t="s">
        <v>3947</v>
      </c>
      <c r="N1529" s="12" t="s">
        <v>3948</v>
      </c>
      <c r="O1529" s="9" t="str">
        <f aca="false">HYPERLINK("https://pbs.twimg.com/profile_images/783216276592140288/B42qN0HS_normal.jpg","View")</f>
        <v>View</v>
      </c>
      <c r="P1529" s="10"/>
    </row>
    <row r="1530" customFormat="false" ht="15.75" hidden="false" customHeight="false" outlineLevel="0" collapsed="false">
      <c r="A1530" s="6" t="n">
        <v>43030.2040162037</v>
      </c>
      <c r="B1530" s="7" t="str">
        <f aca="false">HYPERLINK("https://twitter.com/ev3ponies","@ev3ponies")</f>
        <v>@ev3ponies</v>
      </c>
      <c r="C1530" s="8" t="s">
        <v>3968</v>
      </c>
      <c r="D1530" s="8" t="s">
        <v>3646</v>
      </c>
      <c r="E1530" s="9" t="str">
        <f aca="false">HYPERLINK("https://twitter.com/ev3ponies/status/922068461299404800","922068461299404800")</f>
        <v>922068461299404800</v>
      </c>
      <c r="F1530" s="10" t="s">
        <v>51</v>
      </c>
      <c r="G1530" s="10" t="n">
        <v>1203</v>
      </c>
      <c r="H1530" s="10" t="n">
        <v>2110</v>
      </c>
      <c r="I1530" s="10" t="n">
        <v>71</v>
      </c>
      <c r="J1530" s="10" t="n">
        <v>0</v>
      </c>
      <c r="K1530" s="10" t="s">
        <v>20</v>
      </c>
      <c r="L1530" s="11" t="n">
        <v>42751.4876967593</v>
      </c>
      <c r="M1530" s="12"/>
      <c r="N1530" s="12" t="s">
        <v>3969</v>
      </c>
      <c r="O1530" s="9" t="str">
        <f aca="false">HYPERLINK("https://pbs.twimg.com/profile_images/874645012914589696/Q7mGzugL_normal.jpg","View")</f>
        <v>View</v>
      </c>
      <c r="P1530" s="10"/>
    </row>
    <row r="1531" customFormat="false" ht="15.75" hidden="false" customHeight="false" outlineLevel="0" collapsed="false">
      <c r="A1531" s="6" t="n">
        <v>43030.2041087963</v>
      </c>
      <c r="B1531" s="7" t="str">
        <f aca="false">HYPERLINK("https://twitter.com/yamakazu1969","@yamakazu1969")</f>
        <v>@yamakazu1969</v>
      </c>
      <c r="C1531" s="8" t="s">
        <v>3970</v>
      </c>
      <c r="D1531" s="8" t="s">
        <v>3971</v>
      </c>
      <c r="E1531" s="9" t="str">
        <f aca="false">HYPERLINK("https://twitter.com/yamakazu1969/status/922068497848340483","922068497848340483")</f>
        <v>922068497848340483</v>
      </c>
      <c r="F1531" s="10" t="s">
        <v>1576</v>
      </c>
      <c r="G1531" s="10" t="n">
        <v>229</v>
      </c>
      <c r="H1531" s="10" t="n">
        <v>483</v>
      </c>
      <c r="I1531" s="10" t="n">
        <v>24</v>
      </c>
      <c r="J1531" s="10" t="n">
        <v>0</v>
      </c>
      <c r="K1531" s="10" t="s">
        <v>20</v>
      </c>
      <c r="L1531" s="11" t="n">
        <v>40012.8604398148</v>
      </c>
      <c r="M1531" s="12" t="s">
        <v>574</v>
      </c>
      <c r="N1531" s="12" t="s">
        <v>3972</v>
      </c>
      <c r="O1531" s="9" t="str">
        <f aca="false">HYPERLINK("https://pbs.twimg.com/profile_images/600120080605663232/7lJfJPRH_normal.png","View")</f>
        <v>View</v>
      </c>
      <c r="P1531" s="10"/>
    </row>
    <row r="1532" customFormat="false" ht="15.75" hidden="false" customHeight="false" outlineLevel="0" collapsed="false">
      <c r="A1532" s="6" t="n">
        <v>43030.2041550926</v>
      </c>
      <c r="B1532" s="7" t="str">
        <f aca="false">HYPERLINK("https://twitter.com/_SchubertDale","@_SchubertDale")</f>
        <v>@_SchubertDale</v>
      </c>
      <c r="C1532" s="8" t="s">
        <v>3973</v>
      </c>
      <c r="D1532" s="8" t="s">
        <v>3438</v>
      </c>
      <c r="E1532" s="9" t="str">
        <f aca="false">HYPERLINK("https://twitter.com/_SchubertDale/status/922068511970562048","922068511970562048")</f>
        <v>922068511970562048</v>
      </c>
      <c r="F1532" s="10" t="s">
        <v>25</v>
      </c>
      <c r="G1532" s="10" t="n">
        <v>425</v>
      </c>
      <c r="H1532" s="10" t="n">
        <v>389</v>
      </c>
      <c r="I1532" s="10" t="n">
        <v>15</v>
      </c>
      <c r="J1532" s="10" t="n">
        <v>0</v>
      </c>
      <c r="K1532" s="10" t="s">
        <v>20</v>
      </c>
      <c r="L1532" s="11" t="n">
        <v>40508.224537037</v>
      </c>
      <c r="M1532" s="12" t="s">
        <v>3974</v>
      </c>
      <c r="N1532" s="12" t="s">
        <v>3975</v>
      </c>
      <c r="O1532" s="9" t="str">
        <f aca="false">HYPERLINK("https://pbs.twimg.com/profile_images/919168118034808832/3EpyXX-A_normal.jpg","View")</f>
        <v>View</v>
      </c>
      <c r="P1532" s="10"/>
    </row>
    <row r="1533" customFormat="false" ht="15.75" hidden="false" customHeight="false" outlineLevel="0" collapsed="false">
      <c r="A1533" s="6" t="n">
        <v>43030.2043518519</v>
      </c>
      <c r="B1533" s="7" t="str">
        <f aca="false">HYPERLINK("https://twitter.com/matglobal","@matglobal")</f>
        <v>@matglobal</v>
      </c>
      <c r="C1533" s="8" t="s">
        <v>3976</v>
      </c>
      <c r="D1533" s="8" t="s">
        <v>3977</v>
      </c>
      <c r="E1533" s="9" t="str">
        <f aca="false">HYPERLINK("https://twitter.com/matglobal/status/922068583605260288","922068583605260288")</f>
        <v>922068583605260288</v>
      </c>
      <c r="F1533" s="10" t="s">
        <v>55</v>
      </c>
      <c r="G1533" s="10" t="n">
        <v>1533</v>
      </c>
      <c r="H1533" s="10" t="n">
        <v>1475</v>
      </c>
      <c r="I1533" s="10" t="n">
        <v>0</v>
      </c>
      <c r="J1533" s="10" t="n">
        <v>0</v>
      </c>
      <c r="K1533" s="10" t="s">
        <v>20</v>
      </c>
      <c r="L1533" s="11" t="n">
        <v>40887.2283564815</v>
      </c>
      <c r="M1533" s="12" t="s">
        <v>2990</v>
      </c>
      <c r="N1533" s="12" t="s">
        <v>3978</v>
      </c>
      <c r="O1533" s="9" t="str">
        <f aca="false">HYPERLINK("https://pbs.twimg.com/profile_images/673814548684652544/cha7Er5K_normal.png","View")</f>
        <v>View</v>
      </c>
      <c r="P1533" s="10"/>
    </row>
    <row r="1534" customFormat="false" ht="15.75" hidden="false" customHeight="false" outlineLevel="0" collapsed="false">
      <c r="A1534" s="6" t="n">
        <v>43030.2043634259</v>
      </c>
      <c r="B1534" s="7" t="str">
        <f aca="false">HYPERLINK("https://twitter.com/imax111","@imax111")</f>
        <v>@imax111</v>
      </c>
      <c r="C1534" s="8" t="s">
        <v>1695</v>
      </c>
      <c r="D1534" s="8" t="s">
        <v>3979</v>
      </c>
      <c r="E1534" s="9" t="str">
        <f aca="false">HYPERLINK("https://twitter.com/imax111/status/922068590811074560","922068590811074560")</f>
        <v>922068590811074560</v>
      </c>
      <c r="F1534" s="10" t="s">
        <v>60</v>
      </c>
      <c r="G1534" s="10" t="n">
        <v>900</v>
      </c>
      <c r="H1534" s="10" t="n">
        <v>0</v>
      </c>
      <c r="I1534" s="10" t="n">
        <v>0</v>
      </c>
      <c r="J1534" s="10" t="n">
        <v>0</v>
      </c>
      <c r="K1534" s="10" t="s">
        <v>20</v>
      </c>
      <c r="L1534" s="11" t="n">
        <v>39908.7389583333</v>
      </c>
      <c r="M1534" s="12" t="s">
        <v>1697</v>
      </c>
      <c r="N1534" s="12" t="s">
        <v>1698</v>
      </c>
      <c r="O1534" s="9" t="str">
        <f aca="false">HYPERLINK("https://pbs.twimg.com/profile_images/763262084264161280/P0rX_ZUd_normal.jpg","View")</f>
        <v>View</v>
      </c>
      <c r="P1534" s="10"/>
    </row>
    <row r="1535" customFormat="false" ht="15.75" hidden="false" customHeight="false" outlineLevel="0" collapsed="false">
      <c r="A1535" s="6" t="n">
        <v>43030.2044675926</v>
      </c>
      <c r="B1535" s="7" t="str">
        <f aca="false">HYPERLINK("https://twitter.com/FreddieKeene88","@FreddieKeene88")</f>
        <v>@FreddieKeene88</v>
      </c>
      <c r="C1535" s="8" t="s">
        <v>3980</v>
      </c>
      <c r="D1535" s="8" t="s">
        <v>3981</v>
      </c>
      <c r="E1535" s="9" t="str">
        <f aca="false">HYPERLINK("https://twitter.com/FreddieKeene88/status/922068625892233216","922068625892233216")</f>
        <v>922068625892233216</v>
      </c>
      <c r="F1535" s="10" t="s">
        <v>60</v>
      </c>
      <c r="G1535" s="10" t="n">
        <v>432</v>
      </c>
      <c r="H1535" s="10" t="n">
        <v>378</v>
      </c>
      <c r="I1535" s="10" t="n">
        <v>0</v>
      </c>
      <c r="J1535" s="10" t="n">
        <v>0</v>
      </c>
      <c r="K1535" s="10" t="s">
        <v>20</v>
      </c>
      <c r="L1535" s="11" t="n">
        <v>41931.5073263889</v>
      </c>
      <c r="M1535" s="12" t="s">
        <v>3982</v>
      </c>
      <c r="N1535" s="12" t="s">
        <v>3983</v>
      </c>
      <c r="O1535" s="9" t="str">
        <f aca="false">HYPERLINK("https://pbs.twimg.com/profile_images/523916159620349952/lW6VckxG_normal.jpeg","View")</f>
        <v>View</v>
      </c>
      <c r="P1535" s="10"/>
    </row>
    <row r="1536" customFormat="false" ht="15.75" hidden="false" customHeight="false" outlineLevel="0" collapsed="false">
      <c r="A1536" s="6" t="n">
        <v>43030.204525463</v>
      </c>
      <c r="B1536" s="7" t="str">
        <f aca="false">HYPERLINK("https://twitter.com/3tking","@3tking")</f>
        <v>@3tking</v>
      </c>
      <c r="C1536" s="8" t="s">
        <v>3984</v>
      </c>
      <c r="D1536" s="8" t="s">
        <v>3985</v>
      </c>
      <c r="E1536" s="9" t="str">
        <f aca="false">HYPERLINK("https://twitter.com/3tking/status/922068649288126465","922068649288126465")</f>
        <v>922068649288126465</v>
      </c>
      <c r="F1536" s="10" t="s">
        <v>55</v>
      </c>
      <c r="G1536" s="10" t="n">
        <v>740</v>
      </c>
      <c r="H1536" s="10" t="n">
        <v>301</v>
      </c>
      <c r="I1536" s="10" t="n">
        <v>0</v>
      </c>
      <c r="J1536" s="10" t="n">
        <v>0</v>
      </c>
      <c r="K1536" s="10" t="s">
        <v>20</v>
      </c>
      <c r="L1536" s="11" t="n">
        <v>41122.644837963</v>
      </c>
      <c r="M1536" s="12" t="s">
        <v>3986</v>
      </c>
      <c r="N1536" s="12" t="s">
        <v>3987</v>
      </c>
      <c r="O1536" s="9" t="str">
        <f aca="false">HYPERLINK("https://pbs.twimg.com/profile_images/899725666299650048/qM4z6WLI_normal.jpg","View")</f>
        <v>View</v>
      </c>
      <c r="P1536" s="10"/>
    </row>
    <row r="1537" customFormat="false" ht="15.75" hidden="false" customHeight="false" outlineLevel="0" collapsed="false">
      <c r="A1537" s="6" t="n">
        <v>43030.2045949074</v>
      </c>
      <c r="B1537" s="7" t="str">
        <f aca="false">HYPERLINK("https://twitter.com/lindanyber","@lindanyber")</f>
        <v>@lindanyber</v>
      </c>
      <c r="C1537" s="8" t="s">
        <v>3988</v>
      </c>
      <c r="D1537" s="8" t="s">
        <v>3971</v>
      </c>
      <c r="E1537" s="9" t="str">
        <f aca="false">HYPERLINK("https://twitter.com/lindanyber/status/922068673174614016","922068673174614016")</f>
        <v>922068673174614016</v>
      </c>
      <c r="F1537" s="10" t="s">
        <v>51</v>
      </c>
      <c r="G1537" s="10" t="n">
        <v>1807</v>
      </c>
      <c r="H1537" s="10" t="n">
        <v>1124</v>
      </c>
      <c r="I1537" s="10" t="n">
        <v>24</v>
      </c>
      <c r="J1537" s="10" t="n">
        <v>0</v>
      </c>
      <c r="K1537" s="10" t="s">
        <v>20</v>
      </c>
      <c r="L1537" s="11" t="n">
        <v>39944.583900463</v>
      </c>
      <c r="M1537" s="12"/>
      <c r="N1537" s="12" t="s">
        <v>3989</v>
      </c>
      <c r="O1537" s="9" t="str">
        <f aca="false">HYPERLINK("https://pbs.twimg.com/profile_images/805173656867471360/-srQEHm-_normal.jpg","View")</f>
        <v>View</v>
      </c>
      <c r="P1537" s="10"/>
    </row>
    <row r="1538" customFormat="false" ht="15.75" hidden="false" customHeight="false" outlineLevel="0" collapsed="false">
      <c r="A1538" s="6" t="n">
        <v>43030.204849537</v>
      </c>
      <c r="B1538" s="7" t="str">
        <f aca="false">HYPERLINK("https://twitter.com/joelnanderson","@joelnanderson")</f>
        <v>@joelnanderson</v>
      </c>
      <c r="C1538" s="8" t="s">
        <v>3990</v>
      </c>
      <c r="D1538" s="8" t="s">
        <v>3991</v>
      </c>
      <c r="E1538" s="9" t="str">
        <f aca="false">HYPERLINK("https://twitter.com/joelnanderson/status/922068763746320386","922068763746320386")</f>
        <v>922068763746320386</v>
      </c>
      <c r="F1538" s="10" t="s">
        <v>51</v>
      </c>
      <c r="G1538" s="10" t="n">
        <v>1080</v>
      </c>
      <c r="H1538" s="10" t="n">
        <v>941</v>
      </c>
      <c r="I1538" s="10" t="n">
        <v>17</v>
      </c>
      <c r="J1538" s="10" t="n">
        <v>0</v>
      </c>
      <c r="K1538" s="10" t="s">
        <v>20</v>
      </c>
      <c r="L1538" s="11" t="n">
        <v>40070.8966782407</v>
      </c>
      <c r="M1538" s="12" t="s">
        <v>3992</v>
      </c>
      <c r="N1538" s="12" t="s">
        <v>3993</v>
      </c>
      <c r="O1538" s="9" t="str">
        <f aca="false">HYPERLINK("https://pbs.twimg.com/profile_images/899520317877624832/qAhp5pf8_normal.jpg","View")</f>
        <v>View</v>
      </c>
      <c r="P1538" s="10"/>
    </row>
    <row r="1539" customFormat="false" ht="15.75" hidden="false" customHeight="false" outlineLevel="0" collapsed="false">
      <c r="A1539" s="6" t="n">
        <v>43030.2049074074</v>
      </c>
      <c r="B1539" s="7" t="str">
        <f aca="false">HYPERLINK("https://twitter.com/RichTVXChannel2","@RichTVXChannel2")</f>
        <v>@RichTVXChannel2</v>
      </c>
      <c r="C1539" s="8" t="s">
        <v>3994</v>
      </c>
      <c r="D1539" s="8" t="s">
        <v>3995</v>
      </c>
      <c r="E1539" s="9" t="str">
        <f aca="false">HYPERLINK("https://twitter.com/RichTVXChannel2/status/922068787691704322","922068787691704322")</f>
        <v>922068787691704322</v>
      </c>
      <c r="F1539" s="10" t="s">
        <v>60</v>
      </c>
      <c r="G1539" s="10" t="n">
        <v>739</v>
      </c>
      <c r="H1539" s="10" t="n">
        <v>610</v>
      </c>
      <c r="I1539" s="10" t="n">
        <v>0</v>
      </c>
      <c r="J1539" s="10" t="n">
        <v>0</v>
      </c>
      <c r="K1539" s="10" t="s">
        <v>20</v>
      </c>
      <c r="L1539" s="11" t="n">
        <v>42112.1262615741</v>
      </c>
      <c r="M1539" s="12" t="s">
        <v>1143</v>
      </c>
      <c r="N1539" s="12" t="s">
        <v>3996</v>
      </c>
      <c r="O1539" s="9" t="str">
        <f aca="false">HYPERLINK("https://pbs.twimg.com/profile_images/908739273481969664/fuYQLEeZ_normal.jpg","View")</f>
        <v>View</v>
      </c>
      <c r="P1539" s="10"/>
    </row>
    <row r="1540" customFormat="false" ht="15.75" hidden="false" customHeight="false" outlineLevel="0" collapsed="false">
      <c r="A1540" s="6" t="n">
        <v>43030.2050462963</v>
      </c>
      <c r="B1540" s="7" t="str">
        <f aca="false">HYPERLINK("https://twitter.com/tvkoolturaldgoh","@tvkoolturaldgoh")</f>
        <v>@tvkoolturaldgoh</v>
      </c>
      <c r="C1540" s="8" t="s">
        <v>3997</v>
      </c>
      <c r="D1540" s="8" t="s">
        <v>3998</v>
      </c>
      <c r="E1540" s="9" t="str">
        <f aca="false">HYPERLINK("https://twitter.com/tvkoolturaldgoh/status/922068835989098496","922068835989098496")</f>
        <v>922068835989098496</v>
      </c>
      <c r="F1540" s="10" t="s">
        <v>60</v>
      </c>
      <c r="G1540" s="10" t="n">
        <v>1051</v>
      </c>
      <c r="H1540" s="10" t="n">
        <v>1957</v>
      </c>
      <c r="I1540" s="10" t="n">
        <v>0</v>
      </c>
      <c r="J1540" s="10" t="n">
        <v>0</v>
      </c>
      <c r="K1540" s="10" t="s">
        <v>20</v>
      </c>
      <c r="L1540" s="11" t="n">
        <v>41095.3746643519</v>
      </c>
      <c r="M1540" s="12" t="s">
        <v>3999</v>
      </c>
      <c r="N1540" s="12" t="s">
        <v>4000</v>
      </c>
      <c r="O1540" s="9" t="str">
        <f aca="false">HYPERLINK("https://pbs.twimg.com/profile_images/3559736440/e412f0073c51584d119a5dd3366797c3_normal.jpeg","View")</f>
        <v>View</v>
      </c>
      <c r="P1540" s="10"/>
    </row>
    <row r="1541" customFormat="false" ht="15.75" hidden="false" customHeight="false" outlineLevel="0" collapsed="false">
      <c r="A1541" s="6" t="n">
        <v>43030.2050694445</v>
      </c>
      <c r="B1541" s="7" t="str">
        <f aca="false">HYPERLINK("https://twitter.com/RichTVXLebanon","@RichTVXLebanon")</f>
        <v>@RichTVXLebanon</v>
      </c>
      <c r="C1541" s="8" t="s">
        <v>4001</v>
      </c>
      <c r="D1541" s="8" t="s">
        <v>4002</v>
      </c>
      <c r="E1541" s="9" t="str">
        <f aca="false">HYPERLINK("https://twitter.com/RichTVXLebanon/status/922068843178217473","922068843178217473")</f>
        <v>922068843178217473</v>
      </c>
      <c r="F1541" s="10" t="s">
        <v>60</v>
      </c>
      <c r="G1541" s="10" t="n">
        <v>180</v>
      </c>
      <c r="H1541" s="10" t="n">
        <v>107</v>
      </c>
      <c r="I1541" s="10" t="n">
        <v>0</v>
      </c>
      <c r="J1541" s="10" t="n">
        <v>0</v>
      </c>
      <c r="K1541" s="10" t="s">
        <v>20</v>
      </c>
      <c r="L1541" s="11" t="n">
        <v>42661.6200694444</v>
      </c>
      <c r="M1541" s="12" t="s">
        <v>1143</v>
      </c>
      <c r="N1541" s="12" t="s">
        <v>4003</v>
      </c>
      <c r="O1541" s="9" t="str">
        <f aca="false">HYPERLINK("https://pbs.twimg.com/profile_images/886994282611081220/STCpGp1O_normal.jpg","View")</f>
        <v>View</v>
      </c>
      <c r="P1541" s="10"/>
    </row>
    <row r="1542" customFormat="false" ht="15.75" hidden="false" customHeight="false" outlineLevel="0" collapsed="false">
      <c r="A1542" s="6" t="n">
        <v>43030.2051157407</v>
      </c>
      <c r="B1542" s="7" t="str">
        <f aca="false">HYPERLINK("https://twitter.com/lucaspinelli94","@lucaspinelli94")</f>
        <v>@lucaspinelli94</v>
      </c>
      <c r="C1542" s="8" t="s">
        <v>4004</v>
      </c>
      <c r="D1542" s="8" t="s">
        <v>4005</v>
      </c>
      <c r="E1542" s="9" t="str">
        <f aca="false">HYPERLINK("https://twitter.com/lucaspinelli94/status/922068863570923520","922068863570923520")</f>
        <v>922068863570923520</v>
      </c>
      <c r="F1542" s="10" t="s">
        <v>60</v>
      </c>
      <c r="G1542" s="10" t="n">
        <v>12902</v>
      </c>
      <c r="H1542" s="10" t="n">
        <v>175</v>
      </c>
      <c r="I1542" s="10" t="n">
        <v>0</v>
      </c>
      <c r="J1542" s="10" t="n">
        <v>0</v>
      </c>
      <c r="K1542" s="10" t="s">
        <v>20</v>
      </c>
      <c r="L1542" s="11" t="n">
        <v>41591.4998611111</v>
      </c>
      <c r="M1542" s="12" t="s">
        <v>4006</v>
      </c>
      <c r="N1542" s="12" t="s">
        <v>4007</v>
      </c>
      <c r="O1542" s="9" t="str">
        <f aca="false">HYPERLINK("https://pbs.twimg.com/profile_images/893406357780656128/Yqn5M-vG_normal.jpg","View")</f>
        <v>View</v>
      </c>
      <c r="P1542" s="10"/>
    </row>
    <row r="1543" customFormat="false" ht="15.75" hidden="false" customHeight="false" outlineLevel="0" collapsed="false">
      <c r="A1543" s="6" t="n">
        <v>43030.2051273148</v>
      </c>
      <c r="B1543" s="7" t="str">
        <f aca="false">HYPERLINK("https://twitter.com/agedchild003","@agedchild003")</f>
        <v>@agedchild003</v>
      </c>
      <c r="C1543" s="8" t="s">
        <v>4008</v>
      </c>
      <c r="D1543" s="8" t="s">
        <v>4009</v>
      </c>
      <c r="E1543" s="9" t="str">
        <f aca="false">HYPERLINK("https://twitter.com/agedchild003/status/922068866183950336","922068866183950336")</f>
        <v>922068866183950336</v>
      </c>
      <c r="F1543" s="10" t="s">
        <v>60</v>
      </c>
      <c r="G1543" s="10" t="n">
        <v>763</v>
      </c>
      <c r="H1543" s="10" t="n">
        <v>210</v>
      </c>
      <c r="I1543" s="10" t="n">
        <v>0</v>
      </c>
      <c r="J1543" s="10" t="n">
        <v>0</v>
      </c>
      <c r="K1543" s="10" t="s">
        <v>20</v>
      </c>
      <c r="L1543" s="11" t="n">
        <v>40725.2079513889</v>
      </c>
      <c r="M1543" s="12" t="s">
        <v>4010</v>
      </c>
      <c r="N1543" s="12" t="s">
        <v>4011</v>
      </c>
      <c r="O1543" s="9" t="str">
        <f aca="false">HYPERLINK("https://pbs.twimg.com/profile_images/443381128708096000/Stak3wh6_normal.jpeg","View")</f>
        <v>View</v>
      </c>
      <c r="P1543" s="10"/>
    </row>
    <row r="1544" customFormat="false" ht="15.75" hidden="false" customHeight="false" outlineLevel="0" collapsed="false">
      <c r="A1544" s="6" t="n">
        <v>43030.205150463</v>
      </c>
      <c r="B1544" s="7" t="str">
        <f aca="false">HYPERLINK("https://twitter.com/hap_santos","@hap_santos")</f>
        <v>@hap_santos</v>
      </c>
      <c r="C1544" s="8" t="s">
        <v>765</v>
      </c>
      <c r="D1544" s="8" t="s">
        <v>4012</v>
      </c>
      <c r="E1544" s="9" t="str">
        <f aca="false">HYPERLINK("https://twitter.com/hap_santos/status/922068876346585088","922068876346585088")</f>
        <v>922068876346585088</v>
      </c>
      <c r="F1544" s="10" t="s">
        <v>60</v>
      </c>
      <c r="G1544" s="10" t="n">
        <v>41</v>
      </c>
      <c r="H1544" s="10" t="n">
        <v>22</v>
      </c>
      <c r="I1544" s="10" t="n">
        <v>0</v>
      </c>
      <c r="J1544" s="10" t="n">
        <v>0</v>
      </c>
      <c r="K1544" s="10" t="s">
        <v>20</v>
      </c>
      <c r="L1544" s="11" t="n">
        <v>40300.4350231482</v>
      </c>
      <c r="M1544" s="12" t="s">
        <v>767</v>
      </c>
      <c r="N1544" s="12"/>
      <c r="O1544" s="9" t="str">
        <f aca="false">HYPERLINK("https://pbs.twimg.com/profile_images/867658947/DSC04779_normal.JPG","View")</f>
        <v>View</v>
      </c>
      <c r="P1544" s="10"/>
    </row>
    <row r="1545" customFormat="false" ht="15.75" hidden="false" customHeight="false" outlineLevel="0" collapsed="false">
      <c r="A1545" s="6" t="n">
        <v>43030.2052546296</v>
      </c>
      <c r="B1545" s="7" t="str">
        <f aca="false">HYPERLINK("https://twitter.com/3eT5s","@3eT5s")</f>
        <v>@3eT5s</v>
      </c>
      <c r="C1545" s="8" t="s">
        <v>4013</v>
      </c>
      <c r="D1545" s="8" t="s">
        <v>4014</v>
      </c>
      <c r="E1545" s="9" t="str">
        <f aca="false">HYPERLINK("https://twitter.com/3eT5s/status/922068911956332544","922068911956332544")</f>
        <v>922068911956332544</v>
      </c>
      <c r="F1545" s="10" t="s">
        <v>60</v>
      </c>
      <c r="G1545" s="10" t="n">
        <v>365</v>
      </c>
      <c r="H1545" s="10" t="n">
        <v>714</v>
      </c>
      <c r="I1545" s="10" t="n">
        <v>0</v>
      </c>
      <c r="J1545" s="10" t="n">
        <v>0</v>
      </c>
      <c r="K1545" s="10" t="s">
        <v>20</v>
      </c>
      <c r="L1545" s="11" t="n">
        <v>42254.0937384259</v>
      </c>
      <c r="M1545" s="12" t="s">
        <v>4015</v>
      </c>
      <c r="N1545" s="12"/>
      <c r="O1545" s="9" t="str">
        <f aca="false">HYPERLINK("https://pbs.twimg.com/profile_images/901715535733260288/m140UmY1_normal.jpg","View")</f>
        <v>View</v>
      </c>
      <c r="P1545" s="10"/>
    </row>
    <row r="1546" customFormat="false" ht="15.75" hidden="false" customHeight="false" outlineLevel="0" collapsed="false">
      <c r="A1546" s="6" t="n">
        <v>43030.2052662037</v>
      </c>
      <c r="B1546" s="7" t="str">
        <f aca="false">HYPERLINK("https://twitter.com/GarethLShelton","@GarethLShelton")</f>
        <v>@GarethLShelton</v>
      </c>
      <c r="C1546" s="8" t="s">
        <v>4016</v>
      </c>
      <c r="D1546" s="8" t="s">
        <v>4017</v>
      </c>
      <c r="E1546" s="9" t="str">
        <f aca="false">HYPERLINK("https://twitter.com/GarethLShelton/status/922068914603020288","922068914603020288")</f>
        <v>922068914603020288</v>
      </c>
      <c r="F1546" s="10" t="s">
        <v>39</v>
      </c>
      <c r="G1546" s="10" t="n">
        <v>5665</v>
      </c>
      <c r="H1546" s="10" t="n">
        <v>6070</v>
      </c>
      <c r="I1546" s="10" t="n">
        <v>1</v>
      </c>
      <c r="J1546" s="10" t="n">
        <v>0</v>
      </c>
      <c r="K1546" s="10" t="s">
        <v>20</v>
      </c>
      <c r="L1546" s="11" t="n">
        <v>40224.4649652778</v>
      </c>
      <c r="M1546" s="12" t="s">
        <v>893</v>
      </c>
      <c r="N1546" s="12" t="s">
        <v>4018</v>
      </c>
      <c r="O1546" s="9" t="str">
        <f aca="false">HYPERLINK("https://pbs.twimg.com/profile_images/887060764892246017/Gubi0NN2_normal.jpg","View")</f>
        <v>View</v>
      </c>
      <c r="P1546" s="10"/>
    </row>
    <row r="1547" customFormat="false" ht="15.75" hidden="false" customHeight="false" outlineLevel="0" collapsed="false">
      <c r="A1547" s="6" t="n">
        <v>43030.2052777778</v>
      </c>
      <c r="B1547" s="7" t="str">
        <f aca="false">HYPERLINK("https://twitter.com/jiei_yushi","@jiei_yushi")</f>
        <v>@jiei_yushi</v>
      </c>
      <c r="C1547" s="14" t="s">
        <v>4019</v>
      </c>
      <c r="D1547" s="8" t="s">
        <v>3971</v>
      </c>
      <c r="E1547" s="9" t="str">
        <f aca="false">HYPERLINK("https://twitter.com/jiei_yushi/status/922068919359287296","922068919359287296")</f>
        <v>922068919359287296</v>
      </c>
      <c r="F1547" s="10" t="s">
        <v>98</v>
      </c>
      <c r="G1547" s="10" t="n">
        <v>2619</v>
      </c>
      <c r="H1547" s="10" t="n">
        <v>98</v>
      </c>
      <c r="I1547" s="10" t="n">
        <v>24</v>
      </c>
      <c r="J1547" s="10" t="n">
        <v>0</v>
      </c>
      <c r="K1547" s="10" t="s">
        <v>20</v>
      </c>
      <c r="L1547" s="11" t="n">
        <v>40734.0638310185</v>
      </c>
      <c r="M1547" s="12" t="s">
        <v>4020</v>
      </c>
      <c r="N1547" s="13" t="s">
        <v>4021</v>
      </c>
      <c r="O1547" s="9" t="str">
        <f aca="false">HYPERLINK("https://pbs.twimg.com/profile_images/1434984865/HNI_0024_normal.JPG","View")</f>
        <v>View</v>
      </c>
      <c r="P1547" s="10"/>
    </row>
    <row r="1548" customFormat="false" ht="15.75" hidden="false" customHeight="false" outlineLevel="0" collapsed="false">
      <c r="A1548" s="6" t="n">
        <v>43030.2054861111</v>
      </c>
      <c r="B1548" s="7" t="str">
        <f aca="false">HYPERLINK("https://twitter.com/Ailbhe1996","@Ailbhe1996")</f>
        <v>@Ailbhe1996</v>
      </c>
      <c r="C1548" s="8" t="s">
        <v>4022</v>
      </c>
      <c r="D1548" s="8" t="s">
        <v>3295</v>
      </c>
      <c r="E1548" s="9" t="str">
        <f aca="false">HYPERLINK("https://twitter.com/Ailbhe1996/status/922068997947973632","922068997947973632")</f>
        <v>922068997947973632</v>
      </c>
      <c r="F1548" s="10" t="s">
        <v>51</v>
      </c>
      <c r="G1548" s="10" t="n">
        <v>267</v>
      </c>
      <c r="H1548" s="10" t="n">
        <v>405</v>
      </c>
      <c r="I1548" s="10" t="n">
        <v>71</v>
      </c>
      <c r="J1548" s="10" t="n">
        <v>0</v>
      </c>
      <c r="K1548" s="10" t="s">
        <v>20</v>
      </c>
      <c r="L1548" s="11" t="n">
        <v>40727.1349768519</v>
      </c>
      <c r="M1548" s="12" t="s">
        <v>4023</v>
      </c>
      <c r="N1548" s="12" t="s">
        <v>4024</v>
      </c>
      <c r="O1548" s="9" t="str">
        <f aca="false">HYPERLINK("https://pbs.twimg.com/profile_images/870696945362194432/2sVDDBsj_normal.jpg","View")</f>
        <v>View</v>
      </c>
      <c r="P1548" s="10"/>
    </row>
    <row r="1549" customFormat="false" ht="15.75" hidden="false" customHeight="false" outlineLevel="0" collapsed="false">
      <c r="A1549" s="6" t="n">
        <v>43030.2054976852</v>
      </c>
      <c r="B1549" s="7" t="str">
        <f aca="false">HYPERLINK("https://twitter.com/Tonnie_Taller","@Tonnie_Taller")</f>
        <v>@Tonnie_Taller</v>
      </c>
      <c r="C1549" s="8" t="s">
        <v>2950</v>
      </c>
      <c r="D1549" s="8" t="s">
        <v>4025</v>
      </c>
      <c r="E1549" s="9" t="str">
        <f aca="false">HYPERLINK("https://twitter.com/Tonnie_Taller/status/922068999302795264","922068999302795264")</f>
        <v>922068999302795264</v>
      </c>
      <c r="F1549" s="9" t="s">
        <v>979</v>
      </c>
      <c r="G1549" s="10" t="n">
        <v>88</v>
      </c>
      <c r="H1549" s="10" t="n">
        <v>24</v>
      </c>
      <c r="I1549" s="10" t="n">
        <v>0</v>
      </c>
      <c r="J1549" s="10" t="n">
        <v>0</v>
      </c>
      <c r="K1549" s="10" t="s">
        <v>20</v>
      </c>
      <c r="L1549" s="11" t="n">
        <v>42157.6301041667</v>
      </c>
      <c r="M1549" s="12" t="s">
        <v>2952</v>
      </c>
      <c r="N1549" s="12" t="s">
        <v>2953</v>
      </c>
      <c r="O1549" s="9" t="str">
        <f aca="false">HYPERLINK("https://pbs.twimg.com/profile_images/920406032110800896/qImJj436_normal.jpg","View")</f>
        <v>View</v>
      </c>
      <c r="P1549" s="10"/>
    </row>
    <row r="1550" customFormat="false" ht="15.75" hidden="false" customHeight="false" outlineLevel="0" collapsed="false">
      <c r="A1550" s="6" t="n">
        <v>43030.2056018518</v>
      </c>
      <c r="B1550" s="7" t="str">
        <f aca="false">HYPERLINK("https://twitter.com/HadrienRamaye","@HadrienRamaye")</f>
        <v>@HadrienRamaye</v>
      </c>
      <c r="C1550" s="8" t="s">
        <v>4026</v>
      </c>
      <c r="D1550" s="8" t="s">
        <v>4027</v>
      </c>
      <c r="E1550" s="9" t="str">
        <f aca="false">HYPERLINK("https://twitter.com/HadrienRamaye/status/922069036774641665","922069036774641665")</f>
        <v>922069036774641665</v>
      </c>
      <c r="F1550" s="10" t="s">
        <v>25</v>
      </c>
      <c r="G1550" s="10" t="n">
        <v>1619</v>
      </c>
      <c r="H1550" s="10" t="n">
        <v>1269</v>
      </c>
      <c r="I1550" s="10" t="n">
        <v>0</v>
      </c>
      <c r="J1550" s="10" t="n">
        <v>0</v>
      </c>
      <c r="K1550" s="10" t="s">
        <v>20</v>
      </c>
      <c r="L1550" s="11" t="n">
        <v>41467.5456828704</v>
      </c>
      <c r="M1550" s="12" t="s">
        <v>4028</v>
      </c>
      <c r="N1550" s="12" t="s">
        <v>4029</v>
      </c>
      <c r="O1550" s="9" t="str">
        <f aca="false">HYPERLINK("https://pbs.twimg.com/profile_images/687666655535697922/1g5ylwYL_normal.jpg","View")</f>
        <v>View</v>
      </c>
      <c r="P1550" s="10"/>
    </row>
    <row r="1551" customFormat="false" ht="15.75" hidden="false" customHeight="false" outlineLevel="0" collapsed="false">
      <c r="A1551" s="6" t="n">
        <v>43030.2056481481</v>
      </c>
      <c r="B1551" s="7" t="str">
        <f aca="false">HYPERLINK("https://twitter.com/BrunoscTimbeta","@BrunoscTimbeta")</f>
        <v>@BrunoscTimbeta</v>
      </c>
      <c r="C1551" s="8" t="s">
        <v>3193</v>
      </c>
      <c r="D1551" s="8" t="s">
        <v>4030</v>
      </c>
      <c r="E1551" s="9" t="str">
        <f aca="false">HYPERLINK("https://twitter.com/BrunoscTimbeta/status/922069056659836928","922069056659836928")</f>
        <v>922069056659836928</v>
      </c>
      <c r="F1551" s="10" t="s">
        <v>60</v>
      </c>
      <c r="G1551" s="10" t="n">
        <v>233</v>
      </c>
      <c r="H1551" s="10" t="n">
        <v>134</v>
      </c>
      <c r="I1551" s="10" t="n">
        <v>0</v>
      </c>
      <c r="J1551" s="10" t="n">
        <v>0</v>
      </c>
      <c r="K1551" s="10" t="s">
        <v>20</v>
      </c>
      <c r="L1551" s="11" t="n">
        <v>41102.6140972222</v>
      </c>
      <c r="M1551" s="12"/>
      <c r="N1551" s="12"/>
      <c r="O1551" s="9" t="str">
        <f aca="false">HYPERLINK("https://pbs.twimg.com/profile_images/893615964784398336/w5rW9bwz_normal.jpg","View")</f>
        <v>View</v>
      </c>
      <c r="P1551" s="10"/>
    </row>
    <row r="1552" customFormat="false" ht="15.75" hidden="false" customHeight="false" outlineLevel="0" collapsed="false">
      <c r="A1552" s="6" t="n">
        <v>43030.2056597222</v>
      </c>
      <c r="B1552" s="7" t="str">
        <f aca="false">HYPERLINK("https://twitter.com/RichTVXBreaking","@RichTVXBreaking")</f>
        <v>@RichTVXBreaking</v>
      </c>
      <c r="C1552" s="8" t="s">
        <v>4031</v>
      </c>
      <c r="D1552" s="8" t="s">
        <v>4032</v>
      </c>
      <c r="E1552" s="9" t="str">
        <f aca="false">HYPERLINK("https://twitter.com/RichTVXBreaking/status/922069057741914112","922069057741914112")</f>
        <v>922069057741914112</v>
      </c>
      <c r="F1552" s="10" t="s">
        <v>60</v>
      </c>
      <c r="G1552" s="10" t="n">
        <v>186</v>
      </c>
      <c r="H1552" s="10" t="n">
        <v>63</v>
      </c>
      <c r="I1552" s="10" t="n">
        <v>0</v>
      </c>
      <c r="J1552" s="10" t="n">
        <v>0</v>
      </c>
      <c r="K1552" s="10" t="s">
        <v>20</v>
      </c>
      <c r="L1552" s="11" t="n">
        <v>42660.4948726852</v>
      </c>
      <c r="M1552" s="12"/>
      <c r="N1552" s="12" t="s">
        <v>4033</v>
      </c>
      <c r="O1552" s="9" t="str">
        <f aca="false">HYPERLINK("https://pbs.twimg.com/profile_images/884084547759026178/dWeoc98p_normal.jpg","View")</f>
        <v>View</v>
      </c>
      <c r="P1552" s="10"/>
    </row>
    <row r="1553" customFormat="false" ht="15.75" hidden="false" customHeight="false" outlineLevel="0" collapsed="false">
      <c r="A1553" s="6" t="n">
        <v>43030.2056828704</v>
      </c>
      <c r="B1553" s="7" t="str">
        <f aca="false">HYPERLINK("https://twitter.com/ALEX_TOUUUUCEDA","@ALEX_TOUUUUCEDA")</f>
        <v>@ALEX_TOUUUUCEDA</v>
      </c>
      <c r="C1553" s="8" t="s">
        <v>2933</v>
      </c>
      <c r="D1553" s="8" t="s">
        <v>4034</v>
      </c>
      <c r="E1553" s="9" t="str">
        <f aca="false">HYPERLINK("https://twitter.com/ALEX_TOUUUUCEDA/status/922069065266552832","922069065266552832")</f>
        <v>922069065266552832</v>
      </c>
      <c r="F1553" s="10" t="s">
        <v>60</v>
      </c>
      <c r="G1553" s="10" t="n">
        <v>1482</v>
      </c>
      <c r="H1553" s="10" t="n">
        <v>4911</v>
      </c>
      <c r="I1553" s="10" t="n">
        <v>0</v>
      </c>
      <c r="J1553" s="10" t="n">
        <v>0</v>
      </c>
      <c r="K1553" s="10" t="s">
        <v>20</v>
      </c>
      <c r="L1553" s="11" t="n">
        <v>41985.2148958333</v>
      </c>
      <c r="M1553" s="12" t="s">
        <v>2935</v>
      </c>
      <c r="N1553" s="12" t="s">
        <v>2936</v>
      </c>
      <c r="O1553" s="9" t="str">
        <f aca="false">HYPERLINK("https://pbs.twimg.com/profile_images/870652596805136384/zm0Vwv_B_normal.jpg","View")</f>
        <v>View</v>
      </c>
      <c r="P1553" s="10"/>
    </row>
    <row r="1554" customFormat="false" ht="15.75" hidden="false" customHeight="false" outlineLevel="0" collapsed="false">
      <c r="A1554" s="6" t="n">
        <v>43030.2057291667</v>
      </c>
      <c r="B1554" s="7" t="str">
        <f aca="false">HYPERLINK("https://twitter.com/TausifReza17","@TausifReza17")</f>
        <v>@TausifReza17</v>
      </c>
      <c r="C1554" s="8" t="s">
        <v>4035</v>
      </c>
      <c r="D1554" s="8" t="s">
        <v>4036</v>
      </c>
      <c r="E1554" s="9" t="str">
        <f aca="false">HYPERLINK("https://twitter.com/TausifReza17/status/922069082333175808","922069082333175808")</f>
        <v>922069082333175808</v>
      </c>
      <c r="F1554" s="10" t="s">
        <v>60</v>
      </c>
      <c r="G1554" s="10" t="n">
        <v>69</v>
      </c>
      <c r="H1554" s="10" t="n">
        <v>13</v>
      </c>
      <c r="I1554" s="10" t="n">
        <v>0</v>
      </c>
      <c r="J1554" s="10" t="n">
        <v>0</v>
      </c>
      <c r="K1554" s="10" t="s">
        <v>20</v>
      </c>
      <c r="L1554" s="11" t="n">
        <v>42549.9385648148</v>
      </c>
      <c r="M1554" s="12" t="s">
        <v>4037</v>
      </c>
      <c r="N1554" s="12"/>
      <c r="O1554" s="9" t="str">
        <f aca="false">HYPERLINK("https://pbs.twimg.com/profile_images/798017823842783232/aylCGl5K_normal.jpg","View")</f>
        <v>View</v>
      </c>
      <c r="P1554" s="10"/>
    </row>
    <row r="1555" customFormat="false" ht="15.75" hidden="false" customHeight="false" outlineLevel="0" collapsed="false">
      <c r="A1555" s="6" t="n">
        <v>43030.2057638889</v>
      </c>
      <c r="B1555" s="7" t="str">
        <f aca="false">HYPERLINK("https://twitter.com/NewsYunkY","@NewsYunkY")</f>
        <v>@NewsYunkY</v>
      </c>
      <c r="C1555" s="8" t="s">
        <v>4038</v>
      </c>
      <c r="D1555" s="8" t="s">
        <v>4039</v>
      </c>
      <c r="E1555" s="9" t="str">
        <f aca="false">HYPERLINK("https://twitter.com/NewsYunkY/status/922069095763398656","922069095763398656")</f>
        <v>922069095763398656</v>
      </c>
      <c r="F1555" s="10" t="s">
        <v>60</v>
      </c>
      <c r="G1555" s="10" t="n">
        <v>313</v>
      </c>
      <c r="H1555" s="10" t="n">
        <v>1991</v>
      </c>
      <c r="I1555" s="10" t="n">
        <v>0</v>
      </c>
      <c r="J1555" s="10" t="n">
        <v>0</v>
      </c>
      <c r="K1555" s="10" t="s">
        <v>20</v>
      </c>
      <c r="L1555" s="11" t="n">
        <v>39872.5459490741</v>
      </c>
      <c r="M1555" s="12" t="s">
        <v>4040</v>
      </c>
      <c r="N1555" s="12" t="s">
        <v>4041</v>
      </c>
      <c r="O1555" s="9" t="str">
        <f aca="false">HYPERLINK("https://pbs.twimg.com/profile_images/588992887649656832/v07uhKmb_normal.jpg","View")</f>
        <v>View</v>
      </c>
      <c r="P1555" s="10"/>
    </row>
    <row r="1556" customFormat="false" ht="15.75" hidden="false" customHeight="false" outlineLevel="0" collapsed="false">
      <c r="A1556" s="6" t="n">
        <v>43030.2057638889</v>
      </c>
      <c r="B1556" s="7" t="str">
        <f aca="false">HYPERLINK("https://twitter.com/marc1705","@marc1705")</f>
        <v>@marc1705</v>
      </c>
      <c r="C1556" s="8" t="s">
        <v>4042</v>
      </c>
      <c r="D1556" s="8" t="s">
        <v>3971</v>
      </c>
      <c r="E1556" s="9" t="str">
        <f aca="false">HYPERLINK("https://twitter.com/marc1705/status/922069097784987648","922069097784987648")</f>
        <v>922069097784987648</v>
      </c>
      <c r="F1556" s="10" t="s">
        <v>1017</v>
      </c>
      <c r="G1556" s="10" t="n">
        <v>2626</v>
      </c>
      <c r="H1556" s="10" t="n">
        <v>1989</v>
      </c>
      <c r="I1556" s="10" t="n">
        <v>24</v>
      </c>
      <c r="J1556" s="10" t="n">
        <v>0</v>
      </c>
      <c r="K1556" s="10" t="s">
        <v>20</v>
      </c>
      <c r="L1556" s="11" t="n">
        <v>40023.4676736111</v>
      </c>
      <c r="M1556" s="12" t="s">
        <v>4043</v>
      </c>
      <c r="N1556" s="12" t="s">
        <v>4044</v>
      </c>
      <c r="O1556" s="9" t="str">
        <f aca="false">HYPERLINK("https://pbs.twimg.com/profile_images/906507672001957888/aWqsU9Q0_normal.jpg","View")</f>
        <v>View</v>
      </c>
      <c r="P1556" s="10"/>
    </row>
    <row r="1557" customFormat="false" ht="15.75" hidden="false" customHeight="false" outlineLevel="0" collapsed="false">
      <c r="A1557" s="6" t="n">
        <v>43030.205787037</v>
      </c>
      <c r="B1557" s="7" t="str">
        <f aca="false">HYPERLINK("https://twitter.com/RichTVXBalkans","@RichTVXBalkans")</f>
        <v>@RichTVXBalkans</v>
      </c>
      <c r="C1557" s="8" t="s">
        <v>4045</v>
      </c>
      <c r="D1557" s="8" t="s">
        <v>4046</v>
      </c>
      <c r="E1557" s="9" t="str">
        <f aca="false">HYPERLINK("https://twitter.com/RichTVXBalkans/status/922069106685284352","922069106685284352")</f>
        <v>922069106685284352</v>
      </c>
      <c r="F1557" s="10" t="s">
        <v>60</v>
      </c>
      <c r="G1557" s="10" t="n">
        <v>60</v>
      </c>
      <c r="H1557" s="10" t="n">
        <v>22</v>
      </c>
      <c r="I1557" s="10" t="n">
        <v>0</v>
      </c>
      <c r="J1557" s="10" t="n">
        <v>0</v>
      </c>
      <c r="K1557" s="10" t="s">
        <v>20</v>
      </c>
      <c r="L1557" s="11" t="n">
        <v>42794.5349305556</v>
      </c>
      <c r="M1557" s="12" t="s">
        <v>1143</v>
      </c>
      <c r="N1557" s="12" t="s">
        <v>4047</v>
      </c>
      <c r="O1557" s="9" t="str">
        <f aca="false">HYPERLINK("https://pbs.twimg.com/profile_images/887250709854527488/zrymUb-T_normal.jpg","View")</f>
        <v>View</v>
      </c>
      <c r="P1557" s="10"/>
    </row>
    <row r="1558" customFormat="false" ht="15.75" hidden="false" customHeight="false" outlineLevel="0" collapsed="false">
      <c r="A1558" s="6" t="n">
        <v>43030.2058101852</v>
      </c>
      <c r="B1558" s="7" t="str">
        <f aca="false">HYPERLINK("https://twitter.com/llewellynlamaca","@llewellynlamaca")</f>
        <v>@llewellynlamaca</v>
      </c>
      <c r="C1558" s="8" t="s">
        <v>4048</v>
      </c>
      <c r="D1558" s="8" t="s">
        <v>4049</v>
      </c>
      <c r="E1558" s="9" t="str">
        <f aca="false">HYPERLINK("https://twitter.com/llewellynlamaca/status/922069113329111041","922069113329111041")</f>
        <v>922069113329111041</v>
      </c>
      <c r="F1558" s="10" t="s">
        <v>60</v>
      </c>
      <c r="G1558" s="10" t="n">
        <v>117</v>
      </c>
      <c r="H1558" s="10" t="n">
        <v>67</v>
      </c>
      <c r="I1558" s="10" t="n">
        <v>0</v>
      </c>
      <c r="J1558" s="10" t="n">
        <v>0</v>
      </c>
      <c r="K1558" s="10" t="s">
        <v>20</v>
      </c>
      <c r="L1558" s="11" t="n">
        <v>41400.5227314815</v>
      </c>
      <c r="M1558" s="12" t="s">
        <v>4050</v>
      </c>
      <c r="N1558" s="12" t="s">
        <v>4051</v>
      </c>
      <c r="O1558" s="9" t="str">
        <f aca="false">HYPERLINK("https://pbs.twimg.com/profile_images/839115591768145920/b2XCzqVY_normal.jpg","View")</f>
        <v>View</v>
      </c>
      <c r="P1558" s="10"/>
    </row>
    <row r="1559" customFormat="false" ht="15.75" hidden="false" customHeight="false" outlineLevel="0" collapsed="false">
      <c r="A1559" s="6" t="n">
        <v>43030.2058217593</v>
      </c>
      <c r="B1559" s="7" t="str">
        <f aca="false">HYPERLINK("https://twitter.com/RichTVXAmerica","@RichTVXAmerica")</f>
        <v>@RichTVXAmerica</v>
      </c>
      <c r="C1559" s="8" t="s">
        <v>4052</v>
      </c>
      <c r="D1559" s="8" t="s">
        <v>4053</v>
      </c>
      <c r="E1559" s="9" t="str">
        <f aca="false">HYPERLINK("https://twitter.com/RichTVXAmerica/status/922069117955387392","922069117955387392")</f>
        <v>922069117955387392</v>
      </c>
      <c r="F1559" s="10" t="s">
        <v>60</v>
      </c>
      <c r="G1559" s="10" t="n">
        <v>178</v>
      </c>
      <c r="H1559" s="10" t="n">
        <v>383</v>
      </c>
      <c r="I1559" s="10" t="n">
        <v>0</v>
      </c>
      <c r="J1559" s="10" t="n">
        <v>0</v>
      </c>
      <c r="K1559" s="10" t="s">
        <v>20</v>
      </c>
      <c r="L1559" s="11" t="n">
        <v>42644.518125</v>
      </c>
      <c r="M1559" s="12" t="s">
        <v>4054</v>
      </c>
      <c r="N1559" s="12" t="s">
        <v>4055</v>
      </c>
      <c r="O1559" s="9" t="str">
        <f aca="false">HYPERLINK("https://pbs.twimg.com/profile_images/886560027863134209/2caOynL6_normal.jpg","View")</f>
        <v>View</v>
      </c>
      <c r="P1559" s="10"/>
    </row>
    <row r="1560" customFormat="false" ht="15.75" hidden="false" customHeight="false" outlineLevel="0" collapsed="false">
      <c r="A1560" s="6" t="n">
        <v>43030.2058680556</v>
      </c>
      <c r="B1560" s="7" t="str">
        <f aca="false">HYPERLINK("https://twitter.com/RichTVXLive","@RichTVXLive")</f>
        <v>@RichTVXLive</v>
      </c>
      <c r="C1560" s="8" t="s">
        <v>4056</v>
      </c>
      <c r="D1560" s="8" t="s">
        <v>4057</v>
      </c>
      <c r="E1560" s="9" t="str">
        <f aca="false">HYPERLINK("https://twitter.com/RichTVXLive/status/922069135017857024","922069135017857024")</f>
        <v>922069135017857024</v>
      </c>
      <c r="F1560" s="10" t="s">
        <v>60</v>
      </c>
      <c r="G1560" s="10" t="n">
        <v>127</v>
      </c>
      <c r="H1560" s="10" t="n">
        <v>80</v>
      </c>
      <c r="I1560" s="10" t="n">
        <v>0</v>
      </c>
      <c r="J1560" s="10" t="n">
        <v>0</v>
      </c>
      <c r="K1560" s="10" t="s">
        <v>20</v>
      </c>
      <c r="L1560" s="11" t="n">
        <v>42751.2628935185</v>
      </c>
      <c r="M1560" s="12" t="s">
        <v>1143</v>
      </c>
      <c r="N1560" s="12" t="s">
        <v>4058</v>
      </c>
      <c r="O1560" s="9" t="str">
        <f aca="false">HYPERLINK("https://pbs.twimg.com/profile_images/894137293908344832/I6H_ekyG_normal.jpg","View")</f>
        <v>View</v>
      </c>
      <c r="P1560" s="10"/>
    </row>
    <row r="1561" customFormat="false" ht="15.75" hidden="false" customHeight="false" outlineLevel="0" collapsed="false">
      <c r="A1561" s="6" t="n">
        <v>43030.2059143519</v>
      </c>
      <c r="B1561" s="7" t="str">
        <f aca="false">HYPERLINK("https://twitter.com/nytimesworld","@nytimesworld")</f>
        <v>@nytimesworld</v>
      </c>
      <c r="C1561" s="8" t="s">
        <v>621</v>
      </c>
      <c r="D1561" s="8" t="s">
        <v>4059</v>
      </c>
      <c r="E1561" s="9" t="str">
        <f aca="false">HYPERLINK("https://twitter.com/nytimesworld/status/922069150914183175","922069150914183175")</f>
        <v>922069150914183175</v>
      </c>
      <c r="F1561" s="10" t="s">
        <v>268</v>
      </c>
      <c r="G1561" s="10" t="n">
        <v>1873870</v>
      </c>
      <c r="H1561" s="10" t="n">
        <v>465</v>
      </c>
      <c r="I1561" s="10" t="n">
        <v>50</v>
      </c>
      <c r="J1561" s="10" t="n">
        <v>30</v>
      </c>
      <c r="K1561" s="10" t="s">
        <v>20</v>
      </c>
      <c r="L1561" s="11" t="n">
        <v>39163.2915393518</v>
      </c>
      <c r="M1561" s="12" t="s">
        <v>491</v>
      </c>
      <c r="N1561" s="12" t="s">
        <v>623</v>
      </c>
      <c r="O1561" s="9" t="str">
        <f aca="false">HYPERLINK("https://pbs.twimg.com/profile_images/2045337639/NYT_Twitter_world_normal.png","View")</f>
        <v>View</v>
      </c>
      <c r="P1561" s="10"/>
    </row>
    <row r="1562" customFormat="false" ht="15.75" hidden="false" customHeight="false" outlineLevel="0" collapsed="false">
      <c r="A1562" s="6" t="n">
        <v>43030.2059259259</v>
      </c>
      <c r="B1562" s="7" t="str">
        <f aca="false">HYPERLINK("https://twitter.com/RiskAlert","@RiskAlert")</f>
        <v>@RiskAlert</v>
      </c>
      <c r="C1562" s="8" t="s">
        <v>1641</v>
      </c>
      <c r="D1562" s="8" t="s">
        <v>3971</v>
      </c>
      <c r="E1562" s="9" t="str">
        <f aca="false">HYPERLINK("https://twitter.com/RiskAlert/status/922069153900650497","922069153900650497")</f>
        <v>922069153900650497</v>
      </c>
      <c r="F1562" s="10" t="s">
        <v>1643</v>
      </c>
      <c r="G1562" s="10" t="n">
        <v>3564</v>
      </c>
      <c r="H1562" s="10" t="n">
        <v>4997</v>
      </c>
      <c r="I1562" s="10" t="n">
        <v>24</v>
      </c>
      <c r="J1562" s="10" t="n">
        <v>0</v>
      </c>
      <c r="K1562" s="10" t="s">
        <v>20</v>
      </c>
      <c r="L1562" s="11" t="n">
        <v>40613.3108796296</v>
      </c>
      <c r="M1562" s="12" t="s">
        <v>1644</v>
      </c>
      <c r="N1562" s="12" t="s">
        <v>1645</v>
      </c>
      <c r="O1562" s="9" t="str">
        <f aca="false">HYPERLINK("https://pbs.twimg.com/profile_images/711376627427479553/a8Y9qrZG_normal.jpg","View")</f>
        <v>View</v>
      </c>
      <c r="P1562" s="10"/>
    </row>
    <row r="1563" customFormat="false" ht="15.75" hidden="false" customHeight="false" outlineLevel="0" collapsed="false">
      <c r="A1563" s="6" t="n">
        <v>43030.2059837963</v>
      </c>
      <c r="B1563" s="7" t="str">
        <f aca="false">HYPERLINK("https://twitter.com/RichTVXChannel3","@RichTVXChannel3")</f>
        <v>@RichTVXChannel3</v>
      </c>
      <c r="C1563" s="8" t="s">
        <v>4060</v>
      </c>
      <c r="D1563" s="8" t="s">
        <v>4061</v>
      </c>
      <c r="E1563" s="9" t="str">
        <f aca="false">HYPERLINK("https://twitter.com/RichTVXChannel3/status/922069175958372354","922069175958372354")</f>
        <v>922069175958372354</v>
      </c>
      <c r="F1563" s="10" t="s">
        <v>60</v>
      </c>
      <c r="G1563" s="10" t="n">
        <v>358</v>
      </c>
      <c r="H1563" s="10" t="n">
        <v>299</v>
      </c>
      <c r="I1563" s="10" t="n">
        <v>0</v>
      </c>
      <c r="J1563" s="10" t="n">
        <v>0</v>
      </c>
      <c r="K1563" s="10" t="s">
        <v>20</v>
      </c>
      <c r="L1563" s="11" t="n">
        <v>42068.6517592593</v>
      </c>
      <c r="M1563" s="12" t="s">
        <v>1143</v>
      </c>
      <c r="N1563" s="12" t="s">
        <v>4062</v>
      </c>
      <c r="O1563" s="9" t="str">
        <f aca="false">HYPERLINK("https://pbs.twimg.com/profile_images/908787998329901056/X6qz01rt_normal.jpg","View")</f>
        <v>View</v>
      </c>
      <c r="P1563" s="10"/>
    </row>
    <row r="1564" customFormat="false" ht="15.75" hidden="false" customHeight="false" outlineLevel="0" collapsed="false">
      <c r="A1564" s="6" t="n">
        <v>43030.2059837963</v>
      </c>
      <c r="B1564" s="7" t="str">
        <f aca="false">HYPERLINK("https://twitter.com/michael_gabrill","@michael_gabrill")</f>
        <v>@michael_gabrill</v>
      </c>
      <c r="C1564" s="8" t="s">
        <v>4063</v>
      </c>
      <c r="D1564" s="8" t="s">
        <v>4064</v>
      </c>
      <c r="E1564" s="9" t="str">
        <f aca="false">HYPERLINK("https://twitter.com/michael_gabrill/status/922069178009489408","922069178009489408")</f>
        <v>922069178009489408</v>
      </c>
      <c r="F1564" s="10" t="s">
        <v>60</v>
      </c>
      <c r="G1564" s="10" t="n">
        <v>762</v>
      </c>
      <c r="H1564" s="10" t="n">
        <v>1413</v>
      </c>
      <c r="I1564" s="10" t="n">
        <v>0</v>
      </c>
      <c r="J1564" s="10" t="n">
        <v>0</v>
      </c>
      <c r="K1564" s="10" t="s">
        <v>20</v>
      </c>
      <c r="L1564" s="11" t="n">
        <v>41045.0874537037</v>
      </c>
      <c r="M1564" s="12" t="s">
        <v>4065</v>
      </c>
      <c r="N1564" s="12" t="s">
        <v>4066</v>
      </c>
      <c r="O1564" s="9" t="str">
        <f aca="false">HYPERLINK("https://pbs.twimg.com/profile_images/653494670782169088/fHndZOz7_normal.png","View")</f>
        <v>View</v>
      </c>
      <c r="P1564" s="10"/>
    </row>
    <row r="1565" customFormat="false" ht="15.75" hidden="false" customHeight="false" outlineLevel="0" collapsed="false">
      <c r="A1565" s="6" t="n">
        <v>43030.2060532407</v>
      </c>
      <c r="B1565" s="7" t="str">
        <f aca="false">HYPERLINK("https://twitter.com/chelsea513227","@chelsea513227")</f>
        <v>@chelsea513227</v>
      </c>
      <c r="C1565" s="14" t="s">
        <v>4067</v>
      </c>
      <c r="D1565" s="8" t="s">
        <v>4068</v>
      </c>
      <c r="E1565" s="9" t="str">
        <f aca="false">HYPERLINK("https://twitter.com/chelsea513227/status/922069200377602048","922069200377602048")</f>
        <v>922069200377602048</v>
      </c>
      <c r="F1565" s="10" t="s">
        <v>4069</v>
      </c>
      <c r="G1565" s="10" t="n">
        <v>861</v>
      </c>
      <c r="H1565" s="10" t="n">
        <v>918</v>
      </c>
      <c r="I1565" s="10" t="n">
        <v>50</v>
      </c>
      <c r="J1565" s="10" t="n">
        <v>0</v>
      </c>
      <c r="K1565" s="10" t="s">
        <v>20</v>
      </c>
      <c r="L1565" s="11" t="n">
        <v>41358.1505324074</v>
      </c>
      <c r="M1565" s="13" t="s">
        <v>4070</v>
      </c>
      <c r="N1565" s="13" t="s">
        <v>4071</v>
      </c>
      <c r="O1565" s="9" t="str">
        <f aca="false">HYPERLINK("https://pbs.twimg.com/profile_images/723884617606926336/nmOh16Fe_normal.jpg","View")</f>
        <v>View</v>
      </c>
      <c r="P1565" s="10"/>
    </row>
    <row r="1566" customFormat="false" ht="15.75" hidden="false" customHeight="false" outlineLevel="0" collapsed="false">
      <c r="A1566" s="6" t="n">
        <v>43030.2061111111</v>
      </c>
      <c r="B1566" s="7" t="str">
        <f aca="false">HYPERLINK("https://twitter.com/opennewswindows","@opennewswindows")</f>
        <v>@opennewswindows</v>
      </c>
      <c r="C1566" s="8" t="s">
        <v>1714</v>
      </c>
      <c r="D1566" s="8" t="s">
        <v>4072</v>
      </c>
      <c r="E1566" s="9" t="str">
        <f aca="false">HYPERLINK("https://twitter.com/opennewswindows/status/922069221374349312","922069221374349312")</f>
        <v>922069221374349312</v>
      </c>
      <c r="F1566" s="9" t="s">
        <v>979</v>
      </c>
      <c r="G1566" s="10" t="n">
        <v>20</v>
      </c>
      <c r="H1566" s="10" t="n">
        <v>110</v>
      </c>
      <c r="I1566" s="10" t="n">
        <v>0</v>
      </c>
      <c r="J1566" s="10" t="n">
        <v>0</v>
      </c>
      <c r="K1566" s="10" t="s">
        <v>20</v>
      </c>
      <c r="L1566" s="11" t="n">
        <v>43004.6356481482</v>
      </c>
      <c r="M1566" s="12" t="s">
        <v>526</v>
      </c>
      <c r="N1566" s="12" t="s">
        <v>1716</v>
      </c>
      <c r="O1566" s="9" t="str">
        <f aca="false">HYPERLINK("https://pbs.twimg.com/profile_images/912804383087366144/hQyd6i9c_normal.jpg","View")</f>
        <v>View</v>
      </c>
      <c r="P1566" s="10"/>
    </row>
    <row r="1567" customFormat="false" ht="15.75" hidden="false" customHeight="false" outlineLevel="0" collapsed="false">
      <c r="A1567" s="6" t="n">
        <v>43030.2062152778</v>
      </c>
      <c r="B1567" s="7" t="str">
        <f aca="false">HYPERLINK("https://twitter.com/SocialDemSheff","@SocialDemSheff")</f>
        <v>@SocialDemSheff</v>
      </c>
      <c r="C1567" s="8" t="s">
        <v>4073</v>
      </c>
      <c r="D1567" s="8" t="s">
        <v>4068</v>
      </c>
      <c r="E1567" s="9" t="str">
        <f aca="false">HYPERLINK("https://twitter.com/SocialDemSheff/status/922069262000324608","922069262000324608")</f>
        <v>922069262000324608</v>
      </c>
      <c r="F1567" s="10" t="s">
        <v>177</v>
      </c>
      <c r="G1567" s="10" t="n">
        <v>338</v>
      </c>
      <c r="H1567" s="10" t="n">
        <v>668</v>
      </c>
      <c r="I1567" s="10" t="n">
        <v>50</v>
      </c>
      <c r="J1567" s="10" t="n">
        <v>0</v>
      </c>
      <c r="K1567" s="10" t="s">
        <v>20</v>
      </c>
      <c r="L1567" s="11" t="n">
        <v>42240.4553472222</v>
      </c>
      <c r="M1567" s="12"/>
      <c r="N1567" s="12" t="s">
        <v>4074</v>
      </c>
      <c r="O1567" s="9" t="str">
        <f aca="false">HYPERLINK("https://pbs.twimg.com/profile_images/909111732685205505/XWfOqVXC_normal.jpg","View")</f>
        <v>View</v>
      </c>
      <c r="P1567" s="10"/>
    </row>
    <row r="1568" customFormat="false" ht="15.75" hidden="false" customHeight="false" outlineLevel="0" collapsed="false">
      <c r="A1568" s="6" t="n">
        <v>43030.20625</v>
      </c>
      <c r="B1568" s="7" t="str">
        <f aca="false">HYPERLINK("https://twitter.com/joemaya164","@joemaya164")</f>
        <v>@joemaya164</v>
      </c>
      <c r="C1568" s="8" t="s">
        <v>1717</v>
      </c>
      <c r="D1568" s="8" t="s">
        <v>4075</v>
      </c>
      <c r="E1568" s="9" t="str">
        <f aca="false">HYPERLINK("https://twitter.com/joemaya164/status/922069273761239041","922069273761239041")</f>
        <v>922069273761239041</v>
      </c>
      <c r="F1568" s="9" t="s">
        <v>979</v>
      </c>
      <c r="G1568" s="10" t="n">
        <v>411</v>
      </c>
      <c r="H1568" s="10" t="n">
        <v>993</v>
      </c>
      <c r="I1568" s="10" t="n">
        <v>0</v>
      </c>
      <c r="J1568" s="10" t="n">
        <v>0</v>
      </c>
      <c r="K1568" s="10" t="s">
        <v>20</v>
      </c>
      <c r="L1568" s="11" t="n">
        <v>42550.4024305556</v>
      </c>
      <c r="M1568" s="12" t="s">
        <v>526</v>
      </c>
      <c r="N1568" s="12" t="s">
        <v>1719</v>
      </c>
      <c r="O1568" s="9" t="str">
        <f aca="false">HYPERLINK("https://pbs.twimg.com/profile_images/884050860480835584/F1xYkB9H_normal.jpg","View")</f>
        <v>View</v>
      </c>
      <c r="P1568" s="10"/>
    </row>
    <row r="1569" customFormat="false" ht="15.75" hidden="false" customHeight="false" outlineLevel="0" collapsed="false">
      <c r="A1569" s="6" t="n">
        <v>43030.2062847222</v>
      </c>
      <c r="B1569" s="7" t="str">
        <f aca="false">HYPERLINK("https://twitter.com/AnointingLawal","@AnointingLawal")</f>
        <v>@AnointingLawal</v>
      </c>
      <c r="C1569" s="8" t="s">
        <v>1720</v>
      </c>
      <c r="D1569" s="8" t="s">
        <v>4076</v>
      </c>
      <c r="E1569" s="9" t="str">
        <f aca="false">HYPERLINK("https://twitter.com/AnointingLawal/status/922069283580071936","922069283580071936")</f>
        <v>922069283580071936</v>
      </c>
      <c r="F1569" s="9" t="s">
        <v>979</v>
      </c>
      <c r="G1569" s="10" t="n">
        <v>35</v>
      </c>
      <c r="H1569" s="10" t="n">
        <v>165</v>
      </c>
      <c r="I1569" s="10" t="n">
        <v>0</v>
      </c>
      <c r="J1569" s="10" t="n">
        <v>0</v>
      </c>
      <c r="K1569" s="10" t="s">
        <v>20</v>
      </c>
      <c r="L1569" s="11" t="n">
        <v>42984.7547916667</v>
      </c>
      <c r="M1569" s="12" t="s">
        <v>526</v>
      </c>
      <c r="N1569" s="12" t="s">
        <v>1722</v>
      </c>
      <c r="O1569" s="9" t="str">
        <f aca="false">HYPERLINK("https://pbs.twimg.com/profile_images/907291839874641920/JjBgrCXj_normal.jpg","View")</f>
        <v>View</v>
      </c>
      <c r="P1569" s="10"/>
    </row>
    <row r="1570" customFormat="false" ht="15.75" hidden="false" customHeight="false" outlineLevel="0" collapsed="false">
      <c r="A1570" s="6" t="n">
        <v>43030.2063078704</v>
      </c>
      <c r="B1570" s="7" t="str">
        <f aca="false">HYPERLINK("https://twitter.com/RichTVXRussia","@RichTVXRussia")</f>
        <v>@RichTVXRussia</v>
      </c>
      <c r="C1570" s="8" t="s">
        <v>4077</v>
      </c>
      <c r="D1570" s="8" t="s">
        <v>4078</v>
      </c>
      <c r="E1570" s="9" t="str">
        <f aca="false">HYPERLINK("https://twitter.com/RichTVXRussia/status/922069293940072448","922069293940072448")</f>
        <v>922069293940072448</v>
      </c>
      <c r="F1570" s="10" t="s">
        <v>60</v>
      </c>
      <c r="G1570" s="10" t="n">
        <v>227</v>
      </c>
      <c r="H1570" s="10" t="n">
        <v>93</v>
      </c>
      <c r="I1570" s="10" t="n">
        <v>0</v>
      </c>
      <c r="J1570" s="10" t="n">
        <v>0</v>
      </c>
      <c r="K1570" s="10" t="s">
        <v>20</v>
      </c>
      <c r="L1570" s="11" t="n">
        <v>42646.4672222222</v>
      </c>
      <c r="M1570" s="12" t="s">
        <v>1143</v>
      </c>
      <c r="N1570" s="12" t="s">
        <v>4079</v>
      </c>
      <c r="O1570" s="9" t="str">
        <f aca="false">HYPERLINK("https://pbs.twimg.com/profile_images/887007855190179841/gf5Mtpj7_normal.jpg","View")</f>
        <v>View</v>
      </c>
      <c r="P1570" s="10"/>
    </row>
    <row r="1571" customFormat="false" ht="15.75" hidden="false" customHeight="false" outlineLevel="0" collapsed="false">
      <c r="A1571" s="6" t="n">
        <v>43030.2063425926</v>
      </c>
      <c r="B1571" s="7" t="str">
        <f aca="false">HYPERLINK("https://twitter.com/yaguctak","@yaguctak")</f>
        <v>@yaguctak</v>
      </c>
      <c r="C1571" s="8" t="s">
        <v>4080</v>
      </c>
      <c r="D1571" s="8" t="s">
        <v>4068</v>
      </c>
      <c r="E1571" s="9" t="str">
        <f aca="false">HYPERLINK("https://twitter.com/yaguctak/status/922069305746907141","922069305746907141")</f>
        <v>922069305746907141</v>
      </c>
      <c r="F1571" s="10" t="s">
        <v>39</v>
      </c>
      <c r="G1571" s="10" t="n">
        <v>66</v>
      </c>
      <c r="H1571" s="10" t="n">
        <v>187</v>
      </c>
      <c r="I1571" s="10" t="n">
        <v>50</v>
      </c>
      <c r="J1571" s="10" t="n">
        <v>0</v>
      </c>
      <c r="K1571" s="10" t="s">
        <v>20</v>
      </c>
      <c r="L1571" s="11" t="n">
        <v>40204.9854513889</v>
      </c>
      <c r="M1571" s="13" t="s">
        <v>4081</v>
      </c>
      <c r="N1571" s="13" t="s">
        <v>4082</v>
      </c>
      <c r="O1571" s="9" t="str">
        <f aca="false">HYPERLINK("https://pbs.twimg.com/profile_images/756327994306592768/irOExr1C_normal.jpg","View")</f>
        <v>View</v>
      </c>
      <c r="P1571" s="10"/>
    </row>
    <row r="1572" customFormat="false" ht="15.75" hidden="false" customHeight="false" outlineLevel="0" collapsed="false">
      <c r="A1572" s="6" t="n">
        <v>43030.2063541667</v>
      </c>
      <c r="B1572" s="7" t="str">
        <f aca="false">HYPERLINK("https://twitter.com/mahanthanut","@mahanthanut")</f>
        <v>@mahanthanut</v>
      </c>
      <c r="C1572" s="8" t="s">
        <v>4083</v>
      </c>
      <c r="D1572" s="8" t="s">
        <v>4068</v>
      </c>
      <c r="E1572" s="9" t="str">
        <f aca="false">HYPERLINK("https://twitter.com/mahanthanut/status/922069308838051840","922069308838051840")</f>
        <v>922069308838051840</v>
      </c>
      <c r="F1572" s="10" t="s">
        <v>51</v>
      </c>
      <c r="G1572" s="10" t="n">
        <v>755</v>
      </c>
      <c r="H1572" s="10" t="n">
        <v>1972</v>
      </c>
      <c r="I1572" s="10" t="n">
        <v>50</v>
      </c>
      <c r="J1572" s="10" t="n">
        <v>0</v>
      </c>
      <c r="K1572" s="10" t="s">
        <v>20</v>
      </c>
      <c r="L1572" s="11" t="n">
        <v>42066.3065046296</v>
      </c>
      <c r="M1572" s="12"/>
      <c r="N1572" s="12"/>
      <c r="O1572" s="9" t="str">
        <f aca="false">HYPERLINK("https://pbs.twimg.com/profile_images/602460467231985666/I5K3SbBA_normal.jpg","View")</f>
        <v>View</v>
      </c>
      <c r="P1572" s="10"/>
    </row>
    <row r="1573" customFormat="false" ht="15.75" hidden="false" customHeight="false" outlineLevel="0" collapsed="false">
      <c r="A1573" s="6" t="n">
        <v>43030.2063541667</v>
      </c>
      <c r="B1573" s="7" t="str">
        <f aca="false">HYPERLINK("https://twitter.com/matttchuss","@matttchuss")</f>
        <v>@matttchuss</v>
      </c>
      <c r="C1573" s="8" t="s">
        <v>4084</v>
      </c>
      <c r="D1573" s="8" t="s">
        <v>3646</v>
      </c>
      <c r="E1573" s="9" t="str">
        <f aca="false">HYPERLINK("https://twitter.com/matttchuss/status/922069310591430656","922069310591430656")</f>
        <v>922069310591430656</v>
      </c>
      <c r="F1573" s="10" t="s">
        <v>25</v>
      </c>
      <c r="G1573" s="10" t="n">
        <v>73</v>
      </c>
      <c r="H1573" s="10" t="n">
        <v>264</v>
      </c>
      <c r="I1573" s="10" t="n">
        <v>71</v>
      </c>
      <c r="J1573" s="10" t="n">
        <v>0</v>
      </c>
      <c r="K1573" s="10" t="s">
        <v>20</v>
      </c>
      <c r="L1573" s="11" t="n">
        <v>42286.1875</v>
      </c>
      <c r="M1573" s="12"/>
      <c r="N1573" s="12"/>
      <c r="O1573" s="9" t="str">
        <f aca="false">HYPERLINK("https://abs.twimg.com/sticky/default_profile_images/default_profile_normal.png","View")</f>
        <v>View</v>
      </c>
      <c r="P1573" s="10"/>
    </row>
    <row r="1574" customFormat="false" ht="15.75" hidden="false" customHeight="false" outlineLevel="0" collapsed="false">
      <c r="A1574" s="6" t="n">
        <v>43030.2063657407</v>
      </c>
      <c r="B1574" s="7" t="str">
        <f aca="false">HYPERLINK("https://twitter.com/RichTVXJapan","@RichTVXJapan")</f>
        <v>@RichTVXJapan</v>
      </c>
      <c r="C1574" s="8" t="s">
        <v>4085</v>
      </c>
      <c r="D1574" s="8" t="s">
        <v>4086</v>
      </c>
      <c r="E1574" s="9" t="str">
        <f aca="false">HYPERLINK("https://twitter.com/RichTVXJapan/status/922069314978664448","922069314978664448")</f>
        <v>922069314978664448</v>
      </c>
      <c r="F1574" s="10" t="s">
        <v>60</v>
      </c>
      <c r="G1574" s="10" t="n">
        <v>192</v>
      </c>
      <c r="H1574" s="10" t="n">
        <v>108</v>
      </c>
      <c r="I1574" s="10" t="n">
        <v>0</v>
      </c>
      <c r="J1574" s="10" t="n">
        <v>0</v>
      </c>
      <c r="K1574" s="10" t="s">
        <v>20</v>
      </c>
      <c r="L1574" s="11" t="n">
        <v>42671.3282291667</v>
      </c>
      <c r="M1574" s="12" t="s">
        <v>1143</v>
      </c>
      <c r="N1574" s="12" t="s">
        <v>4087</v>
      </c>
      <c r="O1574" s="9" t="str">
        <f aca="false">HYPERLINK("https://pbs.twimg.com/profile_images/886337817986686976/SxRnL9WG_normal.jpg","View")</f>
        <v>View</v>
      </c>
      <c r="P1574" s="10"/>
    </row>
    <row r="1575" customFormat="false" ht="15.75" hidden="false" customHeight="false" outlineLevel="0" collapsed="false">
      <c r="A1575" s="6" t="n">
        <v>43030.2063888889</v>
      </c>
      <c r="B1575" s="7" t="str">
        <f aca="false">HYPERLINK("https://twitter.com/GI581d","@GI581d")</f>
        <v>@GI581d</v>
      </c>
      <c r="C1575" s="8" t="s">
        <v>4088</v>
      </c>
      <c r="D1575" s="8" t="s">
        <v>4068</v>
      </c>
      <c r="E1575" s="9" t="str">
        <f aca="false">HYPERLINK("https://twitter.com/GI581d/status/922069322909958145","922069322909958145")</f>
        <v>922069322909958145</v>
      </c>
      <c r="F1575" s="10" t="s">
        <v>39</v>
      </c>
      <c r="G1575" s="10" t="n">
        <v>1287</v>
      </c>
      <c r="H1575" s="10" t="n">
        <v>5003</v>
      </c>
      <c r="I1575" s="10" t="n">
        <v>50</v>
      </c>
      <c r="J1575" s="10" t="n">
        <v>0</v>
      </c>
      <c r="K1575" s="10" t="s">
        <v>20</v>
      </c>
      <c r="L1575" s="11" t="n">
        <v>40684.7815162037</v>
      </c>
      <c r="M1575" s="12" t="s">
        <v>4089</v>
      </c>
      <c r="N1575" s="12" t="s">
        <v>4090</v>
      </c>
      <c r="O1575" s="9" t="str">
        <f aca="false">HYPERLINK("https://pbs.twimg.com/profile_images/728993884286689280/MGFvkKg4_normal.jpg","View")</f>
        <v>View</v>
      </c>
      <c r="P1575" s="10"/>
    </row>
    <row r="1576" customFormat="false" ht="15.75" hidden="false" customHeight="false" outlineLevel="0" collapsed="false">
      <c r="A1576" s="6" t="n">
        <v>43030.206400463</v>
      </c>
      <c r="B1576" s="7" t="str">
        <f aca="false">HYPERLINK("https://twitter.com/PMIPL_media","@PMIPL_media")</f>
        <v>@PMIPL_media</v>
      </c>
      <c r="C1576" s="8" t="s">
        <v>4091</v>
      </c>
      <c r="D1576" s="8" t="s">
        <v>4068</v>
      </c>
      <c r="E1576" s="9" t="str">
        <f aca="false">HYPERLINK("https://twitter.com/PMIPL_media/status/922069325300637696","922069325300637696")</f>
        <v>922069325300637696</v>
      </c>
      <c r="F1576" s="10" t="s">
        <v>39</v>
      </c>
      <c r="G1576" s="10" t="n">
        <v>79</v>
      </c>
      <c r="H1576" s="10" t="n">
        <v>1111</v>
      </c>
      <c r="I1576" s="10" t="n">
        <v>50</v>
      </c>
      <c r="J1576" s="10" t="n">
        <v>0</v>
      </c>
      <c r="K1576" s="10" t="s">
        <v>20</v>
      </c>
      <c r="L1576" s="11" t="n">
        <v>42773.1561574074</v>
      </c>
      <c r="M1576" s="12"/>
      <c r="N1576" s="12" t="s">
        <v>4092</v>
      </c>
      <c r="O1576" s="9" t="str">
        <f aca="false">HYPERLINK("https://pbs.twimg.com/profile_images/828942997853122560/8vC5QMqa_normal.jpg","View")</f>
        <v>View</v>
      </c>
      <c r="P1576" s="10"/>
    </row>
    <row r="1577" customFormat="false" ht="15.75" hidden="false" customHeight="false" outlineLevel="0" collapsed="false">
      <c r="A1577" s="6" t="n">
        <v>43030.206400463</v>
      </c>
      <c r="B1577" s="7" t="str">
        <f aca="false">HYPERLINK("https://twitter.com/paulomcheleno","@paulomcheleno")</f>
        <v>@paulomcheleno</v>
      </c>
      <c r="C1577" s="8" t="s">
        <v>2065</v>
      </c>
      <c r="D1577" s="8" t="s">
        <v>3620</v>
      </c>
      <c r="E1577" s="9" t="str">
        <f aca="false">HYPERLINK("https://twitter.com/paulomcheleno/status/922069329356738560","922069329356738560")</f>
        <v>922069329356738560</v>
      </c>
      <c r="F1577" s="10" t="s">
        <v>25</v>
      </c>
      <c r="G1577" s="10" t="n">
        <v>66</v>
      </c>
      <c r="H1577" s="10" t="n">
        <v>292</v>
      </c>
      <c r="I1577" s="10" t="n">
        <v>11</v>
      </c>
      <c r="J1577" s="10" t="n">
        <v>0</v>
      </c>
      <c r="K1577" s="10" t="s">
        <v>20</v>
      </c>
      <c r="L1577" s="11" t="n">
        <v>42002.5537152778</v>
      </c>
      <c r="M1577" s="12" t="s">
        <v>2066</v>
      </c>
      <c r="N1577" s="12" t="s">
        <v>2067</v>
      </c>
      <c r="O1577" s="9" t="str">
        <f aca="false">HYPERLINK("https://pbs.twimg.com/profile_images/891321576947417089/x31jAyu1_normal.jpg","View")</f>
        <v>View</v>
      </c>
      <c r="P1577" s="10"/>
    </row>
    <row r="1578" customFormat="false" ht="15.75" hidden="false" customHeight="false" outlineLevel="0" collapsed="false">
      <c r="A1578" s="6" t="n">
        <v>43030.2064351852</v>
      </c>
      <c r="B1578" s="7" t="str">
        <f aca="false">HYPERLINK("https://twitter.com/JOjZLQHX5QVTP4Y","@JOjZLQHX5QVTP4Y")</f>
        <v>@JOjZLQHX5QVTP4Y</v>
      </c>
      <c r="C1578" s="14" t="s">
        <v>4093</v>
      </c>
      <c r="D1578" s="8" t="s">
        <v>4068</v>
      </c>
      <c r="E1578" s="9" t="str">
        <f aca="false">HYPERLINK("https://twitter.com/JOjZLQHX5QVTP4Y/status/922069338495971328","922069338495971328")</f>
        <v>922069338495971328</v>
      </c>
      <c r="F1578" s="10" t="s">
        <v>25</v>
      </c>
      <c r="G1578" s="10" t="n">
        <v>71</v>
      </c>
      <c r="H1578" s="10" t="n">
        <v>71</v>
      </c>
      <c r="I1578" s="10" t="n">
        <v>50</v>
      </c>
      <c r="J1578" s="10" t="n">
        <v>0</v>
      </c>
      <c r="K1578" s="10" t="s">
        <v>20</v>
      </c>
      <c r="L1578" s="11" t="n">
        <v>42210.0842592593</v>
      </c>
      <c r="M1578" s="12"/>
      <c r="N1578" s="13" t="s">
        <v>4094</v>
      </c>
      <c r="O1578" s="9" t="str">
        <f aca="false">HYPERLINK("https://pbs.twimg.com/profile_images/631413476594847744/pn22E-rl_normal.jpg","View")</f>
        <v>View</v>
      </c>
      <c r="P1578" s="10"/>
    </row>
    <row r="1579" customFormat="false" ht="15.75" hidden="false" customHeight="false" outlineLevel="0" collapsed="false">
      <c r="A1579" s="6" t="n">
        <v>43030.2064583333</v>
      </c>
      <c r="B1579" s="7" t="str">
        <f aca="false">HYPERLINK("https://twitter.com/mgezwart","@mgezwart")</f>
        <v>@mgezwart</v>
      </c>
      <c r="C1579" s="8" t="s">
        <v>4095</v>
      </c>
      <c r="D1579" s="8" t="s">
        <v>4096</v>
      </c>
      <c r="E1579" s="9" t="str">
        <f aca="false">HYPERLINK("https://twitter.com/mgezwart/status/922069348126265346","922069348126265346")</f>
        <v>922069348126265346</v>
      </c>
      <c r="F1579" s="10" t="s">
        <v>60</v>
      </c>
      <c r="G1579" s="10" t="n">
        <v>4370</v>
      </c>
      <c r="H1579" s="10" t="n">
        <v>3314</v>
      </c>
      <c r="I1579" s="10" t="n">
        <v>0</v>
      </c>
      <c r="J1579" s="10" t="n">
        <v>0</v>
      </c>
      <c r="K1579" s="10" t="s">
        <v>20</v>
      </c>
      <c r="L1579" s="11" t="n">
        <v>40866.2218287037</v>
      </c>
      <c r="M1579" s="12" t="s">
        <v>4097</v>
      </c>
      <c r="N1579" s="12" t="s">
        <v>4098</v>
      </c>
      <c r="O1579" s="9" t="str">
        <f aca="false">HYPERLINK("https://pbs.twimg.com/profile_images/755765214256177156/u_uKK80m_normal.jpg","View")</f>
        <v>View</v>
      </c>
      <c r="P1579" s="10"/>
    </row>
    <row r="1580" customFormat="false" ht="15.75" hidden="false" customHeight="false" outlineLevel="0" collapsed="false">
      <c r="A1580" s="6" t="n">
        <v>43030.2064814815</v>
      </c>
      <c r="B1580" s="7" t="str">
        <f aca="false">HYPERLINK("https://twitter.com/24H0URTV","@24H0URTV")</f>
        <v>@24H0URTV</v>
      </c>
      <c r="C1580" s="14" t="s">
        <v>4099</v>
      </c>
      <c r="D1580" s="8" t="s">
        <v>4068</v>
      </c>
      <c r="E1580" s="9" t="str">
        <f aca="false">HYPERLINK("https://twitter.com/24H0URTV/status/922069357894647809","922069357894647809")</f>
        <v>922069357894647809</v>
      </c>
      <c r="F1580" s="10" t="s">
        <v>51</v>
      </c>
      <c r="G1580" s="10" t="n">
        <v>48</v>
      </c>
      <c r="H1580" s="10" t="n">
        <v>66</v>
      </c>
      <c r="I1580" s="10" t="n">
        <v>50</v>
      </c>
      <c r="J1580" s="10" t="n">
        <v>0</v>
      </c>
      <c r="K1580" s="10" t="s">
        <v>20</v>
      </c>
      <c r="L1580" s="11" t="n">
        <v>42714.1550115741</v>
      </c>
      <c r="M1580" s="12"/>
      <c r="N1580" s="12"/>
      <c r="O1580" s="9" t="str">
        <f aca="false">HYPERLINK("https://pbs.twimg.com/profile_images/917002009223487489/HnJZMHMb_normal.jpg","View")</f>
        <v>View</v>
      </c>
      <c r="P1580" s="10"/>
    </row>
    <row r="1581" customFormat="false" ht="15.75" hidden="false" customHeight="false" outlineLevel="0" collapsed="false">
      <c r="A1581" s="6" t="n">
        <v>43030.2064814815</v>
      </c>
      <c r="B1581" s="7" t="str">
        <f aca="false">HYPERLINK("https://twitter.com/Chi312Chi","@Chi312Chi")</f>
        <v>@Chi312Chi</v>
      </c>
      <c r="C1581" s="8" t="s">
        <v>1359</v>
      </c>
      <c r="D1581" s="8" t="s">
        <v>3971</v>
      </c>
      <c r="E1581" s="9" t="str">
        <f aca="false">HYPERLINK("https://twitter.com/Chi312Chi/status/922069358070976513","922069358070976513")</f>
        <v>922069358070976513</v>
      </c>
      <c r="F1581" s="10" t="s">
        <v>4100</v>
      </c>
      <c r="G1581" s="10" t="n">
        <v>580</v>
      </c>
      <c r="H1581" s="10" t="n">
        <v>2786</v>
      </c>
      <c r="I1581" s="10" t="n">
        <v>24</v>
      </c>
      <c r="J1581" s="10" t="n">
        <v>0</v>
      </c>
      <c r="K1581" s="10" t="s">
        <v>20</v>
      </c>
      <c r="L1581" s="11" t="n">
        <v>41645.8166203704</v>
      </c>
      <c r="M1581" s="12"/>
      <c r="N1581" s="12"/>
      <c r="O1581" s="9" t="str">
        <f aca="false">HYPERLINK("https://pbs.twimg.com/profile_images/918940173085413376/0qeHPlF8_normal.jpg","View")</f>
        <v>View</v>
      </c>
      <c r="P1581" s="10"/>
    </row>
    <row r="1582" customFormat="false" ht="15.75" hidden="false" customHeight="false" outlineLevel="0" collapsed="false">
      <c r="A1582" s="6" t="n">
        <v>43030.2065162037</v>
      </c>
      <c r="B1582" s="7" t="str">
        <f aca="false">HYPERLINK("https://twitter.com/akvinchrist","@akvinchrist")</f>
        <v>@akvinchrist</v>
      </c>
      <c r="C1582" s="8" t="s">
        <v>4101</v>
      </c>
      <c r="D1582" s="8" t="s">
        <v>4102</v>
      </c>
      <c r="E1582" s="9" t="str">
        <f aca="false">HYPERLINK("https://twitter.com/akvinchrist/status/922069370670632960","922069370670632960")</f>
        <v>922069370670632960</v>
      </c>
      <c r="F1582" s="10" t="s">
        <v>60</v>
      </c>
      <c r="G1582" s="10" t="n">
        <v>999</v>
      </c>
      <c r="H1582" s="10" t="n">
        <v>2063</v>
      </c>
      <c r="I1582" s="10" t="n">
        <v>0</v>
      </c>
      <c r="J1582" s="10" t="n">
        <v>0</v>
      </c>
      <c r="K1582" s="10" t="s">
        <v>20</v>
      </c>
      <c r="L1582" s="11" t="n">
        <v>39971.0745486111</v>
      </c>
      <c r="M1582" s="12" t="s">
        <v>4103</v>
      </c>
      <c r="N1582" s="12" t="s">
        <v>4104</v>
      </c>
      <c r="O1582" s="9" t="str">
        <f aca="false">HYPERLINK("https://pbs.twimg.com/profile_images/909119469162602496/pV7b_tff_normal.jpg","View")</f>
        <v>View</v>
      </c>
      <c r="P1582" s="10"/>
    </row>
    <row r="1583" customFormat="false" ht="15.75" hidden="false" customHeight="false" outlineLevel="0" collapsed="false">
      <c r="A1583" s="6" t="n">
        <v>43030.2065277778</v>
      </c>
      <c r="B1583" s="7" t="str">
        <f aca="false">HYPERLINK("https://twitter.com/fay511","@fay511")</f>
        <v>@fay511</v>
      </c>
      <c r="C1583" s="8" t="s">
        <v>4105</v>
      </c>
      <c r="D1583" s="8" t="s">
        <v>4106</v>
      </c>
      <c r="E1583" s="9" t="str">
        <f aca="false">HYPERLINK("https://twitter.com/fay511/status/922069373606682624","922069373606682624")</f>
        <v>922069373606682624</v>
      </c>
      <c r="F1583" s="10" t="s">
        <v>60</v>
      </c>
      <c r="G1583" s="10" t="n">
        <v>1329</v>
      </c>
      <c r="H1583" s="10" t="n">
        <v>1155</v>
      </c>
      <c r="I1583" s="10" t="n">
        <v>0</v>
      </c>
      <c r="J1583" s="10" t="n">
        <v>0</v>
      </c>
      <c r="K1583" s="10" t="s">
        <v>20</v>
      </c>
      <c r="L1583" s="11" t="n">
        <v>39998.1938078704</v>
      </c>
      <c r="M1583" s="12" t="s">
        <v>4107</v>
      </c>
      <c r="N1583" s="12" t="s">
        <v>4108</v>
      </c>
      <c r="O1583" s="9" t="str">
        <f aca="false">HYPERLINK("https://pbs.twimg.com/profile_images/422128387910410240/HuxeQ6z__normal.jpeg","View")</f>
        <v>View</v>
      </c>
      <c r="P1583" s="10"/>
    </row>
    <row r="1584" customFormat="false" ht="15.75" hidden="false" customHeight="false" outlineLevel="0" collapsed="false">
      <c r="A1584" s="6" t="n">
        <v>43030.2065625</v>
      </c>
      <c r="B1584" s="7" t="str">
        <f aca="false">HYPERLINK("https://twitter.com/AJEnglish","@AJEnglish")</f>
        <v>@AJEnglish</v>
      </c>
      <c r="C1584" s="8" t="s">
        <v>4109</v>
      </c>
      <c r="D1584" s="8" t="s">
        <v>4110</v>
      </c>
      <c r="E1584" s="9" t="str">
        <f aca="false">HYPERLINK("https://twitter.com/AJEnglish/status/922069385891606529","922069385891606529")</f>
        <v>922069385891606529</v>
      </c>
      <c r="F1584" s="10" t="s">
        <v>39</v>
      </c>
      <c r="G1584" s="10" t="n">
        <v>4524424</v>
      </c>
      <c r="H1584" s="10" t="n">
        <v>239</v>
      </c>
      <c r="I1584" s="10" t="n">
        <v>111</v>
      </c>
      <c r="J1584" s="10" t="n">
        <v>99</v>
      </c>
      <c r="K1584" s="10" t="s">
        <v>20</v>
      </c>
      <c r="L1584" s="11" t="n">
        <v>39189.0577314815</v>
      </c>
      <c r="M1584" s="12" t="s">
        <v>3962</v>
      </c>
      <c r="N1584" s="12" t="s">
        <v>4111</v>
      </c>
      <c r="O1584" s="9" t="str">
        <f aca="false">HYPERLINK("https://pbs.twimg.com/profile_images/875638617606987776/YBOKib96_normal.jpg","View")</f>
        <v>View</v>
      </c>
      <c r="P1584" s="10"/>
    </row>
    <row r="1585" customFormat="false" ht="15.75" hidden="false" customHeight="false" outlineLevel="0" collapsed="false">
      <c r="A1585" s="6" t="n">
        <v>43030.2065625</v>
      </c>
      <c r="B1585" s="7" t="str">
        <f aca="false">HYPERLINK("https://twitter.com/Nobo1969","@Nobo1969")</f>
        <v>@Nobo1969</v>
      </c>
      <c r="C1585" s="8" t="s">
        <v>4112</v>
      </c>
      <c r="D1585" s="8" t="s">
        <v>4068</v>
      </c>
      <c r="E1585" s="9" t="str">
        <f aca="false">HYPERLINK("https://twitter.com/Nobo1969/status/922069387837767680","922069387837767680")</f>
        <v>922069387837767680</v>
      </c>
      <c r="F1585" s="10" t="s">
        <v>51</v>
      </c>
      <c r="G1585" s="10" t="n">
        <v>1841</v>
      </c>
      <c r="H1585" s="10" t="n">
        <v>2612</v>
      </c>
      <c r="I1585" s="10" t="n">
        <v>50</v>
      </c>
      <c r="J1585" s="10" t="n">
        <v>0</v>
      </c>
      <c r="K1585" s="10" t="s">
        <v>20</v>
      </c>
      <c r="L1585" s="11" t="n">
        <v>40684.2482291667</v>
      </c>
      <c r="M1585" s="12" t="s">
        <v>1473</v>
      </c>
      <c r="N1585" s="12" t="s">
        <v>4113</v>
      </c>
      <c r="O1585" s="9" t="str">
        <f aca="false">HYPERLINK("https://pbs.twimg.com/profile_images/794741689759907841/0XhGWrpk_normal.jpg","View")</f>
        <v>View</v>
      </c>
      <c r="P1585" s="10"/>
    </row>
    <row r="1586" customFormat="false" ht="15.75" hidden="false" customHeight="false" outlineLevel="0" collapsed="false">
      <c r="A1586" s="6" t="n">
        <v>43030.2065740741</v>
      </c>
      <c r="B1586" s="7" t="str">
        <f aca="false">HYPERLINK("https://twitter.com/CaseyBillX","@CaseyBillX")</f>
        <v>@CaseyBillX</v>
      </c>
      <c r="C1586" s="8" t="s">
        <v>2159</v>
      </c>
      <c r="D1586" s="8" t="s">
        <v>3971</v>
      </c>
      <c r="E1586" s="9" t="str">
        <f aca="false">HYPERLINK("https://twitter.com/CaseyBillX/status/922069389515489280","922069389515489280")</f>
        <v>922069389515489280</v>
      </c>
      <c r="F1586" s="10" t="s">
        <v>2160</v>
      </c>
      <c r="G1586" s="10" t="n">
        <v>2484</v>
      </c>
      <c r="H1586" s="10" t="n">
        <v>5001</v>
      </c>
      <c r="I1586" s="10" t="n">
        <v>24</v>
      </c>
      <c r="J1586" s="10" t="n">
        <v>0</v>
      </c>
      <c r="K1586" s="10" t="s">
        <v>20</v>
      </c>
      <c r="L1586" s="11" t="n">
        <v>42997.1530208333</v>
      </c>
      <c r="M1586" s="12"/>
      <c r="N1586" s="12"/>
      <c r="O1586" s="9" t="str">
        <f aca="false">HYPERLINK("https://pbs.twimg.com/profile_images/910103474003525633/_kzNa9NX_normal.jpg","View")</f>
        <v>View</v>
      </c>
      <c r="P1586" s="10"/>
    </row>
    <row r="1587" customFormat="false" ht="15.75" hidden="false" customHeight="false" outlineLevel="0" collapsed="false">
      <c r="A1587" s="6" t="n">
        <v>43030.2066319444</v>
      </c>
      <c r="B1587" s="7" t="str">
        <f aca="false">HYPERLINK("https://twitter.com/RichTVXAfrica","@RichTVXAfrica")</f>
        <v>@RichTVXAfrica</v>
      </c>
      <c r="C1587" s="8" t="s">
        <v>4114</v>
      </c>
      <c r="D1587" s="8" t="s">
        <v>4115</v>
      </c>
      <c r="E1587" s="9" t="str">
        <f aca="false">HYPERLINK("https://twitter.com/RichTVXAfrica/status/922069413146316800","922069413146316800")</f>
        <v>922069413146316800</v>
      </c>
      <c r="F1587" s="10" t="s">
        <v>60</v>
      </c>
      <c r="G1587" s="10" t="n">
        <v>220</v>
      </c>
      <c r="H1587" s="10" t="n">
        <v>82</v>
      </c>
      <c r="I1587" s="10" t="n">
        <v>0</v>
      </c>
      <c r="J1587" s="10" t="n">
        <v>0</v>
      </c>
      <c r="K1587" s="10" t="s">
        <v>20</v>
      </c>
      <c r="L1587" s="11" t="n">
        <v>42657.4452083333</v>
      </c>
      <c r="M1587" s="12" t="s">
        <v>1143</v>
      </c>
      <c r="N1587" s="12" t="s">
        <v>4116</v>
      </c>
      <c r="O1587" s="9" t="str">
        <f aca="false">HYPERLINK("https://pbs.twimg.com/profile_images/894669844775395328/khakXG3s_normal.jpg","View")</f>
        <v>View</v>
      </c>
      <c r="P1587" s="10"/>
    </row>
    <row r="1588" customFormat="false" ht="15.75" hidden="false" customHeight="false" outlineLevel="0" collapsed="false">
      <c r="A1588" s="6" t="n">
        <v>43030.2066666667</v>
      </c>
      <c r="B1588" s="7" t="str">
        <f aca="false">HYPERLINK("https://twitter.com/SuhaylaToma","@SuhaylaToma")</f>
        <v>@SuhaylaToma</v>
      </c>
      <c r="C1588" s="8" t="s">
        <v>4117</v>
      </c>
      <c r="D1588" s="8" t="s">
        <v>4118</v>
      </c>
      <c r="E1588" s="9" t="str">
        <f aca="false">HYPERLINK("https://twitter.com/SuhaylaToma/status/922069423120420864","922069423120420864")</f>
        <v>922069423120420864</v>
      </c>
      <c r="F1588" s="10" t="s">
        <v>60</v>
      </c>
      <c r="G1588" s="10" t="n">
        <v>17</v>
      </c>
      <c r="H1588" s="10" t="n">
        <v>66</v>
      </c>
      <c r="I1588" s="10" t="n">
        <v>0</v>
      </c>
      <c r="J1588" s="10" t="n">
        <v>0</v>
      </c>
      <c r="K1588" s="10" t="s">
        <v>20</v>
      </c>
      <c r="L1588" s="11" t="n">
        <v>41912.4827083333</v>
      </c>
      <c r="M1588" s="12"/>
      <c r="N1588" s="12"/>
      <c r="O1588" s="9" t="str">
        <f aca="false">HYPERLINK("https://pbs.twimg.com/profile_images/892710515348303872/MBnhZ2gH_normal.jpg","View")</f>
        <v>View</v>
      </c>
      <c r="P1588" s="10"/>
    </row>
    <row r="1589" customFormat="false" ht="15.75" hidden="false" customHeight="false" outlineLevel="0" collapsed="false">
      <c r="A1589" s="6" t="n">
        <v>43030.2067013889</v>
      </c>
      <c r="B1589" s="7" t="str">
        <f aca="false">HYPERLINK("https://twitter.com/varunvd","@varunvd")</f>
        <v>@varunvd</v>
      </c>
      <c r="C1589" s="8" t="s">
        <v>4119</v>
      </c>
      <c r="D1589" s="8" t="s">
        <v>4120</v>
      </c>
      <c r="E1589" s="9" t="str">
        <f aca="false">HYPERLINK("https://twitter.com/varunvd/status/922069436714057731","922069436714057731")</f>
        <v>922069436714057731</v>
      </c>
      <c r="F1589" s="10" t="s">
        <v>25</v>
      </c>
      <c r="G1589" s="10" t="n">
        <v>1473</v>
      </c>
      <c r="H1589" s="10" t="n">
        <v>5001</v>
      </c>
      <c r="I1589" s="10" t="n">
        <v>5</v>
      </c>
      <c r="J1589" s="10" t="n">
        <v>0</v>
      </c>
      <c r="K1589" s="10" t="s">
        <v>20</v>
      </c>
      <c r="L1589" s="11" t="n">
        <v>40059.147662037</v>
      </c>
      <c r="M1589" s="12" t="s">
        <v>4121</v>
      </c>
      <c r="N1589" s="12" t="s">
        <v>4122</v>
      </c>
      <c r="O1589" s="9" t="str">
        <f aca="false">HYPERLINK("https://pbs.twimg.com/profile_images/921410394958082049/7lSsVbzm_normal.jpg","View")</f>
        <v>View</v>
      </c>
      <c r="P1589" s="10"/>
    </row>
    <row r="1590" customFormat="false" ht="15.75" hidden="false" customHeight="false" outlineLevel="0" collapsed="false">
      <c r="A1590" s="6" t="n">
        <v>43030.2067592593</v>
      </c>
      <c r="B1590" s="7" t="str">
        <f aca="false">HYPERLINK("https://twitter.com/lacunalingua","@lacunalingua")</f>
        <v>@lacunalingua</v>
      </c>
      <c r="C1590" s="8" t="s">
        <v>4123</v>
      </c>
      <c r="D1590" s="8" t="s">
        <v>4124</v>
      </c>
      <c r="E1590" s="9" t="str">
        <f aca="false">HYPERLINK("https://twitter.com/lacunalingua/status/922069458679672832","922069458679672832")</f>
        <v>922069458679672832</v>
      </c>
      <c r="F1590" s="10" t="s">
        <v>177</v>
      </c>
      <c r="G1590" s="10" t="n">
        <v>1226</v>
      </c>
      <c r="H1590" s="10" t="n">
        <v>660</v>
      </c>
      <c r="I1590" s="10" t="n">
        <v>111</v>
      </c>
      <c r="J1590" s="10" t="n">
        <v>0</v>
      </c>
      <c r="K1590" s="10" t="s">
        <v>20</v>
      </c>
      <c r="L1590" s="11" t="n">
        <v>42202.6497800926</v>
      </c>
      <c r="M1590" s="12" t="s">
        <v>4125</v>
      </c>
      <c r="N1590" s="12" t="s">
        <v>4126</v>
      </c>
      <c r="O1590" s="9" t="str">
        <f aca="false">HYPERLINK("https://pbs.twimg.com/profile_images/805164712010874880/qeiy-oMY_normal.jpg","View")</f>
        <v>View</v>
      </c>
      <c r="P1590" s="10"/>
    </row>
    <row r="1591" customFormat="false" ht="15.75" hidden="false" customHeight="false" outlineLevel="0" collapsed="false">
      <c r="A1591" s="6" t="n">
        <v>43030.2067708333</v>
      </c>
      <c r="B1591" s="7" t="str">
        <f aca="false">HYPERLINK("https://twitter.com/rocket_rosie","@rocket_rosie")</f>
        <v>@rocket_rosie</v>
      </c>
      <c r="C1591" s="8" t="s">
        <v>4127</v>
      </c>
      <c r="D1591" s="8" t="s">
        <v>4124</v>
      </c>
      <c r="E1591" s="9" t="str">
        <f aca="false">HYPERLINK("https://twitter.com/rocket_rosie/status/922069461573783553","922069461573783553")</f>
        <v>922069461573783553</v>
      </c>
      <c r="F1591" s="10" t="s">
        <v>51</v>
      </c>
      <c r="G1591" s="10" t="n">
        <v>10985</v>
      </c>
      <c r="H1591" s="10" t="n">
        <v>11907</v>
      </c>
      <c r="I1591" s="10" t="n">
        <v>111</v>
      </c>
      <c r="J1591" s="10" t="n">
        <v>0</v>
      </c>
      <c r="K1591" s="10" t="s">
        <v>20</v>
      </c>
      <c r="L1591" s="11" t="n">
        <v>41965.4538657407</v>
      </c>
      <c r="M1591" s="12" t="s">
        <v>230</v>
      </c>
      <c r="N1591" s="12" t="s">
        <v>4128</v>
      </c>
      <c r="O1591" s="9" t="str">
        <f aca="false">HYPERLINK("https://pbs.twimg.com/profile_images/917897688980606977/r1OzlrjW_normal.jpg","View")</f>
        <v>View</v>
      </c>
      <c r="P1591" s="10"/>
    </row>
    <row r="1592" customFormat="false" ht="15.75" hidden="false" customHeight="false" outlineLevel="0" collapsed="false">
      <c r="A1592" s="6" t="n">
        <v>43030.2067824074</v>
      </c>
      <c r="B1592" s="7" t="str">
        <f aca="false">HYPERLINK("https://twitter.com/Seckin_Deniz","@Seckin_Deniz")</f>
        <v>@Seckin_Deniz</v>
      </c>
      <c r="C1592" s="8" t="s">
        <v>4129</v>
      </c>
      <c r="D1592" s="8" t="s">
        <v>4124</v>
      </c>
      <c r="E1592" s="9" t="str">
        <f aca="false">HYPERLINK("https://twitter.com/Seckin_Deniz/status/922069464220422144","922069464220422144")</f>
        <v>922069464220422144</v>
      </c>
      <c r="F1592" s="10" t="s">
        <v>39</v>
      </c>
      <c r="G1592" s="10" t="n">
        <v>3717</v>
      </c>
      <c r="H1592" s="10" t="n">
        <v>485</v>
      </c>
      <c r="I1592" s="10" t="n">
        <v>111</v>
      </c>
      <c r="J1592" s="10" t="n">
        <v>0</v>
      </c>
      <c r="K1592" s="10" t="s">
        <v>20</v>
      </c>
      <c r="L1592" s="11" t="n">
        <v>40146.4690046296</v>
      </c>
      <c r="M1592" s="12" t="s">
        <v>4130</v>
      </c>
      <c r="N1592" s="12" t="s">
        <v>4131</v>
      </c>
      <c r="O1592" s="9" t="str">
        <f aca="false">HYPERLINK("https://pbs.twimg.com/profile_images/541689363537465344/rPkY-9Dw_normal.jpeg","View")</f>
        <v>View</v>
      </c>
      <c r="P1592" s="10"/>
    </row>
    <row r="1593" customFormat="false" ht="15.75" hidden="false" customHeight="false" outlineLevel="0" collapsed="false">
      <c r="A1593" s="6" t="n">
        <v>43030.2068171296</v>
      </c>
      <c r="B1593" s="7" t="str">
        <f aca="false">HYPERLINK("https://twitter.com/penottawa","@penottawa")</f>
        <v>@penottawa</v>
      </c>
      <c r="C1593" s="8" t="s">
        <v>4132</v>
      </c>
      <c r="D1593" s="8" t="s">
        <v>4068</v>
      </c>
      <c r="E1593" s="9" t="str">
        <f aca="false">HYPERLINK("https://twitter.com/penottawa/status/922069477201551362","922069477201551362")</f>
        <v>922069477201551362</v>
      </c>
      <c r="F1593" s="10" t="s">
        <v>51</v>
      </c>
      <c r="G1593" s="10" t="n">
        <v>4201</v>
      </c>
      <c r="H1593" s="10" t="n">
        <v>3634</v>
      </c>
      <c r="I1593" s="10" t="n">
        <v>50</v>
      </c>
      <c r="J1593" s="10" t="n">
        <v>0</v>
      </c>
      <c r="K1593" s="10" t="s">
        <v>20</v>
      </c>
      <c r="L1593" s="11" t="n">
        <v>40625.5553009259</v>
      </c>
      <c r="M1593" s="12" t="s">
        <v>4133</v>
      </c>
      <c r="N1593" s="12" t="s">
        <v>4134</v>
      </c>
      <c r="O1593" s="9" t="str">
        <f aca="false">HYPERLINK("https://pbs.twimg.com/profile_images/764546746965909504/lY9E40Ka_normal.jpg","View")</f>
        <v>View</v>
      </c>
      <c r="P1593" s="10"/>
    </row>
    <row r="1594" customFormat="false" ht="15.75" hidden="false" customHeight="false" outlineLevel="0" collapsed="false">
      <c r="A1594" s="6" t="n">
        <v>43030.2068287037</v>
      </c>
      <c r="B1594" s="7" t="str">
        <f aca="false">HYPERLINK("https://twitter.com/yonosuke27","@yonosuke27")</f>
        <v>@yonosuke27</v>
      </c>
      <c r="C1594" s="14" t="s">
        <v>4135</v>
      </c>
      <c r="D1594" s="8" t="s">
        <v>4068</v>
      </c>
      <c r="E1594" s="9" t="str">
        <f aca="false">HYPERLINK("https://twitter.com/yonosuke27/status/922069483534954496","922069483534954496")</f>
        <v>922069483534954496</v>
      </c>
      <c r="F1594" s="10" t="s">
        <v>39</v>
      </c>
      <c r="G1594" s="10" t="n">
        <v>628</v>
      </c>
      <c r="H1594" s="10" t="n">
        <v>729</v>
      </c>
      <c r="I1594" s="10" t="n">
        <v>50</v>
      </c>
      <c r="J1594" s="10" t="n">
        <v>0</v>
      </c>
      <c r="K1594" s="10" t="s">
        <v>20</v>
      </c>
      <c r="L1594" s="11" t="n">
        <v>39996.5161111111</v>
      </c>
      <c r="M1594" s="13" t="s">
        <v>4136</v>
      </c>
      <c r="N1594" s="13" t="s">
        <v>4137</v>
      </c>
      <c r="O1594" s="9" t="str">
        <f aca="false">HYPERLINK("https://pbs.twimg.com/profile_images/816705371985219584/9Gi2dsiQ_normal.jpg","View")</f>
        <v>View</v>
      </c>
      <c r="P1594" s="10"/>
    </row>
    <row r="1595" customFormat="false" ht="15.75" hidden="false" customHeight="false" outlineLevel="0" collapsed="false">
      <c r="A1595" s="6" t="n">
        <v>43030.206875</v>
      </c>
      <c r="B1595" s="7" t="str">
        <f aca="false">HYPERLINK("https://twitter.com/calipette","@calipette")</f>
        <v>@calipette</v>
      </c>
      <c r="C1595" s="8" t="s">
        <v>4138</v>
      </c>
      <c r="D1595" s="8" t="s">
        <v>4124</v>
      </c>
      <c r="E1595" s="9" t="str">
        <f aca="false">HYPERLINK("https://twitter.com/calipette/status/922069500933169152","922069500933169152")</f>
        <v>922069500933169152</v>
      </c>
      <c r="F1595" s="10" t="s">
        <v>39</v>
      </c>
      <c r="G1595" s="10" t="n">
        <v>4061</v>
      </c>
      <c r="H1595" s="10" t="n">
        <v>3604</v>
      </c>
      <c r="I1595" s="10" t="n">
        <v>111</v>
      </c>
      <c r="J1595" s="10" t="n">
        <v>0</v>
      </c>
      <c r="K1595" s="10" t="s">
        <v>20</v>
      </c>
      <c r="L1595" s="11" t="n">
        <v>40517.9534490741</v>
      </c>
      <c r="M1595" s="12" t="s">
        <v>4139</v>
      </c>
      <c r="N1595" s="12" t="s">
        <v>4140</v>
      </c>
      <c r="O1595" s="9" t="str">
        <f aca="false">HYPERLINK("https://pbs.twimg.com/profile_images/1759740896/fofoca_normal.jpg","View")</f>
        <v>View</v>
      </c>
      <c r="P1595" s="10"/>
    </row>
    <row r="1596" customFormat="false" ht="15.75" hidden="false" customHeight="false" outlineLevel="0" collapsed="false">
      <c r="A1596" s="6" t="n">
        <v>43030.2068865741</v>
      </c>
      <c r="B1596" s="7" t="str">
        <f aca="false">HYPERLINK("https://twitter.com/M__Surono","@M__Surono")</f>
        <v>@M__Surono</v>
      </c>
      <c r="C1596" s="8" t="s">
        <v>4141</v>
      </c>
      <c r="D1596" s="8" t="s">
        <v>4068</v>
      </c>
      <c r="E1596" s="9" t="str">
        <f aca="false">HYPERLINK("https://twitter.com/M__Surono/status/922069502346510336","922069502346510336")</f>
        <v>922069502346510336</v>
      </c>
      <c r="F1596" s="10" t="s">
        <v>1024</v>
      </c>
      <c r="G1596" s="10" t="n">
        <v>365</v>
      </c>
      <c r="H1596" s="10" t="n">
        <v>484</v>
      </c>
      <c r="I1596" s="10" t="n">
        <v>50</v>
      </c>
      <c r="J1596" s="10" t="n">
        <v>0</v>
      </c>
      <c r="K1596" s="10" t="s">
        <v>20</v>
      </c>
      <c r="L1596" s="11" t="n">
        <v>41604.3103587963</v>
      </c>
      <c r="M1596" s="12" t="s">
        <v>4142</v>
      </c>
      <c r="N1596" s="12" t="s">
        <v>4143</v>
      </c>
      <c r="O1596" s="9" t="str">
        <f aca="false">HYPERLINK("https://pbs.twimg.com/profile_images/923951728130584576/pZ6Ff312_normal.jpg","View")</f>
        <v>View</v>
      </c>
      <c r="P1596" s="10"/>
    </row>
    <row r="1597" customFormat="false" ht="15.75" hidden="false" customHeight="false" outlineLevel="0" collapsed="false">
      <c r="A1597" s="6" t="n">
        <v>43030.2068865741</v>
      </c>
      <c r="B1597" s="7" t="str">
        <f aca="false">HYPERLINK("https://twitter.com/oJAKEt","@oJAKEt")</f>
        <v>@oJAKEt</v>
      </c>
      <c r="C1597" s="14" t="s">
        <v>4144</v>
      </c>
      <c r="D1597" s="8" t="s">
        <v>3971</v>
      </c>
      <c r="E1597" s="9" t="str">
        <f aca="false">HYPERLINK("https://twitter.com/oJAKEt/status/922069504796037120","922069504796037120")</f>
        <v>922069504796037120</v>
      </c>
      <c r="F1597" s="10" t="s">
        <v>51</v>
      </c>
      <c r="G1597" s="10" t="n">
        <v>1739</v>
      </c>
      <c r="H1597" s="10" t="n">
        <v>1305</v>
      </c>
      <c r="I1597" s="10" t="n">
        <v>24</v>
      </c>
      <c r="J1597" s="10" t="n">
        <v>0</v>
      </c>
      <c r="K1597" s="10" t="s">
        <v>20</v>
      </c>
      <c r="L1597" s="11" t="n">
        <v>40515.7126967593</v>
      </c>
      <c r="M1597" s="12"/>
      <c r="N1597" s="12"/>
      <c r="O1597" s="9" t="str">
        <f aca="false">HYPERLINK("https://pbs.twimg.com/profile_images/3329523499/0c2361213453dc8b7f4faa859c498de9_normal.png","View")</f>
        <v>View</v>
      </c>
      <c r="P1597" s="10"/>
    </row>
    <row r="1598" customFormat="false" ht="15.75" hidden="false" customHeight="false" outlineLevel="0" collapsed="false">
      <c r="A1598" s="6" t="n">
        <v>43030.2068981482</v>
      </c>
      <c r="B1598" s="7" t="str">
        <f aca="false">HYPERLINK("https://twitter.com/ChocolaRei","@ChocolaRei")</f>
        <v>@ChocolaRei</v>
      </c>
      <c r="C1598" s="8" t="s">
        <v>4145</v>
      </c>
      <c r="D1598" s="8" t="s">
        <v>4124</v>
      </c>
      <c r="E1598" s="9" t="str">
        <f aca="false">HYPERLINK("https://twitter.com/ChocolaRei/status/922069509409619968","922069509409619968")</f>
        <v>922069509409619968</v>
      </c>
      <c r="F1598" s="10" t="s">
        <v>51</v>
      </c>
      <c r="G1598" s="10" t="n">
        <v>146</v>
      </c>
      <c r="H1598" s="10" t="n">
        <v>440</v>
      </c>
      <c r="I1598" s="10" t="n">
        <v>111</v>
      </c>
      <c r="J1598" s="10" t="n">
        <v>0</v>
      </c>
      <c r="K1598" s="10" t="s">
        <v>20</v>
      </c>
      <c r="L1598" s="11" t="n">
        <v>42956.6448263889</v>
      </c>
      <c r="M1598" s="12"/>
      <c r="N1598" s="12"/>
      <c r="O1598" s="9" t="str">
        <f aca="false">HYPERLINK("https://pbs.twimg.com/profile_images/921902951626502146/P9S70wUo_normal.png","View")</f>
        <v>View</v>
      </c>
      <c r="P1598" s="10"/>
    </row>
    <row r="1599" customFormat="false" ht="15.75" hidden="false" customHeight="false" outlineLevel="0" collapsed="false">
      <c r="A1599" s="6" t="n">
        <v>43030.2069328704</v>
      </c>
      <c r="B1599" s="7" t="str">
        <f aca="false">HYPERLINK("https://twitter.com/yukiho_lap","@yukiho_lap")</f>
        <v>@yukiho_lap</v>
      </c>
      <c r="C1599" s="14" t="s">
        <v>4146</v>
      </c>
      <c r="D1599" s="8" t="s">
        <v>4124</v>
      </c>
      <c r="E1599" s="9" t="str">
        <f aca="false">HYPERLINK("https://twitter.com/yukiho_lap/status/922069520277127168","922069520277127168")</f>
        <v>922069520277127168</v>
      </c>
      <c r="F1599" s="10" t="s">
        <v>25</v>
      </c>
      <c r="G1599" s="10" t="n">
        <v>556</v>
      </c>
      <c r="H1599" s="10" t="n">
        <v>334</v>
      </c>
      <c r="I1599" s="10" t="n">
        <v>111</v>
      </c>
      <c r="J1599" s="10" t="n">
        <v>0</v>
      </c>
      <c r="K1599" s="10" t="s">
        <v>20</v>
      </c>
      <c r="L1599" s="11" t="n">
        <v>40705.1717476852</v>
      </c>
      <c r="M1599" s="12" t="s">
        <v>574</v>
      </c>
      <c r="N1599" s="12"/>
      <c r="O1599" s="9" t="str">
        <f aca="false">HYPERLINK("https://pbs.twimg.com/profile_images/866496179105693696/tv_jI5s7_normal.jpg","View")</f>
        <v>View</v>
      </c>
      <c r="P1599" s="10"/>
    </row>
    <row r="1600" customFormat="false" ht="15.75" hidden="false" customHeight="false" outlineLevel="0" collapsed="false">
      <c r="A1600" s="6" t="n">
        <v>43030.2069560185</v>
      </c>
      <c r="B1600" s="7" t="str">
        <f aca="false">HYPERLINK("https://twitter.com/gencerali63","@gencerali63")</f>
        <v>@gencerali63</v>
      </c>
      <c r="C1600" s="8" t="s">
        <v>4147</v>
      </c>
      <c r="D1600" s="8" t="s">
        <v>4124</v>
      </c>
      <c r="E1600" s="9" t="str">
        <f aca="false">HYPERLINK("https://twitter.com/gencerali63/status/922069528791732224","922069528791732224")</f>
        <v>922069528791732224</v>
      </c>
      <c r="F1600" s="10" t="s">
        <v>25</v>
      </c>
      <c r="G1600" s="10" t="n">
        <v>437</v>
      </c>
      <c r="H1600" s="10" t="n">
        <v>380</v>
      </c>
      <c r="I1600" s="10" t="n">
        <v>111</v>
      </c>
      <c r="J1600" s="10" t="n">
        <v>0</v>
      </c>
      <c r="K1600" s="10" t="s">
        <v>20</v>
      </c>
      <c r="L1600" s="11" t="n">
        <v>42816.0587962963</v>
      </c>
      <c r="M1600" s="12" t="s">
        <v>752</v>
      </c>
      <c r="N1600" s="12" t="s">
        <v>4148</v>
      </c>
      <c r="O1600" s="9" t="str">
        <f aca="false">HYPERLINK("https://pbs.twimg.com/profile_images/911999137633247232/igTMPD9L_normal.jpg","View")</f>
        <v>View</v>
      </c>
      <c r="P1600" s="10"/>
    </row>
    <row r="1601" customFormat="false" ht="15.75" hidden="false" customHeight="false" outlineLevel="0" collapsed="false">
      <c r="A1601" s="6" t="n">
        <v>43030.2069560185</v>
      </c>
      <c r="B1601" s="7" t="str">
        <f aca="false">HYPERLINK("https://twitter.com/ArgentinoAtte","@ArgentinoAtte")</f>
        <v>@ArgentinoAtte</v>
      </c>
      <c r="C1601" s="8" t="s">
        <v>4149</v>
      </c>
      <c r="D1601" s="8" t="s">
        <v>4068</v>
      </c>
      <c r="E1601" s="9" t="str">
        <f aca="false">HYPERLINK("https://twitter.com/ArgentinoAtte/status/922069530603646977","922069530603646977")</f>
        <v>922069530603646977</v>
      </c>
      <c r="F1601" s="10" t="s">
        <v>25</v>
      </c>
      <c r="G1601" s="10" t="n">
        <v>281</v>
      </c>
      <c r="H1601" s="10" t="n">
        <v>545</v>
      </c>
      <c r="I1601" s="10" t="n">
        <v>50</v>
      </c>
      <c r="J1601" s="10" t="n">
        <v>0</v>
      </c>
      <c r="K1601" s="10" t="s">
        <v>20</v>
      </c>
      <c r="L1601" s="11" t="n">
        <v>42170.5965972222</v>
      </c>
      <c r="M1601" s="12" t="s">
        <v>4150</v>
      </c>
      <c r="N1601" s="12" t="s">
        <v>4151</v>
      </c>
      <c r="O1601" s="9" t="str">
        <f aca="false">HYPERLINK("https://pbs.twimg.com/profile_images/885832450311671808/4idvGfzW_normal.jpg","View")</f>
        <v>View</v>
      </c>
      <c r="P1601" s="10"/>
    </row>
    <row r="1602" customFormat="false" ht="15.75" hidden="false" customHeight="false" outlineLevel="0" collapsed="false">
      <c r="A1602" s="6" t="n">
        <v>43030.2069675926</v>
      </c>
      <c r="B1602" s="7" t="str">
        <f aca="false">HYPERLINK("https://twitter.com/jshrmb","@jshrmb")</f>
        <v>@jshrmb</v>
      </c>
      <c r="C1602" s="8" t="s">
        <v>4152</v>
      </c>
      <c r="D1602" s="8" t="s">
        <v>4153</v>
      </c>
      <c r="E1602" s="9" t="str">
        <f aca="false">HYPERLINK("https://twitter.com/jshrmb/status/922069534122696704","922069534122696704")</f>
        <v>922069534122696704</v>
      </c>
      <c r="F1602" s="10" t="s">
        <v>60</v>
      </c>
      <c r="G1602" s="10" t="n">
        <v>326</v>
      </c>
      <c r="H1602" s="10" t="n">
        <v>340</v>
      </c>
      <c r="I1602" s="10" t="n">
        <v>0</v>
      </c>
      <c r="J1602" s="10" t="n">
        <v>0</v>
      </c>
      <c r="K1602" s="10" t="s">
        <v>20</v>
      </c>
      <c r="L1602" s="11" t="n">
        <v>42034.2651041667</v>
      </c>
      <c r="M1602" s="12" t="s">
        <v>2683</v>
      </c>
      <c r="N1602" s="12" t="s">
        <v>4154</v>
      </c>
      <c r="O1602" s="9" t="str">
        <f aca="false">HYPERLINK("https://pbs.twimg.com/profile_images/719999207478857728/VEJZduB6_normal.jpg","View")</f>
        <v>View</v>
      </c>
      <c r="P1602" s="10"/>
    </row>
    <row r="1603" customFormat="false" ht="15.75" hidden="false" customHeight="false" outlineLevel="0" collapsed="false">
      <c r="A1603" s="6" t="n">
        <v>43030.2070023148</v>
      </c>
      <c r="B1603" s="7" t="str">
        <f aca="false">HYPERLINK("https://twitter.com/guptarohit93","@guptarohit93")</f>
        <v>@guptarohit93</v>
      </c>
      <c r="C1603" s="8" t="s">
        <v>4155</v>
      </c>
      <c r="D1603" s="8" t="s">
        <v>4068</v>
      </c>
      <c r="E1603" s="9" t="str">
        <f aca="false">HYPERLINK("https://twitter.com/guptarohit93/status/922069544356548609","922069544356548609")</f>
        <v>922069544356548609</v>
      </c>
      <c r="F1603" s="10" t="s">
        <v>51</v>
      </c>
      <c r="G1603" s="10" t="n">
        <v>1492</v>
      </c>
      <c r="H1603" s="10" t="n">
        <v>2590</v>
      </c>
      <c r="I1603" s="10" t="n">
        <v>50</v>
      </c>
      <c r="J1603" s="10" t="n">
        <v>0</v>
      </c>
      <c r="K1603" s="10" t="s">
        <v>20</v>
      </c>
      <c r="L1603" s="11" t="n">
        <v>41133.3596412037</v>
      </c>
      <c r="M1603" s="12"/>
      <c r="N1603" s="12" t="s">
        <v>4156</v>
      </c>
      <c r="O1603" s="9" t="str">
        <f aca="false">HYPERLINK("https://pbs.twimg.com/profile_images/595547194687553536/UQk24qUE_normal.jpg","View")</f>
        <v>View</v>
      </c>
      <c r="P1603" s="10"/>
    </row>
    <row r="1604" customFormat="false" ht="15.75" hidden="false" customHeight="false" outlineLevel="0" collapsed="false">
      <c r="A1604" s="6" t="n">
        <v>43030.2070601852</v>
      </c>
      <c r="B1604" s="7" t="str">
        <f aca="false">HYPERLINK("https://twitter.com/gracos5","@gracos5")</f>
        <v>@gracos5</v>
      </c>
      <c r="C1604" s="8" t="s">
        <v>4157</v>
      </c>
      <c r="D1604" s="8" t="s">
        <v>4158</v>
      </c>
      <c r="E1604" s="9" t="str">
        <f aca="false">HYPERLINK("https://twitter.com/gracos5/status/922069565118365696","922069565118365696")</f>
        <v>922069565118365696</v>
      </c>
      <c r="F1604" s="10" t="s">
        <v>1643</v>
      </c>
      <c r="G1604" s="10" t="n">
        <v>435</v>
      </c>
      <c r="H1604" s="10" t="n">
        <v>571</v>
      </c>
      <c r="I1604" s="10" t="n">
        <v>0</v>
      </c>
      <c r="J1604" s="10" t="n">
        <v>0</v>
      </c>
      <c r="K1604" s="10" t="s">
        <v>20</v>
      </c>
      <c r="L1604" s="11" t="n">
        <v>40071.8531597222</v>
      </c>
      <c r="M1604" s="12" t="s">
        <v>574</v>
      </c>
      <c r="N1604" s="12" t="s">
        <v>4159</v>
      </c>
      <c r="O1604" s="9" t="str">
        <f aca="false">HYPERLINK("https://pbs.twimg.com/profile_images/476746143116697601/ZZsqm3oH_normal.jpeg","View")</f>
        <v>View</v>
      </c>
      <c r="P1604" s="10"/>
    </row>
    <row r="1605" customFormat="false" ht="15.75" hidden="false" customHeight="false" outlineLevel="0" collapsed="false">
      <c r="A1605" s="6" t="n">
        <v>43030.2070833333</v>
      </c>
      <c r="B1605" s="7" t="str">
        <f aca="false">HYPERLINK("https://twitter.com/Sngso","@Sngso")</f>
        <v>@Sngso</v>
      </c>
      <c r="C1605" s="14" t="s">
        <v>4160</v>
      </c>
      <c r="D1605" s="8" t="s">
        <v>4124</v>
      </c>
      <c r="E1605" s="9" t="str">
        <f aca="false">HYPERLINK("https://twitter.com/Sngso/status/922069576380121089","922069576380121089")</f>
        <v>922069576380121089</v>
      </c>
      <c r="F1605" s="10" t="s">
        <v>51</v>
      </c>
      <c r="G1605" s="10" t="n">
        <v>600</v>
      </c>
      <c r="H1605" s="10" t="n">
        <v>1009</v>
      </c>
      <c r="I1605" s="10" t="n">
        <v>111</v>
      </c>
      <c r="J1605" s="10" t="n">
        <v>0</v>
      </c>
      <c r="K1605" s="10" t="s">
        <v>20</v>
      </c>
      <c r="L1605" s="11" t="n">
        <v>40018.8199305556</v>
      </c>
      <c r="M1605" s="12" t="s">
        <v>4161</v>
      </c>
      <c r="N1605" s="13" t="s">
        <v>4162</v>
      </c>
      <c r="O1605" s="9" t="str">
        <f aca="false">HYPERLINK("https://pbs.twimg.com/profile_images/737292527850553345/7DUAe1lu_normal.jpg","View")</f>
        <v>View</v>
      </c>
      <c r="P1605" s="10"/>
    </row>
    <row r="1606" customFormat="false" ht="15.75" hidden="false" customHeight="false" outlineLevel="0" collapsed="false">
      <c r="A1606" s="6" t="n">
        <v>43030.2070949074</v>
      </c>
      <c r="B1606" s="7" t="str">
        <f aca="false">HYPERLINK("https://twitter.com/rhystaylor77","@rhystaylor77")</f>
        <v>@rhystaylor77</v>
      </c>
      <c r="C1606" s="8" t="s">
        <v>4163</v>
      </c>
      <c r="D1606" s="8" t="s">
        <v>4164</v>
      </c>
      <c r="E1606" s="9" t="str">
        <f aca="false">HYPERLINK("https://twitter.com/rhystaylor77/status/922069577202307072","922069577202307072")</f>
        <v>922069577202307072</v>
      </c>
      <c r="F1606" s="10" t="s">
        <v>60</v>
      </c>
      <c r="G1606" s="10" t="n">
        <v>519</v>
      </c>
      <c r="H1606" s="10" t="n">
        <v>2197</v>
      </c>
      <c r="I1606" s="10" t="n">
        <v>0</v>
      </c>
      <c r="J1606" s="10" t="n">
        <v>0</v>
      </c>
      <c r="K1606" s="10" t="s">
        <v>20</v>
      </c>
      <c r="L1606" s="11" t="n">
        <v>39920.6496990741</v>
      </c>
      <c r="M1606" s="12" t="s">
        <v>4165</v>
      </c>
      <c r="N1606" s="12"/>
      <c r="O1606" s="9" t="str">
        <f aca="false">HYPERLINK("https://pbs.twimg.com/profile_images/855052289882472453/G0ekrOqI_normal.jpg","View")</f>
        <v>View</v>
      </c>
      <c r="P1606" s="10"/>
    </row>
    <row r="1607" customFormat="false" ht="15.75" hidden="false" customHeight="false" outlineLevel="0" collapsed="false">
      <c r="A1607" s="6" t="n">
        <v>43030.2071296296</v>
      </c>
      <c r="B1607" s="7" t="str">
        <f aca="false">HYPERLINK("https://twitter.com/importantnews6","@importantnews6")</f>
        <v>@importantnews6</v>
      </c>
      <c r="C1607" s="8" t="s">
        <v>4166</v>
      </c>
      <c r="D1607" s="8" t="s">
        <v>4167</v>
      </c>
      <c r="E1607" s="9" t="str">
        <f aca="false">HYPERLINK("https://twitter.com/importantnews6/status/922069589818830848","922069589818830848")</f>
        <v>922069589818830848</v>
      </c>
      <c r="F1607" s="10" t="s">
        <v>60</v>
      </c>
      <c r="G1607" s="10" t="n">
        <v>1632</v>
      </c>
      <c r="H1607" s="10" t="n">
        <v>144</v>
      </c>
      <c r="I1607" s="10" t="n">
        <v>0</v>
      </c>
      <c r="J1607" s="10" t="n">
        <v>0</v>
      </c>
      <c r="K1607" s="10" t="s">
        <v>20</v>
      </c>
      <c r="L1607" s="11" t="n">
        <v>42327.6607175926</v>
      </c>
      <c r="M1607" s="12"/>
      <c r="N1607" s="12" t="s">
        <v>4168</v>
      </c>
      <c r="O1607" s="9" t="str">
        <f aca="false">HYPERLINK("https://pbs.twimg.com/profile_images/667490617191235584/eKUwl5ge_normal.jpg","View")</f>
        <v>View</v>
      </c>
      <c r="P1607" s="10"/>
    </row>
    <row r="1608" customFormat="false" ht="15.75" hidden="false" customHeight="false" outlineLevel="0" collapsed="false">
      <c r="A1608" s="6" t="n">
        <v>43030.2071527778</v>
      </c>
      <c r="B1608" s="7" t="str">
        <f aca="false">HYPERLINK("https://twitter.com/justblegit","@justblegit")</f>
        <v>@justblegit</v>
      </c>
      <c r="C1608" s="8" t="s">
        <v>4169</v>
      </c>
      <c r="D1608" s="8" t="s">
        <v>4068</v>
      </c>
      <c r="E1608" s="9" t="str">
        <f aca="false">HYPERLINK("https://twitter.com/justblegit/status/922069598740021248","922069598740021248")</f>
        <v>922069598740021248</v>
      </c>
      <c r="F1608" s="10" t="s">
        <v>51</v>
      </c>
      <c r="G1608" s="10" t="n">
        <v>666</v>
      </c>
      <c r="H1608" s="10" t="n">
        <v>935</v>
      </c>
      <c r="I1608" s="10" t="n">
        <v>50</v>
      </c>
      <c r="J1608" s="10" t="n">
        <v>0</v>
      </c>
      <c r="K1608" s="10" t="s">
        <v>20</v>
      </c>
      <c r="L1608" s="11" t="n">
        <v>40858.7482523148</v>
      </c>
      <c r="M1608" s="12" t="s">
        <v>4170</v>
      </c>
      <c r="N1608" s="12" t="s">
        <v>4171</v>
      </c>
      <c r="O1608" s="9" t="str">
        <f aca="false">HYPERLINK("https://pbs.twimg.com/profile_images/654145781465788416/VyOeKv3h_normal.png","View")</f>
        <v>View</v>
      </c>
      <c r="P1608" s="10"/>
    </row>
    <row r="1609" customFormat="false" ht="15.75" hidden="false" customHeight="false" outlineLevel="0" collapsed="false">
      <c r="A1609" s="6" t="n">
        <v>43030.2071643519</v>
      </c>
      <c r="B1609" s="7" t="str">
        <f aca="false">HYPERLINK("https://twitter.com/marcelomoina12","@marcelomoina12")</f>
        <v>@marcelomoina12</v>
      </c>
      <c r="C1609" s="8" t="s">
        <v>4172</v>
      </c>
      <c r="D1609" s="8" t="s">
        <v>4173</v>
      </c>
      <c r="E1609" s="9" t="str">
        <f aca="false">HYPERLINK("https://twitter.com/marcelomoina12/status/922069604700127233","922069604700127233")</f>
        <v>922069604700127233</v>
      </c>
      <c r="F1609" s="10" t="s">
        <v>60</v>
      </c>
      <c r="G1609" s="10" t="n">
        <v>199</v>
      </c>
      <c r="H1609" s="10" t="n">
        <v>133</v>
      </c>
      <c r="I1609" s="10" t="n">
        <v>0</v>
      </c>
      <c r="J1609" s="10" t="n">
        <v>0</v>
      </c>
      <c r="K1609" s="10" t="s">
        <v>20</v>
      </c>
      <c r="L1609" s="11" t="n">
        <v>42226.5450347222</v>
      </c>
      <c r="M1609" s="12"/>
      <c r="N1609" s="12" t="s">
        <v>4174</v>
      </c>
      <c r="O1609" s="9" t="str">
        <f aca="false">HYPERLINK("https://pbs.twimg.com/profile_images/923956568592408577/TOzax6IX_normal.jpg","View")</f>
        <v>View</v>
      </c>
      <c r="P1609" s="10"/>
    </row>
    <row r="1610" customFormat="false" ht="15.75" hidden="false" customHeight="false" outlineLevel="0" collapsed="false">
      <c r="A1610" s="6" t="n">
        <v>43030.2071643519</v>
      </c>
      <c r="B1610" s="7" t="str">
        <f aca="false">HYPERLINK("https://twitter.com/Mr_AlVil","@Mr_AlVil")</f>
        <v>@Mr_AlVil</v>
      </c>
      <c r="C1610" s="8" t="s">
        <v>392</v>
      </c>
      <c r="D1610" s="8" t="s">
        <v>4175</v>
      </c>
      <c r="E1610" s="9" t="str">
        <f aca="false">HYPERLINK("https://twitter.com/Mr_AlVil/status/922069606042304513","922069606042304513")</f>
        <v>922069606042304513</v>
      </c>
      <c r="F1610" s="10" t="s">
        <v>60</v>
      </c>
      <c r="G1610" s="10" t="n">
        <v>353</v>
      </c>
      <c r="H1610" s="10" t="n">
        <v>51</v>
      </c>
      <c r="I1610" s="10" t="n">
        <v>0</v>
      </c>
      <c r="J1610" s="10" t="n">
        <v>0</v>
      </c>
      <c r="K1610" s="10" t="s">
        <v>20</v>
      </c>
      <c r="L1610" s="11" t="n">
        <v>40205.5345486111</v>
      </c>
      <c r="M1610" s="12" t="s">
        <v>394</v>
      </c>
      <c r="N1610" s="12" t="s">
        <v>395</v>
      </c>
      <c r="O1610" s="9" t="str">
        <f aca="false">HYPERLINK("https://pbs.twimg.com/profile_images/857577668967108609/KAXMKfpy_normal.jpg","View")</f>
        <v>View</v>
      </c>
      <c r="P1610" s="10"/>
    </row>
    <row r="1611" customFormat="false" ht="15.75" hidden="false" customHeight="false" outlineLevel="0" collapsed="false">
      <c r="A1611" s="6" t="n">
        <v>43030.2072106482</v>
      </c>
      <c r="B1611" s="7" t="str">
        <f aca="false">HYPERLINK("https://twitter.com/gorosuke7","@gorosuke7")</f>
        <v>@gorosuke7</v>
      </c>
      <c r="C1611" s="8" t="s">
        <v>4176</v>
      </c>
      <c r="D1611" s="8" t="s">
        <v>4177</v>
      </c>
      <c r="E1611" s="9" t="str">
        <f aca="false">HYPERLINK("https://twitter.com/gorosuke7/status/922069621594718209","922069621594718209")</f>
        <v>922069621594718209</v>
      </c>
      <c r="F1611" s="10" t="s">
        <v>51</v>
      </c>
      <c r="G1611" s="10" t="n">
        <v>318</v>
      </c>
      <c r="H1611" s="10" t="n">
        <v>311</v>
      </c>
      <c r="I1611" s="10" t="n">
        <v>0</v>
      </c>
      <c r="J1611" s="10" t="n">
        <v>0</v>
      </c>
      <c r="K1611" s="10" t="s">
        <v>20</v>
      </c>
      <c r="L1611" s="11" t="n">
        <v>40185.8083333333</v>
      </c>
      <c r="M1611" s="13" t="s">
        <v>4178</v>
      </c>
      <c r="N1611" s="13" t="s">
        <v>4179</v>
      </c>
      <c r="O1611" s="9" t="str">
        <f aca="false">HYPERLINK("https://pbs.twimg.com/profile_images/914841929162014721/xL4eKt6C_normal.jpg","View")</f>
        <v>View</v>
      </c>
      <c r="P1611" s="10"/>
    </row>
    <row r="1612" customFormat="false" ht="15.75" hidden="false" customHeight="false" outlineLevel="0" collapsed="false">
      <c r="A1612" s="6" t="n">
        <v>43030.2072106482</v>
      </c>
      <c r="B1612" s="7" t="str">
        <f aca="false">HYPERLINK("https://twitter.com/NewsDaily112","@NewsDaily112")</f>
        <v>@NewsDaily112</v>
      </c>
      <c r="C1612" s="8" t="s">
        <v>4180</v>
      </c>
      <c r="D1612" s="8" t="s">
        <v>4181</v>
      </c>
      <c r="E1612" s="9" t="str">
        <f aca="false">HYPERLINK("https://twitter.com/NewsDaily112/status/922069622001725440","922069622001725440")</f>
        <v>922069622001725440</v>
      </c>
      <c r="F1612" s="10" t="s">
        <v>60</v>
      </c>
      <c r="G1612" s="10" t="n">
        <v>24</v>
      </c>
      <c r="H1612" s="10" t="n">
        <v>0</v>
      </c>
      <c r="I1612" s="10" t="n">
        <v>0</v>
      </c>
      <c r="J1612" s="10" t="n">
        <v>0</v>
      </c>
      <c r="K1612" s="10" t="s">
        <v>20</v>
      </c>
      <c r="L1612" s="11" t="n">
        <v>42885.7611805556</v>
      </c>
      <c r="M1612" s="12"/>
      <c r="N1612" s="12"/>
      <c r="O1612" s="9" t="str">
        <f aca="false">HYPERLINK("https://pbs.twimg.com/profile_images/869726157532307456/w9phQgUJ_normal.jpg","View")</f>
        <v>View</v>
      </c>
      <c r="P1612" s="10"/>
    </row>
    <row r="1613" customFormat="false" ht="15.75" hidden="false" customHeight="false" outlineLevel="0" collapsed="false">
      <c r="A1613" s="6" t="n">
        <v>43030.2072569444</v>
      </c>
      <c r="B1613" s="7" t="str">
        <f aca="false">HYPERLINK("https://twitter.com/budrowb3","@budrowb3")</f>
        <v>@budrowb3</v>
      </c>
      <c r="C1613" s="8" t="s">
        <v>4182</v>
      </c>
      <c r="D1613" s="8" t="s">
        <v>4183</v>
      </c>
      <c r="E1613" s="9" t="str">
        <f aca="false">HYPERLINK("https://twitter.com/budrowb3/status/922069636740534275","922069636740534275")</f>
        <v>922069636740534275</v>
      </c>
      <c r="F1613" s="10" t="s">
        <v>60</v>
      </c>
      <c r="G1613" s="10" t="n">
        <v>192</v>
      </c>
      <c r="H1613" s="10" t="n">
        <v>36</v>
      </c>
      <c r="I1613" s="10" t="n">
        <v>0</v>
      </c>
      <c r="J1613" s="10" t="n">
        <v>0</v>
      </c>
      <c r="K1613" s="10" t="s">
        <v>20</v>
      </c>
      <c r="L1613" s="11" t="n">
        <v>42416.2888773148</v>
      </c>
      <c r="M1613" s="17" t="s">
        <v>4184</v>
      </c>
      <c r="N1613" s="12" t="s">
        <v>4185</v>
      </c>
      <c r="O1613" s="9" t="str">
        <f aca="false">HYPERLINK("https://pbs.twimg.com/profile_images/881999851206176768/AR6jO4SI_normal.jpg","View")</f>
        <v>View</v>
      </c>
      <c r="P1613" s="10"/>
    </row>
    <row r="1614" customFormat="false" ht="15.75" hidden="false" customHeight="false" outlineLevel="0" collapsed="false">
      <c r="A1614" s="6" t="n">
        <v>43030.207349537</v>
      </c>
      <c r="B1614" s="7" t="str">
        <f aca="false">HYPERLINK("https://twitter.com/bori_so1","@bori_so1")</f>
        <v>@bori_so1</v>
      </c>
      <c r="C1614" s="14" t="s">
        <v>4186</v>
      </c>
      <c r="D1614" s="8" t="s">
        <v>4068</v>
      </c>
      <c r="E1614" s="9" t="str">
        <f aca="false">HYPERLINK("https://twitter.com/bori_so1/status/922069670173097984","922069670173097984")</f>
        <v>922069670173097984</v>
      </c>
      <c r="F1614" s="10" t="s">
        <v>25</v>
      </c>
      <c r="G1614" s="10" t="n">
        <v>2470</v>
      </c>
      <c r="H1614" s="10" t="n">
        <v>4999</v>
      </c>
      <c r="I1614" s="10" t="n">
        <v>50</v>
      </c>
      <c r="J1614" s="10" t="n">
        <v>0</v>
      </c>
      <c r="K1614" s="10" t="s">
        <v>20</v>
      </c>
      <c r="L1614" s="11" t="n">
        <v>40136.2360185185</v>
      </c>
      <c r="M1614" s="13" t="s">
        <v>4187</v>
      </c>
      <c r="N1614" s="13" t="s">
        <v>4188</v>
      </c>
      <c r="O1614" s="9" t="str">
        <f aca="false">HYPERLINK("https://pbs.twimg.com/profile_images/880962830660321280/cSzyqlI2_normal.jpg","View")</f>
        <v>View</v>
      </c>
      <c r="P1614" s="10"/>
    </row>
    <row r="1615" customFormat="false" ht="15.75" hidden="false" customHeight="false" outlineLevel="0" collapsed="false">
      <c r="A1615" s="6" t="n">
        <v>43030.2073842593</v>
      </c>
      <c r="B1615" s="7" t="str">
        <f aca="false">HYPERLINK("https://twitter.com/via_starmoon","@via_starmoon")</f>
        <v>@via_starmoon</v>
      </c>
      <c r="C1615" s="14" t="s">
        <v>4189</v>
      </c>
      <c r="D1615" s="8" t="s">
        <v>3991</v>
      </c>
      <c r="E1615" s="9" t="str">
        <f aca="false">HYPERLINK("https://twitter.com/via_starmoon/status/922069684064632833","922069684064632833")</f>
        <v>922069684064632833</v>
      </c>
      <c r="F1615" s="10" t="s">
        <v>25</v>
      </c>
      <c r="G1615" s="10" t="n">
        <v>919</v>
      </c>
      <c r="H1615" s="10" t="n">
        <v>910</v>
      </c>
      <c r="I1615" s="10" t="n">
        <v>17</v>
      </c>
      <c r="J1615" s="10" t="n">
        <v>0</v>
      </c>
      <c r="K1615" s="10" t="s">
        <v>20</v>
      </c>
      <c r="L1615" s="11" t="n">
        <v>41401.8798842593</v>
      </c>
      <c r="M1615" s="12"/>
      <c r="N1615" s="13" t="s">
        <v>4190</v>
      </c>
      <c r="O1615" s="9" t="str">
        <f aca="false">HYPERLINK("https://pbs.twimg.com/profile_images/846635332715999232/4HijSV1W_normal.jpg","View")</f>
        <v>View</v>
      </c>
      <c r="P1615" s="10"/>
    </row>
    <row r="1616" customFormat="false" ht="15.75" hidden="false" customHeight="false" outlineLevel="0" collapsed="false">
      <c r="A1616" s="6" t="n">
        <v>43030.2073958333</v>
      </c>
      <c r="B1616" s="7" t="str">
        <f aca="false">HYPERLINK("https://twitter.com/sophia999999970","@sophia999999970")</f>
        <v>@sophia999999970</v>
      </c>
      <c r="C1616" s="8" t="s">
        <v>4191</v>
      </c>
      <c r="D1616" s="8" t="s">
        <v>4124</v>
      </c>
      <c r="E1616" s="9" t="str">
        <f aca="false">HYPERLINK("https://twitter.com/sophia999999970/status/922069687835410432","922069687835410432")</f>
        <v>922069687835410432</v>
      </c>
      <c r="F1616" s="10" t="s">
        <v>51</v>
      </c>
      <c r="G1616" s="10" t="n">
        <v>770</v>
      </c>
      <c r="H1616" s="10" t="n">
        <v>236</v>
      </c>
      <c r="I1616" s="10" t="n">
        <v>111</v>
      </c>
      <c r="J1616" s="10" t="n">
        <v>0</v>
      </c>
      <c r="K1616" s="10" t="s">
        <v>20</v>
      </c>
      <c r="L1616" s="11" t="n">
        <v>42929.9415740741</v>
      </c>
      <c r="M1616" s="12" t="s">
        <v>4192</v>
      </c>
      <c r="N1616" s="12" t="s">
        <v>4193</v>
      </c>
      <c r="O1616" s="9" t="str">
        <f aca="false">HYPERLINK("https://pbs.twimg.com/profile_images/923846434960449536/5rPH0_2p_normal.jpg","View")</f>
        <v>View</v>
      </c>
      <c r="P1616" s="10"/>
    </row>
    <row r="1617" customFormat="false" ht="15.75" hidden="false" customHeight="false" outlineLevel="0" collapsed="false">
      <c r="A1617" s="6" t="n">
        <v>43030.2073958333</v>
      </c>
      <c r="B1617" s="7" t="str">
        <f aca="false">HYPERLINK("https://twitter.com/lucaspinelli94","@lucaspinelli94")</f>
        <v>@lucaspinelli94</v>
      </c>
      <c r="C1617" s="8" t="s">
        <v>4004</v>
      </c>
      <c r="D1617" s="8" t="s">
        <v>4194</v>
      </c>
      <c r="E1617" s="9" t="str">
        <f aca="false">HYPERLINK("https://twitter.com/lucaspinelli94/status/922069689844543488","922069689844543488")</f>
        <v>922069689844543488</v>
      </c>
      <c r="F1617" s="10" t="s">
        <v>60</v>
      </c>
      <c r="G1617" s="10" t="n">
        <v>12902</v>
      </c>
      <c r="H1617" s="10" t="n">
        <v>175</v>
      </c>
      <c r="I1617" s="10" t="n">
        <v>0</v>
      </c>
      <c r="J1617" s="10" t="n">
        <v>0</v>
      </c>
      <c r="K1617" s="10" t="s">
        <v>20</v>
      </c>
      <c r="L1617" s="11" t="n">
        <v>41591.4998611111</v>
      </c>
      <c r="M1617" s="12" t="s">
        <v>4006</v>
      </c>
      <c r="N1617" s="12" t="s">
        <v>4007</v>
      </c>
      <c r="O1617" s="9" t="str">
        <f aca="false">HYPERLINK("https://pbs.twimg.com/profile_images/893406357780656128/Yqn5M-vG_normal.jpg","View")</f>
        <v>View</v>
      </c>
      <c r="P1617" s="10"/>
    </row>
    <row r="1618" customFormat="false" ht="15.75" hidden="false" customHeight="false" outlineLevel="0" collapsed="false">
      <c r="A1618" s="6" t="n">
        <v>43030.2074074074</v>
      </c>
      <c r="B1618" s="7" t="str">
        <f aca="false">HYPERLINK("https://twitter.com/ApiAshraf","@ApiAshraf")</f>
        <v>@ApiAshraf</v>
      </c>
      <c r="C1618" s="8" t="s">
        <v>4195</v>
      </c>
      <c r="D1618" s="8" t="s">
        <v>4196</v>
      </c>
      <c r="E1618" s="9" t="str">
        <f aca="false">HYPERLINK("https://twitter.com/ApiAshraf/status/922069693707452416","922069693707452416")</f>
        <v>922069693707452416</v>
      </c>
      <c r="F1618" s="10" t="s">
        <v>60</v>
      </c>
      <c r="G1618" s="10" t="n">
        <v>199</v>
      </c>
      <c r="H1618" s="10" t="n">
        <v>182</v>
      </c>
      <c r="I1618" s="10" t="n">
        <v>0</v>
      </c>
      <c r="J1618" s="10" t="n">
        <v>0</v>
      </c>
      <c r="K1618" s="10" t="s">
        <v>20</v>
      </c>
      <c r="L1618" s="11" t="n">
        <v>42714.9553587963</v>
      </c>
      <c r="M1618" s="12" t="s">
        <v>4197</v>
      </c>
      <c r="N1618" s="12" t="s">
        <v>4198</v>
      </c>
      <c r="O1618" s="9" t="str">
        <f aca="false">HYPERLINK("https://pbs.twimg.com/profile_images/807844938394177536/xbXLEoYP_normal.jpg","View")</f>
        <v>View</v>
      </c>
      <c r="P1618" s="10"/>
    </row>
    <row r="1619" customFormat="false" ht="15.75" hidden="false" customHeight="false" outlineLevel="0" collapsed="false">
      <c r="A1619" s="6" t="n">
        <v>43030.2074189815</v>
      </c>
      <c r="B1619" s="7" t="str">
        <f aca="false">HYPERLINK("https://twitter.com/UmarGee00","@UmarGee00")</f>
        <v>@UmarGee00</v>
      </c>
      <c r="C1619" s="8" t="s">
        <v>4199</v>
      </c>
      <c r="D1619" s="8" t="s">
        <v>3971</v>
      </c>
      <c r="E1619" s="9" t="str">
        <f aca="false">HYPERLINK("https://twitter.com/UmarGee00/status/922069696375123968","922069696375123968")</f>
        <v>922069696375123968</v>
      </c>
      <c r="F1619" s="10" t="s">
        <v>25</v>
      </c>
      <c r="G1619" s="10" t="n">
        <v>59</v>
      </c>
      <c r="H1619" s="10" t="n">
        <v>69</v>
      </c>
      <c r="I1619" s="10" t="n">
        <v>24</v>
      </c>
      <c r="J1619" s="10" t="n">
        <v>0</v>
      </c>
      <c r="K1619" s="10" t="s">
        <v>20</v>
      </c>
      <c r="L1619" s="11" t="n">
        <v>42958.2073148148</v>
      </c>
      <c r="M1619" s="12" t="s">
        <v>3474</v>
      </c>
      <c r="N1619" s="12"/>
      <c r="O1619" s="9" t="str">
        <f aca="false">HYPERLINK("https://pbs.twimg.com/profile_images/896112934681665536/NEydbw-v_normal.jpg","View")</f>
        <v>View</v>
      </c>
      <c r="P1619" s="10"/>
    </row>
    <row r="1620" customFormat="false" ht="15.75" hidden="false" customHeight="false" outlineLevel="0" collapsed="false">
      <c r="A1620" s="6" t="n">
        <v>43030.2074768519</v>
      </c>
      <c r="B1620" s="7" t="str">
        <f aca="false">HYPERLINK("https://twitter.com/RichTVXMENA","@RichTVXMENA")</f>
        <v>@RichTVXMENA</v>
      </c>
      <c r="C1620" s="8" t="s">
        <v>4200</v>
      </c>
      <c r="D1620" s="8" t="s">
        <v>4201</v>
      </c>
      <c r="E1620" s="9" t="str">
        <f aca="false">HYPERLINK("https://twitter.com/RichTVXMENA/status/922069718667812864","922069718667812864")</f>
        <v>922069718667812864</v>
      </c>
      <c r="F1620" s="10" t="s">
        <v>60</v>
      </c>
      <c r="G1620" s="10" t="n">
        <v>122</v>
      </c>
      <c r="H1620" s="10" t="n">
        <v>64</v>
      </c>
      <c r="I1620" s="10" t="n">
        <v>0</v>
      </c>
      <c r="J1620" s="10" t="n">
        <v>0</v>
      </c>
      <c r="K1620" s="10" t="s">
        <v>20</v>
      </c>
      <c r="L1620" s="11" t="n">
        <v>42646.3893634259</v>
      </c>
      <c r="M1620" s="12" t="s">
        <v>1143</v>
      </c>
      <c r="N1620" s="12" t="s">
        <v>4202</v>
      </c>
      <c r="O1620" s="9" t="str">
        <f aca="false">HYPERLINK("https://pbs.twimg.com/profile_images/887044232761966592/VxPTKkhd_normal.jpg","View")</f>
        <v>View</v>
      </c>
      <c r="P1620" s="10"/>
    </row>
    <row r="1621" customFormat="false" ht="15.75" hidden="false" customHeight="false" outlineLevel="0" collapsed="false">
      <c r="A1621" s="6" t="n">
        <v>43030.2075462963</v>
      </c>
      <c r="B1621" s="7" t="str">
        <f aca="false">HYPERLINK("https://twitter.com/rohiket","@rohiket")</f>
        <v>@rohiket</v>
      </c>
      <c r="C1621" s="14" t="s">
        <v>4203</v>
      </c>
      <c r="D1621" s="8" t="s">
        <v>4204</v>
      </c>
      <c r="E1621" s="9" t="str">
        <f aca="false">HYPERLINK("https://twitter.com/rohiket/status/922069742394867713","922069742394867713")</f>
        <v>922069742394867713</v>
      </c>
      <c r="F1621" s="10" t="s">
        <v>25</v>
      </c>
      <c r="G1621" s="10" t="n">
        <v>298</v>
      </c>
      <c r="H1621" s="10" t="n">
        <v>486</v>
      </c>
      <c r="I1621" s="10" t="n">
        <v>1</v>
      </c>
      <c r="J1621" s="10" t="n">
        <v>0</v>
      </c>
      <c r="K1621" s="10" t="s">
        <v>20</v>
      </c>
      <c r="L1621" s="11" t="n">
        <v>41374.0638657407</v>
      </c>
      <c r="M1621" s="13" t="s">
        <v>152</v>
      </c>
      <c r="N1621" s="13" t="s">
        <v>4205</v>
      </c>
      <c r="O1621" s="9" t="str">
        <f aca="false">HYPERLINK("https://pbs.twimg.com/profile_images/914627601292918784/6LyYAnhE_normal.jpg","View")</f>
        <v>View</v>
      </c>
      <c r="P1621" s="10"/>
    </row>
    <row r="1622" customFormat="false" ht="15.75" hidden="false" customHeight="false" outlineLevel="0" collapsed="false">
      <c r="A1622" s="6" t="n">
        <v>43030.2075462963</v>
      </c>
      <c r="B1622" s="7" t="str">
        <f aca="false">HYPERLINK("https://twitter.com/rekuza2014mp","@rekuza2014mp")</f>
        <v>@rekuza2014mp</v>
      </c>
      <c r="C1622" s="14" t="s">
        <v>3313</v>
      </c>
      <c r="D1622" s="8" t="s">
        <v>4068</v>
      </c>
      <c r="E1622" s="9" t="str">
        <f aca="false">HYPERLINK("https://twitter.com/rekuza2014mp/status/922069744311607297","922069744311607297")</f>
        <v>922069744311607297</v>
      </c>
      <c r="F1622" s="10" t="s">
        <v>39</v>
      </c>
      <c r="G1622" s="10" t="n">
        <v>1051</v>
      </c>
      <c r="H1622" s="10" t="n">
        <v>4124</v>
      </c>
      <c r="I1622" s="10" t="n">
        <v>50</v>
      </c>
      <c r="J1622" s="10" t="n">
        <v>0</v>
      </c>
      <c r="K1622" s="10" t="s">
        <v>20</v>
      </c>
      <c r="L1622" s="11" t="n">
        <v>41720.7288888889</v>
      </c>
      <c r="M1622" s="12"/>
      <c r="N1622" s="12" t="s">
        <v>3315</v>
      </c>
      <c r="O1622" s="9" t="str">
        <f aca="false">HYPERLINK("https://pbs.twimg.com/profile_images/455728477895806976/Luq8uT2t_normal.jpeg","View")</f>
        <v>View</v>
      </c>
      <c r="P1622" s="10"/>
    </row>
    <row r="1623" customFormat="false" ht="15.75" hidden="false" customHeight="false" outlineLevel="0" collapsed="false">
      <c r="A1623" s="6" t="n">
        <v>43030.2075578704</v>
      </c>
      <c r="B1623" s="7" t="str">
        <f aca="false">HYPERLINK("https://twitter.com/Tulipm0123","@Tulipm0123")</f>
        <v>@Tulipm0123</v>
      </c>
      <c r="C1623" s="8" t="s">
        <v>4206</v>
      </c>
      <c r="D1623" s="8" t="s">
        <v>4068</v>
      </c>
      <c r="E1623" s="9" t="str">
        <f aca="false">HYPERLINK("https://twitter.com/Tulipm0123/status/922069746182512640","922069746182512640")</f>
        <v>922069746182512640</v>
      </c>
      <c r="F1623" s="10" t="s">
        <v>98</v>
      </c>
      <c r="G1623" s="10" t="n">
        <v>74</v>
      </c>
      <c r="H1623" s="10" t="n">
        <v>66</v>
      </c>
      <c r="I1623" s="10" t="n">
        <v>50</v>
      </c>
      <c r="J1623" s="10" t="n">
        <v>0</v>
      </c>
      <c r="K1623" s="10" t="s">
        <v>20</v>
      </c>
      <c r="L1623" s="11" t="n">
        <v>39874.65625</v>
      </c>
      <c r="M1623" s="12"/>
      <c r="N1623" s="12"/>
      <c r="O1623" s="9" t="str">
        <f aca="false">HYPERLINK("https://pbs.twimg.com/profile_images/818568117416824832/KtS1MKUB_normal.jpg","View")</f>
        <v>View</v>
      </c>
      <c r="P1623" s="10"/>
    </row>
    <row r="1624" customFormat="false" ht="15.75" hidden="false" customHeight="false" outlineLevel="0" collapsed="false">
      <c r="A1624" s="6" t="n">
        <v>43030.2075810185</v>
      </c>
      <c r="B1624" s="7" t="str">
        <f aca="false">HYPERLINK("https://twitter.com/func_hs","@func_hs")</f>
        <v>@func_hs</v>
      </c>
      <c r="C1624" s="8" t="s">
        <v>4207</v>
      </c>
      <c r="D1624" s="8" t="s">
        <v>4068</v>
      </c>
      <c r="E1624" s="9" t="str">
        <f aca="false">HYPERLINK("https://twitter.com/func_hs/status/922069755271319557","922069755271319557")</f>
        <v>922069755271319557</v>
      </c>
      <c r="F1624" s="10" t="s">
        <v>276</v>
      </c>
      <c r="G1624" s="10" t="n">
        <v>2295</v>
      </c>
      <c r="H1624" s="10" t="n">
        <v>1258</v>
      </c>
      <c r="I1624" s="10" t="n">
        <v>50</v>
      </c>
      <c r="J1624" s="10" t="n">
        <v>0</v>
      </c>
      <c r="K1624" s="10" t="s">
        <v>20</v>
      </c>
      <c r="L1624" s="11" t="n">
        <v>40215.8747222222</v>
      </c>
      <c r="M1624" s="12" t="s">
        <v>4208</v>
      </c>
      <c r="N1624" s="12" t="s">
        <v>4209</v>
      </c>
      <c r="O1624" s="9" t="str">
        <f aca="false">HYPERLINK("https://pbs.twimg.com/profile_images/875747510265929728/rX0ajMZ5_normal.jpg","View")</f>
        <v>View</v>
      </c>
      <c r="P1624" s="10"/>
    </row>
    <row r="1625" customFormat="false" ht="15.75" hidden="false" customHeight="false" outlineLevel="0" collapsed="false">
      <c r="A1625" s="6" t="n">
        <v>43030.2076041667</v>
      </c>
      <c r="B1625" s="7" t="str">
        <f aca="false">HYPERLINK("https://twitter.com/rhiles2760","@rhiles2760")</f>
        <v>@rhiles2760</v>
      </c>
      <c r="C1625" s="8" t="s">
        <v>4210</v>
      </c>
      <c r="D1625" s="8" t="s">
        <v>4124</v>
      </c>
      <c r="E1625" s="9" t="str">
        <f aca="false">HYPERLINK("https://twitter.com/rhiles2760/status/922069761764286464","922069761764286464")</f>
        <v>922069761764286464</v>
      </c>
      <c r="F1625" s="10" t="s">
        <v>39</v>
      </c>
      <c r="G1625" s="10" t="n">
        <v>2390</v>
      </c>
      <c r="H1625" s="10" t="n">
        <v>2009</v>
      </c>
      <c r="I1625" s="10" t="n">
        <v>111</v>
      </c>
      <c r="J1625" s="10" t="n">
        <v>0</v>
      </c>
      <c r="K1625" s="10" t="s">
        <v>20</v>
      </c>
      <c r="L1625" s="11" t="n">
        <v>39876.5961921296</v>
      </c>
      <c r="M1625" s="12" t="s">
        <v>4211</v>
      </c>
      <c r="N1625" s="12" t="s">
        <v>4212</v>
      </c>
      <c r="O1625" s="9" t="str">
        <f aca="false">HYPERLINK("https://pbs.twimg.com/profile_images/378800000072729679/cff72bdc46eb3f3b0d4397ce14665324_normal.jpeg","View")</f>
        <v>View</v>
      </c>
      <c r="P1625" s="10"/>
    </row>
    <row r="1626" customFormat="false" ht="15.75" hidden="false" customHeight="false" outlineLevel="0" collapsed="false">
      <c r="A1626" s="6" t="n">
        <v>43030.207650463</v>
      </c>
      <c r="B1626" s="7" t="str">
        <f aca="false">HYPERLINK("https://twitter.com/Silver_up_to5H","@Silver_up_to5H")</f>
        <v>@Silver_up_to5H</v>
      </c>
      <c r="C1626" s="8" t="n">
        <v>9</v>
      </c>
      <c r="D1626" s="8" t="s">
        <v>4213</v>
      </c>
      <c r="E1626" s="9" t="str">
        <f aca="false">HYPERLINK("https://twitter.com/Silver_up_to5H/status/922069781129207808","922069781129207808")</f>
        <v>922069781129207808</v>
      </c>
      <c r="F1626" s="10" t="s">
        <v>39</v>
      </c>
      <c r="G1626" s="10" t="n">
        <v>78</v>
      </c>
      <c r="H1626" s="10" t="n">
        <v>145</v>
      </c>
      <c r="I1626" s="10" t="n">
        <v>0</v>
      </c>
      <c r="J1626" s="10" t="n">
        <v>0</v>
      </c>
      <c r="K1626" s="10" t="s">
        <v>20</v>
      </c>
      <c r="L1626" s="11" t="n">
        <v>42670.3247916667</v>
      </c>
      <c r="M1626" s="12" t="s">
        <v>574</v>
      </c>
      <c r="N1626" s="13" t="s">
        <v>4214</v>
      </c>
      <c r="O1626" s="9" t="str">
        <f aca="false">HYPERLINK("https://pbs.twimg.com/profile_images/847426219574345729/RB9Z3Ytk_normal.jpg","View")</f>
        <v>View</v>
      </c>
      <c r="P1626" s="10"/>
    </row>
    <row r="1627" customFormat="false" ht="15.75" hidden="false" customHeight="false" outlineLevel="0" collapsed="false">
      <c r="A1627" s="6" t="n">
        <v>43030.2076967593</v>
      </c>
      <c r="B1627" s="7" t="str">
        <f aca="false">HYPERLINK("https://twitter.com/newshound_bot","@newshound_bot")</f>
        <v>@newshound_bot</v>
      </c>
      <c r="C1627" s="8" t="s">
        <v>4215</v>
      </c>
      <c r="D1627" s="8" t="s">
        <v>4216</v>
      </c>
      <c r="E1627" s="9" t="str">
        <f aca="false">HYPERLINK("https://twitter.com/newshound_bot/status/922069795947851776","922069795947851776")</f>
        <v>922069795947851776</v>
      </c>
      <c r="F1627" s="10" t="s">
        <v>4217</v>
      </c>
      <c r="G1627" s="10" t="n">
        <v>88</v>
      </c>
      <c r="H1627" s="10" t="n">
        <v>2</v>
      </c>
      <c r="I1627" s="10" t="n">
        <v>0</v>
      </c>
      <c r="J1627" s="10" t="n">
        <v>0</v>
      </c>
      <c r="K1627" s="10" t="s">
        <v>20</v>
      </c>
      <c r="L1627" s="11" t="n">
        <v>42114.7066782407</v>
      </c>
      <c r="M1627" s="12" t="s">
        <v>4218</v>
      </c>
      <c r="N1627" s="12" t="s">
        <v>4219</v>
      </c>
      <c r="O1627" s="9" t="str">
        <f aca="false">HYPERLINK("https://pbs.twimg.com/profile_images/590303561814306816/whWcqqWt_normal.png","View")</f>
        <v>View</v>
      </c>
      <c r="P1627" s="10"/>
    </row>
    <row r="1628" customFormat="false" ht="15.75" hidden="false" customHeight="false" outlineLevel="0" collapsed="false">
      <c r="A1628" s="6" t="n">
        <v>43030.2077199074</v>
      </c>
      <c r="B1628" s="7" t="str">
        <f aca="false">HYPERLINK("https://twitter.com/ggandnewsance","@ggandnewsance")</f>
        <v>@ggandnewsance</v>
      </c>
      <c r="C1628" s="8" t="s">
        <v>145</v>
      </c>
      <c r="D1628" s="8" t="s">
        <v>4124</v>
      </c>
      <c r="E1628" s="9" t="str">
        <f aca="false">HYPERLINK("https://twitter.com/ggandnewsance/status/922069804974071814","922069804974071814")</f>
        <v>922069804974071814</v>
      </c>
      <c r="F1628" s="10" t="s">
        <v>25</v>
      </c>
      <c r="G1628" s="10" t="n">
        <v>243</v>
      </c>
      <c r="H1628" s="10" t="n">
        <v>220</v>
      </c>
      <c r="I1628" s="10" t="n">
        <v>111</v>
      </c>
      <c r="J1628" s="10" t="n">
        <v>0</v>
      </c>
      <c r="K1628" s="10" t="s">
        <v>20</v>
      </c>
      <c r="L1628" s="11" t="n">
        <v>42976.1844328704</v>
      </c>
      <c r="M1628" s="12" t="s">
        <v>146</v>
      </c>
      <c r="N1628" s="12" t="s">
        <v>147</v>
      </c>
      <c r="O1628" s="9" t="str">
        <f aca="false">HYPERLINK("https://pbs.twimg.com/profile_images/915562646744784896/p2jVjkUN_normal.jpg","View")</f>
        <v>View</v>
      </c>
      <c r="P1628" s="10"/>
    </row>
    <row r="1629" customFormat="false" ht="15.75" hidden="false" customHeight="false" outlineLevel="0" collapsed="false">
      <c r="A1629" s="6" t="n">
        <v>43030.2077199074</v>
      </c>
      <c r="B1629" s="7" t="str">
        <f aca="false">HYPERLINK("https://twitter.com/oguray","@oguray")</f>
        <v>@oguray</v>
      </c>
      <c r="C1629" s="14" t="s">
        <v>4220</v>
      </c>
      <c r="D1629" s="8" t="s">
        <v>4068</v>
      </c>
      <c r="E1629" s="9" t="str">
        <f aca="false">HYPERLINK("https://twitter.com/oguray/status/922069805867266050","922069805867266050")</f>
        <v>922069805867266050</v>
      </c>
      <c r="F1629" s="10" t="s">
        <v>51</v>
      </c>
      <c r="G1629" s="10" t="n">
        <v>1239</v>
      </c>
      <c r="H1629" s="10" t="n">
        <v>529</v>
      </c>
      <c r="I1629" s="10" t="n">
        <v>50</v>
      </c>
      <c r="J1629" s="10" t="n">
        <v>0</v>
      </c>
      <c r="K1629" s="10" t="s">
        <v>20</v>
      </c>
      <c r="L1629" s="11" t="n">
        <v>39964.8114699074</v>
      </c>
      <c r="M1629" s="13" t="s">
        <v>4221</v>
      </c>
      <c r="N1629" s="12" t="s">
        <v>4222</v>
      </c>
      <c r="O1629" s="9" t="str">
        <f aca="false">HYPERLINK("https://pbs.twimg.com/profile_images/868510836007903232/6ek8hf4I_normal.jpg","View")</f>
        <v>View</v>
      </c>
      <c r="P1629" s="10"/>
    </row>
    <row r="1630" customFormat="false" ht="15.75" hidden="false" customHeight="false" outlineLevel="0" collapsed="false">
      <c r="A1630" s="6" t="n">
        <v>43030.2077199074</v>
      </c>
      <c r="B1630" s="7" t="str">
        <f aca="false">HYPERLINK("https://twitter.com/sK2380_","@sK2380_")</f>
        <v>@sK2380_</v>
      </c>
      <c r="C1630" s="8" t="s">
        <v>4223</v>
      </c>
      <c r="D1630" s="8" t="s">
        <v>4224</v>
      </c>
      <c r="E1630" s="9" t="str">
        <f aca="false">HYPERLINK("https://twitter.com/sK2380_/status/922069806198788096","922069806198788096")</f>
        <v>922069806198788096</v>
      </c>
      <c r="F1630" s="10" t="s">
        <v>60</v>
      </c>
      <c r="G1630" s="10" t="n">
        <v>834</v>
      </c>
      <c r="H1630" s="10" t="n">
        <v>1644</v>
      </c>
      <c r="I1630" s="10" t="n">
        <v>0</v>
      </c>
      <c r="J1630" s="10" t="n">
        <v>0</v>
      </c>
      <c r="K1630" s="10" t="s">
        <v>20</v>
      </c>
      <c r="L1630" s="11" t="n">
        <v>40445.4432060185</v>
      </c>
      <c r="M1630" s="12" t="s">
        <v>72</v>
      </c>
      <c r="N1630" s="12" t="s">
        <v>4225</v>
      </c>
      <c r="O1630" s="9" t="str">
        <f aca="false">HYPERLINK("https://pbs.twimg.com/profile_images/489071098961485824/2_IS22J0_normal.jpeg","View")</f>
        <v>View</v>
      </c>
      <c r="P1630" s="10"/>
    </row>
    <row r="1631" customFormat="false" ht="15.75" hidden="false" customHeight="false" outlineLevel="0" collapsed="false">
      <c r="A1631" s="6" t="n">
        <v>43030.2077314815</v>
      </c>
      <c r="B1631" s="7" t="str">
        <f aca="false">HYPERLINK("https://twitter.com/tthanomnua","@tthanomnua")</f>
        <v>@tthanomnua</v>
      </c>
      <c r="C1631" s="8" t="s">
        <v>3718</v>
      </c>
      <c r="D1631" s="8" t="s">
        <v>4124</v>
      </c>
      <c r="E1631" s="9" t="str">
        <f aca="false">HYPERLINK("https://twitter.com/tthanomnua/status/922069811500236802","922069811500236802")</f>
        <v>922069811500236802</v>
      </c>
      <c r="F1631" s="10" t="s">
        <v>51</v>
      </c>
      <c r="G1631" s="10" t="n">
        <v>1335</v>
      </c>
      <c r="H1631" s="10" t="n">
        <v>477</v>
      </c>
      <c r="I1631" s="10" t="n">
        <v>111</v>
      </c>
      <c r="J1631" s="10" t="n">
        <v>0</v>
      </c>
      <c r="K1631" s="10" t="s">
        <v>20</v>
      </c>
      <c r="L1631" s="11" t="n">
        <v>40260.7666898148</v>
      </c>
      <c r="M1631" s="12" t="s">
        <v>3719</v>
      </c>
      <c r="N1631" s="12" t="s">
        <v>3720</v>
      </c>
      <c r="O1631" s="9" t="str">
        <f aca="false">HYPERLINK("https://pbs.twimg.com/profile_images/786689732055015424/fAasB3Vt_normal.jpg","View")</f>
        <v>View</v>
      </c>
      <c r="P1631" s="10"/>
    </row>
    <row r="1632" customFormat="false" ht="15.75" hidden="false" customHeight="false" outlineLevel="0" collapsed="false">
      <c r="A1632" s="6" t="n">
        <v>43030.2077546296</v>
      </c>
      <c r="B1632" s="7" t="str">
        <f aca="false">HYPERLINK("https://twitter.com/NTKRNow","@NTKRNow")</f>
        <v>@NTKRNow</v>
      </c>
      <c r="C1632" s="8" t="s">
        <v>829</v>
      </c>
      <c r="D1632" s="8" t="s">
        <v>4226</v>
      </c>
      <c r="E1632" s="9" t="str">
        <f aca="false">HYPERLINK("https://twitter.com/NTKRNow/status/922069818177712130","922069818177712130")</f>
        <v>922069818177712130</v>
      </c>
      <c r="F1632" s="10" t="s">
        <v>60</v>
      </c>
      <c r="G1632" s="10" t="n">
        <v>610</v>
      </c>
      <c r="H1632" s="10" t="n">
        <v>4</v>
      </c>
      <c r="I1632" s="10" t="n">
        <v>0</v>
      </c>
      <c r="J1632" s="10" t="n">
        <v>0</v>
      </c>
      <c r="K1632" s="10" t="s">
        <v>20</v>
      </c>
      <c r="L1632" s="11" t="n">
        <v>42402.810625</v>
      </c>
      <c r="M1632" s="12"/>
      <c r="N1632" s="12"/>
      <c r="O1632" s="9" t="str">
        <f aca="false">HYPERLINK("https://abs.twimg.com/sticky/default_profile_images/default_profile_normal.png","View")</f>
        <v>View</v>
      </c>
      <c r="P1632" s="10"/>
    </row>
    <row r="1633" customFormat="false" ht="15.75" hidden="false" customHeight="false" outlineLevel="0" collapsed="false">
      <c r="A1633" s="6" t="n">
        <v>43030.2077777778</v>
      </c>
      <c r="B1633" s="7" t="str">
        <f aca="false">HYPERLINK("https://twitter.com/MiggsyMedia","@MiggsyMedia")</f>
        <v>@MiggsyMedia</v>
      </c>
      <c r="C1633" s="8" t="s">
        <v>4227</v>
      </c>
      <c r="D1633" s="8" t="s">
        <v>4228</v>
      </c>
      <c r="E1633" s="9" t="str">
        <f aca="false">HYPERLINK("https://twitter.com/MiggsyMedia/status/922069824452354048","922069824452354048")</f>
        <v>922069824452354048</v>
      </c>
      <c r="F1633" s="10" t="s">
        <v>60</v>
      </c>
      <c r="G1633" s="10" t="n">
        <v>16861</v>
      </c>
      <c r="H1633" s="10" t="n">
        <v>4507</v>
      </c>
      <c r="I1633" s="10" t="n">
        <v>0</v>
      </c>
      <c r="J1633" s="10" t="n">
        <v>0</v>
      </c>
      <c r="K1633" s="10" t="s">
        <v>20</v>
      </c>
      <c r="L1633" s="11" t="n">
        <v>40460.6286111111</v>
      </c>
      <c r="M1633" s="12"/>
      <c r="N1633" s="12" t="s">
        <v>4229</v>
      </c>
      <c r="O1633" s="9" t="str">
        <f aca="false">HYPERLINK("https://pbs.twimg.com/profile_images/862248373079945216/cI8vfpP1_normal.jpg","View")</f>
        <v>View</v>
      </c>
      <c r="P1633" s="10"/>
    </row>
    <row r="1634" customFormat="false" ht="15.75" hidden="false" customHeight="false" outlineLevel="0" collapsed="false">
      <c r="A1634" s="6" t="n">
        <v>43030.2077777778</v>
      </c>
      <c r="B1634" s="7" t="str">
        <f aca="false">HYPERLINK("https://twitter.com/forexcrunch","@forexcrunch")</f>
        <v>@forexcrunch</v>
      </c>
      <c r="C1634" s="8" t="s">
        <v>4230</v>
      </c>
      <c r="D1634" s="8" t="s">
        <v>4231</v>
      </c>
      <c r="E1634" s="9" t="str">
        <f aca="false">HYPERLINK("https://twitter.com/forexcrunch/status/922069826939613186","922069826939613186")</f>
        <v>922069826939613186</v>
      </c>
      <c r="F1634" s="10" t="s">
        <v>25</v>
      </c>
      <c r="G1634" s="10" t="n">
        <v>34921</v>
      </c>
      <c r="H1634" s="10" t="n">
        <v>289</v>
      </c>
      <c r="I1634" s="10" t="n">
        <v>0</v>
      </c>
      <c r="J1634" s="10" t="n">
        <v>0</v>
      </c>
      <c r="K1634" s="10" t="s">
        <v>20</v>
      </c>
      <c r="L1634" s="11" t="n">
        <v>39898.0610763889</v>
      </c>
      <c r="M1634" s="12" t="s">
        <v>4232</v>
      </c>
      <c r="N1634" s="12" t="s">
        <v>4233</v>
      </c>
      <c r="O1634" s="9" t="str">
        <f aca="false">HYPERLINK("https://pbs.twimg.com/profile_images/1131932416/forexcrunch_logo2_normal.jpg","View")</f>
        <v>View</v>
      </c>
      <c r="P1634" s="10"/>
    </row>
    <row r="1635" customFormat="false" ht="15.75" hidden="false" customHeight="false" outlineLevel="0" collapsed="false">
      <c r="A1635" s="6" t="n">
        <v>43030.2078125</v>
      </c>
      <c r="B1635" s="7" t="str">
        <f aca="false">HYPERLINK("https://twitter.com/LAWJUDICIA","@LAWJUDICIA")</f>
        <v>@LAWJUDICIA</v>
      </c>
      <c r="C1635" s="8" t="s">
        <v>4234</v>
      </c>
      <c r="D1635" s="8" t="s">
        <v>4124</v>
      </c>
      <c r="E1635" s="9" t="str">
        <f aca="false">HYPERLINK("https://twitter.com/LAWJUDICIA/status/922069839652429824","922069839652429824")</f>
        <v>922069839652429824</v>
      </c>
      <c r="F1635" s="10" t="s">
        <v>25</v>
      </c>
      <c r="G1635" s="10" t="n">
        <v>566</v>
      </c>
      <c r="H1635" s="10" t="n">
        <v>1337</v>
      </c>
      <c r="I1635" s="10" t="n">
        <v>111</v>
      </c>
      <c r="J1635" s="10" t="n">
        <v>0</v>
      </c>
      <c r="K1635" s="10" t="s">
        <v>20</v>
      </c>
      <c r="L1635" s="11" t="n">
        <v>41670.1293287037</v>
      </c>
      <c r="M1635" s="12" t="s">
        <v>598</v>
      </c>
      <c r="N1635" s="12" t="s">
        <v>4235</v>
      </c>
      <c r="O1635" s="9" t="str">
        <f aca="false">HYPERLINK("https://pbs.twimg.com/profile_images/893462815217860608/iirbhI7r_normal.jpg","View")</f>
        <v>View</v>
      </c>
      <c r="P1635" s="10"/>
    </row>
    <row r="1636" customFormat="false" ht="15.75" hidden="false" customHeight="false" outlineLevel="0" collapsed="false">
      <c r="A1636" s="6" t="n">
        <v>43030.2078703704</v>
      </c>
      <c r="B1636" s="7" t="str">
        <f aca="false">HYPERLINK("https://twitter.com/akvinchrist","@akvinchrist")</f>
        <v>@akvinchrist</v>
      </c>
      <c r="C1636" s="8" t="s">
        <v>4101</v>
      </c>
      <c r="D1636" s="8" t="s">
        <v>4236</v>
      </c>
      <c r="E1636" s="9" t="str">
        <f aca="false">HYPERLINK("https://twitter.com/akvinchrist/status/922069861790093313","922069861790093313")</f>
        <v>922069861790093313</v>
      </c>
      <c r="F1636" s="10" t="s">
        <v>60</v>
      </c>
      <c r="G1636" s="10" t="n">
        <v>999</v>
      </c>
      <c r="H1636" s="10" t="n">
        <v>2063</v>
      </c>
      <c r="I1636" s="10" t="n">
        <v>0</v>
      </c>
      <c r="J1636" s="10" t="n">
        <v>0</v>
      </c>
      <c r="K1636" s="10" t="s">
        <v>20</v>
      </c>
      <c r="L1636" s="11" t="n">
        <v>39971.0745486111</v>
      </c>
      <c r="M1636" s="12" t="s">
        <v>4103</v>
      </c>
      <c r="N1636" s="12" t="s">
        <v>4104</v>
      </c>
      <c r="O1636" s="9" t="str">
        <f aca="false">HYPERLINK("https://pbs.twimg.com/profile_images/909119469162602496/pV7b_tff_normal.jpg","View")</f>
        <v>View</v>
      </c>
      <c r="P1636" s="10"/>
    </row>
    <row r="1637" customFormat="false" ht="15.75" hidden="false" customHeight="false" outlineLevel="0" collapsed="false">
      <c r="A1637" s="6" t="n">
        <v>43030.2078935185</v>
      </c>
      <c r="B1637" s="7" t="str">
        <f aca="false">HYPERLINK("https://twitter.com/Igor_Marinovsky","@Igor_Marinovsky")</f>
        <v>@Igor_Marinovsky</v>
      </c>
      <c r="C1637" s="8" t="s">
        <v>4237</v>
      </c>
      <c r="D1637" s="8" t="s">
        <v>4238</v>
      </c>
      <c r="E1637" s="9" t="str">
        <f aca="false">HYPERLINK("https://twitter.com/Igor_Marinovsky/status/922069868140261376","922069868140261376")</f>
        <v>922069868140261376</v>
      </c>
      <c r="F1637" s="10" t="s">
        <v>60</v>
      </c>
      <c r="G1637" s="10" t="n">
        <v>658</v>
      </c>
      <c r="H1637" s="10" t="n">
        <v>104</v>
      </c>
      <c r="I1637" s="10" t="n">
        <v>0</v>
      </c>
      <c r="J1637" s="10" t="n">
        <v>0</v>
      </c>
      <c r="K1637" s="10" t="s">
        <v>20</v>
      </c>
      <c r="L1637" s="11" t="n">
        <v>40719.4572222222</v>
      </c>
      <c r="M1637" s="12"/>
      <c r="N1637" s="12" t="s">
        <v>4239</v>
      </c>
      <c r="O1637" s="9" t="str">
        <f aca="false">HYPERLINK("https://pbs.twimg.com/profile_images/577905752838279169/Zq2cQUPh_normal.jpeg","View")</f>
        <v>View</v>
      </c>
      <c r="P1637" s="10"/>
    </row>
    <row r="1638" customFormat="false" ht="15.75" hidden="false" customHeight="false" outlineLevel="0" collapsed="false">
      <c r="A1638" s="6" t="n">
        <v>43030.2079050926</v>
      </c>
      <c r="B1638" s="7" t="str">
        <f aca="false">HYPERLINK("https://twitter.com/melinda41white1","@melinda41white1")</f>
        <v>@melinda41white1</v>
      </c>
      <c r="C1638" s="8" t="s">
        <v>4240</v>
      </c>
      <c r="D1638" s="8" t="s">
        <v>4241</v>
      </c>
      <c r="E1638" s="9" t="str">
        <f aca="false">HYPERLINK("https://twitter.com/melinda41white1/status/922069871332151297","922069871332151297")</f>
        <v>922069871332151297</v>
      </c>
      <c r="F1638" s="10" t="s">
        <v>60</v>
      </c>
      <c r="G1638" s="10" t="n">
        <v>4695</v>
      </c>
      <c r="H1638" s="10" t="n">
        <v>1852</v>
      </c>
      <c r="I1638" s="10" t="n">
        <v>0</v>
      </c>
      <c r="J1638" s="10" t="n">
        <v>0</v>
      </c>
      <c r="K1638" s="10" t="s">
        <v>20</v>
      </c>
      <c r="L1638" s="11" t="n">
        <v>41874.4742013889</v>
      </c>
      <c r="M1638" s="12" t="s">
        <v>1404</v>
      </c>
      <c r="N1638" s="12" t="s">
        <v>4242</v>
      </c>
      <c r="O1638" s="9" t="str">
        <f aca="false">HYPERLINK("https://pbs.twimg.com/profile_images/919142195604656133/_Cc8bb25_normal.jpg","View")</f>
        <v>View</v>
      </c>
      <c r="P1638" s="10"/>
    </row>
    <row r="1639" customFormat="false" ht="15.75" hidden="false" customHeight="false" outlineLevel="0" collapsed="false">
      <c r="A1639" s="6" t="n">
        <v>43030.2079282407</v>
      </c>
      <c r="B1639" s="7" t="str">
        <f aca="false">HYPERLINK("https://twitter.com/MikeRodNews","@MikeRodNews")</f>
        <v>@MikeRodNews</v>
      </c>
      <c r="C1639" s="8" t="s">
        <v>4243</v>
      </c>
      <c r="D1639" s="8" t="s">
        <v>4124</v>
      </c>
      <c r="E1639" s="9" t="str">
        <f aca="false">HYPERLINK("https://twitter.com/MikeRodNews/status/922069879808765952","922069879808765952")</f>
        <v>922069879808765952</v>
      </c>
      <c r="F1639" s="10" t="s">
        <v>25</v>
      </c>
      <c r="G1639" s="10" t="n">
        <v>403</v>
      </c>
      <c r="H1639" s="10" t="n">
        <v>857</v>
      </c>
      <c r="I1639" s="10" t="n">
        <v>111</v>
      </c>
      <c r="J1639" s="10" t="n">
        <v>0</v>
      </c>
      <c r="K1639" s="10" t="s">
        <v>20</v>
      </c>
      <c r="L1639" s="11" t="n">
        <v>40460.582037037</v>
      </c>
      <c r="M1639" s="12" t="s">
        <v>723</v>
      </c>
      <c r="N1639" s="12" t="s">
        <v>4244</v>
      </c>
      <c r="O1639" s="9" t="str">
        <f aca="false">HYPERLINK("https://pbs.twimg.com/profile_images/482560564455956480/FepEVRk0_normal.jpeg","View")</f>
        <v>View</v>
      </c>
      <c r="P1639" s="10"/>
    </row>
    <row r="1640" customFormat="false" ht="15.75" hidden="false" customHeight="false" outlineLevel="0" collapsed="false">
      <c r="A1640" s="6" t="n">
        <v>43030.2079282407</v>
      </c>
      <c r="B1640" s="7" t="str">
        <f aca="false">HYPERLINK("https://twitter.com/sleribaux","@sleribaux")</f>
        <v>@sleribaux</v>
      </c>
      <c r="C1640" s="8" t="s">
        <v>4245</v>
      </c>
      <c r="D1640" s="8" t="s">
        <v>4124</v>
      </c>
      <c r="E1640" s="9" t="str">
        <f aca="false">HYPERLINK("https://twitter.com/sleribaux/status/922069880857391104","922069880857391104")</f>
        <v>922069880857391104</v>
      </c>
      <c r="F1640" s="10" t="s">
        <v>177</v>
      </c>
      <c r="G1640" s="10" t="n">
        <v>318</v>
      </c>
      <c r="H1640" s="10" t="n">
        <v>877</v>
      </c>
      <c r="I1640" s="10" t="n">
        <v>111</v>
      </c>
      <c r="J1640" s="10" t="n">
        <v>0</v>
      </c>
      <c r="K1640" s="10" t="s">
        <v>20</v>
      </c>
      <c r="L1640" s="11" t="n">
        <v>40281.4453935185</v>
      </c>
      <c r="M1640" s="12" t="s">
        <v>4246</v>
      </c>
      <c r="N1640" s="12" t="s">
        <v>4247</v>
      </c>
      <c r="O1640" s="9" t="str">
        <f aca="false">HYPERLINK("https://pbs.twimg.com/profile_images/829829517321580544/PoYBejWM_normal.jpg","View")</f>
        <v>View</v>
      </c>
      <c r="P1640" s="10"/>
    </row>
    <row r="1641" customFormat="false" ht="15.75" hidden="false" customHeight="false" outlineLevel="0" collapsed="false">
      <c r="A1641" s="6" t="n">
        <v>43030.2079398148</v>
      </c>
      <c r="B1641" s="7" t="str">
        <f aca="false">HYPERLINK("https://twitter.com/OnIineNews","@OnIineNews")</f>
        <v>@OnIineNews</v>
      </c>
      <c r="C1641" s="8" t="s">
        <v>4248</v>
      </c>
      <c r="D1641" s="8" t="s">
        <v>4249</v>
      </c>
      <c r="E1641" s="9" t="str">
        <f aca="false">HYPERLINK("https://twitter.com/OnIineNews/status/922069885127098369","922069885127098369")</f>
        <v>922069885127098369</v>
      </c>
      <c r="F1641" s="10" t="s">
        <v>60</v>
      </c>
      <c r="G1641" s="10" t="n">
        <v>11</v>
      </c>
      <c r="H1641" s="10" t="n">
        <v>205</v>
      </c>
      <c r="I1641" s="10" t="n">
        <v>0</v>
      </c>
      <c r="J1641" s="10" t="n">
        <v>0</v>
      </c>
      <c r="K1641" s="10" t="s">
        <v>20</v>
      </c>
      <c r="L1641" s="11" t="n">
        <v>41693.1825925926</v>
      </c>
      <c r="M1641" s="12"/>
      <c r="N1641" s="12"/>
      <c r="O1641" s="9" t="str">
        <f aca="false">HYPERLINK("https://pbs.twimg.com/profile_images/437563443004985345/bjrB4pN__normal.png","View")</f>
        <v>View</v>
      </c>
      <c r="P1641" s="10"/>
    </row>
    <row r="1642" customFormat="false" ht="15.75" hidden="false" customHeight="false" outlineLevel="0" collapsed="false">
      <c r="A1642" s="6" t="n">
        <v>43030.2079861111</v>
      </c>
      <c r="B1642" s="7" t="str">
        <f aca="false">HYPERLINK("https://twitter.com/ProudDhoti","@ProudDhoti")</f>
        <v>@ProudDhoti</v>
      </c>
      <c r="C1642" s="8" t="s">
        <v>4250</v>
      </c>
      <c r="D1642" s="8" t="s">
        <v>3295</v>
      </c>
      <c r="E1642" s="9" t="str">
        <f aca="false">HYPERLINK("https://twitter.com/ProudDhoti/status/922069902789287936","922069902789287936")</f>
        <v>922069902789287936</v>
      </c>
      <c r="F1642" s="10" t="s">
        <v>98</v>
      </c>
      <c r="G1642" s="10" t="n">
        <v>336</v>
      </c>
      <c r="H1642" s="10" t="n">
        <v>182</v>
      </c>
      <c r="I1642" s="10" t="n">
        <v>71</v>
      </c>
      <c r="J1642" s="10" t="n">
        <v>0</v>
      </c>
      <c r="K1642" s="10" t="s">
        <v>20</v>
      </c>
      <c r="L1642" s="11" t="n">
        <v>42261.3274074074</v>
      </c>
      <c r="M1642" s="12" t="s">
        <v>4251</v>
      </c>
      <c r="N1642" s="12" t="s">
        <v>4252</v>
      </c>
      <c r="O1642" s="9" t="str">
        <f aca="false">HYPERLINK("https://pbs.twimg.com/profile_images/711962994394025984/HP_uNk5q_normal.jpg","View")</f>
        <v>View</v>
      </c>
      <c r="P1642" s="10"/>
    </row>
    <row r="1643" customFormat="false" ht="15.75" hidden="false" customHeight="false" outlineLevel="0" collapsed="false">
      <c r="A1643" s="6" t="n">
        <v>43030.2080324074</v>
      </c>
      <c r="B1643" s="7" t="str">
        <f aca="false">HYPERLINK("https://twitter.com/BarusArus","@BarusArus")</f>
        <v>@BarusArus</v>
      </c>
      <c r="C1643" s="8" t="s">
        <v>4253</v>
      </c>
      <c r="D1643" s="8" t="s">
        <v>4124</v>
      </c>
      <c r="E1643" s="9" t="str">
        <f aca="false">HYPERLINK("https://twitter.com/BarusArus/status/922069919394684928","922069919394684928")</f>
        <v>922069919394684928</v>
      </c>
      <c r="F1643" s="10" t="s">
        <v>39</v>
      </c>
      <c r="G1643" s="10" t="n">
        <v>2607</v>
      </c>
      <c r="H1643" s="10" t="n">
        <v>4556</v>
      </c>
      <c r="I1643" s="10" t="n">
        <v>111</v>
      </c>
      <c r="J1643" s="10" t="n">
        <v>0</v>
      </c>
      <c r="K1643" s="10" t="s">
        <v>20</v>
      </c>
      <c r="L1643" s="11" t="n">
        <v>42392.3561574074</v>
      </c>
      <c r="M1643" s="12" t="s">
        <v>319</v>
      </c>
      <c r="N1643" s="12" t="s">
        <v>4254</v>
      </c>
      <c r="O1643" s="9" t="str">
        <f aca="false">HYPERLINK("https://pbs.twimg.com/profile_images/918907533649154048/gvzY1nAB_normal.jpg","View")</f>
        <v>View</v>
      </c>
      <c r="P1643" s="10"/>
    </row>
    <row r="1644" customFormat="false" ht="15.75" hidden="false" customHeight="false" outlineLevel="0" collapsed="false">
      <c r="A1644" s="6" t="n">
        <v>43030.2080324074</v>
      </c>
      <c r="B1644" s="7" t="str">
        <f aca="false">HYPERLINK("https://twitter.com/BrunoscTimbeta","@BrunoscTimbeta")</f>
        <v>@BrunoscTimbeta</v>
      </c>
      <c r="C1644" s="8" t="s">
        <v>3193</v>
      </c>
      <c r="D1644" s="8" t="s">
        <v>4255</v>
      </c>
      <c r="E1644" s="9" t="str">
        <f aca="false">HYPERLINK("https://twitter.com/BrunoscTimbeta/status/922069920590061568","922069920590061568")</f>
        <v>922069920590061568</v>
      </c>
      <c r="F1644" s="10" t="s">
        <v>60</v>
      </c>
      <c r="G1644" s="10" t="n">
        <v>233</v>
      </c>
      <c r="H1644" s="10" t="n">
        <v>134</v>
      </c>
      <c r="I1644" s="10" t="n">
        <v>0</v>
      </c>
      <c r="J1644" s="10" t="n">
        <v>0</v>
      </c>
      <c r="K1644" s="10" t="s">
        <v>20</v>
      </c>
      <c r="L1644" s="11" t="n">
        <v>41102.6140972222</v>
      </c>
      <c r="M1644" s="12"/>
      <c r="N1644" s="12"/>
      <c r="O1644" s="9" t="str">
        <f aca="false">HYPERLINK("https://pbs.twimg.com/profile_images/893615964784398336/w5rW9bwz_normal.jpg","View")</f>
        <v>View</v>
      </c>
      <c r="P1644" s="10"/>
    </row>
    <row r="1645" customFormat="false" ht="15.75" hidden="false" customHeight="false" outlineLevel="0" collapsed="false">
      <c r="A1645" s="6" t="n">
        <v>43030.2080439815</v>
      </c>
      <c r="B1645" s="7" t="str">
        <f aca="false">HYPERLINK("https://twitter.com/ATKRON_145","@ATKRON_145")</f>
        <v>@ATKRON_145</v>
      </c>
      <c r="C1645" s="8" t="s">
        <v>4256</v>
      </c>
      <c r="D1645" s="8" t="s">
        <v>4257</v>
      </c>
      <c r="E1645" s="9" t="str">
        <f aca="false">HYPERLINK("https://twitter.com/ATKRON_145/status/922069921403752449","922069921403752449")</f>
        <v>922069921403752449</v>
      </c>
      <c r="F1645" s="10" t="s">
        <v>177</v>
      </c>
      <c r="G1645" s="10" t="n">
        <v>338</v>
      </c>
      <c r="H1645" s="10" t="n">
        <v>830</v>
      </c>
      <c r="I1645" s="10" t="n">
        <v>0</v>
      </c>
      <c r="J1645" s="10" t="n">
        <v>1</v>
      </c>
      <c r="K1645" s="10" t="s">
        <v>20</v>
      </c>
      <c r="L1645" s="11" t="n">
        <v>41332.3725</v>
      </c>
      <c r="M1645" s="12"/>
      <c r="N1645" s="12" t="s">
        <v>4258</v>
      </c>
      <c r="O1645" s="9" t="str">
        <f aca="false">HYPERLINK("https://pbs.twimg.com/profile_images/917719413595439106/ZVd8hgCf_normal.jpg","View")</f>
        <v>View</v>
      </c>
      <c r="P1645" s="10"/>
    </row>
    <row r="1646" customFormat="false" ht="15.75" hidden="false" customHeight="false" outlineLevel="0" collapsed="false">
      <c r="A1646" s="6" t="n">
        <v>43030.2080439815</v>
      </c>
      <c r="B1646" s="7" t="str">
        <f aca="false">HYPERLINK("https://twitter.com/iTweet_News","@iTweet_News")</f>
        <v>@iTweet_News</v>
      </c>
      <c r="C1646" s="8" t="s">
        <v>3085</v>
      </c>
      <c r="D1646" s="8" t="s">
        <v>4259</v>
      </c>
      <c r="E1646" s="9" t="str">
        <f aca="false">HYPERLINK("https://twitter.com/iTweet_News/status/922069923341402112","922069923341402112")</f>
        <v>922069923341402112</v>
      </c>
      <c r="F1646" s="10" t="s">
        <v>60</v>
      </c>
      <c r="G1646" s="10" t="n">
        <v>755</v>
      </c>
      <c r="H1646" s="10" t="n">
        <v>1578</v>
      </c>
      <c r="I1646" s="10" t="n">
        <v>0</v>
      </c>
      <c r="J1646" s="10" t="n">
        <v>0</v>
      </c>
      <c r="K1646" s="10" t="s">
        <v>20</v>
      </c>
      <c r="L1646" s="11" t="n">
        <v>42812.1355439815</v>
      </c>
      <c r="M1646" s="12" t="s">
        <v>1143</v>
      </c>
      <c r="N1646" s="12" t="s">
        <v>3087</v>
      </c>
      <c r="O1646" s="9" t="str">
        <f aca="false">HYPERLINK("https://pbs.twimg.com/profile_images/843045177942036480/agM8GR51_normal.jpg","View")</f>
        <v>View</v>
      </c>
      <c r="P1646" s="10"/>
    </row>
    <row r="1647" customFormat="false" ht="15.75" hidden="false" customHeight="false" outlineLevel="0" collapsed="false">
      <c r="A1647" s="6" t="n">
        <v>43030.2081365741</v>
      </c>
      <c r="B1647" s="7" t="str">
        <f aca="false">HYPERLINK("https://twitter.com/reversetees","@reversetees")</f>
        <v>@reversetees</v>
      </c>
      <c r="C1647" s="8" t="s">
        <v>4260</v>
      </c>
      <c r="D1647" s="8" t="s">
        <v>4261</v>
      </c>
      <c r="E1647" s="9" t="str">
        <f aca="false">HYPERLINK("https://twitter.com/reversetees/status/922069956778512384","922069956778512384")</f>
        <v>922069956778512384</v>
      </c>
      <c r="F1647" s="10" t="s">
        <v>60</v>
      </c>
      <c r="G1647" s="10" t="n">
        <v>19601</v>
      </c>
      <c r="H1647" s="10" t="n">
        <v>2606</v>
      </c>
      <c r="I1647" s="10" t="n">
        <v>0</v>
      </c>
      <c r="J1647" s="10" t="n">
        <v>0</v>
      </c>
      <c r="K1647" s="10" t="s">
        <v>20</v>
      </c>
      <c r="L1647" s="11" t="n">
        <v>40945.9933217593</v>
      </c>
      <c r="M1647" s="12" t="s">
        <v>4262</v>
      </c>
      <c r="N1647" s="12" t="s">
        <v>4263</v>
      </c>
      <c r="O1647" s="9" t="str">
        <f aca="false">HYPERLINK("https://pbs.twimg.com/profile_images/607977033197445120/2mMWI-z7_normal.jpg","View")</f>
        <v>View</v>
      </c>
      <c r="P1647" s="10"/>
    </row>
    <row r="1648" customFormat="false" ht="15.75" hidden="false" customHeight="false" outlineLevel="0" collapsed="false">
      <c r="A1648" s="6" t="n">
        <v>43030.2081597222</v>
      </c>
      <c r="B1648" s="7" t="str">
        <f aca="false">HYPERLINK("https://twitter.com/Monalisazelf","@Monalisazelf")</f>
        <v>@Monalisazelf</v>
      </c>
      <c r="C1648" s="8" t="s">
        <v>4264</v>
      </c>
      <c r="D1648" s="8" t="s">
        <v>3646</v>
      </c>
      <c r="E1648" s="9" t="str">
        <f aca="false">HYPERLINK("https://twitter.com/Monalisazelf/status/922069962981814272","922069962981814272")</f>
        <v>922069962981814272</v>
      </c>
      <c r="F1648" s="10" t="s">
        <v>25</v>
      </c>
      <c r="G1648" s="10" t="n">
        <v>1534</v>
      </c>
      <c r="H1648" s="10" t="n">
        <v>4397</v>
      </c>
      <c r="I1648" s="10" t="n">
        <v>71</v>
      </c>
      <c r="J1648" s="10" t="n">
        <v>0</v>
      </c>
      <c r="K1648" s="10" t="s">
        <v>20</v>
      </c>
      <c r="L1648" s="11" t="n">
        <v>40142.1908449074</v>
      </c>
      <c r="M1648" s="12"/>
      <c r="N1648" s="12" t="s">
        <v>4265</v>
      </c>
      <c r="O1648" s="9" t="str">
        <f aca="false">HYPERLINK("https://pbs.twimg.com/profile_images/843806789003042816/_YrsHDLc_normal.jpg","View")</f>
        <v>View</v>
      </c>
      <c r="P1648" s="10"/>
    </row>
    <row r="1649" customFormat="false" ht="15.75" hidden="false" customHeight="false" outlineLevel="0" collapsed="false">
      <c r="A1649" s="6" t="n">
        <v>43030.2082291667</v>
      </c>
      <c r="B1649" s="7" t="str">
        <f aca="false">HYPERLINK("https://twitter.com/Jacfar4661","@Jacfar4661")</f>
        <v>@Jacfar4661</v>
      </c>
      <c r="C1649" s="8" t="s">
        <v>4266</v>
      </c>
      <c r="D1649" s="8" t="s">
        <v>4267</v>
      </c>
      <c r="E1649" s="9" t="str">
        <f aca="false">HYPERLINK("https://twitter.com/Jacfar4661/status/922069988814581760","922069988814581760")</f>
        <v>922069988814581760</v>
      </c>
      <c r="F1649" s="10" t="s">
        <v>39</v>
      </c>
      <c r="G1649" s="10" t="n">
        <v>324</v>
      </c>
      <c r="H1649" s="10" t="n">
        <v>1578</v>
      </c>
      <c r="I1649" s="10" t="n">
        <v>0</v>
      </c>
      <c r="J1649" s="10" t="n">
        <v>1</v>
      </c>
      <c r="K1649" s="10" t="s">
        <v>20</v>
      </c>
      <c r="L1649" s="11" t="n">
        <v>42859.192662037</v>
      </c>
      <c r="M1649" s="12" t="s">
        <v>4268</v>
      </c>
      <c r="N1649" s="12" t="s">
        <v>4269</v>
      </c>
      <c r="O1649" s="9" t="str">
        <f aca="false">HYPERLINK("https://pbs.twimg.com/profile_images/913450620706869249/rprRTvlQ_normal.jpg","View")</f>
        <v>View</v>
      </c>
      <c r="P1649" s="10"/>
    </row>
    <row r="1650" customFormat="false" ht="15.75" hidden="false" customHeight="false" outlineLevel="0" collapsed="false">
      <c r="A1650" s="6" t="n">
        <v>43030.208275463</v>
      </c>
      <c r="B1650" s="7" t="str">
        <f aca="false">HYPERLINK("https://twitter.com/azri_alfateh10","@azri_alfateh10")</f>
        <v>@azri_alfateh10</v>
      </c>
      <c r="C1650" s="8" t="s">
        <v>4270</v>
      </c>
      <c r="D1650" s="8" t="s">
        <v>4124</v>
      </c>
      <c r="E1650" s="9" t="str">
        <f aca="false">HYPERLINK("https://twitter.com/azri_alfateh10/status/922070006757597185","922070006757597185")</f>
        <v>922070006757597185</v>
      </c>
      <c r="F1650" s="10" t="s">
        <v>25</v>
      </c>
      <c r="G1650" s="10" t="n">
        <v>908</v>
      </c>
      <c r="H1650" s="10" t="n">
        <v>742</v>
      </c>
      <c r="I1650" s="10" t="n">
        <v>111</v>
      </c>
      <c r="J1650" s="10" t="n">
        <v>0</v>
      </c>
      <c r="K1650" s="10" t="s">
        <v>20</v>
      </c>
      <c r="L1650" s="11" t="n">
        <v>40519.9575347222</v>
      </c>
      <c r="M1650" s="12" t="s">
        <v>4271</v>
      </c>
      <c r="N1650" s="12" t="s">
        <v>4272</v>
      </c>
      <c r="O1650" s="9" t="str">
        <f aca="false">HYPERLINK("https://pbs.twimg.com/profile_images/920967474773762052/2cX5XYHm_normal.jpg","View")</f>
        <v>View</v>
      </c>
      <c r="P1650" s="10"/>
    </row>
    <row r="1651" customFormat="false" ht="15.75" hidden="false" customHeight="false" outlineLevel="0" collapsed="false">
      <c r="A1651" s="6" t="n">
        <v>43030.2083217593</v>
      </c>
      <c r="B1651" s="7" t="str">
        <f aca="false">HYPERLINK("https://twitter.com/FriskPJ","@FriskPJ")</f>
        <v>@FriskPJ</v>
      </c>
      <c r="C1651" s="8" t="s">
        <v>4273</v>
      </c>
      <c r="D1651" s="8" t="s">
        <v>3631</v>
      </c>
      <c r="E1651" s="9" t="str">
        <f aca="false">HYPERLINK("https://twitter.com/FriskPJ/status/922070022113058816","922070022113058816")</f>
        <v>922070022113058816</v>
      </c>
      <c r="F1651" s="10" t="s">
        <v>51</v>
      </c>
      <c r="G1651" s="10" t="n">
        <v>167</v>
      </c>
      <c r="H1651" s="10" t="n">
        <v>488</v>
      </c>
      <c r="I1651" s="10" t="n">
        <v>16</v>
      </c>
      <c r="J1651" s="10" t="n">
        <v>0</v>
      </c>
      <c r="K1651" s="10" t="s">
        <v>20</v>
      </c>
      <c r="L1651" s="11" t="n">
        <v>40989.0629166667</v>
      </c>
      <c r="M1651" s="12" t="s">
        <v>792</v>
      </c>
      <c r="N1651" s="12" t="s">
        <v>4274</v>
      </c>
      <c r="O1651" s="9" t="str">
        <f aca="false">HYPERLINK("https://pbs.twimg.com/profile_images/915800965902589952/P76uEsH1_normal.jpg","View")</f>
        <v>View</v>
      </c>
      <c r="P1651" s="10"/>
    </row>
    <row r="1652" customFormat="false" ht="15.75" hidden="false" customHeight="false" outlineLevel="0" collapsed="false">
      <c r="A1652" s="6" t="n">
        <v>43030.2083333333</v>
      </c>
      <c r="B1652" s="7" t="str">
        <f aca="false">HYPERLINK("https://twitter.com/trikilimper","@trikilimper")</f>
        <v>@trikilimper</v>
      </c>
      <c r="C1652" s="8" t="s">
        <v>4275</v>
      </c>
      <c r="D1652" s="8" t="s">
        <v>4124</v>
      </c>
      <c r="E1652" s="9" t="str">
        <f aca="false">HYPERLINK("https://twitter.com/trikilimper/status/922070028924719105","922070028924719105")</f>
        <v>922070028924719105</v>
      </c>
      <c r="F1652" s="10" t="s">
        <v>25</v>
      </c>
      <c r="G1652" s="10" t="n">
        <v>262</v>
      </c>
      <c r="H1652" s="10" t="n">
        <v>151</v>
      </c>
      <c r="I1652" s="10" t="n">
        <v>111</v>
      </c>
      <c r="J1652" s="10" t="n">
        <v>0</v>
      </c>
      <c r="K1652" s="10" t="s">
        <v>20</v>
      </c>
      <c r="L1652" s="11" t="n">
        <v>39932.6567476852</v>
      </c>
      <c r="M1652" s="12"/>
      <c r="N1652" s="12" t="s">
        <v>4276</v>
      </c>
      <c r="O1652" s="9" t="str">
        <f aca="false">HYPERLINK("https://pbs.twimg.com/profile_images/790934592622587904/pNw26YOt_normal.jpg","View")</f>
        <v>View</v>
      </c>
      <c r="P1652" s="10"/>
    </row>
    <row r="1653" customFormat="false" ht="15.75" hidden="false" customHeight="false" outlineLevel="0" collapsed="false">
      <c r="A1653" s="6" t="n">
        <v>43030.2083796296</v>
      </c>
      <c r="B1653" s="7" t="str">
        <f aca="false">HYPERLINK("https://twitter.com/harshitaj18","@harshitaj18")</f>
        <v>@harshitaj18</v>
      </c>
      <c r="C1653" s="8" t="s">
        <v>4277</v>
      </c>
      <c r="D1653" s="8" t="s">
        <v>4068</v>
      </c>
      <c r="E1653" s="9" t="str">
        <f aca="false">HYPERLINK("https://twitter.com/harshitaj18/status/922070045454241792","922070045454241792")</f>
        <v>922070045454241792</v>
      </c>
      <c r="F1653" s="10" t="s">
        <v>51</v>
      </c>
      <c r="G1653" s="10" t="n">
        <v>63</v>
      </c>
      <c r="H1653" s="10" t="n">
        <v>253</v>
      </c>
      <c r="I1653" s="10" t="n">
        <v>50</v>
      </c>
      <c r="J1653" s="10" t="n">
        <v>0</v>
      </c>
      <c r="K1653" s="10" t="s">
        <v>20</v>
      </c>
      <c r="L1653" s="11" t="n">
        <v>41395.0245601852</v>
      </c>
      <c r="M1653" s="12" t="s">
        <v>4278</v>
      </c>
      <c r="N1653" s="12"/>
      <c r="O1653" s="9" t="str">
        <f aca="false">HYPERLINK("https://pbs.twimg.com/profile_images/550726922238324736/mkT-qhmD_normal.jpeg","View")</f>
        <v>View</v>
      </c>
      <c r="P1653" s="10"/>
    </row>
    <row r="1654" customFormat="false" ht="15.75" hidden="false" customHeight="false" outlineLevel="0" collapsed="false">
      <c r="A1654" s="6" t="n">
        <v>43030.2084606482</v>
      </c>
      <c r="B1654" s="7" t="str">
        <f aca="false">HYPERLINK("https://twitter.com/globalissuesweb","@globalissuesweb")</f>
        <v>@globalissuesweb</v>
      </c>
      <c r="C1654" s="8" t="s">
        <v>2136</v>
      </c>
      <c r="D1654" s="8" t="s">
        <v>4279</v>
      </c>
      <c r="E1654" s="9" t="str">
        <f aca="false">HYPERLINK("https://twitter.com/globalissuesweb/status/922070073166135296","922070073166135296")</f>
        <v>922070073166135296</v>
      </c>
      <c r="F1654" s="9" t="s">
        <v>2138</v>
      </c>
      <c r="G1654" s="10" t="n">
        <v>155503</v>
      </c>
      <c r="H1654" s="10" t="n">
        <v>2419</v>
      </c>
      <c r="I1654" s="10" t="n">
        <v>2</v>
      </c>
      <c r="J1654" s="10" t="n">
        <v>0</v>
      </c>
      <c r="K1654" s="10" t="s">
        <v>20</v>
      </c>
      <c r="L1654" s="11" t="n">
        <v>40037.4634143518</v>
      </c>
      <c r="M1654" s="12" t="s">
        <v>2139</v>
      </c>
      <c r="N1654" s="12" t="s">
        <v>2140</v>
      </c>
      <c r="O1654" s="9" t="str">
        <f aca="false">HYPERLINK("https://pbs.twimg.com/profile_images/2634696934/fbbd02b9e0ac76801b12e7fdecdf68be_normal.jpeg","View")</f>
        <v>View</v>
      </c>
      <c r="P1654" s="10"/>
    </row>
    <row r="1655" customFormat="false" ht="15.75" hidden="false" customHeight="false" outlineLevel="0" collapsed="false">
      <c r="A1655" s="6" t="n">
        <v>43030.2084722222</v>
      </c>
      <c r="B1655" s="7" t="str">
        <f aca="false">HYPERLINK("https://twitter.com/DrPhiloponus","@DrPhiloponus")</f>
        <v>@DrPhiloponus</v>
      </c>
      <c r="C1655" s="8" t="s">
        <v>4280</v>
      </c>
      <c r="D1655" s="8" t="s">
        <v>4281</v>
      </c>
      <c r="E1655" s="9" t="str">
        <f aca="false">HYPERLINK("https://twitter.com/DrPhiloponus/status/922070076991225856","922070076991225856")</f>
        <v>922070076991225856</v>
      </c>
      <c r="F1655" s="10" t="s">
        <v>25</v>
      </c>
      <c r="G1655" s="10" t="n">
        <v>5023</v>
      </c>
      <c r="H1655" s="10" t="n">
        <v>430</v>
      </c>
      <c r="I1655" s="10" t="n">
        <v>0</v>
      </c>
      <c r="J1655" s="10" t="n">
        <v>0</v>
      </c>
      <c r="K1655" s="10" t="s">
        <v>20</v>
      </c>
      <c r="L1655" s="11" t="n">
        <v>39837.6713425926</v>
      </c>
      <c r="M1655" s="12" t="s">
        <v>4282</v>
      </c>
      <c r="N1655" s="12" t="s">
        <v>4283</v>
      </c>
      <c r="O1655" s="9" t="str">
        <f aca="false">HYPERLINK("https://pbs.twimg.com/profile_images/1448847289/Picture_4_normal.jpg","View")</f>
        <v>View</v>
      </c>
      <c r="P1655" s="10"/>
    </row>
    <row r="1656" customFormat="false" ht="15.75" hidden="false" customHeight="false" outlineLevel="0" collapsed="false">
      <c r="A1656" s="6" t="n">
        <v>43030.2084837963</v>
      </c>
      <c r="B1656" s="7" t="str">
        <f aca="false">HYPERLINK("https://twitter.com/gvnair91","@gvnair91")</f>
        <v>@gvnair91</v>
      </c>
      <c r="C1656" s="8" t="s">
        <v>4284</v>
      </c>
      <c r="D1656" s="8" t="s">
        <v>4285</v>
      </c>
      <c r="E1656" s="9" t="str">
        <f aca="false">HYPERLINK("https://twitter.com/gvnair91/status/922070082800435200","922070082800435200")</f>
        <v>922070082800435200</v>
      </c>
      <c r="F1656" s="10" t="s">
        <v>25</v>
      </c>
      <c r="G1656" s="10" t="n">
        <v>403</v>
      </c>
      <c r="H1656" s="10" t="n">
        <v>536</v>
      </c>
      <c r="I1656" s="10" t="n">
        <v>5</v>
      </c>
      <c r="J1656" s="10" t="n">
        <v>0</v>
      </c>
      <c r="K1656" s="10" t="s">
        <v>20</v>
      </c>
      <c r="L1656" s="11" t="n">
        <v>41527.3874074074</v>
      </c>
      <c r="M1656" s="12" t="s">
        <v>4286</v>
      </c>
      <c r="N1656" s="12" t="s">
        <v>4287</v>
      </c>
      <c r="O1656" s="9" t="str">
        <f aca="false">HYPERLINK("https://pbs.twimg.com/profile_images/571337680002240512/RApXYlga_normal.jpeg","View")</f>
        <v>View</v>
      </c>
      <c r="P1656" s="10"/>
    </row>
    <row r="1657" customFormat="false" ht="15.75" hidden="false" customHeight="false" outlineLevel="0" collapsed="false">
      <c r="A1657" s="6" t="n">
        <v>43030.2084837963</v>
      </c>
      <c r="B1657" s="7" t="str">
        <f aca="false">HYPERLINK("https://twitter.com/801","@801")</f>
        <v>@801</v>
      </c>
      <c r="C1657" s="8" t="s">
        <v>4288</v>
      </c>
      <c r="D1657" s="8" t="s">
        <v>4124</v>
      </c>
      <c r="E1657" s="9" t="str">
        <f aca="false">HYPERLINK("https://twitter.com/801/status/922070082943008768","922070082943008768")</f>
        <v>922070082943008768</v>
      </c>
      <c r="F1657" s="10" t="s">
        <v>39</v>
      </c>
      <c r="G1657" s="10" t="n">
        <v>1433</v>
      </c>
      <c r="H1657" s="10" t="n">
        <v>396</v>
      </c>
      <c r="I1657" s="10" t="n">
        <v>111</v>
      </c>
      <c r="J1657" s="10" t="n">
        <v>0</v>
      </c>
      <c r="K1657" s="10" t="s">
        <v>20</v>
      </c>
      <c r="L1657" s="11" t="n">
        <v>39376.7708796296</v>
      </c>
      <c r="M1657" s="12" t="s">
        <v>4289</v>
      </c>
      <c r="N1657" s="13" t="s">
        <v>4290</v>
      </c>
      <c r="O1657" s="9" t="str">
        <f aca="false">HYPERLINK("https://pbs.twimg.com/profile_images/1713133268/icon8736365302769353559Pht0406011404_normal.jpg","View")</f>
        <v>View</v>
      </c>
      <c r="P1657" s="10"/>
    </row>
    <row r="1658" customFormat="false" ht="15.75" hidden="false" customHeight="false" outlineLevel="0" collapsed="false">
      <c r="A1658" s="6" t="n">
        <v>43030.2085069445</v>
      </c>
      <c r="B1658" s="7" t="str">
        <f aca="false">HYPERLINK("https://twitter.com/News365247live","@News365247live")</f>
        <v>@News365247live</v>
      </c>
      <c r="C1658" s="8" t="s">
        <v>376</v>
      </c>
      <c r="D1658" s="8" t="s">
        <v>4124</v>
      </c>
      <c r="E1658" s="9" t="str">
        <f aca="false">HYPERLINK("https://twitter.com/News365247live/status/922070088836038658","922070088836038658")</f>
        <v>922070088836038658</v>
      </c>
      <c r="F1658" s="10" t="s">
        <v>377</v>
      </c>
      <c r="G1658" s="10" t="n">
        <v>1534</v>
      </c>
      <c r="H1658" s="10" t="n">
        <v>5001</v>
      </c>
      <c r="I1658" s="10" t="n">
        <v>111</v>
      </c>
      <c r="J1658" s="10" t="n">
        <v>0</v>
      </c>
      <c r="K1658" s="10" t="s">
        <v>20</v>
      </c>
      <c r="L1658" s="11" t="n">
        <v>42728.3420949074</v>
      </c>
      <c r="M1658" s="12" t="s">
        <v>357</v>
      </c>
      <c r="N1658" s="12" t="s">
        <v>378</v>
      </c>
      <c r="O1658" s="9" t="str">
        <f aca="false">HYPERLINK("https://pbs.twimg.com/profile_images/813047771091472384/ZtakiWrG_normal.jpg","View")</f>
        <v>View</v>
      </c>
      <c r="P1658" s="10"/>
    </row>
    <row r="1659" customFormat="false" ht="15.75" hidden="false" customHeight="false" outlineLevel="0" collapsed="false">
      <c r="A1659" s="6" t="n">
        <v>43030.2085532407</v>
      </c>
      <c r="B1659" s="7" t="str">
        <f aca="false">HYPERLINK("https://twitter.com/moisecinq","@moisecinq")</f>
        <v>@moisecinq</v>
      </c>
      <c r="C1659" s="8" t="s">
        <v>4291</v>
      </c>
      <c r="D1659" s="8" t="s">
        <v>4124</v>
      </c>
      <c r="E1659" s="9" t="str">
        <f aca="false">HYPERLINK("https://twitter.com/moisecinq/status/922070105504256000","922070105504256000")</f>
        <v>922070105504256000</v>
      </c>
      <c r="F1659" s="10" t="s">
        <v>25</v>
      </c>
      <c r="G1659" s="10" t="n">
        <v>1019</v>
      </c>
      <c r="H1659" s="10" t="n">
        <v>206</v>
      </c>
      <c r="I1659" s="10" t="n">
        <v>111</v>
      </c>
      <c r="J1659" s="10" t="n">
        <v>0</v>
      </c>
      <c r="K1659" s="10" t="s">
        <v>20</v>
      </c>
      <c r="L1659" s="11" t="n">
        <v>40269.5500115741</v>
      </c>
      <c r="M1659" s="12" t="s">
        <v>4292</v>
      </c>
      <c r="N1659" s="12" t="s">
        <v>4293</v>
      </c>
      <c r="O1659" s="9" t="str">
        <f aca="false">HYPERLINK("https://pbs.twimg.com/profile_images/910695614396211200/FUt8Z6qN_normal.jpg","View")</f>
        <v>View</v>
      </c>
      <c r="P1659" s="10"/>
    </row>
    <row r="1660" customFormat="false" ht="15.75" hidden="false" customHeight="false" outlineLevel="0" collapsed="false">
      <c r="A1660" s="6" t="n">
        <v>43030.2086921296</v>
      </c>
      <c r="B1660" s="7" t="str">
        <f aca="false">HYPERLINK("https://twitter.com/samturpin","@samturpin")</f>
        <v>@samturpin</v>
      </c>
      <c r="C1660" s="8" t="s">
        <v>4294</v>
      </c>
      <c r="D1660" s="8" t="s">
        <v>4295</v>
      </c>
      <c r="E1660" s="9" t="str">
        <f aca="false">HYPERLINK("https://twitter.com/samturpin/status/922070158872637440","922070158872637440")</f>
        <v>922070158872637440</v>
      </c>
      <c r="F1660" s="10" t="s">
        <v>60</v>
      </c>
      <c r="G1660" s="10" t="n">
        <v>5927</v>
      </c>
      <c r="H1660" s="10" t="n">
        <v>4066</v>
      </c>
      <c r="I1660" s="10" t="n">
        <v>0</v>
      </c>
      <c r="J1660" s="10" t="n">
        <v>0</v>
      </c>
      <c r="K1660" s="10" t="s">
        <v>20</v>
      </c>
      <c r="L1660" s="11" t="n">
        <v>39713.2824652778</v>
      </c>
      <c r="M1660" s="12" t="s">
        <v>4296</v>
      </c>
      <c r="N1660" s="12" t="s">
        <v>4297</v>
      </c>
      <c r="O1660" s="9" t="str">
        <f aca="false">HYPERLINK("https://pbs.twimg.com/profile_images/424597867152424960/lcYlF9Y3_normal.jpeg","View")</f>
        <v>View</v>
      </c>
      <c r="P1660" s="10"/>
    </row>
    <row r="1661" customFormat="false" ht="15.75" hidden="false" customHeight="false" outlineLevel="0" collapsed="false">
      <c r="A1661" s="6" t="n">
        <v>43030.20875</v>
      </c>
      <c r="B1661" s="7" t="str">
        <f aca="false">HYPERLINK("https://twitter.com/MGGemma","@MGGemma")</f>
        <v>@MGGemma</v>
      </c>
      <c r="C1661" s="8" t="s">
        <v>4298</v>
      </c>
      <c r="D1661" s="8" t="s">
        <v>4068</v>
      </c>
      <c r="E1661" s="9" t="str">
        <f aca="false">HYPERLINK("https://twitter.com/MGGemma/status/922070179437215746","922070179437215746")</f>
        <v>922070179437215746</v>
      </c>
      <c r="F1661" s="10" t="s">
        <v>51</v>
      </c>
      <c r="G1661" s="10" t="n">
        <v>16</v>
      </c>
      <c r="H1661" s="10" t="n">
        <v>285</v>
      </c>
      <c r="I1661" s="10" t="n">
        <v>50</v>
      </c>
      <c r="J1661" s="10" t="n">
        <v>0</v>
      </c>
      <c r="K1661" s="10" t="s">
        <v>20</v>
      </c>
      <c r="L1661" s="11" t="n">
        <v>40844.9416203704</v>
      </c>
      <c r="M1661" s="12" t="s">
        <v>2920</v>
      </c>
      <c r="N1661" s="12"/>
      <c r="O1661" s="9" t="str">
        <f aca="false">HYPERLINK("https://pbs.twimg.com/profile_images/756857308534177792/-xK1r3SD_normal.jpg","View")</f>
        <v>View</v>
      </c>
      <c r="P1661" s="10"/>
    </row>
    <row r="1662" customFormat="false" ht="15.75" hidden="false" customHeight="false" outlineLevel="0" collapsed="false">
      <c r="A1662" s="6" t="n">
        <v>43030.2087615741</v>
      </c>
      <c r="B1662" s="7" t="str">
        <f aca="false">HYPERLINK("https://twitter.com/Padawan3","@Padawan3")</f>
        <v>@Padawan3</v>
      </c>
      <c r="C1662" s="8" t="s">
        <v>4299</v>
      </c>
      <c r="D1662" s="8" t="s">
        <v>4300</v>
      </c>
      <c r="E1662" s="9" t="str">
        <f aca="false">HYPERLINK("https://twitter.com/Padawan3/status/922070182419349505","922070182419349505")</f>
        <v>922070182419349505</v>
      </c>
      <c r="F1662" s="10" t="s">
        <v>25</v>
      </c>
      <c r="G1662" s="10" t="n">
        <v>394</v>
      </c>
      <c r="H1662" s="10" t="n">
        <v>503</v>
      </c>
      <c r="I1662" s="10" t="n">
        <v>0</v>
      </c>
      <c r="J1662" s="10" t="n">
        <v>0</v>
      </c>
      <c r="K1662" s="10" t="s">
        <v>20</v>
      </c>
      <c r="L1662" s="11" t="n">
        <v>40529.0841087963</v>
      </c>
      <c r="M1662" s="12" t="s">
        <v>4301</v>
      </c>
      <c r="N1662" s="12" t="s">
        <v>4302</v>
      </c>
      <c r="O1662" s="9" t="str">
        <f aca="false">HYPERLINK("https://pbs.twimg.com/profile_images/1613586807/1432823_1343005594_168large_normal.jpg","View")</f>
        <v>View</v>
      </c>
      <c r="P1662" s="10"/>
    </row>
    <row r="1663" customFormat="false" ht="15.75" hidden="false" customHeight="false" outlineLevel="0" collapsed="false">
      <c r="A1663" s="6" t="n">
        <v>43030.2088194444</v>
      </c>
      <c r="B1663" s="7" t="str">
        <f aca="false">HYPERLINK("https://twitter.com/TDailyNew1","@TDailyNew1")</f>
        <v>@TDailyNew1</v>
      </c>
      <c r="C1663" s="8" t="s">
        <v>4303</v>
      </c>
      <c r="D1663" s="8" t="s">
        <v>4304</v>
      </c>
      <c r="E1663" s="9" t="str">
        <f aca="false">HYPERLINK("https://twitter.com/TDailyNew1/status/922070204854820864","922070204854820864")</f>
        <v>922070204854820864</v>
      </c>
      <c r="F1663" s="10" t="s">
        <v>60</v>
      </c>
      <c r="G1663" s="10" t="n">
        <v>0</v>
      </c>
      <c r="H1663" s="10" t="n">
        <v>20</v>
      </c>
      <c r="I1663" s="10" t="n">
        <v>0</v>
      </c>
      <c r="J1663" s="10" t="n">
        <v>0</v>
      </c>
      <c r="K1663" s="10" t="s">
        <v>20</v>
      </c>
      <c r="L1663" s="11" t="n">
        <v>42930.2033796296</v>
      </c>
      <c r="M1663" s="12"/>
      <c r="N1663" s="12"/>
      <c r="O1663" s="9" t="str">
        <f aca="false">HYPERLINK("https://abs.twimg.com/sticky/default_profile_images/default_profile_normal.png","View")</f>
        <v>View</v>
      </c>
      <c r="P1663" s="10"/>
    </row>
    <row r="1664" customFormat="false" ht="15.75" hidden="false" customHeight="false" outlineLevel="0" collapsed="false">
      <c r="A1664" s="6" t="n">
        <v>43030.2088541667</v>
      </c>
      <c r="B1664" s="7" t="str">
        <f aca="false">HYPERLINK("https://twitter.com/NelFreire","@NelFreire")</f>
        <v>@NelFreire</v>
      </c>
      <c r="C1664" s="8" t="s">
        <v>4305</v>
      </c>
      <c r="D1664" s="8" t="s">
        <v>3583</v>
      </c>
      <c r="E1664" s="9" t="str">
        <f aca="false">HYPERLINK("https://twitter.com/NelFreire/status/922070215868870657","922070215868870657")</f>
        <v>922070215868870657</v>
      </c>
      <c r="F1664" s="10" t="s">
        <v>39</v>
      </c>
      <c r="G1664" s="10" t="n">
        <v>488</v>
      </c>
      <c r="H1664" s="10" t="n">
        <v>214</v>
      </c>
      <c r="I1664" s="10" t="n">
        <v>4</v>
      </c>
      <c r="J1664" s="10" t="n">
        <v>0</v>
      </c>
      <c r="K1664" s="10" t="s">
        <v>20</v>
      </c>
      <c r="L1664" s="11" t="n">
        <v>40322.2508449074</v>
      </c>
      <c r="M1664" s="12" t="s">
        <v>4306</v>
      </c>
      <c r="N1664" s="13" t="s">
        <v>4307</v>
      </c>
      <c r="O1664" s="9" t="str">
        <f aca="false">HYPERLINK("https://pbs.twimg.com/profile_images/760864818156806144/lUNH3Fpn_normal.jpg","View")</f>
        <v>View</v>
      </c>
      <c r="P1664" s="10"/>
    </row>
    <row r="1665" customFormat="false" ht="15.75" hidden="false" customHeight="false" outlineLevel="0" collapsed="false">
      <c r="A1665" s="6" t="n">
        <v>43030.2088657407</v>
      </c>
      <c r="B1665" s="7" t="str">
        <f aca="false">HYPERLINK("https://twitter.com/laurbjn","@laurbjn")</f>
        <v>@laurbjn</v>
      </c>
      <c r="C1665" s="8" t="s">
        <v>4308</v>
      </c>
      <c r="D1665" s="8" t="s">
        <v>4309</v>
      </c>
      <c r="E1665" s="9" t="str">
        <f aca="false">HYPERLINK("https://twitter.com/laurbjn/status/922070218788175876","922070218788175876")</f>
        <v>922070218788175876</v>
      </c>
      <c r="F1665" s="10" t="s">
        <v>39</v>
      </c>
      <c r="G1665" s="10" t="n">
        <v>554</v>
      </c>
      <c r="H1665" s="10" t="n">
        <v>479</v>
      </c>
      <c r="I1665" s="10" t="n">
        <v>0</v>
      </c>
      <c r="J1665" s="10" t="n">
        <v>0</v>
      </c>
      <c r="K1665" s="10" t="s">
        <v>20</v>
      </c>
      <c r="L1665" s="11" t="n">
        <v>41838.0473611111</v>
      </c>
      <c r="M1665" s="12" t="s">
        <v>1635</v>
      </c>
      <c r="N1665" s="12" t="s">
        <v>4310</v>
      </c>
      <c r="O1665" s="9" t="str">
        <f aca="false">HYPERLINK("https://pbs.twimg.com/profile_images/683010960496439296/dAOg2IIH_normal.jpg","View")</f>
        <v>View</v>
      </c>
      <c r="P1665" s="10"/>
    </row>
    <row r="1666" customFormat="false" ht="15.75" hidden="false" customHeight="false" outlineLevel="0" collapsed="false">
      <c r="A1666" s="6" t="n">
        <v>43030.2088773148</v>
      </c>
      <c r="B1666" s="7" t="str">
        <f aca="false">HYPERLINK("https://twitter.com/SkinNclans","@SkinNclans")</f>
        <v>@SkinNclans</v>
      </c>
      <c r="C1666" s="8" t="s">
        <v>4311</v>
      </c>
      <c r="D1666" s="8" t="s">
        <v>4312</v>
      </c>
      <c r="E1666" s="9" t="str">
        <f aca="false">HYPERLINK("https://twitter.com/SkinNclans/status/922070226862333952","922070226862333952")</f>
        <v>922070226862333952</v>
      </c>
      <c r="F1666" s="10" t="s">
        <v>60</v>
      </c>
      <c r="G1666" s="10" t="n">
        <v>60</v>
      </c>
      <c r="H1666" s="10" t="n">
        <v>146</v>
      </c>
      <c r="I1666" s="10" t="n">
        <v>0</v>
      </c>
      <c r="J1666" s="10" t="n">
        <v>0</v>
      </c>
      <c r="K1666" s="10" t="s">
        <v>20</v>
      </c>
      <c r="L1666" s="11" t="n">
        <v>42698.517662037</v>
      </c>
      <c r="M1666" s="12" t="s">
        <v>182</v>
      </c>
      <c r="N1666" s="12" t="s">
        <v>4313</v>
      </c>
      <c r="O1666" s="9" t="str">
        <f aca="false">HYPERLINK("https://pbs.twimg.com/profile_images/801933173189963776/545NoiWS_normal.jpg","View")</f>
        <v>View</v>
      </c>
      <c r="P1666" s="10"/>
    </row>
    <row r="1667" customFormat="false" ht="15.75" hidden="false" customHeight="false" outlineLevel="0" collapsed="false">
      <c r="A1667" s="6" t="n">
        <v>43030.208912037</v>
      </c>
      <c r="B1667" s="7" t="str">
        <f aca="false">HYPERLINK("https://twitter.com/cotalla41","@cotalla41")</f>
        <v>@cotalla41</v>
      </c>
      <c r="C1667" s="8" t="s">
        <v>4314</v>
      </c>
      <c r="D1667" s="8" t="s">
        <v>4315</v>
      </c>
      <c r="E1667" s="9" t="str">
        <f aca="false">HYPERLINK("https://twitter.com/cotalla41/status/922070237536817153","922070237536817153")</f>
        <v>922070237536817153</v>
      </c>
      <c r="F1667" s="10" t="s">
        <v>60</v>
      </c>
      <c r="G1667" s="10" t="n">
        <v>291</v>
      </c>
      <c r="H1667" s="10" t="n">
        <v>230</v>
      </c>
      <c r="I1667" s="10" t="n">
        <v>0</v>
      </c>
      <c r="J1667" s="10" t="n">
        <v>0</v>
      </c>
      <c r="K1667" s="10" t="s">
        <v>20</v>
      </c>
      <c r="L1667" s="11" t="n">
        <v>39992.3962037037</v>
      </c>
      <c r="M1667" s="12"/>
      <c r="N1667" s="12"/>
      <c r="O1667" s="9" t="str">
        <f aca="false">HYPERLINK("https://pbs.twimg.com/profile_images/512745246854090752/NMogrwR8_normal.jpeg","View")</f>
        <v>View</v>
      </c>
      <c r="P1667" s="10"/>
    </row>
    <row r="1668" customFormat="false" ht="15.75" hidden="false" customHeight="false" outlineLevel="0" collapsed="false">
      <c r="A1668" s="6" t="n">
        <v>43030.2089236111</v>
      </c>
      <c r="B1668" s="7" t="str">
        <f aca="false">HYPERLINK("https://twitter.com/trabajocontinuo","@trabajocontinuo")</f>
        <v>@trabajocontinuo</v>
      </c>
      <c r="C1668" s="8" t="s">
        <v>4316</v>
      </c>
      <c r="D1668" s="8" t="s">
        <v>4317</v>
      </c>
      <c r="E1668" s="9" t="str">
        <f aca="false">HYPERLINK("https://twitter.com/trabajocontinuo/status/922070240040816641","922070240040816641")</f>
        <v>922070240040816641</v>
      </c>
      <c r="F1668" s="10" t="s">
        <v>60</v>
      </c>
      <c r="G1668" s="10" t="n">
        <v>694</v>
      </c>
      <c r="H1668" s="10" t="n">
        <v>616</v>
      </c>
      <c r="I1668" s="10" t="n">
        <v>0</v>
      </c>
      <c r="J1668" s="10" t="n">
        <v>0</v>
      </c>
      <c r="K1668" s="10" t="s">
        <v>20</v>
      </c>
      <c r="L1668" s="11" t="n">
        <v>42293.3940972222</v>
      </c>
      <c r="M1668" s="12"/>
      <c r="N1668" s="15" t="s">
        <v>4318</v>
      </c>
      <c r="O1668" s="9" t="str">
        <f aca="false">HYPERLINK("https://pbs.twimg.com/profile_images/830633796248727554/XYlt-nIh_normal.jpg","View")</f>
        <v>View</v>
      </c>
      <c r="P1668" s="10"/>
    </row>
    <row r="1669" customFormat="false" ht="15.75" hidden="false" customHeight="false" outlineLevel="0" collapsed="false">
      <c r="A1669" s="6" t="n">
        <v>43030.2089236111</v>
      </c>
      <c r="B1669" s="7" t="str">
        <f aca="false">HYPERLINK("https://twitter.com/YahyaAbYou","@YahyaAbYou")</f>
        <v>@YahyaAbYou</v>
      </c>
      <c r="C1669" s="8" t="s">
        <v>4319</v>
      </c>
      <c r="D1669" s="8" t="s">
        <v>4320</v>
      </c>
      <c r="E1669" s="9" t="str">
        <f aca="false">HYPERLINK("https://twitter.com/YahyaAbYou/status/922070240879611904","922070240879611904")</f>
        <v>922070240879611904</v>
      </c>
      <c r="F1669" s="10" t="s">
        <v>60</v>
      </c>
      <c r="G1669" s="10" t="n">
        <v>497</v>
      </c>
      <c r="H1669" s="10" t="n">
        <v>903</v>
      </c>
      <c r="I1669" s="10" t="n">
        <v>0</v>
      </c>
      <c r="J1669" s="10" t="n">
        <v>0</v>
      </c>
      <c r="K1669" s="10" t="s">
        <v>20</v>
      </c>
      <c r="L1669" s="11" t="n">
        <v>40805.9516898148</v>
      </c>
      <c r="M1669" s="12" t="s">
        <v>4321</v>
      </c>
      <c r="N1669" s="12" t="s">
        <v>4322</v>
      </c>
      <c r="O1669" s="9" t="str">
        <f aca="false">HYPERLINK("https://pbs.twimg.com/profile_images/881524602295517184/wMJ2hb9N_normal.jpg","View")</f>
        <v>View</v>
      </c>
      <c r="P1669" s="10"/>
    </row>
    <row r="1670" customFormat="false" ht="15.75" hidden="false" customHeight="false" outlineLevel="0" collapsed="false">
      <c r="A1670" s="6" t="n">
        <v>43030.2089236111</v>
      </c>
      <c r="B1670" s="7" t="str">
        <f aca="false">HYPERLINK("https://twitter.com/AmiV2","@AmiV2")</f>
        <v>@AmiV2</v>
      </c>
      <c r="C1670" s="8" t="s">
        <v>4323</v>
      </c>
      <c r="D1670" s="8" t="s">
        <v>4324</v>
      </c>
      <c r="E1670" s="9" t="str">
        <f aca="false">HYPERLINK("https://twitter.com/AmiV2/status/922070241135484928","922070241135484928")</f>
        <v>922070241135484928</v>
      </c>
      <c r="F1670" s="10" t="s">
        <v>60</v>
      </c>
      <c r="G1670" s="10" t="n">
        <v>2850</v>
      </c>
      <c r="H1670" s="10" t="n">
        <v>4693</v>
      </c>
      <c r="I1670" s="10" t="n">
        <v>0</v>
      </c>
      <c r="J1670" s="10" t="n">
        <v>0</v>
      </c>
      <c r="K1670" s="10" t="s">
        <v>20</v>
      </c>
      <c r="L1670" s="11" t="n">
        <v>39642.9763541667</v>
      </c>
      <c r="M1670" s="12" t="s">
        <v>4325</v>
      </c>
      <c r="N1670" s="12" t="s">
        <v>4326</v>
      </c>
      <c r="O1670" s="9" t="str">
        <f aca="false">HYPERLINK("https://pbs.twimg.com/profile_images/192098819/me11_normal.jpg","View")</f>
        <v>View</v>
      </c>
      <c r="P1670" s="10"/>
    </row>
    <row r="1671" customFormat="false" ht="15.75" hidden="false" customHeight="false" outlineLevel="0" collapsed="false">
      <c r="A1671" s="6" t="n">
        <v>43030.2089467593</v>
      </c>
      <c r="B1671" s="7" t="str">
        <f aca="false">HYPERLINK("https://twitter.com/kristoferkawas","@kristoferkawas")</f>
        <v>@kristoferkawas</v>
      </c>
      <c r="C1671" s="8" t="s">
        <v>2132</v>
      </c>
      <c r="D1671" s="8" t="s">
        <v>4327</v>
      </c>
      <c r="E1671" s="9" t="str">
        <f aca="false">HYPERLINK("https://twitter.com/kristoferkawas/status/922070251617087488","922070251617087488")</f>
        <v>922070251617087488</v>
      </c>
      <c r="F1671" s="10" t="s">
        <v>60</v>
      </c>
      <c r="G1671" s="10" t="n">
        <v>3074</v>
      </c>
      <c r="H1671" s="10" t="n">
        <v>14</v>
      </c>
      <c r="I1671" s="10" t="n">
        <v>0</v>
      </c>
      <c r="J1671" s="10" t="n">
        <v>0</v>
      </c>
      <c r="K1671" s="10" t="s">
        <v>20</v>
      </c>
      <c r="L1671" s="11" t="n">
        <v>40432.4156828704</v>
      </c>
      <c r="M1671" s="12" t="s">
        <v>2134</v>
      </c>
      <c r="N1671" s="12" t="s">
        <v>2135</v>
      </c>
      <c r="O1671" s="9" t="str">
        <f aca="false">HYPERLINK("https://pbs.twimg.com/profile_images/662564447542636544/LvMoxlK3_normal.jpg","View")</f>
        <v>View</v>
      </c>
      <c r="P1671" s="10"/>
    </row>
    <row r="1672" customFormat="false" ht="15.75" hidden="false" customHeight="false" outlineLevel="0" collapsed="false">
      <c r="A1672" s="6" t="n">
        <v>43030.2089699074</v>
      </c>
      <c r="B1672" s="7" t="str">
        <f aca="false">HYPERLINK("https://twitter.com/KaiChoh","@KaiChoh")</f>
        <v>@KaiChoh</v>
      </c>
      <c r="C1672" s="8" t="s">
        <v>4328</v>
      </c>
      <c r="D1672" s="8" t="s">
        <v>4124</v>
      </c>
      <c r="E1672" s="9" t="str">
        <f aca="false">HYPERLINK("https://twitter.com/KaiChoh/status/922070257304342528","922070257304342528")</f>
        <v>922070257304342528</v>
      </c>
      <c r="F1672" s="10" t="s">
        <v>25</v>
      </c>
      <c r="G1672" s="10" t="n">
        <v>137</v>
      </c>
      <c r="H1672" s="10" t="n">
        <v>290</v>
      </c>
      <c r="I1672" s="10" t="n">
        <v>111</v>
      </c>
      <c r="J1672" s="10" t="n">
        <v>0</v>
      </c>
      <c r="K1672" s="10" t="s">
        <v>20</v>
      </c>
      <c r="L1672" s="11" t="n">
        <v>42295.1037731482</v>
      </c>
      <c r="M1672" s="12"/>
      <c r="N1672" s="12"/>
      <c r="O1672" s="9" t="str">
        <f aca="false">HYPERLINK("https://pbs.twimg.com/profile_images/656279254179573760/T1Ck7-3__normal.jpg","View")</f>
        <v>View</v>
      </c>
      <c r="P1672" s="10"/>
    </row>
    <row r="1673" customFormat="false" ht="15.75" hidden="false" customHeight="false" outlineLevel="0" collapsed="false">
      <c r="A1673" s="6" t="n">
        <v>43030.2089699074</v>
      </c>
      <c r="B1673" s="7" t="str">
        <f aca="false">HYPERLINK("https://twitter.com/realpenpencil","@realpenpencil")</f>
        <v>@realpenpencil</v>
      </c>
      <c r="C1673" s="8" t="s">
        <v>4329</v>
      </c>
      <c r="D1673" s="8" t="s">
        <v>4330</v>
      </c>
      <c r="E1673" s="9" t="str">
        <f aca="false">HYPERLINK("https://twitter.com/realpenpencil/status/922070260437651457","922070260437651457")</f>
        <v>922070260437651457</v>
      </c>
      <c r="F1673" s="10" t="s">
        <v>60</v>
      </c>
      <c r="G1673" s="10" t="n">
        <v>1257</v>
      </c>
      <c r="H1673" s="10" t="n">
        <v>3635</v>
      </c>
      <c r="I1673" s="10" t="n">
        <v>0</v>
      </c>
      <c r="J1673" s="10" t="n">
        <v>0</v>
      </c>
      <c r="K1673" s="10" t="s">
        <v>20</v>
      </c>
      <c r="L1673" s="11" t="n">
        <v>42297.6195601852</v>
      </c>
      <c r="M1673" s="12" t="s">
        <v>498</v>
      </c>
      <c r="N1673" s="12" t="s">
        <v>4331</v>
      </c>
      <c r="O1673" s="9" t="str">
        <f aca="false">HYPERLINK("https://pbs.twimg.com/profile_images/864212679497588736/rHEQi7_k_normal.jpg","View")</f>
        <v>View</v>
      </c>
      <c r="P1673" s="10"/>
    </row>
    <row r="1674" customFormat="false" ht="15.75" hidden="false" customHeight="false" outlineLevel="0" collapsed="false">
      <c r="A1674" s="6" t="n">
        <v>43030.2089814815</v>
      </c>
      <c r="B1674" s="7" t="str">
        <f aca="false">HYPERLINK("https://twitter.com/Arsaprada","@Arsaprada")</f>
        <v>@Arsaprada</v>
      </c>
      <c r="C1674" s="8" t="s">
        <v>4332</v>
      </c>
      <c r="D1674" s="8" t="s">
        <v>4333</v>
      </c>
      <c r="E1674" s="9" t="str">
        <f aca="false">HYPERLINK("https://twitter.com/Arsaprada/status/922070263663128578","922070263663128578")</f>
        <v>922070263663128578</v>
      </c>
      <c r="F1674" s="10" t="s">
        <v>60</v>
      </c>
      <c r="G1674" s="10" t="n">
        <v>667</v>
      </c>
      <c r="H1674" s="10" t="n">
        <v>1490</v>
      </c>
      <c r="I1674" s="10" t="n">
        <v>0</v>
      </c>
      <c r="J1674" s="10" t="n">
        <v>0</v>
      </c>
      <c r="K1674" s="10" t="s">
        <v>20</v>
      </c>
      <c r="L1674" s="11" t="n">
        <v>40124.8833796296</v>
      </c>
      <c r="M1674" s="12" t="s">
        <v>4334</v>
      </c>
      <c r="N1674" s="12" t="s">
        <v>4335</v>
      </c>
      <c r="O1674" s="9" t="str">
        <f aca="false">HYPERLINK("https://pbs.twimg.com/profile_images/527458148357922816/XtRAgjKp_normal.jpeg","View")</f>
        <v>View</v>
      </c>
      <c r="P1674" s="10"/>
    </row>
    <row r="1675" customFormat="false" ht="15.75" hidden="false" customHeight="false" outlineLevel="0" collapsed="false">
      <c r="A1675" s="6" t="n">
        <v>43030.2090046296</v>
      </c>
      <c r="B1675" s="7" t="str">
        <f aca="false">HYPERLINK("https://twitter.com/LarryOrnez","@LarryOrnez")</f>
        <v>@LarryOrnez</v>
      </c>
      <c r="C1675" s="8" t="s">
        <v>4336</v>
      </c>
      <c r="D1675" s="8" t="s">
        <v>4068</v>
      </c>
      <c r="E1675" s="9" t="str">
        <f aca="false">HYPERLINK("https://twitter.com/LarryOrnez/status/922070269505699846","922070269505699846")</f>
        <v>922070269505699846</v>
      </c>
      <c r="F1675" s="10" t="s">
        <v>51</v>
      </c>
      <c r="G1675" s="10" t="n">
        <v>904</v>
      </c>
      <c r="H1675" s="10" t="n">
        <v>705</v>
      </c>
      <c r="I1675" s="10" t="n">
        <v>50</v>
      </c>
      <c r="J1675" s="10" t="n">
        <v>0</v>
      </c>
      <c r="K1675" s="10" t="s">
        <v>20</v>
      </c>
      <c r="L1675" s="11" t="n">
        <v>41055.6700115741</v>
      </c>
      <c r="M1675" s="12" t="s">
        <v>723</v>
      </c>
      <c r="N1675" s="12" t="s">
        <v>4337</v>
      </c>
      <c r="O1675" s="9" t="str">
        <f aca="false">HYPERLINK("https://pbs.twimg.com/profile_images/904873383606837249/cfBSNBMR_normal.jpg","View")</f>
        <v>View</v>
      </c>
      <c r="P1675" s="10"/>
    </row>
    <row r="1676" customFormat="false" ht="15.75" hidden="false" customHeight="false" outlineLevel="0" collapsed="false">
      <c r="A1676" s="6" t="n">
        <v>43030.2090277778</v>
      </c>
      <c r="B1676" s="7" t="str">
        <f aca="false">HYPERLINK("https://twitter.com/tiancaidingyi","@tiancaidingyi")</f>
        <v>@tiancaidingyi</v>
      </c>
      <c r="C1676" s="8" t="s">
        <v>4338</v>
      </c>
      <c r="D1676" s="8" t="s">
        <v>4339</v>
      </c>
      <c r="E1676" s="9" t="str">
        <f aca="false">HYPERLINK("https://twitter.com/tiancaidingyi/status/922070280389976065","922070280389976065")</f>
        <v>922070280389976065</v>
      </c>
      <c r="F1676" s="10" t="s">
        <v>60</v>
      </c>
      <c r="G1676" s="10" t="n">
        <v>6</v>
      </c>
      <c r="H1676" s="10" t="n">
        <v>37</v>
      </c>
      <c r="I1676" s="10" t="n">
        <v>0</v>
      </c>
      <c r="J1676" s="10" t="n">
        <v>0</v>
      </c>
      <c r="K1676" s="10" t="s">
        <v>20</v>
      </c>
      <c r="L1676" s="11" t="n">
        <v>41528.1865509259</v>
      </c>
      <c r="M1676" s="12"/>
      <c r="N1676" s="12"/>
      <c r="O1676" s="9" t="str">
        <f aca="false">HYPERLINK("https://pbs.twimg.com/profile_images/781170069422297088/qS0rhO_E_normal.jpg","View")</f>
        <v>View</v>
      </c>
      <c r="P1676" s="10"/>
    </row>
    <row r="1677" customFormat="false" ht="15.75" hidden="false" customHeight="false" outlineLevel="0" collapsed="false">
      <c r="A1677" s="6" t="n">
        <v>43030.2090509259</v>
      </c>
      <c r="B1677" s="7" t="str">
        <f aca="false">HYPERLINK("https://twitter.com/oguray","@oguray")</f>
        <v>@oguray</v>
      </c>
      <c r="C1677" s="14" t="s">
        <v>4220</v>
      </c>
      <c r="D1677" s="8" t="s">
        <v>4124</v>
      </c>
      <c r="E1677" s="9" t="str">
        <f aca="false">HYPERLINK("https://twitter.com/oguray/status/922070286651899905","922070286651899905")</f>
        <v>922070286651899905</v>
      </c>
      <c r="F1677" s="10" t="s">
        <v>51</v>
      </c>
      <c r="G1677" s="10" t="n">
        <v>1239</v>
      </c>
      <c r="H1677" s="10" t="n">
        <v>529</v>
      </c>
      <c r="I1677" s="10" t="n">
        <v>111</v>
      </c>
      <c r="J1677" s="10" t="n">
        <v>0</v>
      </c>
      <c r="K1677" s="10" t="s">
        <v>20</v>
      </c>
      <c r="L1677" s="11" t="n">
        <v>39964.8114699074</v>
      </c>
      <c r="M1677" s="13" t="s">
        <v>4221</v>
      </c>
      <c r="N1677" s="12" t="s">
        <v>4222</v>
      </c>
      <c r="O1677" s="9" t="str">
        <f aca="false">HYPERLINK("https://pbs.twimg.com/profile_images/868510836007903232/6ek8hf4I_normal.jpg","View")</f>
        <v>View</v>
      </c>
      <c r="P1677" s="10"/>
    </row>
    <row r="1678" customFormat="false" ht="15.75" hidden="false" customHeight="false" outlineLevel="0" collapsed="false">
      <c r="A1678" s="6" t="n">
        <v>43030.2090509259</v>
      </c>
      <c r="B1678" s="7" t="str">
        <f aca="false">HYPERLINK("https://twitter.com/SethSimonOwen","@SethSimonOwen")</f>
        <v>@SethSimonOwen</v>
      </c>
      <c r="C1678" s="8" t="s">
        <v>4340</v>
      </c>
      <c r="D1678" s="8" t="s">
        <v>4341</v>
      </c>
      <c r="E1678" s="9" t="str">
        <f aca="false">HYPERLINK("https://twitter.com/SethSimonOwen/status/922070289793634304","922070289793634304")</f>
        <v>922070289793634304</v>
      </c>
      <c r="F1678" s="10" t="s">
        <v>110</v>
      </c>
      <c r="G1678" s="10" t="n">
        <v>20</v>
      </c>
      <c r="H1678" s="10" t="n">
        <v>15</v>
      </c>
      <c r="I1678" s="10" t="n">
        <v>0</v>
      </c>
      <c r="J1678" s="10" t="n">
        <v>0</v>
      </c>
      <c r="K1678" s="10" t="s">
        <v>20</v>
      </c>
      <c r="L1678" s="11" t="n">
        <v>41619.4488541667</v>
      </c>
      <c r="M1678" s="12"/>
      <c r="N1678" s="12"/>
      <c r="O1678" s="9" t="str">
        <f aca="false">HYPERLINK("https://pbs.twimg.com/profile_images/378800000859596935/py3kL2-5_normal.jpeg","View")</f>
        <v>View</v>
      </c>
      <c r="P1678" s="10"/>
    </row>
    <row r="1679" customFormat="false" ht="15.75" hidden="false" customHeight="false" outlineLevel="0" collapsed="false">
      <c r="A1679" s="6" t="n">
        <v>43030.2090740741</v>
      </c>
      <c r="B1679" s="7" t="str">
        <f aca="false">HYPERLINK("https://twitter.com/jiveNcool_it","@jiveNcool_it")</f>
        <v>@jiveNcool_it</v>
      </c>
      <c r="C1679" s="7" t="s">
        <v>4342</v>
      </c>
      <c r="D1679" s="8" t="s">
        <v>4343</v>
      </c>
      <c r="E1679" s="9" t="str">
        <f aca="false">HYPERLINK("https://twitter.com/jiveNcool_it/status/922070294352842752","922070294352842752")</f>
        <v>922070294352842752</v>
      </c>
      <c r="F1679" s="10" t="s">
        <v>60</v>
      </c>
      <c r="G1679" s="10" t="n">
        <v>79</v>
      </c>
      <c r="H1679" s="10" t="n">
        <v>232</v>
      </c>
      <c r="I1679" s="10" t="n">
        <v>0</v>
      </c>
      <c r="J1679" s="10" t="n">
        <v>0</v>
      </c>
      <c r="K1679" s="10" t="s">
        <v>20</v>
      </c>
      <c r="L1679" s="11" t="n">
        <v>41223.0922800926</v>
      </c>
      <c r="M1679" s="12" t="s">
        <v>4344</v>
      </c>
      <c r="N1679" s="12" t="s">
        <v>4345</v>
      </c>
      <c r="O1679" s="9" t="str">
        <f aca="false">HYPERLINK("https://pbs.twimg.com/profile_images/417410113410826240/TbQsjn2M_normal.jpeg","View")</f>
        <v>View</v>
      </c>
      <c r="P1679" s="10"/>
    </row>
    <row r="1680" customFormat="false" ht="15.75" hidden="false" customHeight="false" outlineLevel="0" collapsed="false">
      <c r="A1680" s="6" t="n">
        <v>43030.2090856482</v>
      </c>
      <c r="B1680" s="7" t="str">
        <f aca="false">HYPERLINK("https://twitter.com/Oreoluwa_Sam","@Oreoluwa_Sam")</f>
        <v>@Oreoluwa_Sam</v>
      </c>
      <c r="C1680" s="8" t="s">
        <v>4346</v>
      </c>
      <c r="D1680" s="8" t="s">
        <v>4124</v>
      </c>
      <c r="E1680" s="9" t="str">
        <f aca="false">HYPERLINK("https://twitter.com/Oreoluwa_Sam/status/922070300308787200","922070300308787200")</f>
        <v>922070300308787200</v>
      </c>
      <c r="F1680" s="10" t="s">
        <v>25</v>
      </c>
      <c r="G1680" s="10" t="n">
        <v>1646</v>
      </c>
      <c r="H1680" s="10" t="n">
        <v>1609</v>
      </c>
      <c r="I1680" s="10" t="n">
        <v>111</v>
      </c>
      <c r="J1680" s="10" t="n">
        <v>0</v>
      </c>
      <c r="K1680" s="10" t="s">
        <v>20</v>
      </c>
      <c r="L1680" s="11" t="n">
        <v>41583.2706944445</v>
      </c>
      <c r="M1680" s="12" t="s">
        <v>526</v>
      </c>
      <c r="N1680" s="12" t="s">
        <v>4347</v>
      </c>
      <c r="O1680" s="9" t="str">
        <f aca="false">HYPERLINK("https://pbs.twimg.com/profile_images/923938492664696833/dOpkKJH3_normal.jpg","View")</f>
        <v>View</v>
      </c>
      <c r="P1680" s="10"/>
    </row>
    <row r="1681" customFormat="false" ht="15.75" hidden="false" customHeight="false" outlineLevel="0" collapsed="false">
      <c r="A1681" s="6" t="n">
        <v>43030.2090972222</v>
      </c>
      <c r="B1681" s="7" t="str">
        <f aca="false">HYPERLINK("https://twitter.com/Aximum_C","@Aximum_C")</f>
        <v>@Aximum_C</v>
      </c>
      <c r="C1681" s="8" t="s">
        <v>4348</v>
      </c>
      <c r="D1681" s="8" t="s">
        <v>4349</v>
      </c>
      <c r="E1681" s="9" t="str">
        <f aca="false">HYPERLINK("https://twitter.com/Aximum_C/status/922070303571894272","922070303571894272")</f>
        <v>922070303571894272</v>
      </c>
      <c r="F1681" s="10" t="s">
        <v>60</v>
      </c>
      <c r="G1681" s="10" t="n">
        <v>1270</v>
      </c>
      <c r="H1681" s="10" t="n">
        <v>1967</v>
      </c>
      <c r="I1681" s="10" t="n">
        <v>0</v>
      </c>
      <c r="J1681" s="10" t="n">
        <v>0</v>
      </c>
      <c r="K1681" s="10" t="s">
        <v>20</v>
      </c>
      <c r="L1681" s="11" t="n">
        <v>39768.5865625</v>
      </c>
      <c r="M1681" s="12"/>
      <c r="N1681" s="12" t="s">
        <v>4350</v>
      </c>
      <c r="O1681" s="9" t="str">
        <f aca="false">HYPERLINK("https://pbs.twimg.com/profile_images/519686139179851776/Ub9FWwcJ_normal.png","View")</f>
        <v>View</v>
      </c>
      <c r="P1681" s="10"/>
    </row>
    <row r="1682" customFormat="false" ht="15.75" hidden="false" customHeight="false" outlineLevel="0" collapsed="false">
      <c r="A1682" s="6" t="n">
        <v>43030.2090972222</v>
      </c>
      <c r="B1682" s="7" t="str">
        <f aca="false">HYPERLINK("https://twitter.com/UK140","@UK140")</f>
        <v>@UK140</v>
      </c>
      <c r="C1682" s="8" t="s">
        <v>2106</v>
      </c>
      <c r="D1682" s="8" t="s">
        <v>4351</v>
      </c>
      <c r="E1682" s="9" t="str">
        <f aca="false">HYPERLINK("https://twitter.com/UK140/status/922070306507943936","922070306507943936")</f>
        <v>922070306507943936</v>
      </c>
      <c r="F1682" s="10" t="s">
        <v>110</v>
      </c>
      <c r="G1682" s="10" t="n">
        <v>246</v>
      </c>
      <c r="H1682" s="10" t="n">
        <v>10</v>
      </c>
      <c r="I1682" s="10" t="n">
        <v>0</v>
      </c>
      <c r="J1682" s="10" t="n">
        <v>0</v>
      </c>
      <c r="K1682" s="10" t="s">
        <v>20</v>
      </c>
      <c r="L1682" s="11" t="n">
        <v>40909.0803009259</v>
      </c>
      <c r="M1682" s="12" t="s">
        <v>1466</v>
      </c>
      <c r="N1682" s="12" t="s">
        <v>2108</v>
      </c>
      <c r="O1682" s="9" t="str">
        <f aca="false">HYPERLINK("https://pbs.twimg.com/profile_images/1727115787/1238378_uk_map_normal.jpg","View")</f>
        <v>View</v>
      </c>
      <c r="P1682" s="10"/>
    </row>
    <row r="1683" customFormat="false" ht="15.75" hidden="false" customHeight="false" outlineLevel="0" collapsed="false">
      <c r="A1683" s="6" t="n">
        <v>43030.2091087963</v>
      </c>
      <c r="B1683" s="7" t="str">
        <f aca="false">HYPERLINK("https://twitter.com/chanceofraincom","@chanceofraincom")</f>
        <v>@chanceofraincom</v>
      </c>
      <c r="C1683" s="8" t="s">
        <v>4352</v>
      </c>
      <c r="D1683" s="8" t="s">
        <v>4124</v>
      </c>
      <c r="E1683" s="9" t="str">
        <f aca="false">HYPERLINK("https://twitter.com/chanceofraincom/status/922070308189884416","922070308189884416")</f>
        <v>922070308189884416</v>
      </c>
      <c r="F1683" s="10" t="s">
        <v>39</v>
      </c>
      <c r="G1683" s="10" t="n">
        <v>1523</v>
      </c>
      <c r="H1683" s="10" t="n">
        <v>768</v>
      </c>
      <c r="I1683" s="10" t="n">
        <v>111</v>
      </c>
      <c r="J1683" s="10" t="n">
        <v>0</v>
      </c>
      <c r="K1683" s="10" t="s">
        <v>20</v>
      </c>
      <c r="L1683" s="11" t="n">
        <v>39944.4303240741</v>
      </c>
      <c r="M1683" s="12" t="s">
        <v>4353</v>
      </c>
      <c r="N1683" s="12" t="s">
        <v>4354</v>
      </c>
      <c r="O1683" s="9" t="str">
        <f aca="false">HYPERLINK("https://pbs.twimg.com/profile_images/455051778/dsc02789-150x150_normal.jpg","View")</f>
        <v>View</v>
      </c>
      <c r="P1683" s="10"/>
    </row>
    <row r="1684" customFormat="false" ht="15.75" hidden="false" customHeight="false" outlineLevel="0" collapsed="false">
      <c r="A1684" s="6" t="n">
        <v>43030.2091203704</v>
      </c>
      <c r="B1684" s="7" t="str">
        <f aca="false">HYPERLINK("https://twitter.com/DrkNemesis","@DrkNemesis")</f>
        <v>@DrkNemesis</v>
      </c>
      <c r="C1684" s="8" t="s">
        <v>4355</v>
      </c>
      <c r="D1684" s="8" t="s">
        <v>4356</v>
      </c>
      <c r="E1684" s="9" t="str">
        <f aca="false">HYPERLINK("https://twitter.com/DrkNemesis/status/922070312971317249","922070312971317249")</f>
        <v>922070312971317249</v>
      </c>
      <c r="F1684" s="10" t="s">
        <v>60</v>
      </c>
      <c r="G1684" s="10" t="n">
        <v>414</v>
      </c>
      <c r="H1684" s="10" t="n">
        <v>700</v>
      </c>
      <c r="I1684" s="10" t="n">
        <v>0</v>
      </c>
      <c r="J1684" s="10" t="n">
        <v>0</v>
      </c>
      <c r="K1684" s="10" t="s">
        <v>20</v>
      </c>
      <c r="L1684" s="11" t="n">
        <v>40443.8603125</v>
      </c>
      <c r="M1684" s="12" t="s">
        <v>4357</v>
      </c>
      <c r="N1684" s="12" t="s">
        <v>4358</v>
      </c>
      <c r="O1684" s="9" t="str">
        <f aca="false">HYPERLINK("https://pbs.twimg.com/profile_images/920621639787778049/ykrq0gSN_normal.jpg","View")</f>
        <v>View</v>
      </c>
      <c r="P1684" s="10"/>
    </row>
    <row r="1685" customFormat="false" ht="15.75" hidden="false" customHeight="false" outlineLevel="0" collapsed="false">
      <c r="A1685" s="6" t="n">
        <v>43030.2091203704</v>
      </c>
      <c r="B1685" s="7" t="str">
        <f aca="false">HYPERLINK("https://twitter.com/KKagasheki","@KKagasheki")</f>
        <v>@KKagasheki</v>
      </c>
      <c r="C1685" s="8" t="s">
        <v>4359</v>
      </c>
      <c r="D1685" s="8" t="s">
        <v>3646</v>
      </c>
      <c r="E1685" s="9" t="str">
        <f aca="false">HYPERLINK("https://twitter.com/KKagasheki/status/922070313025855488","922070313025855488")</f>
        <v>922070313025855488</v>
      </c>
      <c r="F1685" s="10" t="s">
        <v>51</v>
      </c>
      <c r="G1685" s="10" t="n">
        <v>24115</v>
      </c>
      <c r="H1685" s="10" t="n">
        <v>1366</v>
      </c>
      <c r="I1685" s="10" t="n">
        <v>71</v>
      </c>
      <c r="J1685" s="10" t="n">
        <v>0</v>
      </c>
      <c r="K1685" s="10" t="s">
        <v>20</v>
      </c>
      <c r="L1685" s="11" t="n">
        <v>39903.5177893519</v>
      </c>
      <c r="M1685" s="12" t="s">
        <v>4360</v>
      </c>
      <c r="N1685" s="12" t="s">
        <v>4361</v>
      </c>
      <c r="O1685" s="9" t="str">
        <f aca="false">HYPERLINK("https://pbs.twimg.com/profile_images/851303769669341184/GPBwX6ur_normal.jpg","View")</f>
        <v>View</v>
      </c>
      <c r="P1685" s="10"/>
    </row>
    <row r="1686" customFormat="false" ht="15.75" hidden="false" customHeight="false" outlineLevel="0" collapsed="false">
      <c r="A1686" s="6" t="n">
        <v>43030.2091435185</v>
      </c>
      <c r="B1686" s="7" t="str">
        <f aca="false">HYPERLINK("https://twitter.com/mansillo","@mansillo")</f>
        <v>@mansillo</v>
      </c>
      <c r="C1686" s="8" t="s">
        <v>4362</v>
      </c>
      <c r="D1686" s="8" t="s">
        <v>4363</v>
      </c>
      <c r="E1686" s="9" t="str">
        <f aca="false">HYPERLINK("https://twitter.com/mansillo/status/922070320755781633","922070320755781633")</f>
        <v>922070320755781633</v>
      </c>
      <c r="F1686" s="10" t="s">
        <v>51</v>
      </c>
      <c r="G1686" s="10" t="n">
        <v>4459</v>
      </c>
      <c r="H1686" s="10" t="n">
        <v>1330</v>
      </c>
      <c r="I1686" s="10" t="n">
        <v>0</v>
      </c>
      <c r="J1686" s="10" t="n">
        <v>0</v>
      </c>
      <c r="K1686" s="10" t="s">
        <v>20</v>
      </c>
      <c r="L1686" s="11" t="n">
        <v>40273.2060069444</v>
      </c>
      <c r="M1686" s="12" t="s">
        <v>1039</v>
      </c>
      <c r="N1686" s="12" t="s">
        <v>4364</v>
      </c>
      <c r="O1686" s="9" t="str">
        <f aca="false">HYPERLINK("https://pbs.twimg.com/profile_images/912130450017021952/8sdwImsv_normal.jpg","View")</f>
        <v>View</v>
      </c>
      <c r="P1686" s="10"/>
    </row>
    <row r="1687" customFormat="false" ht="15.75" hidden="false" customHeight="false" outlineLevel="0" collapsed="false">
      <c r="A1687" s="6" t="n">
        <v>43030.2091435185</v>
      </c>
      <c r="B1687" s="7" t="str">
        <f aca="false">HYPERLINK("https://twitter.com/vice_elisabete","@vice_elisabete")</f>
        <v>@vice_elisabete</v>
      </c>
      <c r="C1687" s="8" t="s">
        <v>4365</v>
      </c>
      <c r="D1687" s="8" t="s">
        <v>4068</v>
      </c>
      <c r="E1687" s="9" t="str">
        <f aca="false">HYPERLINK("https://twitter.com/vice_elisabete/status/922070321464860672","922070321464860672")</f>
        <v>922070321464860672</v>
      </c>
      <c r="F1687" s="10" t="s">
        <v>25</v>
      </c>
      <c r="G1687" s="10" t="n">
        <v>695</v>
      </c>
      <c r="H1687" s="10" t="n">
        <v>955</v>
      </c>
      <c r="I1687" s="10" t="n">
        <v>50</v>
      </c>
      <c r="J1687" s="10" t="n">
        <v>0</v>
      </c>
      <c r="K1687" s="10" t="s">
        <v>20</v>
      </c>
      <c r="L1687" s="11" t="n">
        <v>42181.746724537</v>
      </c>
      <c r="M1687" s="12" t="s">
        <v>4366</v>
      </c>
      <c r="N1687" s="12" t="s">
        <v>4367</v>
      </c>
      <c r="O1687" s="9" t="str">
        <f aca="false">HYPERLINK("https://pbs.twimg.com/profile_images/912729572218720256/ucFkhg_N_normal.jpg","View")</f>
        <v>View</v>
      </c>
      <c r="P1687" s="10"/>
    </row>
    <row r="1688" customFormat="false" ht="15.75" hidden="false" customHeight="false" outlineLevel="0" collapsed="false">
      <c r="A1688" s="6" t="n">
        <v>43030.2091550926</v>
      </c>
      <c r="B1688" s="7" t="str">
        <f aca="false">HYPERLINK("https://twitter.com/VfObquIKaUI5Kky","@VfObquIKaUI5Kky")</f>
        <v>@VfObquIKaUI5Kky</v>
      </c>
      <c r="C1688" s="14" t="s">
        <v>4368</v>
      </c>
      <c r="D1688" s="8" t="s">
        <v>4124</v>
      </c>
      <c r="E1688" s="9" t="str">
        <f aca="false">HYPERLINK("https://twitter.com/VfObquIKaUI5Kky/status/922070325692547077","922070325692547077")</f>
        <v>922070325692547077</v>
      </c>
      <c r="F1688" s="10" t="s">
        <v>51</v>
      </c>
      <c r="G1688" s="10" t="n">
        <v>76</v>
      </c>
      <c r="H1688" s="10" t="n">
        <v>159</v>
      </c>
      <c r="I1688" s="10" t="n">
        <v>111</v>
      </c>
      <c r="J1688" s="10" t="n">
        <v>0</v>
      </c>
      <c r="K1688" s="10" t="s">
        <v>20</v>
      </c>
      <c r="L1688" s="11" t="n">
        <v>42182.9696296296</v>
      </c>
      <c r="M1688" s="12"/>
      <c r="N1688" s="12"/>
      <c r="O1688" s="9" t="str">
        <f aca="false">HYPERLINK("https://pbs.twimg.com/profile_images/848502972946423808/hbofIjXG_normal.jpg","View")</f>
        <v>View</v>
      </c>
      <c r="P1688" s="10"/>
    </row>
    <row r="1689" customFormat="false" ht="15.75" hidden="false" customHeight="false" outlineLevel="0" collapsed="false">
      <c r="A1689" s="6" t="n">
        <v>43030.2091782407</v>
      </c>
      <c r="B1689" s="7" t="str">
        <f aca="false">HYPERLINK("https://twitter.com/jozbanski","@jozbanski")</f>
        <v>@jozbanski</v>
      </c>
      <c r="C1689" s="8" t="s">
        <v>4369</v>
      </c>
      <c r="D1689" s="8" t="s">
        <v>4370</v>
      </c>
      <c r="E1689" s="9" t="str">
        <f aca="false">HYPERLINK("https://twitter.com/jozbanski/status/922070333473067008","922070333473067008")</f>
        <v>922070333473067008</v>
      </c>
      <c r="F1689" s="10" t="s">
        <v>60</v>
      </c>
      <c r="G1689" s="10" t="n">
        <v>33</v>
      </c>
      <c r="H1689" s="10" t="n">
        <v>49</v>
      </c>
      <c r="I1689" s="10" t="n">
        <v>0</v>
      </c>
      <c r="J1689" s="10" t="n">
        <v>0</v>
      </c>
      <c r="K1689" s="10" t="s">
        <v>20</v>
      </c>
      <c r="L1689" s="11" t="n">
        <v>42263.2988657407</v>
      </c>
      <c r="M1689" s="12"/>
      <c r="N1689" s="12" t="s">
        <v>4371</v>
      </c>
      <c r="O1689" s="9" t="str">
        <f aca="false">HYPERLINK("https://pbs.twimg.com/profile_images/871298859389071360/KrUPbs3M_normal.jpg","View")</f>
        <v>View</v>
      </c>
      <c r="P1689" s="10"/>
    </row>
    <row r="1690" customFormat="false" ht="15.75" hidden="false" customHeight="false" outlineLevel="0" collapsed="false">
      <c r="A1690" s="6" t="n">
        <v>43030.2091898148</v>
      </c>
      <c r="B1690" s="7" t="str">
        <f aca="false">HYPERLINK("https://twitter.com/blocksteady","@blocksteady")</f>
        <v>@blocksteady</v>
      </c>
      <c r="C1690" s="8" t="s">
        <v>4372</v>
      </c>
      <c r="D1690" s="8" t="s">
        <v>4373</v>
      </c>
      <c r="E1690" s="9" t="str">
        <f aca="false">HYPERLINK("https://twitter.com/blocksteady/status/922070336245559297","922070336245559297")</f>
        <v>922070336245559297</v>
      </c>
      <c r="F1690" s="10" t="s">
        <v>60</v>
      </c>
      <c r="G1690" s="10" t="n">
        <v>887</v>
      </c>
      <c r="H1690" s="10" t="n">
        <v>3678</v>
      </c>
      <c r="I1690" s="10" t="n">
        <v>0</v>
      </c>
      <c r="J1690" s="10" t="n">
        <v>0</v>
      </c>
      <c r="K1690" s="10" t="s">
        <v>20</v>
      </c>
      <c r="L1690" s="11" t="n">
        <v>39894.7033912037</v>
      </c>
      <c r="M1690" s="12" t="s">
        <v>4374</v>
      </c>
      <c r="N1690" s="12" t="s">
        <v>4375</v>
      </c>
      <c r="O1690" s="9" t="str">
        <f aca="false">HYPERLINK("https://pbs.twimg.com/profile_images/860653805976899585/YF6VqjYw_normal.jpg","View")</f>
        <v>View</v>
      </c>
      <c r="P1690" s="10"/>
    </row>
    <row r="1691" customFormat="false" ht="15.75" hidden="false" customHeight="false" outlineLevel="0" collapsed="false">
      <c r="A1691" s="6" t="n">
        <v>43030.2092013889</v>
      </c>
      <c r="B1691" s="7" t="str">
        <f aca="false">HYPERLINK("https://twitter.com/MalenkaWarner","@MalenkaWarner")</f>
        <v>@MalenkaWarner</v>
      </c>
      <c r="C1691" s="8" t="s">
        <v>4376</v>
      </c>
      <c r="D1691" s="8" t="s">
        <v>4377</v>
      </c>
      <c r="E1691" s="9" t="str">
        <f aca="false">HYPERLINK("https://twitter.com/MalenkaWarner/status/922070341769363457","922070341769363457")</f>
        <v>922070341769363457</v>
      </c>
      <c r="F1691" s="10" t="s">
        <v>60</v>
      </c>
      <c r="G1691" s="10" t="n">
        <v>127</v>
      </c>
      <c r="H1691" s="10" t="n">
        <v>234</v>
      </c>
      <c r="I1691" s="10" t="n">
        <v>0</v>
      </c>
      <c r="J1691" s="10" t="n">
        <v>0</v>
      </c>
      <c r="K1691" s="10" t="s">
        <v>20</v>
      </c>
      <c r="L1691" s="11" t="n">
        <v>40822.4336805556</v>
      </c>
      <c r="M1691" s="12"/>
      <c r="N1691" s="12" t="s">
        <v>4378</v>
      </c>
      <c r="O1691" s="9" t="str">
        <f aca="false">HYPERLINK("https://pbs.twimg.com/profile_images/459652086372642817/qKSwk_iX_normal.jpeg","View")</f>
        <v>View</v>
      </c>
      <c r="P1691" s="10"/>
    </row>
    <row r="1692" customFormat="false" ht="15.75" hidden="false" customHeight="false" outlineLevel="0" collapsed="false">
      <c r="A1692" s="6" t="n">
        <v>43030.209224537</v>
      </c>
      <c r="B1692" s="7" t="str">
        <f aca="false">HYPERLINK("https://twitter.com/dzrhnews","@dzrhnews")</f>
        <v>@dzrhnews</v>
      </c>
      <c r="C1692" s="8" t="s">
        <v>4379</v>
      </c>
      <c r="D1692" s="8" t="s">
        <v>4380</v>
      </c>
      <c r="E1692" s="9" t="str">
        <f aca="false">HYPERLINK("https://twitter.com/dzrhnews/status/922070349977489408","922070349977489408")</f>
        <v>922070349977489408</v>
      </c>
      <c r="F1692" s="10" t="s">
        <v>276</v>
      </c>
      <c r="G1692" s="10" t="n">
        <v>46325</v>
      </c>
      <c r="H1692" s="10" t="n">
        <v>1039</v>
      </c>
      <c r="I1692" s="10" t="n">
        <v>0</v>
      </c>
      <c r="J1692" s="10" t="n">
        <v>1</v>
      </c>
      <c r="K1692" s="10" t="s">
        <v>20</v>
      </c>
      <c r="L1692" s="11" t="n">
        <v>40072.7327314815</v>
      </c>
      <c r="M1692" s="12" t="s">
        <v>4381</v>
      </c>
      <c r="N1692" s="12" t="s">
        <v>4382</v>
      </c>
      <c r="O1692" s="9" t="str">
        <f aca="false">HYPERLINK("https://pbs.twimg.com/profile_images/865074412881457152/PSrjTKft_normal.jpg","View")</f>
        <v>View</v>
      </c>
      <c r="P1692" s="10"/>
    </row>
    <row r="1693" customFormat="false" ht="15.75" hidden="false" customHeight="false" outlineLevel="0" collapsed="false">
      <c r="A1693" s="6" t="n">
        <v>43030.2092361111</v>
      </c>
      <c r="B1693" s="7" t="str">
        <f aca="false">HYPERLINK("https://twitter.com/ChocoMusette","@ChocoMusette")</f>
        <v>@ChocoMusette</v>
      </c>
      <c r="C1693" s="8" t="s">
        <v>4383</v>
      </c>
      <c r="D1693" s="8" t="s">
        <v>4384</v>
      </c>
      <c r="E1693" s="9" t="str">
        <f aca="false">HYPERLINK("https://twitter.com/ChocoMusette/status/922070353853255680","922070353853255680")</f>
        <v>922070353853255680</v>
      </c>
      <c r="F1693" s="10" t="s">
        <v>60</v>
      </c>
      <c r="G1693" s="10" t="n">
        <v>578</v>
      </c>
      <c r="H1693" s="10" t="n">
        <v>818</v>
      </c>
      <c r="I1693" s="10" t="n">
        <v>0</v>
      </c>
      <c r="J1693" s="10" t="n">
        <v>0</v>
      </c>
      <c r="K1693" s="10" t="s">
        <v>20</v>
      </c>
      <c r="L1693" s="11" t="n">
        <v>40072.8521875</v>
      </c>
      <c r="M1693" s="12" t="s">
        <v>4385</v>
      </c>
      <c r="N1693" s="12" t="s">
        <v>4386</v>
      </c>
      <c r="O1693" s="9" t="str">
        <f aca="false">HYPERLINK("https://pbs.twimg.com/profile_images/523144786295787521/L61VCjyC_normal.jpeg","View")</f>
        <v>View</v>
      </c>
      <c r="P1693" s="10"/>
    </row>
    <row r="1694" customFormat="false" ht="15.75" hidden="false" customHeight="false" outlineLevel="0" collapsed="false">
      <c r="A1694" s="6" t="n">
        <v>43030.2092361111</v>
      </c>
      <c r="B1694" s="7" t="str">
        <f aca="false">HYPERLINK("https://twitter.com/Social_Media_e4","@Social_Media_e4")</f>
        <v>@Social_Media_e4</v>
      </c>
      <c r="C1694" s="8" t="s">
        <v>4387</v>
      </c>
      <c r="D1694" s="8" t="s">
        <v>4388</v>
      </c>
      <c r="E1694" s="9" t="str">
        <f aca="false">HYPERLINK("https://twitter.com/Social_Media_e4/status/922070354981543937","922070354981543937")</f>
        <v>922070354981543937</v>
      </c>
      <c r="F1694" s="10" t="s">
        <v>110</v>
      </c>
      <c r="G1694" s="10" t="n">
        <v>22527</v>
      </c>
      <c r="H1694" s="10" t="n">
        <v>21424</v>
      </c>
      <c r="I1694" s="10" t="n">
        <v>0</v>
      </c>
      <c r="J1694" s="10" t="n">
        <v>1</v>
      </c>
      <c r="K1694" s="10" t="s">
        <v>20</v>
      </c>
      <c r="L1694" s="11" t="n">
        <v>42175.619212963</v>
      </c>
      <c r="M1694" s="12"/>
      <c r="N1694" s="12" t="s">
        <v>4389</v>
      </c>
      <c r="O1694" s="9" t="str">
        <f aca="false">HYPERLINK("https://pbs.twimg.com/profile_images/871225500680601601/NOBa6N8i_normal.jpg","View")</f>
        <v>View</v>
      </c>
      <c r="P1694" s="10"/>
    </row>
    <row r="1695" customFormat="false" ht="15.75" hidden="false" customHeight="false" outlineLevel="0" collapsed="false">
      <c r="A1695" s="6" t="n">
        <v>43030.2092592593</v>
      </c>
      <c r="B1695" s="7" t="str">
        <f aca="false">HYPERLINK("https://twitter.com/aj_once","@aj_once")</f>
        <v>@aj_once</v>
      </c>
      <c r="C1695" s="8" t="s">
        <v>4390</v>
      </c>
      <c r="D1695" s="8" t="s">
        <v>4124</v>
      </c>
      <c r="E1695" s="9" t="str">
        <f aca="false">HYPERLINK("https://twitter.com/aj_once/status/922070364162797570","922070364162797570")</f>
        <v>922070364162797570</v>
      </c>
      <c r="F1695" s="10" t="s">
        <v>737</v>
      </c>
      <c r="G1695" s="10" t="n">
        <v>29</v>
      </c>
      <c r="H1695" s="10" t="n">
        <v>0</v>
      </c>
      <c r="I1695" s="10" t="n">
        <v>111</v>
      </c>
      <c r="J1695" s="10" t="n">
        <v>0</v>
      </c>
      <c r="K1695" s="10" t="s">
        <v>20</v>
      </c>
      <c r="L1695" s="11" t="n">
        <v>42767.8523263889</v>
      </c>
      <c r="M1695" s="12"/>
      <c r="N1695" s="12" t="s">
        <v>4391</v>
      </c>
      <c r="O1695" s="9" t="str">
        <f aca="false">HYPERLINK("https://pbs.twimg.com/profile_images/827011275959975936/FLr_Q6cO_normal.jpg","View")</f>
        <v>View</v>
      </c>
      <c r="P1695" s="10"/>
    </row>
    <row r="1696" customFormat="false" ht="15.75" hidden="false" customHeight="false" outlineLevel="0" collapsed="false">
      <c r="A1696" s="6" t="n">
        <v>43030.2092939815</v>
      </c>
      <c r="B1696" s="7" t="str">
        <f aca="false">HYPERLINK("https://twitter.com/paustine0","@paustine0")</f>
        <v>@paustine0</v>
      </c>
      <c r="C1696" s="8" t="s">
        <v>4392</v>
      </c>
      <c r="D1696" s="8" t="s">
        <v>4393</v>
      </c>
      <c r="E1696" s="9" t="str">
        <f aca="false">HYPERLINK("https://twitter.com/paustine0/status/922070376095633408","922070376095633408")</f>
        <v>922070376095633408</v>
      </c>
      <c r="F1696" s="10" t="s">
        <v>60</v>
      </c>
      <c r="G1696" s="10" t="n">
        <v>8</v>
      </c>
      <c r="H1696" s="10" t="n">
        <v>73</v>
      </c>
      <c r="I1696" s="10" t="n">
        <v>0</v>
      </c>
      <c r="J1696" s="10" t="n">
        <v>0</v>
      </c>
      <c r="K1696" s="10" t="s">
        <v>20</v>
      </c>
      <c r="L1696" s="11" t="n">
        <v>42976.2400810185</v>
      </c>
      <c r="M1696" s="12"/>
      <c r="N1696" s="12" t="s">
        <v>4394</v>
      </c>
      <c r="O1696" s="9" t="str">
        <f aca="false">HYPERLINK("https://pbs.twimg.com/profile_images/902514142736773120/DfqsxgAp_normal.jpg","View")</f>
        <v>View</v>
      </c>
      <c r="P1696" s="10"/>
    </row>
    <row r="1697" customFormat="false" ht="15.75" hidden="false" customHeight="false" outlineLevel="0" collapsed="false">
      <c r="A1697" s="6" t="n">
        <v>43030.2092939815</v>
      </c>
      <c r="B1697" s="7" t="str">
        <f aca="false">HYPERLINK("https://twitter.com/Brendannzzzzzzz","@Brendannzzzzzzz")</f>
        <v>@Brendannzzzzzzz</v>
      </c>
      <c r="C1697" s="8" t="s">
        <v>4395</v>
      </c>
      <c r="D1697" s="8" t="s">
        <v>4396</v>
      </c>
      <c r="E1697" s="9" t="str">
        <f aca="false">HYPERLINK("https://twitter.com/Brendannzzzzzzz/status/922070377249017857","922070377249017857")</f>
        <v>922070377249017857</v>
      </c>
      <c r="F1697" s="10" t="s">
        <v>60</v>
      </c>
      <c r="G1697" s="10" t="n">
        <v>367</v>
      </c>
      <c r="H1697" s="10" t="n">
        <v>1558</v>
      </c>
      <c r="I1697" s="10" t="n">
        <v>0</v>
      </c>
      <c r="J1697" s="10" t="n">
        <v>0</v>
      </c>
      <c r="K1697" s="10" t="s">
        <v>20</v>
      </c>
      <c r="L1697" s="11" t="n">
        <v>40914.9141550926</v>
      </c>
      <c r="M1697" s="12" t="s">
        <v>4397</v>
      </c>
      <c r="N1697" s="12"/>
      <c r="O1697" s="9" t="str">
        <f aca="false">HYPERLINK("https://pbs.twimg.com/profile_images/1738713617/i_normal.jpg","View")</f>
        <v>View</v>
      </c>
      <c r="P1697" s="10"/>
    </row>
    <row r="1698" customFormat="false" ht="15.75" hidden="false" customHeight="false" outlineLevel="0" collapsed="false">
      <c r="A1698" s="6" t="n">
        <v>43030.2093287037</v>
      </c>
      <c r="B1698" s="7" t="str">
        <f aca="false">HYPERLINK("https://twitter.com/manujarch","@manujarch")</f>
        <v>@manujarch</v>
      </c>
      <c r="C1698" s="8" t="s">
        <v>4398</v>
      </c>
      <c r="D1698" s="8" t="s">
        <v>4399</v>
      </c>
      <c r="E1698" s="9" t="str">
        <f aca="false">HYPERLINK("https://twitter.com/manujarch/status/922070386690482176","922070386690482176")</f>
        <v>922070386690482176</v>
      </c>
      <c r="F1698" s="10" t="s">
        <v>60</v>
      </c>
      <c r="G1698" s="10" t="n">
        <v>2784</v>
      </c>
      <c r="H1698" s="10" t="n">
        <v>303</v>
      </c>
      <c r="I1698" s="10" t="n">
        <v>0</v>
      </c>
      <c r="J1698" s="10" t="n">
        <v>0</v>
      </c>
      <c r="K1698" s="10" t="s">
        <v>20</v>
      </c>
      <c r="L1698" s="11" t="n">
        <v>39511.8804976852</v>
      </c>
      <c r="M1698" s="12" t="s">
        <v>4400</v>
      </c>
      <c r="N1698" s="12" t="s">
        <v>4401</v>
      </c>
      <c r="O1698" s="9" t="str">
        <f aca="false">HYPERLINK("https://pbs.twimg.com/profile_images/923573268799352832/SdWlgcTB_normal.jpg","View")</f>
        <v>View</v>
      </c>
      <c r="P1698" s="10"/>
    </row>
    <row r="1699" customFormat="false" ht="15.75" hidden="false" customHeight="false" outlineLevel="0" collapsed="false">
      <c r="A1699" s="6" t="n">
        <v>43030.2093287037</v>
      </c>
      <c r="B1699" s="7" t="str">
        <f aca="false">HYPERLINK("https://twitter.com/AHA1R","@AHA1R")</f>
        <v>@AHA1R</v>
      </c>
      <c r="C1699" s="8" t="s">
        <v>961</v>
      </c>
      <c r="D1699" s="8" t="s">
        <v>4402</v>
      </c>
      <c r="E1699" s="9" t="str">
        <f aca="false">HYPERLINK("https://twitter.com/AHA1R/status/922070388183617537","922070388183617537")</f>
        <v>922070388183617537</v>
      </c>
      <c r="F1699" s="10" t="s">
        <v>60</v>
      </c>
      <c r="G1699" s="10" t="n">
        <v>6016</v>
      </c>
      <c r="H1699" s="10" t="n">
        <v>292</v>
      </c>
      <c r="I1699" s="10" t="n">
        <v>0</v>
      </c>
      <c r="J1699" s="10" t="n">
        <v>0</v>
      </c>
      <c r="K1699" s="10" t="s">
        <v>20</v>
      </c>
      <c r="L1699" s="11" t="n">
        <v>41866.115462963</v>
      </c>
      <c r="M1699" s="12" t="s">
        <v>963</v>
      </c>
      <c r="N1699" s="12" t="s">
        <v>964</v>
      </c>
      <c r="O1699" s="9" t="str">
        <f aca="false">HYPERLINK("https://pbs.twimg.com/profile_images/921412196591996928/bAd4X5Yt_normal.jpg","View")</f>
        <v>View</v>
      </c>
      <c r="P1699" s="10"/>
    </row>
    <row r="1700" customFormat="false" ht="15.75" hidden="false" customHeight="false" outlineLevel="0" collapsed="false">
      <c r="A1700" s="6" t="n">
        <v>43030.2093402778</v>
      </c>
      <c r="B1700" s="7" t="str">
        <f aca="false">HYPERLINK("https://twitter.com/gaz_catt","@gaz_catt")</f>
        <v>@gaz_catt</v>
      </c>
      <c r="C1700" s="8" t="s">
        <v>4403</v>
      </c>
      <c r="D1700" s="8" t="s">
        <v>4404</v>
      </c>
      <c r="E1700" s="9" t="str">
        <f aca="false">HYPERLINK("https://twitter.com/gaz_catt/status/922070392558313472","922070392558313472")</f>
        <v>922070392558313472</v>
      </c>
      <c r="F1700" s="10" t="s">
        <v>60</v>
      </c>
      <c r="G1700" s="10" t="n">
        <v>1111</v>
      </c>
      <c r="H1700" s="10" t="n">
        <v>1673</v>
      </c>
      <c r="I1700" s="10" t="n">
        <v>0</v>
      </c>
      <c r="J1700" s="10" t="n">
        <v>0</v>
      </c>
      <c r="K1700" s="10" t="s">
        <v>20</v>
      </c>
      <c r="L1700" s="11" t="n">
        <v>40603.5067361111</v>
      </c>
      <c r="M1700" s="12" t="s">
        <v>4405</v>
      </c>
      <c r="N1700" s="12" t="s">
        <v>4406</v>
      </c>
      <c r="O1700" s="9" t="str">
        <f aca="false">HYPERLINK("https://pbs.twimg.com/profile_images/1258879976/homer-simpson-wallpaper-brain-1024_normal.jpg","View")</f>
        <v>View</v>
      </c>
      <c r="P1700" s="10"/>
    </row>
    <row r="1701" customFormat="false" ht="15.75" hidden="false" customHeight="false" outlineLevel="0" collapsed="false">
      <c r="A1701" s="6" t="n">
        <v>43030.2093402778</v>
      </c>
      <c r="B1701" s="7" t="str">
        <f aca="false">HYPERLINK("https://twitter.com/ADaniel26099125","@ADaniel26099125")</f>
        <v>@ADaniel26099125</v>
      </c>
      <c r="C1701" s="8" t="s">
        <v>4407</v>
      </c>
      <c r="D1701" s="8" t="s">
        <v>4124</v>
      </c>
      <c r="E1701" s="9" t="str">
        <f aca="false">HYPERLINK("https://twitter.com/ADaniel26099125/status/922070392860299264","922070392860299264")</f>
        <v>922070392860299264</v>
      </c>
      <c r="F1701" s="10" t="s">
        <v>25</v>
      </c>
      <c r="G1701" s="10" t="n">
        <v>109</v>
      </c>
      <c r="H1701" s="10" t="n">
        <v>696</v>
      </c>
      <c r="I1701" s="10" t="n">
        <v>111</v>
      </c>
      <c r="J1701" s="10" t="n">
        <v>0</v>
      </c>
      <c r="K1701" s="10" t="s">
        <v>20</v>
      </c>
      <c r="L1701" s="11" t="n">
        <v>42845.2910763889</v>
      </c>
      <c r="M1701" s="12"/>
      <c r="N1701" s="12" t="s">
        <v>4408</v>
      </c>
      <c r="O1701" s="9" t="str">
        <f aca="false">HYPERLINK("https://pbs.twimg.com/profile_images/855107132567547904/rTinf8rE_normal.jpg","View")</f>
        <v>View</v>
      </c>
      <c r="P1701" s="10"/>
    </row>
    <row r="1702" customFormat="false" ht="15.75" hidden="false" customHeight="false" outlineLevel="0" collapsed="false">
      <c r="A1702" s="6" t="n">
        <v>43030.2093518519</v>
      </c>
      <c r="B1702" s="7" t="str">
        <f aca="false">HYPERLINK("https://twitter.com/1milhaodetweets","@1milhaodetweets")</f>
        <v>@1milhaodetweets</v>
      </c>
      <c r="C1702" s="8" t="s">
        <v>4409</v>
      </c>
      <c r="D1702" s="8" t="s">
        <v>4410</v>
      </c>
      <c r="E1702" s="9" t="str">
        <f aca="false">HYPERLINK("https://twitter.com/1milhaodetweets/status/922070394835820544","922070394835820544")</f>
        <v>922070394835820544</v>
      </c>
      <c r="F1702" s="10" t="s">
        <v>60</v>
      </c>
      <c r="G1702" s="10" t="n">
        <v>5087</v>
      </c>
      <c r="H1702" s="10" t="n">
        <v>5061</v>
      </c>
      <c r="I1702" s="10" t="n">
        <v>0</v>
      </c>
      <c r="J1702" s="10" t="n">
        <v>0</v>
      </c>
      <c r="K1702" s="10" t="s">
        <v>20</v>
      </c>
      <c r="L1702" s="11" t="n">
        <v>40974.629375</v>
      </c>
      <c r="M1702" s="12"/>
      <c r="N1702" s="12" t="s">
        <v>4411</v>
      </c>
      <c r="O1702" s="9" t="str">
        <f aca="false">HYPERLINK("https://pbs.twimg.com/profile_images/479307393403068416/fLEpvG1O_normal.jpeg","View")</f>
        <v>View</v>
      </c>
      <c r="P1702" s="10"/>
    </row>
    <row r="1703" customFormat="false" ht="15.75" hidden="false" customHeight="false" outlineLevel="0" collapsed="false">
      <c r="A1703" s="6" t="n">
        <v>43030.2093518519</v>
      </c>
      <c r="B1703" s="7" t="str">
        <f aca="false">HYPERLINK("https://twitter.com/KapuriyaRahul","@KapuriyaRahul")</f>
        <v>@KapuriyaRahul</v>
      </c>
      <c r="C1703" s="8" t="s">
        <v>4412</v>
      </c>
      <c r="D1703" s="8" t="s">
        <v>4413</v>
      </c>
      <c r="E1703" s="9" t="str">
        <f aca="false">HYPERLINK("https://twitter.com/KapuriyaRahul/status/922070396190576640","922070396190576640")</f>
        <v>922070396190576640</v>
      </c>
      <c r="F1703" s="10" t="s">
        <v>60</v>
      </c>
      <c r="G1703" s="10" t="n">
        <v>105</v>
      </c>
      <c r="H1703" s="10" t="n">
        <v>148</v>
      </c>
      <c r="I1703" s="10" t="n">
        <v>0</v>
      </c>
      <c r="J1703" s="10" t="n">
        <v>0</v>
      </c>
      <c r="K1703" s="10" t="s">
        <v>20</v>
      </c>
      <c r="L1703" s="11" t="n">
        <v>41130.0280208333</v>
      </c>
      <c r="M1703" s="12" t="s">
        <v>4414</v>
      </c>
      <c r="N1703" s="12" t="s">
        <v>4415</v>
      </c>
      <c r="O1703" s="9" t="str">
        <f aca="false">HYPERLINK("https://pbs.twimg.com/profile_images/678490419169128448/OfgnvCW2_normal.jpg","View")</f>
        <v>View</v>
      </c>
      <c r="P1703" s="10"/>
    </row>
    <row r="1704" customFormat="false" ht="15.75" hidden="false" customHeight="false" outlineLevel="0" collapsed="false">
      <c r="A1704" s="6" t="n">
        <v>43030.2093865741</v>
      </c>
      <c r="B1704" s="7" t="str">
        <f aca="false">HYPERLINK("https://twitter.com/pressshare","@pressshare")</f>
        <v>@pressshare</v>
      </c>
      <c r="C1704" s="8" t="s">
        <v>4416</v>
      </c>
      <c r="D1704" s="8" t="s">
        <v>4417</v>
      </c>
      <c r="E1704" s="9" t="str">
        <f aca="false">HYPERLINK("https://twitter.com/pressshare/status/922070408353976321","922070408353976321")</f>
        <v>922070408353976321</v>
      </c>
      <c r="F1704" s="10" t="s">
        <v>60</v>
      </c>
      <c r="G1704" s="10" t="n">
        <v>115</v>
      </c>
      <c r="H1704" s="10" t="n">
        <v>16</v>
      </c>
      <c r="I1704" s="10" t="n">
        <v>0</v>
      </c>
      <c r="J1704" s="10" t="n">
        <v>0</v>
      </c>
      <c r="K1704" s="10" t="s">
        <v>20</v>
      </c>
      <c r="L1704" s="11" t="n">
        <v>41514.5754513889</v>
      </c>
      <c r="M1704" s="12" t="s">
        <v>4418</v>
      </c>
      <c r="N1704" s="12" t="s">
        <v>4419</v>
      </c>
      <c r="O1704" s="9" t="str">
        <f aca="false">HYPERLINK("https://pbs.twimg.com/profile_images/423406463407517696/EISy2edi_normal.jpeg","View")</f>
        <v>View</v>
      </c>
      <c r="P1704" s="10"/>
    </row>
    <row r="1705" customFormat="false" ht="15.75" hidden="false" customHeight="false" outlineLevel="0" collapsed="false">
      <c r="A1705" s="6" t="n">
        <v>43030.2093981481</v>
      </c>
      <c r="B1705" s="7" t="str">
        <f aca="false">HYPERLINK("https://twitter.com/bookido","@bookido")</f>
        <v>@bookido</v>
      </c>
      <c r="C1705" s="8" t="s">
        <v>4420</v>
      </c>
      <c r="D1705" s="8" t="s">
        <v>4421</v>
      </c>
      <c r="E1705" s="9" t="str">
        <f aca="false">HYPERLINK("https://twitter.com/bookido/status/922070414314098688","922070414314098688")</f>
        <v>922070414314098688</v>
      </c>
      <c r="F1705" s="10" t="s">
        <v>60</v>
      </c>
      <c r="G1705" s="10" t="n">
        <v>2194</v>
      </c>
      <c r="H1705" s="10" t="n">
        <v>3014</v>
      </c>
      <c r="I1705" s="10" t="n">
        <v>0</v>
      </c>
      <c r="J1705" s="10" t="n">
        <v>0</v>
      </c>
      <c r="K1705" s="10" t="s">
        <v>20</v>
      </c>
      <c r="L1705" s="11" t="n">
        <v>39634.7105092593</v>
      </c>
      <c r="M1705" s="12"/>
      <c r="N1705" s="12" t="s">
        <v>4422</v>
      </c>
      <c r="O1705" s="9" t="str">
        <f aca="false">HYPERLINK("https://pbs.twimg.com/profile_images/895289483360432129/CYjEtbjI_normal.jpg","View")</f>
        <v>View</v>
      </c>
      <c r="P1705" s="10"/>
    </row>
    <row r="1706" customFormat="false" ht="15.75" hidden="false" customHeight="false" outlineLevel="0" collapsed="false">
      <c r="A1706" s="6" t="n">
        <v>43030.2093981481</v>
      </c>
      <c r="B1706" s="7" t="str">
        <f aca="false">HYPERLINK("https://twitter.com/Londied39","@Londied39")</f>
        <v>@Londied39</v>
      </c>
      <c r="C1706" s="8" t="s">
        <v>4423</v>
      </c>
      <c r="D1706" s="8" t="s">
        <v>4424</v>
      </c>
      <c r="E1706" s="9" t="str">
        <f aca="false">HYPERLINK("https://twitter.com/Londied39/status/922070415513735168","922070415513735168")</f>
        <v>922070415513735168</v>
      </c>
      <c r="F1706" s="10" t="s">
        <v>110</v>
      </c>
      <c r="G1706" s="10" t="n">
        <v>227</v>
      </c>
      <c r="H1706" s="10" t="n">
        <v>109</v>
      </c>
      <c r="I1706" s="10" t="n">
        <v>0</v>
      </c>
      <c r="J1706" s="10" t="n">
        <v>0</v>
      </c>
      <c r="K1706" s="10" t="s">
        <v>20</v>
      </c>
      <c r="L1706" s="11" t="n">
        <v>42241.0300231482</v>
      </c>
      <c r="M1706" s="12" t="s">
        <v>4425</v>
      </c>
      <c r="N1706" s="12" t="s">
        <v>4426</v>
      </c>
      <c r="O1706" s="9" t="str">
        <f aca="false">HYPERLINK("https://pbs.twimg.com/profile_images/848616043740377088/dbyEgV6g_normal.jpg","View")</f>
        <v>View</v>
      </c>
      <c r="P1706" s="10"/>
    </row>
    <row r="1707" customFormat="false" ht="15.75" hidden="false" customHeight="false" outlineLevel="0" collapsed="false">
      <c r="A1707" s="6" t="n">
        <v>43030.2094097222</v>
      </c>
      <c r="B1707" s="7" t="str">
        <f aca="false">HYPERLINK("https://twitter.com/RageOfAFeminist","@RageOfAFeminist")</f>
        <v>@RageOfAFeminist</v>
      </c>
      <c r="C1707" s="8" t="s">
        <v>4427</v>
      </c>
      <c r="D1707" s="8" t="s">
        <v>4428</v>
      </c>
      <c r="E1707" s="9" t="str">
        <f aca="false">HYPERLINK("https://twitter.com/RageOfAFeminist/status/922070417044660230","922070417044660230")</f>
        <v>922070417044660230</v>
      </c>
      <c r="F1707" s="10" t="s">
        <v>60</v>
      </c>
      <c r="G1707" s="10" t="n">
        <v>422</v>
      </c>
      <c r="H1707" s="10" t="n">
        <v>355</v>
      </c>
      <c r="I1707" s="10" t="n">
        <v>0</v>
      </c>
      <c r="J1707" s="10" t="n">
        <v>0</v>
      </c>
      <c r="K1707" s="10" t="s">
        <v>20</v>
      </c>
      <c r="L1707" s="11" t="n">
        <v>42549.6814814815</v>
      </c>
      <c r="M1707" s="12"/>
      <c r="N1707" s="12" t="s">
        <v>4429</v>
      </c>
      <c r="O1707" s="9" t="str">
        <f aca="false">HYPERLINK("https://pbs.twimg.com/profile_images/752516964489330689/m4pDxM___normal.jpg","View")</f>
        <v>View</v>
      </c>
      <c r="P1707" s="10"/>
    </row>
    <row r="1708" customFormat="false" ht="15.75" hidden="false" customHeight="false" outlineLevel="0" collapsed="false">
      <c r="A1708" s="6" t="n">
        <v>43030.2094212963</v>
      </c>
      <c r="B1708" s="7" t="str">
        <f aca="false">HYPERLINK("https://twitter.com/mw569256","@mw569256")</f>
        <v>@mw569256</v>
      </c>
      <c r="C1708" s="8" t="s">
        <v>4430</v>
      </c>
      <c r="D1708" s="8" t="s">
        <v>4431</v>
      </c>
      <c r="E1708" s="9" t="str">
        <f aca="false">HYPERLINK("https://twitter.com/mw569256/status/922070422614691843","922070422614691843")</f>
        <v>922070422614691843</v>
      </c>
      <c r="F1708" s="10" t="s">
        <v>60</v>
      </c>
      <c r="G1708" s="10" t="n">
        <v>949</v>
      </c>
      <c r="H1708" s="10" t="n">
        <v>273</v>
      </c>
      <c r="I1708" s="10" t="n">
        <v>0</v>
      </c>
      <c r="J1708" s="10" t="n">
        <v>0</v>
      </c>
      <c r="K1708" s="10" t="s">
        <v>20</v>
      </c>
      <c r="L1708" s="11" t="n">
        <v>41318.9457175926</v>
      </c>
      <c r="M1708" s="12"/>
      <c r="N1708" s="12" t="s">
        <v>4432</v>
      </c>
      <c r="O1708" s="9" t="str">
        <f aca="false">HYPERLINK("https://pbs.twimg.com/profile_images/616453373361913856/i0zdarFD_normal.jpg","View")</f>
        <v>View</v>
      </c>
      <c r="P1708" s="10"/>
    </row>
    <row r="1709" customFormat="false" ht="15.75" hidden="false" customHeight="false" outlineLevel="0" collapsed="false">
      <c r="A1709" s="6" t="n">
        <v>43030.2094212963</v>
      </c>
      <c r="B1709" s="7" t="str">
        <f aca="false">HYPERLINK("https://twitter.com/gus_otto","@gus_otto")</f>
        <v>@gus_otto</v>
      </c>
      <c r="C1709" s="8" t="s">
        <v>4433</v>
      </c>
      <c r="D1709" s="8" t="s">
        <v>4434</v>
      </c>
      <c r="E1709" s="9" t="str">
        <f aca="false">HYPERLINK("https://twitter.com/gus_otto/status/922070423499571200","922070423499571200")</f>
        <v>922070423499571200</v>
      </c>
      <c r="F1709" s="10" t="s">
        <v>60</v>
      </c>
      <c r="G1709" s="10" t="n">
        <v>9148</v>
      </c>
      <c r="H1709" s="10" t="n">
        <v>1231</v>
      </c>
      <c r="I1709" s="10" t="n">
        <v>0</v>
      </c>
      <c r="J1709" s="10" t="n">
        <v>0</v>
      </c>
      <c r="K1709" s="10" t="s">
        <v>20</v>
      </c>
      <c r="L1709" s="11" t="n">
        <v>39722.5115740741</v>
      </c>
      <c r="M1709" s="12" t="s">
        <v>4435</v>
      </c>
      <c r="N1709" s="12" t="s">
        <v>4436</v>
      </c>
      <c r="O1709" s="9" t="str">
        <f aca="false">HYPERLINK("https://pbs.twimg.com/profile_images/808711859520106496/KWNq_eg8_normal.jpg","View")</f>
        <v>View</v>
      </c>
      <c r="P1709" s="10"/>
    </row>
    <row r="1710" customFormat="false" ht="15.75" hidden="false" customHeight="false" outlineLevel="0" collapsed="false">
      <c r="A1710" s="6" t="n">
        <v>43030.2094444444</v>
      </c>
      <c r="B1710" s="7" t="str">
        <f aca="false">HYPERLINK("https://twitter.com/QxNews","@QxNews")</f>
        <v>@QxNews</v>
      </c>
      <c r="C1710" s="8" t="s">
        <v>3009</v>
      </c>
      <c r="D1710" s="8" t="s">
        <v>4124</v>
      </c>
      <c r="E1710" s="9" t="str">
        <f aca="false">HYPERLINK("https://twitter.com/QxNews/status/922070431372255232","922070431372255232")</f>
        <v>922070431372255232</v>
      </c>
      <c r="F1710" s="10" t="s">
        <v>3011</v>
      </c>
      <c r="G1710" s="10" t="n">
        <v>3237</v>
      </c>
      <c r="H1710" s="10" t="n">
        <v>271</v>
      </c>
      <c r="I1710" s="10" t="n">
        <v>111</v>
      </c>
      <c r="J1710" s="10" t="n">
        <v>0</v>
      </c>
      <c r="K1710" s="10" t="s">
        <v>20</v>
      </c>
      <c r="L1710" s="11" t="n">
        <v>41497.8580671296</v>
      </c>
      <c r="M1710" s="12" t="s">
        <v>502</v>
      </c>
      <c r="N1710" s="12" t="s">
        <v>3012</v>
      </c>
      <c r="O1710" s="9" t="str">
        <f aca="false">HYPERLINK("https://pbs.twimg.com/profile_images/597288578092240896/ePlmSYCH_normal.png","View")</f>
        <v>View</v>
      </c>
      <c r="P1710" s="10"/>
    </row>
    <row r="1711" customFormat="false" ht="15.75" hidden="false" customHeight="false" outlineLevel="0" collapsed="false">
      <c r="A1711" s="6" t="n">
        <v>43030.2094675926</v>
      </c>
      <c r="B1711" s="7" t="str">
        <f aca="false">HYPERLINK("https://twitter.com/income77","@income77")</f>
        <v>@income77</v>
      </c>
      <c r="C1711" s="8" t="s">
        <v>4437</v>
      </c>
      <c r="D1711" s="8" t="s">
        <v>4438</v>
      </c>
      <c r="E1711" s="9" t="str">
        <f aca="false">HYPERLINK("https://twitter.com/income77/status/922070440507510784","922070440507510784")</f>
        <v>922070440507510784</v>
      </c>
      <c r="F1711" s="10" t="s">
        <v>60</v>
      </c>
      <c r="G1711" s="10" t="n">
        <v>1435</v>
      </c>
      <c r="H1711" s="10" t="n">
        <v>2318</v>
      </c>
      <c r="I1711" s="10" t="n">
        <v>0</v>
      </c>
      <c r="J1711" s="10" t="n">
        <v>0</v>
      </c>
      <c r="K1711" s="10" t="s">
        <v>20</v>
      </c>
      <c r="L1711" s="11" t="n">
        <v>40643.8575</v>
      </c>
      <c r="M1711" s="12" t="s">
        <v>230</v>
      </c>
      <c r="N1711" s="12" t="s">
        <v>4439</v>
      </c>
      <c r="O1711" s="9" t="str">
        <f aca="false">HYPERLINK("https://pbs.twimg.com/profile_images/909968011775184896/bkFJz6eC_normal.jpg","View")</f>
        <v>View</v>
      </c>
      <c r="P1711" s="10"/>
    </row>
    <row r="1712" customFormat="false" ht="15.75" hidden="false" customHeight="false" outlineLevel="0" collapsed="false">
      <c r="A1712" s="6" t="n">
        <v>43030.2094791667</v>
      </c>
      <c r="B1712" s="7" t="str">
        <f aca="false">HYPERLINK("https://twitter.com/Flash_Feed","@Flash_Feed")</f>
        <v>@Flash_Feed</v>
      </c>
      <c r="C1712" s="8" t="s">
        <v>4440</v>
      </c>
      <c r="D1712" s="8" t="s">
        <v>4441</v>
      </c>
      <c r="E1712" s="9" t="str">
        <f aca="false">HYPERLINK("https://twitter.com/Flash_Feed/status/922070441904230400","922070441904230400")</f>
        <v>922070441904230400</v>
      </c>
      <c r="F1712" s="10" t="s">
        <v>60</v>
      </c>
      <c r="G1712" s="10" t="n">
        <v>2126</v>
      </c>
      <c r="H1712" s="10" t="n">
        <v>693</v>
      </c>
      <c r="I1712" s="10" t="n">
        <v>0</v>
      </c>
      <c r="J1712" s="10" t="n">
        <v>0</v>
      </c>
      <c r="K1712" s="10" t="s">
        <v>20</v>
      </c>
      <c r="L1712" s="11" t="n">
        <v>40400.6840162037</v>
      </c>
      <c r="M1712" s="12" t="s">
        <v>4442</v>
      </c>
      <c r="N1712" s="12" t="s">
        <v>4443</v>
      </c>
      <c r="O1712" s="9" t="str">
        <f aca="false">HYPERLINK("https://pbs.twimg.com/profile_images/871321190077390848/mySN2FAq_normal.jpg","View")</f>
        <v>View</v>
      </c>
      <c r="P1712" s="10"/>
    </row>
    <row r="1713" customFormat="false" ht="15.75" hidden="false" customHeight="false" outlineLevel="0" collapsed="false">
      <c r="A1713" s="6" t="n">
        <v>43030.2094907407</v>
      </c>
      <c r="B1713" s="7" t="str">
        <f aca="false">HYPERLINK("https://twitter.com/tatty20111","@tatty20111")</f>
        <v>@tatty20111</v>
      </c>
      <c r="C1713" s="8" t="s">
        <v>4444</v>
      </c>
      <c r="D1713" s="8" t="s">
        <v>4445</v>
      </c>
      <c r="E1713" s="9" t="str">
        <f aca="false">HYPERLINK("https://twitter.com/tatty20111/status/922070447998619649","922070447998619649")</f>
        <v>922070447998619649</v>
      </c>
      <c r="F1713" s="10" t="s">
        <v>60</v>
      </c>
      <c r="G1713" s="10" t="n">
        <v>1</v>
      </c>
      <c r="H1713" s="10" t="n">
        <v>28</v>
      </c>
      <c r="I1713" s="10" t="n">
        <v>0</v>
      </c>
      <c r="J1713" s="10" t="n">
        <v>0</v>
      </c>
      <c r="K1713" s="10" t="s">
        <v>20</v>
      </c>
      <c r="L1713" s="11" t="n">
        <v>41369.6690509259</v>
      </c>
      <c r="M1713" s="12"/>
      <c r="N1713" s="12"/>
      <c r="O1713" s="9" t="str">
        <f aca="false">HYPERLINK("https://pbs.twimg.com/profile_images/3482100548/30c3828167c3a318264a383cc746fe93_normal.jpeg","View")</f>
        <v>View</v>
      </c>
      <c r="P1713" s="10"/>
    </row>
    <row r="1714" customFormat="false" ht="15.75" hidden="false" customHeight="false" outlineLevel="0" collapsed="false">
      <c r="A1714" s="6" t="n">
        <v>43030.2094907407</v>
      </c>
      <c r="B1714" s="7" t="str">
        <f aca="false">HYPERLINK("https://twitter.com/Kelly_John_son","@Kelly_John_son")</f>
        <v>@Kelly_John_son</v>
      </c>
      <c r="C1714" s="8" t="s">
        <v>4446</v>
      </c>
      <c r="D1714" s="8" t="s">
        <v>4447</v>
      </c>
      <c r="E1714" s="9" t="str">
        <f aca="false">HYPERLINK("https://twitter.com/Kelly_John_son/status/922070448552235009","922070448552235009")</f>
        <v>922070448552235009</v>
      </c>
      <c r="F1714" s="10" t="s">
        <v>60</v>
      </c>
      <c r="G1714" s="10" t="n">
        <v>757</v>
      </c>
      <c r="H1714" s="10" t="n">
        <v>1734</v>
      </c>
      <c r="I1714" s="10" t="n">
        <v>0</v>
      </c>
      <c r="J1714" s="10" t="n">
        <v>0</v>
      </c>
      <c r="K1714" s="10" t="s">
        <v>20</v>
      </c>
      <c r="L1714" s="11" t="n">
        <v>42355.0607407407</v>
      </c>
      <c r="M1714" s="12"/>
      <c r="N1714" s="12" t="s">
        <v>4448</v>
      </c>
      <c r="O1714" s="9" t="str">
        <f aca="false">HYPERLINK("https://pbs.twimg.com/profile_images/681732631805861888/ShtLZiuP_normal.jpg","View")</f>
        <v>View</v>
      </c>
      <c r="P1714" s="10"/>
    </row>
    <row r="1715" customFormat="false" ht="15.75" hidden="false" customHeight="false" outlineLevel="0" collapsed="false">
      <c r="A1715" s="6" t="n">
        <v>43030.2095023148</v>
      </c>
      <c r="B1715" s="7" t="str">
        <f aca="false">HYPERLINK("https://twitter.com/Booutique","@Booutique")</f>
        <v>@Booutique</v>
      </c>
      <c r="C1715" s="8" t="s">
        <v>4449</v>
      </c>
      <c r="D1715" s="8" t="s">
        <v>4450</v>
      </c>
      <c r="E1715" s="9" t="str">
        <f aca="false">HYPERLINK("https://twitter.com/Booutique/status/922070450049572866","922070450049572866")</f>
        <v>922070450049572866</v>
      </c>
      <c r="F1715" s="10" t="s">
        <v>60</v>
      </c>
      <c r="G1715" s="10" t="n">
        <v>14339</v>
      </c>
      <c r="H1715" s="10" t="n">
        <v>12750</v>
      </c>
      <c r="I1715" s="10" t="n">
        <v>0</v>
      </c>
      <c r="J1715" s="10" t="n">
        <v>0</v>
      </c>
      <c r="K1715" s="10" t="s">
        <v>20</v>
      </c>
      <c r="L1715" s="11" t="n">
        <v>39904.5815393518</v>
      </c>
      <c r="M1715" s="12"/>
      <c r="N1715" s="12" t="s">
        <v>4451</v>
      </c>
      <c r="O1715" s="9" t="str">
        <f aca="false">HYPERLINK("https://pbs.twimg.com/profile_images/460586224256679936/rvWCM2Ry_normal.jpeg","View")</f>
        <v>View</v>
      </c>
      <c r="P1715" s="10"/>
    </row>
    <row r="1716" customFormat="false" ht="15.75" hidden="false" customHeight="false" outlineLevel="0" collapsed="false">
      <c r="A1716" s="6" t="n">
        <v>43030.2095486111</v>
      </c>
      <c r="B1716" s="7" t="str">
        <f aca="false">HYPERLINK("https://twitter.com/Y_ActiveCitizen","@Y_ActiveCitizen")</f>
        <v>@Y_ActiveCitizen</v>
      </c>
      <c r="C1716" s="8" t="s">
        <v>4452</v>
      </c>
      <c r="D1716" s="8" t="s">
        <v>4453</v>
      </c>
      <c r="E1716" s="9" t="str">
        <f aca="false">HYPERLINK("https://twitter.com/Y_ActiveCitizen/status/922070468739428352","922070468739428352")</f>
        <v>922070468739428352</v>
      </c>
      <c r="F1716" s="10" t="s">
        <v>60</v>
      </c>
      <c r="G1716" s="10" t="n">
        <v>12</v>
      </c>
      <c r="H1716" s="10" t="n">
        <v>0</v>
      </c>
      <c r="I1716" s="10" t="n">
        <v>0</v>
      </c>
      <c r="J1716" s="10" t="n">
        <v>0</v>
      </c>
      <c r="K1716" s="10" t="s">
        <v>20</v>
      </c>
      <c r="L1716" s="11" t="n">
        <v>42721.9050231482</v>
      </c>
      <c r="M1716" s="12"/>
      <c r="N1716" s="12"/>
      <c r="O1716" s="9" t="str">
        <f aca="false">HYPERLINK("https://pbs.twimg.com/profile_images/895043095317929984/EltzzBSA_normal.jpg","View")</f>
        <v>View</v>
      </c>
      <c r="P1716" s="10"/>
    </row>
    <row r="1717" customFormat="false" ht="15.75" hidden="false" customHeight="false" outlineLevel="0" collapsed="false">
      <c r="A1717" s="6" t="n">
        <v>43030.2095601852</v>
      </c>
      <c r="B1717" s="7" t="str">
        <f aca="false">HYPERLINK("https://twitter.com/dittocantafio","@dittocantafio")</f>
        <v>@dittocantafio</v>
      </c>
      <c r="C1717" s="8" t="s">
        <v>4454</v>
      </c>
      <c r="D1717" s="8" t="s">
        <v>4455</v>
      </c>
      <c r="E1717" s="9" t="str">
        <f aca="false">HYPERLINK("https://twitter.com/dittocantafio/status/922070471696441345","922070471696441345")</f>
        <v>922070471696441345</v>
      </c>
      <c r="F1717" s="10" t="s">
        <v>60</v>
      </c>
      <c r="G1717" s="10" t="n">
        <v>1619</v>
      </c>
      <c r="H1717" s="10" t="n">
        <v>175</v>
      </c>
      <c r="I1717" s="10" t="n">
        <v>0</v>
      </c>
      <c r="J1717" s="10" t="n">
        <v>0</v>
      </c>
      <c r="K1717" s="10" t="s">
        <v>20</v>
      </c>
      <c r="L1717" s="11" t="n">
        <v>39991.8092592593</v>
      </c>
      <c r="M1717" s="12" t="s">
        <v>4456</v>
      </c>
      <c r="N1717" s="12" t="s">
        <v>4457</v>
      </c>
      <c r="O1717" s="9" t="str">
        <f aca="false">HYPERLINK("https://pbs.twimg.com/profile_images/923865923261431809/DvH1Y7qP_normal.jpg","View")</f>
        <v>View</v>
      </c>
      <c r="P1717" s="10"/>
    </row>
    <row r="1718" customFormat="false" ht="15.75" hidden="false" customHeight="false" outlineLevel="0" collapsed="false">
      <c r="A1718" s="6" t="n">
        <v>43030.2095949074</v>
      </c>
      <c r="B1718" s="7" t="str">
        <f aca="false">HYPERLINK("https://twitter.com/hayato00000","@hayato00000")</f>
        <v>@hayato00000</v>
      </c>
      <c r="C1718" s="14" t="s">
        <v>4458</v>
      </c>
      <c r="D1718" s="8" t="s">
        <v>4068</v>
      </c>
      <c r="E1718" s="9" t="str">
        <f aca="false">HYPERLINK("https://twitter.com/hayato00000/status/922070484354785280","922070484354785280")</f>
        <v>922070484354785280</v>
      </c>
      <c r="F1718" s="10" t="s">
        <v>110</v>
      </c>
      <c r="G1718" s="10" t="n">
        <v>1431</v>
      </c>
      <c r="H1718" s="10" t="n">
        <v>2241</v>
      </c>
      <c r="I1718" s="10" t="n">
        <v>50</v>
      </c>
      <c r="J1718" s="10" t="n">
        <v>0</v>
      </c>
      <c r="K1718" s="10" t="s">
        <v>20</v>
      </c>
      <c r="L1718" s="11" t="n">
        <v>40619.1174768519</v>
      </c>
      <c r="M1718" s="12"/>
      <c r="N1718" s="13" t="s">
        <v>4459</v>
      </c>
      <c r="O1718" s="9" t="str">
        <f aca="false">HYPERLINK("https://pbs.twimg.com/profile_images/2390886697/uyu90smudr3qcu0u7gpc_normal.jpeg","View")</f>
        <v>View</v>
      </c>
      <c r="P1718" s="10"/>
    </row>
    <row r="1719" customFormat="false" ht="15.75" hidden="false" customHeight="false" outlineLevel="0" collapsed="false">
      <c r="A1719" s="6" t="n">
        <v>43030.2095949074</v>
      </c>
      <c r="B1719" s="7" t="str">
        <f aca="false">HYPERLINK("https://twitter.com/ollytheoliver","@ollytheoliver")</f>
        <v>@ollytheoliver</v>
      </c>
      <c r="C1719" s="8" t="s">
        <v>4460</v>
      </c>
      <c r="D1719" s="8" t="s">
        <v>4124</v>
      </c>
      <c r="E1719" s="9" t="str">
        <f aca="false">HYPERLINK("https://twitter.com/ollytheoliver/status/922070485663408128","922070485663408128")</f>
        <v>922070485663408128</v>
      </c>
      <c r="F1719" s="10" t="s">
        <v>25</v>
      </c>
      <c r="G1719" s="10" t="n">
        <v>2019</v>
      </c>
      <c r="H1719" s="10" t="n">
        <v>898</v>
      </c>
      <c r="I1719" s="10" t="n">
        <v>111</v>
      </c>
      <c r="J1719" s="10" t="n">
        <v>0</v>
      </c>
      <c r="K1719" s="10" t="s">
        <v>20</v>
      </c>
      <c r="L1719" s="11" t="n">
        <v>40651.2323842593</v>
      </c>
      <c r="M1719" s="12" t="s">
        <v>4461</v>
      </c>
      <c r="N1719" s="12" t="s">
        <v>4462</v>
      </c>
      <c r="O1719" s="9" t="str">
        <f aca="false">HYPERLINK("https://pbs.twimg.com/profile_images/715200970876129281/Fw-tHXXg_normal.jpg","View")</f>
        <v>View</v>
      </c>
      <c r="P1719" s="10"/>
    </row>
    <row r="1720" customFormat="false" ht="15.75" hidden="false" customHeight="false" outlineLevel="0" collapsed="false">
      <c r="A1720" s="6" t="n">
        <v>43030.2095949074</v>
      </c>
      <c r="B1720" s="7" t="str">
        <f aca="false">HYPERLINK("https://twitter.com/nereuvjr","@nereuvjr")</f>
        <v>@nereuvjr</v>
      </c>
      <c r="C1720" s="8" t="s">
        <v>4463</v>
      </c>
      <c r="D1720" s="8" t="s">
        <v>4464</v>
      </c>
      <c r="E1720" s="9" t="str">
        <f aca="false">HYPERLINK("https://twitter.com/nereuvjr/status/922070486204289024","922070486204289024")</f>
        <v>922070486204289024</v>
      </c>
      <c r="F1720" s="10" t="s">
        <v>60</v>
      </c>
      <c r="G1720" s="10" t="n">
        <v>23</v>
      </c>
      <c r="H1720" s="10" t="n">
        <v>50</v>
      </c>
      <c r="I1720" s="10" t="n">
        <v>0</v>
      </c>
      <c r="J1720" s="10" t="n">
        <v>0</v>
      </c>
      <c r="K1720" s="10" t="s">
        <v>20</v>
      </c>
      <c r="L1720" s="11" t="n">
        <v>41576.5530092593</v>
      </c>
      <c r="M1720" s="12" t="s">
        <v>4465</v>
      </c>
      <c r="N1720" s="12"/>
      <c r="O1720" s="9" t="str">
        <f aca="false">HYPERLINK("https://pbs.twimg.com/profile_images/470701223088107520/wvO861kR_normal.jpeg","View")</f>
        <v>View</v>
      </c>
      <c r="P1720" s="10"/>
    </row>
    <row r="1721" customFormat="false" ht="15.75" hidden="false" customHeight="false" outlineLevel="0" collapsed="false">
      <c r="A1721" s="6" t="n">
        <v>43030.2096180556</v>
      </c>
      <c r="B1721" s="7" t="str">
        <f aca="false">HYPERLINK("https://twitter.com/Ron_Bourne","@Ron_Bourne")</f>
        <v>@Ron_Bourne</v>
      </c>
      <c r="C1721" s="8" t="s">
        <v>4466</v>
      </c>
      <c r="D1721" s="8" t="s">
        <v>4467</v>
      </c>
      <c r="E1721" s="9" t="str">
        <f aca="false">HYPERLINK("https://twitter.com/Ron_Bourne/status/922070491204026369","922070491204026369")</f>
        <v>922070491204026369</v>
      </c>
      <c r="F1721" s="10" t="s">
        <v>60</v>
      </c>
      <c r="G1721" s="10" t="n">
        <v>361</v>
      </c>
      <c r="H1721" s="10" t="n">
        <v>241</v>
      </c>
      <c r="I1721" s="10" t="n">
        <v>0</v>
      </c>
      <c r="J1721" s="10" t="n">
        <v>0</v>
      </c>
      <c r="K1721" s="10" t="s">
        <v>20</v>
      </c>
      <c r="L1721" s="11" t="n">
        <v>39367.5259375</v>
      </c>
      <c r="M1721" s="12" t="s">
        <v>1319</v>
      </c>
      <c r="N1721" s="12" t="s">
        <v>4468</v>
      </c>
      <c r="O1721" s="9" t="str">
        <f aca="false">HYPERLINK("https://pbs.twimg.com/profile_images/922533323825664000/DLCEnlTy_normal.jpg","View")</f>
        <v>View</v>
      </c>
      <c r="P1721" s="10"/>
    </row>
    <row r="1722" customFormat="false" ht="15.75" hidden="false" customHeight="false" outlineLevel="0" collapsed="false">
      <c r="A1722" s="6" t="n">
        <v>43030.2096180556</v>
      </c>
      <c r="B1722" s="7" t="str">
        <f aca="false">HYPERLINK("https://twitter.com/cbelive_com","@cbelive_com")</f>
        <v>@cbelive_com</v>
      </c>
      <c r="C1722" s="8" t="s">
        <v>4469</v>
      </c>
      <c r="D1722" s="8" t="s">
        <v>4470</v>
      </c>
      <c r="E1722" s="9" t="str">
        <f aca="false">HYPERLINK("https://twitter.com/cbelive_com/status/922070493741625345","922070493741625345")</f>
        <v>922070493741625345</v>
      </c>
      <c r="F1722" s="10" t="s">
        <v>60</v>
      </c>
      <c r="G1722" s="10" t="n">
        <v>1272</v>
      </c>
      <c r="H1722" s="10" t="n">
        <v>1840</v>
      </c>
      <c r="I1722" s="10" t="n">
        <v>0</v>
      </c>
      <c r="J1722" s="10" t="n">
        <v>0</v>
      </c>
      <c r="K1722" s="10" t="s">
        <v>20</v>
      </c>
      <c r="L1722" s="11" t="n">
        <v>41672.5071064815</v>
      </c>
      <c r="M1722" s="12" t="s">
        <v>4471</v>
      </c>
      <c r="N1722" s="12" t="s">
        <v>4472</v>
      </c>
      <c r="O1722" s="9" t="str">
        <f aca="false">HYPERLINK("https://pbs.twimg.com/profile_images/430200907007926272/8LyTjX4l_normal.jpeg","View")</f>
        <v>View</v>
      </c>
      <c r="P1722" s="10"/>
    </row>
    <row r="1723" customFormat="false" ht="15.75" hidden="false" customHeight="false" outlineLevel="0" collapsed="false">
      <c r="A1723" s="6" t="n">
        <v>43030.2096527778</v>
      </c>
      <c r="B1723" s="7" t="str">
        <f aca="false">HYPERLINK("https://twitter.com/GeoffRogersEU","@GeoffRogersEU")</f>
        <v>@GeoffRogersEU</v>
      </c>
      <c r="C1723" s="8" t="s">
        <v>4473</v>
      </c>
      <c r="D1723" s="8" t="s">
        <v>4474</v>
      </c>
      <c r="E1723" s="9" t="str">
        <f aca="false">HYPERLINK("https://twitter.com/GeoffRogersEU/status/922070505523474433","922070505523474433")</f>
        <v>922070505523474433</v>
      </c>
      <c r="F1723" s="10" t="s">
        <v>60</v>
      </c>
      <c r="G1723" s="10" t="n">
        <v>536</v>
      </c>
      <c r="H1723" s="10" t="n">
        <v>323</v>
      </c>
      <c r="I1723" s="10" t="n">
        <v>0</v>
      </c>
      <c r="J1723" s="10" t="n">
        <v>0</v>
      </c>
      <c r="K1723" s="10" t="s">
        <v>20</v>
      </c>
      <c r="L1723" s="11" t="n">
        <v>39845.6339583333</v>
      </c>
      <c r="M1723" s="12" t="s">
        <v>4475</v>
      </c>
      <c r="N1723" s="12" t="s">
        <v>4476</v>
      </c>
      <c r="O1723" s="9" t="str">
        <f aca="false">HYPERLINK("https://pbs.twimg.com/profile_images/747137840811741184/uT0zuTPM_normal.jpg","View")</f>
        <v>View</v>
      </c>
      <c r="P1723" s="10"/>
    </row>
    <row r="1724" customFormat="false" ht="15.75" hidden="false" customHeight="false" outlineLevel="0" collapsed="false">
      <c r="A1724" s="6" t="n">
        <v>43030.2096643519</v>
      </c>
      <c r="B1724" s="7" t="str">
        <f aca="false">HYPERLINK("https://twitter.com/mobeenchughtai","@mobeenchughtai")</f>
        <v>@mobeenchughtai</v>
      </c>
      <c r="C1724" s="8" t="s">
        <v>4477</v>
      </c>
      <c r="D1724" s="8" t="s">
        <v>4478</v>
      </c>
      <c r="E1724" s="9" t="str">
        <f aca="false">HYPERLINK("https://twitter.com/mobeenchughtai/status/922070510044884993","922070510044884993")</f>
        <v>922070510044884993</v>
      </c>
      <c r="F1724" s="10" t="s">
        <v>60</v>
      </c>
      <c r="G1724" s="10" t="n">
        <v>5089</v>
      </c>
      <c r="H1724" s="10" t="n">
        <v>5002</v>
      </c>
      <c r="I1724" s="10" t="n">
        <v>0</v>
      </c>
      <c r="J1724" s="10" t="n">
        <v>0</v>
      </c>
      <c r="K1724" s="10" t="s">
        <v>20</v>
      </c>
      <c r="L1724" s="11" t="n">
        <v>40220.8333796296</v>
      </c>
      <c r="M1724" s="12" t="s">
        <v>4479</v>
      </c>
      <c r="N1724" s="12" t="s">
        <v>4480</v>
      </c>
      <c r="O1724" s="9" t="str">
        <f aca="false">HYPERLINK("https://pbs.twimg.com/profile_images/825413357251547138/jR-Ls1pi_normal.jpg","View")</f>
        <v>View</v>
      </c>
      <c r="P1724" s="10"/>
    </row>
    <row r="1725" customFormat="false" ht="15.75" hidden="false" customHeight="false" outlineLevel="0" collapsed="false">
      <c r="A1725" s="6" t="n">
        <v>43030.2096643519</v>
      </c>
      <c r="B1725" s="7" t="str">
        <f aca="false">HYPERLINK("https://twitter.com/arpitjain0141","@arpitjain0141")</f>
        <v>@arpitjain0141</v>
      </c>
      <c r="C1725" s="8" t="s">
        <v>4481</v>
      </c>
      <c r="D1725" s="8" t="s">
        <v>4482</v>
      </c>
      <c r="E1725" s="9" t="str">
        <f aca="false">HYPERLINK("https://twitter.com/arpitjain0141/status/922070511693303813","922070511693303813")</f>
        <v>922070511693303813</v>
      </c>
      <c r="F1725" s="10" t="s">
        <v>60</v>
      </c>
      <c r="G1725" s="10" t="n">
        <v>62</v>
      </c>
      <c r="H1725" s="10" t="n">
        <v>55</v>
      </c>
      <c r="I1725" s="10" t="n">
        <v>0</v>
      </c>
      <c r="J1725" s="10" t="n">
        <v>0</v>
      </c>
      <c r="K1725" s="10" t="s">
        <v>20</v>
      </c>
      <c r="L1725" s="11" t="n">
        <v>41431.2474652778</v>
      </c>
      <c r="M1725" s="12" t="s">
        <v>4483</v>
      </c>
      <c r="N1725" s="12"/>
      <c r="O1725" s="9" t="str">
        <f aca="false">HYPERLINK("https://pbs.twimg.com/profile_images/572757694731309058/GBGDOHQU_normal.jpeg","View")</f>
        <v>View</v>
      </c>
      <c r="P1725" s="10"/>
    </row>
    <row r="1726" customFormat="false" ht="15.75" hidden="false" customHeight="false" outlineLevel="0" collapsed="false">
      <c r="A1726" s="6" t="n">
        <v>43030.2096875</v>
      </c>
      <c r="B1726" s="7" t="str">
        <f aca="false">HYPERLINK("https://twitter.com/crewislife","@crewislife")</f>
        <v>@crewislife</v>
      </c>
      <c r="C1726" s="8" t="s">
        <v>4484</v>
      </c>
      <c r="D1726" s="8" t="s">
        <v>4485</v>
      </c>
      <c r="E1726" s="9" t="str">
        <f aca="false">HYPERLINK("https://twitter.com/crewislife/status/922070516873269253","922070516873269253")</f>
        <v>922070516873269253</v>
      </c>
      <c r="F1726" s="10" t="s">
        <v>60</v>
      </c>
      <c r="G1726" s="10" t="n">
        <v>7161</v>
      </c>
      <c r="H1726" s="10" t="n">
        <v>7174</v>
      </c>
      <c r="I1726" s="10" t="n">
        <v>0</v>
      </c>
      <c r="J1726" s="10" t="n">
        <v>0</v>
      </c>
      <c r="K1726" s="10" t="s">
        <v>20</v>
      </c>
      <c r="L1726" s="11" t="n">
        <v>39777.9152777778</v>
      </c>
      <c r="M1726" s="12" t="s">
        <v>4486</v>
      </c>
      <c r="N1726" s="12" t="s">
        <v>4487</v>
      </c>
      <c r="O1726" s="9" t="str">
        <f aca="false">HYPERLINK("https://pbs.twimg.com/profile_images/912148508999786496/DYWWvmCA_normal.jpg","View")</f>
        <v>View</v>
      </c>
      <c r="P1726" s="10"/>
    </row>
    <row r="1727" customFormat="false" ht="15.75" hidden="false" customHeight="false" outlineLevel="0" collapsed="false">
      <c r="A1727" s="6" t="n">
        <v>43030.2096875</v>
      </c>
      <c r="B1727" s="7" t="str">
        <f aca="false">HYPERLINK("https://twitter.com/newscenterPHL1","@newscenterPHL1")</f>
        <v>@newscenterPHL1</v>
      </c>
      <c r="C1727" s="8" t="s">
        <v>2272</v>
      </c>
      <c r="D1727" s="8" t="s">
        <v>3438</v>
      </c>
      <c r="E1727" s="9" t="str">
        <f aca="false">HYPERLINK("https://twitter.com/newscenterPHL1/status/922070520387944453","922070520387944453")</f>
        <v>922070520387944453</v>
      </c>
      <c r="F1727" s="10" t="s">
        <v>51</v>
      </c>
      <c r="G1727" s="10" t="n">
        <v>686</v>
      </c>
      <c r="H1727" s="10" t="n">
        <v>1968</v>
      </c>
      <c r="I1727" s="10" t="n">
        <v>15</v>
      </c>
      <c r="J1727" s="10" t="n">
        <v>0</v>
      </c>
      <c r="K1727" s="10" t="s">
        <v>20</v>
      </c>
      <c r="L1727" s="11" t="n">
        <v>40585.0102199074</v>
      </c>
      <c r="M1727" s="12"/>
      <c r="N1727" s="12"/>
      <c r="O1727" s="9" t="str">
        <f aca="false">HYPERLINK("https://abs.twimg.com/sticky/default_profile_images/default_profile_normal.png","View")</f>
        <v>View</v>
      </c>
      <c r="P1727" s="10"/>
    </row>
    <row r="1728" customFormat="false" ht="15.75" hidden="false" customHeight="false" outlineLevel="0" collapsed="false">
      <c r="A1728" s="6" t="n">
        <v>43030.2096990741</v>
      </c>
      <c r="B1728" s="7" t="str">
        <f aca="false">HYPERLINK("https://twitter.com/BinBerlinerIn","@BinBerlinerIn")</f>
        <v>@BinBerlinerIn</v>
      </c>
      <c r="C1728" s="8" t="s">
        <v>4488</v>
      </c>
      <c r="D1728" s="8" t="s">
        <v>3971</v>
      </c>
      <c r="E1728" s="9" t="str">
        <f aca="false">HYPERLINK("https://twitter.com/BinBerlinerIn/status/922070522216828928","922070522216828928")</f>
        <v>922070522216828928</v>
      </c>
      <c r="F1728" s="10" t="s">
        <v>39</v>
      </c>
      <c r="G1728" s="10" t="n">
        <v>7678</v>
      </c>
      <c r="H1728" s="10" t="n">
        <v>5700</v>
      </c>
      <c r="I1728" s="10" t="n">
        <v>24</v>
      </c>
      <c r="J1728" s="10" t="n">
        <v>0</v>
      </c>
      <c r="K1728" s="10" t="s">
        <v>20</v>
      </c>
      <c r="L1728" s="11" t="n">
        <v>40543.6071412037</v>
      </c>
      <c r="M1728" s="12" t="s">
        <v>4489</v>
      </c>
      <c r="N1728" s="12" t="s">
        <v>4490</v>
      </c>
      <c r="O1728" s="9" t="str">
        <f aca="false">HYPERLINK("https://pbs.twimg.com/profile_images/1203614463/BIN-Berlin.org_normal.jpg","View")</f>
        <v>View</v>
      </c>
      <c r="P1728" s="10"/>
    </row>
    <row r="1729" customFormat="false" ht="15.75" hidden="false" customHeight="false" outlineLevel="0" collapsed="false">
      <c r="A1729" s="6" t="n">
        <v>43030.2097106482</v>
      </c>
      <c r="B1729" s="7" t="str">
        <f aca="false">HYPERLINK("https://twitter.com/saherayi_15","@saherayi_15")</f>
        <v>@saherayi_15</v>
      </c>
      <c r="C1729" s="8" t="s">
        <v>4491</v>
      </c>
      <c r="D1729" s="8" t="s">
        <v>4492</v>
      </c>
      <c r="E1729" s="9" t="str">
        <f aca="false">HYPERLINK("https://twitter.com/saherayi_15/status/922070526348136448","922070526348136448")</f>
        <v>922070526348136448</v>
      </c>
      <c r="F1729" s="10" t="s">
        <v>60</v>
      </c>
      <c r="G1729" s="10" t="n">
        <v>70</v>
      </c>
      <c r="H1729" s="10" t="n">
        <v>798</v>
      </c>
      <c r="I1729" s="10" t="n">
        <v>0</v>
      </c>
      <c r="J1729" s="10" t="n">
        <v>0</v>
      </c>
      <c r="K1729" s="10" t="s">
        <v>20</v>
      </c>
      <c r="L1729" s="11" t="n">
        <v>42025.8362731482</v>
      </c>
      <c r="M1729" s="12"/>
      <c r="N1729" s="12"/>
      <c r="O1729" s="9" t="str">
        <f aca="false">HYPERLINK("https://abs.twimg.com/sticky/default_profile_images/default_profile_normal.png","View")</f>
        <v>View</v>
      </c>
      <c r="P1729" s="10"/>
    </row>
    <row r="1730" customFormat="false" ht="15.75" hidden="false" customHeight="false" outlineLevel="0" collapsed="false">
      <c r="A1730" s="6" t="n">
        <v>43030.2097337963</v>
      </c>
      <c r="B1730" s="7" t="str">
        <f aca="false">HYPERLINK("https://twitter.com/EGuilbrand","@EGuilbrand")</f>
        <v>@EGuilbrand</v>
      </c>
      <c r="C1730" s="8" t="s">
        <v>4493</v>
      </c>
      <c r="D1730" s="8" t="s">
        <v>4494</v>
      </c>
      <c r="E1730" s="9" t="str">
        <f aca="false">HYPERLINK("https://twitter.com/EGuilbrand/status/922070536976465920","922070536976465920")</f>
        <v>922070536976465920</v>
      </c>
      <c r="F1730" s="10" t="s">
        <v>60</v>
      </c>
      <c r="G1730" s="10" t="n">
        <v>171</v>
      </c>
      <c r="H1730" s="10" t="n">
        <v>704</v>
      </c>
      <c r="I1730" s="10" t="n">
        <v>0</v>
      </c>
      <c r="J1730" s="10" t="n">
        <v>0</v>
      </c>
      <c r="K1730" s="10" t="s">
        <v>20</v>
      </c>
      <c r="L1730" s="11" t="n">
        <v>42529.7121990741</v>
      </c>
      <c r="M1730" s="12" t="s">
        <v>295</v>
      </c>
      <c r="N1730" s="12" t="s">
        <v>4495</v>
      </c>
      <c r="O1730" s="9" t="str">
        <f aca="false">HYPERLINK("https://pbs.twimg.com/profile_images/741881699169009664/4Vtgk-AL_normal.jpg","View")</f>
        <v>View</v>
      </c>
      <c r="P1730" s="10"/>
    </row>
    <row r="1731" customFormat="false" ht="15.75" hidden="false" customHeight="false" outlineLevel="0" collapsed="false">
      <c r="A1731" s="6" t="n">
        <v>43030.2097453704</v>
      </c>
      <c r="B1731" s="7" t="str">
        <f aca="false">HYPERLINK("https://twitter.com/Aamir_mum","@Aamir_mum")</f>
        <v>@Aamir_mum</v>
      </c>
      <c r="C1731" s="8" t="s">
        <v>4496</v>
      </c>
      <c r="D1731" s="8" t="s">
        <v>4497</v>
      </c>
      <c r="E1731" s="9" t="str">
        <f aca="false">HYPERLINK("https://twitter.com/Aamir_mum/status/922070539774124032","922070539774124032")</f>
        <v>922070539774124032</v>
      </c>
      <c r="F1731" s="10" t="s">
        <v>60</v>
      </c>
      <c r="G1731" s="10" t="n">
        <v>167</v>
      </c>
      <c r="H1731" s="10" t="n">
        <v>165</v>
      </c>
      <c r="I1731" s="10" t="n">
        <v>0</v>
      </c>
      <c r="J1731" s="10" t="n">
        <v>0</v>
      </c>
      <c r="K1731" s="10" t="s">
        <v>20</v>
      </c>
      <c r="L1731" s="11" t="n">
        <v>41053.9558217593</v>
      </c>
      <c r="M1731" s="12" t="s">
        <v>4498</v>
      </c>
      <c r="N1731" s="12" t="s">
        <v>4499</v>
      </c>
      <c r="O1731" s="9" t="str">
        <f aca="false">HYPERLINK("https://pbs.twimg.com/profile_images/776246100164435968/UwCaifxp_normal.jpg","View")</f>
        <v>View</v>
      </c>
      <c r="P1731" s="10"/>
    </row>
    <row r="1732" customFormat="false" ht="15.75" hidden="false" customHeight="false" outlineLevel="0" collapsed="false">
      <c r="A1732" s="6" t="n">
        <v>43030.2097453704</v>
      </c>
      <c r="B1732" s="7" t="str">
        <f aca="false">HYPERLINK("https://twitter.com/Jeno5ide","@Jeno5ide")</f>
        <v>@Jeno5ide</v>
      </c>
      <c r="C1732" s="8" t="s">
        <v>4500</v>
      </c>
      <c r="D1732" s="8" t="s">
        <v>4501</v>
      </c>
      <c r="E1732" s="9" t="str">
        <f aca="false">HYPERLINK("https://twitter.com/Jeno5ide/status/922070541489582080","922070541489582080")</f>
        <v>922070541489582080</v>
      </c>
      <c r="F1732" s="10" t="s">
        <v>60</v>
      </c>
      <c r="G1732" s="10" t="n">
        <v>39</v>
      </c>
      <c r="H1732" s="10" t="n">
        <v>120</v>
      </c>
      <c r="I1732" s="10" t="n">
        <v>0</v>
      </c>
      <c r="J1732" s="10" t="n">
        <v>0</v>
      </c>
      <c r="K1732" s="10" t="s">
        <v>20</v>
      </c>
      <c r="L1732" s="11" t="n">
        <v>41942.5477893519</v>
      </c>
      <c r="M1732" s="12"/>
      <c r="N1732" s="12" t="s">
        <v>4502</v>
      </c>
      <c r="O1732" s="9" t="str">
        <f aca="false">HYPERLINK("https://pbs.twimg.com/profile_images/701903808859873281/sEabMDRM_normal.jpg","View")</f>
        <v>View</v>
      </c>
      <c r="P1732" s="10"/>
    </row>
    <row r="1733" customFormat="false" ht="15.75" hidden="false" customHeight="false" outlineLevel="0" collapsed="false">
      <c r="A1733" s="6" t="n">
        <v>43030.2097800926</v>
      </c>
      <c r="B1733" s="7" t="str">
        <f aca="false">HYPERLINK("https://twitter.com/Pakitter","@Pakitter")</f>
        <v>@Pakitter</v>
      </c>
      <c r="C1733" s="8" t="s">
        <v>4503</v>
      </c>
      <c r="D1733" s="8" t="s">
        <v>4504</v>
      </c>
      <c r="E1733" s="9" t="str">
        <f aca="false">HYPERLINK("https://twitter.com/Pakitter/status/922070550075330560","922070550075330560")</f>
        <v>922070550075330560</v>
      </c>
      <c r="F1733" s="10" t="s">
        <v>60</v>
      </c>
      <c r="G1733" s="10" t="n">
        <v>901</v>
      </c>
      <c r="H1733" s="10" t="n">
        <v>888</v>
      </c>
      <c r="I1733" s="10" t="n">
        <v>0</v>
      </c>
      <c r="J1733" s="10" t="n">
        <v>0</v>
      </c>
      <c r="K1733" s="10" t="s">
        <v>20</v>
      </c>
      <c r="L1733" s="11" t="n">
        <v>39382.4717476852</v>
      </c>
      <c r="M1733" s="12" t="s">
        <v>4505</v>
      </c>
      <c r="N1733" s="12" t="s">
        <v>4506</v>
      </c>
      <c r="O1733" s="9" t="str">
        <f aca="false">HYPERLINK("https://pbs.twimg.com/profile_images/915318638453944320/TmxdoRTe_normal.jpg","View")</f>
        <v>View</v>
      </c>
      <c r="P1733" s="10"/>
    </row>
    <row r="1734" customFormat="false" ht="15.75" hidden="false" customHeight="false" outlineLevel="0" collapsed="false">
      <c r="A1734" s="6" t="n">
        <v>43030.2098032407</v>
      </c>
      <c r="B1734" s="7" t="str">
        <f aca="false">HYPERLINK("https://twitter.com/Miron993","@Miron993")</f>
        <v>@Miron993</v>
      </c>
      <c r="C1734" s="8" t="s">
        <v>4507</v>
      </c>
      <c r="D1734" s="8" t="s">
        <v>4508</v>
      </c>
      <c r="E1734" s="9" t="str">
        <f aca="false">HYPERLINK("https://twitter.com/Miron993/status/922070559596331008","922070559596331008")</f>
        <v>922070559596331008</v>
      </c>
      <c r="F1734" s="9" t="s">
        <v>1147</v>
      </c>
      <c r="G1734" s="10" t="n">
        <v>23</v>
      </c>
      <c r="H1734" s="10" t="n">
        <v>424</v>
      </c>
      <c r="I1734" s="10" t="n">
        <v>0</v>
      </c>
      <c r="J1734" s="10" t="n">
        <v>0</v>
      </c>
      <c r="K1734" s="10" t="s">
        <v>20</v>
      </c>
      <c r="L1734" s="11" t="n">
        <v>42972.4581597222</v>
      </c>
      <c r="M1734" s="12" t="s">
        <v>4509</v>
      </c>
      <c r="N1734" s="12" t="s">
        <v>4510</v>
      </c>
      <c r="O1734" s="9" t="str">
        <f aca="false">HYPERLINK("https://pbs.twimg.com/profile_images/901143807466643456/XjiGz4-1_normal.jpg","View")</f>
        <v>View</v>
      </c>
      <c r="P1734" s="10"/>
    </row>
    <row r="1735" customFormat="false" ht="15.75" hidden="false" customHeight="false" outlineLevel="0" collapsed="false">
      <c r="A1735" s="6" t="n">
        <v>43030.2098032407</v>
      </c>
      <c r="B1735" s="7" t="str">
        <f aca="false">HYPERLINK("https://twitter.com/mirogeorgiev97","@mirogeorgiev97")</f>
        <v>@mirogeorgiev97</v>
      </c>
      <c r="C1735" s="8" t="s">
        <v>971</v>
      </c>
      <c r="D1735" s="8" t="s">
        <v>4511</v>
      </c>
      <c r="E1735" s="9" t="str">
        <f aca="false">HYPERLINK("https://twitter.com/mirogeorgiev97/status/922070559604822017","922070559604822017")</f>
        <v>922070559604822017</v>
      </c>
      <c r="F1735" s="10" t="s">
        <v>60</v>
      </c>
      <c r="G1735" s="10" t="n">
        <v>946</v>
      </c>
      <c r="H1735" s="10" t="n">
        <v>4974</v>
      </c>
      <c r="I1735" s="10" t="n">
        <v>0</v>
      </c>
      <c r="J1735" s="10" t="n">
        <v>0</v>
      </c>
      <c r="K1735" s="10" t="s">
        <v>20</v>
      </c>
      <c r="L1735" s="11" t="n">
        <v>41999.3802199074</v>
      </c>
      <c r="M1735" s="12" t="s">
        <v>973</v>
      </c>
      <c r="N1735" s="12" t="s">
        <v>974</v>
      </c>
      <c r="O1735" s="9" t="str">
        <f aca="false">HYPERLINK("https://pbs.twimg.com/profile_images/790650212452802560/yknMqKWs_normal.jpg","View")</f>
        <v>View</v>
      </c>
      <c r="P1735" s="10"/>
    </row>
    <row r="1736" customFormat="false" ht="15.75" hidden="false" customHeight="false" outlineLevel="0" collapsed="false">
      <c r="A1736" s="6" t="n">
        <v>43030.209837963</v>
      </c>
      <c r="B1736" s="7" t="str">
        <f aca="false">HYPERLINK("https://twitter.com/chrisabraham","@chrisabraham")</f>
        <v>@chrisabraham</v>
      </c>
      <c r="C1736" s="8" t="s">
        <v>4512</v>
      </c>
      <c r="D1736" s="8" t="s">
        <v>4513</v>
      </c>
      <c r="E1736" s="9" t="str">
        <f aca="false">HYPERLINK("https://twitter.com/chrisabraham/status/922070572774907904","922070572774907904")</f>
        <v>922070572774907904</v>
      </c>
      <c r="F1736" s="10" t="s">
        <v>60</v>
      </c>
      <c r="G1736" s="10" t="n">
        <v>48769</v>
      </c>
      <c r="H1736" s="10" t="n">
        <v>453</v>
      </c>
      <c r="I1736" s="10" t="n">
        <v>0</v>
      </c>
      <c r="J1736" s="10" t="n">
        <v>0</v>
      </c>
      <c r="K1736" s="10" t="s">
        <v>20</v>
      </c>
      <c r="L1736" s="11" t="n">
        <v>39088.4942013889</v>
      </c>
      <c r="M1736" s="12" t="s">
        <v>4514</v>
      </c>
      <c r="N1736" s="12" t="s">
        <v>4515</v>
      </c>
      <c r="O1736" s="9" t="str">
        <f aca="false">HYPERLINK("https://pbs.twimg.com/profile_images/853088540523147264/5wf9T5hR_normal.jpg","View")</f>
        <v>View</v>
      </c>
      <c r="P1736" s="10"/>
    </row>
    <row r="1737" customFormat="false" ht="15.75" hidden="false" customHeight="false" outlineLevel="0" collapsed="false">
      <c r="A1737" s="6" t="n">
        <v>43030.209849537</v>
      </c>
      <c r="B1737" s="7" t="str">
        <f aca="false">HYPERLINK("https://twitter.com/oloyeagbaakin","@oloyeagbaakin")</f>
        <v>@oloyeagbaakin</v>
      </c>
      <c r="C1737" s="8" t="s">
        <v>4516</v>
      </c>
      <c r="D1737" s="8" t="s">
        <v>4517</v>
      </c>
      <c r="E1737" s="9" t="str">
        <f aca="false">HYPERLINK("https://twitter.com/oloyeagbaakin/status/922070577963298816","922070577963298816")</f>
        <v>922070577963298816</v>
      </c>
      <c r="F1737" s="10" t="s">
        <v>60</v>
      </c>
      <c r="G1737" s="10" t="n">
        <v>580</v>
      </c>
      <c r="H1737" s="10" t="n">
        <v>34</v>
      </c>
      <c r="I1737" s="10" t="n">
        <v>0</v>
      </c>
      <c r="J1737" s="10" t="n">
        <v>0</v>
      </c>
      <c r="K1737" s="10" t="s">
        <v>20</v>
      </c>
      <c r="L1737" s="11" t="n">
        <v>42299.6780208333</v>
      </c>
      <c r="M1737" s="12" t="s">
        <v>4518</v>
      </c>
      <c r="N1737" s="12"/>
      <c r="O1737" s="9" t="str">
        <f aca="false">HYPERLINK("https://pbs.twimg.com/profile_images/912936121931321344/jyWp7ZRN_normal.jpg","View")</f>
        <v>View</v>
      </c>
      <c r="P1737" s="10"/>
    </row>
    <row r="1738" customFormat="false" ht="15.75" hidden="false" customHeight="false" outlineLevel="0" collapsed="false">
      <c r="A1738" s="6" t="n">
        <v>43030.2098611111</v>
      </c>
      <c r="B1738" s="7" t="str">
        <f aca="false">HYPERLINK("https://twitter.com/EduardAmell","@EduardAmell")</f>
        <v>@EduardAmell</v>
      </c>
      <c r="C1738" s="8" t="s">
        <v>4519</v>
      </c>
      <c r="D1738" s="8" t="s">
        <v>4520</v>
      </c>
      <c r="E1738" s="9" t="str">
        <f aca="false">HYPERLINK("https://twitter.com/EduardAmell/status/922070581146738688","922070581146738688")</f>
        <v>922070581146738688</v>
      </c>
      <c r="F1738" s="10" t="s">
        <v>60</v>
      </c>
      <c r="G1738" s="10" t="n">
        <v>169</v>
      </c>
      <c r="H1738" s="10" t="n">
        <v>488</v>
      </c>
      <c r="I1738" s="10" t="n">
        <v>0</v>
      </c>
      <c r="J1738" s="10" t="n">
        <v>0</v>
      </c>
      <c r="K1738" s="10" t="s">
        <v>20</v>
      </c>
      <c r="L1738" s="11" t="n">
        <v>40004.1009490741</v>
      </c>
      <c r="M1738" s="12" t="s">
        <v>4521</v>
      </c>
      <c r="N1738" s="12" t="s">
        <v>4522</v>
      </c>
      <c r="O1738" s="9" t="str">
        <f aca="false">HYPERLINK("https://pbs.twimg.com/profile_images/908414505515995141/aGxzSFkh_normal.jpg","View")</f>
        <v>View</v>
      </c>
      <c r="P1738" s="10"/>
    </row>
    <row r="1739" customFormat="false" ht="15.75" hidden="false" customHeight="false" outlineLevel="0" collapsed="false">
      <c r="A1739" s="6" t="n">
        <v>43030.2098611111</v>
      </c>
      <c r="B1739" s="7" t="str">
        <f aca="false">HYPERLINK("https://twitter.com/PanLexFirm","@PanLexFirm")</f>
        <v>@PanLexFirm</v>
      </c>
      <c r="C1739" s="8" t="s">
        <v>4523</v>
      </c>
      <c r="D1739" s="8" t="s">
        <v>4524</v>
      </c>
      <c r="E1739" s="9" t="str">
        <f aca="false">HYPERLINK("https://twitter.com/PanLexFirm/status/922070581369102337","922070581369102337")</f>
        <v>922070581369102337</v>
      </c>
      <c r="F1739" s="10" t="s">
        <v>60</v>
      </c>
      <c r="G1739" s="10" t="n">
        <v>76</v>
      </c>
      <c r="H1739" s="10" t="n">
        <v>238</v>
      </c>
      <c r="I1739" s="10" t="n">
        <v>0</v>
      </c>
      <c r="J1739" s="10" t="n">
        <v>0</v>
      </c>
      <c r="K1739" s="10" t="s">
        <v>20</v>
      </c>
      <c r="L1739" s="11" t="n">
        <v>42319.5735185185</v>
      </c>
      <c r="M1739" s="12" t="s">
        <v>3934</v>
      </c>
      <c r="N1739" s="12" t="s">
        <v>4525</v>
      </c>
      <c r="O1739" s="9" t="str">
        <f aca="false">HYPERLINK("https://pbs.twimg.com/profile_images/816435949630619649/7DBDShoB_normal.jpg","View")</f>
        <v>View</v>
      </c>
      <c r="P1739" s="10"/>
    </row>
    <row r="1740" customFormat="false" ht="15.75" hidden="false" customHeight="false" outlineLevel="0" collapsed="false">
      <c r="A1740" s="6" t="n">
        <v>43030.2098726852</v>
      </c>
      <c r="B1740" s="7" t="str">
        <f aca="false">HYPERLINK("https://twitter.com/LeaderHolder","@LeaderHolder")</f>
        <v>@LeaderHolder</v>
      </c>
      <c r="C1740" s="8" t="s">
        <v>4526</v>
      </c>
      <c r="D1740" s="8" t="s">
        <v>4527</v>
      </c>
      <c r="E1740" s="9" t="str">
        <f aca="false">HYPERLINK("https://twitter.com/LeaderHolder/status/922070584837771265","922070584837771265")</f>
        <v>922070584837771265</v>
      </c>
      <c r="F1740" s="10" t="s">
        <v>60</v>
      </c>
      <c r="G1740" s="10" t="n">
        <v>5103</v>
      </c>
      <c r="H1740" s="10" t="n">
        <v>3213</v>
      </c>
      <c r="I1740" s="10" t="n">
        <v>0</v>
      </c>
      <c r="J1740" s="10" t="n">
        <v>0</v>
      </c>
      <c r="K1740" s="10" t="s">
        <v>20</v>
      </c>
      <c r="L1740" s="11" t="n">
        <v>42408.5134027778</v>
      </c>
      <c r="M1740" s="12" t="s">
        <v>4528</v>
      </c>
      <c r="N1740" s="12" t="s">
        <v>4529</v>
      </c>
      <c r="O1740" s="9" t="str">
        <f aca="false">HYPERLINK("https://pbs.twimg.com/profile_images/760135022154252290/94kQuQlV_normal.jpg","View")</f>
        <v>View</v>
      </c>
      <c r="P1740" s="10"/>
    </row>
    <row r="1741" customFormat="false" ht="15.75" hidden="false" customHeight="false" outlineLevel="0" collapsed="false">
      <c r="A1741" s="6" t="n">
        <v>43030.2098726852</v>
      </c>
      <c r="B1741" s="7" t="str">
        <f aca="false">HYPERLINK("https://twitter.com/maliktaymur","@maliktaymur")</f>
        <v>@maliktaymur</v>
      </c>
      <c r="C1741" s="8" t="s">
        <v>4530</v>
      </c>
      <c r="D1741" s="8" t="s">
        <v>4531</v>
      </c>
      <c r="E1741" s="9" t="str">
        <f aca="false">HYPERLINK("https://twitter.com/maliktaymur/status/922070585764667398","922070585764667398")</f>
        <v>922070585764667398</v>
      </c>
      <c r="F1741" s="10" t="s">
        <v>60</v>
      </c>
      <c r="G1741" s="10" t="n">
        <v>1766</v>
      </c>
      <c r="H1741" s="10" t="n">
        <v>2261</v>
      </c>
      <c r="I1741" s="10" t="n">
        <v>0</v>
      </c>
      <c r="J1741" s="10" t="n">
        <v>0</v>
      </c>
      <c r="K1741" s="10" t="s">
        <v>20</v>
      </c>
      <c r="L1741" s="11" t="n">
        <v>40071.1162847222</v>
      </c>
      <c r="M1741" s="12" t="s">
        <v>4532</v>
      </c>
      <c r="N1741" s="12" t="s">
        <v>4533</v>
      </c>
      <c r="O1741" s="9" t="str">
        <f aca="false">HYPERLINK("https://pbs.twimg.com/profile_images/740225618743300097/tXswXY3R_normal.jpg","View")</f>
        <v>View</v>
      </c>
      <c r="P1741" s="10"/>
    </row>
    <row r="1742" customFormat="false" ht="15.75" hidden="false" customHeight="false" outlineLevel="0" collapsed="false">
      <c r="A1742" s="6" t="n">
        <v>43030.2098842593</v>
      </c>
      <c r="B1742" s="7" t="str">
        <f aca="false">HYPERLINK("https://twitter.com/nkc47str","@nkc47str")</f>
        <v>@nkc47str</v>
      </c>
      <c r="C1742" s="8" t="s">
        <v>4534</v>
      </c>
      <c r="D1742" s="8" t="s">
        <v>4535</v>
      </c>
      <c r="E1742" s="9" t="str">
        <f aca="false">HYPERLINK("https://twitter.com/nkc47str/status/922070587912146945","922070587912146945")</f>
        <v>922070587912146945</v>
      </c>
      <c r="F1742" s="10" t="s">
        <v>60</v>
      </c>
      <c r="G1742" s="10" t="n">
        <v>574</v>
      </c>
      <c r="H1742" s="10" t="n">
        <v>995</v>
      </c>
      <c r="I1742" s="10" t="n">
        <v>0</v>
      </c>
      <c r="J1742" s="10" t="n">
        <v>0</v>
      </c>
      <c r="K1742" s="10" t="s">
        <v>20</v>
      </c>
      <c r="L1742" s="11" t="n">
        <v>40186.105</v>
      </c>
      <c r="M1742" s="12" t="s">
        <v>72</v>
      </c>
      <c r="N1742" s="12" t="s">
        <v>4536</v>
      </c>
      <c r="O1742" s="9" t="str">
        <f aca="false">HYPERLINK("https://pbs.twimg.com/profile_images/458541789901639680/3_hdYwgb_normal.jpeg","View")</f>
        <v>View</v>
      </c>
      <c r="P1742" s="10"/>
    </row>
    <row r="1743" customFormat="false" ht="15.75" hidden="false" customHeight="false" outlineLevel="0" collapsed="false">
      <c r="A1743" s="6" t="n">
        <v>43030.2098958333</v>
      </c>
      <c r="B1743" s="7" t="str">
        <f aca="false">HYPERLINK("https://twitter.com/MobilityStone","@MobilityStone")</f>
        <v>@MobilityStone</v>
      </c>
      <c r="C1743" s="8" t="s">
        <v>4537</v>
      </c>
      <c r="D1743" s="8" t="s">
        <v>4538</v>
      </c>
      <c r="E1743" s="9" t="str">
        <f aca="false">HYPERLINK("https://twitter.com/MobilityStone/status/922070595952627713","922070595952627713")</f>
        <v>922070595952627713</v>
      </c>
      <c r="F1743" s="10" t="s">
        <v>60</v>
      </c>
      <c r="G1743" s="10" t="n">
        <v>209</v>
      </c>
      <c r="H1743" s="10" t="n">
        <v>1140</v>
      </c>
      <c r="I1743" s="10" t="n">
        <v>0</v>
      </c>
      <c r="J1743" s="10" t="n">
        <v>0</v>
      </c>
      <c r="K1743" s="10" t="s">
        <v>20</v>
      </c>
      <c r="L1743" s="11" t="n">
        <v>42767.7338425926</v>
      </c>
      <c r="M1743" s="12" t="s">
        <v>2348</v>
      </c>
      <c r="N1743" s="12" t="s">
        <v>4539</v>
      </c>
      <c r="O1743" s="9" t="str">
        <f aca="false">HYPERLINK("https://pbs.twimg.com/profile_images/846784681056096256/KCkKqQ1r_normal.jpg","View")</f>
        <v>View</v>
      </c>
      <c r="P1743" s="10"/>
    </row>
    <row r="1744" customFormat="false" ht="15.75" hidden="false" customHeight="false" outlineLevel="0" collapsed="false">
      <c r="A1744" s="6" t="n">
        <v>43030.2099189815</v>
      </c>
      <c r="B1744" s="7" t="str">
        <f aca="false">HYPERLINK("https://twitter.com/ddanielb1","@ddanielb1")</f>
        <v>@ddanielb1</v>
      </c>
      <c r="C1744" s="8" t="s">
        <v>4540</v>
      </c>
      <c r="D1744" s="8" t="s">
        <v>4541</v>
      </c>
      <c r="E1744" s="9" t="str">
        <f aca="false">HYPERLINK("https://twitter.com/ddanielb1/status/922070604395831297","922070604395831297")</f>
        <v>922070604395831297</v>
      </c>
      <c r="F1744" s="10" t="s">
        <v>60</v>
      </c>
      <c r="G1744" s="10" t="n">
        <v>17</v>
      </c>
      <c r="H1744" s="10" t="n">
        <v>179</v>
      </c>
      <c r="I1744" s="10" t="n">
        <v>0</v>
      </c>
      <c r="J1744" s="10" t="n">
        <v>0</v>
      </c>
      <c r="K1744" s="10" t="s">
        <v>20</v>
      </c>
      <c r="L1744" s="11" t="n">
        <v>41197.3200347222</v>
      </c>
      <c r="M1744" s="12"/>
      <c r="N1744" s="12"/>
      <c r="O1744" s="9" t="str">
        <f aca="false">HYPERLINK("https://pbs.twimg.com/profile_images/2779529483/c7be248ec6b3bb03ef8459ab0d343123_normal.jpeg","View")</f>
        <v>View</v>
      </c>
      <c r="P1744" s="10"/>
    </row>
    <row r="1745" customFormat="false" ht="15.75" hidden="false" customHeight="false" outlineLevel="0" collapsed="false">
      <c r="A1745" s="6" t="n">
        <v>43030.2099305556</v>
      </c>
      <c r="B1745" s="7" t="str">
        <f aca="false">HYPERLINK("https://twitter.com/mcguirp","@mcguirp")</f>
        <v>@mcguirp</v>
      </c>
      <c r="C1745" s="8" t="s">
        <v>4542</v>
      </c>
      <c r="D1745" s="8" t="s">
        <v>4543</v>
      </c>
      <c r="E1745" s="9" t="str">
        <f aca="false">HYPERLINK("https://twitter.com/mcguirp/status/922070604903342080","922070604903342080")</f>
        <v>922070604903342080</v>
      </c>
      <c r="F1745" s="10" t="s">
        <v>60</v>
      </c>
      <c r="G1745" s="10" t="n">
        <v>3927</v>
      </c>
      <c r="H1745" s="10" t="n">
        <v>3826</v>
      </c>
      <c r="I1745" s="10" t="n">
        <v>0</v>
      </c>
      <c r="J1745" s="10" t="n">
        <v>0</v>
      </c>
      <c r="K1745" s="10" t="s">
        <v>20</v>
      </c>
      <c r="L1745" s="11" t="n">
        <v>40094.1700115741</v>
      </c>
      <c r="M1745" s="12" t="s">
        <v>4544</v>
      </c>
      <c r="N1745" s="12" t="s">
        <v>4545</v>
      </c>
      <c r="O1745" s="9" t="str">
        <f aca="false">HYPERLINK("https://pbs.twimg.com/profile_images/863375399203389440/8km4rCFA_normal.jpg","View")</f>
        <v>View</v>
      </c>
      <c r="P1745" s="10"/>
    </row>
    <row r="1746" customFormat="false" ht="15.75" hidden="false" customHeight="false" outlineLevel="0" collapsed="false">
      <c r="A1746" s="6" t="n">
        <v>43030.2099421296</v>
      </c>
      <c r="B1746" s="7" t="str">
        <f aca="false">HYPERLINK("https://twitter.com/HASSANISMAILSH2","@HASSANISMAILSH2")</f>
        <v>@HASSANISMAILSH2</v>
      </c>
      <c r="C1746" s="8" t="s">
        <v>4546</v>
      </c>
      <c r="D1746" s="8" t="s">
        <v>4124</v>
      </c>
      <c r="E1746" s="9" t="str">
        <f aca="false">HYPERLINK("https://twitter.com/HASSANISMAILSH2/status/922070610452328450","922070610452328450")</f>
        <v>922070610452328450</v>
      </c>
      <c r="F1746" s="10" t="s">
        <v>25</v>
      </c>
      <c r="G1746" s="10" t="n">
        <v>9</v>
      </c>
      <c r="H1746" s="10" t="n">
        <v>109</v>
      </c>
      <c r="I1746" s="10" t="n">
        <v>111</v>
      </c>
      <c r="J1746" s="10" t="n">
        <v>0</v>
      </c>
      <c r="K1746" s="10" t="s">
        <v>20</v>
      </c>
      <c r="L1746" s="11" t="n">
        <v>42217.4377662037</v>
      </c>
      <c r="M1746" s="12" t="s">
        <v>2400</v>
      </c>
      <c r="N1746" s="12"/>
      <c r="O1746" s="9" t="str">
        <f aca="false">HYPERLINK("https://pbs.twimg.com/profile_images/787224638229053440/9EHJ3Yrs_normal.jpg","View")</f>
        <v>View</v>
      </c>
      <c r="P1746" s="10"/>
    </row>
    <row r="1747" customFormat="false" ht="15.75" hidden="false" customHeight="false" outlineLevel="0" collapsed="false">
      <c r="A1747" s="6" t="n">
        <v>43030.2099421296</v>
      </c>
      <c r="B1747" s="7" t="str">
        <f aca="false">HYPERLINK("https://twitter.com/Geminids_JP","@Geminids_JP")</f>
        <v>@Geminids_JP</v>
      </c>
      <c r="C1747" s="8" t="s">
        <v>2824</v>
      </c>
      <c r="D1747" s="8" t="s">
        <v>4547</v>
      </c>
      <c r="E1747" s="9" t="str">
        <f aca="false">HYPERLINK("https://twitter.com/Geminids_JP/status/922070611001712645","922070611001712645")</f>
        <v>922070611001712645</v>
      </c>
      <c r="F1747" s="10" t="s">
        <v>51</v>
      </c>
      <c r="G1747" s="10" t="n">
        <v>57</v>
      </c>
      <c r="H1747" s="10" t="n">
        <v>91</v>
      </c>
      <c r="I1747" s="10" t="n">
        <v>0</v>
      </c>
      <c r="J1747" s="10" t="n">
        <v>1</v>
      </c>
      <c r="K1747" s="10" t="s">
        <v>20</v>
      </c>
      <c r="L1747" s="11" t="n">
        <v>40691.6957407407</v>
      </c>
      <c r="M1747" s="13" t="s">
        <v>2826</v>
      </c>
      <c r="N1747" s="13" t="s">
        <v>2827</v>
      </c>
      <c r="O1747" s="9" t="str">
        <f aca="false">HYPERLINK("https://pbs.twimg.com/profile_images/878834182193008640/znnaRh7V_normal.jpg","View")</f>
        <v>View</v>
      </c>
      <c r="P1747" s="10"/>
    </row>
    <row r="1748" customFormat="false" ht="15.75" hidden="false" customHeight="false" outlineLevel="0" collapsed="false">
      <c r="A1748" s="6" t="n">
        <v>43030.2099884259</v>
      </c>
      <c r="B1748" s="7" t="str">
        <f aca="false">HYPERLINK("https://twitter.com/Diletydeltoro","@Diletydeltoro")</f>
        <v>@Diletydeltoro</v>
      </c>
      <c r="C1748" s="8" t="s">
        <v>4548</v>
      </c>
      <c r="D1748" s="8" t="s">
        <v>4549</v>
      </c>
      <c r="E1748" s="9" t="str">
        <f aca="false">HYPERLINK("https://twitter.com/Diletydeltoro/status/922070628475310081","922070628475310081")</f>
        <v>922070628475310081</v>
      </c>
      <c r="F1748" s="10" t="s">
        <v>60</v>
      </c>
      <c r="G1748" s="10" t="n">
        <v>64</v>
      </c>
      <c r="H1748" s="10" t="n">
        <v>108</v>
      </c>
      <c r="I1748" s="10" t="n">
        <v>0</v>
      </c>
      <c r="J1748" s="10" t="n">
        <v>0</v>
      </c>
      <c r="K1748" s="10" t="s">
        <v>20</v>
      </c>
      <c r="L1748" s="11" t="n">
        <v>40360.8459490741</v>
      </c>
      <c r="M1748" s="12" t="s">
        <v>4550</v>
      </c>
      <c r="N1748" s="12"/>
      <c r="O1748" s="9" t="str">
        <f aca="false">HYPERLINK("https://pbs.twimg.com/profile_images/479455829779685376/jBUyxsYK_normal.jpeg","View")</f>
        <v>View</v>
      </c>
      <c r="P1748" s="10"/>
    </row>
    <row r="1749" customFormat="false" ht="15.75" hidden="false" customHeight="false" outlineLevel="0" collapsed="false">
      <c r="A1749" s="6" t="n">
        <v>43030.21</v>
      </c>
      <c r="B1749" s="7" t="str">
        <f aca="false">HYPERLINK("https://twitter.com/travelgirlbeth","@travelgirlbeth")</f>
        <v>@travelgirlbeth</v>
      </c>
      <c r="C1749" s="8" t="s">
        <v>4551</v>
      </c>
      <c r="D1749" s="8" t="s">
        <v>4552</v>
      </c>
      <c r="E1749" s="9" t="str">
        <f aca="false">HYPERLINK("https://twitter.com/travelgirlbeth/status/922070629972697088","922070629972697088")</f>
        <v>922070629972697088</v>
      </c>
      <c r="F1749" s="10" t="s">
        <v>60</v>
      </c>
      <c r="G1749" s="10" t="n">
        <v>2356</v>
      </c>
      <c r="H1749" s="10" t="n">
        <v>1842</v>
      </c>
      <c r="I1749" s="10" t="n">
        <v>0</v>
      </c>
      <c r="J1749" s="10" t="n">
        <v>0</v>
      </c>
      <c r="K1749" s="10" t="s">
        <v>20</v>
      </c>
      <c r="L1749" s="11" t="n">
        <v>40770.8410300926</v>
      </c>
      <c r="M1749" s="12" t="s">
        <v>4553</v>
      </c>
      <c r="N1749" s="12" t="s">
        <v>4554</v>
      </c>
      <c r="O1749" s="9" t="str">
        <f aca="false">HYPERLINK("https://pbs.twimg.com/profile_images/897976258801389568/mQlJJzRP_normal.jpg","View")</f>
        <v>View</v>
      </c>
      <c r="P1749" s="10"/>
    </row>
    <row r="1750" customFormat="false" ht="15.75" hidden="false" customHeight="false" outlineLevel="0" collapsed="false">
      <c r="A1750" s="6" t="n">
        <v>43030.21</v>
      </c>
      <c r="B1750" s="7" t="str">
        <f aca="false">HYPERLINK("https://twitter.com/JasonTheInfamus","@JasonTheInfamus")</f>
        <v>@JasonTheInfamus</v>
      </c>
      <c r="C1750" s="8" t="s">
        <v>4555</v>
      </c>
      <c r="D1750" s="8" t="s">
        <v>4556</v>
      </c>
      <c r="E1750" s="9" t="str">
        <f aca="false">HYPERLINK("https://twitter.com/JasonTheInfamus/status/922070630396198914","922070630396198914")</f>
        <v>922070630396198914</v>
      </c>
      <c r="F1750" s="10" t="s">
        <v>60</v>
      </c>
      <c r="G1750" s="10" t="n">
        <v>298</v>
      </c>
      <c r="H1750" s="10" t="n">
        <v>552</v>
      </c>
      <c r="I1750" s="10" t="n">
        <v>0</v>
      </c>
      <c r="J1750" s="10" t="n">
        <v>0</v>
      </c>
      <c r="K1750" s="10" t="s">
        <v>20</v>
      </c>
      <c r="L1750" s="11" t="n">
        <v>40658.8997800926</v>
      </c>
      <c r="M1750" s="12" t="s">
        <v>4557</v>
      </c>
      <c r="N1750" s="12" t="s">
        <v>4558</v>
      </c>
      <c r="O1750" s="9" t="str">
        <f aca="false">HYPERLINK("https://pbs.twimg.com/profile_images/744852662814900224/PbZmLsaP_normal.jpg","View")</f>
        <v>View</v>
      </c>
      <c r="P1750" s="10"/>
    </row>
    <row r="1751" customFormat="false" ht="15.75" hidden="false" customHeight="false" outlineLevel="0" collapsed="false">
      <c r="A1751" s="6" t="n">
        <v>43030.21</v>
      </c>
      <c r="B1751" s="7" t="str">
        <f aca="false">HYPERLINK("https://twitter.com/georgebossman","@georgebossman")</f>
        <v>@georgebossman</v>
      </c>
      <c r="C1751" s="8" t="s">
        <v>4559</v>
      </c>
      <c r="D1751" s="8" t="s">
        <v>4560</v>
      </c>
      <c r="E1751" s="9" t="str">
        <f aca="false">HYPERLINK("https://twitter.com/georgebossman/status/922070630606000130","922070630606000130")</f>
        <v>922070630606000130</v>
      </c>
      <c r="F1751" s="10" t="s">
        <v>60</v>
      </c>
      <c r="G1751" s="10" t="n">
        <v>3</v>
      </c>
      <c r="H1751" s="10" t="n">
        <v>4</v>
      </c>
      <c r="I1751" s="10" t="n">
        <v>0</v>
      </c>
      <c r="J1751" s="10" t="n">
        <v>0</v>
      </c>
      <c r="K1751" s="10" t="s">
        <v>20</v>
      </c>
      <c r="L1751" s="11" t="n">
        <v>41027.5833912037</v>
      </c>
      <c r="M1751" s="12" t="s">
        <v>4561</v>
      </c>
      <c r="N1751" s="12" t="s">
        <v>4562</v>
      </c>
      <c r="O1751" s="9" t="str">
        <f aca="false">HYPERLINK("https://pbs.twimg.com/profile_images/897440480379719680/Vv6lHyNS_normal.jpg","View")</f>
        <v>View</v>
      </c>
      <c r="P1751" s="10"/>
    </row>
    <row r="1752" customFormat="false" ht="15.75" hidden="false" customHeight="false" outlineLevel="0" collapsed="false">
      <c r="A1752" s="6" t="n">
        <v>43030.21</v>
      </c>
      <c r="B1752" s="7" t="str">
        <f aca="false">HYPERLINK("https://twitter.com/SentextS","@SentextS")</f>
        <v>@SentextS</v>
      </c>
      <c r="C1752" s="8" t="s">
        <v>4563</v>
      </c>
      <c r="D1752" s="8" t="s">
        <v>4564</v>
      </c>
      <c r="E1752" s="9" t="str">
        <f aca="false">HYPERLINK("https://twitter.com/SentextS/status/922070632770260992","922070632770260992")</f>
        <v>922070632770260992</v>
      </c>
      <c r="F1752" s="10" t="s">
        <v>60</v>
      </c>
      <c r="G1752" s="10" t="n">
        <v>369</v>
      </c>
      <c r="H1752" s="10" t="n">
        <v>242</v>
      </c>
      <c r="I1752" s="10" t="n">
        <v>0</v>
      </c>
      <c r="J1752" s="10" t="n">
        <v>0</v>
      </c>
      <c r="K1752" s="10" t="s">
        <v>20</v>
      </c>
      <c r="L1752" s="11" t="n">
        <v>42546.4413425926</v>
      </c>
      <c r="M1752" s="12" t="s">
        <v>4565</v>
      </c>
      <c r="N1752" s="12" t="s">
        <v>4566</v>
      </c>
      <c r="O1752" s="9" t="str">
        <f aca="false">HYPERLINK("https://pbs.twimg.com/profile_images/750490967099207680/8nWka6pC_normal.jpg","View")</f>
        <v>View</v>
      </c>
      <c r="P1752" s="10"/>
    </row>
    <row r="1753" customFormat="false" ht="15.75" hidden="false" customHeight="false" outlineLevel="0" collapsed="false">
      <c r="A1753" s="6" t="n">
        <v>43030.2100115741</v>
      </c>
      <c r="B1753" s="7" t="str">
        <f aca="false">HYPERLINK("https://twitter.com/Erick_Martie23","@Erick_Martie23")</f>
        <v>@Erick_Martie23</v>
      </c>
      <c r="C1753" s="8" t="s">
        <v>4567</v>
      </c>
      <c r="D1753" s="8" t="s">
        <v>4568</v>
      </c>
      <c r="E1753" s="9" t="str">
        <f aca="false">HYPERLINK("https://twitter.com/Erick_Martie23/status/922070635135864832","922070635135864832")</f>
        <v>922070635135864832</v>
      </c>
      <c r="F1753" s="10" t="s">
        <v>60</v>
      </c>
      <c r="G1753" s="10" t="n">
        <v>1834</v>
      </c>
      <c r="H1753" s="10" t="n">
        <v>2455</v>
      </c>
      <c r="I1753" s="10" t="n">
        <v>0</v>
      </c>
      <c r="J1753" s="10" t="n">
        <v>0</v>
      </c>
      <c r="K1753" s="10" t="s">
        <v>20</v>
      </c>
      <c r="L1753" s="11" t="n">
        <v>40830.3337615741</v>
      </c>
      <c r="M1753" s="12" t="s">
        <v>4569</v>
      </c>
      <c r="N1753" s="12" t="s">
        <v>4570</v>
      </c>
      <c r="O1753" s="9" t="str">
        <f aca="false">HYPERLINK("https://pbs.twimg.com/profile_images/824199741181493248/5HP9q0uv_normal.jpg","View")</f>
        <v>View</v>
      </c>
      <c r="P1753" s="10"/>
    </row>
    <row r="1754" customFormat="false" ht="15.75" hidden="false" customHeight="false" outlineLevel="0" collapsed="false">
      <c r="A1754" s="6" t="n">
        <v>43030.2100347222</v>
      </c>
      <c r="B1754" s="7" t="str">
        <f aca="false">HYPERLINK("https://twitter.com/lucchaoui","@lucchaoui")</f>
        <v>@lucchaoui</v>
      </c>
      <c r="C1754" s="8" t="s">
        <v>952</v>
      </c>
      <c r="D1754" s="8" t="s">
        <v>4571</v>
      </c>
      <c r="E1754" s="9" t="str">
        <f aca="false">HYPERLINK("https://twitter.com/lucchaoui/status/922070644006768640","922070644006768640")</f>
        <v>922070644006768640</v>
      </c>
      <c r="F1754" s="10" t="s">
        <v>60</v>
      </c>
      <c r="G1754" s="10" t="n">
        <v>397093</v>
      </c>
      <c r="H1754" s="10" t="n">
        <v>393</v>
      </c>
      <c r="I1754" s="10" t="n">
        <v>0</v>
      </c>
      <c r="J1754" s="10" t="n">
        <v>0</v>
      </c>
      <c r="K1754" s="10" t="s">
        <v>20</v>
      </c>
      <c r="L1754" s="11" t="n">
        <v>39932.4051967593</v>
      </c>
      <c r="M1754" s="12" t="s">
        <v>954</v>
      </c>
      <c r="N1754" s="12" t="s">
        <v>955</v>
      </c>
      <c r="O1754" s="9" t="str">
        <f aca="false">HYPERLINK("https://pbs.twimg.com/profile_images/845679875734196224/DS22r1ae_normal.jpg","View")</f>
        <v>View</v>
      </c>
      <c r="P1754" s="10"/>
    </row>
    <row r="1755" customFormat="false" ht="15.75" hidden="false" customHeight="false" outlineLevel="0" collapsed="false">
      <c r="A1755" s="6" t="n">
        <v>43030.2100347222</v>
      </c>
      <c r="B1755" s="7" t="str">
        <f aca="false">HYPERLINK("https://twitter.com/Vicdayz","@Vicdayz")</f>
        <v>@Vicdayz</v>
      </c>
      <c r="C1755" s="8" t="s">
        <v>4572</v>
      </c>
      <c r="D1755" s="8" t="s">
        <v>4573</v>
      </c>
      <c r="E1755" s="9" t="str">
        <f aca="false">HYPERLINK("https://twitter.com/Vicdayz/status/922070645315338246","922070645315338246")</f>
        <v>922070645315338246</v>
      </c>
      <c r="F1755" s="10" t="s">
        <v>60</v>
      </c>
      <c r="G1755" s="10" t="n">
        <v>40</v>
      </c>
      <c r="H1755" s="10" t="n">
        <v>343</v>
      </c>
      <c r="I1755" s="10" t="n">
        <v>0</v>
      </c>
      <c r="J1755" s="10" t="n">
        <v>0</v>
      </c>
      <c r="K1755" s="10" t="s">
        <v>20</v>
      </c>
      <c r="L1755" s="11" t="n">
        <v>41550.1523032407</v>
      </c>
      <c r="M1755" s="12"/>
      <c r="N1755" s="12"/>
      <c r="O1755" s="9" t="str">
        <f aca="false">HYPERLINK("https://pbs.twimg.com/profile_images/575205930654109697/xEqwEqCK_normal.jpeg","View")</f>
        <v>View</v>
      </c>
      <c r="P1755" s="10"/>
    </row>
    <row r="1756" customFormat="false" ht="15.75" hidden="false" customHeight="false" outlineLevel="0" collapsed="false">
      <c r="A1756" s="6" t="n">
        <v>43030.2100462963</v>
      </c>
      <c r="B1756" s="7" t="str">
        <f aca="false">HYPERLINK("https://twitter.com/smarthere","@smarthere")</f>
        <v>@smarthere</v>
      </c>
      <c r="C1756" s="8" t="s">
        <v>4574</v>
      </c>
      <c r="D1756" s="8" t="s">
        <v>4575</v>
      </c>
      <c r="E1756" s="9" t="str">
        <f aca="false">HYPERLINK("https://twitter.com/smarthere/status/922070647362244608","922070647362244608")</f>
        <v>922070647362244608</v>
      </c>
      <c r="F1756" s="10" t="s">
        <v>60</v>
      </c>
      <c r="G1756" s="10" t="n">
        <v>107</v>
      </c>
      <c r="H1756" s="10" t="n">
        <v>395</v>
      </c>
      <c r="I1756" s="10" t="n">
        <v>0</v>
      </c>
      <c r="J1756" s="10" t="n">
        <v>0</v>
      </c>
      <c r="K1756" s="10" t="s">
        <v>20</v>
      </c>
      <c r="L1756" s="11" t="n">
        <v>40986.9785648148</v>
      </c>
      <c r="M1756" s="12"/>
      <c r="N1756" s="12" t="s">
        <v>4576</v>
      </c>
      <c r="O1756" s="9" t="str">
        <f aca="false">HYPERLINK("https://pbs.twimg.com/profile_images/764383435745992704/9KRdq1-1_normal.jpg","View")</f>
        <v>View</v>
      </c>
      <c r="P1756" s="10"/>
    </row>
    <row r="1757" customFormat="false" ht="15.75" hidden="false" customHeight="false" outlineLevel="0" collapsed="false">
      <c r="A1757" s="6" t="n">
        <v>43030.2100462963</v>
      </c>
      <c r="B1757" s="7" t="str">
        <f aca="false">HYPERLINK("https://twitter.com/RaphaelStonem","@RaphaelStonem")</f>
        <v>@RaphaelStonem</v>
      </c>
      <c r="C1757" s="8" t="s">
        <v>4577</v>
      </c>
      <c r="D1757" s="8" t="s">
        <v>4578</v>
      </c>
      <c r="E1757" s="9" t="str">
        <f aca="false">HYPERLINK("https://twitter.com/RaphaelStonem/status/922070647588773889","922070647588773889")</f>
        <v>922070647588773889</v>
      </c>
      <c r="F1757" s="10" t="s">
        <v>60</v>
      </c>
      <c r="G1757" s="10" t="n">
        <v>411</v>
      </c>
      <c r="H1757" s="10" t="n">
        <v>929</v>
      </c>
      <c r="I1757" s="10" t="n">
        <v>0</v>
      </c>
      <c r="J1757" s="10" t="n">
        <v>0</v>
      </c>
      <c r="K1757" s="10" t="s">
        <v>20</v>
      </c>
      <c r="L1757" s="11" t="n">
        <v>39964.3212731481</v>
      </c>
      <c r="M1757" s="12" t="s">
        <v>4579</v>
      </c>
      <c r="N1757" s="12" t="s">
        <v>4580</v>
      </c>
      <c r="O1757" s="9" t="str">
        <f aca="false">HYPERLINK("https://pbs.twimg.com/profile_images/921023111943909376/vVZOifgZ_normal.jpg","View")</f>
        <v>View</v>
      </c>
      <c r="P1757" s="10"/>
    </row>
    <row r="1758" customFormat="false" ht="15.75" hidden="false" customHeight="false" outlineLevel="0" collapsed="false">
      <c r="A1758" s="6" t="n">
        <v>43030.2100462963</v>
      </c>
      <c r="B1758" s="7" t="str">
        <f aca="false">HYPERLINK("https://twitter.com/KuehnMichael","@KuehnMichael")</f>
        <v>@KuehnMichael</v>
      </c>
      <c r="C1758" s="8" t="s">
        <v>2627</v>
      </c>
      <c r="D1758" s="8" t="s">
        <v>4581</v>
      </c>
      <c r="E1758" s="9" t="str">
        <f aca="false">HYPERLINK("https://twitter.com/KuehnMichael/status/922070648519880704","922070648519880704")</f>
        <v>922070648519880704</v>
      </c>
      <c r="F1758" s="10" t="s">
        <v>60</v>
      </c>
      <c r="G1758" s="10" t="n">
        <v>53</v>
      </c>
      <c r="H1758" s="10" t="n">
        <v>169</v>
      </c>
      <c r="I1758" s="10" t="n">
        <v>0</v>
      </c>
      <c r="J1758" s="10" t="n">
        <v>0</v>
      </c>
      <c r="K1758" s="10" t="s">
        <v>20</v>
      </c>
      <c r="L1758" s="11" t="n">
        <v>41095.7264236111</v>
      </c>
      <c r="M1758" s="12" t="s">
        <v>2629</v>
      </c>
      <c r="N1758" s="12"/>
      <c r="O1758" s="9" t="str">
        <f aca="false">HYPERLINK("https://pbs.twimg.com/profile_images/2371654305/eEaW6QMV_normal","View")</f>
        <v>View</v>
      </c>
      <c r="P1758" s="10"/>
    </row>
    <row r="1759" customFormat="false" ht="15.75" hidden="false" customHeight="false" outlineLevel="0" collapsed="false">
      <c r="A1759" s="6" t="n">
        <v>43030.2100462963</v>
      </c>
      <c r="B1759" s="7" t="str">
        <f aca="false">HYPERLINK("https://twitter.com/arvi_jo","@arvi_jo")</f>
        <v>@arvi_jo</v>
      </c>
      <c r="C1759" s="8" t="s">
        <v>4582</v>
      </c>
      <c r="D1759" s="8" t="s">
        <v>4583</v>
      </c>
      <c r="E1759" s="9" t="str">
        <f aca="false">HYPERLINK("https://twitter.com/arvi_jo/status/922070649048387585","922070649048387585")</f>
        <v>922070649048387585</v>
      </c>
      <c r="F1759" s="10" t="s">
        <v>60</v>
      </c>
      <c r="G1759" s="10" t="n">
        <v>75</v>
      </c>
      <c r="H1759" s="10" t="n">
        <v>581</v>
      </c>
      <c r="I1759" s="10" t="n">
        <v>0</v>
      </c>
      <c r="J1759" s="10" t="n">
        <v>0</v>
      </c>
      <c r="K1759" s="10" t="s">
        <v>20</v>
      </c>
      <c r="L1759" s="11" t="n">
        <v>42390.4953819445</v>
      </c>
      <c r="M1759" s="12" t="s">
        <v>72</v>
      </c>
      <c r="N1759" s="12" t="s">
        <v>4584</v>
      </c>
      <c r="O1759" s="9" t="str">
        <f aca="false">HYPERLINK("https://pbs.twimg.com/profile_images/890634489453363201/vHIQ6A6R_normal.jpg","View")</f>
        <v>View</v>
      </c>
      <c r="P1759" s="10"/>
    </row>
    <row r="1760" customFormat="false" ht="15.75" hidden="false" customHeight="false" outlineLevel="0" collapsed="false">
      <c r="A1760" s="6" t="n">
        <v>43030.2100462963</v>
      </c>
      <c r="B1760" s="7" t="str">
        <f aca="false">HYPERLINK("https://twitter.com/Oh_fame_","@Oh_fame_")</f>
        <v>@Oh_fame_</v>
      </c>
      <c r="C1760" s="8" t="s">
        <v>4585</v>
      </c>
      <c r="D1760" s="8" t="s">
        <v>4586</v>
      </c>
      <c r="E1760" s="9" t="str">
        <f aca="false">HYPERLINK("https://twitter.com/Oh_fame_/status/922070649656487939","922070649656487939")</f>
        <v>922070649656487939</v>
      </c>
      <c r="F1760" s="10" t="s">
        <v>60</v>
      </c>
      <c r="G1760" s="10" t="n">
        <v>35</v>
      </c>
      <c r="H1760" s="10" t="n">
        <v>130</v>
      </c>
      <c r="I1760" s="10" t="n">
        <v>0</v>
      </c>
      <c r="J1760" s="10" t="n">
        <v>0</v>
      </c>
      <c r="K1760" s="10" t="s">
        <v>20</v>
      </c>
      <c r="L1760" s="11" t="n">
        <v>42474.7236689815</v>
      </c>
      <c r="M1760" s="12"/>
      <c r="N1760" s="12" t="s">
        <v>4587</v>
      </c>
      <c r="O1760" s="9" t="str">
        <f aca="false">HYPERLINK("https://pbs.twimg.com/profile_images/795233487041298433/ravNd_2i_normal.jpg","View")</f>
        <v>View</v>
      </c>
      <c r="P1760" s="10"/>
    </row>
    <row r="1761" customFormat="false" ht="15.75" hidden="false" customHeight="false" outlineLevel="0" collapsed="false">
      <c r="A1761" s="6" t="n">
        <v>43030.2100578704</v>
      </c>
      <c r="B1761" s="7" t="str">
        <f aca="false">HYPERLINK("https://twitter.com/FoodieMcBooty","@FoodieMcBooty")</f>
        <v>@FoodieMcBooty</v>
      </c>
      <c r="C1761" s="8" t="s">
        <v>4588</v>
      </c>
      <c r="D1761" s="8" t="s">
        <v>4589</v>
      </c>
      <c r="E1761" s="9" t="str">
        <f aca="false">HYPERLINK("https://twitter.com/FoodieMcBooty/status/922070653674631168","922070653674631168")</f>
        <v>922070653674631168</v>
      </c>
      <c r="F1761" s="10" t="s">
        <v>60</v>
      </c>
      <c r="G1761" s="10" t="n">
        <v>320</v>
      </c>
      <c r="H1761" s="10" t="n">
        <v>919</v>
      </c>
      <c r="I1761" s="10" t="n">
        <v>0</v>
      </c>
      <c r="J1761" s="10" t="n">
        <v>0</v>
      </c>
      <c r="K1761" s="10" t="s">
        <v>20</v>
      </c>
      <c r="L1761" s="11" t="n">
        <v>40393.5069212963</v>
      </c>
      <c r="M1761" s="12" t="s">
        <v>4590</v>
      </c>
      <c r="N1761" s="12" t="s">
        <v>4591</v>
      </c>
      <c r="O1761" s="9" t="str">
        <f aca="false">HYPERLINK("https://pbs.twimg.com/profile_images/3070395202/35d651e4e7f3a632a41d51fec8800945_normal.jpeg","View")</f>
        <v>View</v>
      </c>
      <c r="P1761" s="10"/>
    </row>
    <row r="1762" customFormat="false" ht="15.75" hidden="false" customHeight="false" outlineLevel="0" collapsed="false">
      <c r="A1762" s="6" t="n">
        <v>43030.2100694444</v>
      </c>
      <c r="B1762" s="7" t="str">
        <f aca="false">HYPERLINK("https://twitter.com/primkray125","@primkray125")</f>
        <v>@primkray125</v>
      </c>
      <c r="C1762" s="8" t="s">
        <v>4592</v>
      </c>
      <c r="D1762" s="8" t="s">
        <v>4593</v>
      </c>
      <c r="E1762" s="9" t="str">
        <f aca="false">HYPERLINK("https://twitter.com/primkray125/status/922070655855726593","922070655855726593")</f>
        <v>922070655855726593</v>
      </c>
      <c r="F1762" s="10" t="s">
        <v>60</v>
      </c>
      <c r="G1762" s="10" t="n">
        <v>167</v>
      </c>
      <c r="H1762" s="10" t="n">
        <v>1083</v>
      </c>
      <c r="I1762" s="10" t="n">
        <v>0</v>
      </c>
      <c r="J1762" s="10" t="n">
        <v>0</v>
      </c>
      <c r="K1762" s="10" t="s">
        <v>20</v>
      </c>
      <c r="L1762" s="11" t="n">
        <v>41516.0144907407</v>
      </c>
      <c r="M1762" s="12" t="s">
        <v>230</v>
      </c>
      <c r="N1762" s="12" t="s">
        <v>4594</v>
      </c>
      <c r="O1762" s="9" t="str">
        <f aca="false">HYPERLINK("https://pbs.twimg.com/profile_images/823198991965896704/PVMaWa0r_normal.jpg","View")</f>
        <v>View</v>
      </c>
      <c r="P1762" s="10"/>
    </row>
    <row r="1763" customFormat="false" ht="15.75" hidden="false" customHeight="false" outlineLevel="0" collapsed="false">
      <c r="A1763" s="6" t="n">
        <v>43030.2100694444</v>
      </c>
      <c r="B1763" s="7" t="str">
        <f aca="false">HYPERLINK("https://twitter.com/brooklynnycmike","@brooklynnycmike")</f>
        <v>@brooklynnycmike</v>
      </c>
      <c r="C1763" s="8" t="s">
        <v>4595</v>
      </c>
      <c r="D1763" s="8" t="s">
        <v>4596</v>
      </c>
      <c r="E1763" s="9" t="str">
        <f aca="false">HYPERLINK("https://twitter.com/brooklynnycmike/status/922070657902538753","922070657902538753")</f>
        <v>922070657902538753</v>
      </c>
      <c r="F1763" s="10" t="s">
        <v>60</v>
      </c>
      <c r="G1763" s="10" t="n">
        <v>56</v>
      </c>
      <c r="H1763" s="10" t="n">
        <v>14</v>
      </c>
      <c r="I1763" s="10" t="n">
        <v>0</v>
      </c>
      <c r="J1763" s="10" t="n">
        <v>0</v>
      </c>
      <c r="K1763" s="10" t="s">
        <v>20</v>
      </c>
      <c r="L1763" s="11" t="n">
        <v>39211.8314583333</v>
      </c>
      <c r="M1763" s="12" t="s">
        <v>4218</v>
      </c>
      <c r="N1763" s="12" t="s">
        <v>4597</v>
      </c>
      <c r="O1763" s="9" t="str">
        <f aca="false">HYPERLINK("https://pbs.twimg.com/profile_images/913648389111390208/DrM8EaCn_normal.jpg","View")</f>
        <v>View</v>
      </c>
      <c r="P1763" s="10"/>
    </row>
    <row r="1764" customFormat="false" ht="15.75" hidden="false" customHeight="false" outlineLevel="0" collapsed="false">
      <c r="A1764" s="6" t="n">
        <v>43030.2100694444</v>
      </c>
      <c r="B1764" s="7" t="str">
        <f aca="false">HYPERLINK("https://twitter.com/sentilsebastian","@sentilsebastian")</f>
        <v>@sentilsebastian</v>
      </c>
      <c r="C1764" s="8" t="s">
        <v>4598</v>
      </c>
      <c r="D1764" s="8" t="s">
        <v>4599</v>
      </c>
      <c r="E1764" s="9" t="str">
        <f aca="false">HYPERLINK("https://twitter.com/sentilsebastian/status/922070658711945216","922070658711945216")</f>
        <v>922070658711945216</v>
      </c>
      <c r="F1764" s="10" t="s">
        <v>60</v>
      </c>
      <c r="G1764" s="10" t="n">
        <v>1926</v>
      </c>
      <c r="H1764" s="10" t="n">
        <v>5001</v>
      </c>
      <c r="I1764" s="10" t="n">
        <v>0</v>
      </c>
      <c r="J1764" s="10" t="n">
        <v>1</v>
      </c>
      <c r="K1764" s="10" t="s">
        <v>20</v>
      </c>
      <c r="L1764" s="11" t="n">
        <v>40800.2782638889</v>
      </c>
      <c r="M1764" s="12" t="s">
        <v>4600</v>
      </c>
      <c r="N1764" s="12"/>
      <c r="O1764" s="9" t="str">
        <f aca="false">HYPERLINK("https://pbs.twimg.com/profile_images/665926565000278017/wU5xKWQD_normal.png","View")</f>
        <v>View</v>
      </c>
      <c r="P1764" s="10"/>
    </row>
    <row r="1765" customFormat="false" ht="15.75" hidden="false" customHeight="false" outlineLevel="0" collapsed="false">
      <c r="A1765" s="6" t="n">
        <v>43030.2100810185</v>
      </c>
      <c r="B1765" s="7" t="str">
        <f aca="false">HYPERLINK("https://twitter.com/MaurizioMrt","@MaurizioMrt")</f>
        <v>@MaurizioMrt</v>
      </c>
      <c r="C1765" s="8" t="s">
        <v>4601</v>
      </c>
      <c r="D1765" s="8" t="s">
        <v>4602</v>
      </c>
      <c r="E1765" s="9" t="str">
        <f aca="false">HYPERLINK("https://twitter.com/MaurizioMrt/status/922070660192636932","922070660192636932")</f>
        <v>922070660192636932</v>
      </c>
      <c r="F1765" s="10" t="s">
        <v>60</v>
      </c>
      <c r="G1765" s="10" t="n">
        <v>115</v>
      </c>
      <c r="H1765" s="10" t="n">
        <v>390</v>
      </c>
      <c r="I1765" s="10" t="n">
        <v>0</v>
      </c>
      <c r="J1765" s="10" t="n">
        <v>0</v>
      </c>
      <c r="K1765" s="10" t="s">
        <v>20</v>
      </c>
      <c r="L1765" s="11" t="n">
        <v>40370.255</v>
      </c>
      <c r="M1765" s="12" t="s">
        <v>893</v>
      </c>
      <c r="N1765" s="12" t="s">
        <v>4603</v>
      </c>
      <c r="O1765" s="9" t="str">
        <f aca="false">HYPERLINK("https://pbs.twimg.com/profile_images/498305411356065792/VrENP55F_normal.jpeg","View")</f>
        <v>View</v>
      </c>
      <c r="P1765" s="10"/>
    </row>
    <row r="1766" customFormat="false" ht="15.75" hidden="false" customHeight="false" outlineLevel="0" collapsed="false">
      <c r="A1766" s="6" t="n">
        <v>43030.2100810185</v>
      </c>
      <c r="B1766" s="7" t="str">
        <f aca="false">HYPERLINK("https://twitter.com/cbelive_com","@cbelive_com")</f>
        <v>@cbelive_com</v>
      </c>
      <c r="C1766" s="8" t="s">
        <v>4469</v>
      </c>
      <c r="D1766" s="8" t="s">
        <v>4604</v>
      </c>
      <c r="E1766" s="9" t="str">
        <f aca="false">HYPERLINK("https://twitter.com/cbelive_com/status/922070660817485826","922070660817485826")</f>
        <v>922070660817485826</v>
      </c>
      <c r="F1766" s="10" t="s">
        <v>60</v>
      </c>
      <c r="G1766" s="10" t="n">
        <v>1272</v>
      </c>
      <c r="H1766" s="10" t="n">
        <v>1840</v>
      </c>
      <c r="I1766" s="10" t="n">
        <v>0</v>
      </c>
      <c r="J1766" s="10" t="n">
        <v>0</v>
      </c>
      <c r="K1766" s="10" t="s">
        <v>20</v>
      </c>
      <c r="L1766" s="11" t="n">
        <v>41672.5071064815</v>
      </c>
      <c r="M1766" s="12" t="s">
        <v>4471</v>
      </c>
      <c r="N1766" s="12" t="s">
        <v>4472</v>
      </c>
      <c r="O1766" s="9" t="str">
        <f aca="false">HYPERLINK("https://pbs.twimg.com/profile_images/430200907007926272/8LyTjX4l_normal.jpeg","View")</f>
        <v>View</v>
      </c>
      <c r="P1766" s="10"/>
    </row>
    <row r="1767" customFormat="false" ht="15.75" hidden="false" customHeight="false" outlineLevel="0" collapsed="false">
      <c r="A1767" s="6" t="n">
        <v>43030.2100925926</v>
      </c>
      <c r="B1767" s="7" t="str">
        <f aca="false">HYPERLINK("https://twitter.com/ButterflySnrida","@ButterflySnrida")</f>
        <v>@ButterflySnrida</v>
      </c>
      <c r="C1767" s="8" t="s">
        <v>4605</v>
      </c>
      <c r="D1767" s="8" t="s">
        <v>4606</v>
      </c>
      <c r="E1767" s="9" t="str">
        <f aca="false">HYPERLINK("https://twitter.com/ButterflySnrida/status/922070664168853505","922070664168853505")</f>
        <v>922070664168853505</v>
      </c>
      <c r="F1767" s="10" t="s">
        <v>60</v>
      </c>
      <c r="G1767" s="10" t="n">
        <v>353</v>
      </c>
      <c r="H1767" s="10" t="n">
        <v>1478</v>
      </c>
      <c r="I1767" s="10" t="n">
        <v>0</v>
      </c>
      <c r="J1767" s="10" t="n">
        <v>0</v>
      </c>
      <c r="K1767" s="10" t="s">
        <v>20</v>
      </c>
      <c r="L1767" s="11" t="n">
        <v>40020.5146527778</v>
      </c>
      <c r="M1767" s="12" t="s">
        <v>4607</v>
      </c>
      <c r="N1767" s="12" t="s">
        <v>4608</v>
      </c>
      <c r="O1767" s="9" t="str">
        <f aca="false">HYPERLINK("https://pbs.twimg.com/profile_images/725040253493465088/7Gu8hX-4_normal.jpg","View")</f>
        <v>View</v>
      </c>
      <c r="P1767" s="10"/>
    </row>
    <row r="1768" customFormat="false" ht="15.75" hidden="false" customHeight="false" outlineLevel="0" collapsed="false">
      <c r="A1768" s="6" t="n">
        <v>43030.2101157407</v>
      </c>
      <c r="B1768" s="7" t="str">
        <f aca="false">HYPERLINK("https://twitter.com/attilabokor","@attilabokor")</f>
        <v>@attilabokor</v>
      </c>
      <c r="C1768" s="8" t="s">
        <v>4609</v>
      </c>
      <c r="D1768" s="8" t="s">
        <v>4610</v>
      </c>
      <c r="E1768" s="9" t="str">
        <f aca="false">HYPERLINK("https://twitter.com/attilabokor/status/922070675535335424","922070675535335424")</f>
        <v>922070675535335424</v>
      </c>
      <c r="F1768" s="10" t="s">
        <v>60</v>
      </c>
      <c r="G1768" s="10" t="n">
        <v>960</v>
      </c>
      <c r="H1768" s="10" t="n">
        <v>1997</v>
      </c>
      <c r="I1768" s="10" t="n">
        <v>0</v>
      </c>
      <c r="J1768" s="10" t="n">
        <v>0</v>
      </c>
      <c r="K1768" s="10" t="s">
        <v>20</v>
      </c>
      <c r="L1768" s="11" t="n">
        <v>39876.3667476852</v>
      </c>
      <c r="M1768" s="12" t="s">
        <v>262</v>
      </c>
      <c r="N1768" s="12" t="s">
        <v>4611</v>
      </c>
      <c r="O1768" s="9" t="str">
        <f aca="false">HYPERLINK("https://pbs.twimg.com/profile_images/1516173852/Attila_iPhone_normal.jpg","View")</f>
        <v>View</v>
      </c>
      <c r="P1768" s="10"/>
    </row>
    <row r="1769" customFormat="false" ht="15.75" hidden="false" customHeight="false" outlineLevel="0" collapsed="false">
      <c r="A1769" s="6" t="n">
        <v>43030.210162037</v>
      </c>
      <c r="B1769" s="7" t="str">
        <f aca="false">HYPERLINK("https://twitter.com/strong_girl2012","@strong_girl2012")</f>
        <v>@strong_girl2012</v>
      </c>
      <c r="C1769" s="8" t="s">
        <v>4612</v>
      </c>
      <c r="D1769" s="8" t="s">
        <v>4613</v>
      </c>
      <c r="E1769" s="9" t="str">
        <f aca="false">HYPERLINK("https://twitter.com/strong_girl2012/status/922070692501352448","922070692501352448")</f>
        <v>922070692501352448</v>
      </c>
      <c r="F1769" s="10" t="s">
        <v>60</v>
      </c>
      <c r="G1769" s="10" t="n">
        <v>1918</v>
      </c>
      <c r="H1769" s="10" t="n">
        <v>1836</v>
      </c>
      <c r="I1769" s="10" t="n">
        <v>0</v>
      </c>
      <c r="J1769" s="10" t="n">
        <v>0</v>
      </c>
      <c r="K1769" s="10" t="s">
        <v>20</v>
      </c>
      <c r="L1769" s="11" t="n">
        <v>40972.0177083333</v>
      </c>
      <c r="M1769" s="12" t="s">
        <v>4614</v>
      </c>
      <c r="N1769" s="12" t="s">
        <v>4615</v>
      </c>
      <c r="O1769" s="9" t="str">
        <f aca="false">HYPERLINK("https://pbs.twimg.com/profile_images/789255139882311680/3_NehyXR_normal.jpg","View")</f>
        <v>View</v>
      </c>
      <c r="P1769" s="10"/>
    </row>
    <row r="1770" customFormat="false" ht="15.75" hidden="false" customHeight="false" outlineLevel="0" collapsed="false">
      <c r="A1770" s="6" t="n">
        <v>43030.2101967593</v>
      </c>
      <c r="B1770" s="7" t="str">
        <f aca="false">HYPERLINK("https://twitter.com/coredumpcat","@coredumpcat")</f>
        <v>@coredumpcat</v>
      </c>
      <c r="C1770" s="14" t="s">
        <v>4616</v>
      </c>
      <c r="D1770" s="8" t="s">
        <v>4068</v>
      </c>
      <c r="E1770" s="9" t="str">
        <f aca="false">HYPERLINK("https://twitter.com/coredumpcat/status/922070704224272384","922070704224272384")</f>
        <v>922070704224272384</v>
      </c>
      <c r="F1770" s="10" t="s">
        <v>1063</v>
      </c>
      <c r="G1770" s="10" t="n">
        <v>426</v>
      </c>
      <c r="H1770" s="10" t="n">
        <v>535</v>
      </c>
      <c r="I1770" s="10" t="n">
        <v>50</v>
      </c>
      <c r="J1770" s="10" t="n">
        <v>0</v>
      </c>
      <c r="K1770" s="10" t="s">
        <v>20</v>
      </c>
      <c r="L1770" s="11" t="n">
        <v>40137.1279513889</v>
      </c>
      <c r="M1770" s="13" t="s">
        <v>152</v>
      </c>
      <c r="N1770" s="13" t="s">
        <v>4617</v>
      </c>
      <c r="O1770" s="9" t="str">
        <f aca="false">HYPERLINK("https://pbs.twimg.com/profile_images/703209258758725632/QTpwDg0j_normal.jpg","View")</f>
        <v>View</v>
      </c>
      <c r="P1770" s="10"/>
    </row>
    <row r="1771" customFormat="false" ht="15.75" hidden="false" customHeight="false" outlineLevel="0" collapsed="false">
      <c r="A1771" s="6" t="n">
        <v>43030.2102199074</v>
      </c>
      <c r="B1771" s="7" t="str">
        <f aca="false">HYPERLINK("https://twitter.com/dewi54512664","@dewi54512664")</f>
        <v>@dewi54512664</v>
      </c>
      <c r="C1771" s="8" t="s">
        <v>4618</v>
      </c>
      <c r="D1771" s="8" t="s">
        <v>4619</v>
      </c>
      <c r="E1771" s="9" t="str">
        <f aca="false">HYPERLINK("https://twitter.com/dewi54512664/status/922070713476972544","922070713476972544")</f>
        <v>922070713476972544</v>
      </c>
      <c r="F1771" s="10" t="s">
        <v>60</v>
      </c>
      <c r="G1771" s="10" t="n">
        <v>2</v>
      </c>
      <c r="H1771" s="10" t="n">
        <v>9</v>
      </c>
      <c r="I1771" s="10" t="n">
        <v>0</v>
      </c>
      <c r="J1771" s="10" t="n">
        <v>0</v>
      </c>
      <c r="K1771" s="10" t="s">
        <v>20</v>
      </c>
      <c r="L1771" s="11" t="n">
        <v>42909.0759143519</v>
      </c>
      <c r="M1771" s="12"/>
      <c r="N1771" s="12"/>
      <c r="O1771" s="9" t="str">
        <f aca="false">HYPERLINK("https://abs.twimg.com/sticky/default_profile_images/default_profile_normal.png","View")</f>
        <v>View</v>
      </c>
      <c r="P1771" s="10"/>
    </row>
    <row r="1772" customFormat="false" ht="15.75" hidden="false" customHeight="false" outlineLevel="0" collapsed="false">
      <c r="A1772" s="6" t="n">
        <v>43030.2102314815</v>
      </c>
      <c r="B1772" s="7" t="str">
        <f aca="false">HYPERLINK("https://twitter.com/Argonaut4","@Argonaut4")</f>
        <v>@Argonaut4</v>
      </c>
      <c r="C1772" s="8" t="s">
        <v>4620</v>
      </c>
      <c r="D1772" s="8" t="s">
        <v>4621</v>
      </c>
      <c r="E1772" s="9" t="str">
        <f aca="false">HYPERLINK("https://twitter.com/Argonaut4/status/922070713628004353","922070713628004353")</f>
        <v>922070713628004353</v>
      </c>
      <c r="F1772" s="10" t="s">
        <v>60</v>
      </c>
      <c r="G1772" s="10" t="n">
        <v>336</v>
      </c>
      <c r="H1772" s="10" t="n">
        <v>1511</v>
      </c>
      <c r="I1772" s="10" t="n">
        <v>0</v>
      </c>
      <c r="J1772" s="10" t="n">
        <v>0</v>
      </c>
      <c r="K1772" s="10" t="s">
        <v>20</v>
      </c>
      <c r="L1772" s="11" t="n">
        <v>39662.6425231481</v>
      </c>
      <c r="M1772" s="12" t="s">
        <v>4622</v>
      </c>
      <c r="N1772" s="12" t="s">
        <v>4623</v>
      </c>
      <c r="O1772" s="9" t="str">
        <f aca="false">HYPERLINK("https://pbs.twimg.com/profile_images/913451685254705152/MVnbjb70_normal.jpg","View")</f>
        <v>View</v>
      </c>
      <c r="P1772" s="10"/>
    </row>
    <row r="1773" customFormat="false" ht="15.75" hidden="false" customHeight="false" outlineLevel="0" collapsed="false">
      <c r="A1773" s="6" t="n">
        <v>43030.2102430556</v>
      </c>
      <c r="B1773" s="7" t="str">
        <f aca="false">HYPERLINK("https://twitter.com/terri_to","@terri_to")</f>
        <v>@terri_to</v>
      </c>
      <c r="C1773" s="8" t="s">
        <v>4624</v>
      </c>
      <c r="D1773" s="8" t="s">
        <v>4068</v>
      </c>
      <c r="E1773" s="9" t="str">
        <f aca="false">HYPERLINK("https://twitter.com/terri_to/status/922070721387360258","922070721387360258")</f>
        <v>922070721387360258</v>
      </c>
      <c r="F1773" s="10" t="s">
        <v>39</v>
      </c>
      <c r="G1773" s="10" t="n">
        <v>3321</v>
      </c>
      <c r="H1773" s="10" t="n">
        <v>4222</v>
      </c>
      <c r="I1773" s="10" t="n">
        <v>50</v>
      </c>
      <c r="J1773" s="10" t="n">
        <v>0</v>
      </c>
      <c r="K1773" s="10" t="s">
        <v>20</v>
      </c>
      <c r="L1773" s="11" t="n">
        <v>39701.6739467593</v>
      </c>
      <c r="M1773" s="12" t="s">
        <v>4625</v>
      </c>
      <c r="N1773" s="12" t="s">
        <v>4626</v>
      </c>
      <c r="O1773" s="9" t="str">
        <f aca="false">HYPERLINK("https://pbs.twimg.com/profile_images/694853537747050496/pByUDBmZ_normal.jpg","View")</f>
        <v>View</v>
      </c>
      <c r="P1773" s="10"/>
    </row>
    <row r="1774" customFormat="false" ht="15.75" hidden="false" customHeight="false" outlineLevel="0" collapsed="false">
      <c r="A1774" s="6" t="n">
        <v>43030.2102662037</v>
      </c>
      <c r="B1774" s="7" t="str">
        <f aca="false">HYPERLINK("https://twitter.com/PUMACUATRO","@PUMACUATRO")</f>
        <v>@PUMACUATRO</v>
      </c>
      <c r="C1774" s="8" t="s">
        <v>4627</v>
      </c>
      <c r="D1774" s="8" t="s">
        <v>4628</v>
      </c>
      <c r="E1774" s="9" t="str">
        <f aca="false">HYPERLINK("https://twitter.com/PUMACUATRO/status/922070728597532673","922070728597532673")</f>
        <v>922070728597532673</v>
      </c>
      <c r="F1774" s="10" t="s">
        <v>60</v>
      </c>
      <c r="G1774" s="10" t="n">
        <v>2745</v>
      </c>
      <c r="H1774" s="10" t="n">
        <v>2866</v>
      </c>
      <c r="I1774" s="10" t="n">
        <v>0</v>
      </c>
      <c r="J1774" s="10" t="n">
        <v>0</v>
      </c>
      <c r="K1774" s="10" t="s">
        <v>20</v>
      </c>
      <c r="L1774" s="11" t="n">
        <v>40943.5430324074</v>
      </c>
      <c r="M1774" s="12" t="s">
        <v>4629</v>
      </c>
      <c r="N1774" s="12" t="s">
        <v>4630</v>
      </c>
      <c r="O1774" s="9" t="str">
        <f aca="false">HYPERLINK("https://pbs.twimg.com/profile_images/792400828225183744/pVzgk9nF_normal.jpg","View")</f>
        <v>View</v>
      </c>
      <c r="P1774" s="10"/>
    </row>
    <row r="1775" customFormat="false" ht="15.75" hidden="false" customHeight="false" outlineLevel="0" collapsed="false">
      <c r="A1775" s="6" t="n">
        <v>43030.2103240741</v>
      </c>
      <c r="B1775" s="7" t="str">
        <f aca="false">HYPERLINK("https://twitter.com/BillCllr","@BillCllr")</f>
        <v>@BillCllr</v>
      </c>
      <c r="C1775" s="8" t="s">
        <v>4631</v>
      </c>
      <c r="D1775" s="8" t="s">
        <v>3295</v>
      </c>
      <c r="E1775" s="9" t="str">
        <f aca="false">HYPERLINK("https://twitter.com/BillCllr/status/922070747199270915","922070747199270915")</f>
        <v>922070747199270915</v>
      </c>
      <c r="F1775" s="10" t="s">
        <v>51</v>
      </c>
      <c r="G1775" s="10" t="n">
        <v>843</v>
      </c>
      <c r="H1775" s="10" t="n">
        <v>257</v>
      </c>
      <c r="I1775" s="10" t="n">
        <v>71</v>
      </c>
      <c r="J1775" s="10" t="n">
        <v>0</v>
      </c>
      <c r="K1775" s="10" t="s">
        <v>20</v>
      </c>
      <c r="L1775" s="11" t="n">
        <v>41173.0438657407</v>
      </c>
      <c r="M1775" s="12"/>
      <c r="N1775" s="12" t="s">
        <v>4632</v>
      </c>
      <c r="O1775" s="9" t="str">
        <f aca="false">HYPERLINK("https://pbs.twimg.com/profile_images/504335656945201152/Vpec2MSd_normal.jpeg","View")</f>
        <v>View</v>
      </c>
      <c r="P1775" s="10"/>
    </row>
    <row r="1776" customFormat="false" ht="15.75" hidden="false" customHeight="false" outlineLevel="0" collapsed="false">
      <c r="A1776" s="6" t="n">
        <v>43030.2103472222</v>
      </c>
      <c r="B1776" s="7" t="str">
        <f aca="false">HYPERLINK("https://twitter.com/AnkitAayushaman","@AnkitAayushaman")</f>
        <v>@AnkitAayushaman</v>
      </c>
      <c r="C1776" s="8" t="s">
        <v>4633</v>
      </c>
      <c r="D1776" s="8" t="s">
        <v>4285</v>
      </c>
      <c r="E1776" s="9" t="str">
        <f aca="false">HYPERLINK("https://twitter.com/AnkitAayushaman/status/922070756611129344","922070756611129344")</f>
        <v>922070756611129344</v>
      </c>
      <c r="F1776" s="10" t="s">
        <v>98</v>
      </c>
      <c r="G1776" s="10" t="n">
        <v>541</v>
      </c>
      <c r="H1776" s="10" t="n">
        <v>791</v>
      </c>
      <c r="I1776" s="10" t="n">
        <v>5</v>
      </c>
      <c r="J1776" s="10" t="n">
        <v>0</v>
      </c>
      <c r="K1776" s="10" t="s">
        <v>20</v>
      </c>
      <c r="L1776" s="11" t="n">
        <v>42318.3951388889</v>
      </c>
      <c r="M1776" s="12" t="s">
        <v>4634</v>
      </c>
      <c r="N1776" s="12" t="s">
        <v>4635</v>
      </c>
      <c r="O1776" s="9" t="str">
        <f aca="false">HYPERLINK("https://pbs.twimg.com/profile_images/920196332949606400/V7iUmyis_normal.jpg","View")</f>
        <v>View</v>
      </c>
      <c r="P1776" s="10"/>
    </row>
    <row r="1777" customFormat="false" ht="15.75" hidden="false" customHeight="false" outlineLevel="0" collapsed="false">
      <c r="A1777" s="6" t="n">
        <v>43030.2103703704</v>
      </c>
      <c r="B1777" s="7" t="str">
        <f aca="false">HYPERLINK("https://twitter.com/CWNewsReport","@CWNewsReport")</f>
        <v>@CWNewsReport</v>
      </c>
      <c r="C1777" s="8" t="s">
        <v>4636</v>
      </c>
      <c r="D1777" s="8" t="s">
        <v>4637</v>
      </c>
      <c r="E1777" s="9" t="str">
        <f aca="false">HYPERLINK("https://twitter.com/CWNewsReport/status/922070764790124544","922070764790124544")</f>
        <v>922070764790124544</v>
      </c>
      <c r="F1777" s="9" t="s">
        <v>979</v>
      </c>
      <c r="G1777" s="10" t="n">
        <v>1053</v>
      </c>
      <c r="H1777" s="10" t="n">
        <v>1433</v>
      </c>
      <c r="I1777" s="10" t="n">
        <v>0</v>
      </c>
      <c r="J1777" s="10" t="n">
        <v>0</v>
      </c>
      <c r="K1777" s="10" t="s">
        <v>20</v>
      </c>
      <c r="L1777" s="11" t="n">
        <v>42075.45125</v>
      </c>
      <c r="M1777" s="12" t="s">
        <v>1143</v>
      </c>
      <c r="N1777" s="12" t="s">
        <v>4638</v>
      </c>
      <c r="O1777" s="9" t="str">
        <f aca="false">HYPERLINK("https://pbs.twimg.com/profile_images/576191201822441472/DE4-VMNZ_normal.png","View")</f>
        <v>View</v>
      </c>
      <c r="P1777" s="10"/>
    </row>
    <row r="1778" customFormat="false" ht="15.75" hidden="false" customHeight="false" outlineLevel="0" collapsed="false">
      <c r="A1778" s="6" t="n">
        <v>43030.2103819444</v>
      </c>
      <c r="B1778" s="7" t="str">
        <f aca="false">HYPERLINK("https://twitter.com/Greg_Burstock","@Greg_Burstock")</f>
        <v>@Greg_Burstock</v>
      </c>
      <c r="C1778" s="8" t="s">
        <v>4639</v>
      </c>
      <c r="D1778" s="8" t="s">
        <v>4640</v>
      </c>
      <c r="E1778" s="9" t="str">
        <f aca="false">HYPERLINK("https://twitter.com/Greg_Burstock/status/922070771492630529","922070771492630529")</f>
        <v>922070771492630529</v>
      </c>
      <c r="F1778" s="10" t="s">
        <v>60</v>
      </c>
      <c r="G1778" s="10" t="n">
        <v>203</v>
      </c>
      <c r="H1778" s="10" t="n">
        <v>358</v>
      </c>
      <c r="I1778" s="10" t="n">
        <v>0</v>
      </c>
      <c r="J1778" s="10" t="n">
        <v>0</v>
      </c>
      <c r="K1778" s="10" t="s">
        <v>20</v>
      </c>
      <c r="L1778" s="11" t="n">
        <v>42228.6391550926</v>
      </c>
      <c r="M1778" s="12"/>
      <c r="N1778" s="12" t="s">
        <v>4641</v>
      </c>
      <c r="O1778" s="9" t="str">
        <f aca="false">HYPERLINK("https://pbs.twimg.com/profile_images/631595275354664960/DBEWIO37_normal.png","View")</f>
        <v>View</v>
      </c>
      <c r="P1778" s="10"/>
    </row>
    <row r="1779" customFormat="false" ht="15.75" hidden="false" customHeight="false" outlineLevel="0" collapsed="false">
      <c r="A1779" s="6" t="n">
        <v>43030.210462963</v>
      </c>
      <c r="B1779" s="7" t="str">
        <f aca="false">HYPERLINK("https://twitter.com/MacMMedia","@MacMMedia")</f>
        <v>@MacMMedia</v>
      </c>
      <c r="C1779" s="8" t="s">
        <v>4642</v>
      </c>
      <c r="D1779" s="8" t="s">
        <v>4643</v>
      </c>
      <c r="E1779" s="9" t="str">
        <f aca="false">HYPERLINK("https://twitter.com/MacMMedia/status/922070800387203072","922070800387203072")</f>
        <v>922070800387203072</v>
      </c>
      <c r="F1779" s="10" t="s">
        <v>60</v>
      </c>
      <c r="G1779" s="10" t="n">
        <v>48</v>
      </c>
      <c r="H1779" s="10" t="n">
        <v>235</v>
      </c>
      <c r="I1779" s="10" t="n">
        <v>0</v>
      </c>
      <c r="J1779" s="10" t="n">
        <v>0</v>
      </c>
      <c r="K1779" s="10" t="s">
        <v>20</v>
      </c>
      <c r="L1779" s="11" t="n">
        <v>42665.193275463</v>
      </c>
      <c r="M1779" s="12" t="s">
        <v>4644</v>
      </c>
      <c r="N1779" s="12" t="s">
        <v>4645</v>
      </c>
      <c r="O1779" s="9" t="str">
        <f aca="false">HYPERLINK("https://pbs.twimg.com/profile_images/829614637502980097/oxnAtcZh_normal.jpg","View")</f>
        <v>View</v>
      </c>
      <c r="P1779" s="10"/>
    </row>
    <row r="1780" customFormat="false" ht="15.75" hidden="false" customHeight="false" outlineLevel="0" collapsed="false">
      <c r="A1780" s="6" t="n">
        <v>43030.210474537</v>
      </c>
      <c r="B1780" s="7" t="str">
        <f aca="false">HYPERLINK("https://twitter.com/JeffHickman14","@JeffHickman14")</f>
        <v>@JeffHickman14</v>
      </c>
      <c r="C1780" s="8" t="s">
        <v>4646</v>
      </c>
      <c r="D1780" s="8" t="s">
        <v>4647</v>
      </c>
      <c r="E1780" s="9" t="str">
        <f aca="false">HYPERLINK("https://twitter.com/JeffHickman14/status/922070805277741056","922070805277741056")</f>
        <v>922070805277741056</v>
      </c>
      <c r="F1780" s="10" t="s">
        <v>60</v>
      </c>
      <c r="G1780" s="10" t="n">
        <v>97</v>
      </c>
      <c r="H1780" s="10" t="n">
        <v>623</v>
      </c>
      <c r="I1780" s="10" t="n">
        <v>0</v>
      </c>
      <c r="J1780" s="10" t="n">
        <v>0</v>
      </c>
      <c r="K1780" s="10" t="s">
        <v>20</v>
      </c>
      <c r="L1780" s="11" t="n">
        <v>39946.4163194444</v>
      </c>
      <c r="M1780" s="12" t="s">
        <v>4648</v>
      </c>
      <c r="N1780" s="12" t="s">
        <v>4649</v>
      </c>
      <c r="O1780" s="9" t="str">
        <f aca="false">HYPERLINK("https://pbs.twimg.com/profile_images/922920800977653760/sRPZwKrQ_normal.jpg","View")</f>
        <v>View</v>
      </c>
      <c r="P1780" s="10"/>
    </row>
    <row r="1781" customFormat="false" ht="15.75" hidden="false" customHeight="false" outlineLevel="0" collapsed="false">
      <c r="A1781" s="6" t="n">
        <v>43030.2105092593</v>
      </c>
      <c r="B1781" s="7" t="str">
        <f aca="false">HYPERLINK("https://twitter.com/jbmagalhaesneto","@jbmagalhaesneto")</f>
        <v>@jbmagalhaesneto</v>
      </c>
      <c r="C1781" s="8" t="s">
        <v>4650</v>
      </c>
      <c r="D1781" s="8" t="s">
        <v>4651</v>
      </c>
      <c r="E1781" s="9" t="str">
        <f aca="false">HYPERLINK("https://twitter.com/jbmagalhaesneto/status/922070814559698949","922070814559698949")</f>
        <v>922070814559698949</v>
      </c>
      <c r="F1781" s="10" t="s">
        <v>60</v>
      </c>
      <c r="G1781" s="10" t="n">
        <v>559</v>
      </c>
      <c r="H1781" s="10" t="n">
        <v>3421</v>
      </c>
      <c r="I1781" s="10" t="n">
        <v>0</v>
      </c>
      <c r="J1781" s="10" t="n">
        <v>0</v>
      </c>
      <c r="K1781" s="10" t="s">
        <v>20</v>
      </c>
      <c r="L1781" s="11" t="n">
        <v>39944.595787037</v>
      </c>
      <c r="M1781" s="12" t="s">
        <v>4652</v>
      </c>
      <c r="N1781" s="12" t="s">
        <v>4653</v>
      </c>
      <c r="O1781" s="9" t="str">
        <f aca="false">HYPERLINK("https://pbs.twimg.com/profile_images/207703404/Foto_Magalh_es_normal.png","View")</f>
        <v>View</v>
      </c>
      <c r="P1781" s="10"/>
    </row>
    <row r="1782" customFormat="false" ht="15.75" hidden="false" customHeight="false" outlineLevel="0" collapsed="false">
      <c r="A1782" s="6" t="n">
        <v>43030.2105555556</v>
      </c>
      <c r="B1782" s="7" t="str">
        <f aca="false">HYPERLINK("https://twitter.com/RichTVXAsia","@RichTVXAsia")</f>
        <v>@RichTVXAsia</v>
      </c>
      <c r="C1782" s="8" t="s">
        <v>4654</v>
      </c>
      <c r="D1782" s="8" t="s">
        <v>4655</v>
      </c>
      <c r="E1782" s="9" t="str">
        <f aca="false">HYPERLINK("https://twitter.com/RichTVXAsia/status/922070832263974914","922070832263974914")</f>
        <v>922070832263974914</v>
      </c>
      <c r="F1782" s="10" t="s">
        <v>60</v>
      </c>
      <c r="G1782" s="10" t="n">
        <v>108</v>
      </c>
      <c r="H1782" s="10" t="n">
        <v>55</v>
      </c>
      <c r="I1782" s="10" t="n">
        <v>0</v>
      </c>
      <c r="J1782" s="10" t="n">
        <v>0</v>
      </c>
      <c r="K1782" s="10" t="s">
        <v>20</v>
      </c>
      <c r="L1782" s="11" t="n">
        <v>42731.2054166667</v>
      </c>
      <c r="M1782" s="12" t="s">
        <v>1143</v>
      </c>
      <c r="N1782" s="12" t="s">
        <v>4656</v>
      </c>
      <c r="O1782" s="9" t="str">
        <f aca="false">HYPERLINK("https://pbs.twimg.com/profile_images/887058720198463493/GJA7PVvP_normal.jpg","View")</f>
        <v>View</v>
      </c>
      <c r="P1782" s="10"/>
    </row>
    <row r="1783" customFormat="false" ht="15.75" hidden="false" customHeight="false" outlineLevel="0" collapsed="false">
      <c r="A1783" s="6" t="n">
        <v>43030.2105555556</v>
      </c>
      <c r="B1783" s="7" t="str">
        <f aca="false">HYPERLINK("https://twitter.com/arsiusgroup","@arsiusgroup")</f>
        <v>@arsiusgroup</v>
      </c>
      <c r="C1783" s="8" t="s">
        <v>4657</v>
      </c>
      <c r="D1783" s="8" t="s">
        <v>4628</v>
      </c>
      <c r="E1783" s="9" t="str">
        <f aca="false">HYPERLINK("https://twitter.com/arsiusgroup/status/922070833954213888","922070833954213888")</f>
        <v>922070833954213888</v>
      </c>
      <c r="F1783" s="10" t="s">
        <v>60</v>
      </c>
      <c r="G1783" s="10" t="n">
        <v>83</v>
      </c>
      <c r="H1783" s="10" t="n">
        <v>18</v>
      </c>
      <c r="I1783" s="10" t="n">
        <v>0</v>
      </c>
      <c r="J1783" s="10" t="n">
        <v>0</v>
      </c>
      <c r="K1783" s="10" t="s">
        <v>20</v>
      </c>
      <c r="L1783" s="11" t="n">
        <v>42025.51875</v>
      </c>
      <c r="M1783" s="12" t="s">
        <v>4658</v>
      </c>
      <c r="N1783" s="12"/>
      <c r="O1783" s="9" t="str">
        <f aca="false">HYPERLINK("https://pbs.twimg.com/profile_images/557998915266428929/6G5Qsf0R_normal.jpeg","View")</f>
        <v>View</v>
      </c>
      <c r="P1783" s="10"/>
    </row>
    <row r="1784" customFormat="false" ht="15.75" hidden="false" customHeight="false" outlineLevel="0" collapsed="false">
      <c r="A1784" s="6" t="n">
        <v>43030.2105555556</v>
      </c>
      <c r="B1784" s="7" t="str">
        <f aca="false">HYPERLINK("https://twitter.com/Arturo8574","@Arturo8574")</f>
        <v>@Arturo8574</v>
      </c>
      <c r="C1784" s="8" t="s">
        <v>4659</v>
      </c>
      <c r="D1784" s="8" t="s">
        <v>4660</v>
      </c>
      <c r="E1784" s="9" t="str">
        <f aca="false">HYPERLINK("https://twitter.com/Arturo8574/status/922070834709172225","922070834709172225")</f>
        <v>922070834709172225</v>
      </c>
      <c r="F1784" s="10" t="s">
        <v>60</v>
      </c>
      <c r="G1784" s="10" t="n">
        <v>31</v>
      </c>
      <c r="H1784" s="10" t="n">
        <v>79</v>
      </c>
      <c r="I1784" s="10" t="n">
        <v>0</v>
      </c>
      <c r="J1784" s="10" t="n">
        <v>0</v>
      </c>
      <c r="K1784" s="10" t="s">
        <v>20</v>
      </c>
      <c r="L1784" s="11" t="n">
        <v>40496.4233101852</v>
      </c>
      <c r="M1784" s="12"/>
      <c r="N1784" s="12" t="s">
        <v>4661</v>
      </c>
      <c r="O1784" s="9" t="str">
        <f aca="false">HYPERLINK("https://pbs.twimg.com/profile_images/1188469597/waka-waka_066_normal.jpg","View")</f>
        <v>View</v>
      </c>
      <c r="P1784" s="10"/>
    </row>
    <row r="1785" customFormat="false" ht="15.75" hidden="false" customHeight="false" outlineLevel="0" collapsed="false">
      <c r="A1785" s="6" t="n">
        <v>43030.2105787037</v>
      </c>
      <c r="B1785" s="7" t="str">
        <f aca="false">HYPERLINK("https://twitter.com/daisynorfolk","@daisynorfolk")</f>
        <v>@daisynorfolk</v>
      </c>
      <c r="C1785" s="8" t="s">
        <v>4662</v>
      </c>
      <c r="D1785" s="8" t="s">
        <v>4663</v>
      </c>
      <c r="E1785" s="9" t="str">
        <f aca="false">HYPERLINK("https://twitter.com/daisynorfolk/status/922070839486447618","922070839486447618")</f>
        <v>922070839486447618</v>
      </c>
      <c r="F1785" s="10" t="s">
        <v>39</v>
      </c>
      <c r="G1785" s="10" t="n">
        <v>2201</v>
      </c>
      <c r="H1785" s="10" t="n">
        <v>1112</v>
      </c>
      <c r="I1785" s="10" t="n">
        <v>0</v>
      </c>
      <c r="J1785" s="10" t="n">
        <v>0</v>
      </c>
      <c r="K1785" s="10" t="s">
        <v>20</v>
      </c>
      <c r="L1785" s="11" t="n">
        <v>42133.1462268519</v>
      </c>
      <c r="M1785" s="12" t="s">
        <v>4664</v>
      </c>
      <c r="N1785" s="12" t="s">
        <v>4665</v>
      </c>
      <c r="O1785" s="9" t="str">
        <f aca="false">HYPERLINK("https://pbs.twimg.com/profile_images/911620447472701442/dwVEbHt7_normal.jpg","View")</f>
        <v>View</v>
      </c>
      <c r="P1785" s="10"/>
    </row>
    <row r="1786" customFormat="false" ht="15.75" hidden="false" customHeight="false" outlineLevel="0" collapsed="false">
      <c r="A1786" s="6" t="n">
        <v>43030.2105787037</v>
      </c>
      <c r="B1786" s="7" t="str">
        <f aca="false">HYPERLINK("https://twitter.com/davis55_jd","@davis55_jd")</f>
        <v>@davis55_jd</v>
      </c>
      <c r="C1786" s="8" t="s">
        <v>4666</v>
      </c>
      <c r="D1786" s="8" t="s">
        <v>4667</v>
      </c>
      <c r="E1786" s="9" t="str">
        <f aca="false">HYPERLINK("https://twitter.com/davis55_jd/status/922070839603990528","922070839603990528")</f>
        <v>922070839603990528</v>
      </c>
      <c r="F1786" s="10" t="s">
        <v>60</v>
      </c>
      <c r="G1786" s="10" t="n">
        <v>154</v>
      </c>
      <c r="H1786" s="10" t="n">
        <v>1010</v>
      </c>
      <c r="I1786" s="10" t="n">
        <v>0</v>
      </c>
      <c r="J1786" s="10" t="n">
        <v>0</v>
      </c>
      <c r="K1786" s="10" t="s">
        <v>20</v>
      </c>
      <c r="L1786" s="11" t="n">
        <v>40404.3467592593</v>
      </c>
      <c r="M1786" s="12" t="s">
        <v>4668</v>
      </c>
      <c r="N1786" s="12" t="s">
        <v>4669</v>
      </c>
      <c r="O1786" s="9" t="str">
        <f aca="false">HYPERLINK("https://pbs.twimg.com/profile_images/2977246080/e2a982bd6ea450663b52753484628c62_normal.jpeg","View")</f>
        <v>View</v>
      </c>
      <c r="P1786" s="10"/>
    </row>
    <row r="1787" customFormat="false" ht="15.75" hidden="false" customHeight="false" outlineLevel="0" collapsed="false">
      <c r="A1787" s="6" t="n">
        <v>43030.2106018519</v>
      </c>
      <c r="B1787" s="7" t="str">
        <f aca="false">HYPERLINK("https://twitter.com/margotleiser","@margotleiser")</f>
        <v>@margotleiser</v>
      </c>
      <c r="C1787" s="8" t="s">
        <v>4670</v>
      </c>
      <c r="D1787" s="8" t="s">
        <v>4671</v>
      </c>
      <c r="E1787" s="9" t="str">
        <f aca="false">HYPERLINK("https://twitter.com/margotleiser/status/922070848827199488","922070848827199488")</f>
        <v>922070848827199488</v>
      </c>
      <c r="F1787" s="10" t="s">
        <v>60</v>
      </c>
      <c r="G1787" s="10" t="n">
        <v>2</v>
      </c>
      <c r="H1787" s="10" t="n">
        <v>21</v>
      </c>
      <c r="I1787" s="10" t="n">
        <v>0</v>
      </c>
      <c r="J1787" s="10" t="n">
        <v>0</v>
      </c>
      <c r="K1787" s="10" t="s">
        <v>20</v>
      </c>
      <c r="L1787" s="11" t="n">
        <v>40943.8794675926</v>
      </c>
      <c r="M1787" s="12" t="s">
        <v>4672</v>
      </c>
      <c r="N1787" s="12" t="s">
        <v>4673</v>
      </c>
      <c r="O1787" s="9" t="str">
        <f aca="false">HYPERLINK("https://abs.twimg.com/sticky/default_profile_images/default_profile_normal.png","View")</f>
        <v>View</v>
      </c>
      <c r="P1787" s="10"/>
    </row>
    <row r="1788" customFormat="false" ht="15.75" hidden="false" customHeight="false" outlineLevel="0" collapsed="false">
      <c r="A1788" s="6" t="n">
        <v>43030.2106134259</v>
      </c>
      <c r="B1788" s="7" t="str">
        <f aca="false">HYPERLINK("https://twitter.com/NiteStar","@NiteStar")</f>
        <v>@NiteStar</v>
      </c>
      <c r="C1788" s="8" t="s">
        <v>4674</v>
      </c>
      <c r="D1788" s="8" t="s">
        <v>4675</v>
      </c>
      <c r="E1788" s="9" t="str">
        <f aca="false">HYPERLINK("https://twitter.com/NiteStar/status/922070853088575488","922070853088575488")</f>
        <v>922070853088575488</v>
      </c>
      <c r="F1788" s="10" t="s">
        <v>60</v>
      </c>
      <c r="G1788" s="10" t="n">
        <v>4072</v>
      </c>
      <c r="H1788" s="10" t="n">
        <v>1804</v>
      </c>
      <c r="I1788" s="10" t="n">
        <v>0</v>
      </c>
      <c r="J1788" s="10" t="n">
        <v>0</v>
      </c>
      <c r="K1788" s="10" t="s">
        <v>20</v>
      </c>
      <c r="L1788" s="11" t="n">
        <v>39478.0606481482</v>
      </c>
      <c r="M1788" s="12" t="s">
        <v>4676</v>
      </c>
      <c r="N1788" s="12" t="s">
        <v>4677</v>
      </c>
      <c r="O1788" s="9" t="str">
        <f aca="false">HYPERLINK("https://pbs.twimg.com/profile_images/922711607674843136/PUpyckOy_normal.jpg","View")</f>
        <v>View</v>
      </c>
      <c r="P1788" s="10"/>
    </row>
    <row r="1789" customFormat="false" ht="15.75" hidden="false" customHeight="false" outlineLevel="0" collapsed="false">
      <c r="A1789" s="6" t="n">
        <v>43030.2106134259</v>
      </c>
      <c r="B1789" s="7" t="str">
        <f aca="false">HYPERLINK("https://twitter.com/topshelfplay","@topshelfplay")</f>
        <v>@topshelfplay</v>
      </c>
      <c r="C1789" s="8" t="s">
        <v>4678</v>
      </c>
      <c r="D1789" s="8" t="s">
        <v>4679</v>
      </c>
      <c r="E1789" s="9" t="str">
        <f aca="false">HYPERLINK("https://twitter.com/topshelfplay/status/922070854934122496","922070854934122496")</f>
        <v>922070854934122496</v>
      </c>
      <c r="F1789" s="10" t="s">
        <v>60</v>
      </c>
      <c r="G1789" s="10" t="n">
        <v>595</v>
      </c>
      <c r="H1789" s="10" t="n">
        <v>604</v>
      </c>
      <c r="I1789" s="10" t="n">
        <v>0</v>
      </c>
      <c r="J1789" s="10" t="n">
        <v>0</v>
      </c>
      <c r="K1789" s="10" t="s">
        <v>20</v>
      </c>
      <c r="L1789" s="11" t="n">
        <v>41629.3444560185</v>
      </c>
      <c r="M1789" s="12" t="s">
        <v>4680</v>
      </c>
      <c r="N1789" s="12" t="s">
        <v>4681</v>
      </c>
      <c r="O1789" s="9" t="str">
        <f aca="false">HYPERLINK("https://pbs.twimg.com/profile_images/615249980513595392/gcuac9t6_normal.jpg","View")</f>
        <v>View</v>
      </c>
      <c r="P1789" s="10"/>
    </row>
    <row r="1790" customFormat="false" ht="15.75" hidden="false" customHeight="false" outlineLevel="0" collapsed="false">
      <c r="A1790" s="6" t="n">
        <v>43030.210625</v>
      </c>
      <c r="B1790" s="7" t="str">
        <f aca="false">HYPERLINK("https://twitter.com/papers_int","@papers_int")</f>
        <v>@papers_int</v>
      </c>
      <c r="C1790" s="8" t="s">
        <v>4682</v>
      </c>
      <c r="D1790" s="8" t="s">
        <v>4683</v>
      </c>
      <c r="E1790" s="9" t="str">
        <f aca="false">HYPERLINK("https://twitter.com/papers_int/status/922070859677827072","922070859677827072")</f>
        <v>922070859677827072</v>
      </c>
      <c r="F1790" s="10" t="s">
        <v>60</v>
      </c>
      <c r="G1790" s="10" t="n">
        <v>51</v>
      </c>
      <c r="H1790" s="10" t="n">
        <v>110</v>
      </c>
      <c r="I1790" s="10" t="n">
        <v>0</v>
      </c>
      <c r="J1790" s="10" t="n">
        <v>0</v>
      </c>
      <c r="K1790" s="10" t="s">
        <v>20</v>
      </c>
      <c r="L1790" s="11" t="n">
        <v>42384.4445717593</v>
      </c>
      <c r="M1790" s="12" t="s">
        <v>4684</v>
      </c>
      <c r="N1790" s="12" t="s">
        <v>4685</v>
      </c>
      <c r="O1790" s="9" t="str">
        <f aca="false">HYPERLINK("https://pbs.twimg.com/profile_images/688070578914213888/7KjmY6An_normal.jpg","View")</f>
        <v>View</v>
      </c>
      <c r="P1790" s="10"/>
    </row>
    <row r="1791" customFormat="false" ht="15.75" hidden="false" customHeight="false" outlineLevel="0" collapsed="false">
      <c r="A1791" s="6" t="n">
        <v>43030.210625</v>
      </c>
      <c r="B1791" s="7" t="str">
        <f aca="false">HYPERLINK("https://twitter.com/d789s101112","@d789s101112")</f>
        <v>@d789s101112</v>
      </c>
      <c r="C1791" s="8" t="s">
        <v>4686</v>
      </c>
      <c r="D1791" s="8" t="s">
        <v>4687</v>
      </c>
      <c r="E1791" s="9" t="str">
        <f aca="false">HYPERLINK("https://twitter.com/d789s101112/status/922070860273520640","922070860273520640")</f>
        <v>922070860273520640</v>
      </c>
      <c r="F1791" s="10" t="s">
        <v>60</v>
      </c>
      <c r="G1791" s="10" t="n">
        <v>366</v>
      </c>
      <c r="H1791" s="10" t="n">
        <v>109</v>
      </c>
      <c r="I1791" s="10" t="n">
        <v>0</v>
      </c>
      <c r="J1791" s="10" t="n">
        <v>0</v>
      </c>
      <c r="K1791" s="10" t="s">
        <v>20</v>
      </c>
      <c r="L1791" s="11" t="n">
        <v>41588.1508796296</v>
      </c>
      <c r="M1791" s="12" t="s">
        <v>4688</v>
      </c>
      <c r="N1791" s="12"/>
      <c r="O1791" s="9" t="str">
        <f aca="false">HYPERLINK("https://pbs.twimg.com/profile_images/880033815628058626/zWIj7e_6_normal.jpg","View")</f>
        <v>View</v>
      </c>
      <c r="P1791" s="10"/>
    </row>
    <row r="1792" customFormat="false" ht="15.75" hidden="false" customHeight="false" outlineLevel="0" collapsed="false">
      <c r="A1792" s="6" t="n">
        <v>43030.2106365741</v>
      </c>
      <c r="B1792" s="7" t="str">
        <f aca="false">HYPERLINK("https://twitter.com/daR1Zz0","@daR1Zz0")</f>
        <v>@daR1Zz0</v>
      </c>
      <c r="C1792" s="8" t="s">
        <v>4689</v>
      </c>
      <c r="D1792" s="8" t="s">
        <v>4690</v>
      </c>
      <c r="E1792" s="9" t="str">
        <f aca="false">HYPERLINK("https://twitter.com/daR1Zz0/status/922070862081216512","922070862081216512")</f>
        <v>922070862081216512</v>
      </c>
      <c r="F1792" s="10" t="s">
        <v>60</v>
      </c>
      <c r="G1792" s="10" t="n">
        <v>80</v>
      </c>
      <c r="H1792" s="10" t="n">
        <v>158</v>
      </c>
      <c r="I1792" s="10" t="n">
        <v>0</v>
      </c>
      <c r="J1792" s="10" t="n">
        <v>0</v>
      </c>
      <c r="K1792" s="10" t="s">
        <v>20</v>
      </c>
      <c r="L1792" s="11" t="n">
        <v>40345.9753587963</v>
      </c>
      <c r="M1792" s="12" t="s">
        <v>3053</v>
      </c>
      <c r="N1792" s="12" t="s">
        <v>4691</v>
      </c>
      <c r="O1792" s="9" t="str">
        <f aca="false">HYPERLINK("https://pbs.twimg.com/profile_images/855449982538797058/Y9F8zGIx_normal.jpg","View")</f>
        <v>View</v>
      </c>
      <c r="P1792" s="10"/>
    </row>
    <row r="1793" customFormat="false" ht="15.75" hidden="false" customHeight="false" outlineLevel="0" collapsed="false">
      <c r="A1793" s="6" t="n">
        <v>43030.2106365741</v>
      </c>
      <c r="B1793" s="7" t="str">
        <f aca="false">HYPERLINK("https://twitter.com/ReeceOBryan","@ReeceOBryan")</f>
        <v>@ReeceOBryan</v>
      </c>
      <c r="C1793" s="8" t="s">
        <v>4692</v>
      </c>
      <c r="D1793" s="8" t="s">
        <v>4693</v>
      </c>
      <c r="E1793" s="9" t="str">
        <f aca="false">HYPERLINK("https://twitter.com/ReeceOBryan/status/922070863477919744","922070863477919744")</f>
        <v>922070863477919744</v>
      </c>
      <c r="F1793" s="10" t="s">
        <v>60</v>
      </c>
      <c r="G1793" s="10" t="n">
        <v>848</v>
      </c>
      <c r="H1793" s="10" t="n">
        <v>100</v>
      </c>
      <c r="I1793" s="10" t="n">
        <v>0</v>
      </c>
      <c r="J1793" s="10" t="n">
        <v>0</v>
      </c>
      <c r="K1793" s="10" t="s">
        <v>20</v>
      </c>
      <c r="L1793" s="11" t="n">
        <v>39976.5392939815</v>
      </c>
      <c r="M1793" s="12" t="s">
        <v>4694</v>
      </c>
      <c r="N1793" s="12" t="s">
        <v>4695</v>
      </c>
      <c r="O1793" s="9" t="str">
        <f aca="false">HYPERLINK("https://pbs.twimg.com/profile_images/919943015547985920/L4vHcRSW_normal.jpg","View")</f>
        <v>View</v>
      </c>
      <c r="P1793" s="10"/>
    </row>
    <row r="1794" customFormat="false" ht="15.75" hidden="false" customHeight="false" outlineLevel="0" collapsed="false">
      <c r="A1794" s="6" t="n">
        <v>43030.2106481481</v>
      </c>
      <c r="B1794" s="7" t="str">
        <f aca="false">HYPERLINK("https://twitter.com/sakip111","@sakip111")</f>
        <v>@sakip111</v>
      </c>
      <c r="C1794" s="8" t="s">
        <v>590</v>
      </c>
      <c r="D1794" s="8" t="s">
        <v>4124</v>
      </c>
      <c r="E1794" s="9" t="str">
        <f aca="false">HYPERLINK("https://twitter.com/sakip111/status/922070866761981952","922070866761981952")</f>
        <v>922070866761981952</v>
      </c>
      <c r="F1794" s="10" t="s">
        <v>39</v>
      </c>
      <c r="G1794" s="10" t="n">
        <v>27</v>
      </c>
      <c r="H1794" s="10" t="n">
        <v>118</v>
      </c>
      <c r="I1794" s="10" t="n">
        <v>111</v>
      </c>
      <c r="J1794" s="10" t="n">
        <v>0</v>
      </c>
      <c r="K1794" s="10" t="s">
        <v>20</v>
      </c>
      <c r="L1794" s="11" t="n">
        <v>42527.1053009259</v>
      </c>
      <c r="M1794" s="12"/>
      <c r="N1794" s="13" t="s">
        <v>591</v>
      </c>
      <c r="O1794" s="9" t="str">
        <f aca="false">HYPERLINK("https://pbs.twimg.com/profile_images/740022404257218560/bk2E6AmV_normal.jpg","View")</f>
        <v>View</v>
      </c>
      <c r="P1794" s="10"/>
    </row>
    <row r="1795" customFormat="false" ht="15.75" hidden="false" customHeight="false" outlineLevel="0" collapsed="false">
      <c r="A1795" s="6" t="n">
        <v>43030.2106828704</v>
      </c>
      <c r="B1795" s="7" t="str">
        <f aca="false">HYPERLINK("https://twitter.com/digggold","@digggold")</f>
        <v>@digggold</v>
      </c>
      <c r="C1795" s="8" t="s">
        <v>4696</v>
      </c>
      <c r="D1795" s="8" t="s">
        <v>4697</v>
      </c>
      <c r="E1795" s="9" t="str">
        <f aca="false">HYPERLINK("https://twitter.com/digggold/status/922070877507805184","922070877507805184")</f>
        <v>922070877507805184</v>
      </c>
      <c r="F1795" s="10" t="s">
        <v>60</v>
      </c>
      <c r="G1795" s="10" t="n">
        <v>38</v>
      </c>
      <c r="H1795" s="10" t="n">
        <v>41</v>
      </c>
      <c r="I1795" s="10" t="n">
        <v>0</v>
      </c>
      <c r="J1795" s="10" t="n">
        <v>0</v>
      </c>
      <c r="K1795" s="10" t="s">
        <v>20</v>
      </c>
      <c r="L1795" s="11" t="n">
        <v>40882.0671412037</v>
      </c>
      <c r="M1795" s="12" t="s">
        <v>4698</v>
      </c>
      <c r="N1795" s="12" t="s">
        <v>4699</v>
      </c>
      <c r="O1795" s="9" t="str">
        <f aca="false">HYPERLINK("https://pbs.twimg.com/profile_images/450389843227312129/6b_aMVsr_normal.jpeg","View")</f>
        <v>View</v>
      </c>
      <c r="P1795" s="10"/>
    </row>
    <row r="1796" customFormat="false" ht="15.75" hidden="false" customHeight="false" outlineLevel="0" collapsed="false">
      <c r="A1796" s="6" t="n">
        <v>43030.2106828704</v>
      </c>
      <c r="B1796" s="7" t="str">
        <f aca="false">HYPERLINK("https://twitter.com/monubadshah2","@monubadshah2")</f>
        <v>@monubadshah2</v>
      </c>
      <c r="C1796" s="8" t="s">
        <v>4700</v>
      </c>
      <c r="D1796" s="8" t="s">
        <v>4701</v>
      </c>
      <c r="E1796" s="9" t="str">
        <f aca="false">HYPERLINK("https://twitter.com/monubadshah2/status/922070879768588289","922070879768588289")</f>
        <v>922070879768588289</v>
      </c>
      <c r="F1796" s="10" t="s">
        <v>60</v>
      </c>
      <c r="G1796" s="10" t="n">
        <v>215</v>
      </c>
      <c r="H1796" s="10" t="n">
        <v>785</v>
      </c>
      <c r="I1796" s="10" t="n">
        <v>0</v>
      </c>
      <c r="J1796" s="10" t="n">
        <v>0</v>
      </c>
      <c r="K1796" s="10" t="s">
        <v>20</v>
      </c>
      <c r="L1796" s="11" t="n">
        <v>41137.2292824074</v>
      </c>
      <c r="M1796" s="12" t="s">
        <v>64</v>
      </c>
      <c r="N1796" s="12" t="s">
        <v>4702</v>
      </c>
      <c r="O1796" s="9" t="str">
        <f aca="false">HYPERLINK("https://pbs.twimg.com/profile_images/863662772118147073/d3sEyChN_normal.jpg","View")</f>
        <v>View</v>
      </c>
      <c r="P1796" s="10"/>
    </row>
    <row r="1797" customFormat="false" ht="15.75" hidden="false" customHeight="false" outlineLevel="0" collapsed="false">
      <c r="A1797" s="6" t="n">
        <v>43030.2106944444</v>
      </c>
      <c r="B1797" s="7" t="str">
        <f aca="false">HYPERLINK("https://twitter.com/walcy_carroll","@walcy_carroll")</f>
        <v>@walcy_carroll</v>
      </c>
      <c r="C1797" s="8" t="s">
        <v>4703</v>
      </c>
      <c r="D1797" s="8" t="s">
        <v>4704</v>
      </c>
      <c r="E1797" s="9" t="str">
        <f aca="false">HYPERLINK("https://twitter.com/walcy_carroll/status/922070883560312832","922070883560312832")</f>
        <v>922070883560312832</v>
      </c>
      <c r="F1797" s="10" t="s">
        <v>60</v>
      </c>
      <c r="G1797" s="10" t="n">
        <v>446</v>
      </c>
      <c r="H1797" s="10" t="n">
        <v>2555</v>
      </c>
      <c r="I1797" s="10" t="n">
        <v>0</v>
      </c>
      <c r="J1797" s="10" t="n">
        <v>0</v>
      </c>
      <c r="K1797" s="10" t="s">
        <v>20</v>
      </c>
      <c r="L1797" s="11" t="n">
        <v>40761.5141203704</v>
      </c>
      <c r="M1797" s="12" t="s">
        <v>4705</v>
      </c>
      <c r="N1797" s="12" t="s">
        <v>4706</v>
      </c>
      <c r="O1797" s="9" t="str">
        <f aca="false">HYPERLINK("https://pbs.twimg.com/profile_images/877640618880716801/IvtJLGc9_normal.jpg","View")</f>
        <v>View</v>
      </c>
      <c r="P1797" s="10"/>
    </row>
    <row r="1798" customFormat="false" ht="15.75" hidden="false" customHeight="false" outlineLevel="0" collapsed="false">
      <c r="A1798" s="6" t="n">
        <v>43030.2107060185</v>
      </c>
      <c r="B1798" s="7" t="str">
        <f aca="false">HYPERLINK("https://twitter.com/ChKashifAli","@ChKashifAli")</f>
        <v>@ChKashifAli</v>
      </c>
      <c r="C1798" s="8" t="s">
        <v>4707</v>
      </c>
      <c r="D1798" s="8" t="s">
        <v>4708</v>
      </c>
      <c r="E1798" s="9" t="str">
        <f aca="false">HYPERLINK("https://twitter.com/ChKashifAli/status/922070886999523330","922070886999523330")</f>
        <v>922070886999523330</v>
      </c>
      <c r="F1798" s="10" t="s">
        <v>60</v>
      </c>
      <c r="G1798" s="10" t="n">
        <v>4061</v>
      </c>
      <c r="H1798" s="10" t="n">
        <v>1078</v>
      </c>
      <c r="I1798" s="10" t="n">
        <v>0</v>
      </c>
      <c r="J1798" s="10" t="n">
        <v>0</v>
      </c>
      <c r="K1798" s="10" t="s">
        <v>20</v>
      </c>
      <c r="L1798" s="11" t="n">
        <v>40831.3524305556</v>
      </c>
      <c r="M1798" s="12" t="s">
        <v>295</v>
      </c>
      <c r="N1798" s="12" t="s">
        <v>4709</v>
      </c>
      <c r="O1798" s="9" t="str">
        <f aca="false">HYPERLINK("https://pbs.twimg.com/profile_images/839727879881551873/Mhm2SfgC_normal.jpg","View")</f>
        <v>View</v>
      </c>
      <c r="P1798" s="10"/>
    </row>
    <row r="1799" customFormat="false" ht="15.75" hidden="false" customHeight="false" outlineLevel="0" collapsed="false">
      <c r="A1799" s="6" t="n">
        <v>43030.2107060185</v>
      </c>
      <c r="B1799" s="7" t="str">
        <f aca="false">HYPERLINK("https://twitter.com/AllsoftGR","@AllsoftGR")</f>
        <v>@AllsoftGR</v>
      </c>
      <c r="C1799" s="8" t="s">
        <v>4710</v>
      </c>
      <c r="D1799" s="8" t="s">
        <v>4711</v>
      </c>
      <c r="E1799" s="9" t="str">
        <f aca="false">HYPERLINK("https://twitter.com/AllsoftGR/status/922070887423242242","922070887423242242")</f>
        <v>922070887423242242</v>
      </c>
      <c r="F1799" s="10" t="s">
        <v>60</v>
      </c>
      <c r="G1799" s="10" t="n">
        <v>12571</v>
      </c>
      <c r="H1799" s="10" t="n">
        <v>2841</v>
      </c>
      <c r="I1799" s="10" t="n">
        <v>0</v>
      </c>
      <c r="J1799" s="10" t="n">
        <v>0</v>
      </c>
      <c r="K1799" s="10" t="s">
        <v>20</v>
      </c>
      <c r="L1799" s="11" t="n">
        <v>40115.1384606481</v>
      </c>
      <c r="M1799" s="12" t="s">
        <v>4712</v>
      </c>
      <c r="N1799" s="12" t="s">
        <v>4713</v>
      </c>
      <c r="O1799" s="9" t="str">
        <f aca="false">HYPERLINK("https://pbs.twimg.com/profile_images/440588198947733504/RnyHzYWN_normal.jpeg","View")</f>
        <v>View</v>
      </c>
      <c r="P1799" s="10"/>
    </row>
    <row r="1800" customFormat="false" ht="15.75" hidden="false" customHeight="false" outlineLevel="0" collapsed="false">
      <c r="A1800" s="6" t="n">
        <v>43030.2107291667</v>
      </c>
      <c r="B1800" s="7" t="str">
        <f aca="false">HYPERLINK("https://twitter.com/simple4now","@simple4now")</f>
        <v>@simple4now</v>
      </c>
      <c r="C1800" s="8" t="s">
        <v>4714</v>
      </c>
      <c r="D1800" s="8" t="s">
        <v>4715</v>
      </c>
      <c r="E1800" s="9" t="str">
        <f aca="false">HYPERLINK("https://twitter.com/simple4now/status/922070894436110336","922070894436110336")</f>
        <v>922070894436110336</v>
      </c>
      <c r="F1800" s="10" t="s">
        <v>60</v>
      </c>
      <c r="G1800" s="10" t="n">
        <v>72</v>
      </c>
      <c r="H1800" s="10" t="n">
        <v>34</v>
      </c>
      <c r="I1800" s="10" t="n">
        <v>0</v>
      </c>
      <c r="J1800" s="10" t="n">
        <v>0</v>
      </c>
      <c r="K1800" s="10" t="s">
        <v>20</v>
      </c>
      <c r="L1800" s="11" t="n">
        <v>42645.521087963</v>
      </c>
      <c r="M1800" s="12"/>
      <c r="N1800" s="12" t="s">
        <v>4716</v>
      </c>
      <c r="O1800" s="9" t="str">
        <f aca="false">HYPERLINK("https://pbs.twimg.com/profile_images/782671469906108416/cfRRAnDZ_normal.jpg","View")</f>
        <v>View</v>
      </c>
      <c r="P1800" s="10"/>
    </row>
    <row r="1801" customFormat="false" ht="15.75" hidden="false" customHeight="false" outlineLevel="0" collapsed="false">
      <c r="A1801" s="6" t="n">
        <v>43030.2107407407</v>
      </c>
      <c r="B1801" s="7" t="str">
        <f aca="false">HYPERLINK("https://twitter.com/BittleSheila","@BittleSheila")</f>
        <v>@BittleSheila</v>
      </c>
      <c r="C1801" s="8" t="s">
        <v>4717</v>
      </c>
      <c r="D1801" s="8" t="s">
        <v>4718</v>
      </c>
      <c r="E1801" s="9" t="str">
        <f aca="false">HYPERLINK("https://twitter.com/BittleSheila/status/922070898152214528","922070898152214528")</f>
        <v>922070898152214528</v>
      </c>
      <c r="F1801" s="10" t="s">
        <v>60</v>
      </c>
      <c r="G1801" s="10" t="n">
        <v>9</v>
      </c>
      <c r="H1801" s="10" t="n">
        <v>0</v>
      </c>
      <c r="I1801" s="10" t="n">
        <v>0</v>
      </c>
      <c r="J1801" s="10" t="n">
        <v>0</v>
      </c>
      <c r="K1801" s="10" t="s">
        <v>20</v>
      </c>
      <c r="L1801" s="11" t="n">
        <v>42267.4862615741</v>
      </c>
      <c r="M1801" s="12"/>
      <c r="N1801" s="12"/>
      <c r="O1801" s="9" t="str">
        <f aca="false">HYPERLINK("https://abs.twimg.com/sticky/default_profile_images/default_profile_normal.png","View")</f>
        <v>View</v>
      </c>
      <c r="P1801" s="10"/>
    </row>
    <row r="1802" customFormat="false" ht="15.75" hidden="false" customHeight="false" outlineLevel="0" collapsed="false">
      <c r="A1802" s="6" t="n">
        <v>43030.2107407407</v>
      </c>
      <c r="B1802" s="7" t="str">
        <f aca="false">HYPERLINK("https://twitter.com/canoe21","@canoe21")</f>
        <v>@canoe21</v>
      </c>
      <c r="C1802" s="8" t="s">
        <v>4719</v>
      </c>
      <c r="D1802" s="8" t="s">
        <v>4720</v>
      </c>
      <c r="E1802" s="9" t="str">
        <f aca="false">HYPERLINK("https://twitter.com/canoe21/status/922070899997765632","922070899997765632")</f>
        <v>922070899997765632</v>
      </c>
      <c r="F1802" s="10" t="s">
        <v>60</v>
      </c>
      <c r="G1802" s="10" t="n">
        <v>92</v>
      </c>
      <c r="H1802" s="10" t="n">
        <v>177</v>
      </c>
      <c r="I1802" s="10" t="n">
        <v>0</v>
      </c>
      <c r="J1802" s="10" t="n">
        <v>0</v>
      </c>
      <c r="K1802" s="10" t="s">
        <v>20</v>
      </c>
      <c r="L1802" s="11" t="n">
        <v>39959.2136458333</v>
      </c>
      <c r="M1802" s="13" t="s">
        <v>4721</v>
      </c>
      <c r="N1802" s="13" t="s">
        <v>4722</v>
      </c>
      <c r="O1802" s="9" t="str">
        <f aca="false">HYPERLINK("https://pbs.twimg.com/profile_images/1282487616/___2_normal.jpg","View")</f>
        <v>View</v>
      </c>
      <c r="P1802" s="10"/>
    </row>
    <row r="1803" customFormat="false" ht="15.75" hidden="false" customHeight="false" outlineLevel="0" collapsed="false">
      <c r="A1803" s="6" t="n">
        <v>43030.2107638889</v>
      </c>
      <c r="B1803" s="7" t="str">
        <f aca="false">HYPERLINK("https://twitter.com/alanteles1","@alanteles1")</f>
        <v>@alanteles1</v>
      </c>
      <c r="C1803" s="8" t="s">
        <v>4723</v>
      </c>
      <c r="D1803" s="8" t="s">
        <v>4724</v>
      </c>
      <c r="E1803" s="9" t="str">
        <f aca="false">HYPERLINK("https://twitter.com/alanteles1/status/922070906813415424","922070906813415424")</f>
        <v>922070906813415424</v>
      </c>
      <c r="F1803" s="10" t="s">
        <v>60</v>
      </c>
      <c r="G1803" s="10" t="n">
        <v>889</v>
      </c>
      <c r="H1803" s="10" t="n">
        <v>930</v>
      </c>
      <c r="I1803" s="10" t="n">
        <v>0</v>
      </c>
      <c r="J1803" s="10" t="n">
        <v>0</v>
      </c>
      <c r="K1803" s="10" t="s">
        <v>20</v>
      </c>
      <c r="L1803" s="11" t="n">
        <v>40950.374849537</v>
      </c>
      <c r="M1803" s="12" t="s">
        <v>4725</v>
      </c>
      <c r="N1803" s="12"/>
      <c r="O1803" s="9" t="str">
        <f aca="false">HYPERLINK("https://pbs.twimg.com/profile_images/894867700505300992/Q5C02Ffq_normal.jpg","View")</f>
        <v>View</v>
      </c>
      <c r="P1803" s="10"/>
    </row>
    <row r="1804" customFormat="false" ht="15.75" hidden="false" customHeight="false" outlineLevel="0" collapsed="false">
      <c r="A1804" s="6" t="n">
        <v>43030.2107638889</v>
      </c>
      <c r="B1804" s="7" t="str">
        <f aca="false">HYPERLINK("https://twitter.com/carlita20002000","@carlita20002000")</f>
        <v>@carlita20002000</v>
      </c>
      <c r="C1804" s="8" t="s">
        <v>4726</v>
      </c>
      <c r="D1804" s="8" t="s">
        <v>4727</v>
      </c>
      <c r="E1804" s="9" t="str">
        <f aca="false">HYPERLINK("https://twitter.com/carlita20002000/status/922070909896347648","922070909896347648")</f>
        <v>922070909896347648</v>
      </c>
      <c r="F1804" s="10" t="s">
        <v>60</v>
      </c>
      <c r="G1804" s="10" t="n">
        <v>975</v>
      </c>
      <c r="H1804" s="10" t="n">
        <v>378</v>
      </c>
      <c r="I1804" s="10" t="n">
        <v>0</v>
      </c>
      <c r="J1804" s="10" t="n">
        <v>0</v>
      </c>
      <c r="K1804" s="10" t="s">
        <v>20</v>
      </c>
      <c r="L1804" s="11" t="n">
        <v>40003.1638888889</v>
      </c>
      <c r="M1804" s="12"/>
      <c r="N1804" s="12"/>
      <c r="O1804" s="9" t="str">
        <f aca="false">HYPERLINK("https://pbs.twimg.com/profile_images/531088102152871936/ZS0l7r32_normal.jpeg","View")</f>
        <v>View</v>
      </c>
      <c r="P1804" s="10"/>
    </row>
    <row r="1805" customFormat="false" ht="15.75" hidden="false" customHeight="false" outlineLevel="0" collapsed="false">
      <c r="A1805" s="6" t="n">
        <v>43030.210775463</v>
      </c>
      <c r="B1805" s="7" t="str">
        <f aca="false">HYPERLINK("https://twitter.com/Elii247365","@Elii247365")</f>
        <v>@Elii247365</v>
      </c>
      <c r="C1805" s="8" t="s">
        <v>4728</v>
      </c>
      <c r="D1805" s="8" t="s">
        <v>4729</v>
      </c>
      <c r="E1805" s="9" t="str">
        <f aca="false">HYPERLINK("https://twitter.com/Elii247365/status/922070911435538433","922070911435538433")</f>
        <v>922070911435538433</v>
      </c>
      <c r="F1805" s="10" t="s">
        <v>60</v>
      </c>
      <c r="G1805" s="10" t="n">
        <v>105</v>
      </c>
      <c r="H1805" s="10" t="n">
        <v>1038</v>
      </c>
      <c r="I1805" s="10" t="n">
        <v>0</v>
      </c>
      <c r="J1805" s="10" t="n">
        <v>0</v>
      </c>
      <c r="K1805" s="10" t="s">
        <v>20</v>
      </c>
      <c r="L1805" s="11" t="n">
        <v>42299.6161226852</v>
      </c>
      <c r="M1805" s="12" t="s">
        <v>52</v>
      </c>
      <c r="N1805" s="12"/>
      <c r="O1805" s="9" t="str">
        <f aca="false">HYPERLINK("https://pbs.twimg.com/profile_images/917499103457763330/7e1SvHkD_normal.jpg","View")</f>
        <v>View</v>
      </c>
      <c r="P1805" s="10"/>
    </row>
    <row r="1806" customFormat="false" ht="15.75" hidden="false" customHeight="false" outlineLevel="0" collapsed="false">
      <c r="A1806" s="6" t="n">
        <v>43030.210775463</v>
      </c>
      <c r="B1806" s="7" t="str">
        <f aca="false">HYPERLINK("https://twitter.com/RandomTweetums","@RandomTweetums")</f>
        <v>@RandomTweetums</v>
      </c>
      <c r="C1806" s="8" t="s">
        <v>4730</v>
      </c>
      <c r="D1806" s="8" t="s">
        <v>4731</v>
      </c>
      <c r="E1806" s="9" t="str">
        <f aca="false">HYPERLINK("https://twitter.com/RandomTweetums/status/922070913897689090","922070913897689090")</f>
        <v>922070913897689090</v>
      </c>
      <c r="F1806" s="10" t="s">
        <v>60</v>
      </c>
      <c r="G1806" s="10" t="n">
        <v>12</v>
      </c>
      <c r="H1806" s="10" t="n">
        <v>31</v>
      </c>
      <c r="I1806" s="10" t="n">
        <v>0</v>
      </c>
      <c r="J1806" s="10" t="n">
        <v>0</v>
      </c>
      <c r="K1806" s="10" t="s">
        <v>20</v>
      </c>
      <c r="L1806" s="11" t="n">
        <v>42834.907962963</v>
      </c>
      <c r="M1806" s="12"/>
      <c r="N1806" s="12" t="s">
        <v>4732</v>
      </c>
      <c r="O1806" s="9" t="str">
        <f aca="false">HYPERLINK("https://pbs.twimg.com/profile_images/851298097477152768/do7ch5ja_normal.jpg","View")</f>
        <v>View</v>
      </c>
      <c r="P1806" s="10"/>
    </row>
    <row r="1807" customFormat="false" ht="15.75" hidden="false" customHeight="false" outlineLevel="0" collapsed="false">
      <c r="A1807" s="6" t="n">
        <v>43030.210787037</v>
      </c>
      <c r="B1807" s="7" t="str">
        <f aca="false">HYPERLINK("https://twitter.com/sont","@sont")</f>
        <v>@sont</v>
      </c>
      <c r="C1807" s="8" t="s">
        <v>4733</v>
      </c>
      <c r="D1807" s="8" t="s">
        <v>4734</v>
      </c>
      <c r="E1807" s="9" t="str">
        <f aca="false">HYPERLINK("https://twitter.com/sont/status/922070915835449344","922070915835449344")</f>
        <v>922070915835449344</v>
      </c>
      <c r="F1807" s="10" t="s">
        <v>60</v>
      </c>
      <c r="G1807" s="10" t="n">
        <v>382</v>
      </c>
      <c r="H1807" s="10" t="n">
        <v>677</v>
      </c>
      <c r="I1807" s="10" t="n">
        <v>0</v>
      </c>
      <c r="J1807" s="10" t="n">
        <v>0</v>
      </c>
      <c r="K1807" s="10" t="s">
        <v>20</v>
      </c>
      <c r="L1807" s="11" t="n">
        <v>39338.5054976852</v>
      </c>
      <c r="M1807" s="12" t="s">
        <v>4735</v>
      </c>
      <c r="N1807" s="12" t="s">
        <v>4736</v>
      </c>
      <c r="O1807" s="9" t="str">
        <f aca="false">HYPERLINK("https://pbs.twimg.com/profile_images/743840982639181824/nIGL1a5t_normal.jpg","View")</f>
        <v>View</v>
      </c>
      <c r="P1807" s="10"/>
    </row>
    <row r="1808" customFormat="false" ht="15.75" hidden="false" customHeight="false" outlineLevel="0" collapsed="false">
      <c r="A1808" s="6" t="n">
        <v>43030.2108101852</v>
      </c>
      <c r="B1808" s="7" t="str">
        <f aca="false">HYPERLINK("https://twitter.com/ScottBay_","@ScottBay_")</f>
        <v>@ScottBay_</v>
      </c>
      <c r="C1808" s="8" t="s">
        <v>4737</v>
      </c>
      <c r="D1808" s="8" t="s">
        <v>4738</v>
      </c>
      <c r="E1808" s="9" t="str">
        <f aca="false">HYPERLINK("https://twitter.com/ScottBay_/status/922070927273267205","922070927273267205")</f>
        <v>922070927273267205</v>
      </c>
      <c r="F1808" s="10" t="s">
        <v>60</v>
      </c>
      <c r="G1808" s="10" t="n">
        <v>18</v>
      </c>
      <c r="H1808" s="10" t="n">
        <v>46</v>
      </c>
      <c r="I1808" s="10" t="n">
        <v>0</v>
      </c>
      <c r="J1808" s="10" t="n">
        <v>0</v>
      </c>
      <c r="K1808" s="10" t="s">
        <v>20</v>
      </c>
      <c r="L1808" s="11" t="n">
        <v>43012.5126273148</v>
      </c>
      <c r="M1808" s="12" t="s">
        <v>4739</v>
      </c>
      <c r="N1808" s="12" t="s">
        <v>4740</v>
      </c>
      <c r="O1808" s="9" t="str">
        <f aca="false">HYPERLINK("https://pbs.twimg.com/profile_images/915657606617694208/9ob3blUD_normal.jpg","View")</f>
        <v>View</v>
      </c>
      <c r="P1808" s="10"/>
    </row>
    <row r="1809" customFormat="false" ht="15.75" hidden="false" customHeight="false" outlineLevel="0" collapsed="false">
      <c r="A1809" s="6" t="n">
        <v>43030.2108217593</v>
      </c>
      <c r="B1809" s="7" t="str">
        <f aca="false">HYPERLINK("https://twitter.com/SimplyShahriar","@SimplyShahriar")</f>
        <v>@SimplyShahriar</v>
      </c>
      <c r="C1809" s="8" t="s">
        <v>4741</v>
      </c>
      <c r="D1809" s="8" t="s">
        <v>4742</v>
      </c>
      <c r="E1809" s="9" t="str">
        <f aca="false">HYPERLINK("https://twitter.com/SimplyShahriar/status/922070930297323520","922070930297323520")</f>
        <v>922070930297323520</v>
      </c>
      <c r="F1809" s="10" t="s">
        <v>60</v>
      </c>
      <c r="G1809" s="10" t="n">
        <v>496</v>
      </c>
      <c r="H1809" s="10" t="n">
        <v>27</v>
      </c>
      <c r="I1809" s="10" t="n">
        <v>0</v>
      </c>
      <c r="J1809" s="10" t="n">
        <v>0</v>
      </c>
      <c r="K1809" s="10" t="s">
        <v>20</v>
      </c>
      <c r="L1809" s="11" t="n">
        <v>40537.9804861111</v>
      </c>
      <c r="M1809" s="12" t="s">
        <v>4743</v>
      </c>
      <c r="N1809" s="12" t="s">
        <v>4744</v>
      </c>
      <c r="O1809" s="9" t="str">
        <f aca="false">HYPERLINK("https://pbs.twimg.com/profile_images/791341932492443648/oxykp9Dt_normal.jpg","View")</f>
        <v>View</v>
      </c>
      <c r="P1809" s="10"/>
    </row>
    <row r="1810" customFormat="false" ht="15.75" hidden="false" customHeight="false" outlineLevel="0" collapsed="false">
      <c r="A1810" s="6" t="n">
        <v>43030.2108217593</v>
      </c>
      <c r="B1810" s="7" t="str">
        <f aca="false">HYPERLINK("https://twitter.com/FrumDiet","@FrumDiet")</f>
        <v>@FrumDiet</v>
      </c>
      <c r="C1810" s="8" t="s">
        <v>4745</v>
      </c>
      <c r="D1810" s="8" t="s">
        <v>4746</v>
      </c>
      <c r="E1810" s="9" t="str">
        <f aca="false">HYPERLINK("https://twitter.com/FrumDiet/status/922070931018838017","922070931018838017")</f>
        <v>922070931018838017</v>
      </c>
      <c r="F1810" s="10" t="s">
        <v>60</v>
      </c>
      <c r="G1810" s="10" t="n">
        <v>562</v>
      </c>
      <c r="H1810" s="10" t="n">
        <v>1277</v>
      </c>
      <c r="I1810" s="10" t="n">
        <v>0</v>
      </c>
      <c r="J1810" s="10" t="n">
        <v>0</v>
      </c>
      <c r="K1810" s="10" t="s">
        <v>20</v>
      </c>
      <c r="L1810" s="11" t="n">
        <v>40156.7847337963</v>
      </c>
      <c r="M1810" s="12" t="s">
        <v>3361</v>
      </c>
      <c r="N1810" s="12" t="s">
        <v>4747</v>
      </c>
      <c r="O1810" s="9" t="str">
        <f aca="false">HYPERLINK("https://pbs.twimg.com/profile_images/852103606862065664/TzKpt7J8_normal.jpg","View")</f>
        <v>View</v>
      </c>
      <c r="P1810" s="10"/>
    </row>
    <row r="1811" customFormat="false" ht="15.75" hidden="false" customHeight="false" outlineLevel="0" collapsed="false">
      <c r="A1811" s="6" t="n">
        <v>43030.2108333333</v>
      </c>
      <c r="B1811" s="7" t="str">
        <f aca="false">HYPERLINK("https://twitter.com/atif_a_akram","@atif_a_akram")</f>
        <v>@atif_a_akram</v>
      </c>
      <c r="C1811" s="8" t="s">
        <v>4748</v>
      </c>
      <c r="D1811" s="8" t="s">
        <v>4749</v>
      </c>
      <c r="E1811" s="9" t="str">
        <f aca="false">HYPERLINK("https://twitter.com/atif_a_akram/status/922070932637868033","922070932637868033")</f>
        <v>922070932637868033</v>
      </c>
      <c r="F1811" s="10" t="s">
        <v>60</v>
      </c>
      <c r="G1811" s="10" t="n">
        <v>626</v>
      </c>
      <c r="H1811" s="10" t="n">
        <v>365</v>
      </c>
      <c r="I1811" s="10" t="n">
        <v>0</v>
      </c>
      <c r="J1811" s="10" t="n">
        <v>0</v>
      </c>
      <c r="K1811" s="10" t="s">
        <v>20</v>
      </c>
      <c r="L1811" s="11" t="n">
        <v>40409.990162037</v>
      </c>
      <c r="M1811" s="12" t="s">
        <v>516</v>
      </c>
      <c r="N1811" s="12"/>
      <c r="O1811" s="9" t="str">
        <f aca="false">HYPERLINK("https://pbs.twimg.com/profile_images/816010476450697216/OEH6hWxz_normal.jpg","View")</f>
        <v>View</v>
      </c>
      <c r="P1811" s="10"/>
    </row>
    <row r="1812" customFormat="false" ht="15.75" hidden="false" customHeight="false" outlineLevel="0" collapsed="false">
      <c r="A1812" s="6" t="n">
        <v>43030.2108564815</v>
      </c>
      <c r="B1812" s="7" t="str">
        <f aca="false">HYPERLINK("https://twitter.com/RicardoWDuran","@RicardoWDuran")</f>
        <v>@RicardoWDuran</v>
      </c>
      <c r="C1812" s="8" t="s">
        <v>4750</v>
      </c>
      <c r="D1812" s="8" t="s">
        <v>4751</v>
      </c>
      <c r="E1812" s="9" t="str">
        <f aca="false">HYPERLINK("https://twitter.com/RicardoWDuran/status/922070940682420225","922070940682420225")</f>
        <v>922070940682420225</v>
      </c>
      <c r="F1812" s="10" t="s">
        <v>60</v>
      </c>
      <c r="G1812" s="10" t="n">
        <v>1127</v>
      </c>
      <c r="H1812" s="10" t="n">
        <v>129</v>
      </c>
      <c r="I1812" s="10" t="n">
        <v>0</v>
      </c>
      <c r="J1812" s="10" t="n">
        <v>0</v>
      </c>
      <c r="K1812" s="10" t="s">
        <v>20</v>
      </c>
      <c r="L1812" s="11" t="n">
        <v>40402.3574189815</v>
      </c>
      <c r="M1812" s="12" t="s">
        <v>4752</v>
      </c>
      <c r="N1812" s="12" t="s">
        <v>4753</v>
      </c>
      <c r="O1812" s="9" t="str">
        <f aca="false">HYPERLINK("https://pbs.twimg.com/profile_images/918166450673680392/8m7HD0gn_normal.jpg","View")</f>
        <v>View</v>
      </c>
      <c r="P1812" s="10"/>
    </row>
    <row r="1813" customFormat="false" ht="15.75" hidden="false" customHeight="false" outlineLevel="0" collapsed="false">
      <c r="A1813" s="6" t="n">
        <v>43030.2108680556</v>
      </c>
      <c r="B1813" s="7" t="str">
        <f aca="false">HYPERLINK("https://twitter.com/anandcp","@anandcp")</f>
        <v>@anandcp</v>
      </c>
      <c r="C1813" s="8" t="s">
        <v>4754</v>
      </c>
      <c r="D1813" s="8" t="s">
        <v>4755</v>
      </c>
      <c r="E1813" s="9" t="str">
        <f aca="false">HYPERLINK("https://twitter.com/anandcp/status/922070944843264000","922070944843264000")</f>
        <v>922070944843264000</v>
      </c>
      <c r="F1813" s="10" t="s">
        <v>60</v>
      </c>
      <c r="G1813" s="10" t="n">
        <v>127</v>
      </c>
      <c r="H1813" s="10" t="n">
        <v>309</v>
      </c>
      <c r="I1813" s="10" t="n">
        <v>0</v>
      </c>
      <c r="J1813" s="10" t="n">
        <v>0</v>
      </c>
      <c r="K1813" s="10" t="s">
        <v>20</v>
      </c>
      <c r="L1813" s="11" t="n">
        <v>39518.2425694444</v>
      </c>
      <c r="M1813" s="12" t="s">
        <v>4756</v>
      </c>
      <c r="N1813" s="12" t="s">
        <v>4757</v>
      </c>
      <c r="O1813" s="9" t="str">
        <f aca="false">HYPERLINK("https://pbs.twimg.com/profile_images/884210491752669185/n1dp_GaD_normal.jpg","View")</f>
        <v>View</v>
      </c>
      <c r="P1813" s="10"/>
    </row>
    <row r="1814" customFormat="false" ht="15.75" hidden="false" customHeight="false" outlineLevel="0" collapsed="false">
      <c r="A1814" s="6" t="n">
        <v>43030.2108680556</v>
      </c>
      <c r="B1814" s="7" t="str">
        <f aca="false">HYPERLINK("https://twitter.com/by_the_pool","@by_the_pool")</f>
        <v>@by_the_pool</v>
      </c>
      <c r="C1814" s="8" t="s">
        <v>4758</v>
      </c>
      <c r="D1814" s="8" t="s">
        <v>4759</v>
      </c>
      <c r="E1814" s="9" t="str">
        <f aca="false">HYPERLINK("https://twitter.com/by_the_pool/status/922070946386710530","922070946386710530")</f>
        <v>922070946386710530</v>
      </c>
      <c r="F1814" s="10" t="s">
        <v>60</v>
      </c>
      <c r="G1814" s="10" t="n">
        <v>3085</v>
      </c>
      <c r="H1814" s="10" t="n">
        <v>1937</v>
      </c>
      <c r="I1814" s="10" t="n">
        <v>0</v>
      </c>
      <c r="J1814" s="10" t="n">
        <v>0</v>
      </c>
      <c r="K1814" s="10" t="s">
        <v>20</v>
      </c>
      <c r="L1814" s="11" t="n">
        <v>40933.0821643519</v>
      </c>
      <c r="M1814" s="12"/>
      <c r="N1814" s="12" t="s">
        <v>4760</v>
      </c>
      <c r="O1814" s="9" t="str">
        <f aca="false">HYPERLINK("https://pbs.twimg.com/profile_images/1779942912/swimming-pool_normal.jpg","View")</f>
        <v>View</v>
      </c>
      <c r="P1814" s="10"/>
    </row>
    <row r="1815" customFormat="false" ht="15.75" hidden="false" customHeight="false" outlineLevel="0" collapsed="false">
      <c r="A1815" s="6" t="n">
        <v>43030.2108680556</v>
      </c>
      <c r="B1815" s="7" t="str">
        <f aca="false">HYPERLINK("https://twitter.com/CohanLawPLLC","@CohanLawPLLC")</f>
        <v>@CohanLawPLLC</v>
      </c>
      <c r="C1815" s="8" t="s">
        <v>4761</v>
      </c>
      <c r="D1815" s="8" t="s">
        <v>4762</v>
      </c>
      <c r="E1815" s="9" t="str">
        <f aca="false">HYPERLINK("https://twitter.com/CohanLawPLLC/status/922070946520993792","922070946520993792")</f>
        <v>922070946520993792</v>
      </c>
      <c r="F1815" s="10" t="s">
        <v>60</v>
      </c>
      <c r="G1815" s="10" t="n">
        <v>876</v>
      </c>
      <c r="H1815" s="10" t="n">
        <v>149</v>
      </c>
      <c r="I1815" s="10" t="n">
        <v>0</v>
      </c>
      <c r="J1815" s="10" t="n">
        <v>0</v>
      </c>
      <c r="K1815" s="10" t="s">
        <v>20</v>
      </c>
      <c r="L1815" s="11" t="n">
        <v>42130.2829050926</v>
      </c>
      <c r="M1815" s="12" t="s">
        <v>989</v>
      </c>
      <c r="N1815" s="12" t="s">
        <v>4763</v>
      </c>
      <c r="O1815" s="9" t="str">
        <f aca="false">HYPERLINK("https://pbs.twimg.com/profile_images/595948786708537344/3zXR_g3j_normal.jpg","View")</f>
        <v>View</v>
      </c>
      <c r="P1815" s="10"/>
    </row>
    <row r="1816" customFormat="false" ht="15.75" hidden="false" customHeight="false" outlineLevel="0" collapsed="false">
      <c r="A1816" s="6" t="n">
        <v>43030.2109259259</v>
      </c>
      <c r="B1816" s="7" t="str">
        <f aca="false">HYPERLINK("https://twitter.com/Edourdoo","@Edourdoo")</f>
        <v>@Edourdoo</v>
      </c>
      <c r="C1816" s="8" t="s">
        <v>4764</v>
      </c>
      <c r="D1816" s="8" t="s">
        <v>4765</v>
      </c>
      <c r="E1816" s="9" t="str">
        <f aca="false">HYPERLINK("https://twitter.com/Edourdoo/status/922070966343294976","922070966343294976")</f>
        <v>922070966343294976</v>
      </c>
      <c r="F1816" s="10" t="s">
        <v>39</v>
      </c>
      <c r="G1816" s="10" t="n">
        <v>14590</v>
      </c>
      <c r="H1816" s="10" t="n">
        <v>867</v>
      </c>
      <c r="I1816" s="10" t="n">
        <v>1</v>
      </c>
      <c r="J1816" s="10" t="n">
        <v>0</v>
      </c>
      <c r="K1816" s="10" t="s">
        <v>20</v>
      </c>
      <c r="L1816" s="11" t="n">
        <v>39848.1224768518</v>
      </c>
      <c r="M1816" s="12" t="s">
        <v>4766</v>
      </c>
      <c r="N1816" s="12" t="s">
        <v>4767</v>
      </c>
      <c r="O1816" s="9" t="str">
        <f aca="false">HYPERLINK("https://pbs.twimg.com/profile_images/378800000669568751/56adc18070e25792ea98d90fad615383_normal.jpeg","View")</f>
        <v>View</v>
      </c>
      <c r="P1816" s="10"/>
    </row>
    <row r="1817" customFormat="false" ht="15.75" hidden="false" customHeight="false" outlineLevel="0" collapsed="false">
      <c r="A1817" s="6" t="n">
        <v>43030.2109722222</v>
      </c>
      <c r="B1817" s="7" t="str">
        <f aca="false">HYPERLINK("https://twitter.com/rhb4","@rhb4")</f>
        <v>@rhb4</v>
      </c>
      <c r="C1817" s="8" t="s">
        <v>4768</v>
      </c>
      <c r="D1817" s="8" t="s">
        <v>4769</v>
      </c>
      <c r="E1817" s="9" t="str">
        <f aca="false">HYPERLINK("https://twitter.com/rhb4/status/922070984680652800","922070984680652800")</f>
        <v>922070984680652800</v>
      </c>
      <c r="F1817" s="10" t="s">
        <v>39</v>
      </c>
      <c r="G1817" s="10" t="n">
        <v>1958</v>
      </c>
      <c r="H1817" s="10" t="n">
        <v>1171</v>
      </c>
      <c r="I1817" s="10" t="n">
        <v>0</v>
      </c>
      <c r="J1817" s="10" t="n">
        <v>1</v>
      </c>
      <c r="K1817" s="10" t="s">
        <v>20</v>
      </c>
      <c r="L1817" s="11" t="n">
        <v>39850.3786226852</v>
      </c>
      <c r="M1817" s="12"/>
      <c r="N1817" s="12" t="s">
        <v>4770</v>
      </c>
      <c r="O1817" s="9" t="str">
        <f aca="false">HYPERLINK("https://pbs.twimg.com/profile_images/913442090087940103/NxEwEMzK_normal.jpg","View")</f>
        <v>View</v>
      </c>
      <c r="P1817" s="10"/>
    </row>
    <row r="1818" customFormat="false" ht="15.75" hidden="false" customHeight="false" outlineLevel="0" collapsed="false">
      <c r="A1818" s="6" t="n">
        <v>43030.211099537</v>
      </c>
      <c r="B1818" s="7" t="str">
        <f aca="false">HYPERLINK("https://twitter.com/methauser","@methauser")</f>
        <v>@methauser</v>
      </c>
      <c r="C1818" s="8" t="s">
        <v>4771</v>
      </c>
      <c r="D1818" s="8" t="s">
        <v>3514</v>
      </c>
      <c r="E1818" s="9" t="str">
        <f aca="false">HYPERLINK("https://twitter.com/methauser/status/922071028334866432","922071028334866432")</f>
        <v>922071028334866432</v>
      </c>
      <c r="F1818" s="10" t="s">
        <v>51</v>
      </c>
      <c r="G1818" s="10" t="n">
        <v>1241</v>
      </c>
      <c r="H1818" s="10" t="n">
        <v>767</v>
      </c>
      <c r="I1818" s="10" t="n">
        <v>19</v>
      </c>
      <c r="J1818" s="10" t="n">
        <v>0</v>
      </c>
      <c r="K1818" s="10" t="s">
        <v>20</v>
      </c>
      <c r="L1818" s="11" t="n">
        <v>40958.2860532407</v>
      </c>
      <c r="M1818" s="12" t="s">
        <v>4772</v>
      </c>
      <c r="N1818" s="12" t="s">
        <v>4773</v>
      </c>
      <c r="O1818" s="9" t="str">
        <f aca="false">HYPERLINK("https://pbs.twimg.com/profile_images/3366925883/98e78ea5c4a41e87c9a3fcb8eaeb041f_normal.png","View")</f>
        <v>View</v>
      </c>
      <c r="P1818" s="10"/>
    </row>
    <row r="1819" customFormat="false" ht="15.75" hidden="false" customHeight="false" outlineLevel="0" collapsed="false">
      <c r="A1819" s="6" t="n">
        <v>43030.2111342593</v>
      </c>
      <c r="B1819" s="7" t="str">
        <f aca="false">HYPERLINK("https://twitter.com/jagne_r","@jagne_r")</f>
        <v>@jagne_r</v>
      </c>
      <c r="C1819" s="8" t="s">
        <v>4774</v>
      </c>
      <c r="D1819" s="8" t="s">
        <v>3646</v>
      </c>
      <c r="E1819" s="9" t="str">
        <f aca="false">HYPERLINK("https://twitter.com/jagne_r/status/922071041559748608","922071041559748608")</f>
        <v>922071041559748608</v>
      </c>
      <c r="F1819" s="10" t="s">
        <v>51</v>
      </c>
      <c r="G1819" s="10" t="n">
        <v>267</v>
      </c>
      <c r="H1819" s="10" t="n">
        <v>237</v>
      </c>
      <c r="I1819" s="10" t="n">
        <v>71</v>
      </c>
      <c r="J1819" s="10" t="n">
        <v>0</v>
      </c>
      <c r="K1819" s="10" t="s">
        <v>20</v>
      </c>
      <c r="L1819" s="11" t="n">
        <v>41027.2157291667</v>
      </c>
      <c r="M1819" s="12" t="s">
        <v>893</v>
      </c>
      <c r="N1819" s="12" t="s">
        <v>4775</v>
      </c>
      <c r="O1819" s="9" t="str">
        <f aca="false">HYPERLINK("https://pbs.twimg.com/profile_images/911672325677953024/LVnOfNYJ_normal.jpg","View")</f>
        <v>View</v>
      </c>
      <c r="P1819" s="10"/>
    </row>
    <row r="1820" customFormat="false" ht="15.75" hidden="false" customHeight="false" outlineLevel="0" collapsed="false">
      <c r="A1820" s="6" t="n">
        <v>43030.2111689815</v>
      </c>
      <c r="B1820" s="7" t="str">
        <f aca="false">HYPERLINK("https://twitter.com/PabloPMkt","@PabloPMkt")</f>
        <v>@PabloPMkt</v>
      </c>
      <c r="C1820" s="8" t="s">
        <v>4776</v>
      </c>
      <c r="D1820" s="8" t="s">
        <v>4777</v>
      </c>
      <c r="E1820" s="9" t="str">
        <f aca="false">HYPERLINK("https://twitter.com/PabloPMkt/status/922071053941256193","922071053941256193")</f>
        <v>922071053941256193</v>
      </c>
      <c r="F1820" s="10" t="s">
        <v>60</v>
      </c>
      <c r="G1820" s="10" t="n">
        <v>4531</v>
      </c>
      <c r="H1820" s="10" t="n">
        <v>3424</v>
      </c>
      <c r="I1820" s="10" t="n">
        <v>0</v>
      </c>
      <c r="J1820" s="10" t="n">
        <v>0</v>
      </c>
      <c r="K1820" s="10" t="s">
        <v>20</v>
      </c>
      <c r="L1820" s="11" t="n">
        <v>40877.7541898148</v>
      </c>
      <c r="M1820" s="12" t="s">
        <v>4778</v>
      </c>
      <c r="N1820" s="12" t="s">
        <v>4779</v>
      </c>
      <c r="O1820" s="9" t="str">
        <f aca="false">HYPERLINK("https://pbs.twimg.com/profile_images/673690481012830208/YGkmhHJG_normal.png","View")</f>
        <v>View</v>
      </c>
      <c r="P1820" s="10"/>
    </row>
    <row r="1821" customFormat="false" ht="15.75" hidden="false" customHeight="false" outlineLevel="0" collapsed="false">
      <c r="A1821" s="6" t="n">
        <v>43030.2112152778</v>
      </c>
      <c r="B1821" s="7" t="str">
        <f aca="false">HYPERLINK("https://twitter.com/magnifyk","@magnifyk")</f>
        <v>@magnifyk</v>
      </c>
      <c r="C1821" s="8" t="s">
        <v>4780</v>
      </c>
      <c r="D1821" s="8" t="s">
        <v>4781</v>
      </c>
      <c r="E1821" s="9" t="str">
        <f aca="false">HYPERLINK("https://twitter.com/magnifyk/status/922071073742643200","922071073742643200")</f>
        <v>922071073742643200</v>
      </c>
      <c r="F1821" s="10" t="s">
        <v>60</v>
      </c>
      <c r="G1821" s="10" t="n">
        <v>35833</v>
      </c>
      <c r="H1821" s="10" t="n">
        <v>38595</v>
      </c>
      <c r="I1821" s="10" t="n">
        <v>3</v>
      </c>
      <c r="J1821" s="10" t="n">
        <v>1</v>
      </c>
      <c r="K1821" s="10" t="s">
        <v>20</v>
      </c>
      <c r="L1821" s="11" t="n">
        <v>39945.5502893518</v>
      </c>
      <c r="M1821" s="12" t="s">
        <v>4782</v>
      </c>
      <c r="N1821" s="12" t="s">
        <v>4783</v>
      </c>
      <c r="O1821" s="9" t="str">
        <f aca="false">HYPERLINK("https://pbs.twimg.com/profile_images/427750582/banner_normal.jpg","View")</f>
        <v>View</v>
      </c>
      <c r="P1821" s="10"/>
    </row>
    <row r="1822" customFormat="false" ht="15.75" hidden="false" customHeight="false" outlineLevel="0" collapsed="false">
      <c r="A1822" s="6" t="n">
        <v>43030.2112268519</v>
      </c>
      <c r="B1822" s="7" t="str">
        <f aca="false">HYPERLINK("https://twitter.com/24x7Politics","@24x7Politics")</f>
        <v>@24x7Politics</v>
      </c>
      <c r="C1822" s="8" t="s">
        <v>4784</v>
      </c>
      <c r="D1822" s="8" t="s">
        <v>4785</v>
      </c>
      <c r="E1822" s="9" t="str">
        <f aca="false">HYPERLINK("https://twitter.com/24x7Politics/status/922071074904395776","922071074904395776")</f>
        <v>922071074904395776</v>
      </c>
      <c r="F1822" s="10" t="s">
        <v>60</v>
      </c>
      <c r="G1822" s="10" t="n">
        <v>6156</v>
      </c>
      <c r="H1822" s="10" t="n">
        <v>2839</v>
      </c>
      <c r="I1822" s="10" t="n">
        <v>1</v>
      </c>
      <c r="J1822" s="10" t="n">
        <v>1</v>
      </c>
      <c r="K1822" s="10" t="s">
        <v>20</v>
      </c>
      <c r="L1822" s="11" t="n">
        <v>41023.1594560185</v>
      </c>
      <c r="M1822" s="12" t="s">
        <v>72</v>
      </c>
      <c r="N1822" s="12" t="s">
        <v>4786</v>
      </c>
      <c r="O1822" s="9" t="str">
        <f aca="false">HYPERLINK("https://pbs.twimg.com/profile_images/806109510884556800/sj3k2CkE_normal.jpg","View")</f>
        <v>View</v>
      </c>
      <c r="P1822" s="10"/>
    </row>
    <row r="1823" customFormat="false" ht="15.75" hidden="false" customHeight="false" outlineLevel="0" collapsed="false">
      <c r="A1823" s="6" t="n">
        <v>43030.2112268519</v>
      </c>
      <c r="B1823" s="7" t="str">
        <f aca="false">HYPERLINK("https://twitter.com/Bertotxu","@Bertotxu")</f>
        <v>@Bertotxu</v>
      </c>
      <c r="C1823" s="8" t="s">
        <v>4787</v>
      </c>
      <c r="D1823" s="8" t="s">
        <v>4788</v>
      </c>
      <c r="E1823" s="9" t="str">
        <f aca="false">HYPERLINK("https://twitter.com/Bertotxu/status/922071075940372480","922071075940372480")</f>
        <v>922071075940372480</v>
      </c>
      <c r="F1823" s="10" t="s">
        <v>60</v>
      </c>
      <c r="G1823" s="10" t="n">
        <v>23</v>
      </c>
      <c r="H1823" s="10" t="n">
        <v>107</v>
      </c>
      <c r="I1823" s="10" t="n">
        <v>0</v>
      </c>
      <c r="J1823" s="10" t="n">
        <v>0</v>
      </c>
      <c r="K1823" s="10" t="s">
        <v>20</v>
      </c>
      <c r="L1823" s="11" t="n">
        <v>40796.782037037</v>
      </c>
      <c r="M1823" s="12"/>
      <c r="N1823" s="12"/>
      <c r="O1823" s="9" t="str">
        <f aca="false">HYPERLINK("https://pbs.twimg.com/profile_images/914249319699578880/B77fFPiF_normal.jpg","View")</f>
        <v>View</v>
      </c>
      <c r="P1823" s="10"/>
    </row>
    <row r="1824" customFormat="false" ht="15.75" hidden="false" customHeight="false" outlineLevel="0" collapsed="false">
      <c r="A1824" s="6" t="n">
        <v>43030.2112268519</v>
      </c>
      <c r="B1824" s="7" t="str">
        <f aca="false">HYPERLINK("https://twitter.com/Darth_Giora","@Darth_Giora")</f>
        <v>@Darth_Giora</v>
      </c>
      <c r="C1824" s="8" t="s">
        <v>4789</v>
      </c>
      <c r="D1824" s="8" t="s">
        <v>4790</v>
      </c>
      <c r="E1824" s="9" t="str">
        <f aca="false">HYPERLINK("https://twitter.com/Darth_Giora/status/922071076317941760","922071076317941760")</f>
        <v>922071076317941760</v>
      </c>
      <c r="F1824" s="10" t="s">
        <v>60</v>
      </c>
      <c r="G1824" s="10" t="n">
        <v>397</v>
      </c>
      <c r="H1824" s="10" t="n">
        <v>359</v>
      </c>
      <c r="I1824" s="10" t="n">
        <v>0</v>
      </c>
      <c r="J1824" s="10" t="n">
        <v>0</v>
      </c>
      <c r="K1824" s="10" t="s">
        <v>20</v>
      </c>
      <c r="L1824" s="11" t="n">
        <v>41280.7164351852</v>
      </c>
      <c r="M1824" s="12"/>
      <c r="N1824" s="12" t="s">
        <v>4791</v>
      </c>
      <c r="O1824" s="9" t="str">
        <f aca="false">HYPERLINK("https://pbs.twimg.com/profile_images/898739977693089792/9p_PaLWS_normal.jpg","View")</f>
        <v>View</v>
      </c>
      <c r="P1824" s="10"/>
    </row>
    <row r="1825" customFormat="false" ht="15.75" hidden="false" customHeight="false" outlineLevel="0" collapsed="false">
      <c r="A1825" s="6" t="n">
        <v>43030.2112384259</v>
      </c>
      <c r="B1825" s="7" t="str">
        <f aca="false">HYPERLINK("https://twitter.com/RameshSuno","@RameshSuno")</f>
        <v>@RameshSuno</v>
      </c>
      <c r="C1825" s="8" t="s">
        <v>4792</v>
      </c>
      <c r="D1825" s="8" t="s">
        <v>4793</v>
      </c>
      <c r="E1825" s="9" t="str">
        <f aca="false">HYPERLINK("https://twitter.com/RameshSuno/status/922071078620532736","922071078620532736")</f>
        <v>922071078620532736</v>
      </c>
      <c r="F1825" s="10" t="s">
        <v>60</v>
      </c>
      <c r="G1825" s="10" t="n">
        <v>10</v>
      </c>
      <c r="H1825" s="10" t="n">
        <v>21</v>
      </c>
      <c r="I1825" s="10" t="n">
        <v>0</v>
      </c>
      <c r="J1825" s="10" t="n">
        <v>0</v>
      </c>
      <c r="K1825" s="10" t="s">
        <v>20</v>
      </c>
      <c r="L1825" s="11" t="n">
        <v>42851.9891203704</v>
      </c>
      <c r="M1825" s="12"/>
      <c r="N1825" s="12" t="s">
        <v>4794</v>
      </c>
      <c r="O1825" s="9" t="str">
        <f aca="false">HYPERLINK("https://pbs.twimg.com/profile_images/874944643552731137/Jm0LEauS_normal.png","View")</f>
        <v>View</v>
      </c>
      <c r="P1825" s="10"/>
    </row>
    <row r="1826" customFormat="false" ht="15.75" hidden="false" customHeight="false" outlineLevel="0" collapsed="false">
      <c r="A1826" s="6" t="n">
        <v>43030.2112384259</v>
      </c>
      <c r="B1826" s="7" t="str">
        <f aca="false">HYPERLINK("https://twitter.com/DavidAnsell19","@DavidAnsell19")</f>
        <v>@DavidAnsell19</v>
      </c>
      <c r="C1826" s="8" t="s">
        <v>4795</v>
      </c>
      <c r="D1826" s="8" t="s">
        <v>4796</v>
      </c>
      <c r="E1826" s="9" t="str">
        <f aca="false">HYPERLINK("https://twitter.com/DavidAnsell19/status/922071080814116866","922071080814116866")</f>
        <v>922071080814116866</v>
      </c>
      <c r="F1826" s="10" t="s">
        <v>60</v>
      </c>
      <c r="G1826" s="10" t="n">
        <v>5</v>
      </c>
      <c r="H1826" s="10" t="n">
        <v>47</v>
      </c>
      <c r="I1826" s="10" t="n">
        <v>0</v>
      </c>
      <c r="J1826" s="10" t="n">
        <v>0</v>
      </c>
      <c r="K1826" s="10" t="s">
        <v>20</v>
      </c>
      <c r="L1826" s="11" t="n">
        <v>42872.2314467593</v>
      </c>
      <c r="M1826" s="12" t="s">
        <v>4797</v>
      </c>
      <c r="N1826" s="12" t="s">
        <v>4798</v>
      </c>
      <c r="O1826" s="9" t="str">
        <f aca="false">HYPERLINK("https://abs.twimg.com/sticky/default_profile_images/default_profile_normal.png","View")</f>
        <v>View</v>
      </c>
      <c r="P1826" s="10"/>
    </row>
    <row r="1827" customFormat="false" ht="15.75" hidden="false" customHeight="false" outlineLevel="0" collapsed="false">
      <c r="A1827" s="6" t="n">
        <v>43030.21125</v>
      </c>
      <c r="B1827" s="7" t="str">
        <f aca="false">HYPERLINK("https://twitter.com/Mitsycp","@Mitsycp")</f>
        <v>@Mitsycp</v>
      </c>
      <c r="C1827" s="8" t="s">
        <v>4799</v>
      </c>
      <c r="D1827" s="8" t="s">
        <v>4800</v>
      </c>
      <c r="E1827" s="9" t="str">
        <f aca="false">HYPERLINK("https://twitter.com/Mitsycp/status/922071086677811201","922071086677811201")</f>
        <v>922071086677811201</v>
      </c>
      <c r="F1827" s="10" t="s">
        <v>60</v>
      </c>
      <c r="G1827" s="10" t="n">
        <v>857</v>
      </c>
      <c r="H1827" s="10" t="n">
        <v>2055</v>
      </c>
      <c r="I1827" s="10" t="n">
        <v>0</v>
      </c>
      <c r="J1827" s="10" t="n">
        <v>0</v>
      </c>
      <c r="K1827" s="10" t="s">
        <v>20</v>
      </c>
      <c r="L1827" s="11" t="n">
        <v>41214.5012268519</v>
      </c>
      <c r="M1827" s="12" t="s">
        <v>4801</v>
      </c>
      <c r="N1827" s="12"/>
      <c r="O1827" s="9" t="str">
        <f aca="false">HYPERLINK("https://pbs.twimg.com/profile_images/883870316673380352/yGhpvlQI_normal.jpg","View")</f>
        <v>View</v>
      </c>
      <c r="P1827" s="10"/>
    </row>
    <row r="1828" customFormat="false" ht="15.75" hidden="false" customHeight="false" outlineLevel="0" collapsed="false">
      <c r="A1828" s="6" t="n">
        <v>43030.2112615741</v>
      </c>
      <c r="B1828" s="7" t="str">
        <f aca="false">HYPERLINK("https://twitter.com/TechMashBang","@TechMashBang")</f>
        <v>@TechMashBang</v>
      </c>
      <c r="C1828" s="8" t="s">
        <v>4802</v>
      </c>
      <c r="D1828" s="8" t="s">
        <v>4803</v>
      </c>
      <c r="E1828" s="9" t="str">
        <f aca="false">HYPERLINK("https://twitter.com/TechMashBang/status/922071087877378048","922071087877378048")</f>
        <v>922071087877378048</v>
      </c>
      <c r="F1828" s="10" t="s">
        <v>60</v>
      </c>
      <c r="G1828" s="10" t="n">
        <v>348</v>
      </c>
      <c r="H1828" s="10" t="n">
        <v>330</v>
      </c>
      <c r="I1828" s="10" t="n">
        <v>0</v>
      </c>
      <c r="J1828" s="10" t="n">
        <v>0</v>
      </c>
      <c r="K1828" s="10" t="s">
        <v>20</v>
      </c>
      <c r="L1828" s="11" t="n">
        <v>42706.5980902778</v>
      </c>
      <c r="M1828" s="12" t="s">
        <v>491</v>
      </c>
      <c r="N1828" s="12" t="s">
        <v>4804</v>
      </c>
      <c r="O1828" s="9" t="str">
        <f aca="false">HYPERLINK("https://pbs.twimg.com/profile_images/807225729863786496/6JtQL6A6_normal.jpg","View")</f>
        <v>View</v>
      </c>
      <c r="P1828" s="10"/>
    </row>
    <row r="1829" customFormat="false" ht="15.75" hidden="false" customHeight="false" outlineLevel="0" collapsed="false">
      <c r="A1829" s="6" t="n">
        <v>43030.2112615741</v>
      </c>
      <c r="B1829" s="7" t="str">
        <f aca="false">HYPERLINK("https://twitter.com/varunvd","@varunvd")</f>
        <v>@varunvd</v>
      </c>
      <c r="C1829" s="8" t="s">
        <v>4119</v>
      </c>
      <c r="D1829" s="8" t="s">
        <v>4068</v>
      </c>
      <c r="E1829" s="9" t="str">
        <f aca="false">HYPERLINK("https://twitter.com/varunvd/status/922071089966145537","922071089966145537")</f>
        <v>922071089966145537</v>
      </c>
      <c r="F1829" s="10" t="s">
        <v>25</v>
      </c>
      <c r="G1829" s="10" t="n">
        <v>1473</v>
      </c>
      <c r="H1829" s="10" t="n">
        <v>5001</v>
      </c>
      <c r="I1829" s="10" t="n">
        <v>50</v>
      </c>
      <c r="J1829" s="10" t="n">
        <v>0</v>
      </c>
      <c r="K1829" s="10" t="s">
        <v>20</v>
      </c>
      <c r="L1829" s="11" t="n">
        <v>40059.147662037</v>
      </c>
      <c r="M1829" s="12" t="s">
        <v>4121</v>
      </c>
      <c r="N1829" s="12" t="s">
        <v>4122</v>
      </c>
      <c r="O1829" s="9" t="str">
        <f aca="false">HYPERLINK("https://pbs.twimg.com/profile_images/921410394958082049/7lSsVbzm_normal.jpg","View")</f>
        <v>View</v>
      </c>
      <c r="P1829" s="10"/>
    </row>
    <row r="1830" customFormat="false" ht="15.75" hidden="false" customHeight="false" outlineLevel="0" collapsed="false">
      <c r="A1830" s="6" t="n">
        <v>43030.2112731482</v>
      </c>
      <c r="B1830" s="7" t="str">
        <f aca="false">HYPERLINK("https://twitter.com/rynitw","@rynitw")</f>
        <v>@rynitw</v>
      </c>
      <c r="C1830" s="8" t="s">
        <v>4805</v>
      </c>
      <c r="D1830" s="8" t="s">
        <v>4806</v>
      </c>
      <c r="E1830" s="9" t="str">
        <f aca="false">HYPERLINK("https://twitter.com/rynitw/status/922071092268879872","922071092268879872")</f>
        <v>922071092268879872</v>
      </c>
      <c r="F1830" s="10" t="s">
        <v>60</v>
      </c>
      <c r="G1830" s="10" t="n">
        <v>246</v>
      </c>
      <c r="H1830" s="10" t="n">
        <v>346</v>
      </c>
      <c r="I1830" s="10" t="n">
        <v>0</v>
      </c>
      <c r="J1830" s="10" t="n">
        <v>0</v>
      </c>
      <c r="K1830" s="10" t="s">
        <v>20</v>
      </c>
      <c r="L1830" s="11" t="n">
        <v>40208.7435532407</v>
      </c>
      <c r="M1830" s="12" t="s">
        <v>4807</v>
      </c>
      <c r="N1830" s="12" t="s">
        <v>4808</v>
      </c>
      <c r="O1830" s="9" t="str">
        <f aca="false">HYPERLINK("https://pbs.twimg.com/profile_images/714985930164215808/bKiY6lpW_normal.jpg","View")</f>
        <v>View</v>
      </c>
      <c r="P1830" s="10"/>
    </row>
    <row r="1831" customFormat="false" ht="15.75" hidden="false" customHeight="false" outlineLevel="0" collapsed="false">
      <c r="A1831" s="6" t="n">
        <v>43030.2112731482</v>
      </c>
      <c r="B1831" s="7" t="str">
        <f aca="false">HYPERLINK("https://twitter.com/mmsharma4486","@mmsharma4486")</f>
        <v>@mmsharma4486</v>
      </c>
      <c r="C1831" s="8" t="s">
        <v>4809</v>
      </c>
      <c r="D1831" s="8" t="s">
        <v>4810</v>
      </c>
      <c r="E1831" s="9" t="str">
        <f aca="false">HYPERLINK("https://twitter.com/mmsharma4486/status/922071094579945472","922071094579945472")</f>
        <v>922071094579945472</v>
      </c>
      <c r="F1831" s="10" t="s">
        <v>60</v>
      </c>
      <c r="G1831" s="10" t="n">
        <v>7</v>
      </c>
      <c r="H1831" s="10" t="n">
        <v>53</v>
      </c>
      <c r="I1831" s="10" t="n">
        <v>0</v>
      </c>
      <c r="J1831" s="10" t="n">
        <v>0</v>
      </c>
      <c r="K1831" s="10" t="s">
        <v>20</v>
      </c>
      <c r="L1831" s="11" t="n">
        <v>42871.2471412037</v>
      </c>
      <c r="M1831" s="12"/>
      <c r="N1831" s="12"/>
      <c r="O1831" s="9" t="str">
        <f aca="false">HYPERLINK("https://abs.twimg.com/sticky/default_profile_images/default_profile_normal.png","View")</f>
        <v>View</v>
      </c>
      <c r="P1831" s="10"/>
    </row>
    <row r="1832" customFormat="false" ht="15.75" hidden="false" customHeight="false" outlineLevel="0" collapsed="false">
      <c r="A1832" s="6" t="n">
        <v>43030.2112847222</v>
      </c>
      <c r="B1832" s="7" t="str">
        <f aca="false">HYPERLINK("https://twitter.com/RwdRG","@RwdRG")</f>
        <v>@RwdRG</v>
      </c>
      <c r="C1832" s="8" t="s">
        <v>4811</v>
      </c>
      <c r="D1832" s="8" t="s">
        <v>4812</v>
      </c>
      <c r="E1832" s="9" t="str">
        <f aca="false">HYPERLINK("https://twitter.com/RwdRG/status/922071096006004736","922071096006004736")</f>
        <v>922071096006004736</v>
      </c>
      <c r="F1832" s="10" t="s">
        <v>60</v>
      </c>
      <c r="G1832" s="10" t="n">
        <v>2693</v>
      </c>
      <c r="H1832" s="10" t="n">
        <v>480</v>
      </c>
      <c r="I1832" s="10" t="n">
        <v>1</v>
      </c>
      <c r="J1832" s="10" t="n">
        <v>4</v>
      </c>
      <c r="K1832" s="10" t="s">
        <v>20</v>
      </c>
      <c r="L1832" s="11" t="n">
        <v>42637.5139351852</v>
      </c>
      <c r="M1832" s="12" t="s">
        <v>72</v>
      </c>
      <c r="N1832" s="12" t="s">
        <v>4813</v>
      </c>
      <c r="O1832" s="9" t="str">
        <f aca="false">HYPERLINK("https://pbs.twimg.com/profile_images/839783909630029824/spd1fTPs_normal.jpg","View")</f>
        <v>View</v>
      </c>
      <c r="P1832" s="10"/>
    </row>
    <row r="1833" customFormat="false" ht="15.75" hidden="false" customHeight="false" outlineLevel="0" collapsed="false">
      <c r="A1833" s="6" t="n">
        <v>43030.2112847222</v>
      </c>
      <c r="B1833" s="7" t="str">
        <f aca="false">HYPERLINK("https://twitter.com/LFUNDADORES","@LFUNDADORES")</f>
        <v>@LFUNDADORES</v>
      </c>
      <c r="C1833" s="8" t="s">
        <v>4814</v>
      </c>
      <c r="D1833" s="8" t="s">
        <v>4815</v>
      </c>
      <c r="E1833" s="9" t="str">
        <f aca="false">HYPERLINK("https://twitter.com/LFUNDADORES/status/922071096752517125","922071096752517125")</f>
        <v>922071096752517125</v>
      </c>
      <c r="F1833" s="10" t="s">
        <v>60</v>
      </c>
      <c r="G1833" s="10" t="n">
        <v>956</v>
      </c>
      <c r="H1833" s="10" t="n">
        <v>4921</v>
      </c>
      <c r="I1833" s="10" t="n">
        <v>0</v>
      </c>
      <c r="J1833" s="10" t="n">
        <v>0</v>
      </c>
      <c r="K1833" s="10" t="s">
        <v>20</v>
      </c>
      <c r="L1833" s="11" t="n">
        <v>41529.6572106482</v>
      </c>
      <c r="M1833" s="12" t="s">
        <v>4816</v>
      </c>
      <c r="N1833" s="12" t="s">
        <v>4817</v>
      </c>
      <c r="O1833" s="9" t="str">
        <f aca="false">HYPERLINK("https://pbs.twimg.com/profile_images/764197787445633024/LYwygFiY_normal.jpg","View")</f>
        <v>View</v>
      </c>
      <c r="P1833" s="10"/>
    </row>
    <row r="1834" customFormat="false" ht="15.75" hidden="false" customHeight="false" outlineLevel="0" collapsed="false">
      <c r="A1834" s="6" t="n">
        <v>43030.2112847222</v>
      </c>
      <c r="B1834" s="7" t="str">
        <f aca="false">HYPERLINK("https://twitter.com/basildontaxis","@basildontaxis")</f>
        <v>@basildontaxis</v>
      </c>
      <c r="C1834" s="8" t="s">
        <v>4818</v>
      </c>
      <c r="D1834" s="8" t="s">
        <v>4819</v>
      </c>
      <c r="E1834" s="9" t="str">
        <f aca="false">HYPERLINK("https://twitter.com/basildontaxis/status/922071098782515201","922071098782515201")</f>
        <v>922071098782515201</v>
      </c>
      <c r="F1834" s="10" t="s">
        <v>60</v>
      </c>
      <c r="G1834" s="10" t="n">
        <v>258</v>
      </c>
      <c r="H1834" s="10" t="n">
        <v>8</v>
      </c>
      <c r="I1834" s="10" t="n">
        <v>0</v>
      </c>
      <c r="J1834" s="10" t="n">
        <v>0</v>
      </c>
      <c r="K1834" s="10" t="s">
        <v>20</v>
      </c>
      <c r="L1834" s="11" t="n">
        <v>42436.8803009259</v>
      </c>
      <c r="M1834" s="12" t="s">
        <v>203</v>
      </c>
      <c r="N1834" s="12" t="s">
        <v>4820</v>
      </c>
      <c r="O1834" s="9" t="str">
        <f aca="false">HYPERLINK("https://pbs.twimg.com/profile_images/720174937672130560/IqVUlNj3_normal.jpg","View")</f>
        <v>View</v>
      </c>
      <c r="P1834" s="10"/>
    </row>
    <row r="1835" customFormat="false" ht="15.75" hidden="false" customHeight="false" outlineLevel="0" collapsed="false">
      <c r="A1835" s="6" t="n">
        <v>43030.2112962963</v>
      </c>
      <c r="B1835" s="7" t="str">
        <f aca="false">HYPERLINK("https://twitter.com/Jerel_ME","@Jerel_ME")</f>
        <v>@Jerel_ME</v>
      </c>
      <c r="C1835" s="8" t="s">
        <v>4821</v>
      </c>
      <c r="D1835" s="8" t="s">
        <v>4822</v>
      </c>
      <c r="E1835" s="9" t="str">
        <f aca="false">HYPERLINK("https://twitter.com/Jerel_ME/status/922071100137328640","922071100137328640")</f>
        <v>922071100137328640</v>
      </c>
      <c r="F1835" s="10" t="s">
        <v>60</v>
      </c>
      <c r="G1835" s="10" t="n">
        <v>11</v>
      </c>
      <c r="H1835" s="10" t="n">
        <v>41</v>
      </c>
      <c r="I1835" s="10" t="n">
        <v>0</v>
      </c>
      <c r="J1835" s="10" t="n">
        <v>0</v>
      </c>
      <c r="K1835" s="10" t="s">
        <v>20</v>
      </c>
      <c r="L1835" s="11" t="n">
        <v>41378.4257291667</v>
      </c>
      <c r="M1835" s="12"/>
      <c r="N1835" s="12"/>
      <c r="O1835" s="9" t="str">
        <f aca="false">HYPERLINK("https://pbs.twimg.com/profile_images/742756133237051393/fmWlsb5t_normal.jpg","View")</f>
        <v>View</v>
      </c>
      <c r="P1835" s="10"/>
    </row>
    <row r="1836" customFormat="false" ht="15.75" hidden="false" customHeight="false" outlineLevel="0" collapsed="false">
      <c r="A1836" s="6" t="n">
        <v>43030.2113078704</v>
      </c>
      <c r="B1836" s="7" t="str">
        <f aca="false">HYPERLINK("https://twitter.com/jldavoll2","@jldavoll2")</f>
        <v>@jldavoll2</v>
      </c>
      <c r="C1836" s="8" t="s">
        <v>4823</v>
      </c>
      <c r="D1836" s="8" t="s">
        <v>4824</v>
      </c>
      <c r="E1836" s="9" t="str">
        <f aca="false">HYPERLINK("https://twitter.com/jldavoll2/status/922071103618584577","922071103618584577")</f>
        <v>922071103618584577</v>
      </c>
      <c r="F1836" s="10" t="s">
        <v>60</v>
      </c>
      <c r="G1836" s="10" t="n">
        <v>13</v>
      </c>
      <c r="H1836" s="10" t="n">
        <v>23</v>
      </c>
      <c r="I1836" s="10" t="n">
        <v>0</v>
      </c>
      <c r="J1836" s="10" t="n">
        <v>0</v>
      </c>
      <c r="K1836" s="10" t="s">
        <v>20</v>
      </c>
      <c r="L1836" s="11" t="n">
        <v>42130.8051041667</v>
      </c>
      <c r="M1836" s="12"/>
      <c r="N1836" s="12"/>
      <c r="O1836" s="9" t="str">
        <f aca="false">HYPERLINK("https://pbs.twimg.com/profile_images/602184939157778432/te15NW5p_normal.jpg","View")</f>
        <v>View</v>
      </c>
      <c r="P1836" s="10"/>
    </row>
    <row r="1837" customFormat="false" ht="15.75" hidden="false" customHeight="false" outlineLevel="0" collapsed="false">
      <c r="A1837" s="6" t="n">
        <v>43030.2113078704</v>
      </c>
      <c r="B1837" s="7" t="str">
        <f aca="false">HYPERLINK("https://twitter.com/onlinelords","@onlinelords")</f>
        <v>@onlinelords</v>
      </c>
      <c r="C1837" s="8" t="s">
        <v>3710</v>
      </c>
      <c r="D1837" s="8" t="s">
        <v>4825</v>
      </c>
      <c r="E1837" s="9" t="str">
        <f aca="false">HYPERLINK("https://twitter.com/onlinelords/status/922071103685713920","922071103685713920")</f>
        <v>922071103685713920</v>
      </c>
      <c r="F1837" s="10" t="s">
        <v>60</v>
      </c>
      <c r="G1837" s="10" t="n">
        <v>510</v>
      </c>
      <c r="H1837" s="10" t="n">
        <v>1816</v>
      </c>
      <c r="I1837" s="10" t="n">
        <v>0</v>
      </c>
      <c r="J1837" s="10" t="n">
        <v>0</v>
      </c>
      <c r="K1837" s="10" t="s">
        <v>20</v>
      </c>
      <c r="L1837" s="11" t="n">
        <v>42910.4271412037</v>
      </c>
      <c r="M1837" s="12" t="s">
        <v>3712</v>
      </c>
      <c r="N1837" s="12" t="s">
        <v>3713</v>
      </c>
      <c r="O1837" s="9" t="str">
        <f aca="false">HYPERLINK("https://pbs.twimg.com/profile_images/919643248817254400/z8AUB3Qm_normal.jpg","View")</f>
        <v>View</v>
      </c>
      <c r="P1837" s="10"/>
    </row>
    <row r="1838" customFormat="false" ht="15.75" hidden="false" customHeight="false" outlineLevel="0" collapsed="false">
      <c r="A1838" s="6" t="n">
        <v>43030.2113078704</v>
      </c>
      <c r="B1838" s="7" t="str">
        <f aca="false">HYPERLINK("https://twitter.com/Herzukka","@Herzukka")</f>
        <v>@Herzukka</v>
      </c>
      <c r="C1838" s="8" t="s">
        <v>4826</v>
      </c>
      <c r="D1838" s="8" t="s">
        <v>4827</v>
      </c>
      <c r="E1838" s="9" t="str">
        <f aca="false">HYPERLINK("https://twitter.com/Herzukka/status/922071104834998272","922071104834998272")</f>
        <v>922071104834998272</v>
      </c>
      <c r="F1838" s="10" t="s">
        <v>60</v>
      </c>
      <c r="G1838" s="10" t="n">
        <v>94</v>
      </c>
      <c r="H1838" s="10" t="n">
        <v>346</v>
      </c>
      <c r="I1838" s="10" t="n">
        <v>0</v>
      </c>
      <c r="J1838" s="10" t="n">
        <v>0</v>
      </c>
      <c r="K1838" s="10" t="s">
        <v>20</v>
      </c>
      <c r="L1838" s="11" t="n">
        <v>41043.6752083333</v>
      </c>
      <c r="M1838" s="12"/>
      <c r="N1838" s="12"/>
      <c r="O1838" s="9" t="str">
        <f aca="false">HYPERLINK("https://pbs.twimg.com/profile_images/773533183828713472/vtyJ6aEC_normal.jpg","View")</f>
        <v>View</v>
      </c>
      <c r="P1838" s="10"/>
    </row>
    <row r="1839" customFormat="false" ht="15.75" hidden="false" customHeight="false" outlineLevel="0" collapsed="false">
      <c r="A1839" s="6" t="n">
        <v>43030.2113194444</v>
      </c>
      <c r="B1839" s="7" t="str">
        <f aca="false">HYPERLINK("https://twitter.com/ugossip1","@ugossip1")</f>
        <v>@ugossip1</v>
      </c>
      <c r="C1839" s="8" t="s">
        <v>4828</v>
      </c>
      <c r="D1839" s="8" t="s">
        <v>4829</v>
      </c>
      <c r="E1839" s="9" t="str">
        <f aca="false">HYPERLINK("https://twitter.com/ugossip1/status/922071109352280064","922071109352280064")</f>
        <v>922071109352280064</v>
      </c>
      <c r="F1839" s="10" t="s">
        <v>60</v>
      </c>
      <c r="G1839" s="10" t="n">
        <v>373</v>
      </c>
      <c r="H1839" s="10" t="n">
        <v>367</v>
      </c>
      <c r="I1839" s="10" t="n">
        <v>0</v>
      </c>
      <c r="J1839" s="10" t="n">
        <v>0</v>
      </c>
      <c r="K1839" s="10" t="s">
        <v>20</v>
      </c>
      <c r="L1839" s="11" t="n">
        <v>40945.215474537</v>
      </c>
      <c r="M1839" s="12" t="s">
        <v>4830</v>
      </c>
      <c r="N1839" s="12" t="s">
        <v>4831</v>
      </c>
      <c r="O1839" s="9" t="str">
        <f aca="false">HYPERLINK("https://pbs.twimg.com/profile_images/684705230135648256/OdrJ23Q8_normal.png","View")</f>
        <v>View</v>
      </c>
      <c r="P1839" s="10"/>
    </row>
    <row r="1840" customFormat="false" ht="15.75" hidden="false" customHeight="false" outlineLevel="0" collapsed="false">
      <c r="A1840" s="6" t="n">
        <v>43030.2113541667</v>
      </c>
      <c r="B1840" s="7" t="str">
        <f aca="false">HYPERLINK("https://twitter.com/Tunez9ja_com","@Tunez9ja_com")</f>
        <v>@Tunez9ja_com</v>
      </c>
      <c r="C1840" s="8" t="s">
        <v>4832</v>
      </c>
      <c r="D1840" s="8" t="s">
        <v>4833</v>
      </c>
      <c r="E1840" s="9" t="str">
        <f aca="false">HYPERLINK("https://twitter.com/Tunez9ja_com/status/922071121528348672","922071121528348672")</f>
        <v>922071121528348672</v>
      </c>
      <c r="F1840" s="10" t="s">
        <v>60</v>
      </c>
      <c r="G1840" s="10" t="n">
        <v>165</v>
      </c>
      <c r="H1840" s="10" t="n">
        <v>219</v>
      </c>
      <c r="I1840" s="10" t="n">
        <v>0</v>
      </c>
      <c r="J1840" s="10" t="n">
        <v>0</v>
      </c>
      <c r="K1840" s="10" t="s">
        <v>20</v>
      </c>
      <c r="L1840" s="11" t="n">
        <v>41491.446712963</v>
      </c>
      <c r="M1840" s="12"/>
      <c r="N1840" s="12" t="s">
        <v>4834</v>
      </c>
      <c r="O1840" s="9" t="str">
        <f aca="false">HYPERLINK("https://pbs.twimg.com/profile_images/819262348863082496/bMUn36VW_normal.jpg","View")</f>
        <v>View</v>
      </c>
      <c r="P1840" s="10"/>
    </row>
    <row r="1841" customFormat="false" ht="15.75" hidden="false" customHeight="false" outlineLevel="0" collapsed="false">
      <c r="A1841" s="6" t="n">
        <v>43030.2113657407</v>
      </c>
      <c r="B1841" s="7" t="str">
        <f aca="false">HYPERLINK("https://twitter.com/eng_moe_a","@eng_moe_a")</f>
        <v>@eng_moe_a</v>
      </c>
      <c r="C1841" s="8" t="s">
        <v>4835</v>
      </c>
      <c r="D1841" s="8" t="s">
        <v>4836</v>
      </c>
      <c r="E1841" s="9" t="str">
        <f aca="false">HYPERLINK("https://twitter.com/eng_moe_a/status/922071126364311553","922071126364311553")</f>
        <v>922071126364311553</v>
      </c>
      <c r="F1841" s="10" t="s">
        <v>60</v>
      </c>
      <c r="G1841" s="10" t="n">
        <v>46</v>
      </c>
      <c r="H1841" s="10" t="n">
        <v>99</v>
      </c>
      <c r="I1841" s="10" t="n">
        <v>0</v>
      </c>
      <c r="J1841" s="10" t="n">
        <v>0</v>
      </c>
      <c r="K1841" s="10" t="s">
        <v>20</v>
      </c>
      <c r="L1841" s="11" t="n">
        <v>42455.0434606481</v>
      </c>
      <c r="M1841" s="12"/>
      <c r="N1841" s="12"/>
      <c r="O1841" s="9" t="str">
        <f aca="false">HYPERLINK("https://pbs.twimg.com/profile_images/750553809492008960/n9xhE-WO_normal.jpg","View")</f>
        <v>View</v>
      </c>
      <c r="P1841" s="10"/>
    </row>
    <row r="1842" customFormat="false" ht="15.75" hidden="false" customHeight="false" outlineLevel="0" collapsed="false">
      <c r="A1842" s="6" t="n">
        <v>43030.2113657407</v>
      </c>
      <c r="B1842" s="7" t="str">
        <f aca="false">HYPERLINK("https://twitter.com/kundacoffee","@kundacoffee")</f>
        <v>@kundacoffee</v>
      </c>
      <c r="C1842" s="8" t="s">
        <v>4837</v>
      </c>
      <c r="D1842" s="8" t="s">
        <v>4838</v>
      </c>
      <c r="E1842" s="9" t="str">
        <f aca="false">HYPERLINK("https://twitter.com/kundacoffee/status/922071127115157505","922071127115157505")</f>
        <v>922071127115157505</v>
      </c>
      <c r="F1842" s="10" t="s">
        <v>60</v>
      </c>
      <c r="G1842" s="10" t="n">
        <v>243</v>
      </c>
      <c r="H1842" s="10" t="n">
        <v>1125</v>
      </c>
      <c r="I1842" s="10" t="n">
        <v>0</v>
      </c>
      <c r="J1842" s="10" t="n">
        <v>0</v>
      </c>
      <c r="K1842" s="10" t="s">
        <v>20</v>
      </c>
      <c r="L1842" s="11" t="n">
        <v>41215.1681481482</v>
      </c>
      <c r="M1842" s="12" t="s">
        <v>4839</v>
      </c>
      <c r="N1842" s="12" t="s">
        <v>4840</v>
      </c>
      <c r="O1842" s="9" t="str">
        <f aca="false">HYPERLINK("https://pbs.twimg.com/profile_images/879201564291878912/RQxWnO1a_normal.jpg","View")</f>
        <v>View</v>
      </c>
      <c r="P1842" s="10"/>
    </row>
    <row r="1843" customFormat="false" ht="15.75" hidden="false" customHeight="false" outlineLevel="0" collapsed="false">
      <c r="A1843" s="6" t="n">
        <v>43030.2113773148</v>
      </c>
      <c r="B1843" s="7" t="str">
        <f aca="false">HYPERLINK("https://twitter.com/PostKob","@PostKob")</f>
        <v>@PostKob</v>
      </c>
      <c r="C1843" s="8" t="s">
        <v>4841</v>
      </c>
      <c r="D1843" s="8" t="s">
        <v>4842</v>
      </c>
      <c r="E1843" s="9" t="str">
        <f aca="false">HYPERLINK("https://twitter.com/PostKob/status/922071130101477376","922071130101477376")</f>
        <v>922071130101477376</v>
      </c>
      <c r="F1843" s="10" t="s">
        <v>60</v>
      </c>
      <c r="G1843" s="10" t="n">
        <v>277</v>
      </c>
      <c r="H1843" s="10" t="n">
        <v>240</v>
      </c>
      <c r="I1843" s="10" t="n">
        <v>0</v>
      </c>
      <c r="J1843" s="10" t="n">
        <v>0</v>
      </c>
      <c r="K1843" s="10" t="s">
        <v>20</v>
      </c>
      <c r="L1843" s="11" t="n">
        <v>42437.371099537</v>
      </c>
      <c r="M1843" s="12" t="s">
        <v>3474</v>
      </c>
      <c r="N1843" s="12" t="s">
        <v>4843</v>
      </c>
      <c r="O1843" s="9" t="str">
        <f aca="false">HYPERLINK("https://pbs.twimg.com/profile_images/796634634591277056/zZi_-f0l_normal.jpg","View")</f>
        <v>View</v>
      </c>
      <c r="P1843" s="10"/>
    </row>
    <row r="1844" customFormat="false" ht="15.75" hidden="false" customHeight="false" outlineLevel="0" collapsed="false">
      <c r="A1844" s="6" t="n">
        <v>43030.2113773148</v>
      </c>
      <c r="B1844" s="7" t="str">
        <f aca="false">HYPERLINK("https://twitter.com/virat_garg","@virat_garg")</f>
        <v>@virat_garg</v>
      </c>
      <c r="C1844" s="8" t="s">
        <v>4844</v>
      </c>
      <c r="D1844" s="8" t="s">
        <v>4845</v>
      </c>
      <c r="E1844" s="9" t="str">
        <f aca="false">HYPERLINK("https://twitter.com/virat_garg/status/922071132387373057","922071132387373057")</f>
        <v>922071132387373057</v>
      </c>
      <c r="F1844" s="10" t="s">
        <v>60</v>
      </c>
      <c r="G1844" s="10" t="n">
        <v>2232</v>
      </c>
      <c r="H1844" s="10" t="n">
        <v>4939</v>
      </c>
      <c r="I1844" s="10" t="n">
        <v>0</v>
      </c>
      <c r="J1844" s="10" t="n">
        <v>0</v>
      </c>
      <c r="K1844" s="10" t="s">
        <v>20</v>
      </c>
      <c r="L1844" s="11" t="n">
        <v>40325.1384953704</v>
      </c>
      <c r="M1844" s="12" t="s">
        <v>4846</v>
      </c>
      <c r="N1844" s="12" t="s">
        <v>4847</v>
      </c>
      <c r="O1844" s="9" t="str">
        <f aca="false">HYPERLINK("https://pbs.twimg.com/profile_images/827142719038332928/ordDOzym_normal.jpg","View")</f>
        <v>View</v>
      </c>
      <c r="P1844" s="10"/>
    </row>
    <row r="1845" customFormat="false" ht="15.75" hidden="false" customHeight="false" outlineLevel="0" collapsed="false">
      <c r="A1845" s="6" t="n">
        <v>43030.2113888889</v>
      </c>
      <c r="B1845" s="7" t="str">
        <f aca="false">HYPERLINK("https://twitter.com/dag_dap","@dag_dap")</f>
        <v>@dag_dap</v>
      </c>
      <c r="C1845" s="8" t="s">
        <v>4848</v>
      </c>
      <c r="D1845" s="8" t="s">
        <v>4849</v>
      </c>
      <c r="E1845" s="9" t="str">
        <f aca="false">HYPERLINK("https://twitter.com/dag_dap/status/922071137051398144","922071137051398144")</f>
        <v>922071137051398144</v>
      </c>
      <c r="F1845" s="10" t="s">
        <v>60</v>
      </c>
      <c r="G1845" s="10" t="n">
        <v>35</v>
      </c>
      <c r="H1845" s="10" t="n">
        <v>72</v>
      </c>
      <c r="I1845" s="10" t="n">
        <v>0</v>
      </c>
      <c r="J1845" s="10" t="n">
        <v>0</v>
      </c>
      <c r="K1845" s="10" t="s">
        <v>20</v>
      </c>
      <c r="L1845" s="11" t="n">
        <v>41443.0700694444</v>
      </c>
      <c r="M1845" s="12"/>
      <c r="N1845" s="12"/>
      <c r="O1845" s="9" t="str">
        <f aca="false">HYPERLINK("https://abs.twimg.com/sticky/default_profile_images/default_profile_normal.png","View")</f>
        <v>View</v>
      </c>
      <c r="P1845" s="10"/>
    </row>
    <row r="1846" customFormat="false" ht="15.75" hidden="false" customHeight="false" outlineLevel="0" collapsed="false">
      <c r="A1846" s="6" t="n">
        <v>43030.211400463</v>
      </c>
      <c r="B1846" s="7" t="str">
        <f aca="false">HYPERLINK("https://twitter.com/UKLuxForYou","@UKLuxForYou")</f>
        <v>@UKLuxForYou</v>
      </c>
      <c r="C1846" s="8" t="s">
        <v>4850</v>
      </c>
      <c r="D1846" s="8" t="s">
        <v>4851</v>
      </c>
      <c r="E1846" s="9" t="str">
        <f aca="false">HYPERLINK("https://twitter.com/UKLuxForYou/status/922071137538007040","922071137538007040")</f>
        <v>922071137538007040</v>
      </c>
      <c r="F1846" s="10" t="s">
        <v>60</v>
      </c>
      <c r="G1846" s="10" t="n">
        <v>1240</v>
      </c>
      <c r="H1846" s="10" t="n">
        <v>1483</v>
      </c>
      <c r="I1846" s="10" t="n">
        <v>0</v>
      </c>
      <c r="J1846" s="10" t="n">
        <v>0</v>
      </c>
      <c r="K1846" s="10" t="s">
        <v>20</v>
      </c>
      <c r="L1846" s="11" t="n">
        <v>41493.6841666667</v>
      </c>
      <c r="M1846" s="12" t="s">
        <v>4852</v>
      </c>
      <c r="N1846" s="12" t="s">
        <v>4853</v>
      </c>
      <c r="O1846" s="9" t="str">
        <f aca="false">HYPERLINK("https://pbs.twimg.com/profile_images/675700421420191744/sCT82QK7_normal.jpg","View")</f>
        <v>View</v>
      </c>
      <c r="P1846" s="10"/>
    </row>
    <row r="1847" customFormat="false" ht="15.75" hidden="false" customHeight="false" outlineLevel="0" collapsed="false">
      <c r="A1847" s="6" t="n">
        <v>43030.211400463</v>
      </c>
      <c r="B1847" s="7" t="str">
        <f aca="false">HYPERLINK("https://twitter.com/Erick_Martie23","@Erick_Martie23")</f>
        <v>@Erick_Martie23</v>
      </c>
      <c r="C1847" s="8" t="s">
        <v>4567</v>
      </c>
      <c r="D1847" s="8" t="s">
        <v>4854</v>
      </c>
      <c r="E1847" s="9" t="str">
        <f aca="false">HYPERLINK("https://twitter.com/Erick_Martie23/status/922071140092252163","922071140092252163")</f>
        <v>922071140092252163</v>
      </c>
      <c r="F1847" s="10" t="s">
        <v>60</v>
      </c>
      <c r="G1847" s="10" t="n">
        <v>1834</v>
      </c>
      <c r="H1847" s="10" t="n">
        <v>2454</v>
      </c>
      <c r="I1847" s="10" t="n">
        <v>0</v>
      </c>
      <c r="J1847" s="10" t="n">
        <v>0</v>
      </c>
      <c r="K1847" s="10" t="s">
        <v>20</v>
      </c>
      <c r="L1847" s="11" t="n">
        <v>40830.3337615741</v>
      </c>
      <c r="M1847" s="12" t="s">
        <v>4569</v>
      </c>
      <c r="N1847" s="12" t="s">
        <v>4570</v>
      </c>
      <c r="O1847" s="9" t="str">
        <f aca="false">HYPERLINK("https://pbs.twimg.com/profile_images/824199741181493248/5HP9q0uv_normal.jpg","View")</f>
        <v>View</v>
      </c>
      <c r="P1847" s="10"/>
    </row>
    <row r="1848" customFormat="false" ht="15.75" hidden="false" customHeight="false" outlineLevel="0" collapsed="false">
      <c r="A1848" s="6" t="n">
        <v>43030.211412037</v>
      </c>
      <c r="B1848" s="7" t="str">
        <f aca="false">HYPERLINK("https://twitter.com/BoscoJl65","@BoscoJl65")</f>
        <v>@BoscoJl65</v>
      </c>
      <c r="C1848" s="8" t="s">
        <v>4855</v>
      </c>
      <c r="D1848" s="8" t="s">
        <v>4856</v>
      </c>
      <c r="E1848" s="9" t="str">
        <f aca="false">HYPERLINK("https://twitter.com/BoscoJl65/status/922071143288369152","922071143288369152")</f>
        <v>922071143288369152</v>
      </c>
      <c r="F1848" s="10" t="s">
        <v>60</v>
      </c>
      <c r="G1848" s="10" t="n">
        <v>2543</v>
      </c>
      <c r="H1848" s="10" t="n">
        <v>4991</v>
      </c>
      <c r="I1848" s="10" t="n">
        <v>0</v>
      </c>
      <c r="J1848" s="10" t="n">
        <v>0</v>
      </c>
      <c r="K1848" s="10" t="s">
        <v>20</v>
      </c>
      <c r="L1848" s="11" t="n">
        <v>41890.4709490741</v>
      </c>
      <c r="M1848" s="12" t="s">
        <v>4857</v>
      </c>
      <c r="N1848" s="12"/>
      <c r="O1848" s="9" t="str">
        <f aca="false">HYPERLINK("https://pbs.twimg.com/profile_images/853342419131260932/UawK819P_normal.jpg","View")</f>
        <v>View</v>
      </c>
      <c r="P1848" s="10"/>
    </row>
    <row r="1849" customFormat="false" ht="15.75" hidden="false" customHeight="false" outlineLevel="0" collapsed="false">
      <c r="A1849" s="6" t="n">
        <v>43030.211412037</v>
      </c>
      <c r="B1849" s="7" t="str">
        <f aca="false">HYPERLINK("https://twitter.com/Master_Logician","@Master_Logician")</f>
        <v>@Master_Logician</v>
      </c>
      <c r="C1849" s="8" t="s">
        <v>4858</v>
      </c>
      <c r="D1849" s="8" t="s">
        <v>4859</v>
      </c>
      <c r="E1849" s="9" t="str">
        <f aca="false">HYPERLINK("https://twitter.com/Master_Logician/status/922071143590322176","922071143590322176")</f>
        <v>922071143590322176</v>
      </c>
      <c r="F1849" s="10" t="s">
        <v>60</v>
      </c>
      <c r="G1849" s="10" t="n">
        <v>52</v>
      </c>
      <c r="H1849" s="10" t="n">
        <v>657</v>
      </c>
      <c r="I1849" s="10" t="n">
        <v>0</v>
      </c>
      <c r="J1849" s="10" t="n">
        <v>0</v>
      </c>
      <c r="K1849" s="10" t="s">
        <v>20</v>
      </c>
      <c r="L1849" s="11" t="n">
        <v>42583.7759953704</v>
      </c>
      <c r="M1849" s="12"/>
      <c r="N1849" s="12" t="s">
        <v>4860</v>
      </c>
      <c r="O1849" s="9" t="str">
        <f aca="false">HYPERLINK("https://pbs.twimg.com/profile_images/843616705406492672/xZ1C1SeF_normal.jpg","View")</f>
        <v>View</v>
      </c>
      <c r="P1849" s="10"/>
    </row>
    <row r="1850" customFormat="false" ht="15.75" hidden="false" customHeight="false" outlineLevel="0" collapsed="false">
      <c r="A1850" s="6" t="n">
        <v>43030.2114236111</v>
      </c>
      <c r="B1850" s="7" t="str">
        <f aca="false">HYPERLINK("https://twitter.com/WeJustSayIt","@WeJustSayIt")</f>
        <v>@WeJustSayIt</v>
      </c>
      <c r="C1850" s="8" t="s">
        <v>4861</v>
      </c>
      <c r="D1850" s="8" t="s">
        <v>4862</v>
      </c>
      <c r="E1850" s="9" t="str">
        <f aca="false">HYPERLINK("https://twitter.com/WeJustSayIt/status/922071149290377218","922071149290377218")</f>
        <v>922071149290377218</v>
      </c>
      <c r="F1850" s="10" t="s">
        <v>60</v>
      </c>
      <c r="G1850" s="10" t="n">
        <v>242</v>
      </c>
      <c r="H1850" s="10" t="n">
        <v>928</v>
      </c>
      <c r="I1850" s="10" t="n">
        <v>0</v>
      </c>
      <c r="J1850" s="10" t="n">
        <v>0</v>
      </c>
      <c r="K1850" s="10" t="s">
        <v>20</v>
      </c>
      <c r="L1850" s="11" t="n">
        <v>41946.5239236111</v>
      </c>
      <c r="M1850" s="12" t="s">
        <v>502</v>
      </c>
      <c r="N1850" s="12" t="s">
        <v>4863</v>
      </c>
      <c r="O1850" s="9" t="str">
        <f aca="false">HYPERLINK("https://pbs.twimg.com/profile_images/920906302242545664/WYP2PJp7_normal.jpg","View")</f>
        <v>View</v>
      </c>
      <c r="P1850" s="10"/>
    </row>
    <row r="1851" customFormat="false" ht="15.75" hidden="false" customHeight="false" outlineLevel="0" collapsed="false">
      <c r="A1851" s="6" t="n">
        <v>43030.2114467593</v>
      </c>
      <c r="B1851" s="7" t="str">
        <f aca="false">HYPERLINK("https://twitter.com/NordicDiplo","@NordicDiplo")</f>
        <v>@NordicDiplo</v>
      </c>
      <c r="C1851" s="8" t="s">
        <v>4864</v>
      </c>
      <c r="D1851" s="8" t="s">
        <v>4865</v>
      </c>
      <c r="E1851" s="9" t="str">
        <f aca="false">HYPERLINK("https://twitter.com/NordicDiplo/status/922071156873682944","922071156873682944")</f>
        <v>922071156873682944</v>
      </c>
      <c r="F1851" s="10" t="s">
        <v>60</v>
      </c>
      <c r="G1851" s="10" t="n">
        <v>7</v>
      </c>
      <c r="H1851" s="10" t="n">
        <v>10</v>
      </c>
      <c r="I1851" s="10" t="n">
        <v>0</v>
      </c>
      <c r="J1851" s="10" t="n">
        <v>0</v>
      </c>
      <c r="K1851" s="10" t="s">
        <v>20</v>
      </c>
      <c r="L1851" s="11" t="n">
        <v>42884.4346296296</v>
      </c>
      <c r="M1851" s="12" t="s">
        <v>4866</v>
      </c>
      <c r="N1851" s="12"/>
      <c r="O1851" s="9" t="str">
        <f aca="false">HYPERLINK("https://pbs.twimg.com/profile_images/902593037515210752/ObTJ1PVx_normal.jpg","View")</f>
        <v>View</v>
      </c>
      <c r="P1851" s="10"/>
    </row>
    <row r="1852" customFormat="false" ht="15.75" hidden="false" customHeight="false" outlineLevel="0" collapsed="false">
      <c r="A1852" s="6" t="n">
        <v>43030.2114583333</v>
      </c>
      <c r="B1852" s="7" t="str">
        <f aca="false">HYPERLINK("https://twitter.com/withdavidavritt","@withdavidavritt")</f>
        <v>@withdavidavritt</v>
      </c>
      <c r="C1852" s="8" t="s">
        <v>4867</v>
      </c>
      <c r="D1852" s="8" t="s">
        <v>4868</v>
      </c>
      <c r="E1852" s="9" t="str">
        <f aca="false">HYPERLINK("https://twitter.com/withdavidavritt/status/922071159172222977","922071159172222977")</f>
        <v>922071159172222977</v>
      </c>
      <c r="F1852" s="10" t="s">
        <v>60</v>
      </c>
      <c r="G1852" s="10" t="n">
        <v>8090</v>
      </c>
      <c r="H1852" s="10" t="n">
        <v>6844</v>
      </c>
      <c r="I1852" s="10" t="n">
        <v>0</v>
      </c>
      <c r="J1852" s="10" t="n">
        <v>0</v>
      </c>
      <c r="K1852" s="10" t="s">
        <v>20</v>
      </c>
      <c r="L1852" s="11" t="n">
        <v>39620.8993171296</v>
      </c>
      <c r="M1852" s="12" t="s">
        <v>4869</v>
      </c>
      <c r="N1852" s="12" t="s">
        <v>4870</v>
      </c>
      <c r="O1852" s="9" t="str">
        <f aca="false">HYPERLINK("https://pbs.twimg.com/profile_images/869751038584119296/QOpBU3sa_normal.jpg","View")</f>
        <v>View</v>
      </c>
      <c r="P1852" s="10"/>
    </row>
    <row r="1853" customFormat="false" ht="15.75" hidden="false" customHeight="false" outlineLevel="0" collapsed="false">
      <c r="A1853" s="6" t="n">
        <v>43030.2114699074</v>
      </c>
      <c r="B1853" s="7" t="str">
        <f aca="false">HYPERLINK("https://twitter.com/yuria2122","@yuria2122")</f>
        <v>@yuria2122</v>
      </c>
      <c r="C1853" s="14" t="s">
        <v>4871</v>
      </c>
      <c r="D1853" s="8" t="s">
        <v>4872</v>
      </c>
      <c r="E1853" s="9" t="str">
        <f aca="false">HYPERLINK("https://twitter.com/yuria2122/status/922071164339486721","922071164339486721")</f>
        <v>922071164339486721</v>
      </c>
      <c r="F1853" s="10" t="s">
        <v>60</v>
      </c>
      <c r="G1853" s="10" t="n">
        <v>10422</v>
      </c>
      <c r="H1853" s="10" t="n">
        <v>2165</v>
      </c>
      <c r="I1853" s="10" t="n">
        <v>0</v>
      </c>
      <c r="J1853" s="10" t="n">
        <v>0</v>
      </c>
      <c r="K1853" s="10" t="s">
        <v>20</v>
      </c>
      <c r="L1853" s="11" t="n">
        <v>40204.3341203704</v>
      </c>
      <c r="M1853" s="12"/>
      <c r="N1853" s="13" t="s">
        <v>4873</v>
      </c>
      <c r="O1853" s="9" t="str">
        <f aca="false">HYPERLINK("https://pbs.twimg.com/profile_images/643657244857372672/yMfvs2gC_normal.jpg","View")</f>
        <v>View</v>
      </c>
      <c r="P1853" s="10"/>
    </row>
    <row r="1854" customFormat="false" ht="15.75" hidden="false" customHeight="false" outlineLevel="0" collapsed="false">
      <c r="A1854" s="6" t="n">
        <v>43030.2114814815</v>
      </c>
      <c r="B1854" s="7" t="str">
        <f aca="false">HYPERLINK("https://twitter.com/meetsand","@meetsand")</f>
        <v>@meetsand</v>
      </c>
      <c r="C1854" s="8" t="s">
        <v>4874</v>
      </c>
      <c r="D1854" s="8" t="s">
        <v>4875</v>
      </c>
      <c r="E1854" s="9" t="str">
        <f aca="false">HYPERLINK("https://twitter.com/meetsand/status/922071168395415552","922071168395415552")</f>
        <v>922071168395415552</v>
      </c>
      <c r="F1854" s="10" t="s">
        <v>60</v>
      </c>
      <c r="G1854" s="10" t="n">
        <v>1791</v>
      </c>
      <c r="H1854" s="10" t="n">
        <v>467</v>
      </c>
      <c r="I1854" s="10" t="n">
        <v>0</v>
      </c>
      <c r="J1854" s="10" t="n">
        <v>0</v>
      </c>
      <c r="K1854" s="10" t="s">
        <v>20</v>
      </c>
      <c r="L1854" s="11" t="n">
        <v>39952.4598726852</v>
      </c>
      <c r="M1854" s="12" t="s">
        <v>4876</v>
      </c>
      <c r="N1854" s="12" t="s">
        <v>4877</v>
      </c>
      <c r="O1854" s="9" t="str">
        <f aca="false">HYPERLINK("https://pbs.twimg.com/profile_images/824968668693946368/vaBjKmtP_normal.jpg","View")</f>
        <v>View</v>
      </c>
      <c r="P1854" s="10"/>
    </row>
    <row r="1855" customFormat="false" ht="15.75" hidden="false" customHeight="false" outlineLevel="0" collapsed="false">
      <c r="A1855" s="6" t="n">
        <v>43030.2114814815</v>
      </c>
      <c r="B1855" s="7" t="str">
        <f aca="false">HYPERLINK("https://twitter.com/KingJerry146","@KingJerry146")</f>
        <v>@KingJerry146</v>
      </c>
      <c r="C1855" s="8" t="s">
        <v>4878</v>
      </c>
      <c r="D1855" s="8" t="s">
        <v>4879</v>
      </c>
      <c r="E1855" s="9" t="str">
        <f aca="false">HYPERLINK("https://twitter.com/KingJerry146/status/922071169611845632","922071169611845632")</f>
        <v>922071169611845632</v>
      </c>
      <c r="F1855" s="10" t="s">
        <v>60</v>
      </c>
      <c r="G1855" s="10" t="n">
        <v>146</v>
      </c>
      <c r="H1855" s="10" t="n">
        <v>687</v>
      </c>
      <c r="I1855" s="10" t="n">
        <v>0</v>
      </c>
      <c r="J1855" s="10" t="n">
        <v>0</v>
      </c>
      <c r="K1855" s="10" t="s">
        <v>20</v>
      </c>
      <c r="L1855" s="11" t="n">
        <v>41404.4559259259</v>
      </c>
      <c r="M1855" s="12"/>
      <c r="N1855" s="12"/>
      <c r="O1855" s="9" t="str">
        <f aca="false">HYPERLINK("https://pbs.twimg.com/profile_images/3734060340/52f524017e42e0b2707860ac35002304_normal.png","View")</f>
        <v>View</v>
      </c>
      <c r="P1855" s="10"/>
    </row>
    <row r="1856" customFormat="false" ht="15.75" hidden="false" customHeight="false" outlineLevel="0" collapsed="false">
      <c r="A1856" s="6" t="n">
        <v>43030.2115046296</v>
      </c>
      <c r="B1856" s="7" t="str">
        <f aca="false">HYPERLINK("https://twitter.com/farhaadaarif","@farhaadaarif")</f>
        <v>@farhaadaarif</v>
      </c>
      <c r="C1856" s="8" t="s">
        <v>1031</v>
      </c>
      <c r="D1856" s="8" t="s">
        <v>4880</v>
      </c>
      <c r="E1856" s="9" t="str">
        <f aca="false">HYPERLINK("https://twitter.com/farhaadaarif/status/922071175949303810","922071175949303810")</f>
        <v>922071175949303810</v>
      </c>
      <c r="F1856" s="10" t="s">
        <v>60</v>
      </c>
      <c r="G1856" s="10" t="n">
        <v>704</v>
      </c>
      <c r="H1856" s="10" t="n">
        <v>512</v>
      </c>
      <c r="I1856" s="10" t="n">
        <v>0</v>
      </c>
      <c r="J1856" s="10" t="n">
        <v>0</v>
      </c>
      <c r="K1856" s="10" t="s">
        <v>20</v>
      </c>
      <c r="L1856" s="11" t="n">
        <v>41804.3271643519</v>
      </c>
      <c r="M1856" s="12"/>
      <c r="N1856" s="12" t="s">
        <v>1033</v>
      </c>
      <c r="O1856" s="9" t="str">
        <f aca="false">HYPERLINK("https://pbs.twimg.com/profile_images/923956796984823809/05olD5HV_normal.jpg","View")</f>
        <v>View</v>
      </c>
      <c r="P1856" s="10"/>
    </row>
    <row r="1857" customFormat="false" ht="15.75" hidden="false" customHeight="false" outlineLevel="0" collapsed="false">
      <c r="A1857" s="6" t="n">
        <v>43030.2115509259</v>
      </c>
      <c r="B1857" s="7" t="str">
        <f aca="false">HYPERLINK("https://twitter.com/iuripohl","@iuripohl")</f>
        <v>@iuripohl</v>
      </c>
      <c r="C1857" s="8" t="s">
        <v>4881</v>
      </c>
      <c r="D1857" s="8" t="s">
        <v>4628</v>
      </c>
      <c r="E1857" s="9" t="str">
        <f aca="false">HYPERLINK("https://twitter.com/iuripohl/status/922071192395309056","922071192395309056")</f>
        <v>922071192395309056</v>
      </c>
      <c r="F1857" s="10" t="s">
        <v>60</v>
      </c>
      <c r="G1857" s="10" t="n">
        <v>1276</v>
      </c>
      <c r="H1857" s="10" t="n">
        <v>1596</v>
      </c>
      <c r="I1857" s="10" t="n">
        <v>0</v>
      </c>
      <c r="J1857" s="10" t="n">
        <v>0</v>
      </c>
      <c r="K1857" s="10" t="s">
        <v>20</v>
      </c>
      <c r="L1857" s="11" t="n">
        <v>41790.5376157407</v>
      </c>
      <c r="M1857" s="12"/>
      <c r="N1857" s="12"/>
      <c r="O1857" s="9" t="str">
        <f aca="false">HYPERLINK("https://pbs.twimg.com/profile_images/473212470979723264/u0AfMcg2_normal.jpeg","View")</f>
        <v>View</v>
      </c>
      <c r="P1857" s="10"/>
    </row>
    <row r="1858" customFormat="false" ht="15.75" hidden="false" customHeight="false" outlineLevel="0" collapsed="false">
      <c r="A1858" s="6" t="n">
        <v>43030.2115856482</v>
      </c>
      <c r="B1858" s="7" t="str">
        <f aca="false">HYPERLINK("https://twitter.com/SuperFlyMK","@SuperFlyMK")</f>
        <v>@SuperFlyMK</v>
      </c>
      <c r="C1858" s="8" t="s">
        <v>4882</v>
      </c>
      <c r="D1858" s="8" t="s">
        <v>3295</v>
      </c>
      <c r="E1858" s="9" t="str">
        <f aca="false">HYPERLINK("https://twitter.com/SuperFlyMK/status/922071204906795009","922071204906795009")</f>
        <v>922071204906795009</v>
      </c>
      <c r="F1858" s="10" t="s">
        <v>51</v>
      </c>
      <c r="G1858" s="10" t="n">
        <v>725</v>
      </c>
      <c r="H1858" s="10" t="n">
        <v>551</v>
      </c>
      <c r="I1858" s="10" t="n">
        <v>71</v>
      </c>
      <c r="J1858" s="10" t="n">
        <v>0</v>
      </c>
      <c r="K1858" s="10" t="s">
        <v>20</v>
      </c>
      <c r="L1858" s="11" t="n">
        <v>40112.7245833333</v>
      </c>
      <c r="M1858" s="12" t="s">
        <v>182</v>
      </c>
      <c r="N1858" s="12" t="s">
        <v>4883</v>
      </c>
      <c r="O1858" s="9" t="str">
        <f aca="false">HYPERLINK("https://pbs.twimg.com/profile_images/921318476752572416/QHL6cpPT_normal.jpg","View")</f>
        <v>View</v>
      </c>
      <c r="P1858" s="10"/>
    </row>
    <row r="1859" customFormat="false" ht="15.75" hidden="false" customHeight="false" outlineLevel="0" collapsed="false">
      <c r="A1859" s="6" t="n">
        <v>43030.2116435185</v>
      </c>
      <c r="B1859" s="7" t="str">
        <f aca="false">HYPERLINK("https://twitter.com/NewsTweetsWorld","@NewsTweetsWorld")</f>
        <v>@NewsTweetsWorld</v>
      </c>
      <c r="C1859" s="8" t="s">
        <v>4884</v>
      </c>
      <c r="D1859" s="8" t="s">
        <v>4885</v>
      </c>
      <c r="E1859" s="9" t="str">
        <f aca="false">HYPERLINK("https://twitter.com/NewsTweetsWorld/status/922071228625686528","922071228625686528")</f>
        <v>922071228625686528</v>
      </c>
      <c r="F1859" s="10" t="s">
        <v>60</v>
      </c>
      <c r="G1859" s="10" t="n">
        <v>104</v>
      </c>
      <c r="H1859" s="10" t="n">
        <v>1</v>
      </c>
      <c r="I1859" s="10" t="n">
        <v>0</v>
      </c>
      <c r="J1859" s="10" t="n">
        <v>0</v>
      </c>
      <c r="K1859" s="10" t="s">
        <v>20</v>
      </c>
      <c r="L1859" s="11" t="n">
        <v>41532.0089351852</v>
      </c>
      <c r="M1859" s="12" t="s">
        <v>72</v>
      </c>
      <c r="N1859" s="12" t="s">
        <v>4886</v>
      </c>
      <c r="O1859" s="9" t="str">
        <f aca="false">HYPERLINK("https://pbs.twimg.com/profile_images/843820599508066304/J82aiBad_normal.jpg","View")</f>
        <v>View</v>
      </c>
      <c r="P1859" s="10"/>
    </row>
    <row r="1860" customFormat="false" ht="15.75" hidden="false" customHeight="false" outlineLevel="0" collapsed="false">
      <c r="A1860" s="6" t="n">
        <v>43030.2116550926</v>
      </c>
      <c r="B1860" s="7" t="str">
        <f aca="false">HYPERLINK("https://twitter.com/luvthemstillers","@luvthemstillers")</f>
        <v>@luvthemstillers</v>
      </c>
      <c r="C1860" s="8" t="s">
        <v>4887</v>
      </c>
      <c r="D1860" s="8" t="s">
        <v>4888</v>
      </c>
      <c r="E1860" s="9" t="str">
        <f aca="false">HYPERLINK("https://twitter.com/luvthemstillers/status/922071230546632704","922071230546632704")</f>
        <v>922071230546632704</v>
      </c>
      <c r="F1860" s="10" t="s">
        <v>60</v>
      </c>
      <c r="G1860" s="10" t="n">
        <v>48</v>
      </c>
      <c r="H1860" s="10" t="n">
        <v>183</v>
      </c>
      <c r="I1860" s="10" t="n">
        <v>0</v>
      </c>
      <c r="J1860" s="10" t="n">
        <v>0</v>
      </c>
      <c r="K1860" s="10" t="s">
        <v>20</v>
      </c>
      <c r="L1860" s="11" t="n">
        <v>40035.7255092593</v>
      </c>
      <c r="M1860" s="12" t="s">
        <v>2920</v>
      </c>
      <c r="N1860" s="12" t="s">
        <v>4889</v>
      </c>
      <c r="O1860" s="9" t="str">
        <f aca="false">HYPERLINK("https://pbs.twimg.com/profile_images/849324010538242051/anl2XYF6_normal.jpg","View")</f>
        <v>View</v>
      </c>
      <c r="P1860" s="10"/>
    </row>
    <row r="1861" customFormat="false" ht="15.75" hidden="false" customHeight="false" outlineLevel="0" collapsed="false">
      <c r="A1861" s="6" t="n">
        <v>43030.2117824074</v>
      </c>
      <c r="B1861" s="7" t="str">
        <f aca="false">HYPERLINK("https://twitter.com/parodynews","@parodynews")</f>
        <v>@parodynews</v>
      </c>
      <c r="C1861" s="8" t="s">
        <v>4890</v>
      </c>
      <c r="D1861" s="8" t="s">
        <v>4891</v>
      </c>
      <c r="E1861" s="9" t="str">
        <f aca="false">HYPERLINK("https://twitter.com/parodynews/status/922071275723460608","922071275723460608")</f>
        <v>922071275723460608</v>
      </c>
      <c r="F1861" s="10" t="s">
        <v>39</v>
      </c>
      <c r="G1861" s="10" t="n">
        <v>3056</v>
      </c>
      <c r="H1861" s="10" t="n">
        <v>2901</v>
      </c>
      <c r="I1861" s="10" t="n">
        <v>0</v>
      </c>
      <c r="J1861" s="10" t="n">
        <v>0</v>
      </c>
      <c r="K1861" s="10" t="s">
        <v>20</v>
      </c>
      <c r="L1861" s="11" t="n">
        <v>40128.5213657407</v>
      </c>
      <c r="M1861" s="12" t="s">
        <v>4892</v>
      </c>
      <c r="N1861" s="12" t="s">
        <v>4893</v>
      </c>
      <c r="O1861" s="9" t="str">
        <f aca="false">HYPERLINK("https://pbs.twimg.com/profile_images/802914935311310849/3sH1NpEV_normal.jpg","View")</f>
        <v>View</v>
      </c>
      <c r="P1861" s="10"/>
    </row>
    <row r="1862" customFormat="false" ht="15.75" hidden="false" customHeight="false" outlineLevel="0" collapsed="false">
      <c r="A1862" s="6" t="n">
        <v>43030.2118402778</v>
      </c>
      <c r="B1862" s="7" t="str">
        <f aca="false">HYPERLINK("https://twitter.com/Fractaurean","@Fractaurean")</f>
        <v>@Fractaurean</v>
      </c>
      <c r="C1862" s="8" t="s">
        <v>4894</v>
      </c>
      <c r="D1862" s="8" t="s">
        <v>4068</v>
      </c>
      <c r="E1862" s="9" t="str">
        <f aca="false">HYPERLINK("https://twitter.com/Fractaurean/status/922071297798045703","922071297798045703")</f>
        <v>922071297798045703</v>
      </c>
      <c r="F1862" s="10" t="s">
        <v>177</v>
      </c>
      <c r="G1862" s="10" t="n">
        <v>601</v>
      </c>
      <c r="H1862" s="10" t="n">
        <v>1629</v>
      </c>
      <c r="I1862" s="10" t="n">
        <v>50</v>
      </c>
      <c r="J1862" s="10" t="n">
        <v>0</v>
      </c>
      <c r="K1862" s="10" t="s">
        <v>20</v>
      </c>
      <c r="L1862" s="11" t="n">
        <v>39870.8063657407</v>
      </c>
      <c r="M1862" s="12" t="s">
        <v>4895</v>
      </c>
      <c r="N1862" s="12" t="s">
        <v>4896</v>
      </c>
      <c r="O1862" s="9" t="str">
        <f aca="false">HYPERLINK("https://pbs.twimg.com/profile_images/847490373081473024/xvARKyo2_normal.jpg","View")</f>
        <v>View</v>
      </c>
      <c r="P1862" s="10"/>
    </row>
    <row r="1863" customFormat="false" ht="15.75" hidden="false" customHeight="false" outlineLevel="0" collapsed="false">
      <c r="A1863" s="6" t="n">
        <v>43030.2120486111</v>
      </c>
      <c r="B1863" s="7" t="str">
        <f aca="false">HYPERLINK("https://twitter.com/Merentia","@Merentia")</f>
        <v>@Merentia</v>
      </c>
      <c r="C1863" s="8" t="s">
        <v>4897</v>
      </c>
      <c r="D1863" s="8" t="s">
        <v>4898</v>
      </c>
      <c r="E1863" s="9" t="str">
        <f aca="false">HYPERLINK("https://twitter.com/Merentia/status/922071373534695424","922071373534695424")</f>
        <v>922071373534695424</v>
      </c>
      <c r="F1863" s="10" t="s">
        <v>60</v>
      </c>
      <c r="G1863" s="10" t="n">
        <v>33455</v>
      </c>
      <c r="H1863" s="10" t="n">
        <v>33370</v>
      </c>
      <c r="I1863" s="10" t="n">
        <v>0</v>
      </c>
      <c r="J1863" s="10" t="n">
        <v>0</v>
      </c>
      <c r="K1863" s="10" t="s">
        <v>20</v>
      </c>
      <c r="L1863" s="11" t="n">
        <v>39875.9820138889</v>
      </c>
      <c r="M1863" s="12" t="s">
        <v>4899</v>
      </c>
      <c r="N1863" s="12" t="s">
        <v>4900</v>
      </c>
      <c r="O1863" s="9" t="str">
        <f aca="false">HYPERLINK("https://pbs.twimg.com/profile_images/605274383469428737/c6imL6vt_normal.jpg","View")</f>
        <v>View</v>
      </c>
      <c r="P1863" s="10"/>
    </row>
    <row r="1864" customFormat="false" ht="15.75" hidden="false" customHeight="false" outlineLevel="0" collapsed="false">
      <c r="A1864" s="6" t="n">
        <v>43030.2122106481</v>
      </c>
      <c r="B1864" s="7" t="str">
        <f aca="false">HYPERLINK("https://twitter.com/dsandidge99","@dsandidge99")</f>
        <v>@dsandidge99</v>
      </c>
      <c r="C1864" s="8" t="s">
        <v>4901</v>
      </c>
      <c r="D1864" s="8" t="s">
        <v>4902</v>
      </c>
      <c r="E1864" s="9" t="str">
        <f aca="false">HYPERLINK("https://twitter.com/dsandidge99/status/922071432502349824","922071432502349824")</f>
        <v>922071432502349824</v>
      </c>
      <c r="F1864" s="10" t="s">
        <v>60</v>
      </c>
      <c r="G1864" s="10" t="n">
        <v>468</v>
      </c>
      <c r="H1864" s="10" t="n">
        <v>3670</v>
      </c>
      <c r="I1864" s="10" t="n">
        <v>0</v>
      </c>
      <c r="J1864" s="10" t="n">
        <v>0</v>
      </c>
      <c r="K1864" s="10" t="s">
        <v>20</v>
      </c>
      <c r="L1864" s="11" t="n">
        <v>41893.7202893519</v>
      </c>
      <c r="M1864" s="12"/>
      <c r="N1864" s="12"/>
      <c r="O1864" s="9" t="str">
        <f aca="false">HYPERLINK("https://pbs.twimg.com/profile_images/510227015769677824/M-9RArXt_normal.jpeg","View")</f>
        <v>View</v>
      </c>
      <c r="P1864" s="10"/>
    </row>
    <row r="1865" customFormat="false" ht="15.75" hidden="false" customHeight="false" outlineLevel="0" collapsed="false">
      <c r="A1865" s="6" t="n">
        <v>43030.2122453704</v>
      </c>
      <c r="B1865" s="7" t="str">
        <f aca="false">HYPERLINK("https://twitter.com/Palestine_Zone","@Palestine_Zone")</f>
        <v>@Palestine_Zone</v>
      </c>
      <c r="C1865" s="8" t="s">
        <v>4903</v>
      </c>
      <c r="D1865" s="8" t="s">
        <v>4904</v>
      </c>
      <c r="E1865" s="9" t="str">
        <f aca="false">HYPERLINK("https://twitter.com/Palestine_Zone/status/922071447136296961","922071447136296961")</f>
        <v>922071447136296961</v>
      </c>
      <c r="F1865" s="10" t="s">
        <v>60</v>
      </c>
      <c r="G1865" s="10" t="n">
        <v>100</v>
      </c>
      <c r="H1865" s="10" t="n">
        <v>4</v>
      </c>
      <c r="I1865" s="10" t="n">
        <v>0</v>
      </c>
      <c r="J1865" s="10" t="n">
        <v>0</v>
      </c>
      <c r="K1865" s="10" t="s">
        <v>20</v>
      </c>
      <c r="L1865" s="11" t="n">
        <v>42703.9737962963</v>
      </c>
      <c r="M1865" s="12"/>
      <c r="N1865" s="12" t="s">
        <v>4905</v>
      </c>
      <c r="O1865" s="9" t="str">
        <f aca="false">HYPERLINK("https://pbs.twimg.com/profile_images/803870902026846208/xbSzyuCX_normal.jpg","View")</f>
        <v>View</v>
      </c>
      <c r="P1865" s="10"/>
    </row>
    <row r="1866" customFormat="false" ht="15.75" hidden="false" customHeight="false" outlineLevel="0" collapsed="false">
      <c r="A1866" s="6" t="n">
        <v>43030.2122685185</v>
      </c>
      <c r="B1866" s="7" t="str">
        <f aca="false">HYPERLINK("https://twitter.com/Marilyn80s","@Marilyn80s")</f>
        <v>@Marilyn80s</v>
      </c>
      <c r="C1866" s="8" t="s">
        <v>4906</v>
      </c>
      <c r="D1866" s="8" t="s">
        <v>4907</v>
      </c>
      <c r="E1866" s="9" t="str">
        <f aca="false">HYPERLINK("https://twitter.com/Marilyn80s/status/922071452047872001","922071452047872001")</f>
        <v>922071452047872001</v>
      </c>
      <c r="F1866" s="10" t="s">
        <v>60</v>
      </c>
      <c r="G1866" s="10" t="n">
        <v>242</v>
      </c>
      <c r="H1866" s="10" t="n">
        <v>598</v>
      </c>
      <c r="I1866" s="10" t="n">
        <v>0</v>
      </c>
      <c r="J1866" s="10" t="n">
        <v>0</v>
      </c>
      <c r="K1866" s="10" t="s">
        <v>20</v>
      </c>
      <c r="L1866" s="11" t="n">
        <v>39921.096087963</v>
      </c>
      <c r="M1866" s="12" t="s">
        <v>4908</v>
      </c>
      <c r="N1866" s="12" t="s">
        <v>4909</v>
      </c>
      <c r="O1866" s="9" t="str">
        <f aca="false">HYPERLINK("https://pbs.twimg.com/profile_images/889126897921253379/tmhGocCy_normal.jpg","View")</f>
        <v>View</v>
      </c>
      <c r="P1866" s="10"/>
    </row>
    <row r="1867" customFormat="false" ht="15.75" hidden="false" customHeight="false" outlineLevel="0" collapsed="false">
      <c r="A1867" s="6" t="n">
        <v>43030.2122685185</v>
      </c>
      <c r="B1867" s="7" t="str">
        <f aca="false">HYPERLINK("https://twitter.com/brunbesigye","@brunbesigye")</f>
        <v>@brunbesigye</v>
      </c>
      <c r="C1867" s="8" t="s">
        <v>4910</v>
      </c>
      <c r="D1867" s="8" t="s">
        <v>4911</v>
      </c>
      <c r="E1867" s="9" t="str">
        <f aca="false">HYPERLINK("https://twitter.com/brunbesigye/status/922071454153367552","922071454153367552")</f>
        <v>922071454153367552</v>
      </c>
      <c r="F1867" s="10" t="s">
        <v>60</v>
      </c>
      <c r="G1867" s="10" t="n">
        <v>85</v>
      </c>
      <c r="H1867" s="10" t="n">
        <v>518</v>
      </c>
      <c r="I1867" s="10" t="n">
        <v>0</v>
      </c>
      <c r="J1867" s="10" t="n">
        <v>0</v>
      </c>
      <c r="K1867" s="10" t="s">
        <v>20</v>
      </c>
      <c r="L1867" s="11" t="n">
        <v>41867.2940393519</v>
      </c>
      <c r="M1867" s="12" t="s">
        <v>4912</v>
      </c>
      <c r="N1867" s="12"/>
      <c r="O1867" s="9" t="str">
        <f aca="false">HYPERLINK("https://pbs.twimg.com/profile_images/725404536467251200/Xs8BSVri_normal.jpg","View")</f>
        <v>View</v>
      </c>
      <c r="P1867" s="10"/>
    </row>
    <row r="1868" customFormat="false" ht="15.75" hidden="false" customHeight="false" outlineLevel="0" collapsed="false">
      <c r="A1868" s="6" t="n">
        <v>43030.212337963</v>
      </c>
      <c r="B1868" s="7" t="str">
        <f aca="false">HYPERLINK("https://twitter.com/nakhon224","@nakhon224")</f>
        <v>@nakhon224</v>
      </c>
      <c r="C1868" s="8" t="s">
        <v>1087</v>
      </c>
      <c r="D1868" s="8" t="s">
        <v>4913</v>
      </c>
      <c r="E1868" s="9" t="str">
        <f aca="false">HYPERLINK("https://twitter.com/nakhon224/status/922071477398142976","922071477398142976")</f>
        <v>922071477398142976</v>
      </c>
      <c r="F1868" s="10" t="s">
        <v>60</v>
      </c>
      <c r="G1868" s="10" t="n">
        <v>16976</v>
      </c>
      <c r="H1868" s="10" t="n">
        <v>5082</v>
      </c>
      <c r="I1868" s="10" t="n">
        <v>0</v>
      </c>
      <c r="J1868" s="10" t="n">
        <v>0</v>
      </c>
      <c r="K1868" s="10" t="s">
        <v>20</v>
      </c>
      <c r="L1868" s="11" t="n">
        <v>40115.9020949074</v>
      </c>
      <c r="M1868" s="12" t="s">
        <v>1089</v>
      </c>
      <c r="N1868" s="12" t="s">
        <v>1090</v>
      </c>
      <c r="O1868" s="9" t="str">
        <f aca="false">HYPERLINK("https://pbs.twimg.com/profile_images/2399245020/niwo2t05j664oldr5izd_normal.gif","View")</f>
        <v>View</v>
      </c>
      <c r="P1868" s="10"/>
    </row>
    <row r="1869" customFormat="false" ht="15.75" hidden="false" customHeight="false" outlineLevel="0" collapsed="false">
      <c r="A1869" s="6" t="n">
        <v>43030.2123958333</v>
      </c>
      <c r="B1869" s="7" t="str">
        <f aca="false">HYPERLINK("https://twitter.com/GlobalNewsBKK","@GlobalNewsBKK")</f>
        <v>@GlobalNewsBKK</v>
      </c>
      <c r="C1869" s="8" t="s">
        <v>4914</v>
      </c>
      <c r="D1869" s="8" t="s">
        <v>4915</v>
      </c>
      <c r="E1869" s="9" t="str">
        <f aca="false">HYPERLINK("https://twitter.com/GlobalNewsBKK/status/922071499342798848","922071499342798848")</f>
        <v>922071499342798848</v>
      </c>
      <c r="F1869" s="10" t="s">
        <v>1024</v>
      </c>
      <c r="G1869" s="10" t="n">
        <v>74</v>
      </c>
      <c r="H1869" s="10" t="n">
        <v>462</v>
      </c>
      <c r="I1869" s="10" t="n">
        <v>1</v>
      </c>
      <c r="J1869" s="10" t="n">
        <v>1</v>
      </c>
      <c r="K1869" s="10" t="s">
        <v>20</v>
      </c>
      <c r="L1869" s="11" t="n">
        <v>43018.1893634259</v>
      </c>
      <c r="M1869" s="12" t="s">
        <v>4557</v>
      </c>
      <c r="N1869" s="12" t="s">
        <v>4916</v>
      </c>
      <c r="O1869" s="9" t="str">
        <f aca="false">HYPERLINK("https://pbs.twimg.com/profile_images/917719520411652099/SecU2HC0_normal.jpg","View")</f>
        <v>View</v>
      </c>
      <c r="P1869" s="10"/>
    </row>
    <row r="1870" customFormat="false" ht="15.75" hidden="false" customHeight="false" outlineLevel="0" collapsed="false">
      <c r="A1870" s="6" t="n">
        <v>43030.2124074074</v>
      </c>
      <c r="B1870" s="7" t="str">
        <f aca="false">HYPERLINK("https://twitter.com/AndrewRalphPC","@AndrewRalphPC")</f>
        <v>@AndrewRalphPC</v>
      </c>
      <c r="C1870" s="8" t="s">
        <v>4917</v>
      </c>
      <c r="D1870" s="8" t="s">
        <v>3295</v>
      </c>
      <c r="E1870" s="9" t="str">
        <f aca="false">HYPERLINK("https://twitter.com/AndrewRalphPC/status/922071504136949761","922071504136949761")</f>
        <v>922071504136949761</v>
      </c>
      <c r="F1870" s="10" t="s">
        <v>177</v>
      </c>
      <c r="G1870" s="10" t="n">
        <v>1669</v>
      </c>
      <c r="H1870" s="10" t="n">
        <v>2943</v>
      </c>
      <c r="I1870" s="10" t="n">
        <v>71</v>
      </c>
      <c r="J1870" s="10" t="n">
        <v>0</v>
      </c>
      <c r="K1870" s="10" t="s">
        <v>20</v>
      </c>
      <c r="L1870" s="11" t="n">
        <v>41900.5021296296</v>
      </c>
      <c r="M1870" s="12" t="s">
        <v>4918</v>
      </c>
      <c r="N1870" s="12" t="s">
        <v>4919</v>
      </c>
      <c r="O1870" s="9" t="str">
        <f aca="false">HYPERLINK("https://pbs.twimg.com/profile_images/920241607613566977/B5tVOAcl_normal.jpg","View")</f>
        <v>View</v>
      </c>
      <c r="P1870" s="10"/>
    </row>
    <row r="1871" customFormat="false" ht="15.75" hidden="false" customHeight="false" outlineLevel="0" collapsed="false">
      <c r="A1871" s="6" t="n">
        <v>43030.2126273148</v>
      </c>
      <c r="B1871" s="7" t="str">
        <f aca="false">HYPERLINK("https://twitter.com/St0psch1ld","@St0psch1ld")</f>
        <v>@St0psch1ld</v>
      </c>
      <c r="C1871" s="8" t="s">
        <v>4920</v>
      </c>
      <c r="D1871" s="8" t="s">
        <v>4921</v>
      </c>
      <c r="E1871" s="9" t="str">
        <f aca="false">HYPERLINK("https://twitter.com/St0psch1ld/status/922071583287627777","922071583287627777")</f>
        <v>922071583287627777</v>
      </c>
      <c r="F1871" s="10" t="s">
        <v>60</v>
      </c>
      <c r="G1871" s="10" t="n">
        <v>211</v>
      </c>
      <c r="H1871" s="10" t="n">
        <v>160</v>
      </c>
      <c r="I1871" s="10" t="n">
        <v>0</v>
      </c>
      <c r="J1871" s="10" t="n">
        <v>0</v>
      </c>
      <c r="K1871" s="10" t="s">
        <v>20</v>
      </c>
      <c r="L1871" s="11" t="n">
        <v>42397.0423726852</v>
      </c>
      <c r="M1871" s="12" t="s">
        <v>4922</v>
      </c>
      <c r="N1871" s="12" t="s">
        <v>4923</v>
      </c>
      <c r="O1871" s="9" t="str">
        <f aca="false">HYPERLINK("https://pbs.twimg.com/profile_images/695663013412630535/XgD9AbrJ_normal.jpg","View")</f>
        <v>View</v>
      </c>
      <c r="P1871" s="10"/>
    </row>
    <row r="1872" customFormat="false" ht="15.75" hidden="false" customHeight="false" outlineLevel="0" collapsed="false">
      <c r="A1872" s="6" t="n">
        <v>43030.212662037</v>
      </c>
      <c r="B1872" s="7" t="str">
        <f aca="false">HYPERLINK("https://twitter.com/thaitvnews","@thaitvnews")</f>
        <v>@thaitvnews</v>
      </c>
      <c r="C1872" s="8" t="s">
        <v>1096</v>
      </c>
      <c r="D1872" s="8" t="s">
        <v>4924</v>
      </c>
      <c r="E1872" s="9" t="str">
        <f aca="false">HYPERLINK("https://twitter.com/thaitvnews/status/922071598152278016","922071598152278016")</f>
        <v>922071598152278016</v>
      </c>
      <c r="F1872" s="10" t="s">
        <v>60</v>
      </c>
      <c r="G1872" s="10" t="n">
        <v>34589</v>
      </c>
      <c r="H1872" s="10" t="n">
        <v>21902</v>
      </c>
      <c r="I1872" s="10" t="n">
        <v>0</v>
      </c>
      <c r="J1872" s="10" t="n">
        <v>0</v>
      </c>
      <c r="K1872" s="10" t="s">
        <v>20</v>
      </c>
      <c r="L1872" s="11" t="n">
        <v>40210.8004861111</v>
      </c>
      <c r="M1872" s="12"/>
      <c r="N1872" s="12" t="s">
        <v>1098</v>
      </c>
      <c r="O1872" s="9" t="str">
        <f aca="false">HYPERLINK("https://pbs.twimg.com/profile_images/867228703096532994/JD5niRf4_normal.jpg","View")</f>
        <v>View</v>
      </c>
      <c r="P1872" s="10"/>
    </row>
    <row r="1873" customFormat="false" ht="15.75" hidden="false" customHeight="false" outlineLevel="0" collapsed="false">
      <c r="A1873" s="6" t="n">
        <v>43030.2127083333</v>
      </c>
      <c r="B1873" s="7" t="str">
        <f aca="false">HYPERLINK("https://twitter.com/MattCroweAHHHA","@MattCroweAHHHA")</f>
        <v>@MattCroweAHHHA</v>
      </c>
      <c r="C1873" s="8" t="s">
        <v>4925</v>
      </c>
      <c r="D1873" s="8" t="s">
        <v>4926</v>
      </c>
      <c r="E1873" s="9" t="str">
        <f aca="false">HYPERLINK("https://twitter.com/MattCroweAHHHA/status/922071611771162624","922071611771162624")</f>
        <v>922071611771162624</v>
      </c>
      <c r="F1873" s="10" t="s">
        <v>60</v>
      </c>
      <c r="G1873" s="10" t="n">
        <v>343</v>
      </c>
      <c r="H1873" s="10" t="n">
        <v>311</v>
      </c>
      <c r="I1873" s="10" t="n">
        <v>0</v>
      </c>
      <c r="J1873" s="10" t="n">
        <v>0</v>
      </c>
      <c r="K1873" s="10" t="s">
        <v>20</v>
      </c>
      <c r="L1873" s="11" t="n">
        <v>41652.3995486111</v>
      </c>
      <c r="M1873" s="12" t="s">
        <v>4927</v>
      </c>
      <c r="N1873" s="12" t="s">
        <v>4928</v>
      </c>
      <c r="O1873" s="9" t="str">
        <f aca="false">HYPERLINK("https://pbs.twimg.com/profile_images/422784842812514304/VtlWUP7m_normal.jpeg","View")</f>
        <v>View</v>
      </c>
      <c r="P1873" s="10"/>
    </row>
    <row r="1874" customFormat="false" ht="15.75" hidden="false" customHeight="false" outlineLevel="0" collapsed="false">
      <c r="A1874" s="6" t="n">
        <v>43030.2128009259</v>
      </c>
      <c r="B1874" s="7" t="str">
        <f aca="false">HYPERLINK("https://twitter.com/gonchi92","@gonchi92")</f>
        <v>@gonchi92</v>
      </c>
      <c r="C1874" s="8" t="s">
        <v>4929</v>
      </c>
      <c r="D1874" s="8" t="s">
        <v>4930</v>
      </c>
      <c r="E1874" s="9" t="str">
        <f aca="false">HYPERLINK("https://twitter.com/gonchi92/status/922071647670226944","922071647670226944")</f>
        <v>922071647670226944</v>
      </c>
      <c r="F1874" s="10" t="s">
        <v>25</v>
      </c>
      <c r="G1874" s="10" t="n">
        <v>178</v>
      </c>
      <c r="H1874" s="10" t="n">
        <v>1696</v>
      </c>
      <c r="I1874" s="10" t="n">
        <v>0</v>
      </c>
      <c r="J1874" s="10" t="n">
        <v>0</v>
      </c>
      <c r="K1874" s="10" t="s">
        <v>20</v>
      </c>
      <c r="L1874" s="11" t="n">
        <v>41638.4938657407</v>
      </c>
      <c r="M1874" s="12" t="s">
        <v>4931</v>
      </c>
      <c r="N1874" s="12" t="s">
        <v>4932</v>
      </c>
      <c r="O1874" s="9" t="str">
        <f aca="false">HYPERLINK("https://pbs.twimg.com/profile_images/468352814519820288/Rd0SpyLU_normal.jpeg","View")</f>
        <v>View</v>
      </c>
      <c r="P1874" s="10"/>
    </row>
    <row r="1875" customFormat="false" ht="15.75" hidden="false" customHeight="false" outlineLevel="0" collapsed="false">
      <c r="A1875" s="6" t="n">
        <v>43030.2128356481</v>
      </c>
      <c r="B1875" s="7" t="str">
        <f aca="false">HYPERLINK("https://twitter.com/DrPJSullivan","@DrPJSullivan")</f>
        <v>@DrPJSullivan</v>
      </c>
      <c r="C1875" s="8" t="s">
        <v>4933</v>
      </c>
      <c r="D1875" s="8" t="s">
        <v>3646</v>
      </c>
      <c r="E1875" s="9" t="str">
        <f aca="false">HYPERLINK("https://twitter.com/DrPJSullivan/status/922071660655726592","922071660655726592")</f>
        <v>922071660655726592</v>
      </c>
      <c r="F1875" s="10" t="s">
        <v>51</v>
      </c>
      <c r="G1875" s="10" t="n">
        <v>416</v>
      </c>
      <c r="H1875" s="10" t="n">
        <v>2554</v>
      </c>
      <c r="I1875" s="10" t="n">
        <v>71</v>
      </c>
      <c r="J1875" s="10" t="n">
        <v>0</v>
      </c>
      <c r="K1875" s="10" t="s">
        <v>20</v>
      </c>
      <c r="L1875" s="11" t="n">
        <v>42911.2922453704</v>
      </c>
      <c r="M1875" s="12" t="s">
        <v>4934</v>
      </c>
      <c r="N1875" s="12" t="s">
        <v>4935</v>
      </c>
      <c r="O1875" s="9" t="str">
        <f aca="false">HYPERLINK("https://pbs.twimg.com/profile_images/906208672887578628/4o-qJcPD_normal.jpg","View")</f>
        <v>View</v>
      </c>
      <c r="P1875" s="10"/>
    </row>
    <row r="1876" customFormat="false" ht="15.75" hidden="false" customHeight="false" outlineLevel="0" collapsed="false">
      <c r="A1876" s="6" t="n">
        <v>43030.2129282407</v>
      </c>
      <c r="B1876" s="7" t="str">
        <f aca="false">HYPERLINK("https://twitter.com/jynxmaze789","@jynxmaze789")</f>
        <v>@jynxmaze789</v>
      </c>
      <c r="C1876" s="8" t="s">
        <v>4936</v>
      </c>
      <c r="D1876" s="8" t="s">
        <v>4937</v>
      </c>
      <c r="E1876" s="9" t="str">
        <f aca="false">HYPERLINK("https://twitter.com/jynxmaze789/status/922071693614632960","922071693614632960")</f>
        <v>922071693614632960</v>
      </c>
      <c r="F1876" s="10" t="s">
        <v>60</v>
      </c>
      <c r="G1876" s="10" t="n">
        <v>396</v>
      </c>
      <c r="H1876" s="10" t="n">
        <v>197</v>
      </c>
      <c r="I1876" s="10" t="n">
        <v>0</v>
      </c>
      <c r="J1876" s="10" t="n">
        <v>0</v>
      </c>
      <c r="K1876" s="10" t="s">
        <v>20</v>
      </c>
      <c r="L1876" s="11" t="n">
        <v>42667.63125</v>
      </c>
      <c r="M1876" s="12" t="s">
        <v>4938</v>
      </c>
      <c r="N1876" s="12" t="s">
        <v>4939</v>
      </c>
      <c r="O1876" s="9" t="str">
        <f aca="false">HYPERLINK("https://pbs.twimg.com/profile_images/793928209867956224/u29L3s_H_normal.jpg","View")</f>
        <v>View</v>
      </c>
      <c r="P1876" s="10"/>
    </row>
    <row r="1877" customFormat="false" ht="15.75" hidden="false" customHeight="false" outlineLevel="0" collapsed="false">
      <c r="A1877" s="6" t="n">
        <v>43030.2129513889</v>
      </c>
      <c r="B1877" s="7" t="str">
        <f aca="false">HYPERLINK("https://twitter.com/taiwoolagoke","@taiwoolagoke")</f>
        <v>@taiwoolagoke</v>
      </c>
      <c r="C1877" s="8" t="s">
        <v>4940</v>
      </c>
      <c r="D1877" s="8" t="s">
        <v>4941</v>
      </c>
      <c r="E1877" s="9" t="str">
        <f aca="false">HYPERLINK("https://twitter.com/taiwoolagoke/status/922071700807868417","922071700807868417")</f>
        <v>922071700807868417</v>
      </c>
      <c r="F1877" s="10" t="s">
        <v>60</v>
      </c>
      <c r="G1877" s="10" t="n">
        <v>172</v>
      </c>
      <c r="H1877" s="10" t="n">
        <v>118</v>
      </c>
      <c r="I1877" s="10" t="n">
        <v>0</v>
      </c>
      <c r="J1877" s="10" t="n">
        <v>0</v>
      </c>
      <c r="K1877" s="10" t="s">
        <v>20</v>
      </c>
      <c r="L1877" s="11" t="n">
        <v>41395.6546990741</v>
      </c>
      <c r="M1877" s="12" t="s">
        <v>3474</v>
      </c>
      <c r="N1877" s="12" t="s">
        <v>4942</v>
      </c>
      <c r="O1877" s="9" t="str">
        <f aca="false">HYPERLINK("https://pbs.twimg.com/profile_images/862774238134112256/HpFDHIU9_normal.jpg","View")</f>
        <v>View</v>
      </c>
      <c r="P1877" s="10"/>
    </row>
    <row r="1878" customFormat="false" ht="15.75" hidden="false" customHeight="false" outlineLevel="0" collapsed="false">
      <c r="A1878" s="6" t="n">
        <v>43030.2130671296</v>
      </c>
      <c r="B1878" s="7" t="str">
        <f aca="false">HYPERLINK("https://twitter.com/olukunle01","@olukunle01")</f>
        <v>@olukunle01</v>
      </c>
      <c r="C1878" s="8" t="s">
        <v>2193</v>
      </c>
      <c r="D1878" s="8" t="s">
        <v>4943</v>
      </c>
      <c r="E1878" s="9" t="str">
        <f aca="false">HYPERLINK("https://twitter.com/olukunle01/status/922071742448914432","922071742448914432")</f>
        <v>922071742448914432</v>
      </c>
      <c r="F1878" s="10" t="s">
        <v>55</v>
      </c>
      <c r="G1878" s="10" t="n">
        <v>63</v>
      </c>
      <c r="H1878" s="10" t="n">
        <v>270</v>
      </c>
      <c r="I1878" s="10" t="n">
        <v>0</v>
      </c>
      <c r="J1878" s="10" t="n">
        <v>0</v>
      </c>
      <c r="K1878" s="10" t="s">
        <v>20</v>
      </c>
      <c r="L1878" s="11" t="n">
        <v>42103.4915046296</v>
      </c>
      <c r="M1878" s="12"/>
      <c r="N1878" s="12"/>
      <c r="O1878" s="9" t="str">
        <f aca="false">HYPERLINK("https://pbs.twimg.com/profile_images/750783216059969536/h3QOaA1n_normal.jpg","View")</f>
        <v>View</v>
      </c>
      <c r="P1878" s="10"/>
    </row>
    <row r="1879" customFormat="false" ht="15.75" hidden="false" customHeight="false" outlineLevel="0" collapsed="false">
      <c r="A1879" s="6" t="n">
        <v>43030.213287037</v>
      </c>
      <c r="B1879" s="7" t="str">
        <f aca="false">HYPERLINK("https://twitter.com/VerredeMiroir","@VerredeMiroir")</f>
        <v>@VerredeMiroir</v>
      </c>
      <c r="C1879" s="8" t="s">
        <v>4944</v>
      </c>
      <c r="D1879" s="8" t="s">
        <v>4945</v>
      </c>
      <c r="E1879" s="9" t="str">
        <f aca="false">HYPERLINK("https://twitter.com/VerredeMiroir/status/922071824384561152","922071824384561152")</f>
        <v>922071824384561152</v>
      </c>
      <c r="F1879" s="10" t="s">
        <v>60</v>
      </c>
      <c r="G1879" s="10" t="n">
        <v>2136</v>
      </c>
      <c r="H1879" s="10" t="n">
        <v>65</v>
      </c>
      <c r="I1879" s="10" t="n">
        <v>0</v>
      </c>
      <c r="J1879" s="10" t="n">
        <v>0</v>
      </c>
      <c r="K1879" s="10" t="s">
        <v>20</v>
      </c>
      <c r="L1879" s="11" t="n">
        <v>42667.1603356481</v>
      </c>
      <c r="M1879" s="12" t="s">
        <v>4946</v>
      </c>
      <c r="N1879" s="12" t="s">
        <v>4947</v>
      </c>
      <c r="O1879" s="9" t="str">
        <f aca="false">HYPERLINK("https://pbs.twimg.com/profile_images/855366207578529793/PFgZqSUD_normal.jpg","View")</f>
        <v>View</v>
      </c>
      <c r="P1879" s="10"/>
    </row>
    <row r="1880" customFormat="false" ht="15.75" hidden="false" customHeight="false" outlineLevel="0" collapsed="false">
      <c r="A1880" s="6" t="n">
        <v>43030.2133217593</v>
      </c>
      <c r="B1880" s="7" t="str">
        <f aca="false">HYPERLINK("https://twitter.com/Galleryite","@Galleryite")</f>
        <v>@Galleryite</v>
      </c>
      <c r="C1880" s="8" t="s">
        <v>4948</v>
      </c>
      <c r="D1880" s="8" t="s">
        <v>3295</v>
      </c>
      <c r="E1880" s="9" t="str">
        <f aca="false">HYPERLINK("https://twitter.com/Galleryite/status/922071836682199040","922071836682199040")</f>
        <v>922071836682199040</v>
      </c>
      <c r="F1880" s="10" t="s">
        <v>51</v>
      </c>
      <c r="G1880" s="10" t="n">
        <v>583</v>
      </c>
      <c r="H1880" s="10" t="n">
        <v>1809</v>
      </c>
      <c r="I1880" s="10" t="n">
        <v>71</v>
      </c>
      <c r="J1880" s="10" t="n">
        <v>0</v>
      </c>
      <c r="K1880" s="10" t="s">
        <v>20</v>
      </c>
      <c r="L1880" s="11" t="n">
        <v>41094.2731134259</v>
      </c>
      <c r="M1880" s="12" t="s">
        <v>4949</v>
      </c>
      <c r="N1880" s="12" t="s">
        <v>4950</v>
      </c>
      <c r="O1880" s="9" t="str">
        <f aca="false">HYPERLINK("https://pbs.twimg.com/profile_images/2366874020/SH3G0035_normal.jpg","View")</f>
        <v>View</v>
      </c>
      <c r="P1880" s="10"/>
    </row>
    <row r="1881" customFormat="false" ht="15.75" hidden="false" customHeight="false" outlineLevel="0" collapsed="false">
      <c r="A1881" s="6" t="n">
        <v>43030.2133796296</v>
      </c>
      <c r="B1881" s="7" t="str">
        <f aca="false">HYPERLINK("https://twitter.com/muntasirrahat21","@muntasirrahat21")</f>
        <v>@muntasirrahat21</v>
      </c>
      <c r="C1881" s="8" t="s">
        <v>4951</v>
      </c>
      <c r="D1881" s="8" t="s">
        <v>3422</v>
      </c>
      <c r="E1881" s="9" t="str">
        <f aca="false">HYPERLINK("https://twitter.com/muntasirrahat21/status/922071857523597312","922071857523597312")</f>
        <v>922071857523597312</v>
      </c>
      <c r="F1881" s="10" t="s">
        <v>25</v>
      </c>
      <c r="G1881" s="10" t="n">
        <v>24</v>
      </c>
      <c r="H1881" s="10" t="n">
        <v>562</v>
      </c>
      <c r="I1881" s="10" t="n">
        <v>27</v>
      </c>
      <c r="J1881" s="10" t="n">
        <v>0</v>
      </c>
      <c r="K1881" s="10" t="s">
        <v>20</v>
      </c>
      <c r="L1881" s="11" t="n">
        <v>42961.7177083333</v>
      </c>
      <c r="M1881" s="12"/>
      <c r="N1881" s="12"/>
      <c r="O1881" s="9" t="str">
        <f aca="false">HYPERLINK("https://pbs.twimg.com/profile_images/897367128344379392/6ok3RC7S_normal.jpg","View")</f>
        <v>View</v>
      </c>
      <c r="P1881" s="10"/>
    </row>
    <row r="1882" customFormat="false" ht="15.75" hidden="false" customHeight="false" outlineLevel="0" collapsed="false">
      <c r="A1882" s="6" t="n">
        <v>43030.2134027778</v>
      </c>
      <c r="B1882" s="7" t="str">
        <f aca="false">HYPERLINK("https://twitter.com/murraedeus","@murraedeus")</f>
        <v>@murraedeus</v>
      </c>
      <c r="C1882" s="8" t="s">
        <v>4952</v>
      </c>
      <c r="D1882" s="8" t="s">
        <v>4953</v>
      </c>
      <c r="E1882" s="9" t="str">
        <f aca="false">HYPERLINK("https://twitter.com/murraedeus/status/922071864612147201","922071864612147201")</f>
        <v>922071864612147201</v>
      </c>
      <c r="F1882" s="10" t="s">
        <v>60</v>
      </c>
      <c r="G1882" s="10" t="n">
        <v>50</v>
      </c>
      <c r="H1882" s="10" t="n">
        <v>21</v>
      </c>
      <c r="I1882" s="10" t="n">
        <v>0</v>
      </c>
      <c r="J1882" s="10" t="n">
        <v>0</v>
      </c>
      <c r="K1882" s="10" t="s">
        <v>20</v>
      </c>
      <c r="L1882" s="11" t="n">
        <v>42072.3349189815</v>
      </c>
      <c r="M1882" s="12"/>
      <c r="N1882" s="12"/>
      <c r="O1882" s="9" t="str">
        <f aca="false">HYPERLINK("https://pbs.twimg.com/profile_images/574948472236810241/1JWU2Dze_normal.jpeg","View")</f>
        <v>View</v>
      </c>
      <c r="P1882" s="10"/>
    </row>
    <row r="1883" customFormat="false" ht="15.75" hidden="false" customHeight="false" outlineLevel="0" collapsed="false">
      <c r="A1883" s="6" t="n">
        <v>43030.2134259259</v>
      </c>
      <c r="B1883" s="7" t="str">
        <f aca="false">HYPERLINK("https://twitter.com/paphosmedia","@paphosmedia")</f>
        <v>@paphosmedia</v>
      </c>
      <c r="C1883" s="8" t="s">
        <v>2525</v>
      </c>
      <c r="D1883" s="8" t="s">
        <v>3422</v>
      </c>
      <c r="E1883" s="9" t="str">
        <f aca="false">HYPERLINK("https://twitter.com/paphosmedia/status/922071874066092032","922071874066092032")</f>
        <v>922071874066092032</v>
      </c>
      <c r="F1883" s="10" t="s">
        <v>25</v>
      </c>
      <c r="G1883" s="10" t="n">
        <v>663</v>
      </c>
      <c r="H1883" s="10" t="n">
        <v>126</v>
      </c>
      <c r="I1883" s="10" t="n">
        <v>27</v>
      </c>
      <c r="J1883" s="10" t="n">
        <v>0</v>
      </c>
      <c r="K1883" s="10" t="s">
        <v>20</v>
      </c>
      <c r="L1883" s="11" t="n">
        <v>42776.0147222222</v>
      </c>
      <c r="M1883" s="12"/>
      <c r="N1883" s="12" t="s">
        <v>2526</v>
      </c>
      <c r="O1883" s="9" t="str">
        <f aca="false">HYPERLINK("https://pbs.twimg.com/profile_images/830344725861396480/obcvX0RS_normal.jpg","View")</f>
        <v>View</v>
      </c>
      <c r="P1883" s="10"/>
    </row>
    <row r="1884" customFormat="false" ht="15.75" hidden="false" customHeight="false" outlineLevel="0" collapsed="false">
      <c r="A1884" s="6" t="n">
        <v>43030.2134375</v>
      </c>
      <c r="B1884" s="7" t="str">
        <f aca="false">HYPERLINK("https://twitter.com/JibrMilo","@JibrMilo")</f>
        <v>@JibrMilo</v>
      </c>
      <c r="C1884" s="8" t="s">
        <v>4954</v>
      </c>
      <c r="D1884" s="8" t="s">
        <v>4955</v>
      </c>
      <c r="E1884" s="9" t="str">
        <f aca="false">HYPERLINK("https://twitter.com/JibrMilo/status/922071875429154817","922071875429154817")</f>
        <v>922071875429154817</v>
      </c>
      <c r="F1884" s="10" t="s">
        <v>39</v>
      </c>
      <c r="G1884" s="10" t="n">
        <v>32</v>
      </c>
      <c r="H1884" s="10" t="n">
        <v>962</v>
      </c>
      <c r="I1884" s="10" t="n">
        <v>2</v>
      </c>
      <c r="J1884" s="10" t="n">
        <v>0</v>
      </c>
      <c r="K1884" s="10" t="s">
        <v>20</v>
      </c>
      <c r="L1884" s="11" t="n">
        <v>42126.3792013889</v>
      </c>
      <c r="M1884" s="12" t="s">
        <v>4956</v>
      </c>
      <c r="N1884" s="12" t="s">
        <v>4957</v>
      </c>
      <c r="O1884" s="9" t="str">
        <f aca="false">HYPERLINK("https://pbs.twimg.com/profile_images/631666077684994048/Y1EDDFAk_normal.jpg","View")</f>
        <v>View</v>
      </c>
      <c r="P1884" s="10"/>
    </row>
    <row r="1885" customFormat="false" ht="15.75" hidden="false" customHeight="false" outlineLevel="0" collapsed="false">
      <c r="A1885" s="6" t="n">
        <v>43030.2134375</v>
      </c>
      <c r="B1885" s="7" t="str">
        <f aca="false">HYPERLINK("https://twitter.com/garbs81","@garbs81")</f>
        <v>@garbs81</v>
      </c>
      <c r="C1885" s="8" t="s">
        <v>4958</v>
      </c>
      <c r="D1885" s="8" t="s">
        <v>4068</v>
      </c>
      <c r="E1885" s="9" t="str">
        <f aca="false">HYPERLINK("https://twitter.com/garbs81/status/922071876330852353","922071876330852353")</f>
        <v>922071876330852353</v>
      </c>
      <c r="F1885" s="10" t="s">
        <v>25</v>
      </c>
      <c r="G1885" s="10" t="n">
        <v>658</v>
      </c>
      <c r="H1885" s="10" t="n">
        <v>3088</v>
      </c>
      <c r="I1885" s="10" t="n">
        <v>50</v>
      </c>
      <c r="J1885" s="10" t="n">
        <v>0</v>
      </c>
      <c r="K1885" s="10" t="s">
        <v>20</v>
      </c>
      <c r="L1885" s="11" t="n">
        <v>40041.2819444444</v>
      </c>
      <c r="M1885" s="12"/>
      <c r="N1885" s="12"/>
      <c r="O1885" s="9" t="str">
        <f aca="false">HYPERLINK("https://pbs.twimg.com/profile_images/876639346073272320/fSnzLqAD_normal.jpg","View")</f>
        <v>View</v>
      </c>
      <c r="P1885" s="10"/>
    </row>
    <row r="1886" customFormat="false" ht="15.75" hidden="false" customHeight="false" outlineLevel="0" collapsed="false">
      <c r="A1886" s="6" t="n">
        <v>43030.2134490741</v>
      </c>
      <c r="B1886" s="7" t="str">
        <f aca="false">HYPERLINK("https://twitter.com/jj_dy","@jj_dy")</f>
        <v>@jj_dy</v>
      </c>
      <c r="C1886" s="8" t="s">
        <v>4959</v>
      </c>
      <c r="D1886" s="8" t="s">
        <v>4124</v>
      </c>
      <c r="E1886" s="9" t="str">
        <f aca="false">HYPERLINK("https://twitter.com/jj_dy/status/922071881276047360","922071881276047360")</f>
        <v>922071881276047360</v>
      </c>
      <c r="F1886" s="10" t="s">
        <v>51</v>
      </c>
      <c r="G1886" s="10" t="n">
        <v>604</v>
      </c>
      <c r="H1886" s="10" t="n">
        <v>564</v>
      </c>
      <c r="I1886" s="10" t="n">
        <v>111</v>
      </c>
      <c r="J1886" s="10" t="n">
        <v>0</v>
      </c>
      <c r="K1886" s="10" t="s">
        <v>20</v>
      </c>
      <c r="L1886" s="11" t="n">
        <v>40819.6193865741</v>
      </c>
      <c r="M1886" s="12" t="s">
        <v>3636</v>
      </c>
      <c r="N1886" s="12" t="s">
        <v>4960</v>
      </c>
      <c r="O1886" s="9" t="str">
        <f aca="false">HYPERLINK("https://pbs.twimg.com/profile_images/544350542487502848/kXgOezX4_normal.jpeg","View")</f>
        <v>View</v>
      </c>
      <c r="P1886" s="10"/>
    </row>
    <row r="1887" customFormat="false" ht="15.75" hidden="false" customHeight="false" outlineLevel="0" collapsed="false">
      <c r="A1887" s="6" t="n">
        <v>43030.2134837963</v>
      </c>
      <c r="B1887" s="7" t="str">
        <f aca="false">HYPERLINK("https://twitter.com/SNAFOO2012","@SNAFOO2012")</f>
        <v>@SNAFOO2012</v>
      </c>
      <c r="C1887" s="8" t="s">
        <v>4961</v>
      </c>
      <c r="D1887" s="8" t="s">
        <v>4962</v>
      </c>
      <c r="E1887" s="9" t="str">
        <f aca="false">HYPERLINK("https://twitter.com/SNAFOO2012/status/922071893791866881","922071893791866881")</f>
        <v>922071893791866881</v>
      </c>
      <c r="F1887" s="10" t="s">
        <v>51</v>
      </c>
      <c r="G1887" s="10" t="n">
        <v>4479</v>
      </c>
      <c r="H1887" s="10" t="n">
        <v>4953</v>
      </c>
      <c r="I1887" s="10" t="n">
        <v>0</v>
      </c>
      <c r="J1887" s="10" t="n">
        <v>0</v>
      </c>
      <c r="K1887" s="10" t="s">
        <v>20</v>
      </c>
      <c r="L1887" s="11" t="n">
        <v>41157.4580902778</v>
      </c>
      <c r="M1887" s="12" t="s">
        <v>4963</v>
      </c>
      <c r="N1887" s="12" t="s">
        <v>4964</v>
      </c>
      <c r="O1887" s="9" t="str">
        <f aca="false">HYPERLINK("https://pbs.twimg.com/profile_images/378800000503338812/919645e0f3dec98f7efcc0ec97c9186f_normal.png","View")</f>
        <v>View</v>
      </c>
      <c r="P1887" s="10"/>
    </row>
    <row r="1888" customFormat="false" ht="15.75" hidden="false" customHeight="false" outlineLevel="0" collapsed="false">
      <c r="A1888" s="6" t="n">
        <v>43030.2135532407</v>
      </c>
      <c r="B1888" s="7" t="str">
        <f aca="false">HYPERLINK("https://twitter.com/oguray","@oguray")</f>
        <v>@oguray</v>
      </c>
      <c r="C1888" s="14" t="s">
        <v>4220</v>
      </c>
      <c r="D1888" s="8" t="s">
        <v>3971</v>
      </c>
      <c r="E1888" s="9" t="str">
        <f aca="false">HYPERLINK("https://twitter.com/oguray/status/922071917934215168","922071917934215168")</f>
        <v>922071917934215168</v>
      </c>
      <c r="F1888" s="10" t="s">
        <v>51</v>
      </c>
      <c r="G1888" s="10" t="n">
        <v>1239</v>
      </c>
      <c r="H1888" s="10" t="n">
        <v>529</v>
      </c>
      <c r="I1888" s="10" t="n">
        <v>24</v>
      </c>
      <c r="J1888" s="10" t="n">
        <v>0</v>
      </c>
      <c r="K1888" s="10" t="s">
        <v>20</v>
      </c>
      <c r="L1888" s="11" t="n">
        <v>39964.8114699074</v>
      </c>
      <c r="M1888" s="13" t="s">
        <v>4221</v>
      </c>
      <c r="N1888" s="12" t="s">
        <v>4222</v>
      </c>
      <c r="O1888" s="9" t="str">
        <f aca="false">HYPERLINK("https://pbs.twimg.com/profile_images/868510836007903232/6ek8hf4I_normal.jpg","View")</f>
        <v>View</v>
      </c>
      <c r="P1888" s="10"/>
    </row>
    <row r="1889" customFormat="false" ht="15.75" hidden="false" customHeight="false" outlineLevel="0" collapsed="false">
      <c r="A1889" s="6" t="n">
        <v>43030.2135532407</v>
      </c>
      <c r="B1889" s="7" t="str">
        <f aca="false">HYPERLINK("https://twitter.com/RadioWaba","@RadioWaba")</f>
        <v>@RadioWaba</v>
      </c>
      <c r="C1889" s="8" t="s">
        <v>4965</v>
      </c>
      <c r="D1889" s="8" t="s">
        <v>4966</v>
      </c>
      <c r="E1889" s="9" t="str">
        <f aca="false">HYPERLINK("https://twitter.com/RadioWaba/status/922071920874541057","922071920874541057")</f>
        <v>922071920874541057</v>
      </c>
      <c r="F1889" s="10" t="s">
        <v>60</v>
      </c>
      <c r="G1889" s="10" t="n">
        <v>81</v>
      </c>
      <c r="H1889" s="10" t="n">
        <v>1</v>
      </c>
      <c r="I1889" s="10" t="n">
        <v>0</v>
      </c>
      <c r="J1889" s="10" t="n">
        <v>0</v>
      </c>
      <c r="K1889" s="10" t="s">
        <v>20</v>
      </c>
      <c r="L1889" s="11" t="n">
        <v>39986.7644212963</v>
      </c>
      <c r="M1889" s="12" t="s">
        <v>4967</v>
      </c>
      <c r="N1889" s="12"/>
      <c r="O1889" s="9" t="str">
        <f aca="false">HYPERLINK("https://pbs.twimg.com/profile_images/684754465652514818/5AhjNoLu_normal.jpg","View")</f>
        <v>View</v>
      </c>
      <c r="P1889" s="10"/>
    </row>
    <row r="1890" customFormat="false" ht="15.75" hidden="false" customHeight="false" outlineLevel="0" collapsed="false">
      <c r="A1890" s="6" t="n">
        <v>43030.213599537</v>
      </c>
      <c r="B1890" s="7" t="str">
        <f aca="false">HYPERLINK("https://twitter.com/EBertolaccini","@EBertolaccini")</f>
        <v>@EBertolaccini</v>
      </c>
      <c r="C1890" s="8" t="s">
        <v>4968</v>
      </c>
      <c r="D1890" s="8" t="s">
        <v>4969</v>
      </c>
      <c r="E1890" s="9" t="str">
        <f aca="false">HYPERLINK("https://twitter.com/EBertolaccini/status/922071937655898113","922071937655898113")</f>
        <v>922071937655898113</v>
      </c>
      <c r="F1890" s="10" t="s">
        <v>60</v>
      </c>
      <c r="G1890" s="10" t="n">
        <v>1179</v>
      </c>
      <c r="H1890" s="10" t="n">
        <v>1881</v>
      </c>
      <c r="I1890" s="10" t="n">
        <v>0</v>
      </c>
      <c r="J1890" s="10" t="n">
        <v>0</v>
      </c>
      <c r="K1890" s="10" t="s">
        <v>20</v>
      </c>
      <c r="L1890" s="11" t="n">
        <v>40636.362037037</v>
      </c>
      <c r="M1890" s="12" t="s">
        <v>4970</v>
      </c>
      <c r="N1890" s="12" t="s">
        <v>4971</v>
      </c>
      <c r="O1890" s="9" t="str">
        <f aca="false">HYPERLINK("https://pbs.twimg.com/profile_images/522805721537466368/cbIOXjsD_normal.jpeg","View")</f>
        <v>View</v>
      </c>
      <c r="P1890" s="10"/>
    </row>
    <row r="1891" customFormat="false" ht="15.75" hidden="false" customHeight="false" outlineLevel="0" collapsed="false">
      <c r="A1891" s="6" t="n">
        <v>43030.213599537</v>
      </c>
      <c r="B1891" s="7" t="str">
        <f aca="false">HYPERLINK("https://twitter.com/redeyethug","@redeyethug")</f>
        <v>@redeyethug</v>
      </c>
      <c r="C1891" s="8" t="s">
        <v>4972</v>
      </c>
      <c r="D1891" s="8" t="s">
        <v>4973</v>
      </c>
      <c r="E1891" s="9" t="str">
        <f aca="false">HYPERLINK("https://twitter.com/redeyethug/status/922071937718870020","922071937718870020")</f>
        <v>922071937718870020</v>
      </c>
      <c r="F1891" s="10" t="s">
        <v>60</v>
      </c>
      <c r="G1891" s="10" t="n">
        <v>918</v>
      </c>
      <c r="H1891" s="10" t="n">
        <v>676</v>
      </c>
      <c r="I1891" s="10" t="n">
        <v>0</v>
      </c>
      <c r="J1891" s="10" t="n">
        <v>0</v>
      </c>
      <c r="K1891" s="10" t="s">
        <v>20</v>
      </c>
      <c r="L1891" s="11" t="n">
        <v>40690.7146064815</v>
      </c>
      <c r="M1891" s="12" t="s">
        <v>4974</v>
      </c>
      <c r="N1891" s="12" t="s">
        <v>4975</v>
      </c>
      <c r="O1891" s="9" t="str">
        <f aca="false">HYPERLINK("https://pbs.twimg.com/profile_images/865675660118769665/43bvhPk8_normal.jpg","View")</f>
        <v>View</v>
      </c>
      <c r="P1891" s="10"/>
    </row>
    <row r="1892" customFormat="false" ht="15.75" hidden="false" customHeight="false" outlineLevel="0" collapsed="false">
      <c r="A1892" s="6" t="n">
        <v>43030.2136805556</v>
      </c>
      <c r="B1892" s="7" t="str">
        <f aca="false">HYPERLINK("https://twitter.com/Bambism","@Bambism")</f>
        <v>@Bambism</v>
      </c>
      <c r="C1892" s="8" t="s">
        <v>4976</v>
      </c>
      <c r="D1892" s="8" t="s">
        <v>4124</v>
      </c>
      <c r="E1892" s="9" t="str">
        <f aca="false">HYPERLINK("https://twitter.com/Bambism/status/922071963857588224","922071963857588224")</f>
        <v>922071963857588224</v>
      </c>
      <c r="F1892" s="10" t="s">
        <v>39</v>
      </c>
      <c r="G1892" s="10" t="n">
        <v>936</v>
      </c>
      <c r="H1892" s="10" t="n">
        <v>1453</v>
      </c>
      <c r="I1892" s="10" t="n">
        <v>111</v>
      </c>
      <c r="J1892" s="10" t="n">
        <v>0</v>
      </c>
      <c r="K1892" s="10" t="s">
        <v>20</v>
      </c>
      <c r="L1892" s="11" t="n">
        <v>39985.936875</v>
      </c>
      <c r="M1892" s="12"/>
      <c r="N1892" s="13" t="s">
        <v>4977</v>
      </c>
      <c r="O1892" s="9" t="str">
        <f aca="false">HYPERLINK("https://pbs.twimg.com/profile_images/860771476802162688/uL6QqKNu_normal.jpg","View")</f>
        <v>View</v>
      </c>
      <c r="P1892" s="10"/>
    </row>
    <row r="1893" customFormat="false" ht="15.75" hidden="false" customHeight="false" outlineLevel="0" collapsed="false">
      <c r="A1893" s="6" t="n">
        <v>43030.2137037037</v>
      </c>
      <c r="B1893" s="7" t="str">
        <f aca="false">HYPERLINK("https://twitter.com/nytimes","@nytimes")</f>
        <v>@nytimes</v>
      </c>
      <c r="C1893" s="8" t="s">
        <v>695</v>
      </c>
      <c r="D1893" s="8" t="s">
        <v>4978</v>
      </c>
      <c r="E1893" s="9" t="str">
        <f aca="false">HYPERLINK("https://twitter.com/nytimes/status/922071975572459520","922071975572459520")</f>
        <v>922071975572459520</v>
      </c>
      <c r="F1893" s="10" t="s">
        <v>268</v>
      </c>
      <c r="G1893" s="10" t="n">
        <v>39934471</v>
      </c>
      <c r="H1893" s="10" t="n">
        <v>884</v>
      </c>
      <c r="I1893" s="10" t="n">
        <v>187</v>
      </c>
      <c r="J1893" s="10" t="n">
        <v>176</v>
      </c>
      <c r="K1893" s="10" t="s">
        <v>20</v>
      </c>
      <c r="L1893" s="11" t="n">
        <v>39143.5289583333</v>
      </c>
      <c r="M1893" s="12" t="s">
        <v>697</v>
      </c>
      <c r="N1893" s="12" t="s">
        <v>698</v>
      </c>
      <c r="O1893" s="9" t="str">
        <f aca="false">HYPERLINK("https://pbs.twimg.com/profile_images/905479981459013637/a6BbKh4k_normal.jpg","View")</f>
        <v>View</v>
      </c>
      <c r="P1893" s="10"/>
    </row>
    <row r="1894" customFormat="false" ht="15.75" hidden="false" customHeight="false" outlineLevel="0" collapsed="false">
      <c r="A1894" s="6" t="n">
        <v>43030.2137847222</v>
      </c>
      <c r="B1894" s="7" t="str">
        <f aca="false">HYPERLINK("https://twitter.com/TheAllRadar","@TheAllRadar")</f>
        <v>@TheAllRadar</v>
      </c>
      <c r="C1894" s="8" t="s">
        <v>4979</v>
      </c>
      <c r="D1894" s="8" t="s">
        <v>4980</v>
      </c>
      <c r="E1894" s="9" t="str">
        <f aca="false">HYPERLINK("https://twitter.com/TheAllRadar/status/922072003892469760","922072003892469760")</f>
        <v>922072003892469760</v>
      </c>
      <c r="F1894" s="10" t="s">
        <v>55</v>
      </c>
      <c r="G1894" s="10" t="n">
        <v>430</v>
      </c>
      <c r="H1894" s="10" t="n">
        <v>175</v>
      </c>
      <c r="I1894" s="10" t="n">
        <v>0</v>
      </c>
      <c r="J1894" s="10" t="n">
        <v>0</v>
      </c>
      <c r="K1894" s="10" t="s">
        <v>20</v>
      </c>
      <c r="L1894" s="11" t="n">
        <v>40604.2396990741</v>
      </c>
      <c r="M1894" s="12" t="s">
        <v>4981</v>
      </c>
      <c r="N1894" s="12" t="s">
        <v>4982</v>
      </c>
      <c r="O1894" s="9" t="str">
        <f aca="false">HYPERLINK("https://pbs.twimg.com/profile_images/2138389350/MBF_Twitter_Prof_normal.jpg","View")</f>
        <v>View</v>
      </c>
      <c r="P1894" s="10"/>
    </row>
    <row r="1895" customFormat="false" ht="15.75" hidden="false" customHeight="false" outlineLevel="0" collapsed="false">
      <c r="A1895" s="6" t="n">
        <v>43030.2138888889</v>
      </c>
      <c r="B1895" s="7" t="str">
        <f aca="false">HYPERLINK("https://twitter.com/keiichimodoki","@keiichimodoki")</f>
        <v>@keiichimodoki</v>
      </c>
      <c r="C1895" s="14" t="s">
        <v>4983</v>
      </c>
      <c r="D1895" s="8" t="s">
        <v>4984</v>
      </c>
      <c r="E1895" s="9" t="str">
        <f aca="false">HYPERLINK("https://twitter.com/keiichimodoki/status/922072042052108288","922072042052108288")</f>
        <v>922072042052108288</v>
      </c>
      <c r="F1895" s="10" t="s">
        <v>39</v>
      </c>
      <c r="G1895" s="10" t="n">
        <v>946</v>
      </c>
      <c r="H1895" s="10" t="n">
        <v>1459</v>
      </c>
      <c r="I1895" s="10" t="n">
        <v>187</v>
      </c>
      <c r="J1895" s="10" t="n">
        <v>0</v>
      </c>
      <c r="K1895" s="10" t="s">
        <v>20</v>
      </c>
      <c r="L1895" s="11" t="n">
        <v>40446.9481481481</v>
      </c>
      <c r="M1895" s="13" t="s">
        <v>4985</v>
      </c>
      <c r="N1895" s="13" t="s">
        <v>4986</v>
      </c>
      <c r="O1895" s="9" t="str">
        <f aca="false">HYPERLINK("https://pbs.twimg.com/profile_images/741284784006004736/gUEgV41__normal.jpg","View")</f>
        <v>View</v>
      </c>
      <c r="P1895" s="10"/>
    </row>
    <row r="1896" customFormat="false" ht="15.75" hidden="false" customHeight="false" outlineLevel="0" collapsed="false">
      <c r="A1896" s="6" t="n">
        <v>43030.213912037</v>
      </c>
      <c r="B1896" s="7" t="str">
        <f aca="false">HYPERLINK("https://twitter.com/KarenELotter","@KarenELotter")</f>
        <v>@KarenELotter</v>
      </c>
      <c r="C1896" s="8" t="s">
        <v>4987</v>
      </c>
      <c r="D1896" s="8" t="s">
        <v>4984</v>
      </c>
      <c r="E1896" s="9" t="str">
        <f aca="false">HYPERLINK("https://twitter.com/KarenELotter/status/922072047563563008","922072047563563008")</f>
        <v>922072047563563008</v>
      </c>
      <c r="F1896" s="10" t="s">
        <v>25</v>
      </c>
      <c r="G1896" s="10" t="n">
        <v>3068</v>
      </c>
      <c r="H1896" s="10" t="n">
        <v>1588</v>
      </c>
      <c r="I1896" s="10" t="n">
        <v>187</v>
      </c>
      <c r="J1896" s="10" t="n">
        <v>0</v>
      </c>
      <c r="K1896" s="10" t="s">
        <v>20</v>
      </c>
      <c r="L1896" s="11" t="n">
        <v>39875.7491550926</v>
      </c>
      <c r="M1896" s="12" t="s">
        <v>4988</v>
      </c>
      <c r="N1896" s="12" t="s">
        <v>4989</v>
      </c>
      <c r="O1896" s="9" t="str">
        <f aca="false">HYPERLINK("https://pbs.twimg.com/profile_images/87188474/karenspiga26_normal.jpg","View")</f>
        <v>View</v>
      </c>
      <c r="P1896" s="10"/>
    </row>
    <row r="1897" customFormat="false" ht="15.75" hidden="false" customHeight="false" outlineLevel="0" collapsed="false">
      <c r="A1897" s="6" t="n">
        <v>43030.213912037</v>
      </c>
      <c r="B1897" s="7" t="str">
        <f aca="false">HYPERLINK("https://twitter.com/arabgoldblog","@arabgoldblog")</f>
        <v>@arabgoldblog</v>
      </c>
      <c r="C1897" s="8" t="s">
        <v>4990</v>
      </c>
      <c r="D1897" s="8" t="s">
        <v>4984</v>
      </c>
      <c r="E1897" s="9" t="str">
        <f aca="false">HYPERLINK("https://twitter.com/arabgoldblog/status/922072047685160961","922072047685160961")</f>
        <v>922072047685160961</v>
      </c>
      <c r="F1897" s="10" t="s">
        <v>39</v>
      </c>
      <c r="G1897" s="10" t="n">
        <v>91</v>
      </c>
      <c r="H1897" s="10" t="n">
        <v>445</v>
      </c>
      <c r="I1897" s="10" t="n">
        <v>187</v>
      </c>
      <c r="J1897" s="10" t="n">
        <v>0</v>
      </c>
      <c r="K1897" s="10" t="s">
        <v>20</v>
      </c>
      <c r="L1897" s="11" t="n">
        <v>43008.6267592593</v>
      </c>
      <c r="M1897" s="12"/>
      <c r="N1897" s="12" t="s">
        <v>4991</v>
      </c>
      <c r="O1897" s="9" t="str">
        <f aca="false">HYPERLINK("https://pbs.twimg.com/profile_images/914514446357168129/V3WRzYYi_normal.jpg","View")</f>
        <v>View</v>
      </c>
      <c r="P1897" s="10"/>
    </row>
    <row r="1898" customFormat="false" ht="15.75" hidden="false" customHeight="false" outlineLevel="0" collapsed="false">
      <c r="A1898" s="6" t="n">
        <v>43030.2139236111</v>
      </c>
      <c r="B1898" s="7" t="str">
        <f aca="false">HYPERLINK("https://twitter.com/deduped_nytimes","@deduped_nytimes")</f>
        <v>@deduped_nytimes</v>
      </c>
      <c r="C1898" s="8" t="s">
        <v>711</v>
      </c>
      <c r="D1898" s="8" t="s">
        <v>4984</v>
      </c>
      <c r="E1898" s="9" t="str">
        <f aca="false">HYPERLINK("https://twitter.com/deduped_nytimes/status/922072055608049664","922072055608049664")</f>
        <v>922072055608049664</v>
      </c>
      <c r="F1898" s="10" t="s">
        <v>711</v>
      </c>
      <c r="G1898" s="10" t="n">
        <v>367</v>
      </c>
      <c r="H1898" s="10" t="n">
        <v>2</v>
      </c>
      <c r="I1898" s="10" t="n">
        <v>187</v>
      </c>
      <c r="J1898" s="10" t="n">
        <v>0</v>
      </c>
      <c r="K1898" s="10" t="s">
        <v>20</v>
      </c>
      <c r="L1898" s="11" t="n">
        <v>42219.335474537</v>
      </c>
      <c r="M1898" s="12"/>
      <c r="N1898" s="12"/>
      <c r="O1898" s="9" t="str">
        <f aca="false">HYPERLINK("https://abs.twimg.com/sticky/default_profile_images/default_profile_normal.png","View")</f>
        <v>View</v>
      </c>
      <c r="P1898" s="10"/>
    </row>
    <row r="1899" customFormat="false" ht="15.75" hidden="false" customHeight="false" outlineLevel="0" collapsed="false">
      <c r="A1899" s="6" t="n">
        <v>43030.2139583333</v>
      </c>
      <c r="B1899" s="7" t="str">
        <f aca="false">HYPERLINK("https://twitter.com/newsly","@newsly")</f>
        <v>@newsly</v>
      </c>
      <c r="C1899" s="8" t="s">
        <v>1281</v>
      </c>
      <c r="D1899" s="8" t="s">
        <v>4992</v>
      </c>
      <c r="E1899" s="9" t="str">
        <f aca="false">HYPERLINK("https://twitter.com/newsly/status/922072064609177600","922072064609177600")</f>
        <v>922072064609177600</v>
      </c>
      <c r="F1899" s="10" t="s">
        <v>60</v>
      </c>
      <c r="G1899" s="10" t="n">
        <v>313</v>
      </c>
      <c r="H1899" s="10" t="n">
        <v>2</v>
      </c>
      <c r="I1899" s="10" t="n">
        <v>0</v>
      </c>
      <c r="J1899" s="10" t="n">
        <v>0</v>
      </c>
      <c r="K1899" s="10" t="s">
        <v>20</v>
      </c>
      <c r="L1899" s="11" t="n">
        <v>42393.464224537</v>
      </c>
      <c r="M1899" s="12" t="s">
        <v>203</v>
      </c>
      <c r="N1899" s="12" t="s">
        <v>1283</v>
      </c>
      <c r="O1899" s="9" t="str">
        <f aca="false">HYPERLINK("https://pbs.twimg.com/profile_images/776195317549105152/HsppNplW_normal.jpg","View")</f>
        <v>View</v>
      </c>
      <c r="P1899" s="10"/>
    </row>
    <row r="1900" customFormat="false" ht="15.75" hidden="false" customHeight="false" outlineLevel="0" collapsed="false">
      <c r="A1900" s="6" t="n">
        <v>43030.2139583333</v>
      </c>
      <c r="B1900" s="7" t="str">
        <f aca="false">HYPERLINK("https://twitter.com/Ana_Dowick","@Ana_Dowick")</f>
        <v>@Ana_Dowick</v>
      </c>
      <c r="C1900" s="8" t="s">
        <v>4993</v>
      </c>
      <c r="D1900" s="8" t="s">
        <v>4984</v>
      </c>
      <c r="E1900" s="9" t="str">
        <f aca="false">HYPERLINK("https://twitter.com/Ana_Dowick/status/922072067834605569","922072067834605569")</f>
        <v>922072067834605569</v>
      </c>
      <c r="F1900" s="10" t="s">
        <v>25</v>
      </c>
      <c r="G1900" s="10" t="n">
        <v>237</v>
      </c>
      <c r="H1900" s="10" t="n">
        <v>156</v>
      </c>
      <c r="I1900" s="10" t="n">
        <v>187</v>
      </c>
      <c r="J1900" s="10" t="n">
        <v>0</v>
      </c>
      <c r="K1900" s="10" t="s">
        <v>20</v>
      </c>
      <c r="L1900" s="11" t="n">
        <v>42346.7539351852</v>
      </c>
      <c r="M1900" s="12" t="s">
        <v>4994</v>
      </c>
      <c r="N1900" s="12" t="s">
        <v>4995</v>
      </c>
      <c r="O1900" s="9" t="str">
        <f aca="false">HYPERLINK("https://pbs.twimg.com/profile_images/888184644360970240/L5vHCLh9_normal.jpg","View")</f>
        <v>View</v>
      </c>
      <c r="P1900" s="10"/>
    </row>
    <row r="1901" customFormat="false" ht="15.75" hidden="false" customHeight="false" outlineLevel="0" collapsed="false">
      <c r="A1901" s="6" t="n">
        <v>43030.2140277778</v>
      </c>
      <c r="B1901" s="7" t="str">
        <f aca="false">HYPERLINK("https://twitter.com/munya086","@munya086")</f>
        <v>@munya086</v>
      </c>
      <c r="C1901" s="8" t="s">
        <v>4996</v>
      </c>
      <c r="D1901" s="8" t="s">
        <v>3646</v>
      </c>
      <c r="E1901" s="9" t="str">
        <f aca="false">HYPERLINK("https://twitter.com/munya086/status/922072091314098177","922072091314098177")</f>
        <v>922072091314098177</v>
      </c>
      <c r="F1901" s="10" t="s">
        <v>25</v>
      </c>
      <c r="G1901" s="10" t="n">
        <v>113</v>
      </c>
      <c r="H1901" s="10" t="n">
        <v>857</v>
      </c>
      <c r="I1901" s="10" t="n">
        <v>71</v>
      </c>
      <c r="J1901" s="10" t="n">
        <v>0</v>
      </c>
      <c r="K1901" s="10" t="s">
        <v>20</v>
      </c>
      <c r="L1901" s="11" t="n">
        <v>42867.9881018519</v>
      </c>
      <c r="M1901" s="12"/>
      <c r="N1901" s="12" t="s">
        <v>4997</v>
      </c>
      <c r="O1901" s="9" t="str">
        <f aca="false">HYPERLINK("https://abs.twimg.com/sticky/default_profile_images/default_profile_normal.png","View")</f>
        <v>View</v>
      </c>
      <c r="P1901" s="10"/>
    </row>
    <row r="1902" customFormat="false" ht="15.75" hidden="false" customHeight="false" outlineLevel="0" collapsed="false">
      <c r="A1902" s="6" t="n">
        <v>43030.2140277778</v>
      </c>
      <c r="B1902" s="7" t="str">
        <f aca="false">HYPERLINK("https://twitter.com/LionMonkeyNY","@LionMonkeyNY")</f>
        <v>@LionMonkeyNY</v>
      </c>
      <c r="C1902" s="8" t="s">
        <v>4998</v>
      </c>
      <c r="D1902" s="8" t="s">
        <v>4984</v>
      </c>
      <c r="E1902" s="9" t="str">
        <f aca="false">HYPERLINK("https://twitter.com/LionMonkeyNY/status/922072091817594881","922072091817594881")</f>
        <v>922072091817594881</v>
      </c>
      <c r="F1902" s="10" t="s">
        <v>39</v>
      </c>
      <c r="G1902" s="10" t="n">
        <v>499</v>
      </c>
      <c r="H1902" s="10" t="n">
        <v>1315</v>
      </c>
      <c r="I1902" s="10" t="n">
        <v>187</v>
      </c>
      <c r="J1902" s="10" t="n">
        <v>0</v>
      </c>
      <c r="K1902" s="10" t="s">
        <v>20</v>
      </c>
      <c r="L1902" s="11" t="n">
        <v>41842.1873842593</v>
      </c>
      <c r="M1902" s="12" t="s">
        <v>4999</v>
      </c>
      <c r="N1902" s="12" t="s">
        <v>5000</v>
      </c>
      <c r="O1902" s="9" t="str">
        <f aca="false">HYPERLINK("https://pbs.twimg.com/profile_images/824039618156920832/QavO-7aG_normal.jpg","View")</f>
        <v>View</v>
      </c>
      <c r="P1902" s="10"/>
    </row>
    <row r="1903" customFormat="false" ht="15.75" hidden="false" customHeight="false" outlineLevel="0" collapsed="false">
      <c r="A1903" s="6" t="n">
        <v>43030.2140393519</v>
      </c>
      <c r="B1903" s="7" t="str">
        <f aca="false">HYPERLINK("https://twitter.com/kibbum111","@kibbum111")</f>
        <v>@kibbum111</v>
      </c>
      <c r="C1903" s="14" t="s">
        <v>5001</v>
      </c>
      <c r="D1903" s="8" t="s">
        <v>4984</v>
      </c>
      <c r="E1903" s="9" t="str">
        <f aca="false">HYPERLINK("https://twitter.com/kibbum111/status/922072094082342912","922072094082342912")</f>
        <v>922072094082342912</v>
      </c>
      <c r="F1903" s="10" t="s">
        <v>39</v>
      </c>
      <c r="G1903" s="10" t="n">
        <v>2177</v>
      </c>
      <c r="H1903" s="10" t="n">
        <v>1152</v>
      </c>
      <c r="I1903" s="10" t="n">
        <v>187</v>
      </c>
      <c r="J1903" s="10" t="n">
        <v>0</v>
      </c>
      <c r="K1903" s="10" t="s">
        <v>20</v>
      </c>
      <c r="L1903" s="11" t="n">
        <v>42322.2923611111</v>
      </c>
      <c r="M1903" s="12"/>
      <c r="N1903" s="13" t="s">
        <v>5002</v>
      </c>
      <c r="O1903" s="9" t="str">
        <f aca="false">HYPERLINK("https://pbs.twimg.com/profile_images/887306744153522176/e9XAu8rh_normal.jpg","View")</f>
        <v>View</v>
      </c>
      <c r="P1903" s="10"/>
    </row>
    <row r="1904" customFormat="false" ht="15.75" hidden="false" customHeight="false" outlineLevel="0" collapsed="false">
      <c r="A1904" s="6" t="n">
        <v>43030.2140509259</v>
      </c>
      <c r="B1904" s="7" t="str">
        <f aca="false">HYPERLINK("https://twitter.com/_The_Avenue_","@_The_Avenue_")</f>
        <v>@_The_Avenue_</v>
      </c>
      <c r="C1904" s="8" t="s">
        <v>5003</v>
      </c>
      <c r="D1904" s="8" t="s">
        <v>5004</v>
      </c>
      <c r="E1904" s="9" t="str">
        <f aca="false">HYPERLINK("https://twitter.com/_The_Avenue_/status/922072099468075009","922072099468075009")</f>
        <v>922072099468075009</v>
      </c>
      <c r="F1904" s="10" t="s">
        <v>60</v>
      </c>
      <c r="G1904" s="10" t="n">
        <v>419</v>
      </c>
      <c r="H1904" s="10" t="n">
        <v>459</v>
      </c>
      <c r="I1904" s="10" t="n">
        <v>0</v>
      </c>
      <c r="J1904" s="10" t="n">
        <v>0</v>
      </c>
      <c r="K1904" s="10" t="s">
        <v>20</v>
      </c>
      <c r="L1904" s="11" t="n">
        <v>42497.877037037</v>
      </c>
      <c r="M1904" s="12" t="s">
        <v>522</v>
      </c>
      <c r="N1904" s="12" t="s">
        <v>5005</v>
      </c>
      <c r="O1904" s="9" t="str">
        <f aca="false">HYPERLINK("https://pbs.twimg.com/profile_images/743870289059119106/fdqXabWJ_normal.jpg","View")</f>
        <v>View</v>
      </c>
      <c r="P1904" s="10"/>
    </row>
    <row r="1905" customFormat="false" ht="15.75" hidden="false" customHeight="false" outlineLevel="0" collapsed="false">
      <c r="A1905" s="6" t="n">
        <v>43030.2140856482</v>
      </c>
      <c r="B1905" s="7" t="str">
        <f aca="false">HYPERLINK("https://twitter.com/guardiannews","@guardiannews")</f>
        <v>@guardiannews</v>
      </c>
      <c r="C1905" s="8" t="s">
        <v>2504</v>
      </c>
      <c r="D1905" s="8" t="s">
        <v>5006</v>
      </c>
      <c r="E1905" s="9" t="str">
        <f aca="false">HYPERLINK("https://twitter.com/guardiannews/status/922072113871249408","922072113871249408")</f>
        <v>922072113871249408</v>
      </c>
      <c r="F1905" s="10" t="s">
        <v>2506</v>
      </c>
      <c r="G1905" s="10" t="n">
        <v>2812654</v>
      </c>
      <c r="H1905" s="10" t="n">
        <v>1295</v>
      </c>
      <c r="I1905" s="10" t="n">
        <v>22</v>
      </c>
      <c r="J1905" s="10" t="n">
        <v>12</v>
      </c>
      <c r="K1905" s="10" t="s">
        <v>20</v>
      </c>
      <c r="L1905" s="11" t="n">
        <v>39135.1894328704</v>
      </c>
      <c r="M1905" s="12"/>
      <c r="N1905" s="12" t="s">
        <v>2507</v>
      </c>
      <c r="O1905" s="9" t="str">
        <f aca="false">HYPERLINK("https://pbs.twimg.com/profile_images/877866793909583872/GBtLgglS_normal.jpg","View")</f>
        <v>View</v>
      </c>
      <c r="P1905" s="10"/>
    </row>
    <row r="1906" customFormat="false" ht="15.75" hidden="false" customHeight="false" outlineLevel="0" collapsed="false">
      <c r="A1906" s="6" t="n">
        <v>43030.2140972222</v>
      </c>
      <c r="B1906" s="7" t="str">
        <f aca="false">HYPERLINK("https://twitter.com/RaisinaSeries","@RaisinaSeries")</f>
        <v>@RaisinaSeries</v>
      </c>
      <c r="C1906" s="8" t="s">
        <v>5007</v>
      </c>
      <c r="D1906" s="8" t="s">
        <v>4984</v>
      </c>
      <c r="E1906" s="9" t="str">
        <f aca="false">HYPERLINK("https://twitter.com/RaisinaSeries/status/922072115334889472","922072115334889472")</f>
        <v>922072115334889472</v>
      </c>
      <c r="F1906" s="10" t="s">
        <v>51</v>
      </c>
      <c r="G1906" s="10" t="n">
        <v>24201</v>
      </c>
      <c r="H1906" s="10" t="n">
        <v>229</v>
      </c>
      <c r="I1906" s="10" t="n">
        <v>187</v>
      </c>
      <c r="J1906" s="10" t="n">
        <v>0</v>
      </c>
      <c r="K1906" s="10" t="s">
        <v>20</v>
      </c>
      <c r="L1906" s="11" t="n">
        <v>41291.4987384259</v>
      </c>
      <c r="M1906" s="12" t="s">
        <v>5008</v>
      </c>
      <c r="N1906" s="12" t="s">
        <v>5009</v>
      </c>
      <c r="O1906" s="9" t="str">
        <f aca="false">HYPERLINK("https://pbs.twimg.com/profile_images/835127600716525568/SKkzaFgh_normal.jpg","View")</f>
        <v>View</v>
      </c>
      <c r="P1906" s="10"/>
    </row>
    <row r="1907" customFormat="false" ht="15.75" hidden="false" customHeight="false" outlineLevel="0" collapsed="false">
      <c r="A1907" s="6" t="n">
        <v>43030.2140972222</v>
      </c>
      <c r="B1907" s="7" t="str">
        <f aca="false">HYPERLINK("https://twitter.com/mangeshdamre","@mangeshdamre")</f>
        <v>@mangeshdamre</v>
      </c>
      <c r="C1907" s="8" t="s">
        <v>2195</v>
      </c>
      <c r="D1907" s="8" t="s">
        <v>5010</v>
      </c>
      <c r="E1907" s="9" t="str">
        <f aca="false">HYPERLINK("https://twitter.com/mangeshdamre/status/922072118224936965","922072118224936965")</f>
        <v>922072118224936965</v>
      </c>
      <c r="F1907" s="10" t="s">
        <v>55</v>
      </c>
      <c r="G1907" s="10" t="n">
        <v>72</v>
      </c>
      <c r="H1907" s="10" t="n">
        <v>33</v>
      </c>
      <c r="I1907" s="10" t="n">
        <v>0</v>
      </c>
      <c r="J1907" s="10" t="n">
        <v>0</v>
      </c>
      <c r="K1907" s="10" t="s">
        <v>20</v>
      </c>
      <c r="L1907" s="11" t="n">
        <v>40468.9849305556</v>
      </c>
      <c r="M1907" s="12" t="s">
        <v>2197</v>
      </c>
      <c r="N1907" s="12" t="s">
        <v>2198</v>
      </c>
      <c r="O1907" s="9" t="str">
        <f aca="false">HYPERLINK("https://pbs.twimg.com/profile_images/879399779314397184/0pyy35jd_normal.jpg","View")</f>
        <v>View</v>
      </c>
      <c r="P1907" s="10"/>
    </row>
    <row r="1908" customFormat="false" ht="15.75" hidden="false" customHeight="false" outlineLevel="0" collapsed="false">
      <c r="A1908" s="6" t="n">
        <v>43030.2141203704</v>
      </c>
      <c r="B1908" s="7" t="str">
        <f aca="false">HYPERLINK("https://twitter.com/MusingsOfDCC","@MusingsOfDCC")</f>
        <v>@MusingsOfDCC</v>
      </c>
      <c r="C1908" s="8" t="s">
        <v>5011</v>
      </c>
      <c r="D1908" s="8" t="s">
        <v>5012</v>
      </c>
      <c r="E1908" s="9" t="str">
        <f aca="false">HYPERLINK("https://twitter.com/MusingsOfDCC/status/922072123870449664","922072123870449664")</f>
        <v>922072123870449664</v>
      </c>
      <c r="F1908" s="10" t="s">
        <v>25</v>
      </c>
      <c r="G1908" s="10" t="n">
        <v>321</v>
      </c>
      <c r="H1908" s="10" t="n">
        <v>622</v>
      </c>
      <c r="I1908" s="10" t="n">
        <v>1</v>
      </c>
      <c r="J1908" s="10" t="n">
        <v>0</v>
      </c>
      <c r="K1908" s="10" t="s">
        <v>20</v>
      </c>
      <c r="L1908" s="11" t="n">
        <v>41511.5534143519</v>
      </c>
      <c r="M1908" s="12" t="s">
        <v>5013</v>
      </c>
      <c r="N1908" s="12" t="s">
        <v>5014</v>
      </c>
      <c r="O1908" s="9" t="str">
        <f aca="false">HYPERLINK("https://pbs.twimg.com/profile_images/853016719551598593/EpDfv-WA_normal.jpg","View")</f>
        <v>View</v>
      </c>
      <c r="P1908" s="10"/>
    </row>
    <row r="1909" customFormat="false" ht="15.75" hidden="false" customHeight="false" outlineLevel="0" collapsed="false">
      <c r="A1909" s="6" t="n">
        <v>43030.2141203704</v>
      </c>
      <c r="B1909" s="7" t="str">
        <f aca="false">HYPERLINK("https://twitter.com/jfmusy","@jfmusy")</f>
        <v>@jfmusy</v>
      </c>
      <c r="C1909" s="8" t="s">
        <v>783</v>
      </c>
      <c r="D1909" s="8" t="s">
        <v>5015</v>
      </c>
      <c r="E1909" s="9" t="str">
        <f aca="false">HYPERLINK("https://twitter.com/jfmusy/status/922072125242073088","922072125242073088")</f>
        <v>922072125242073088</v>
      </c>
      <c r="F1909" s="10" t="s">
        <v>60</v>
      </c>
      <c r="G1909" s="10" t="n">
        <v>591</v>
      </c>
      <c r="H1909" s="10" t="n">
        <v>94</v>
      </c>
      <c r="I1909" s="10" t="n">
        <v>0</v>
      </c>
      <c r="J1909" s="10" t="n">
        <v>0</v>
      </c>
      <c r="K1909" s="10" t="s">
        <v>20</v>
      </c>
      <c r="L1909" s="11" t="n">
        <v>40829.6274074074</v>
      </c>
      <c r="M1909" s="12" t="s">
        <v>785</v>
      </c>
      <c r="N1909" s="12" t="s">
        <v>786</v>
      </c>
      <c r="O1909" s="9" t="str">
        <f aca="false">HYPERLINK("https://pbs.twimg.com/profile_images/617712701670846464/JnWhbF5-_normal.jpg","View")</f>
        <v>View</v>
      </c>
      <c r="P1909" s="10"/>
    </row>
    <row r="1910" customFormat="false" ht="15.75" hidden="false" customHeight="false" outlineLevel="0" collapsed="false">
      <c r="A1910" s="6" t="n">
        <v>43030.2141319445</v>
      </c>
      <c r="B1910" s="7" t="str">
        <f aca="false">HYPERLINK("https://twitter.com/thelifeyougavem","@thelifeyougavem")</f>
        <v>@thelifeyougavem</v>
      </c>
      <c r="C1910" s="8" t="s">
        <v>5016</v>
      </c>
      <c r="D1910" s="8" t="s">
        <v>5017</v>
      </c>
      <c r="E1910" s="9" t="str">
        <f aca="false">HYPERLINK("https://twitter.com/thelifeyougavem/status/922072127347548160","922072127347548160")</f>
        <v>922072127347548160</v>
      </c>
      <c r="F1910" s="10" t="s">
        <v>60</v>
      </c>
      <c r="G1910" s="10" t="n">
        <v>508</v>
      </c>
      <c r="H1910" s="10" t="n">
        <v>515</v>
      </c>
      <c r="I1910" s="10" t="n">
        <v>0</v>
      </c>
      <c r="J1910" s="10" t="n">
        <v>0</v>
      </c>
      <c r="K1910" s="10" t="s">
        <v>20</v>
      </c>
      <c r="L1910" s="11" t="n">
        <v>42590.8724074074</v>
      </c>
      <c r="M1910" s="12" t="s">
        <v>4218</v>
      </c>
      <c r="N1910" s="12" t="s">
        <v>5018</v>
      </c>
      <c r="O1910" s="9" t="str">
        <f aca="false">HYPERLINK("https://pbs.twimg.com/profile_images/899656908948353025/gYZDPi39_normal.jpg","View")</f>
        <v>View</v>
      </c>
      <c r="P1910" s="10"/>
    </row>
    <row r="1911" customFormat="false" ht="15.75" hidden="false" customHeight="false" outlineLevel="0" collapsed="false">
      <c r="A1911" s="6" t="n">
        <v>43030.2142361111</v>
      </c>
      <c r="B1911" s="7" t="str">
        <f aca="false">HYPERLINK("https://twitter.com/parishatzi","@parishatzi")</f>
        <v>@parishatzi</v>
      </c>
      <c r="C1911" s="8" t="s">
        <v>5019</v>
      </c>
      <c r="D1911" s="8" t="s">
        <v>5020</v>
      </c>
      <c r="E1911" s="9" t="str">
        <f aca="false">HYPERLINK("https://twitter.com/parishatzi/status/922072164756590592","922072164756590592")</f>
        <v>922072164756590592</v>
      </c>
      <c r="F1911" s="10" t="s">
        <v>60</v>
      </c>
      <c r="G1911" s="10" t="n">
        <v>1562</v>
      </c>
      <c r="H1911" s="10" t="n">
        <v>136</v>
      </c>
      <c r="I1911" s="10" t="n">
        <v>0</v>
      </c>
      <c r="J1911" s="10" t="n">
        <v>0</v>
      </c>
      <c r="K1911" s="10" t="s">
        <v>20</v>
      </c>
      <c r="L1911" s="11" t="n">
        <v>40791.0596527778</v>
      </c>
      <c r="M1911" s="12" t="s">
        <v>5021</v>
      </c>
      <c r="N1911" s="12" t="s">
        <v>5022</v>
      </c>
      <c r="O1911" s="9" t="str">
        <f aca="false">HYPERLINK("https://pbs.twimg.com/profile_images/557473320635887617/zTZTQoxj_normal.jpeg","View")</f>
        <v>View</v>
      </c>
      <c r="P1911" s="10"/>
    </row>
    <row r="1912" customFormat="false" ht="15.75" hidden="false" customHeight="false" outlineLevel="0" collapsed="false">
      <c r="A1912" s="6" t="n">
        <v>43030.2143055556</v>
      </c>
      <c r="B1912" s="7" t="str">
        <f aca="false">HYPERLINK("https://twitter.com/ranikidog","@ranikidog")</f>
        <v>@ranikidog</v>
      </c>
      <c r="C1912" s="14" t="s">
        <v>5023</v>
      </c>
      <c r="D1912" s="8" t="s">
        <v>4984</v>
      </c>
      <c r="E1912" s="9" t="str">
        <f aca="false">HYPERLINK("https://twitter.com/ranikidog/status/922072191725813760","922072191725813760")</f>
        <v>922072191725813760</v>
      </c>
      <c r="F1912" s="10" t="s">
        <v>25</v>
      </c>
      <c r="G1912" s="10" t="n">
        <v>49</v>
      </c>
      <c r="H1912" s="10" t="n">
        <v>95</v>
      </c>
      <c r="I1912" s="10" t="n">
        <v>187</v>
      </c>
      <c r="J1912" s="10" t="n">
        <v>0</v>
      </c>
      <c r="K1912" s="10" t="s">
        <v>20</v>
      </c>
      <c r="L1912" s="11" t="n">
        <v>40850.3148842593</v>
      </c>
      <c r="M1912" s="12"/>
      <c r="N1912" s="12"/>
      <c r="O1912" s="9" t="str">
        <f aca="false">HYPERLINK("https://pbs.twimg.com/profile_images/455238397422866435/NFapBA65_normal.jpeg","View")</f>
        <v>View</v>
      </c>
      <c r="P1912" s="10"/>
    </row>
    <row r="1913" customFormat="false" ht="15.75" hidden="false" customHeight="false" outlineLevel="0" collapsed="false">
      <c r="A1913" s="6" t="n">
        <v>43030.2143402778</v>
      </c>
      <c r="B1913" s="7" t="str">
        <f aca="false">HYPERLINK("https://twitter.com/ezokomachi","@ezokomachi")</f>
        <v>@ezokomachi</v>
      </c>
      <c r="C1913" s="8" t="s">
        <v>5024</v>
      </c>
      <c r="D1913" s="8" t="s">
        <v>4984</v>
      </c>
      <c r="E1913" s="9" t="str">
        <f aca="false">HYPERLINK("https://twitter.com/ezokomachi/status/922072205617373186","922072205617373186")</f>
        <v>922072205617373186</v>
      </c>
      <c r="F1913" s="10" t="s">
        <v>51</v>
      </c>
      <c r="G1913" s="10" t="n">
        <v>470</v>
      </c>
      <c r="H1913" s="10" t="n">
        <v>797</v>
      </c>
      <c r="I1913" s="10" t="n">
        <v>187</v>
      </c>
      <c r="J1913" s="10" t="n">
        <v>0</v>
      </c>
      <c r="K1913" s="10" t="s">
        <v>20</v>
      </c>
      <c r="L1913" s="11" t="n">
        <v>41370.1146180556</v>
      </c>
      <c r="M1913" s="13" t="s">
        <v>5025</v>
      </c>
      <c r="N1913" s="12" t="s">
        <v>5026</v>
      </c>
      <c r="O1913" s="9" t="str">
        <f aca="false">HYPERLINK("https://pbs.twimg.com/profile_images/923597863514382336/h1WwiZh0_normal.jpg","View")</f>
        <v>View</v>
      </c>
      <c r="P1913" s="10"/>
    </row>
    <row r="1914" customFormat="false" ht="15.75" hidden="false" customHeight="false" outlineLevel="0" collapsed="false">
      <c r="A1914" s="6" t="n">
        <v>43030.2143518519</v>
      </c>
      <c r="B1914" s="7" t="str">
        <f aca="false">HYPERLINK("https://twitter.com/1eddieameh","@1eddieameh")</f>
        <v>@1eddieameh</v>
      </c>
      <c r="C1914" s="8" t="s">
        <v>5027</v>
      </c>
      <c r="D1914" s="8" t="s">
        <v>4124</v>
      </c>
      <c r="E1914" s="9" t="str">
        <f aca="false">HYPERLINK("https://twitter.com/1eddieameh/status/922072209278902273","922072209278902273")</f>
        <v>922072209278902273</v>
      </c>
      <c r="F1914" s="10" t="s">
        <v>25</v>
      </c>
      <c r="G1914" s="10" t="n">
        <v>290</v>
      </c>
      <c r="H1914" s="10" t="n">
        <v>570</v>
      </c>
      <c r="I1914" s="10" t="n">
        <v>111</v>
      </c>
      <c r="J1914" s="10" t="n">
        <v>0</v>
      </c>
      <c r="K1914" s="10" t="s">
        <v>20</v>
      </c>
      <c r="L1914" s="11" t="n">
        <v>40686.0637962963</v>
      </c>
      <c r="M1914" s="12" t="s">
        <v>5028</v>
      </c>
      <c r="N1914" s="12" t="s">
        <v>5029</v>
      </c>
      <c r="O1914" s="9" t="str">
        <f aca="false">HYPERLINK("https://pbs.twimg.com/profile_images/529824243551182848/rUcFI9VA_normal.jpeg","View")</f>
        <v>View</v>
      </c>
      <c r="P1914" s="10"/>
    </row>
    <row r="1915" customFormat="false" ht="15.75" hidden="false" customHeight="false" outlineLevel="0" collapsed="false">
      <c r="A1915" s="6" t="n">
        <v>43030.2143981482</v>
      </c>
      <c r="B1915" s="7" t="str">
        <f aca="false">HYPERLINK("https://twitter.com/calipette","@calipette")</f>
        <v>@calipette</v>
      </c>
      <c r="C1915" s="8" t="s">
        <v>4138</v>
      </c>
      <c r="D1915" s="8" t="s">
        <v>5030</v>
      </c>
      <c r="E1915" s="9" t="str">
        <f aca="false">HYPERLINK("https://twitter.com/calipette/status/922072225330745344","922072225330745344")</f>
        <v>922072225330745344</v>
      </c>
      <c r="F1915" s="10" t="s">
        <v>39</v>
      </c>
      <c r="G1915" s="10" t="n">
        <v>4061</v>
      </c>
      <c r="H1915" s="10" t="n">
        <v>3604</v>
      </c>
      <c r="I1915" s="10" t="n">
        <v>22</v>
      </c>
      <c r="J1915" s="10" t="n">
        <v>0</v>
      </c>
      <c r="K1915" s="10" t="s">
        <v>20</v>
      </c>
      <c r="L1915" s="11" t="n">
        <v>40517.9534490741</v>
      </c>
      <c r="M1915" s="12" t="s">
        <v>4139</v>
      </c>
      <c r="N1915" s="12" t="s">
        <v>4140</v>
      </c>
      <c r="O1915" s="9" t="str">
        <f aca="false">HYPERLINK("https://pbs.twimg.com/profile_images/1759740896/fofoca_normal.jpg","View")</f>
        <v>View</v>
      </c>
      <c r="P1915" s="10"/>
    </row>
    <row r="1916" customFormat="false" ht="15.75" hidden="false" customHeight="false" outlineLevel="0" collapsed="false">
      <c r="A1916" s="6" t="n">
        <v>43030.2144097222</v>
      </c>
      <c r="B1916" s="7" t="str">
        <f aca="false">HYPERLINK("https://twitter.com/AAbdulface","@AAbdulface")</f>
        <v>@AAbdulface</v>
      </c>
      <c r="C1916" s="8" t="s">
        <v>5031</v>
      </c>
      <c r="D1916" s="8" t="s">
        <v>4124</v>
      </c>
      <c r="E1916" s="9" t="str">
        <f aca="false">HYPERLINK("https://twitter.com/AAbdulface/status/922072229285892096","922072229285892096")</f>
        <v>922072229285892096</v>
      </c>
      <c r="F1916" s="10" t="s">
        <v>25</v>
      </c>
      <c r="G1916" s="10" t="n">
        <v>1230</v>
      </c>
      <c r="H1916" s="10" t="n">
        <v>1105</v>
      </c>
      <c r="I1916" s="10" t="n">
        <v>111</v>
      </c>
      <c r="J1916" s="10" t="n">
        <v>0</v>
      </c>
      <c r="K1916" s="10" t="s">
        <v>20</v>
      </c>
      <c r="L1916" s="11" t="n">
        <v>41289.4652777778</v>
      </c>
      <c r="M1916" s="12" t="s">
        <v>5032</v>
      </c>
      <c r="N1916" s="12" t="s">
        <v>5033</v>
      </c>
      <c r="O1916" s="9" t="str">
        <f aca="false">HYPERLINK("https://pbs.twimg.com/profile_images/921318364328407040/dcOLZT00_normal.jpg","View")</f>
        <v>View</v>
      </c>
      <c r="P1916" s="10"/>
    </row>
    <row r="1917" customFormat="false" ht="15.75" hidden="false" customHeight="false" outlineLevel="0" collapsed="false">
      <c r="A1917" s="6" t="n">
        <v>43030.2144328704</v>
      </c>
      <c r="B1917" s="7" t="str">
        <f aca="false">HYPERLINK("https://twitter.com/reevox_85","@reevox_85")</f>
        <v>@reevox_85</v>
      </c>
      <c r="C1917" s="8" t="s">
        <v>5034</v>
      </c>
      <c r="D1917" s="8" t="s">
        <v>5030</v>
      </c>
      <c r="E1917" s="9" t="str">
        <f aca="false">HYPERLINK("https://twitter.com/reevox_85/status/922072238135881728","922072238135881728")</f>
        <v>922072238135881728</v>
      </c>
      <c r="F1917" s="10" t="s">
        <v>39</v>
      </c>
      <c r="G1917" s="10" t="n">
        <v>7411</v>
      </c>
      <c r="H1917" s="10" t="n">
        <v>8131</v>
      </c>
      <c r="I1917" s="10" t="n">
        <v>22</v>
      </c>
      <c r="J1917" s="10" t="n">
        <v>0</v>
      </c>
      <c r="K1917" s="10" t="s">
        <v>20</v>
      </c>
      <c r="L1917" s="11" t="n">
        <v>39928.2083796296</v>
      </c>
      <c r="M1917" s="12" t="s">
        <v>2521</v>
      </c>
      <c r="N1917" s="12" t="s">
        <v>5035</v>
      </c>
      <c r="O1917" s="9" t="str">
        <f aca="false">HYPERLINK("https://pbs.twimg.com/profile_images/907573606024192000/ZKDvu2pD_normal.jpg","View")</f>
        <v>View</v>
      </c>
      <c r="P1917" s="10"/>
    </row>
    <row r="1918" customFormat="false" ht="15.75" hidden="false" customHeight="false" outlineLevel="0" collapsed="false">
      <c r="A1918" s="6" t="n">
        <v>43030.2144560185</v>
      </c>
      <c r="B1918" s="7" t="str">
        <f aca="false">HYPERLINK("https://twitter.com/iamyvettehenry","@iamyvettehenry")</f>
        <v>@iamyvettehenry</v>
      </c>
      <c r="C1918" s="8" t="s">
        <v>5036</v>
      </c>
      <c r="D1918" s="8" t="s">
        <v>4124</v>
      </c>
      <c r="E1918" s="9" t="str">
        <f aca="false">HYPERLINK("https://twitter.com/iamyvettehenry/status/922072245001965568","922072245001965568")</f>
        <v>922072245001965568</v>
      </c>
      <c r="F1918" s="10" t="s">
        <v>51</v>
      </c>
      <c r="G1918" s="10" t="n">
        <v>401</v>
      </c>
      <c r="H1918" s="10" t="n">
        <v>427</v>
      </c>
      <c r="I1918" s="10" t="n">
        <v>111</v>
      </c>
      <c r="J1918" s="10" t="n">
        <v>0</v>
      </c>
      <c r="K1918" s="10" t="s">
        <v>20</v>
      </c>
      <c r="L1918" s="11" t="n">
        <v>39896.8561226852</v>
      </c>
      <c r="M1918" s="12" t="s">
        <v>893</v>
      </c>
      <c r="N1918" s="12" t="s">
        <v>5037</v>
      </c>
      <c r="O1918" s="9" t="str">
        <f aca="false">HYPERLINK("https://pbs.twimg.com/profile_images/868767006069334017/zvDSh3SD_normal.jpg","View")</f>
        <v>View</v>
      </c>
      <c r="P1918" s="10"/>
    </row>
    <row r="1919" customFormat="false" ht="15.75" hidden="false" customHeight="false" outlineLevel="0" collapsed="false">
      <c r="A1919" s="6" t="n">
        <v>43030.2144675926</v>
      </c>
      <c r="B1919" s="7" t="str">
        <f aca="false">HYPERLINK("https://twitter.com/fajrulannas","@fajrulannas")</f>
        <v>@fajrulannas</v>
      </c>
      <c r="C1919" s="8" t="s">
        <v>5038</v>
      </c>
      <c r="D1919" s="8" t="s">
        <v>4984</v>
      </c>
      <c r="E1919" s="9" t="str">
        <f aca="false">HYPERLINK("https://twitter.com/fajrulannas/status/922072251813347329","922072251813347329")</f>
        <v>922072251813347329</v>
      </c>
      <c r="F1919" s="10" t="s">
        <v>25</v>
      </c>
      <c r="G1919" s="10" t="n">
        <v>11</v>
      </c>
      <c r="H1919" s="10" t="n">
        <v>97</v>
      </c>
      <c r="I1919" s="10" t="n">
        <v>187</v>
      </c>
      <c r="J1919" s="10" t="n">
        <v>0</v>
      </c>
      <c r="K1919" s="10" t="s">
        <v>20</v>
      </c>
      <c r="L1919" s="11" t="n">
        <v>42812.7190393519</v>
      </c>
      <c r="M1919" s="12" t="s">
        <v>5039</v>
      </c>
      <c r="N1919" s="12" t="s">
        <v>5040</v>
      </c>
      <c r="O1919" s="9" t="str">
        <f aca="false">HYPERLINK("https://pbs.twimg.com/profile_images/915786075951345664/ckq9dMLK_normal.jpg","View")</f>
        <v>View</v>
      </c>
      <c r="P1919" s="10"/>
    </row>
    <row r="1920" customFormat="false" ht="15.75" hidden="false" customHeight="false" outlineLevel="0" collapsed="false">
      <c r="A1920" s="6" t="n">
        <v>43030.214537037</v>
      </c>
      <c r="B1920" s="7" t="str">
        <f aca="false">HYPERLINK("https://twitter.com/shin_j0843","@shin_j0843")</f>
        <v>@shin_j0843</v>
      </c>
      <c r="C1920" s="14" t="s">
        <v>5041</v>
      </c>
      <c r="D1920" s="8" t="s">
        <v>4984</v>
      </c>
      <c r="E1920" s="9" t="str">
        <f aca="false">HYPERLINK("https://twitter.com/shin_j0843/status/922072276391960576","922072276391960576")</f>
        <v>922072276391960576</v>
      </c>
      <c r="F1920" s="10" t="s">
        <v>39</v>
      </c>
      <c r="G1920" s="10" t="n">
        <v>194</v>
      </c>
      <c r="H1920" s="10" t="n">
        <v>390</v>
      </c>
      <c r="I1920" s="10" t="n">
        <v>187</v>
      </c>
      <c r="J1920" s="10" t="n">
        <v>0</v>
      </c>
      <c r="K1920" s="10" t="s">
        <v>20</v>
      </c>
      <c r="L1920" s="11" t="n">
        <v>40216.1250925926</v>
      </c>
      <c r="M1920" s="13" t="s">
        <v>5042</v>
      </c>
      <c r="N1920" s="13" t="s">
        <v>5043</v>
      </c>
      <c r="O1920" s="9" t="str">
        <f aca="false">HYPERLINK("https://pbs.twimg.com/profile_images/896951908/2499470_1592229981_normal.jpg","View")</f>
        <v>View</v>
      </c>
      <c r="P1920" s="10"/>
    </row>
    <row r="1921" customFormat="false" ht="15.75" hidden="false" customHeight="false" outlineLevel="0" collapsed="false">
      <c r="A1921" s="6" t="n">
        <v>43030.2145486111</v>
      </c>
      <c r="B1921" s="7" t="str">
        <f aca="false">HYPERLINK("https://twitter.com/TheNaaKwaamah","@TheNaaKwaamah")</f>
        <v>@TheNaaKwaamah</v>
      </c>
      <c r="C1921" s="8" t="s">
        <v>5044</v>
      </c>
      <c r="D1921" s="8" t="s">
        <v>4984</v>
      </c>
      <c r="E1921" s="9" t="str">
        <f aca="false">HYPERLINK("https://twitter.com/TheNaaKwaamah/status/922072281848926208","922072281848926208")</f>
        <v>922072281848926208</v>
      </c>
      <c r="F1921" s="10" t="s">
        <v>25</v>
      </c>
      <c r="G1921" s="10" t="n">
        <v>83</v>
      </c>
      <c r="H1921" s="10" t="n">
        <v>306</v>
      </c>
      <c r="I1921" s="10" t="n">
        <v>187</v>
      </c>
      <c r="J1921" s="10" t="n">
        <v>0</v>
      </c>
      <c r="K1921" s="10" t="s">
        <v>20</v>
      </c>
      <c r="L1921" s="11" t="n">
        <v>42895.9970138889</v>
      </c>
      <c r="M1921" s="12" t="s">
        <v>5045</v>
      </c>
      <c r="N1921" s="12" t="s">
        <v>5046</v>
      </c>
      <c r="O1921" s="9" t="str">
        <f aca="false">HYPERLINK("https://pbs.twimg.com/profile_images/914184808024158209/sMDC3HMl_normal.jpg","View")</f>
        <v>View</v>
      </c>
      <c r="P1921" s="10"/>
    </row>
    <row r="1922" customFormat="false" ht="15.75" hidden="false" customHeight="false" outlineLevel="0" collapsed="false">
      <c r="A1922" s="6" t="n">
        <v>43030.2145601852</v>
      </c>
      <c r="B1922" s="7" t="str">
        <f aca="false">HYPERLINK("https://twitter.com/red_sunflower_k","@red_sunflower_k")</f>
        <v>@red_sunflower_k</v>
      </c>
      <c r="C1922" s="14" t="s">
        <v>5047</v>
      </c>
      <c r="D1922" s="8" t="s">
        <v>4984</v>
      </c>
      <c r="E1922" s="9" t="str">
        <f aca="false">HYPERLINK("https://twitter.com/red_sunflower_k/status/922072282280861696","922072282280861696")</f>
        <v>922072282280861696</v>
      </c>
      <c r="F1922" s="10" t="s">
        <v>39</v>
      </c>
      <c r="G1922" s="10" t="n">
        <v>50</v>
      </c>
      <c r="H1922" s="10" t="n">
        <v>178</v>
      </c>
      <c r="I1922" s="10" t="n">
        <v>187</v>
      </c>
      <c r="J1922" s="10" t="n">
        <v>0</v>
      </c>
      <c r="K1922" s="10" t="s">
        <v>20</v>
      </c>
      <c r="L1922" s="11" t="n">
        <v>42657.0412268519</v>
      </c>
      <c r="M1922" s="13" t="s">
        <v>5048</v>
      </c>
      <c r="N1922" s="12"/>
      <c r="O1922" s="9" t="str">
        <f aca="false">HYPERLINK("https://pbs.twimg.com/profile_images/802000993911062528/NcNDFWHh_normal.jpg","View")</f>
        <v>View</v>
      </c>
      <c r="P1922" s="10"/>
    </row>
    <row r="1923" customFormat="false" ht="15.75" hidden="false" customHeight="false" outlineLevel="0" collapsed="false">
      <c r="A1923" s="6" t="n">
        <v>43030.2145717593</v>
      </c>
      <c r="B1923" s="7" t="str">
        <f aca="false">HYPERLINK("https://twitter.com/UenoRyohei","@UenoRyohei")</f>
        <v>@UenoRyohei</v>
      </c>
      <c r="C1923" s="8" t="s">
        <v>5049</v>
      </c>
      <c r="D1923" s="8" t="s">
        <v>4984</v>
      </c>
      <c r="E1923" s="9" t="str">
        <f aca="false">HYPERLINK("https://twitter.com/UenoRyohei/status/922072287750193153","922072287750193153")</f>
        <v>922072287750193153</v>
      </c>
      <c r="F1923" s="10" t="s">
        <v>39</v>
      </c>
      <c r="G1923" s="10" t="n">
        <v>213</v>
      </c>
      <c r="H1923" s="10" t="n">
        <v>230</v>
      </c>
      <c r="I1923" s="10" t="n">
        <v>187</v>
      </c>
      <c r="J1923" s="10" t="n">
        <v>0</v>
      </c>
      <c r="K1923" s="10" t="s">
        <v>20</v>
      </c>
      <c r="L1923" s="11" t="n">
        <v>40829.0811111111</v>
      </c>
      <c r="M1923" s="13" t="s">
        <v>5048</v>
      </c>
      <c r="N1923" s="12" t="s">
        <v>5050</v>
      </c>
      <c r="O1923" s="9" t="str">
        <f aca="false">HYPERLINK("https://pbs.twimg.com/profile_images/906290659686051840/n7JNjOiB_normal.jpg","View")</f>
        <v>View</v>
      </c>
      <c r="P1923" s="10"/>
    </row>
    <row r="1924" customFormat="false" ht="15.75" hidden="false" customHeight="false" outlineLevel="0" collapsed="false">
      <c r="A1924" s="6" t="n">
        <v>43030.2145717593</v>
      </c>
      <c r="B1924" s="7" t="str">
        <f aca="false">HYPERLINK("https://twitter.com/VeroYafes","@VeroYafes")</f>
        <v>@VeroYafes</v>
      </c>
      <c r="C1924" s="8" t="s">
        <v>5051</v>
      </c>
      <c r="D1924" s="8" t="s">
        <v>4124</v>
      </c>
      <c r="E1924" s="9" t="str">
        <f aca="false">HYPERLINK("https://twitter.com/VeroYafes/status/922072288757010433","922072288757010433")</f>
        <v>922072288757010433</v>
      </c>
      <c r="F1924" s="10" t="s">
        <v>25</v>
      </c>
      <c r="G1924" s="10" t="n">
        <v>601</v>
      </c>
      <c r="H1924" s="10" t="n">
        <v>588</v>
      </c>
      <c r="I1924" s="10" t="n">
        <v>111</v>
      </c>
      <c r="J1924" s="10" t="n">
        <v>0</v>
      </c>
      <c r="K1924" s="10" t="s">
        <v>20</v>
      </c>
      <c r="L1924" s="11" t="n">
        <v>42010.5409143519</v>
      </c>
      <c r="M1924" s="12" t="s">
        <v>5052</v>
      </c>
      <c r="N1924" s="12" t="s">
        <v>5053</v>
      </c>
      <c r="O1924" s="9" t="str">
        <f aca="false">HYPERLINK("https://pbs.twimg.com/profile_images/889114334709899264/6IN3VoJD_normal.jpg","View")</f>
        <v>View</v>
      </c>
      <c r="P1924" s="10"/>
    </row>
    <row r="1925" customFormat="false" ht="15.75" hidden="false" customHeight="false" outlineLevel="0" collapsed="false">
      <c r="A1925" s="6" t="n">
        <v>43030.2146412037</v>
      </c>
      <c r="B1925" s="7" t="str">
        <f aca="false">HYPERLINK("https://twitter.com/TheBFRoom","@TheBFRoom")</f>
        <v>@TheBFRoom</v>
      </c>
      <c r="C1925" s="8" t="s">
        <v>674</v>
      </c>
      <c r="D1925" s="8" t="s">
        <v>5054</v>
      </c>
      <c r="E1925" s="9" t="str">
        <f aca="false">HYPERLINK("https://twitter.com/TheBFRoom/status/922072313390092288","922072313390092288")</f>
        <v>922072313390092288</v>
      </c>
      <c r="F1925" s="10" t="s">
        <v>60</v>
      </c>
      <c r="G1925" s="10" t="n">
        <v>3259</v>
      </c>
      <c r="H1925" s="10" t="n">
        <v>3958</v>
      </c>
      <c r="I1925" s="10" t="n">
        <v>0</v>
      </c>
      <c r="J1925" s="10" t="n">
        <v>0</v>
      </c>
      <c r="K1925" s="10" t="s">
        <v>20</v>
      </c>
      <c r="L1925" s="11" t="n">
        <v>42761.325162037</v>
      </c>
      <c r="M1925" s="12" t="s">
        <v>230</v>
      </c>
      <c r="N1925" s="12" t="s">
        <v>676</v>
      </c>
      <c r="O1925" s="9" t="str">
        <f aca="false">HYPERLINK("https://pbs.twimg.com/profile_images/898379268778020864/0u1zlj_B_normal.jpg","View")</f>
        <v>View</v>
      </c>
      <c r="P1925" s="10"/>
    </row>
    <row r="1926" customFormat="false" ht="15.75" hidden="false" customHeight="false" outlineLevel="0" collapsed="false">
      <c r="A1926" s="6" t="n">
        <v>43030.2146643519</v>
      </c>
      <c r="B1926" s="7" t="str">
        <f aca="false">HYPERLINK("https://twitter.com/georgegallagher","@georgegallagher")</f>
        <v>@georgegallagher</v>
      </c>
      <c r="C1926" s="8" t="s">
        <v>5055</v>
      </c>
      <c r="D1926" s="8" t="s">
        <v>5056</v>
      </c>
      <c r="E1926" s="9" t="str">
        <f aca="false">HYPERLINK("https://twitter.com/georgegallagher/status/922072320302338048","922072320302338048")</f>
        <v>922072320302338048</v>
      </c>
      <c r="F1926" s="10" t="s">
        <v>60</v>
      </c>
      <c r="G1926" s="10" t="n">
        <v>1872</v>
      </c>
      <c r="H1926" s="10" t="n">
        <v>2272</v>
      </c>
      <c r="I1926" s="10" t="n">
        <v>0</v>
      </c>
      <c r="J1926" s="10" t="n">
        <v>0</v>
      </c>
      <c r="K1926" s="10" t="s">
        <v>20</v>
      </c>
      <c r="L1926" s="11" t="n">
        <v>39936.6947337963</v>
      </c>
      <c r="M1926" s="12" t="s">
        <v>1617</v>
      </c>
      <c r="N1926" s="12"/>
      <c r="O1926" s="9" t="str">
        <f aca="false">HYPERLINK("https://pbs.twimg.com/profile_images/917187205470281728/xImul-ZD_normal.jpg","View")</f>
        <v>View</v>
      </c>
      <c r="P1926" s="10"/>
    </row>
    <row r="1927" customFormat="false" ht="15.75" hidden="false" customHeight="false" outlineLevel="0" collapsed="false">
      <c r="A1927" s="6" t="n">
        <v>43030.2146875</v>
      </c>
      <c r="B1927" s="7" t="str">
        <f aca="false">HYPERLINK("https://twitter.com/Figikung","@Figikung")</f>
        <v>@Figikung</v>
      </c>
      <c r="C1927" s="8" t="s">
        <v>451</v>
      </c>
      <c r="D1927" s="8" t="s">
        <v>5057</v>
      </c>
      <c r="E1927" s="9" t="str">
        <f aca="false">HYPERLINK("https://twitter.com/Figikung/status/922072329827573761","922072329827573761")</f>
        <v>922072329827573761</v>
      </c>
      <c r="F1927" s="10" t="s">
        <v>60</v>
      </c>
      <c r="G1927" s="10" t="n">
        <v>217</v>
      </c>
      <c r="H1927" s="10" t="n">
        <v>149</v>
      </c>
      <c r="I1927" s="10" t="n">
        <v>0</v>
      </c>
      <c r="J1927" s="10" t="n">
        <v>0</v>
      </c>
      <c r="K1927" s="10" t="s">
        <v>20</v>
      </c>
      <c r="L1927" s="11" t="n">
        <v>42816.9208912037</v>
      </c>
      <c r="M1927" s="12" t="s">
        <v>230</v>
      </c>
      <c r="N1927" s="12" t="s">
        <v>453</v>
      </c>
      <c r="O1927" s="9" t="str">
        <f aca="false">HYPERLINK("https://pbs.twimg.com/profile_images/844777639822819331/yRMcKB4U_normal.jpg","View")</f>
        <v>View</v>
      </c>
      <c r="P1927" s="10"/>
    </row>
    <row r="1928" customFormat="false" ht="15.75" hidden="false" customHeight="false" outlineLevel="0" collapsed="false">
      <c r="A1928" s="6" t="n">
        <v>43030.2146990741</v>
      </c>
      <c r="B1928" s="7" t="str">
        <f aca="false">HYPERLINK("https://twitter.com/EnterateLine","@EnterateLine")</f>
        <v>@EnterateLine</v>
      </c>
      <c r="C1928" s="8" t="s">
        <v>386</v>
      </c>
      <c r="D1928" s="8" t="s">
        <v>5058</v>
      </c>
      <c r="E1928" s="9" t="str">
        <f aca="false">HYPERLINK("https://twitter.com/EnterateLine/status/922072333812142080","922072333812142080")</f>
        <v>922072333812142080</v>
      </c>
      <c r="F1928" s="10" t="s">
        <v>60</v>
      </c>
      <c r="G1928" s="10" t="n">
        <v>91</v>
      </c>
      <c r="H1928" s="10" t="n">
        <v>287</v>
      </c>
      <c r="I1928" s="10" t="n">
        <v>0</v>
      </c>
      <c r="J1928" s="10" t="n">
        <v>0</v>
      </c>
      <c r="K1928" s="10" t="s">
        <v>20</v>
      </c>
      <c r="L1928" s="11" t="n">
        <v>42359.3627893519</v>
      </c>
      <c r="M1928" s="12"/>
      <c r="N1928" s="12" t="s">
        <v>388</v>
      </c>
      <c r="O1928" s="9" t="str">
        <f aca="false">HYPERLINK("https://pbs.twimg.com/profile_images/678983367065473025/cUEB_npM_normal.png","View")</f>
        <v>View</v>
      </c>
      <c r="P1928" s="10"/>
    </row>
    <row r="1929" customFormat="false" ht="15.75" hidden="false" customHeight="false" outlineLevel="0" collapsed="false">
      <c r="A1929" s="6" t="n">
        <v>43030.2147337963</v>
      </c>
      <c r="B1929" s="7" t="str">
        <f aca="false">HYPERLINK("https://twitter.com/DanielBruski","@DanielBruski")</f>
        <v>@DanielBruski</v>
      </c>
      <c r="C1929" s="8" t="s">
        <v>5059</v>
      </c>
      <c r="D1929" s="8" t="s">
        <v>4984</v>
      </c>
      <c r="E1929" s="9" t="str">
        <f aca="false">HYPERLINK("https://twitter.com/DanielBruski/status/922072346734809088","922072346734809088")</f>
        <v>922072346734809088</v>
      </c>
      <c r="F1929" s="10" t="s">
        <v>25</v>
      </c>
      <c r="G1929" s="10" t="n">
        <v>2641</v>
      </c>
      <c r="H1929" s="10" t="n">
        <v>5000</v>
      </c>
      <c r="I1929" s="10" t="n">
        <v>187</v>
      </c>
      <c r="J1929" s="10" t="n">
        <v>0</v>
      </c>
      <c r="K1929" s="10" t="s">
        <v>20</v>
      </c>
      <c r="L1929" s="11" t="n">
        <v>39980.4122685185</v>
      </c>
      <c r="M1929" s="12" t="s">
        <v>5060</v>
      </c>
      <c r="N1929" s="12" t="s">
        <v>5061</v>
      </c>
      <c r="O1929" s="9" t="str">
        <f aca="false">HYPERLINK("https://pbs.twimg.com/profile_images/904857077268357120/HqiwpfWL_normal.jpg","View")</f>
        <v>View</v>
      </c>
      <c r="P1929" s="10"/>
    </row>
    <row r="1930" customFormat="false" ht="15.75" hidden="false" customHeight="false" outlineLevel="0" collapsed="false">
      <c r="A1930" s="6" t="n">
        <v>43030.2147337963</v>
      </c>
      <c r="B1930" s="7" t="str">
        <f aca="false">HYPERLINK("https://twitter.com/Spencer2490","@Spencer2490")</f>
        <v>@Spencer2490</v>
      </c>
      <c r="C1930" s="8" t="s">
        <v>721</v>
      </c>
      <c r="D1930" s="8" t="s">
        <v>5062</v>
      </c>
      <c r="E1930" s="9" t="str">
        <f aca="false">HYPERLINK("https://twitter.com/Spencer2490/status/922072347846348801","922072347846348801")</f>
        <v>922072347846348801</v>
      </c>
      <c r="F1930" s="10" t="s">
        <v>60</v>
      </c>
      <c r="G1930" s="10" t="n">
        <v>75</v>
      </c>
      <c r="H1930" s="10" t="n">
        <v>27</v>
      </c>
      <c r="I1930" s="10" t="n">
        <v>0</v>
      </c>
      <c r="J1930" s="10" t="n">
        <v>0</v>
      </c>
      <c r="K1930" s="10" t="s">
        <v>20</v>
      </c>
      <c r="L1930" s="11" t="n">
        <v>42798.5306365741</v>
      </c>
      <c r="M1930" s="12" t="s">
        <v>723</v>
      </c>
      <c r="N1930" s="12" t="s">
        <v>724</v>
      </c>
      <c r="O1930" s="9" t="str">
        <f aca="false">HYPERLINK("https://pbs.twimg.com/profile_images/838128931844866048/Y0cWQdEl_normal.jpg","View")</f>
        <v>View</v>
      </c>
      <c r="P1930" s="10"/>
    </row>
    <row r="1931" customFormat="false" ht="15.75" hidden="false" customHeight="false" outlineLevel="0" collapsed="false">
      <c r="A1931" s="6" t="n">
        <v>43030.2147569445</v>
      </c>
      <c r="B1931" s="7" t="str">
        <f aca="false">HYPERLINK("https://twitter.com/jubair4942","@jubair4942")</f>
        <v>@jubair4942</v>
      </c>
      <c r="C1931" s="8" t="s">
        <v>5063</v>
      </c>
      <c r="D1931" s="8" t="s">
        <v>5064</v>
      </c>
      <c r="E1931" s="9" t="str">
        <f aca="false">HYPERLINK("https://twitter.com/jubair4942/status/922072356054536192","922072356054536192")</f>
        <v>922072356054536192</v>
      </c>
      <c r="F1931" s="10" t="s">
        <v>60</v>
      </c>
      <c r="G1931" s="10" t="n">
        <v>686</v>
      </c>
      <c r="H1931" s="10" t="n">
        <v>2641</v>
      </c>
      <c r="I1931" s="10" t="n">
        <v>0</v>
      </c>
      <c r="J1931" s="10" t="n">
        <v>0</v>
      </c>
      <c r="K1931" s="10" t="s">
        <v>20</v>
      </c>
      <c r="L1931" s="11" t="n">
        <v>42356.3040162037</v>
      </c>
      <c r="M1931" s="12" t="s">
        <v>5065</v>
      </c>
      <c r="N1931" s="12" t="s">
        <v>5066</v>
      </c>
      <c r="O1931" s="9" t="str">
        <f aca="false">HYPERLINK("https://pbs.twimg.com/profile_images/892308379233771520/aRq1GLCK_normal.jpg","View")</f>
        <v>View</v>
      </c>
      <c r="P1931" s="10"/>
    </row>
    <row r="1932" customFormat="false" ht="15.75" hidden="false" customHeight="false" outlineLevel="0" collapsed="false">
      <c r="A1932" s="6" t="n">
        <v>43030.2147800926</v>
      </c>
      <c r="B1932" s="7" t="str">
        <f aca="false">HYPERLINK("https://twitter.com/tibettruth","@tibettruth")</f>
        <v>@tibettruth</v>
      </c>
      <c r="C1932" s="8" t="s">
        <v>5067</v>
      </c>
      <c r="D1932" s="8" t="s">
        <v>5068</v>
      </c>
      <c r="E1932" s="9" t="str">
        <f aca="false">HYPERLINK("https://twitter.com/tibettruth/status/922072361909841920","922072361909841920")</f>
        <v>922072361909841920</v>
      </c>
      <c r="F1932" s="10" t="s">
        <v>60</v>
      </c>
      <c r="G1932" s="10" t="n">
        <v>11210</v>
      </c>
      <c r="H1932" s="10" t="n">
        <v>7649</v>
      </c>
      <c r="I1932" s="10" t="n">
        <v>0</v>
      </c>
      <c r="J1932" s="10" t="n">
        <v>0</v>
      </c>
      <c r="K1932" s="10" t="s">
        <v>20</v>
      </c>
      <c r="L1932" s="11" t="n">
        <v>39892.6360648148</v>
      </c>
      <c r="M1932" s="12" t="s">
        <v>5069</v>
      </c>
      <c r="N1932" s="12" t="s">
        <v>5070</v>
      </c>
      <c r="O1932" s="9" t="str">
        <f aca="false">HYPERLINK("https://pbs.twimg.com/profile_images/921729722484080640/uOKt17UT_normal.jpg","View")</f>
        <v>View</v>
      </c>
      <c r="P1932" s="10"/>
    </row>
    <row r="1933" customFormat="false" ht="15.75" hidden="false" customHeight="false" outlineLevel="0" collapsed="false">
      <c r="A1933" s="6" t="n">
        <v>43030.2147800926</v>
      </c>
      <c r="B1933" s="7" t="str">
        <f aca="false">HYPERLINK("https://twitter.com/HelleNico","@HelleNico")</f>
        <v>@HelleNico</v>
      </c>
      <c r="C1933" s="8" t="s">
        <v>5071</v>
      </c>
      <c r="D1933" s="8" t="s">
        <v>5072</v>
      </c>
      <c r="E1933" s="9" t="str">
        <f aca="false">HYPERLINK("https://twitter.com/HelleNico/status/922072363067478018","922072363067478018")</f>
        <v>922072363067478018</v>
      </c>
      <c r="F1933" s="10" t="s">
        <v>60</v>
      </c>
      <c r="G1933" s="10" t="n">
        <v>822</v>
      </c>
      <c r="H1933" s="10" t="n">
        <v>723</v>
      </c>
      <c r="I1933" s="10" t="n">
        <v>0</v>
      </c>
      <c r="J1933" s="10" t="n">
        <v>0</v>
      </c>
      <c r="K1933" s="10" t="s">
        <v>20</v>
      </c>
      <c r="L1933" s="11" t="n">
        <v>39785.7399074074</v>
      </c>
      <c r="M1933" s="12" t="s">
        <v>5073</v>
      </c>
      <c r="N1933" s="12" t="s">
        <v>5074</v>
      </c>
      <c r="O1933" s="9" t="str">
        <f aca="false">HYPERLINK("https://pbs.twimg.com/profile_images/520870201/NK_normal.JPG","View")</f>
        <v>View</v>
      </c>
      <c r="P1933" s="10"/>
    </row>
    <row r="1934" customFormat="false" ht="15.75" hidden="false" customHeight="false" outlineLevel="0" collapsed="false">
      <c r="A1934" s="6" t="n">
        <v>43030.2148032407</v>
      </c>
      <c r="B1934" s="7" t="str">
        <f aca="false">HYPERLINK("https://twitter.com/markalexander_1","@markalexander_1")</f>
        <v>@markalexander_1</v>
      </c>
      <c r="C1934" s="8" t="s">
        <v>5075</v>
      </c>
      <c r="D1934" s="8" t="s">
        <v>5076</v>
      </c>
      <c r="E1934" s="9" t="str">
        <f aca="false">HYPERLINK("https://twitter.com/markalexander_1/status/922072372471005184","922072372471005184")</f>
        <v>922072372471005184</v>
      </c>
      <c r="F1934" s="10" t="s">
        <v>39</v>
      </c>
      <c r="G1934" s="10" t="n">
        <v>2211</v>
      </c>
      <c r="H1934" s="10" t="n">
        <v>4720</v>
      </c>
      <c r="I1934" s="10" t="n">
        <v>2</v>
      </c>
      <c r="J1934" s="10" t="n">
        <v>2</v>
      </c>
      <c r="K1934" s="10" t="s">
        <v>20</v>
      </c>
      <c r="L1934" s="11" t="n">
        <v>39981.2956944444</v>
      </c>
      <c r="M1934" s="12" t="s">
        <v>203</v>
      </c>
      <c r="N1934" s="12" t="s">
        <v>5077</v>
      </c>
      <c r="O1934" s="9" t="str">
        <f aca="false">HYPERLINK("https://pbs.twimg.com/profile_images/874033521391808512/RWpgmfIo_normal.jpg","View")</f>
        <v>View</v>
      </c>
      <c r="P1934" s="10"/>
    </row>
    <row r="1935" customFormat="false" ht="15.75" hidden="false" customHeight="false" outlineLevel="0" collapsed="false">
      <c r="A1935" s="6" t="n">
        <v>43030.2148148148</v>
      </c>
      <c r="B1935" s="7" t="str">
        <f aca="false">HYPERLINK("https://twitter.com/Clasherz01","@Clasherz01")</f>
        <v>@Clasherz01</v>
      </c>
      <c r="C1935" s="8" t="s">
        <v>5078</v>
      </c>
      <c r="D1935" s="8" t="s">
        <v>5079</v>
      </c>
      <c r="E1935" s="9" t="str">
        <f aca="false">HYPERLINK("https://twitter.com/Clasherz01/status/922072376396959744","922072376396959744")</f>
        <v>922072376396959744</v>
      </c>
      <c r="F1935" s="10" t="s">
        <v>60</v>
      </c>
      <c r="G1935" s="10" t="n">
        <v>18</v>
      </c>
      <c r="H1935" s="10" t="n">
        <v>18</v>
      </c>
      <c r="I1935" s="10" t="n">
        <v>0</v>
      </c>
      <c r="J1935" s="10" t="n">
        <v>0</v>
      </c>
      <c r="K1935" s="10" t="s">
        <v>20</v>
      </c>
      <c r="L1935" s="11" t="n">
        <v>42136.9118981481</v>
      </c>
      <c r="M1935" s="12" t="s">
        <v>5080</v>
      </c>
      <c r="N1935" s="12" t="s">
        <v>5081</v>
      </c>
      <c r="O1935" s="9" t="str">
        <f aca="false">HYPERLINK("https://pbs.twimg.com/profile_images/889016977532080128/44ApadD1_normal.jpg","View")</f>
        <v>View</v>
      </c>
      <c r="P1935" s="10"/>
    </row>
    <row r="1936" customFormat="false" ht="15.75" hidden="false" customHeight="false" outlineLevel="0" collapsed="false">
      <c r="A1936" s="6" t="n">
        <v>43030.2148148148</v>
      </c>
      <c r="B1936" s="7" t="str">
        <f aca="false">HYPERLINK("https://twitter.com/dibakarme","@dibakarme")</f>
        <v>@dibakarme</v>
      </c>
      <c r="C1936" s="8" t="s">
        <v>745</v>
      </c>
      <c r="D1936" s="8" t="s">
        <v>5082</v>
      </c>
      <c r="E1936" s="9" t="str">
        <f aca="false">HYPERLINK("https://twitter.com/dibakarme/status/922072377281966080","922072377281966080")</f>
        <v>922072377281966080</v>
      </c>
      <c r="F1936" s="10" t="s">
        <v>60</v>
      </c>
      <c r="G1936" s="10" t="n">
        <v>1395</v>
      </c>
      <c r="H1936" s="10" t="n">
        <v>4852</v>
      </c>
      <c r="I1936" s="10" t="n">
        <v>0</v>
      </c>
      <c r="J1936" s="10" t="n">
        <v>0</v>
      </c>
      <c r="K1936" s="10" t="s">
        <v>20</v>
      </c>
      <c r="L1936" s="11" t="n">
        <v>41314.1230671296</v>
      </c>
      <c r="M1936" s="12" t="s">
        <v>747</v>
      </c>
      <c r="N1936" s="12" t="s">
        <v>748</v>
      </c>
      <c r="O1936" s="9" t="str">
        <f aca="false">HYPERLINK("https://pbs.twimg.com/profile_images/916070941481951232/hiUaouzl_normal.jpg","View")</f>
        <v>View</v>
      </c>
      <c r="P1936" s="10"/>
    </row>
    <row r="1937" customFormat="false" ht="15.75" hidden="false" customHeight="false" outlineLevel="0" collapsed="false">
      <c r="A1937" s="6" t="n">
        <v>43030.2148263889</v>
      </c>
      <c r="B1937" s="7" t="str">
        <f aca="false">HYPERLINK("https://twitter.com/DonovankRussell","@DonovankRussell")</f>
        <v>@DonovankRussell</v>
      </c>
      <c r="C1937" s="8" t="s">
        <v>5083</v>
      </c>
      <c r="D1937" s="8" t="s">
        <v>4124</v>
      </c>
      <c r="E1937" s="9" t="str">
        <f aca="false">HYPERLINK("https://twitter.com/DonovankRussell/status/922072380561874944","922072380561874944")</f>
        <v>922072380561874944</v>
      </c>
      <c r="F1937" s="10" t="s">
        <v>25</v>
      </c>
      <c r="G1937" s="10" t="n">
        <v>543</v>
      </c>
      <c r="H1937" s="10" t="n">
        <v>551</v>
      </c>
      <c r="I1937" s="10" t="n">
        <v>111</v>
      </c>
      <c r="J1937" s="10" t="n">
        <v>0</v>
      </c>
      <c r="K1937" s="10" t="s">
        <v>20</v>
      </c>
      <c r="L1937" s="11" t="n">
        <v>41361.4319560185</v>
      </c>
      <c r="M1937" s="12"/>
      <c r="N1937" s="12" t="s">
        <v>5084</v>
      </c>
      <c r="O1937" s="9" t="str">
        <f aca="false">HYPERLINK("https://pbs.twimg.com/profile_images/918840713634226176/zpacDS4h_normal.jpg","View")</f>
        <v>View</v>
      </c>
      <c r="P1937" s="10"/>
    </row>
    <row r="1938" customFormat="false" ht="15.75" hidden="false" customHeight="false" outlineLevel="0" collapsed="false">
      <c r="A1938" s="6" t="n">
        <v>43030.214849537</v>
      </c>
      <c r="B1938" s="7" t="str">
        <f aca="false">HYPERLINK("https://twitter.com/Maripuerta","@Maripuerta")</f>
        <v>@Maripuerta</v>
      </c>
      <c r="C1938" s="8" t="s">
        <v>5085</v>
      </c>
      <c r="D1938" s="8" t="s">
        <v>5030</v>
      </c>
      <c r="E1938" s="9" t="str">
        <f aca="false">HYPERLINK("https://twitter.com/Maripuerta/status/922072389906780160","922072389906780160")</f>
        <v>922072389906780160</v>
      </c>
      <c r="F1938" s="10" t="s">
        <v>51</v>
      </c>
      <c r="G1938" s="10" t="n">
        <v>21516</v>
      </c>
      <c r="H1938" s="10" t="n">
        <v>10357</v>
      </c>
      <c r="I1938" s="10" t="n">
        <v>22</v>
      </c>
      <c r="J1938" s="10" t="n">
        <v>0</v>
      </c>
      <c r="K1938" s="10" t="s">
        <v>20</v>
      </c>
      <c r="L1938" s="11" t="n">
        <v>39911.8033217593</v>
      </c>
      <c r="M1938" s="12" t="s">
        <v>357</v>
      </c>
      <c r="N1938" s="12" t="s">
        <v>5086</v>
      </c>
      <c r="O1938" s="9" t="str">
        <f aca="false">HYPERLINK("https://pbs.twimg.com/profile_images/890946322882318337/eHuVKFRW_normal.jpg","View")</f>
        <v>View</v>
      </c>
      <c r="P1938" s="10"/>
    </row>
    <row r="1939" customFormat="false" ht="15.75" hidden="false" customHeight="false" outlineLevel="0" collapsed="false">
      <c r="A1939" s="6" t="n">
        <v>43030.214849537</v>
      </c>
      <c r="B1939" s="7" t="str">
        <f aca="false">HYPERLINK("https://twitter.com/Matt_Mero","@Matt_Mero")</f>
        <v>@Matt_Mero</v>
      </c>
      <c r="C1939" s="8" t="s">
        <v>5087</v>
      </c>
      <c r="D1939" s="8" t="s">
        <v>5088</v>
      </c>
      <c r="E1939" s="9" t="str">
        <f aca="false">HYPERLINK("https://twitter.com/Matt_Mero/status/922072391068635137","922072391068635137")</f>
        <v>922072391068635137</v>
      </c>
      <c r="F1939" s="10" t="s">
        <v>60</v>
      </c>
      <c r="G1939" s="10" t="n">
        <v>33</v>
      </c>
      <c r="H1939" s="10" t="n">
        <v>87</v>
      </c>
      <c r="I1939" s="10" t="n">
        <v>0</v>
      </c>
      <c r="J1939" s="10" t="n">
        <v>0</v>
      </c>
      <c r="K1939" s="10" t="s">
        <v>20</v>
      </c>
      <c r="L1939" s="11" t="n">
        <v>41216.6200115741</v>
      </c>
      <c r="M1939" s="12"/>
      <c r="N1939" s="12"/>
      <c r="O1939" s="9" t="str">
        <f aca="false">HYPERLINK("https://pbs.twimg.com/profile_images/518600514184171520/FmHDeXyF_normal.jpeg","View")</f>
        <v>View</v>
      </c>
      <c r="P1939" s="10"/>
    </row>
    <row r="1940" customFormat="false" ht="15.75" hidden="false" customHeight="false" outlineLevel="0" collapsed="false">
      <c r="A1940" s="6" t="n">
        <v>43030.2148726852</v>
      </c>
      <c r="B1940" s="7" t="str">
        <f aca="false">HYPERLINK("https://twitter.com/jmorbey123","@jmorbey123")</f>
        <v>@jmorbey123</v>
      </c>
      <c r="C1940" s="8" t="s">
        <v>5089</v>
      </c>
      <c r="D1940" s="8" t="s">
        <v>4984</v>
      </c>
      <c r="E1940" s="9" t="str">
        <f aca="false">HYPERLINK("https://twitter.com/jmorbey123/status/922072399314427905","922072399314427905")</f>
        <v>922072399314427905</v>
      </c>
      <c r="F1940" s="10" t="s">
        <v>39</v>
      </c>
      <c r="G1940" s="10" t="n">
        <v>271</v>
      </c>
      <c r="H1940" s="10" t="n">
        <v>987</v>
      </c>
      <c r="I1940" s="10" t="n">
        <v>187</v>
      </c>
      <c r="J1940" s="10" t="n">
        <v>0</v>
      </c>
      <c r="K1940" s="10" t="s">
        <v>20</v>
      </c>
      <c r="L1940" s="11" t="n">
        <v>40619.5241087963</v>
      </c>
      <c r="M1940" s="12" t="s">
        <v>21</v>
      </c>
      <c r="N1940" s="12" t="s">
        <v>5090</v>
      </c>
      <c r="O1940" s="9" t="str">
        <f aca="false">HYPERLINK("https://pbs.twimg.com/profile_images/378800000411994614/72a509d4e2d87f4e9666721bb0d607e3_normal.jpeg","View")</f>
        <v>View</v>
      </c>
      <c r="P1940" s="10"/>
    </row>
    <row r="1941" customFormat="false" ht="15.75" hidden="false" customHeight="false" outlineLevel="0" collapsed="false">
      <c r="A1941" s="6" t="n">
        <v>43030.2149768519</v>
      </c>
      <c r="B1941" s="7" t="str">
        <f aca="false">HYPERLINK("https://twitter.com/myprwirenews","@myprwirenews")</f>
        <v>@myprwirenews</v>
      </c>
      <c r="C1941" s="8" t="s">
        <v>5091</v>
      </c>
      <c r="D1941" s="8" t="s">
        <v>5092</v>
      </c>
      <c r="E1941" s="9" t="str">
        <f aca="false">HYPERLINK("https://twitter.com/myprwirenews/status/922072433565323264","922072433565323264")</f>
        <v>922072433565323264</v>
      </c>
      <c r="F1941" s="10" t="s">
        <v>60</v>
      </c>
      <c r="G1941" s="10" t="n">
        <v>39403</v>
      </c>
      <c r="H1941" s="10" t="n">
        <v>36</v>
      </c>
      <c r="I1941" s="10" t="n">
        <v>0</v>
      </c>
      <c r="J1941" s="10" t="n">
        <v>0</v>
      </c>
      <c r="K1941" s="10" t="s">
        <v>20</v>
      </c>
      <c r="L1941" s="11" t="n">
        <v>42295.2871180556</v>
      </c>
      <c r="M1941" s="12" t="s">
        <v>5093</v>
      </c>
      <c r="N1941" s="12" t="s">
        <v>5094</v>
      </c>
      <c r="O1941" s="9" t="str">
        <f aca="false">HYPERLINK("https://pbs.twimg.com/profile_images/655743677055303680/1gAw7U2q_normal.png","View")</f>
        <v>View</v>
      </c>
      <c r="P1941" s="10"/>
    </row>
    <row r="1942" customFormat="false" ht="15.75" hidden="false" customHeight="false" outlineLevel="0" collapsed="false">
      <c r="A1942" s="6" t="n">
        <v>43030.2149768519</v>
      </c>
      <c r="B1942" s="7" t="str">
        <f aca="false">HYPERLINK("https://twitter.com/cr23c6","@cr23c6")</f>
        <v>@cr23c6</v>
      </c>
      <c r="C1942" s="8" t="s">
        <v>2451</v>
      </c>
      <c r="D1942" s="8" t="s">
        <v>4124</v>
      </c>
      <c r="E1942" s="9" t="str">
        <f aca="false">HYPERLINK("https://twitter.com/cr23c6/status/922072435096281089","922072435096281089")</f>
        <v>922072435096281089</v>
      </c>
      <c r="F1942" s="10" t="s">
        <v>51</v>
      </c>
      <c r="G1942" s="10" t="n">
        <v>713</v>
      </c>
      <c r="H1942" s="10" t="n">
        <v>592</v>
      </c>
      <c r="I1942" s="10" t="n">
        <v>111</v>
      </c>
      <c r="J1942" s="10" t="n">
        <v>0</v>
      </c>
      <c r="K1942" s="10" t="s">
        <v>20</v>
      </c>
      <c r="L1942" s="11" t="n">
        <v>41958.8956597222</v>
      </c>
      <c r="M1942" s="12" t="s">
        <v>2452</v>
      </c>
      <c r="N1942" s="12" t="s">
        <v>2453</v>
      </c>
      <c r="O1942" s="9" t="str">
        <f aca="false">HYPERLINK("https://pbs.twimg.com/profile_images/911164769444429824/Wg_jLHDU_normal.jpg","View")</f>
        <v>View</v>
      </c>
      <c r="P1942" s="10"/>
    </row>
    <row r="1943" customFormat="false" ht="15.75" hidden="false" customHeight="false" outlineLevel="0" collapsed="false">
      <c r="A1943" s="6" t="n">
        <v>43030.2149884259</v>
      </c>
      <c r="B1943" s="7" t="str">
        <f aca="false">HYPERLINK("https://twitter.com/Selenetheone","@Selenetheone")</f>
        <v>@Selenetheone</v>
      </c>
      <c r="C1943" s="8" t="s">
        <v>965</v>
      </c>
      <c r="D1943" s="8" t="s">
        <v>5095</v>
      </c>
      <c r="E1943" s="9" t="str">
        <f aca="false">HYPERLINK("https://twitter.com/Selenetheone/status/922072438049067008","922072438049067008")</f>
        <v>922072438049067008</v>
      </c>
      <c r="F1943" s="10" t="s">
        <v>60</v>
      </c>
      <c r="G1943" s="10" t="n">
        <v>13624</v>
      </c>
      <c r="H1943" s="10" t="n">
        <v>12684</v>
      </c>
      <c r="I1943" s="10" t="n">
        <v>0</v>
      </c>
      <c r="J1943" s="10" t="n">
        <v>0</v>
      </c>
      <c r="K1943" s="10" t="s">
        <v>20</v>
      </c>
      <c r="L1943" s="11" t="n">
        <v>41591.6093865741</v>
      </c>
      <c r="M1943" s="12" t="s">
        <v>967</v>
      </c>
      <c r="N1943" s="12" t="s">
        <v>968</v>
      </c>
      <c r="O1943" s="9" t="str">
        <f aca="false">HYPERLINK("https://pbs.twimg.com/profile_images/888727222416179201/TwwKx7dB_normal.jpg","View")</f>
        <v>View</v>
      </c>
      <c r="P1943" s="10"/>
    </row>
    <row r="1944" customFormat="false" ht="15.75" hidden="false" customHeight="false" outlineLevel="0" collapsed="false">
      <c r="A1944" s="6" t="n">
        <v>43030.2151041667</v>
      </c>
      <c r="B1944" s="7" t="str">
        <f aca="false">HYPERLINK("https://twitter.com/KazuTsuruda","@KazuTsuruda")</f>
        <v>@KazuTsuruda</v>
      </c>
      <c r="C1944" s="8" t="s">
        <v>5096</v>
      </c>
      <c r="D1944" s="8" t="s">
        <v>4984</v>
      </c>
      <c r="E1944" s="9" t="str">
        <f aca="false">HYPERLINK("https://twitter.com/KazuTsuruda/status/922072479882866688","922072479882866688")</f>
        <v>922072479882866688</v>
      </c>
      <c r="F1944" s="10" t="s">
        <v>39</v>
      </c>
      <c r="G1944" s="10" t="n">
        <v>667</v>
      </c>
      <c r="H1944" s="10" t="n">
        <v>210</v>
      </c>
      <c r="I1944" s="10" t="n">
        <v>187</v>
      </c>
      <c r="J1944" s="10" t="n">
        <v>0</v>
      </c>
      <c r="K1944" s="10" t="s">
        <v>20</v>
      </c>
      <c r="L1944" s="11" t="n">
        <v>40160.4222685185</v>
      </c>
      <c r="M1944" s="13" t="s">
        <v>5097</v>
      </c>
      <c r="N1944" s="13" t="s">
        <v>5098</v>
      </c>
      <c r="O1944" s="9" t="str">
        <f aca="false">HYPERLINK("https://pbs.twimg.com/profile_images/681448437/IMG_0016_normal.jpg","View")</f>
        <v>View</v>
      </c>
      <c r="P1944" s="10"/>
    </row>
    <row r="1945" customFormat="false" ht="15.75" hidden="false" customHeight="false" outlineLevel="0" collapsed="false">
      <c r="A1945" s="6" t="n">
        <v>43030.2151388889</v>
      </c>
      <c r="B1945" s="7" t="str">
        <f aca="false">HYPERLINK("https://twitter.com/jchute70","@jchute70")</f>
        <v>@jchute70</v>
      </c>
      <c r="C1945" s="8" t="s">
        <v>5099</v>
      </c>
      <c r="D1945" s="8" t="s">
        <v>4124</v>
      </c>
      <c r="E1945" s="9" t="str">
        <f aca="false">HYPERLINK("https://twitter.com/jchute70/status/922072494860898305","922072494860898305")</f>
        <v>922072494860898305</v>
      </c>
      <c r="F1945" s="10" t="s">
        <v>25</v>
      </c>
      <c r="G1945" s="10" t="n">
        <v>154</v>
      </c>
      <c r="H1945" s="10" t="n">
        <v>261</v>
      </c>
      <c r="I1945" s="10" t="n">
        <v>111</v>
      </c>
      <c r="J1945" s="10" t="n">
        <v>0</v>
      </c>
      <c r="K1945" s="10" t="s">
        <v>20</v>
      </c>
      <c r="L1945" s="11" t="n">
        <v>41021.2121643519</v>
      </c>
      <c r="M1945" s="12" t="s">
        <v>4050</v>
      </c>
      <c r="N1945" s="12"/>
      <c r="O1945" s="9" t="str">
        <f aca="false">HYPERLINK("https://pbs.twimg.com/profile_images/824791579667943424/2iwENmuQ_normal.jpg","View")</f>
        <v>View</v>
      </c>
      <c r="P1945" s="10"/>
    </row>
    <row r="1946" customFormat="false" ht="15.75" hidden="false" customHeight="false" outlineLevel="0" collapsed="false">
      <c r="A1946" s="6" t="n">
        <v>43030.215162037</v>
      </c>
      <c r="B1946" s="7" t="str">
        <f aca="false">HYPERLINK("https://twitter.com/aminusfu_drip","@aminusfu_drip")</f>
        <v>@aminusfu_drip</v>
      </c>
      <c r="C1946" s="8" t="s">
        <v>739</v>
      </c>
      <c r="D1946" s="8" t="s">
        <v>4984</v>
      </c>
      <c r="E1946" s="9" t="str">
        <f aca="false">HYPERLINK("https://twitter.com/aminusfu_drip/status/922072503916273664","922072503916273664")</f>
        <v>922072503916273664</v>
      </c>
      <c r="F1946" s="10" t="s">
        <v>740</v>
      </c>
      <c r="G1946" s="10" t="n">
        <v>106</v>
      </c>
      <c r="H1946" s="10" t="n">
        <v>2</v>
      </c>
      <c r="I1946" s="10" t="n">
        <v>187</v>
      </c>
      <c r="J1946" s="10" t="n">
        <v>0</v>
      </c>
      <c r="K1946" s="10" t="s">
        <v>20</v>
      </c>
      <c r="L1946" s="11" t="n">
        <v>42846.4444907408</v>
      </c>
      <c r="M1946" s="12"/>
      <c r="N1946" s="12" t="s">
        <v>741</v>
      </c>
      <c r="O1946" s="9" t="str">
        <f aca="false">HYPERLINK("https://pbs.twimg.com/profile_images/855496077251723264/R1iXnVvW_normal.jpg","View")</f>
        <v>View</v>
      </c>
      <c r="P1946" s="10"/>
    </row>
    <row r="1947" customFormat="false" ht="15.75" hidden="false" customHeight="false" outlineLevel="0" collapsed="false">
      <c r="A1947" s="6" t="n">
        <v>43030.2153240741</v>
      </c>
      <c r="B1947" s="7" t="str">
        <f aca="false">HYPERLINK("https://twitter.com/nyt_rt","@nyt_rt")</f>
        <v>@nyt_rt</v>
      </c>
      <c r="C1947" s="8" t="s">
        <v>761</v>
      </c>
      <c r="D1947" s="8" t="s">
        <v>4984</v>
      </c>
      <c r="E1947" s="9" t="str">
        <f aca="false">HYPERLINK("https://twitter.com/nyt_rt/status/922072560048603136","922072560048603136")</f>
        <v>922072560048603136</v>
      </c>
      <c r="F1947" s="10" t="s">
        <v>761</v>
      </c>
      <c r="G1947" s="10" t="n">
        <v>20</v>
      </c>
      <c r="H1947" s="10" t="n">
        <v>2</v>
      </c>
      <c r="I1947" s="10" t="n">
        <v>187</v>
      </c>
      <c r="J1947" s="10" t="n">
        <v>0</v>
      </c>
      <c r="K1947" s="10" t="s">
        <v>20</v>
      </c>
      <c r="L1947" s="11" t="n">
        <v>43016.9141087963</v>
      </c>
      <c r="M1947" s="12"/>
      <c r="N1947" s="12" t="s">
        <v>762</v>
      </c>
      <c r="O1947" s="9" t="str">
        <f aca="false">HYPERLINK("https://pbs.twimg.com/profile_images/918798161174454278/x7sorwlx_normal.jpg","View")</f>
        <v>View</v>
      </c>
      <c r="P1947" s="10"/>
    </row>
    <row r="1948" customFormat="false" ht="15.75" hidden="false" customHeight="false" outlineLevel="0" collapsed="false">
      <c r="A1948" s="6" t="n">
        <v>43030.2153240741</v>
      </c>
      <c r="B1948" s="7" t="str">
        <f aca="false">HYPERLINK("https://twitter.com/stevenacurtis","@stevenacurtis")</f>
        <v>@stevenacurtis</v>
      </c>
      <c r="C1948" s="8" t="s">
        <v>5100</v>
      </c>
      <c r="D1948" s="8" t="s">
        <v>5101</v>
      </c>
      <c r="E1948" s="9" t="str">
        <f aca="false">HYPERLINK("https://twitter.com/stevenacurtis/status/922072560883318784","922072560883318784")</f>
        <v>922072560883318784</v>
      </c>
      <c r="F1948" s="9" t="s">
        <v>1147</v>
      </c>
      <c r="G1948" s="10" t="n">
        <v>3984</v>
      </c>
      <c r="H1948" s="10" t="n">
        <v>3902</v>
      </c>
      <c r="I1948" s="10" t="n">
        <v>0</v>
      </c>
      <c r="J1948" s="10" t="n">
        <v>0</v>
      </c>
      <c r="K1948" s="10" t="s">
        <v>20</v>
      </c>
      <c r="L1948" s="11" t="n">
        <v>39845.9026388889</v>
      </c>
      <c r="M1948" s="12" t="s">
        <v>5102</v>
      </c>
      <c r="N1948" s="12" t="s">
        <v>5103</v>
      </c>
      <c r="O1948" s="9" t="str">
        <f aca="false">HYPERLINK("https://pbs.twimg.com/profile_images/825733412040409088/R8opUW6U_normal.jpg","View")</f>
        <v>View</v>
      </c>
      <c r="P1948" s="10"/>
    </row>
    <row r="1949" customFormat="false" ht="15.75" hidden="false" customHeight="false" outlineLevel="0" collapsed="false">
      <c r="A1949" s="6" t="n">
        <v>43030.2153356481</v>
      </c>
      <c r="B1949" s="7" t="str">
        <f aca="false">HYPERLINK("https://twitter.com/nytimesworld","@nytimesworld")</f>
        <v>@nytimesworld</v>
      </c>
      <c r="C1949" s="8" t="s">
        <v>621</v>
      </c>
      <c r="D1949" s="8" t="s">
        <v>5104</v>
      </c>
      <c r="E1949" s="9" t="str">
        <f aca="false">HYPERLINK("https://twitter.com/nytimesworld/status/922072566558273537","922072566558273537")</f>
        <v>922072566558273537</v>
      </c>
      <c r="F1949" s="10" t="s">
        <v>268</v>
      </c>
      <c r="G1949" s="10" t="n">
        <v>1873870</v>
      </c>
      <c r="H1949" s="10" t="n">
        <v>465</v>
      </c>
      <c r="I1949" s="10" t="n">
        <v>18</v>
      </c>
      <c r="J1949" s="10" t="n">
        <v>14</v>
      </c>
      <c r="K1949" s="10" t="s">
        <v>20</v>
      </c>
      <c r="L1949" s="11" t="n">
        <v>39163.2915393518</v>
      </c>
      <c r="M1949" s="12" t="s">
        <v>491</v>
      </c>
      <c r="N1949" s="12" t="s">
        <v>623</v>
      </c>
      <c r="O1949" s="9" t="str">
        <f aca="false">HYPERLINK("https://pbs.twimg.com/profile_images/2045337639/NYT_Twitter_world_normal.png","View")</f>
        <v>View</v>
      </c>
      <c r="P1949" s="10"/>
    </row>
    <row r="1950" customFormat="false" ht="15.75" hidden="false" customHeight="false" outlineLevel="0" collapsed="false">
      <c r="A1950" s="6" t="n">
        <v>43030.2153472222</v>
      </c>
      <c r="B1950" s="7" t="str">
        <f aca="false">HYPERLINK("https://twitter.com/bmw_free","@bmw_free")</f>
        <v>@bmw_free</v>
      </c>
      <c r="C1950" s="8" t="s">
        <v>5105</v>
      </c>
      <c r="D1950" s="8" t="s">
        <v>5106</v>
      </c>
      <c r="E1950" s="9" t="str">
        <f aca="false">HYPERLINK("https://twitter.com/bmw_free/status/922072567929810944","922072567929810944")</f>
        <v>922072567929810944</v>
      </c>
      <c r="F1950" s="10" t="s">
        <v>60</v>
      </c>
      <c r="G1950" s="10" t="n">
        <v>9224</v>
      </c>
      <c r="H1950" s="10" t="n">
        <v>7031</v>
      </c>
      <c r="I1950" s="10" t="n">
        <v>0</v>
      </c>
      <c r="J1950" s="10" t="n">
        <v>0</v>
      </c>
      <c r="K1950" s="10" t="s">
        <v>20</v>
      </c>
      <c r="L1950" s="11" t="n">
        <v>40673.5951736111</v>
      </c>
      <c r="M1950" s="12" t="s">
        <v>5107</v>
      </c>
      <c r="N1950" s="12" t="s">
        <v>5108</v>
      </c>
      <c r="O1950" s="9" t="str">
        <f aca="false">HYPERLINK("https://pbs.twimg.com/profile_images/1348268229/bmwfree_normal.jpg","View")</f>
        <v>View</v>
      </c>
      <c r="P1950" s="10"/>
    </row>
    <row r="1951" customFormat="false" ht="15.75" hidden="false" customHeight="false" outlineLevel="0" collapsed="false">
      <c r="A1951" s="6" t="n">
        <v>43030.2153819444</v>
      </c>
      <c r="B1951" s="7" t="str">
        <f aca="false">HYPERLINK("https://twitter.com/vice_elisabete","@vice_elisabete")</f>
        <v>@vice_elisabete</v>
      </c>
      <c r="C1951" s="8" t="s">
        <v>4365</v>
      </c>
      <c r="D1951" s="8" t="s">
        <v>4984</v>
      </c>
      <c r="E1951" s="9" t="str">
        <f aca="false">HYPERLINK("https://twitter.com/vice_elisabete/status/922072581972348929","922072581972348929")</f>
        <v>922072581972348929</v>
      </c>
      <c r="F1951" s="10" t="s">
        <v>25</v>
      </c>
      <c r="G1951" s="10" t="n">
        <v>695</v>
      </c>
      <c r="H1951" s="10" t="n">
        <v>955</v>
      </c>
      <c r="I1951" s="10" t="n">
        <v>187</v>
      </c>
      <c r="J1951" s="10" t="n">
        <v>0</v>
      </c>
      <c r="K1951" s="10" t="s">
        <v>20</v>
      </c>
      <c r="L1951" s="11" t="n">
        <v>42181.746724537</v>
      </c>
      <c r="M1951" s="12" t="s">
        <v>4366</v>
      </c>
      <c r="N1951" s="12" t="s">
        <v>4367</v>
      </c>
      <c r="O1951" s="9" t="str">
        <f aca="false">HYPERLINK("https://pbs.twimg.com/profile_images/912729572218720256/ucFkhg_N_normal.jpg","View")</f>
        <v>View</v>
      </c>
      <c r="P1951" s="10"/>
    </row>
    <row r="1952" customFormat="false" ht="15.75" hidden="false" customHeight="false" outlineLevel="0" collapsed="false">
      <c r="A1952" s="6" t="n">
        <v>43030.2154282407</v>
      </c>
      <c r="B1952" s="7" t="str">
        <f aca="false">HYPERLINK("https://twitter.com/enewsall","@enewsall")</f>
        <v>@enewsall</v>
      </c>
      <c r="C1952" s="8" t="s">
        <v>5109</v>
      </c>
      <c r="D1952" s="8" t="s">
        <v>5110</v>
      </c>
      <c r="E1952" s="9" t="str">
        <f aca="false">HYPERLINK("https://twitter.com/enewsall/status/922072599508725761","922072599508725761")</f>
        <v>922072599508725761</v>
      </c>
      <c r="F1952" s="9" t="s">
        <v>979</v>
      </c>
      <c r="G1952" s="10" t="n">
        <v>17</v>
      </c>
      <c r="H1952" s="10" t="n">
        <v>158</v>
      </c>
      <c r="I1952" s="10" t="n">
        <v>0</v>
      </c>
      <c r="J1952" s="10" t="n">
        <v>0</v>
      </c>
      <c r="K1952" s="10" t="s">
        <v>20</v>
      </c>
      <c r="L1952" s="11" t="n">
        <v>42981.0130902778</v>
      </c>
      <c r="M1952" s="12" t="s">
        <v>312</v>
      </c>
      <c r="N1952" s="12" t="s">
        <v>5111</v>
      </c>
      <c r="O1952" s="9" t="str">
        <f aca="false">HYPERLINK("https://pbs.twimg.com/profile_images/904732205078982660/JMmIVSlo_normal.jpg","View")</f>
        <v>View</v>
      </c>
      <c r="P1952" s="10"/>
    </row>
    <row r="1953" customFormat="false" ht="15.75" hidden="false" customHeight="false" outlineLevel="0" collapsed="false">
      <c r="A1953" s="6" t="n">
        <v>43030.2154398148</v>
      </c>
      <c r="B1953" s="7" t="str">
        <f aca="false">HYPERLINK("https://twitter.com/newsbott3r","@newsbott3r")</f>
        <v>@newsbott3r</v>
      </c>
      <c r="C1953" s="8" t="s">
        <v>2508</v>
      </c>
      <c r="D1953" s="8" t="s">
        <v>5112</v>
      </c>
      <c r="E1953" s="9" t="str">
        <f aca="false">HYPERLINK("https://twitter.com/newsbott3r/status/922072601022926848","922072601022926848")</f>
        <v>922072601022926848</v>
      </c>
      <c r="F1953" s="10" t="s">
        <v>60</v>
      </c>
      <c r="G1953" s="10" t="n">
        <v>39</v>
      </c>
      <c r="H1953" s="10" t="n">
        <v>0</v>
      </c>
      <c r="I1953" s="10" t="n">
        <v>0</v>
      </c>
      <c r="J1953" s="10" t="n">
        <v>0</v>
      </c>
      <c r="K1953" s="10" t="s">
        <v>20</v>
      </c>
      <c r="L1953" s="11" t="n">
        <v>42780.2740856481</v>
      </c>
      <c r="M1953" s="12" t="s">
        <v>893</v>
      </c>
      <c r="N1953" s="12" t="s">
        <v>2510</v>
      </c>
      <c r="O1953" s="9" t="str">
        <f aca="false">HYPERLINK("https://pbs.twimg.com/profile_images/831514197217378304/5Q64N3RD_normal.jpg","View")</f>
        <v>View</v>
      </c>
      <c r="P1953" s="10"/>
    </row>
    <row r="1954" customFormat="false" ht="15.75" hidden="false" customHeight="false" outlineLevel="0" collapsed="false">
      <c r="A1954" s="6" t="n">
        <v>43030.2154513889</v>
      </c>
      <c r="B1954" s="7" t="str">
        <f aca="false">HYPERLINK("https://twitter.com/DeMOCKERYcy","@DeMOCKERYcy")</f>
        <v>@DeMOCKERYcy</v>
      </c>
      <c r="C1954" s="8" t="s">
        <v>2162</v>
      </c>
      <c r="D1954" s="8" t="s">
        <v>5113</v>
      </c>
      <c r="E1954" s="9" t="str">
        <f aca="false">HYPERLINK("https://twitter.com/DeMOCKERYcy/status/922072606475472897","922072606475472897")</f>
        <v>922072606475472897</v>
      </c>
      <c r="F1954" s="10" t="s">
        <v>60</v>
      </c>
      <c r="G1954" s="10" t="n">
        <v>2212</v>
      </c>
      <c r="H1954" s="10" t="n">
        <v>708</v>
      </c>
      <c r="I1954" s="10" t="n">
        <v>0</v>
      </c>
      <c r="J1954" s="10" t="n">
        <v>0</v>
      </c>
      <c r="K1954" s="10" t="s">
        <v>20</v>
      </c>
      <c r="L1954" s="11" t="n">
        <v>41401.1149652778</v>
      </c>
      <c r="M1954" s="12" t="s">
        <v>2164</v>
      </c>
      <c r="N1954" s="12" t="s">
        <v>2165</v>
      </c>
      <c r="O1954" s="9" t="str">
        <f aca="false">HYPERLINK("https://pbs.twimg.com/profile_images/905014922035302408/uBnynb0Z_normal.jpg","View")</f>
        <v>View</v>
      </c>
      <c r="P1954" s="10"/>
    </row>
    <row r="1955" customFormat="false" ht="15.75" hidden="false" customHeight="false" outlineLevel="0" collapsed="false">
      <c r="A1955" s="6" t="n">
        <v>43030.215462963</v>
      </c>
      <c r="B1955" s="7" t="str">
        <f aca="false">HYPERLINK("https://twitter.com/electro_edward","@electro_edward")</f>
        <v>@electro_edward</v>
      </c>
      <c r="C1955" s="8" t="s">
        <v>447</v>
      </c>
      <c r="D1955" s="8" t="s">
        <v>5114</v>
      </c>
      <c r="E1955" s="9" t="str">
        <f aca="false">HYPERLINK("https://twitter.com/electro_edward/status/922072613094150146","922072613094150146")</f>
        <v>922072613094150146</v>
      </c>
      <c r="F1955" s="10" t="s">
        <v>60</v>
      </c>
      <c r="G1955" s="10" t="n">
        <v>73</v>
      </c>
      <c r="H1955" s="10" t="n">
        <v>205</v>
      </c>
      <c r="I1955" s="10" t="n">
        <v>0</v>
      </c>
      <c r="J1955" s="10" t="n">
        <v>0</v>
      </c>
      <c r="K1955" s="10" t="s">
        <v>20</v>
      </c>
      <c r="L1955" s="11" t="n">
        <v>42798.5793981482</v>
      </c>
      <c r="M1955" s="12" t="s">
        <v>449</v>
      </c>
      <c r="N1955" s="12" t="s">
        <v>450</v>
      </c>
      <c r="O1955" s="9" t="str">
        <f aca="false">HYPERLINK("https://pbs.twimg.com/profile_images/838145976976228352/5Plqe1bE_normal.jpg","View")</f>
        <v>View</v>
      </c>
      <c r="P1955" s="10"/>
    </row>
    <row r="1956" customFormat="false" ht="15.75" hidden="false" customHeight="false" outlineLevel="0" collapsed="false">
      <c r="A1956" s="6" t="n">
        <v>43030.215474537</v>
      </c>
      <c r="B1956" s="7" t="str">
        <f aca="false">HYPERLINK("https://twitter.com/sr_newsuk","@sr_newsuk")</f>
        <v>@sr_newsuk</v>
      </c>
      <c r="C1956" s="8" t="s">
        <v>5115</v>
      </c>
      <c r="D1956" s="8" t="s">
        <v>5116</v>
      </c>
      <c r="E1956" s="9" t="str">
        <f aca="false">HYPERLINK("https://twitter.com/sr_newsuk/status/922072614696378368","922072614696378368")</f>
        <v>922072614696378368</v>
      </c>
      <c r="F1956" s="10" t="s">
        <v>60</v>
      </c>
      <c r="G1956" s="10" t="n">
        <v>278</v>
      </c>
      <c r="H1956" s="10" t="n">
        <v>0</v>
      </c>
      <c r="I1956" s="10" t="n">
        <v>0</v>
      </c>
      <c r="J1956" s="10" t="n">
        <v>0</v>
      </c>
      <c r="K1956" s="10" t="s">
        <v>20</v>
      </c>
      <c r="L1956" s="11" t="n">
        <v>40885.1303587963</v>
      </c>
      <c r="M1956" s="12" t="s">
        <v>5117</v>
      </c>
      <c r="N1956" s="12" t="s">
        <v>5118</v>
      </c>
      <c r="O1956" s="9" t="str">
        <f aca="false">HYPERLINK("https://pbs.twimg.com/profile_images/2575506241/4s0ri1cxn3g89wrcxs6m_normal.jpeg","View")</f>
        <v>View</v>
      </c>
      <c r="P1956" s="10"/>
    </row>
    <row r="1957" customFormat="false" ht="15.75" hidden="false" customHeight="false" outlineLevel="0" collapsed="false">
      <c r="A1957" s="6" t="n">
        <v>43030.2155439815</v>
      </c>
      <c r="B1957" s="7" t="str">
        <f aca="false">HYPERLINK("https://twitter.com/globnewsen","@globnewsen")</f>
        <v>@globnewsen</v>
      </c>
      <c r="C1957" s="8" t="s">
        <v>1793</v>
      </c>
      <c r="D1957" s="8" t="s">
        <v>5119</v>
      </c>
      <c r="E1957" s="9" t="str">
        <f aca="false">HYPERLINK("https://twitter.com/globnewsen/status/922072640461987840","922072640461987840")</f>
        <v>922072640461987840</v>
      </c>
      <c r="F1957" s="10" t="s">
        <v>60</v>
      </c>
      <c r="G1957" s="10" t="n">
        <v>538</v>
      </c>
      <c r="H1957" s="10" t="n">
        <v>0</v>
      </c>
      <c r="I1957" s="10" t="n">
        <v>0</v>
      </c>
      <c r="J1957" s="10" t="n">
        <v>0</v>
      </c>
      <c r="K1957" s="10" t="s">
        <v>20</v>
      </c>
      <c r="L1957" s="11" t="n">
        <v>41790.5255902778</v>
      </c>
      <c r="M1957" s="12"/>
      <c r="N1957" s="12"/>
      <c r="O1957" s="9" t="str">
        <f aca="false">HYPERLINK("https://abs.twimg.com/sticky/default_profile_images/default_profile_normal.png","View")</f>
        <v>View</v>
      </c>
      <c r="P1957" s="10"/>
    </row>
    <row r="1958" customFormat="false" ht="15.75" hidden="false" customHeight="false" outlineLevel="0" collapsed="false">
      <c r="A1958" s="6" t="n">
        <v>43030.2155902778</v>
      </c>
      <c r="B1958" s="7" t="str">
        <f aca="false">HYPERLINK("https://twitter.com/saszasiemasz","@saszasiemasz")</f>
        <v>@saszasiemasz</v>
      </c>
      <c r="C1958" s="8" t="s">
        <v>5120</v>
      </c>
      <c r="D1958" s="8" t="s">
        <v>4068</v>
      </c>
      <c r="E1958" s="9" t="str">
        <f aca="false">HYPERLINK("https://twitter.com/saszasiemasz/status/922072658715578369","922072658715578369")</f>
        <v>922072658715578369</v>
      </c>
      <c r="F1958" s="10" t="s">
        <v>51</v>
      </c>
      <c r="G1958" s="10" t="n">
        <v>1148</v>
      </c>
      <c r="H1958" s="10" t="n">
        <v>3234</v>
      </c>
      <c r="I1958" s="10" t="n">
        <v>50</v>
      </c>
      <c r="J1958" s="10" t="n">
        <v>0</v>
      </c>
      <c r="K1958" s="10" t="s">
        <v>20</v>
      </c>
      <c r="L1958" s="11" t="n">
        <v>40233.325474537</v>
      </c>
      <c r="M1958" s="12" t="s">
        <v>5121</v>
      </c>
      <c r="N1958" s="12" t="s">
        <v>5122</v>
      </c>
      <c r="O1958" s="9" t="str">
        <f aca="false">HYPERLINK("https://pbs.twimg.com/profile_images/854790098612875269/KMcggEXb_normal.jpg","View")</f>
        <v>View</v>
      </c>
      <c r="P1958" s="10"/>
    </row>
    <row r="1959" customFormat="false" ht="15.75" hidden="false" customHeight="false" outlineLevel="0" collapsed="false">
      <c r="A1959" s="6" t="n">
        <v>43030.2156365741</v>
      </c>
      <c r="B1959" s="7" t="str">
        <f aca="false">HYPERLINK("https://twitter.com/betheredothat","@betheredothat")</f>
        <v>@betheredothat</v>
      </c>
      <c r="C1959" s="8" t="s">
        <v>5123</v>
      </c>
      <c r="D1959" s="8" t="s">
        <v>5124</v>
      </c>
      <c r="E1959" s="9" t="str">
        <f aca="false">HYPERLINK("https://twitter.com/betheredothat/status/922072673030721538","922072673030721538")</f>
        <v>922072673030721538</v>
      </c>
      <c r="F1959" s="10" t="s">
        <v>39</v>
      </c>
      <c r="G1959" s="10" t="n">
        <v>46</v>
      </c>
      <c r="H1959" s="10" t="n">
        <v>0</v>
      </c>
      <c r="I1959" s="10" t="n">
        <v>1</v>
      </c>
      <c r="J1959" s="10" t="n">
        <v>1</v>
      </c>
      <c r="K1959" s="10" t="s">
        <v>20</v>
      </c>
      <c r="L1959" s="11" t="n">
        <v>41235.1981828704</v>
      </c>
      <c r="M1959" s="12"/>
      <c r="N1959" s="12" t="s">
        <v>5125</v>
      </c>
      <c r="O1959" s="9" t="str">
        <f aca="false">HYPERLINK("https://pbs.twimg.com/profile_images/692292823710830593/94xvlScF_normal.jpg","View")</f>
        <v>View</v>
      </c>
      <c r="P1959" s="10"/>
    </row>
    <row r="1960" customFormat="false" ht="15.75" hidden="false" customHeight="false" outlineLevel="0" collapsed="false">
      <c r="A1960" s="6" t="n">
        <v>43030.2156481482</v>
      </c>
      <c r="B1960" s="7" t="str">
        <f aca="false">HYPERLINK("https://twitter.com/Algerie_Infos","@Algerie_Infos")</f>
        <v>@Algerie_Infos</v>
      </c>
      <c r="C1960" s="8" t="s">
        <v>5126</v>
      </c>
      <c r="D1960" s="8" t="s">
        <v>5127</v>
      </c>
      <c r="E1960" s="9" t="str">
        <f aca="false">HYPERLINK("https://twitter.com/Algerie_Infos/status/922072678403657729","922072678403657729")</f>
        <v>922072678403657729</v>
      </c>
      <c r="F1960" s="9" t="s">
        <v>2138</v>
      </c>
      <c r="G1960" s="10" t="n">
        <v>3662</v>
      </c>
      <c r="H1960" s="10" t="n">
        <v>145</v>
      </c>
      <c r="I1960" s="10" t="n">
        <v>0</v>
      </c>
      <c r="J1960" s="10" t="n">
        <v>0</v>
      </c>
      <c r="K1960" s="10" t="s">
        <v>20</v>
      </c>
      <c r="L1960" s="11" t="n">
        <v>41467.5723726852</v>
      </c>
      <c r="M1960" s="12" t="s">
        <v>5128</v>
      </c>
      <c r="N1960" s="12" t="s">
        <v>5129</v>
      </c>
      <c r="O1960" s="9" t="str">
        <f aca="false">HYPERLINK("https://pbs.twimg.com/profile_images/429118996479082496/JmTyp43i_normal.jpeg","View")</f>
        <v>View</v>
      </c>
      <c r="P1960" s="10"/>
    </row>
    <row r="1961" customFormat="false" ht="15.75" hidden="false" customHeight="false" outlineLevel="0" collapsed="false">
      <c r="A1961" s="6" t="n">
        <v>43030.2156481482</v>
      </c>
      <c r="B1961" s="7" t="str">
        <f aca="false">HYPERLINK("https://twitter.com/steveknottamma","@steveknottamma")</f>
        <v>@steveknottamma</v>
      </c>
      <c r="C1961" s="8" t="s">
        <v>5130</v>
      </c>
      <c r="D1961" s="8" t="s">
        <v>4984</v>
      </c>
      <c r="E1961" s="9" t="str">
        <f aca="false">HYPERLINK("https://twitter.com/steveknottamma/status/922072678550220800","922072678550220800")</f>
        <v>922072678550220800</v>
      </c>
      <c r="F1961" s="10" t="s">
        <v>51</v>
      </c>
      <c r="G1961" s="10" t="n">
        <v>850</v>
      </c>
      <c r="H1961" s="10" t="n">
        <v>1639</v>
      </c>
      <c r="I1961" s="10" t="n">
        <v>187</v>
      </c>
      <c r="J1961" s="10" t="n">
        <v>0</v>
      </c>
      <c r="K1961" s="10" t="s">
        <v>20</v>
      </c>
      <c r="L1961" s="11" t="n">
        <v>40775.161712963</v>
      </c>
      <c r="M1961" s="12" t="s">
        <v>1507</v>
      </c>
      <c r="N1961" s="12" t="s">
        <v>5131</v>
      </c>
      <c r="O1961" s="9" t="str">
        <f aca="false">HYPERLINK("https://pbs.twimg.com/profile_images/826619086637395968/rjYI94m0_normal.jpg","View")</f>
        <v>View</v>
      </c>
      <c r="P1961" s="10"/>
    </row>
    <row r="1962" customFormat="false" ht="15.75" hidden="false" customHeight="false" outlineLevel="0" collapsed="false">
      <c r="A1962" s="6" t="n">
        <v>43030.2156481482</v>
      </c>
      <c r="B1962" s="7" t="str">
        <f aca="false">HYPERLINK("https://twitter.com/mshkh","@mshkh")</f>
        <v>@mshkh</v>
      </c>
      <c r="C1962" s="8" t="s">
        <v>5132</v>
      </c>
      <c r="D1962" s="8" t="s">
        <v>4984</v>
      </c>
      <c r="E1962" s="9" t="str">
        <f aca="false">HYPERLINK("https://twitter.com/mshkh/status/922072679775010817","922072679775010817")</f>
        <v>922072679775010817</v>
      </c>
      <c r="F1962" s="10" t="s">
        <v>39</v>
      </c>
      <c r="G1962" s="10" t="n">
        <v>321</v>
      </c>
      <c r="H1962" s="10" t="n">
        <v>335</v>
      </c>
      <c r="I1962" s="10" t="n">
        <v>187</v>
      </c>
      <c r="J1962" s="10" t="n">
        <v>0</v>
      </c>
      <c r="K1962" s="10" t="s">
        <v>20</v>
      </c>
      <c r="L1962" s="11" t="n">
        <v>39312.2985069444</v>
      </c>
      <c r="M1962" s="12"/>
      <c r="N1962" s="13" t="s">
        <v>5133</v>
      </c>
      <c r="O1962" s="9" t="str">
        <f aca="false">HYPERLINK("https://pbs.twimg.com/profile_images/19407222/pikachu_normal.jpg","View")</f>
        <v>View</v>
      </c>
      <c r="P1962" s="10"/>
    </row>
    <row r="1963" customFormat="false" ht="15.75" hidden="false" customHeight="false" outlineLevel="0" collapsed="false">
      <c r="A1963" s="6" t="n">
        <v>43030.2156597222</v>
      </c>
      <c r="B1963" s="7" t="str">
        <f aca="false">HYPERLINK("https://twitter.com/mogita78","@mogita78")</f>
        <v>@mogita78</v>
      </c>
      <c r="C1963" s="14" t="s">
        <v>5134</v>
      </c>
      <c r="D1963" s="8" t="s">
        <v>5135</v>
      </c>
      <c r="E1963" s="9" t="str">
        <f aca="false">HYPERLINK("https://twitter.com/mogita78/status/922072684212641793","922072684212641793")</f>
        <v>922072684212641793</v>
      </c>
      <c r="F1963" s="10" t="s">
        <v>51</v>
      </c>
      <c r="G1963" s="10" t="n">
        <v>492</v>
      </c>
      <c r="H1963" s="10" t="n">
        <v>419</v>
      </c>
      <c r="I1963" s="10" t="n">
        <v>18</v>
      </c>
      <c r="J1963" s="10" t="n">
        <v>0</v>
      </c>
      <c r="K1963" s="10" t="s">
        <v>20</v>
      </c>
      <c r="L1963" s="11" t="n">
        <v>40158.2406134259</v>
      </c>
      <c r="M1963" s="13" t="s">
        <v>5136</v>
      </c>
      <c r="N1963" s="13" t="s">
        <v>5137</v>
      </c>
      <c r="O1963" s="9" t="str">
        <f aca="false">HYPERLINK("https://pbs.twimg.com/profile_images/806280919/IMG_6807_normal.JPG","View")</f>
        <v>View</v>
      </c>
      <c r="P1963" s="10"/>
    </row>
    <row r="1964" customFormat="false" ht="15.75" hidden="false" customHeight="false" outlineLevel="0" collapsed="false">
      <c r="A1964" s="6" t="n">
        <v>43030.2156944445</v>
      </c>
      <c r="B1964" s="7" t="str">
        <f aca="false">HYPERLINK("https://twitter.com/fermartinezcue_","@fermartinezcue_")</f>
        <v>@fermartinezcue_</v>
      </c>
      <c r="C1964" s="8" t="s">
        <v>5138</v>
      </c>
      <c r="D1964" s="8" t="s">
        <v>5139</v>
      </c>
      <c r="E1964" s="9" t="str">
        <f aca="false">HYPERLINK("https://twitter.com/fermartinezcue_/status/922072696233525248","922072696233525248")</f>
        <v>922072696233525248</v>
      </c>
      <c r="F1964" s="10" t="s">
        <v>60</v>
      </c>
      <c r="G1964" s="10" t="n">
        <v>1558</v>
      </c>
      <c r="H1964" s="10" t="n">
        <v>320</v>
      </c>
      <c r="I1964" s="10" t="n">
        <v>0</v>
      </c>
      <c r="J1964" s="10" t="n">
        <v>0</v>
      </c>
      <c r="K1964" s="10" t="s">
        <v>20</v>
      </c>
      <c r="L1964" s="11" t="n">
        <v>40059.890625</v>
      </c>
      <c r="M1964" s="12" t="s">
        <v>5140</v>
      </c>
      <c r="N1964" s="12" t="s">
        <v>5141</v>
      </c>
      <c r="O1964" s="9" t="str">
        <f aca="false">HYPERLINK("https://pbs.twimg.com/profile_images/922534125285736449/jb1bXwPD_normal.jpg","View")</f>
        <v>View</v>
      </c>
      <c r="P1964" s="10"/>
    </row>
    <row r="1965" customFormat="false" ht="15.75" hidden="false" customHeight="false" outlineLevel="0" collapsed="false">
      <c r="A1965" s="6" t="n">
        <v>43030.2157175926</v>
      </c>
      <c r="B1965" s="7" t="str">
        <f aca="false">HYPERLINK("https://twitter.com/OranginaBreton","@OranginaBreton")</f>
        <v>@OranginaBreton</v>
      </c>
      <c r="C1965" s="8" t="s">
        <v>5142</v>
      </c>
      <c r="D1965" s="8" t="s">
        <v>4984</v>
      </c>
      <c r="E1965" s="9" t="str">
        <f aca="false">HYPERLINK("https://twitter.com/OranginaBreton/status/922072704194199553","922072704194199553")</f>
        <v>922072704194199553</v>
      </c>
      <c r="F1965" s="10" t="s">
        <v>51</v>
      </c>
      <c r="G1965" s="10" t="n">
        <v>495</v>
      </c>
      <c r="H1965" s="10" t="n">
        <v>573</v>
      </c>
      <c r="I1965" s="10" t="n">
        <v>187</v>
      </c>
      <c r="J1965" s="10" t="n">
        <v>0</v>
      </c>
      <c r="K1965" s="10" t="s">
        <v>20</v>
      </c>
      <c r="L1965" s="11" t="n">
        <v>41411.1659606481</v>
      </c>
      <c r="M1965" s="12" t="s">
        <v>574</v>
      </c>
      <c r="N1965" s="12" t="s">
        <v>5143</v>
      </c>
      <c r="O1965" s="9" t="str">
        <f aca="false">HYPERLINK("https://pbs.twimg.com/profile_images/733946045177044993/3487Hc3g_normal.jpg","View")</f>
        <v>View</v>
      </c>
      <c r="P1965" s="10"/>
    </row>
    <row r="1966" customFormat="false" ht="15.75" hidden="false" customHeight="false" outlineLevel="0" collapsed="false">
      <c r="A1966" s="6" t="n">
        <v>43030.2157407407</v>
      </c>
      <c r="B1966" s="7" t="str">
        <f aca="false">HYPERLINK("https://twitter.com/jlitwinetz","@jlitwinetz")</f>
        <v>@jlitwinetz</v>
      </c>
      <c r="C1966" s="8" t="s">
        <v>5144</v>
      </c>
      <c r="D1966" s="8" t="s">
        <v>5145</v>
      </c>
      <c r="E1966" s="9" t="str">
        <f aca="false">HYPERLINK("https://twitter.com/jlitwinetz/status/922072713040146433","922072713040146433")</f>
        <v>922072713040146433</v>
      </c>
      <c r="F1966" s="10" t="s">
        <v>60</v>
      </c>
      <c r="G1966" s="10" t="n">
        <v>80</v>
      </c>
      <c r="H1966" s="10" t="n">
        <v>106</v>
      </c>
      <c r="I1966" s="10" t="n">
        <v>0</v>
      </c>
      <c r="J1966" s="10" t="n">
        <v>0</v>
      </c>
      <c r="K1966" s="10" t="s">
        <v>20</v>
      </c>
      <c r="L1966" s="11" t="n">
        <v>39978.2479050926</v>
      </c>
      <c r="M1966" s="12" t="s">
        <v>1961</v>
      </c>
      <c r="N1966" s="12" t="s">
        <v>5146</v>
      </c>
      <c r="O1966" s="9" t="str">
        <f aca="false">HYPERLINK("https://pbs.twimg.com/profile_images/886382454117875712/O-uI0MTA_normal.jpg","View")</f>
        <v>View</v>
      </c>
      <c r="P1966" s="10"/>
    </row>
    <row r="1967" customFormat="false" ht="15.75" hidden="false" customHeight="false" outlineLevel="0" collapsed="false">
      <c r="A1967" s="6" t="n">
        <v>43030.2157407407</v>
      </c>
      <c r="B1967" s="7" t="str">
        <f aca="false">HYPERLINK("https://twitter.com/aman199368","@aman199368")</f>
        <v>@aman199368</v>
      </c>
      <c r="C1967" s="8" t="s">
        <v>5147</v>
      </c>
      <c r="D1967" s="8" t="s">
        <v>4984</v>
      </c>
      <c r="E1967" s="9" t="str">
        <f aca="false">HYPERLINK("https://twitter.com/aman199368/status/922072713379790848","922072713379790848")</f>
        <v>922072713379790848</v>
      </c>
      <c r="F1967" s="10" t="s">
        <v>25</v>
      </c>
      <c r="G1967" s="10" t="n">
        <v>188</v>
      </c>
      <c r="H1967" s="10" t="n">
        <v>528</v>
      </c>
      <c r="I1967" s="10" t="n">
        <v>187</v>
      </c>
      <c r="J1967" s="10" t="n">
        <v>0</v>
      </c>
      <c r="K1967" s="10" t="s">
        <v>20</v>
      </c>
      <c r="L1967" s="11" t="n">
        <v>42995.9763541667</v>
      </c>
      <c r="M1967" s="12" t="s">
        <v>72</v>
      </c>
      <c r="N1967" s="12" t="s">
        <v>5148</v>
      </c>
      <c r="O1967" s="9" t="str">
        <f aca="false">HYPERLINK("https://pbs.twimg.com/profile_images/916921890010152961/FbM8olrg_normal.jpg","View")</f>
        <v>View</v>
      </c>
      <c r="P1967" s="10"/>
    </row>
    <row r="1968" customFormat="false" ht="15.75" hidden="false" customHeight="false" outlineLevel="0" collapsed="false">
      <c r="A1968" s="6" t="n">
        <v>43030.2157638889</v>
      </c>
      <c r="B1968" s="7" t="str">
        <f aca="false">HYPERLINK("https://twitter.com/newsjsET","@newsjsET")</f>
        <v>@newsjsET</v>
      </c>
      <c r="C1968" s="8" t="s">
        <v>5149</v>
      </c>
      <c r="D1968" s="8" t="s">
        <v>5150</v>
      </c>
      <c r="E1968" s="9" t="str">
        <f aca="false">HYPERLINK("https://twitter.com/newsjsET/status/922072721097240576","922072721097240576")</f>
        <v>922072721097240576</v>
      </c>
      <c r="F1968" s="9" t="s">
        <v>1147</v>
      </c>
      <c r="G1968" s="10" t="n">
        <v>195</v>
      </c>
      <c r="H1968" s="10" t="n">
        <v>1001</v>
      </c>
      <c r="I1968" s="10" t="n">
        <v>0</v>
      </c>
      <c r="J1968" s="10" t="n">
        <v>0</v>
      </c>
      <c r="K1968" s="10" t="s">
        <v>20</v>
      </c>
      <c r="L1968" s="11" t="n">
        <v>41964.6713657407</v>
      </c>
      <c r="M1968" s="12" t="s">
        <v>5151</v>
      </c>
      <c r="N1968" s="12" t="s">
        <v>5152</v>
      </c>
      <c r="O1968" s="9" t="str">
        <f aca="false">HYPERLINK("https://pbs.twimg.com/profile_images/787679556371120129/79iZPmlz_normal.jpg","View")</f>
        <v>View</v>
      </c>
      <c r="P1968" s="10"/>
    </row>
    <row r="1969" customFormat="false" ht="15.75" hidden="false" customHeight="false" outlineLevel="0" collapsed="false">
      <c r="A1969" s="6" t="n">
        <v>43030.2157638889</v>
      </c>
      <c r="B1969" s="7" t="str">
        <f aca="false">HYPERLINK("https://twitter.com/khaliedfalah","@khaliedfalah")</f>
        <v>@khaliedfalah</v>
      </c>
      <c r="C1969" s="8" t="s">
        <v>5153</v>
      </c>
      <c r="D1969" s="8" t="s">
        <v>4984</v>
      </c>
      <c r="E1969" s="9" t="str">
        <f aca="false">HYPERLINK("https://twitter.com/khaliedfalah/status/922072722288586753","922072722288586753")</f>
        <v>922072722288586753</v>
      </c>
      <c r="F1969" s="10" t="s">
        <v>5154</v>
      </c>
      <c r="G1969" s="10" t="n">
        <v>49</v>
      </c>
      <c r="H1969" s="10" t="n">
        <v>0</v>
      </c>
      <c r="I1969" s="10" t="n">
        <v>187</v>
      </c>
      <c r="J1969" s="10" t="n">
        <v>0</v>
      </c>
      <c r="K1969" s="10" t="s">
        <v>20</v>
      </c>
      <c r="L1969" s="11" t="n">
        <v>42526.6455902778</v>
      </c>
      <c r="M1969" s="12"/>
      <c r="N1969" s="12"/>
      <c r="O1969" s="9" t="str">
        <f aca="false">HYPERLINK("https://pbs.twimg.com/profile_images/739593793226297344/2x8A03Y6_normal.jpg","View")</f>
        <v>View</v>
      </c>
      <c r="P1969" s="10"/>
    </row>
    <row r="1970" customFormat="false" ht="15.75" hidden="false" customHeight="false" outlineLevel="0" collapsed="false">
      <c r="A1970" s="6" t="n">
        <v>43030.2158101852</v>
      </c>
      <c r="B1970" s="7" t="str">
        <f aca="false">HYPERLINK("https://twitter.com/DogFarley32","@DogFarley32")</f>
        <v>@DogFarley32</v>
      </c>
      <c r="C1970" s="8" t="s">
        <v>2531</v>
      </c>
      <c r="D1970" s="8" t="s">
        <v>3971</v>
      </c>
      <c r="E1970" s="9" t="str">
        <f aca="false">HYPERLINK("https://twitter.com/DogFarley32/status/922072739099193350","922072739099193350")</f>
        <v>922072739099193350</v>
      </c>
      <c r="F1970" s="10" t="s">
        <v>25</v>
      </c>
      <c r="G1970" s="10" t="n">
        <v>297</v>
      </c>
      <c r="H1970" s="10" t="n">
        <v>1962</v>
      </c>
      <c r="I1970" s="10" t="n">
        <v>24</v>
      </c>
      <c r="J1970" s="10" t="n">
        <v>0</v>
      </c>
      <c r="K1970" s="10" t="s">
        <v>20</v>
      </c>
      <c r="L1970" s="11" t="n">
        <v>41733.4151157407</v>
      </c>
      <c r="M1970" s="12" t="s">
        <v>230</v>
      </c>
      <c r="N1970" s="12" t="s">
        <v>2532</v>
      </c>
      <c r="O1970" s="9" t="str">
        <f aca="false">HYPERLINK("https://pbs.twimg.com/profile_images/759020646852546561/xrDOZASQ_normal.jpg","View")</f>
        <v>View</v>
      </c>
      <c r="P1970" s="10"/>
    </row>
    <row r="1971" customFormat="false" ht="15.75" hidden="false" customHeight="false" outlineLevel="0" collapsed="false">
      <c r="A1971" s="6" t="n">
        <v>43030.2158217593</v>
      </c>
      <c r="B1971" s="7" t="str">
        <f aca="false">HYPERLINK("https://twitter.com/HelenBiggs4","@HelenBiggs4")</f>
        <v>@HelenBiggs4</v>
      </c>
      <c r="C1971" s="8" t="s">
        <v>5155</v>
      </c>
      <c r="D1971" s="8" t="s">
        <v>5030</v>
      </c>
      <c r="E1971" s="9" t="str">
        <f aca="false">HYPERLINK("https://twitter.com/HelenBiggs4/status/922072740454117379","922072740454117379")</f>
        <v>922072740454117379</v>
      </c>
      <c r="F1971" s="10" t="s">
        <v>5156</v>
      </c>
      <c r="G1971" s="10" t="n">
        <v>1660</v>
      </c>
      <c r="H1971" s="10" t="n">
        <v>1491</v>
      </c>
      <c r="I1971" s="10" t="n">
        <v>22</v>
      </c>
      <c r="J1971" s="10" t="n">
        <v>0</v>
      </c>
      <c r="K1971" s="10" t="s">
        <v>20</v>
      </c>
      <c r="L1971" s="11" t="n">
        <v>41532.5513310185</v>
      </c>
      <c r="M1971" s="12" t="s">
        <v>4756</v>
      </c>
      <c r="N1971" s="12" t="s">
        <v>5157</v>
      </c>
      <c r="O1971" s="9" t="str">
        <f aca="false">HYPERLINK("https://pbs.twimg.com/profile_images/378800000462928919/612caf7a1977be7fc7a33350c9d9e674_normal.jpeg","View")</f>
        <v>View</v>
      </c>
      <c r="P1971" s="10"/>
    </row>
    <row r="1972" customFormat="false" ht="15.75" hidden="false" customHeight="false" outlineLevel="0" collapsed="false">
      <c r="A1972" s="6" t="n">
        <v>43030.2158449074</v>
      </c>
      <c r="B1972" s="7" t="str">
        <f aca="false">HYPERLINK("https://twitter.com/yoko221b","@yoko221b")</f>
        <v>@yoko221b</v>
      </c>
      <c r="C1972" s="8" t="s">
        <v>2538</v>
      </c>
      <c r="D1972" s="8" t="s">
        <v>5030</v>
      </c>
      <c r="E1972" s="9" t="str">
        <f aca="false">HYPERLINK("https://twitter.com/yoko221b/status/922072749777993728","922072749777993728")</f>
        <v>922072749777993728</v>
      </c>
      <c r="F1972" s="10" t="s">
        <v>39</v>
      </c>
      <c r="G1972" s="10" t="n">
        <v>137</v>
      </c>
      <c r="H1972" s="10" t="n">
        <v>189</v>
      </c>
      <c r="I1972" s="10" t="n">
        <v>22</v>
      </c>
      <c r="J1972" s="10" t="n">
        <v>0</v>
      </c>
      <c r="K1972" s="10" t="s">
        <v>20</v>
      </c>
      <c r="L1972" s="11" t="n">
        <v>40028.2478819444</v>
      </c>
      <c r="M1972" s="12" t="s">
        <v>1473</v>
      </c>
      <c r="N1972" s="13" t="s">
        <v>2539</v>
      </c>
      <c r="O1972" s="9" t="str">
        <f aca="false">HYPERLINK("https://pbs.twimg.com/profile_images/498760110596841473/BFN-ecDu_normal.jpeg","View")</f>
        <v>View</v>
      </c>
      <c r="P1972" s="10"/>
    </row>
    <row r="1973" customFormat="false" ht="15.75" hidden="false" customHeight="false" outlineLevel="0" collapsed="false">
      <c r="A1973" s="6" t="n">
        <v>43030.2158564815</v>
      </c>
      <c r="B1973" s="7" t="str">
        <f aca="false">HYPERLINK("https://twitter.com/DogFarley32","@DogFarley32")</f>
        <v>@DogFarley32</v>
      </c>
      <c r="C1973" s="8" t="s">
        <v>2531</v>
      </c>
      <c r="D1973" s="8" t="s">
        <v>5158</v>
      </c>
      <c r="E1973" s="9" t="str">
        <f aca="false">HYPERLINK("https://twitter.com/DogFarley32/status/922072755851239424","922072755851239424")</f>
        <v>922072755851239424</v>
      </c>
      <c r="F1973" s="10" t="s">
        <v>47</v>
      </c>
      <c r="G1973" s="10" t="n">
        <v>297</v>
      </c>
      <c r="H1973" s="10" t="n">
        <v>1962</v>
      </c>
      <c r="I1973" s="10" t="n">
        <v>0</v>
      </c>
      <c r="J1973" s="10" t="n">
        <v>0</v>
      </c>
      <c r="K1973" s="10" t="s">
        <v>20</v>
      </c>
      <c r="L1973" s="11" t="n">
        <v>41733.4151157407</v>
      </c>
      <c r="M1973" s="12" t="s">
        <v>230</v>
      </c>
      <c r="N1973" s="12" t="s">
        <v>2532</v>
      </c>
      <c r="O1973" s="9" t="str">
        <f aca="false">HYPERLINK("https://pbs.twimg.com/profile_images/759020646852546561/xrDOZASQ_normal.jpg","View")</f>
        <v>View</v>
      </c>
      <c r="P1973" s="10"/>
    </row>
    <row r="1974" customFormat="false" ht="15.75" hidden="false" customHeight="false" outlineLevel="0" collapsed="false">
      <c r="A1974" s="6" t="n">
        <v>43030.2158796296</v>
      </c>
      <c r="B1974" s="7" t="str">
        <f aca="false">HYPERLINK("https://twitter.com/openda1","@openda1")</f>
        <v>@openda1</v>
      </c>
      <c r="C1974" s="8" t="s">
        <v>5159</v>
      </c>
      <c r="D1974" s="8" t="s">
        <v>5160</v>
      </c>
      <c r="E1974" s="9" t="str">
        <f aca="false">HYPERLINK("https://twitter.com/openda1/status/922072762189012992","922072762189012992")</f>
        <v>922072762189012992</v>
      </c>
      <c r="F1974" s="10" t="s">
        <v>25</v>
      </c>
      <c r="G1974" s="10" t="n">
        <v>448</v>
      </c>
      <c r="H1974" s="10" t="n">
        <v>1171</v>
      </c>
      <c r="I1974" s="10" t="n">
        <v>0</v>
      </c>
      <c r="J1974" s="10" t="n">
        <v>0</v>
      </c>
      <c r="K1974" s="10" t="s">
        <v>20</v>
      </c>
      <c r="L1974" s="11" t="n">
        <v>40098.082662037</v>
      </c>
      <c r="M1974" s="12" t="s">
        <v>5161</v>
      </c>
      <c r="N1974" s="12" t="s">
        <v>5162</v>
      </c>
      <c r="O1974" s="9" t="str">
        <f aca="false">HYPERLINK("https://pbs.twimg.com/profile_images/1669670725/179ES6JH_normal","View")</f>
        <v>View</v>
      </c>
      <c r="P1974" s="10"/>
    </row>
    <row r="1975" customFormat="false" ht="15.75" hidden="false" customHeight="false" outlineLevel="0" collapsed="false">
      <c r="A1975" s="6" t="n">
        <v>43030.2159375</v>
      </c>
      <c r="B1975" s="7" t="str">
        <f aca="false">HYPERLINK("https://twitter.com/LallanPr","@LallanPr")</f>
        <v>@LallanPr</v>
      </c>
      <c r="C1975" s="8" t="s">
        <v>5163</v>
      </c>
      <c r="D1975" s="8" t="s">
        <v>5164</v>
      </c>
      <c r="E1975" s="9" t="str">
        <f aca="false">HYPERLINK("https://twitter.com/LallanPr/status/922072783538065409","922072783538065409")</f>
        <v>922072783538065409</v>
      </c>
      <c r="F1975" s="10" t="s">
        <v>25</v>
      </c>
      <c r="G1975" s="10" t="n">
        <v>1302</v>
      </c>
      <c r="H1975" s="10" t="n">
        <v>532</v>
      </c>
      <c r="I1975" s="10" t="n">
        <v>1</v>
      </c>
      <c r="J1975" s="10" t="n">
        <v>0</v>
      </c>
      <c r="K1975" s="10" t="s">
        <v>20</v>
      </c>
      <c r="L1975" s="11" t="n">
        <v>41984.2824421296</v>
      </c>
      <c r="M1975" s="12" t="s">
        <v>5165</v>
      </c>
      <c r="N1975" s="12" t="s">
        <v>5166</v>
      </c>
      <c r="O1975" s="9" t="str">
        <f aca="false">HYPERLINK("https://pbs.twimg.com/profile_images/796150178248069120/6N3SH9DH_normal.jpg","View")</f>
        <v>View</v>
      </c>
      <c r="P1975" s="10"/>
    </row>
    <row r="1976" customFormat="false" ht="15.75" hidden="false" customHeight="false" outlineLevel="0" collapsed="false">
      <c r="A1976" s="6" t="n">
        <v>43030.2160069444</v>
      </c>
      <c r="B1976" s="7" t="str">
        <f aca="false">HYPERLINK("https://twitter.com/P0LTN","@P0LTN")</f>
        <v>@P0LTN</v>
      </c>
      <c r="C1976" s="8" t="s">
        <v>5167</v>
      </c>
      <c r="D1976" s="8" t="s">
        <v>5135</v>
      </c>
      <c r="E1976" s="9" t="str">
        <f aca="false">HYPERLINK("https://twitter.com/P0LTN/status/922072807382573057","922072807382573057")</f>
        <v>922072807382573057</v>
      </c>
      <c r="F1976" s="10" t="s">
        <v>25</v>
      </c>
      <c r="G1976" s="10" t="n">
        <v>11863</v>
      </c>
      <c r="H1976" s="10" t="n">
        <v>166</v>
      </c>
      <c r="I1976" s="10" t="n">
        <v>18</v>
      </c>
      <c r="J1976" s="10" t="n">
        <v>0</v>
      </c>
      <c r="K1976" s="10" t="s">
        <v>20</v>
      </c>
      <c r="L1976" s="11" t="n">
        <v>41714.334537037</v>
      </c>
      <c r="M1976" s="13" t="s">
        <v>5168</v>
      </c>
      <c r="N1976" s="13" t="s">
        <v>5169</v>
      </c>
      <c r="O1976" s="9" t="str">
        <f aca="false">HYPERLINK("https://pbs.twimg.com/profile_images/582909877233676288/MAUOYDn-_normal.jpg","View")</f>
        <v>View</v>
      </c>
      <c r="P1976" s="10"/>
    </row>
    <row r="1977" customFormat="false" ht="15.75" hidden="false" customHeight="false" outlineLevel="0" collapsed="false">
      <c r="A1977" s="6" t="n">
        <v>43030.2160185185</v>
      </c>
      <c r="B1977" s="7" t="str">
        <f aca="false">HYPERLINK("https://twitter.com/yoko221b","@yoko221b")</f>
        <v>@yoko221b</v>
      </c>
      <c r="C1977" s="8" t="s">
        <v>2538</v>
      </c>
      <c r="D1977" s="8" t="s">
        <v>4984</v>
      </c>
      <c r="E1977" s="9" t="str">
        <f aca="false">HYPERLINK("https://twitter.com/yoko221b/status/922072812587646978","922072812587646978")</f>
        <v>922072812587646978</v>
      </c>
      <c r="F1977" s="10" t="s">
        <v>39</v>
      </c>
      <c r="G1977" s="10" t="n">
        <v>137</v>
      </c>
      <c r="H1977" s="10" t="n">
        <v>189</v>
      </c>
      <c r="I1977" s="10" t="n">
        <v>187</v>
      </c>
      <c r="J1977" s="10" t="n">
        <v>0</v>
      </c>
      <c r="K1977" s="10" t="s">
        <v>20</v>
      </c>
      <c r="L1977" s="11" t="n">
        <v>40028.2478819444</v>
      </c>
      <c r="M1977" s="12" t="s">
        <v>1473</v>
      </c>
      <c r="N1977" s="13" t="s">
        <v>2539</v>
      </c>
      <c r="O1977" s="9" t="str">
        <f aca="false">HYPERLINK("https://pbs.twimg.com/profile_images/498760110596841473/BFN-ecDu_normal.jpeg","View")</f>
        <v>View</v>
      </c>
      <c r="P1977" s="10"/>
    </row>
    <row r="1978" customFormat="false" ht="15.75" hidden="false" customHeight="false" outlineLevel="0" collapsed="false">
      <c r="A1978" s="6" t="n">
        <v>43030.2160185185</v>
      </c>
      <c r="B1978" s="7" t="str">
        <f aca="false">HYPERLINK("https://twitter.com/web_hotnews","@web_hotnews")</f>
        <v>@web_hotnews</v>
      </c>
      <c r="C1978" s="14" t="s">
        <v>5170</v>
      </c>
      <c r="D1978" s="8" t="s">
        <v>5171</v>
      </c>
      <c r="E1978" s="9" t="str">
        <f aca="false">HYPERLINK("https://twitter.com/web_hotnews/status/922072813522915329","922072813522915329")</f>
        <v>922072813522915329</v>
      </c>
      <c r="F1978" s="9" t="s">
        <v>1147</v>
      </c>
      <c r="G1978" s="10" t="n">
        <v>44</v>
      </c>
      <c r="H1978" s="10" t="n">
        <v>51</v>
      </c>
      <c r="I1978" s="10" t="n">
        <v>0</v>
      </c>
      <c r="J1978" s="10" t="n">
        <v>0</v>
      </c>
      <c r="K1978" s="10" t="s">
        <v>20</v>
      </c>
      <c r="L1978" s="11" t="n">
        <v>42211.9386458333</v>
      </c>
      <c r="M1978" s="12"/>
      <c r="N1978" s="12" t="s">
        <v>5172</v>
      </c>
      <c r="O1978" s="9" t="str">
        <f aca="false">HYPERLINK("https://pbs.twimg.com/profile_images/625539440719441920/4BCTzX5E_normal.png","View")</f>
        <v>View</v>
      </c>
      <c r="P1978" s="10"/>
    </row>
    <row r="1979" customFormat="false" ht="15.75" hidden="false" customHeight="false" outlineLevel="0" collapsed="false">
      <c r="A1979" s="6" t="n">
        <v>43030.2160300926</v>
      </c>
      <c r="B1979" s="7" t="str">
        <f aca="false">HYPERLINK("https://twitter.com/KarloMdz","@KarloMdz")</f>
        <v>@KarloMdz</v>
      </c>
      <c r="C1979" s="8" t="s">
        <v>1011</v>
      </c>
      <c r="D1979" s="8" t="s">
        <v>5173</v>
      </c>
      <c r="E1979" s="9" t="str">
        <f aca="false">HYPERLINK("https://twitter.com/KarloMdz/status/922072815553179648","922072815553179648")</f>
        <v>922072815553179648</v>
      </c>
      <c r="F1979" s="10" t="s">
        <v>60</v>
      </c>
      <c r="G1979" s="10" t="n">
        <v>311</v>
      </c>
      <c r="H1979" s="10" t="n">
        <v>137</v>
      </c>
      <c r="I1979" s="10" t="n">
        <v>0</v>
      </c>
      <c r="J1979" s="10" t="n">
        <v>0</v>
      </c>
      <c r="K1979" s="10" t="s">
        <v>20</v>
      </c>
      <c r="L1979" s="11" t="n">
        <v>42132.3644212963</v>
      </c>
      <c r="M1979" s="12" t="s">
        <v>1013</v>
      </c>
      <c r="N1979" s="12" t="s">
        <v>1014</v>
      </c>
      <c r="O1979" s="9" t="str">
        <f aca="false">HYPERLINK("https://pbs.twimg.com/profile_images/830713335117127680/Q5qrinGt_normal.jpg","View")</f>
        <v>View</v>
      </c>
      <c r="P1979" s="10"/>
    </row>
    <row r="1980" customFormat="false" ht="15.75" hidden="false" customHeight="false" outlineLevel="0" collapsed="false">
      <c r="A1980" s="6" t="n">
        <v>43030.2160300926</v>
      </c>
      <c r="B1980" s="7" t="str">
        <f aca="false">HYPERLINK("https://twitter.com/SagittarioCase","@SagittarioCase")</f>
        <v>@SagittarioCase</v>
      </c>
      <c r="C1980" s="8" t="s">
        <v>5174</v>
      </c>
      <c r="D1980" s="8" t="s">
        <v>5175</v>
      </c>
      <c r="E1980" s="9" t="str">
        <f aca="false">HYPERLINK("https://twitter.com/SagittarioCase/status/922072815574007809","922072815574007809")</f>
        <v>922072815574007809</v>
      </c>
      <c r="F1980" s="9" t="s">
        <v>1147</v>
      </c>
      <c r="G1980" s="10" t="n">
        <v>267</v>
      </c>
      <c r="H1980" s="10" t="n">
        <v>388</v>
      </c>
      <c r="I1980" s="10" t="n">
        <v>0</v>
      </c>
      <c r="J1980" s="10" t="n">
        <v>0</v>
      </c>
      <c r="K1980" s="10" t="s">
        <v>20</v>
      </c>
      <c r="L1980" s="11" t="n">
        <v>41942.4125462963</v>
      </c>
      <c r="M1980" s="12"/>
      <c r="N1980" s="12" t="s">
        <v>5176</v>
      </c>
      <c r="O1980" s="9" t="str">
        <f aca="false">HYPERLINK("https://pbs.twimg.com/profile_images/527866851749945344/ZO7G8eVx_normal.png","View")</f>
        <v>View</v>
      </c>
      <c r="P1980" s="10"/>
    </row>
    <row r="1981" customFormat="false" ht="15.75" hidden="false" customHeight="false" outlineLevel="0" collapsed="false">
      <c r="A1981" s="6" t="n">
        <v>43030.2160300926</v>
      </c>
      <c r="B1981" s="7" t="str">
        <f aca="false">HYPERLINK("https://twitter.com/crewislife","@crewislife")</f>
        <v>@crewislife</v>
      </c>
      <c r="C1981" s="8" t="s">
        <v>4484</v>
      </c>
      <c r="D1981" s="8" t="s">
        <v>5177</v>
      </c>
      <c r="E1981" s="9" t="str">
        <f aca="false">HYPERLINK("https://twitter.com/crewislife/status/922072817029455872","922072817029455872")</f>
        <v>922072817029455872</v>
      </c>
      <c r="F1981" s="9" t="s">
        <v>1147</v>
      </c>
      <c r="G1981" s="10" t="n">
        <v>7160</v>
      </c>
      <c r="H1981" s="10" t="n">
        <v>7174</v>
      </c>
      <c r="I1981" s="10" t="n">
        <v>0</v>
      </c>
      <c r="J1981" s="10" t="n">
        <v>0</v>
      </c>
      <c r="K1981" s="10" t="s">
        <v>20</v>
      </c>
      <c r="L1981" s="11" t="n">
        <v>39777.9152777778</v>
      </c>
      <c r="M1981" s="12" t="s">
        <v>4486</v>
      </c>
      <c r="N1981" s="12" t="s">
        <v>4487</v>
      </c>
      <c r="O1981" s="9" t="str">
        <f aca="false">HYPERLINK("https://pbs.twimg.com/profile_images/912148508999786496/DYWWvmCA_normal.jpg","View")</f>
        <v>View</v>
      </c>
      <c r="P1981" s="10"/>
    </row>
    <row r="1982" customFormat="false" ht="15.75" hidden="false" customHeight="false" outlineLevel="0" collapsed="false">
      <c r="A1982" s="6" t="n">
        <v>43030.2160300926</v>
      </c>
      <c r="B1982" s="7" t="str">
        <f aca="false">HYPERLINK("https://twitter.com/ElmoreGinelle","@ElmoreGinelle")</f>
        <v>@ElmoreGinelle</v>
      </c>
      <c r="C1982" s="8" t="s">
        <v>5178</v>
      </c>
      <c r="D1982" s="8" t="s">
        <v>5179</v>
      </c>
      <c r="E1982" s="9" t="str">
        <f aca="false">HYPERLINK("https://twitter.com/ElmoreGinelle/status/922072818078142464","922072818078142464")</f>
        <v>922072818078142464</v>
      </c>
      <c r="F1982" s="10" t="s">
        <v>60</v>
      </c>
      <c r="G1982" s="10" t="n">
        <v>4</v>
      </c>
      <c r="H1982" s="10" t="n">
        <v>0</v>
      </c>
      <c r="I1982" s="10" t="n">
        <v>0</v>
      </c>
      <c r="J1982" s="10" t="n">
        <v>0</v>
      </c>
      <c r="K1982" s="10" t="s">
        <v>20</v>
      </c>
      <c r="L1982" s="11" t="n">
        <v>42982.1687962963</v>
      </c>
      <c r="M1982" s="12" t="s">
        <v>295</v>
      </c>
      <c r="N1982" s="12" t="s">
        <v>5180</v>
      </c>
      <c r="O1982" s="9" t="str">
        <f aca="false">HYPERLINK("https://pbs.twimg.com/profile_images/911266019167027200/A_lIieKa_normal.jpg","View")</f>
        <v>View</v>
      </c>
      <c r="P1982" s="10"/>
    </row>
    <row r="1983" customFormat="false" ht="15.75" hidden="false" customHeight="false" outlineLevel="0" collapsed="false">
      <c r="A1983" s="6" t="n">
        <v>43030.2160416667</v>
      </c>
      <c r="B1983" s="7" t="str">
        <f aca="false">HYPERLINK("https://twitter.com/mybskkk","@mybskkk")</f>
        <v>@mybskkk</v>
      </c>
      <c r="C1983" s="14" t="s">
        <v>5181</v>
      </c>
      <c r="D1983" s="8" t="s">
        <v>5182</v>
      </c>
      <c r="E1983" s="9" t="str">
        <f aca="false">HYPERLINK("https://twitter.com/mybskkk/status/922072819139166208","922072819139166208")</f>
        <v>922072819139166208</v>
      </c>
      <c r="F1983" s="9" t="s">
        <v>1147</v>
      </c>
      <c r="G1983" s="10" t="n">
        <v>41</v>
      </c>
      <c r="H1983" s="10" t="n">
        <v>51</v>
      </c>
      <c r="I1983" s="10" t="n">
        <v>0</v>
      </c>
      <c r="J1983" s="10" t="n">
        <v>0</v>
      </c>
      <c r="K1983" s="10" t="s">
        <v>20</v>
      </c>
      <c r="L1983" s="11" t="n">
        <v>42211.9308680556</v>
      </c>
      <c r="M1983" s="12"/>
      <c r="N1983" s="13" t="s">
        <v>5183</v>
      </c>
      <c r="O1983" s="9" t="str">
        <f aca="false">HYPERLINK("https://pbs.twimg.com/profile_images/625537251963842561/hzCBscMC_normal.jpg","View")</f>
        <v>View</v>
      </c>
      <c r="P1983" s="10"/>
    </row>
    <row r="1984" customFormat="false" ht="15.75" hidden="false" customHeight="false" outlineLevel="0" collapsed="false">
      <c r="A1984" s="6" t="n">
        <v>43030.2160416667</v>
      </c>
      <c r="B1984" s="7" t="str">
        <f aca="false">HYPERLINK("https://twitter.com/everywordNYT","@everywordNYT")</f>
        <v>@everywordNYT</v>
      </c>
      <c r="C1984" s="8" t="s">
        <v>5184</v>
      </c>
      <c r="D1984" s="8" t="s">
        <v>5185</v>
      </c>
      <c r="E1984" s="9" t="str">
        <f aca="false">HYPERLINK("https://twitter.com/everywordNYT/status/922072821605511168","922072821605511168")</f>
        <v>922072821605511168</v>
      </c>
      <c r="F1984" s="10" t="s">
        <v>5184</v>
      </c>
      <c r="G1984" s="10" t="n">
        <v>71</v>
      </c>
      <c r="H1984" s="10" t="n">
        <v>0</v>
      </c>
      <c r="I1984" s="10" t="n">
        <v>0</v>
      </c>
      <c r="J1984" s="10" t="n">
        <v>0</v>
      </c>
      <c r="K1984" s="10" t="s">
        <v>20</v>
      </c>
      <c r="L1984" s="11" t="n">
        <v>41797.5241087963</v>
      </c>
      <c r="M1984" s="12"/>
      <c r="N1984" s="12" t="s">
        <v>5186</v>
      </c>
      <c r="O1984" s="9" t="str">
        <f aca="false">HYPERLINK("https://pbs.twimg.com/profile_images/475371411830079488/7LX3TyMa_normal.png","View")</f>
        <v>View</v>
      </c>
      <c r="P1984" s="10"/>
    </row>
    <row r="1985" customFormat="false" ht="15.75" hidden="false" customHeight="false" outlineLevel="0" collapsed="false">
      <c r="A1985" s="6" t="n">
        <v>43030.2160416667</v>
      </c>
      <c r="B1985" s="7" t="str">
        <f aca="false">HYPERLINK("https://twitter.com/homo_san","@homo_san")</f>
        <v>@homo_san</v>
      </c>
      <c r="C1985" s="14" t="s">
        <v>5187</v>
      </c>
      <c r="D1985" s="8" t="s">
        <v>5188</v>
      </c>
      <c r="E1985" s="9" t="str">
        <f aca="false">HYPERLINK("https://twitter.com/homo_san/status/922072822511411200","922072822511411200")</f>
        <v>922072822511411200</v>
      </c>
      <c r="F1985" s="9" t="s">
        <v>1340</v>
      </c>
      <c r="G1985" s="10" t="n">
        <v>1303</v>
      </c>
      <c r="H1985" s="10" t="n">
        <v>1951</v>
      </c>
      <c r="I1985" s="10" t="n">
        <v>0</v>
      </c>
      <c r="J1985" s="10" t="n">
        <v>0</v>
      </c>
      <c r="K1985" s="10" t="s">
        <v>20</v>
      </c>
      <c r="L1985" s="11" t="n">
        <v>41531.5540393519</v>
      </c>
      <c r="M1985" s="12"/>
      <c r="N1985" s="12"/>
      <c r="O1985" s="9" t="str">
        <f aca="false">HYPERLINK("https://pbs.twimg.com/profile_images/378800000457752612/b5b0bf5cfec46104c317cd6625f9c36e_normal.jpeg","View")</f>
        <v>View</v>
      </c>
      <c r="P1985" s="10"/>
    </row>
    <row r="1986" customFormat="false" ht="15.75" hidden="false" customHeight="false" outlineLevel="0" collapsed="false">
      <c r="A1986" s="6" t="n">
        <v>43030.2160416667</v>
      </c>
      <c r="B1986" s="7" t="str">
        <f aca="false">HYPERLINK("https://twitter.com/kogatakee","@kogatakee")</f>
        <v>@kogatakee</v>
      </c>
      <c r="C1986" s="8" t="s">
        <v>5189</v>
      </c>
      <c r="D1986" s="8" t="s">
        <v>5190</v>
      </c>
      <c r="E1986" s="9" t="str">
        <f aca="false">HYPERLINK("https://twitter.com/kogatakee/status/922072822616178688","922072822616178688")</f>
        <v>922072822616178688</v>
      </c>
      <c r="F1986" s="9" t="s">
        <v>1147</v>
      </c>
      <c r="G1986" s="10" t="n">
        <v>44</v>
      </c>
      <c r="H1986" s="10" t="n">
        <v>47</v>
      </c>
      <c r="I1986" s="10" t="n">
        <v>0</v>
      </c>
      <c r="J1986" s="10" t="n">
        <v>0</v>
      </c>
      <c r="K1986" s="10" t="s">
        <v>20</v>
      </c>
      <c r="L1986" s="11" t="n">
        <v>42211.9234375</v>
      </c>
      <c r="M1986" s="12"/>
      <c r="N1986" s="13" t="s">
        <v>5191</v>
      </c>
      <c r="O1986" s="9" t="str">
        <f aca="false">HYPERLINK("https://pbs.twimg.com/profile_images/625533871602307073/7jt2DV2r_normal.jpg","View")</f>
        <v>View</v>
      </c>
      <c r="P1986" s="10"/>
    </row>
    <row r="1987" customFormat="false" ht="15.75" hidden="false" customHeight="false" outlineLevel="0" collapsed="false">
      <c r="A1987" s="6" t="n">
        <v>43030.2160532407</v>
      </c>
      <c r="B1987" s="7" t="str">
        <f aca="false">HYPERLINK("https://twitter.com/WorldNews7777","@WorldNews7777")</f>
        <v>@WorldNews7777</v>
      </c>
      <c r="C1987" s="8" t="s">
        <v>1749</v>
      </c>
      <c r="D1987" s="8" t="s">
        <v>5192</v>
      </c>
      <c r="E1987" s="9" t="str">
        <f aca="false">HYPERLINK("https://twitter.com/WorldNews7777/status/922072826068307968","922072826068307968")</f>
        <v>922072826068307968</v>
      </c>
      <c r="F1987" s="10" t="s">
        <v>60</v>
      </c>
      <c r="G1987" s="10" t="n">
        <v>6456</v>
      </c>
      <c r="H1987" s="10" t="n">
        <v>6318</v>
      </c>
      <c r="I1987" s="10" t="n">
        <v>0</v>
      </c>
      <c r="J1987" s="10" t="n">
        <v>0</v>
      </c>
      <c r="K1987" s="10" t="s">
        <v>20</v>
      </c>
      <c r="L1987" s="11" t="n">
        <v>42489.1319444444</v>
      </c>
      <c r="M1987" s="12" t="s">
        <v>230</v>
      </c>
      <c r="N1987" s="12" t="s">
        <v>1751</v>
      </c>
      <c r="O1987" s="9" t="str">
        <f aca="false">HYPERLINK("https://pbs.twimg.com/profile_images/736884749566889984/BtAvBgS4_normal.jpg","View")</f>
        <v>View</v>
      </c>
      <c r="P1987" s="10"/>
    </row>
    <row r="1988" customFormat="false" ht="15.75" hidden="false" customHeight="false" outlineLevel="0" collapsed="false">
      <c r="A1988" s="6" t="n">
        <v>43030.2161226852</v>
      </c>
      <c r="B1988" s="7" t="str">
        <f aca="false">HYPERLINK("https://twitter.com/H0lyR10t","@H0lyR10t")</f>
        <v>@H0lyR10t</v>
      </c>
      <c r="C1988" s="8" t="s">
        <v>5193</v>
      </c>
      <c r="D1988" s="8" t="s">
        <v>5194</v>
      </c>
      <c r="E1988" s="9" t="str">
        <f aca="false">HYPERLINK("https://twitter.com/H0lyR10t/status/922072848654655489","922072848654655489")</f>
        <v>922072848654655489</v>
      </c>
      <c r="F1988" s="9" t="s">
        <v>979</v>
      </c>
      <c r="G1988" s="10" t="n">
        <v>134</v>
      </c>
      <c r="H1988" s="10" t="n">
        <v>223</v>
      </c>
      <c r="I1988" s="10" t="n">
        <v>0</v>
      </c>
      <c r="J1988" s="10" t="n">
        <v>0</v>
      </c>
      <c r="K1988" s="10" t="s">
        <v>20</v>
      </c>
      <c r="L1988" s="11" t="n">
        <v>41339.1338773148</v>
      </c>
      <c r="M1988" s="12"/>
      <c r="N1988" s="12" t="s">
        <v>5195</v>
      </c>
      <c r="O1988" s="9" t="str">
        <f aca="false">HYPERLINK("https://pbs.twimg.com/profile_images/3344886145/ef2ff9ea4983bb3c6105e27105e0bf19_normal.jpeg","View")</f>
        <v>View</v>
      </c>
      <c r="P1988" s="10"/>
    </row>
    <row r="1989" customFormat="false" ht="15.75" hidden="false" customHeight="false" outlineLevel="0" collapsed="false">
      <c r="A1989" s="6" t="n">
        <v>43030.2161689815</v>
      </c>
      <c r="B1989" s="7" t="str">
        <f aca="false">HYPERLINK("https://twitter.com/cgnetwork","@cgnetwork")</f>
        <v>@cgnetwork</v>
      </c>
      <c r="C1989" s="8" t="s">
        <v>372</v>
      </c>
      <c r="D1989" s="8" t="s">
        <v>5196</v>
      </c>
      <c r="E1989" s="9" t="str">
        <f aca="false">HYPERLINK("https://twitter.com/cgnetwork/status/922072867583479808","922072867583479808")</f>
        <v>922072867583479808</v>
      </c>
      <c r="F1989" s="10" t="s">
        <v>55</v>
      </c>
      <c r="G1989" s="10" t="n">
        <v>1176</v>
      </c>
      <c r="H1989" s="10" t="n">
        <v>497</v>
      </c>
      <c r="I1989" s="10" t="n">
        <v>0</v>
      </c>
      <c r="J1989" s="10" t="n">
        <v>0</v>
      </c>
      <c r="K1989" s="10" t="s">
        <v>20</v>
      </c>
      <c r="L1989" s="11" t="n">
        <v>39992.0619791667</v>
      </c>
      <c r="M1989" s="12" t="s">
        <v>374</v>
      </c>
      <c r="N1989" s="12" t="s">
        <v>375</v>
      </c>
      <c r="O1989" s="9" t="str">
        <f aca="false">HYPERLINK("https://pbs.twimg.com/profile_images/286683233/Francis_Lim_Passport_Size_photo_image.jpg_normal.jpg","View")</f>
        <v>View</v>
      </c>
      <c r="P1989" s="10"/>
    </row>
    <row r="1990" customFormat="false" ht="15.75" hidden="false" customHeight="false" outlineLevel="0" collapsed="false">
      <c r="A1990" s="6" t="n">
        <v>43030.2162037037</v>
      </c>
      <c r="B1990" s="7" t="str">
        <f aca="false">HYPERLINK("https://twitter.com/ippeitate","@ippeitate")</f>
        <v>@ippeitate</v>
      </c>
      <c r="C1990" s="14" t="s">
        <v>5197</v>
      </c>
      <c r="D1990" s="8" t="s">
        <v>3971</v>
      </c>
      <c r="E1990" s="9" t="str">
        <f aca="false">HYPERLINK("https://twitter.com/ippeitate/status/922072880296239108","922072880296239108")</f>
        <v>922072880296239108</v>
      </c>
      <c r="F1990" s="10" t="s">
        <v>1017</v>
      </c>
      <c r="G1990" s="10" t="n">
        <v>42</v>
      </c>
      <c r="H1990" s="10" t="n">
        <v>117</v>
      </c>
      <c r="I1990" s="10" t="n">
        <v>24</v>
      </c>
      <c r="J1990" s="10" t="n">
        <v>0</v>
      </c>
      <c r="K1990" s="10" t="s">
        <v>20</v>
      </c>
      <c r="L1990" s="11" t="n">
        <v>40653.3475</v>
      </c>
      <c r="M1990" s="12"/>
      <c r="N1990" s="12"/>
      <c r="O1990" s="9" t="str">
        <f aca="false">HYPERLINK("https://pbs.twimg.com/profile_images/465751249917181952/kU6HIY2c_normal.jpeg","View")</f>
        <v>View</v>
      </c>
      <c r="P1990" s="10"/>
    </row>
    <row r="1991" customFormat="false" ht="15.75" hidden="false" customHeight="false" outlineLevel="0" collapsed="false">
      <c r="A1991" s="6" t="n">
        <v>43030.21625</v>
      </c>
      <c r="B1991" s="7" t="str">
        <f aca="false">HYPERLINK("https://twitter.com/bdNewsTweet","@bdNewsTweet")</f>
        <v>@bdNewsTweet</v>
      </c>
      <c r="C1991" s="8" t="s">
        <v>5198</v>
      </c>
      <c r="D1991" s="8" t="s">
        <v>5199</v>
      </c>
      <c r="E1991" s="9" t="str">
        <f aca="false">HYPERLINK("https://twitter.com/bdNewsTweet/status/922072895232315394","922072895232315394")</f>
        <v>922072895232315394</v>
      </c>
      <c r="F1991" s="10" t="s">
        <v>60</v>
      </c>
      <c r="G1991" s="10" t="n">
        <v>75</v>
      </c>
      <c r="H1991" s="10" t="n">
        <v>24</v>
      </c>
      <c r="I1991" s="10" t="n">
        <v>0</v>
      </c>
      <c r="J1991" s="10" t="n">
        <v>0</v>
      </c>
      <c r="K1991" s="10" t="s">
        <v>20</v>
      </c>
      <c r="L1991" s="11" t="n">
        <v>42516.3763078704</v>
      </c>
      <c r="M1991" s="12" t="s">
        <v>5200</v>
      </c>
      <c r="N1991" s="12" t="s">
        <v>5201</v>
      </c>
      <c r="O1991" s="9" t="str">
        <f aca="false">HYPERLINK("https://pbs.twimg.com/profile_images/902421074008084481/fXS9jF8X_normal.jpg","View")</f>
        <v>View</v>
      </c>
      <c r="P1991" s="10"/>
    </row>
    <row r="1992" customFormat="false" ht="15.75" hidden="false" customHeight="false" outlineLevel="0" collapsed="false">
      <c r="A1992" s="6" t="n">
        <v>43030.21625</v>
      </c>
      <c r="B1992" s="7" t="str">
        <f aca="false">HYPERLINK("https://twitter.com/AlexContestBot","@AlexContestBot")</f>
        <v>@AlexContestBot</v>
      </c>
      <c r="C1992" s="8" t="s">
        <v>2191</v>
      </c>
      <c r="D1992" s="8" t="s">
        <v>3971</v>
      </c>
      <c r="E1992" s="9" t="str">
        <f aca="false">HYPERLINK("https://twitter.com/AlexContestBot/status/922072895328731138","922072895328731138")</f>
        <v>922072895328731138</v>
      </c>
      <c r="F1992" s="10" t="s">
        <v>5202</v>
      </c>
      <c r="G1992" s="10" t="n">
        <v>619</v>
      </c>
      <c r="H1992" s="10" t="n">
        <v>5003</v>
      </c>
      <c r="I1992" s="10" t="n">
        <v>24</v>
      </c>
      <c r="J1992" s="10" t="n">
        <v>0</v>
      </c>
      <c r="K1992" s="10" t="s">
        <v>20</v>
      </c>
      <c r="L1992" s="11" t="n">
        <v>42987.5389814815</v>
      </c>
      <c r="M1992" s="12"/>
      <c r="N1992" s="12"/>
      <c r="O1992" s="9" t="str">
        <f aca="false">HYPERLINK("https://abs.twimg.com/sticky/default_profile_images/default_profile_normal.png","View")</f>
        <v>View</v>
      </c>
      <c r="P1992" s="10"/>
    </row>
    <row r="1993" customFormat="false" ht="15.75" hidden="false" customHeight="false" outlineLevel="0" collapsed="false">
      <c r="A1993" s="6" t="n">
        <v>43030.216400463</v>
      </c>
      <c r="B1993" s="7" t="str">
        <f aca="false">HYPERLINK("https://twitter.com/careersync_now","@careersync_now")</f>
        <v>@careersync_now</v>
      </c>
      <c r="C1993" s="8" t="s">
        <v>5203</v>
      </c>
      <c r="D1993" s="8" t="s">
        <v>5204</v>
      </c>
      <c r="E1993" s="9" t="str">
        <f aca="false">HYPERLINK("https://twitter.com/careersync_now/status/922072951620546561","922072951620546561")</f>
        <v>922072951620546561</v>
      </c>
      <c r="F1993" s="10" t="s">
        <v>60</v>
      </c>
      <c r="G1993" s="10" t="n">
        <v>447</v>
      </c>
      <c r="H1993" s="10" t="n">
        <v>348</v>
      </c>
      <c r="I1993" s="10" t="n">
        <v>0</v>
      </c>
      <c r="J1993" s="10" t="n">
        <v>0</v>
      </c>
      <c r="K1993" s="10" t="s">
        <v>20</v>
      </c>
      <c r="L1993" s="11" t="n">
        <v>41056.0608796296</v>
      </c>
      <c r="M1993" s="12"/>
      <c r="N1993" s="12" t="s">
        <v>5205</v>
      </c>
      <c r="O1993" s="9" t="str">
        <f aca="false">HYPERLINK("https://pbs.twimg.com/profile_images/2253943789/synchronicity---solefield-107154-530-530_normal.jpg","View")</f>
        <v>View</v>
      </c>
      <c r="P1993" s="10"/>
    </row>
    <row r="1994" customFormat="false" ht="15.75" hidden="false" customHeight="false" outlineLevel="0" collapsed="false">
      <c r="A1994" s="6" t="n">
        <v>43030.216412037</v>
      </c>
      <c r="B1994" s="7" t="str">
        <f aca="false">HYPERLINK("https://twitter.com/13X12Y","@13X12Y")</f>
        <v>@13X12Y</v>
      </c>
      <c r="C1994" s="8" t="s">
        <v>5206</v>
      </c>
      <c r="D1994" s="8" t="s">
        <v>5207</v>
      </c>
      <c r="E1994" s="9" t="str">
        <f aca="false">HYPERLINK("https://twitter.com/13X12Y/status/922072955353415680","922072955353415680")</f>
        <v>922072955353415680</v>
      </c>
      <c r="F1994" s="9" t="s">
        <v>1340</v>
      </c>
      <c r="G1994" s="10" t="n">
        <v>28</v>
      </c>
      <c r="H1994" s="10" t="n">
        <v>63</v>
      </c>
      <c r="I1994" s="10" t="n">
        <v>0</v>
      </c>
      <c r="J1994" s="10" t="n">
        <v>0</v>
      </c>
      <c r="K1994" s="10" t="s">
        <v>20</v>
      </c>
      <c r="L1994" s="11" t="n">
        <v>41122.078587963</v>
      </c>
      <c r="M1994" s="12"/>
      <c r="N1994" s="12" t="s">
        <v>5208</v>
      </c>
      <c r="O1994" s="9" t="str">
        <f aca="false">HYPERLINK("https://pbs.twimg.com/profile_images/909251014213099520/oDH5vEfK_normal.jpg","View")</f>
        <v>View</v>
      </c>
      <c r="P1994" s="10"/>
    </row>
    <row r="1995" customFormat="false" ht="15.75" hidden="false" customHeight="false" outlineLevel="0" collapsed="false">
      <c r="A1995" s="6" t="n">
        <v>43030.2164467593</v>
      </c>
      <c r="B1995" s="7" t="str">
        <f aca="false">HYPERLINK("https://twitter.com/nytimes_once","@nytimes_once")</f>
        <v>@nytimes_once</v>
      </c>
      <c r="C1995" s="8" t="s">
        <v>736</v>
      </c>
      <c r="D1995" s="8" t="s">
        <v>4984</v>
      </c>
      <c r="E1995" s="9" t="str">
        <f aca="false">HYPERLINK("https://twitter.com/nytimes_once/status/922072967823097857","922072967823097857")</f>
        <v>922072967823097857</v>
      </c>
      <c r="F1995" s="10" t="s">
        <v>737</v>
      </c>
      <c r="G1995" s="10" t="n">
        <v>122</v>
      </c>
      <c r="H1995" s="10" t="n">
        <v>0</v>
      </c>
      <c r="I1995" s="10" t="n">
        <v>187</v>
      </c>
      <c r="J1995" s="10" t="n">
        <v>0</v>
      </c>
      <c r="K1995" s="10" t="s">
        <v>20</v>
      </c>
      <c r="L1995" s="11" t="n">
        <v>42758.8869907407</v>
      </c>
      <c r="M1995" s="12"/>
      <c r="N1995" s="12" t="s">
        <v>738</v>
      </c>
      <c r="O1995" s="9" t="str">
        <f aca="false">HYPERLINK("https://pbs.twimg.com/profile_images/823939699064635394/GOLl9pSK_normal.jpg","View")</f>
        <v>View</v>
      </c>
      <c r="P1995" s="10"/>
    </row>
    <row r="1996" customFormat="false" ht="15.75" hidden="false" customHeight="false" outlineLevel="0" collapsed="false">
      <c r="A1996" s="6" t="n">
        <v>43030.2165162037</v>
      </c>
      <c r="B1996" s="7" t="str">
        <f aca="false">HYPERLINK("https://twitter.com/vice_elisabete","@vice_elisabete")</f>
        <v>@vice_elisabete</v>
      </c>
      <c r="C1996" s="8" t="s">
        <v>4365</v>
      </c>
      <c r="D1996" s="8" t="s">
        <v>5135</v>
      </c>
      <c r="E1996" s="9" t="str">
        <f aca="false">HYPERLINK("https://twitter.com/vice_elisabete/status/922072993802653697","922072993802653697")</f>
        <v>922072993802653697</v>
      </c>
      <c r="F1996" s="10" t="s">
        <v>25</v>
      </c>
      <c r="G1996" s="10" t="n">
        <v>695</v>
      </c>
      <c r="H1996" s="10" t="n">
        <v>955</v>
      </c>
      <c r="I1996" s="10" t="n">
        <v>18</v>
      </c>
      <c r="J1996" s="10" t="n">
        <v>0</v>
      </c>
      <c r="K1996" s="10" t="s">
        <v>20</v>
      </c>
      <c r="L1996" s="11" t="n">
        <v>42181.746724537</v>
      </c>
      <c r="M1996" s="12" t="s">
        <v>4366</v>
      </c>
      <c r="N1996" s="12" t="s">
        <v>4367</v>
      </c>
      <c r="O1996" s="9" t="str">
        <f aca="false">HYPERLINK("https://pbs.twimg.com/profile_images/912729572218720256/ucFkhg_N_normal.jpg","View")</f>
        <v>View</v>
      </c>
      <c r="P1996" s="10"/>
    </row>
    <row r="1997" customFormat="false" ht="15.75" hidden="false" customHeight="false" outlineLevel="0" collapsed="false">
      <c r="A1997" s="6" t="n">
        <v>43030.2165856481</v>
      </c>
      <c r="B1997" s="7" t="str">
        <f aca="false">HYPERLINK("https://twitter.com/Gabenewsinfo","@Gabenewsinfo")</f>
        <v>@Gabenewsinfo</v>
      </c>
      <c r="C1997" s="8" t="s">
        <v>3354</v>
      </c>
      <c r="D1997" s="8" t="s">
        <v>5209</v>
      </c>
      <c r="E1997" s="9" t="str">
        <f aca="false">HYPERLINK("https://twitter.com/Gabenewsinfo/status/922073016384630784","922073016384630784")</f>
        <v>922073016384630784</v>
      </c>
      <c r="F1997" s="10" t="s">
        <v>39</v>
      </c>
      <c r="G1997" s="10" t="n">
        <v>1159</v>
      </c>
      <c r="H1997" s="10" t="n">
        <v>2253</v>
      </c>
      <c r="I1997" s="10" t="n">
        <v>0</v>
      </c>
      <c r="J1997" s="10" t="n">
        <v>0</v>
      </c>
      <c r="K1997" s="10" t="s">
        <v>20</v>
      </c>
      <c r="L1997" s="11" t="n">
        <v>40776.9219791667</v>
      </c>
      <c r="M1997" s="12" t="s">
        <v>3356</v>
      </c>
      <c r="N1997" s="12" t="s">
        <v>3357</v>
      </c>
      <c r="O1997" s="9" t="str">
        <f aca="false">HYPERLINK("https://pbs.twimg.com/profile_images/820108691869405184/1zXn8NZ2_normal.jpg","View")</f>
        <v>View</v>
      </c>
      <c r="P1997" s="10"/>
    </row>
    <row r="1998" customFormat="false" ht="15.75" hidden="false" customHeight="false" outlineLevel="0" collapsed="false">
      <c r="A1998" s="6" t="n">
        <v>43030.2165856481</v>
      </c>
      <c r="B1998" s="7" t="str">
        <f aca="false">HYPERLINK("https://twitter.com/actuallyanansi","@actuallyanansi")</f>
        <v>@actuallyanansi</v>
      </c>
      <c r="C1998" s="8" t="s">
        <v>5210</v>
      </c>
      <c r="D1998" s="8" t="s">
        <v>3422</v>
      </c>
      <c r="E1998" s="9" t="str">
        <f aca="false">HYPERLINK("https://twitter.com/actuallyanansi/status/922073018049945600","922073018049945600")</f>
        <v>922073018049945600</v>
      </c>
      <c r="F1998" s="10" t="s">
        <v>51</v>
      </c>
      <c r="G1998" s="10" t="n">
        <v>363</v>
      </c>
      <c r="H1998" s="10" t="n">
        <v>269</v>
      </c>
      <c r="I1998" s="10" t="n">
        <v>27</v>
      </c>
      <c r="J1998" s="10" t="n">
        <v>0</v>
      </c>
      <c r="K1998" s="10" t="s">
        <v>20</v>
      </c>
      <c r="L1998" s="11" t="n">
        <v>42066.4507523148</v>
      </c>
      <c r="M1998" s="12" t="s">
        <v>5211</v>
      </c>
      <c r="N1998" s="12" t="s">
        <v>5212</v>
      </c>
      <c r="O1998" s="9" t="str">
        <f aca="false">HYPERLINK("https://pbs.twimg.com/profile_images/886046523062185985/QBzTSpiV_normal.jpg","View")</f>
        <v>View</v>
      </c>
      <c r="P1998" s="10"/>
    </row>
    <row r="1999" customFormat="false" ht="15.75" hidden="false" customHeight="false" outlineLevel="0" collapsed="false">
      <c r="A1999" s="6" t="n">
        <v>43030.2166435185</v>
      </c>
      <c r="B1999" s="7" t="str">
        <f aca="false">HYPERLINK("https://twitter.com/philjjassociate","@philjjassociate")</f>
        <v>@philjjassociate</v>
      </c>
      <c r="C1999" s="8" t="s">
        <v>5213</v>
      </c>
      <c r="D1999" s="8" t="s">
        <v>4984</v>
      </c>
      <c r="E1999" s="9" t="str">
        <f aca="false">HYPERLINK("https://twitter.com/philjjassociate/status/922073037356355584","922073037356355584")</f>
        <v>922073037356355584</v>
      </c>
      <c r="F1999" s="10" t="s">
        <v>25</v>
      </c>
      <c r="G1999" s="10" t="n">
        <v>3900</v>
      </c>
      <c r="H1999" s="10" t="n">
        <v>4994</v>
      </c>
      <c r="I1999" s="10" t="n">
        <v>187</v>
      </c>
      <c r="J1999" s="10" t="n">
        <v>0</v>
      </c>
      <c r="K1999" s="10" t="s">
        <v>20</v>
      </c>
      <c r="L1999" s="11" t="n">
        <v>40538.3293055556</v>
      </c>
      <c r="M1999" s="12" t="s">
        <v>5214</v>
      </c>
      <c r="N1999" s="12" t="s">
        <v>5215</v>
      </c>
      <c r="O1999" s="9" t="str">
        <f aca="false">HYPERLINK("https://pbs.twimg.com/profile_images/802088999242317824/RvhUiXFr_normal.jpg","View")</f>
        <v>View</v>
      </c>
      <c r="P1999" s="10"/>
    </row>
    <row r="2000" customFormat="false" ht="15.75" hidden="false" customHeight="false" outlineLevel="0" collapsed="false">
      <c r="A2000" s="6" t="n">
        <v>43030.2166550926</v>
      </c>
      <c r="B2000" s="7" t="str">
        <f aca="false">HYPERLINK("https://twitter.com/mnshzz","@mnshzz")</f>
        <v>@mnshzz</v>
      </c>
      <c r="C2000" s="8" t="s">
        <v>665</v>
      </c>
      <c r="D2000" s="8" t="s">
        <v>4984</v>
      </c>
      <c r="E2000" s="9" t="str">
        <f aca="false">HYPERLINK("https://twitter.com/mnshzz/status/922073042536210433","922073042536210433")</f>
        <v>922073042536210433</v>
      </c>
      <c r="F2000" s="10" t="s">
        <v>25</v>
      </c>
      <c r="G2000" s="10" t="n">
        <v>3469</v>
      </c>
      <c r="H2000" s="10" t="n">
        <v>761</v>
      </c>
      <c r="I2000" s="10" t="n">
        <v>187</v>
      </c>
      <c r="J2000" s="10" t="n">
        <v>0</v>
      </c>
      <c r="K2000" s="10" t="s">
        <v>20</v>
      </c>
      <c r="L2000" s="11" t="n">
        <v>39858.1444212963</v>
      </c>
      <c r="M2000" s="12"/>
      <c r="N2000" s="12" t="s">
        <v>5216</v>
      </c>
      <c r="O2000" s="9" t="str">
        <f aca="false">HYPERLINK("https://pbs.twimg.com/profile_images/841487626796388352/6jY8bKhr_normal.jpg","View")</f>
        <v>View</v>
      </c>
      <c r="P2000" s="10"/>
    </row>
    <row r="2001" customFormat="false" ht="15.75" hidden="false" customHeight="false" outlineLevel="0" collapsed="false">
      <c r="A2001" s="6" t="n">
        <v>43030.2167361111</v>
      </c>
      <c r="B2001" s="7" t="str">
        <f aca="false">HYPERLINK("https://twitter.com/suezeecue","@suezeecue")</f>
        <v>@suezeecue</v>
      </c>
      <c r="C2001" s="8" t="s">
        <v>5217</v>
      </c>
      <c r="D2001" s="8" t="s">
        <v>5135</v>
      </c>
      <c r="E2001" s="9" t="str">
        <f aca="false">HYPERLINK("https://twitter.com/suezeecue/status/922073074811523073","922073074811523073")</f>
        <v>922073074811523073</v>
      </c>
      <c r="F2001" s="10" t="s">
        <v>39</v>
      </c>
      <c r="G2001" s="10" t="n">
        <v>3920</v>
      </c>
      <c r="H2001" s="10" t="n">
        <v>2322</v>
      </c>
      <c r="I2001" s="10" t="n">
        <v>18</v>
      </c>
      <c r="J2001" s="10" t="n">
        <v>0</v>
      </c>
      <c r="K2001" s="10" t="s">
        <v>20</v>
      </c>
      <c r="L2001" s="11" t="n">
        <v>40900.4119675926</v>
      </c>
      <c r="M2001" s="12"/>
      <c r="N2001" s="12" t="s">
        <v>5218</v>
      </c>
      <c r="O2001" s="9" t="str">
        <f aca="false">HYPERLINK("https://pbs.twimg.com/profile_images/682985084161372160/dXOfw4sA_normal.jpg","View")</f>
        <v>View</v>
      </c>
      <c r="P2001" s="10"/>
    </row>
    <row r="2002" customFormat="false" ht="15.75" hidden="false" customHeight="false" outlineLevel="0" collapsed="false">
      <c r="A2002" s="6" t="n">
        <v>43030.2167824074</v>
      </c>
      <c r="B2002" s="7" t="str">
        <f aca="false">HYPERLINK("https://twitter.com/HotChkNewsTweet","@HotChkNewsTweet")</f>
        <v>@HotChkNewsTweet</v>
      </c>
      <c r="C2002" s="8" t="s">
        <v>5219</v>
      </c>
      <c r="D2002" s="8" t="s">
        <v>5220</v>
      </c>
      <c r="E2002" s="9" t="str">
        <f aca="false">HYPERLINK("https://twitter.com/HotChkNewsTweet/status/922073089479004160","922073089479004160")</f>
        <v>922073089479004160</v>
      </c>
      <c r="F2002" s="10" t="s">
        <v>60</v>
      </c>
      <c r="G2002" s="10" t="n">
        <v>405</v>
      </c>
      <c r="H2002" s="10" t="n">
        <v>4</v>
      </c>
      <c r="I2002" s="10" t="n">
        <v>0</v>
      </c>
      <c r="J2002" s="10" t="n">
        <v>0</v>
      </c>
      <c r="K2002" s="10" t="s">
        <v>20</v>
      </c>
      <c r="L2002" s="11" t="n">
        <v>41515.7534606482</v>
      </c>
      <c r="M2002" s="12"/>
      <c r="N2002" s="12" t="s">
        <v>5221</v>
      </c>
      <c r="O2002" s="9" t="str">
        <f aca="false">HYPERLINK("https://pbs.twimg.com/profile_images/923610255963156484/bbQ8YCgg_normal.jpg","View")</f>
        <v>View</v>
      </c>
      <c r="P2002" s="10"/>
    </row>
    <row r="2003" customFormat="false" ht="15.75" hidden="false" customHeight="false" outlineLevel="0" collapsed="false">
      <c r="A2003" s="6" t="n">
        <v>43030.2167939815</v>
      </c>
      <c r="B2003" s="7" t="str">
        <f aca="false">HYPERLINK("https://twitter.com/fiverr_girl","@fiverr_girl")</f>
        <v>@fiverr_girl</v>
      </c>
      <c r="C2003" s="8" t="s">
        <v>5222</v>
      </c>
      <c r="D2003" s="8" t="s">
        <v>5223</v>
      </c>
      <c r="E2003" s="9" t="str">
        <f aca="false">HYPERLINK("https://twitter.com/fiverr_girl/status/922073091676631040","922073091676631040")</f>
        <v>922073091676631040</v>
      </c>
      <c r="F2003" s="10" t="s">
        <v>60</v>
      </c>
      <c r="G2003" s="10" t="n">
        <v>2007</v>
      </c>
      <c r="H2003" s="10" t="n">
        <v>1221</v>
      </c>
      <c r="I2003" s="10" t="n">
        <v>0</v>
      </c>
      <c r="J2003" s="10" t="n">
        <v>0</v>
      </c>
      <c r="K2003" s="10" t="s">
        <v>20</v>
      </c>
      <c r="L2003" s="11" t="n">
        <v>41208.669224537</v>
      </c>
      <c r="M2003" s="12" t="s">
        <v>5224</v>
      </c>
      <c r="N2003" s="12" t="s">
        <v>5225</v>
      </c>
      <c r="O2003" s="9" t="str">
        <f aca="false">HYPERLINK("https://pbs.twimg.com/profile_images/2768595138/269907a1237c7ef5780d245327a6c6c3_normal.jpeg","View")</f>
        <v>View</v>
      </c>
      <c r="P2003" s="10"/>
    </row>
    <row r="2004" customFormat="false" ht="15.75" hidden="false" customHeight="false" outlineLevel="0" collapsed="false">
      <c r="A2004" s="6" t="n">
        <v>43030.2167939815</v>
      </c>
      <c r="B2004" s="7" t="str">
        <f aca="false">HYPERLINK("https://twitter.com/Seifamou","@Seifamou")</f>
        <v>@Seifamou</v>
      </c>
      <c r="C2004" s="8" t="s">
        <v>5226</v>
      </c>
      <c r="D2004" s="8" t="s">
        <v>5227</v>
      </c>
      <c r="E2004" s="9" t="str">
        <f aca="false">HYPERLINK("https://twitter.com/Seifamou/status/922073094717521921","922073094717521921")</f>
        <v>922073094717521921</v>
      </c>
      <c r="F2004" s="10" t="s">
        <v>60</v>
      </c>
      <c r="G2004" s="10" t="n">
        <v>1170</v>
      </c>
      <c r="H2004" s="10" t="n">
        <v>1491</v>
      </c>
      <c r="I2004" s="10" t="n">
        <v>0</v>
      </c>
      <c r="J2004" s="10" t="n">
        <v>0</v>
      </c>
      <c r="K2004" s="10" t="s">
        <v>20</v>
      </c>
      <c r="L2004" s="11" t="n">
        <v>39541.7089583333</v>
      </c>
      <c r="M2004" s="12" t="s">
        <v>3432</v>
      </c>
      <c r="N2004" s="12" t="s">
        <v>5228</v>
      </c>
      <c r="O2004" s="9" t="str">
        <f aca="false">HYPERLINK("https://pbs.twimg.com/profile_images/1278482423/seifamou_normal.JPG","View")</f>
        <v>View</v>
      </c>
      <c r="P2004" s="10"/>
    </row>
    <row r="2005" customFormat="false" ht="15.75" hidden="false" customHeight="false" outlineLevel="0" collapsed="false">
      <c r="A2005" s="6" t="n">
        <v>43030.2167939815</v>
      </c>
      <c r="B2005" s="7" t="str">
        <f aca="false">HYPERLINK("https://twitter.com/Candice01126157","@Candice01126157")</f>
        <v>@Candice01126157</v>
      </c>
      <c r="C2005" s="8" t="s">
        <v>5229</v>
      </c>
      <c r="D2005" s="8" t="s">
        <v>5230</v>
      </c>
      <c r="E2005" s="9" t="str">
        <f aca="false">HYPERLINK("https://twitter.com/Candice01126157/status/922073095728443392","922073095728443392")</f>
        <v>922073095728443392</v>
      </c>
      <c r="F2005" s="10" t="s">
        <v>60</v>
      </c>
      <c r="G2005" s="10" t="n">
        <v>5</v>
      </c>
      <c r="H2005" s="10" t="n">
        <v>5</v>
      </c>
      <c r="I2005" s="10" t="n">
        <v>0</v>
      </c>
      <c r="J2005" s="10" t="n">
        <v>0</v>
      </c>
      <c r="K2005" s="10" t="s">
        <v>20</v>
      </c>
      <c r="L2005" s="11" t="n">
        <v>42980.2180787037</v>
      </c>
      <c r="M2005" s="12"/>
      <c r="N2005" s="12"/>
      <c r="O2005" s="9" t="str">
        <f aca="false">HYPERLINK("https://pbs.twimg.com/profile_images/907912229286055936/Npa7kWEm_normal.jpg","View")</f>
        <v>View</v>
      </c>
      <c r="P2005" s="10"/>
    </row>
    <row r="2006" customFormat="false" ht="15.75" hidden="false" customHeight="false" outlineLevel="0" collapsed="false">
      <c r="A2006" s="6" t="n">
        <v>43030.2168402778</v>
      </c>
      <c r="B2006" s="7" t="str">
        <f aca="false">HYPERLINK("https://twitter.com/bisfeatgeorge","@bisfeatgeorge")</f>
        <v>@bisfeatgeorge</v>
      </c>
      <c r="C2006" s="8" t="s">
        <v>5231</v>
      </c>
      <c r="D2006" s="8" t="s">
        <v>5135</v>
      </c>
      <c r="E2006" s="9" t="str">
        <f aca="false">HYPERLINK("https://twitter.com/bisfeatgeorge/status/922073110030860288","922073110030860288")</f>
        <v>922073110030860288</v>
      </c>
      <c r="F2006" s="10" t="s">
        <v>25</v>
      </c>
      <c r="G2006" s="10" t="n">
        <v>17</v>
      </c>
      <c r="H2006" s="10" t="n">
        <v>32</v>
      </c>
      <c r="I2006" s="10" t="n">
        <v>18</v>
      </c>
      <c r="J2006" s="10" t="n">
        <v>0</v>
      </c>
      <c r="K2006" s="10" t="s">
        <v>20</v>
      </c>
      <c r="L2006" s="11" t="n">
        <v>41619.3447106481</v>
      </c>
      <c r="M2006" s="12" t="s">
        <v>5232</v>
      </c>
      <c r="N2006" s="12" t="s">
        <v>5233</v>
      </c>
      <c r="O2006" s="9" t="str">
        <f aca="false">HYPERLINK("https://pbs.twimg.com/profile_images/714801405396127745/qnDC8nc7_normal.jpg","View")</f>
        <v>View</v>
      </c>
      <c r="P2006" s="10"/>
    </row>
    <row r="2007" customFormat="false" ht="15.75" hidden="false" customHeight="false" outlineLevel="0" collapsed="false">
      <c r="A2007" s="6" t="n">
        <v>43030.2168518519</v>
      </c>
      <c r="B2007" s="7" t="str">
        <f aca="false">HYPERLINK("https://twitter.com/Apocrifos","@Apocrifos")</f>
        <v>@Apocrifos</v>
      </c>
      <c r="C2007" s="8" t="s">
        <v>1297</v>
      </c>
      <c r="D2007" s="8" t="s">
        <v>5234</v>
      </c>
      <c r="E2007" s="9" t="str">
        <f aca="false">HYPERLINK("https://twitter.com/Apocrifos/status/922073113852080128","922073113852080128")</f>
        <v>922073113852080128</v>
      </c>
      <c r="F2007" s="10" t="s">
        <v>60</v>
      </c>
      <c r="G2007" s="10" t="n">
        <v>777</v>
      </c>
      <c r="H2007" s="10" t="n">
        <v>508</v>
      </c>
      <c r="I2007" s="10" t="n">
        <v>0</v>
      </c>
      <c r="J2007" s="10" t="n">
        <v>0</v>
      </c>
      <c r="K2007" s="10" t="s">
        <v>20</v>
      </c>
      <c r="L2007" s="11" t="n">
        <v>39961.4268287037</v>
      </c>
      <c r="M2007" s="12" t="s">
        <v>551</v>
      </c>
      <c r="N2007" s="12" t="s">
        <v>1299</v>
      </c>
      <c r="O2007" s="9" t="str">
        <f aca="false">HYPERLINK("https://pbs.twimg.com/profile_images/3672960453/ea0d6104e1c4773a26d48d5437e962d8_normal.jpeg","View")</f>
        <v>View</v>
      </c>
      <c r="P2007" s="10"/>
    </row>
    <row r="2008" customFormat="false" ht="15.75" hidden="false" customHeight="false" outlineLevel="0" collapsed="false">
      <c r="A2008" s="6" t="n">
        <v>43030.2168518519</v>
      </c>
      <c r="B2008" s="7" t="str">
        <f aca="false">HYPERLINK("https://twitter.com/Feedex_","@Feedex_")</f>
        <v>@Feedex_</v>
      </c>
      <c r="C2008" s="8" t="s">
        <v>5235</v>
      </c>
      <c r="D2008" s="8" t="s">
        <v>5236</v>
      </c>
      <c r="E2008" s="9" t="str">
        <f aca="false">HYPERLINK("https://twitter.com/Feedex_/status/922073114531549185","922073114531549185")</f>
        <v>922073114531549185</v>
      </c>
      <c r="F2008" s="10" t="s">
        <v>60</v>
      </c>
      <c r="G2008" s="10" t="n">
        <v>245</v>
      </c>
      <c r="H2008" s="10" t="n">
        <v>28</v>
      </c>
      <c r="I2008" s="10" t="n">
        <v>0</v>
      </c>
      <c r="J2008" s="10" t="n">
        <v>0</v>
      </c>
      <c r="K2008" s="10" t="s">
        <v>20</v>
      </c>
      <c r="L2008" s="11" t="n">
        <v>41173.2116550926</v>
      </c>
      <c r="M2008" s="12"/>
      <c r="N2008" s="12" t="s">
        <v>5237</v>
      </c>
      <c r="O2008" s="9" t="str">
        <f aca="false">HYPERLINK("https://pbs.twimg.com/profile_images/2633803773/d7e19f2aabb45794eb64fa7935a90d33_normal.jpeg","View")</f>
        <v>View</v>
      </c>
      <c r="P2008" s="10"/>
    </row>
    <row r="2009" customFormat="false" ht="15.75" hidden="false" customHeight="false" outlineLevel="0" collapsed="false">
      <c r="A2009" s="6" t="n">
        <v>43030.216875</v>
      </c>
      <c r="B2009" s="7" t="str">
        <f aca="false">HYPERLINK("https://twitter.com/GrasslandDesign","@GrasslandDesign")</f>
        <v>@GrasslandDesign</v>
      </c>
      <c r="C2009" s="8" t="s">
        <v>5238</v>
      </c>
      <c r="D2009" s="8" t="s">
        <v>5239</v>
      </c>
      <c r="E2009" s="9" t="str">
        <f aca="false">HYPERLINK("https://twitter.com/GrasslandDesign/status/922073123012440064","922073123012440064")</f>
        <v>922073123012440064</v>
      </c>
      <c r="F2009" s="10" t="s">
        <v>60</v>
      </c>
      <c r="G2009" s="10" t="n">
        <v>2075</v>
      </c>
      <c r="H2009" s="10" t="n">
        <v>3399</v>
      </c>
      <c r="I2009" s="10" t="n">
        <v>0</v>
      </c>
      <c r="J2009" s="10" t="n">
        <v>0</v>
      </c>
      <c r="K2009" s="10" t="s">
        <v>20</v>
      </c>
      <c r="L2009" s="11" t="n">
        <v>42094.7069675926</v>
      </c>
      <c r="M2009" s="12" t="s">
        <v>798</v>
      </c>
      <c r="N2009" s="12" t="s">
        <v>5240</v>
      </c>
      <c r="O2009" s="9" t="str">
        <f aca="false">HYPERLINK("https://pbs.twimg.com/profile_images/604730705390784512/m_VCeaoP_normal.png","View")</f>
        <v>View</v>
      </c>
      <c r="P2009" s="10"/>
    </row>
    <row r="2010" customFormat="false" ht="15.75" hidden="false" customHeight="false" outlineLevel="0" collapsed="false">
      <c r="A2010" s="6" t="n">
        <v>43030.216875</v>
      </c>
      <c r="B2010" s="7" t="str">
        <f aca="false">HYPERLINK("https://twitter.com/SocialLifeLA","@SocialLifeLA")</f>
        <v>@SocialLifeLA</v>
      </c>
      <c r="C2010" s="8" t="s">
        <v>750</v>
      </c>
      <c r="D2010" s="8" t="s">
        <v>5241</v>
      </c>
      <c r="E2010" s="9" t="str">
        <f aca="false">HYPERLINK("https://twitter.com/SocialLifeLA/status/922073125034086400","922073125034086400")</f>
        <v>922073125034086400</v>
      </c>
      <c r="F2010" s="10" t="s">
        <v>60</v>
      </c>
      <c r="G2010" s="10" t="n">
        <v>200</v>
      </c>
      <c r="H2010" s="10" t="n">
        <v>60</v>
      </c>
      <c r="I2010" s="10" t="n">
        <v>0</v>
      </c>
      <c r="J2010" s="10" t="n">
        <v>0</v>
      </c>
      <c r="K2010" s="10" t="s">
        <v>20</v>
      </c>
      <c r="L2010" s="11" t="n">
        <v>42604.7538078704</v>
      </c>
      <c r="M2010" s="12" t="s">
        <v>752</v>
      </c>
      <c r="N2010" s="12" t="s">
        <v>753</v>
      </c>
      <c r="O2010" s="9" t="str">
        <f aca="false">HYPERLINK("https://pbs.twimg.com/profile_images/767891928948023296/dUdnMBLO_normal.jpg","View")</f>
        <v>View</v>
      </c>
      <c r="P2010" s="10"/>
    </row>
    <row r="2011" customFormat="false" ht="15.75" hidden="false" customHeight="false" outlineLevel="0" collapsed="false">
      <c r="A2011" s="6" t="n">
        <v>43030.2169328704</v>
      </c>
      <c r="B2011" s="7" t="str">
        <f aca="false">HYPERLINK("https://twitter.com/6ef9ae46f51444c","@6ef9ae46f51444c")</f>
        <v>@6ef9ae46f51444c</v>
      </c>
      <c r="C2011" s="8" t="s">
        <v>5242</v>
      </c>
      <c r="D2011" s="8" t="s">
        <v>3646</v>
      </c>
      <c r="E2011" s="9" t="str">
        <f aca="false">HYPERLINK("https://twitter.com/6ef9ae46f51444c/status/922073142696095744","922073142696095744")</f>
        <v>922073142696095744</v>
      </c>
      <c r="F2011" s="10" t="s">
        <v>25</v>
      </c>
      <c r="G2011" s="10" t="n">
        <v>1172</v>
      </c>
      <c r="H2011" s="10" t="n">
        <v>4935</v>
      </c>
      <c r="I2011" s="10" t="n">
        <v>71</v>
      </c>
      <c r="J2011" s="10" t="n">
        <v>0</v>
      </c>
      <c r="K2011" s="10" t="s">
        <v>20</v>
      </c>
      <c r="L2011" s="11" t="n">
        <v>42122.3643287037</v>
      </c>
      <c r="M2011" s="12"/>
      <c r="N2011" s="12" t="s">
        <v>5243</v>
      </c>
      <c r="O2011" s="9" t="str">
        <f aca="false">HYPERLINK("https://pbs.twimg.com/profile_images/849879390775238657/mdKIVc_1_normal.jpg","View")</f>
        <v>View</v>
      </c>
      <c r="P2011" s="10"/>
    </row>
    <row r="2012" customFormat="false" ht="15.75" hidden="false" customHeight="false" outlineLevel="0" collapsed="false">
      <c r="A2012" s="6" t="n">
        <v>43030.2169328704</v>
      </c>
      <c r="B2012" s="7" t="str">
        <f aca="false">HYPERLINK("https://twitter.com/Newstica","@Newstica")</f>
        <v>@Newstica</v>
      </c>
      <c r="C2012" s="8" t="s">
        <v>5244</v>
      </c>
      <c r="D2012" s="8" t="s">
        <v>5245</v>
      </c>
      <c r="E2012" s="9" t="str">
        <f aca="false">HYPERLINK("https://twitter.com/Newstica/status/922073143174365184","922073143174365184")</f>
        <v>922073143174365184</v>
      </c>
      <c r="F2012" s="10" t="s">
        <v>60</v>
      </c>
      <c r="G2012" s="10" t="n">
        <v>398</v>
      </c>
      <c r="H2012" s="10" t="n">
        <v>233</v>
      </c>
      <c r="I2012" s="10" t="n">
        <v>0</v>
      </c>
      <c r="J2012" s="10" t="n">
        <v>0</v>
      </c>
      <c r="K2012" s="10" t="s">
        <v>20</v>
      </c>
      <c r="L2012" s="11" t="n">
        <v>41677.2810300926</v>
      </c>
      <c r="M2012" s="12" t="s">
        <v>370</v>
      </c>
      <c r="N2012" s="12" t="s">
        <v>5246</v>
      </c>
      <c r="O2012" s="9" t="str">
        <f aca="false">HYPERLINK("https://pbs.twimg.com/profile_images/459354518950404096/b6Bz40r__normal.png","View")</f>
        <v>View</v>
      </c>
      <c r="P2012" s="10"/>
    </row>
    <row r="2013" customFormat="false" ht="15.75" hidden="false" customHeight="false" outlineLevel="0" collapsed="false">
      <c r="A2013" s="6" t="n">
        <v>43030.2169328704</v>
      </c>
      <c r="B2013" s="7" t="str">
        <f aca="false">HYPERLINK("https://twitter.com/TimesofNews","@TimesofNews")</f>
        <v>@TimesofNews</v>
      </c>
      <c r="C2013" s="8" t="s">
        <v>2896</v>
      </c>
      <c r="D2013" s="8" t="s">
        <v>5247</v>
      </c>
      <c r="E2013" s="9" t="str">
        <f aca="false">HYPERLINK("https://twitter.com/TimesofNews/status/922073144436850688","922073144436850688")</f>
        <v>922073144436850688</v>
      </c>
      <c r="F2013" s="10" t="s">
        <v>5248</v>
      </c>
      <c r="G2013" s="10" t="n">
        <v>1145</v>
      </c>
      <c r="H2013" s="10" t="n">
        <v>129</v>
      </c>
      <c r="I2013" s="10" t="n">
        <v>0</v>
      </c>
      <c r="J2013" s="10" t="n">
        <v>0</v>
      </c>
      <c r="K2013" s="10" t="s">
        <v>20</v>
      </c>
      <c r="L2013" s="11" t="n">
        <v>40978.118287037</v>
      </c>
      <c r="M2013" s="12"/>
      <c r="N2013" s="12" t="s">
        <v>2899</v>
      </c>
      <c r="O2013" s="9" t="str">
        <f aca="false">HYPERLINK("https://pbs.twimg.com/profile_images/458022872024223744/GKx5zsNw_normal.png","View")</f>
        <v>View</v>
      </c>
      <c r="P2013" s="10"/>
    </row>
    <row r="2014" customFormat="false" ht="15.75" hidden="false" customHeight="false" outlineLevel="0" collapsed="false">
      <c r="A2014" s="6" t="n">
        <v>43030.2169675926</v>
      </c>
      <c r="B2014" s="7" t="str">
        <f aca="false">HYPERLINK("https://twitter.com/sociolog2","@sociolog2")</f>
        <v>@sociolog2</v>
      </c>
      <c r="C2014" s="8" t="s">
        <v>5249</v>
      </c>
      <c r="D2014" s="8" t="s">
        <v>4984</v>
      </c>
      <c r="E2014" s="9" t="str">
        <f aca="false">HYPERLINK("https://twitter.com/sociolog2/status/922073158533857281","922073158533857281")</f>
        <v>922073158533857281</v>
      </c>
      <c r="F2014" s="10" t="s">
        <v>39</v>
      </c>
      <c r="G2014" s="10" t="n">
        <v>286</v>
      </c>
      <c r="H2014" s="10" t="n">
        <v>245</v>
      </c>
      <c r="I2014" s="10" t="n">
        <v>187</v>
      </c>
      <c r="J2014" s="10" t="n">
        <v>0</v>
      </c>
      <c r="K2014" s="10" t="s">
        <v>20</v>
      </c>
      <c r="L2014" s="11" t="n">
        <v>39950.9800231481</v>
      </c>
      <c r="M2014" s="12" t="s">
        <v>5250</v>
      </c>
      <c r="N2014" s="13" t="s">
        <v>5251</v>
      </c>
      <c r="O2014" s="9" t="str">
        <f aca="false">HYPERLINK("https://pbs.twimg.com/profile_images/911814153597108224/-NEohFI9_normal.jpg","View")</f>
        <v>View</v>
      </c>
      <c r="P2014" s="10"/>
    </row>
    <row r="2015" customFormat="false" ht="15.75" hidden="false" customHeight="false" outlineLevel="0" collapsed="false">
      <c r="A2015" s="6" t="n">
        <v>43030.217037037</v>
      </c>
      <c r="B2015" s="7" t="str">
        <f aca="false">HYPERLINK("https://twitter.com/yannick_isely","@yannick_isely")</f>
        <v>@yannick_isely</v>
      </c>
      <c r="C2015" s="8" t="s">
        <v>5252</v>
      </c>
      <c r="D2015" s="8" t="s">
        <v>5253</v>
      </c>
      <c r="E2015" s="9" t="str">
        <f aca="false">HYPERLINK("https://twitter.com/yannick_isely/status/922073179782250496","922073179782250496")</f>
        <v>922073179782250496</v>
      </c>
      <c r="F2015" s="10" t="s">
        <v>98</v>
      </c>
      <c r="G2015" s="10" t="n">
        <v>40</v>
      </c>
      <c r="H2015" s="10" t="n">
        <v>515</v>
      </c>
      <c r="I2015" s="10" t="n">
        <v>1</v>
      </c>
      <c r="J2015" s="10" t="n">
        <v>0</v>
      </c>
      <c r="K2015" s="10" t="s">
        <v>20</v>
      </c>
      <c r="L2015" s="11" t="n">
        <v>42653.1128703704</v>
      </c>
      <c r="M2015" s="12" t="s">
        <v>5254</v>
      </c>
      <c r="N2015" s="12" t="s">
        <v>5255</v>
      </c>
      <c r="O2015" s="9" t="str">
        <f aca="false">HYPERLINK("https://pbs.twimg.com/profile_images/883633969736167424/IbCJunHp_normal.jpg","View")</f>
        <v>View</v>
      </c>
      <c r="P2015" s="10"/>
    </row>
    <row r="2016" customFormat="false" ht="15.75" hidden="false" customHeight="false" outlineLevel="0" collapsed="false">
      <c r="A2016" s="6" t="n">
        <v>43030.2170486111</v>
      </c>
      <c r="B2016" s="7" t="str">
        <f aca="false">HYPERLINK("https://twitter.com/arrobin0077","@arrobin0077")</f>
        <v>@arrobin0077</v>
      </c>
      <c r="C2016" s="8" t="s">
        <v>631</v>
      </c>
      <c r="D2016" s="8" t="s">
        <v>5256</v>
      </c>
      <c r="E2016" s="9" t="str">
        <f aca="false">HYPERLINK("https://twitter.com/arrobin0077/status/922073185482428416","922073185482428416")</f>
        <v>922073185482428416</v>
      </c>
      <c r="F2016" s="10" t="s">
        <v>60</v>
      </c>
      <c r="G2016" s="10" t="n">
        <v>7479</v>
      </c>
      <c r="H2016" s="10" t="n">
        <v>7442</v>
      </c>
      <c r="I2016" s="10" t="n">
        <v>0</v>
      </c>
      <c r="J2016" s="10" t="n">
        <v>0</v>
      </c>
      <c r="K2016" s="10" t="s">
        <v>20</v>
      </c>
      <c r="L2016" s="11" t="n">
        <v>42218.4780671296</v>
      </c>
      <c r="M2016" s="12" t="s">
        <v>230</v>
      </c>
      <c r="N2016" s="12" t="s">
        <v>633</v>
      </c>
      <c r="O2016" s="9" t="str">
        <f aca="false">HYPERLINK("https://pbs.twimg.com/profile_images/627909948698050560/Lz1QBK8N_normal.jpg","View")</f>
        <v>View</v>
      </c>
      <c r="P2016" s="10"/>
    </row>
    <row r="2017" customFormat="false" ht="15.75" hidden="false" customHeight="false" outlineLevel="0" collapsed="false">
      <c r="A2017" s="6" t="n">
        <v>43030.2170717593</v>
      </c>
      <c r="B2017" s="7" t="str">
        <f aca="false">HYPERLINK("https://twitter.com/360mediaX","@360mediaX")</f>
        <v>@360mediaX</v>
      </c>
      <c r="C2017" s="8" t="s">
        <v>796</v>
      </c>
      <c r="D2017" s="8" t="s">
        <v>5257</v>
      </c>
      <c r="E2017" s="9" t="str">
        <f aca="false">HYPERLINK("https://twitter.com/360mediaX/status/922073193912918016","922073193912918016")</f>
        <v>922073193912918016</v>
      </c>
      <c r="F2017" s="10" t="s">
        <v>55</v>
      </c>
      <c r="G2017" s="10" t="n">
        <v>59</v>
      </c>
      <c r="H2017" s="10" t="n">
        <v>29</v>
      </c>
      <c r="I2017" s="10" t="n">
        <v>0</v>
      </c>
      <c r="J2017" s="10" t="n">
        <v>0</v>
      </c>
      <c r="K2017" s="10" t="s">
        <v>20</v>
      </c>
      <c r="L2017" s="11" t="n">
        <v>41998.0594328704</v>
      </c>
      <c r="M2017" s="12" t="s">
        <v>798</v>
      </c>
      <c r="N2017" s="12" t="s">
        <v>799</v>
      </c>
      <c r="O2017" s="9" t="str">
        <f aca="false">HYPERLINK("https://pbs.twimg.com/profile_images/834405611592769536/tz9saEfB_normal.jpg","View")</f>
        <v>View</v>
      </c>
      <c r="P2017" s="10"/>
    </row>
    <row r="2018" customFormat="false" ht="15.75" hidden="false" customHeight="false" outlineLevel="0" collapsed="false">
      <c r="A2018" s="6" t="n">
        <v>43030.2171412037</v>
      </c>
      <c r="B2018" s="7" t="str">
        <f aca="false">HYPERLINK("https://twitter.com/ManishVer5","@ManishVer5")</f>
        <v>@ManishVer5</v>
      </c>
      <c r="C2018" s="8" t="s">
        <v>5258</v>
      </c>
      <c r="D2018" s="8" t="s">
        <v>4984</v>
      </c>
      <c r="E2018" s="9" t="str">
        <f aca="false">HYPERLINK("https://twitter.com/ManishVer5/status/922073217640124417","922073217640124417")</f>
        <v>922073217640124417</v>
      </c>
      <c r="F2018" s="10" t="s">
        <v>98</v>
      </c>
      <c r="G2018" s="10" t="n">
        <v>47</v>
      </c>
      <c r="H2018" s="10" t="n">
        <v>499</v>
      </c>
      <c r="I2018" s="10" t="n">
        <v>187</v>
      </c>
      <c r="J2018" s="10" t="n">
        <v>0</v>
      </c>
      <c r="K2018" s="10" t="s">
        <v>20</v>
      </c>
      <c r="L2018" s="11" t="n">
        <v>42672.6576388889</v>
      </c>
      <c r="M2018" s="12"/>
      <c r="N2018" s="12"/>
      <c r="O2018" s="9" t="str">
        <f aca="false">HYPERLINK("https://abs.twimg.com/sticky/default_profile_images/default_profile_normal.png","View")</f>
        <v>View</v>
      </c>
      <c r="P2018" s="10"/>
    </row>
    <row r="2019" customFormat="false" ht="15.75" hidden="false" customHeight="false" outlineLevel="0" collapsed="false">
      <c r="A2019" s="6" t="n">
        <v>43030.2172106481</v>
      </c>
      <c r="B2019" s="7" t="str">
        <f aca="false">HYPERLINK("https://twitter.com/UpdatesMalaysia","@UpdatesMalaysia")</f>
        <v>@UpdatesMalaysia</v>
      </c>
      <c r="C2019" s="8" t="s">
        <v>5259</v>
      </c>
      <c r="D2019" s="8" t="s">
        <v>5260</v>
      </c>
      <c r="E2019" s="9" t="str">
        <f aca="false">HYPERLINK("https://twitter.com/UpdatesMalaysia/status/922073245016137728","922073245016137728")</f>
        <v>922073245016137728</v>
      </c>
      <c r="F2019" s="10" t="s">
        <v>5259</v>
      </c>
      <c r="G2019" s="10" t="n">
        <v>188</v>
      </c>
      <c r="H2019" s="10" t="n">
        <v>507</v>
      </c>
      <c r="I2019" s="10" t="n">
        <v>0</v>
      </c>
      <c r="J2019" s="10" t="n">
        <v>0</v>
      </c>
      <c r="K2019" s="10" t="s">
        <v>20</v>
      </c>
      <c r="L2019" s="11" t="n">
        <v>42552.2981134259</v>
      </c>
      <c r="M2019" s="12" t="s">
        <v>5261</v>
      </c>
      <c r="N2019" s="12"/>
      <c r="O2019" s="9" t="str">
        <f aca="false">HYPERLINK("https://pbs.twimg.com/profile_images/851420871990300672/DqzExEzs_normal.jpg","View")</f>
        <v>View</v>
      </c>
      <c r="P2019" s="10"/>
    </row>
    <row r="2020" customFormat="false" ht="15.75" hidden="false" customHeight="false" outlineLevel="0" collapsed="false">
      <c r="A2020" s="6" t="n">
        <v>43030.2172800926</v>
      </c>
      <c r="B2020" s="7" t="str">
        <f aca="false">HYPERLINK("https://twitter.com/muraliks_11","@muraliks_11")</f>
        <v>@muraliks_11</v>
      </c>
      <c r="C2020" s="8" t="s">
        <v>5262</v>
      </c>
      <c r="D2020" s="8" t="s">
        <v>4285</v>
      </c>
      <c r="E2020" s="9" t="str">
        <f aca="false">HYPERLINK("https://twitter.com/muraliks_11/status/922073269297016832","922073269297016832")</f>
        <v>922073269297016832</v>
      </c>
      <c r="F2020" s="10" t="s">
        <v>25</v>
      </c>
      <c r="G2020" s="10" t="n">
        <v>439</v>
      </c>
      <c r="H2020" s="10" t="n">
        <v>680</v>
      </c>
      <c r="I2020" s="10" t="n">
        <v>5</v>
      </c>
      <c r="J2020" s="10" t="n">
        <v>0</v>
      </c>
      <c r="K2020" s="10" t="s">
        <v>20</v>
      </c>
      <c r="L2020" s="11" t="n">
        <v>42699.1954282407</v>
      </c>
      <c r="M2020" s="12" t="s">
        <v>5263</v>
      </c>
      <c r="N2020" s="12" t="s">
        <v>5264</v>
      </c>
      <c r="O2020" s="9" t="str">
        <f aca="false">HYPERLINK("https://pbs.twimg.com/profile_images/922154007883218945/ZVh24l1d_normal.jpg","View")</f>
        <v>View</v>
      </c>
      <c r="P2020" s="10"/>
    </row>
    <row r="2021" customFormat="false" ht="15.75" hidden="false" customHeight="false" outlineLevel="0" collapsed="false">
      <c r="A2021" s="6" t="n">
        <v>43030.2173958333</v>
      </c>
      <c r="B2021" s="7" t="str">
        <f aca="false">HYPERLINK("https://twitter.com/aotaka1001","@aotaka1001")</f>
        <v>@aotaka1001</v>
      </c>
      <c r="C2021" s="14" t="s">
        <v>5265</v>
      </c>
      <c r="D2021" s="8" t="s">
        <v>4984</v>
      </c>
      <c r="E2021" s="9" t="str">
        <f aca="false">HYPERLINK("https://twitter.com/aotaka1001/status/922073311646908416","922073311646908416")</f>
        <v>922073311646908416</v>
      </c>
      <c r="F2021" s="10" t="s">
        <v>25</v>
      </c>
      <c r="G2021" s="10" t="n">
        <v>1179</v>
      </c>
      <c r="H2021" s="10" t="n">
        <v>1681</v>
      </c>
      <c r="I2021" s="10" t="n">
        <v>187</v>
      </c>
      <c r="J2021" s="10" t="n">
        <v>0</v>
      </c>
      <c r="K2021" s="10" t="s">
        <v>20</v>
      </c>
      <c r="L2021" s="11" t="n">
        <v>41414.0722222222</v>
      </c>
      <c r="M2021" s="13" t="s">
        <v>5266</v>
      </c>
      <c r="N2021" s="12" t="s">
        <v>5267</v>
      </c>
      <c r="O2021" s="9" t="str">
        <f aca="false">HYPERLINK("https://pbs.twimg.com/profile_images/871586867329748992/dHD7qhtz_normal.jpg","View")</f>
        <v>View</v>
      </c>
      <c r="P2021" s="10"/>
    </row>
    <row r="2022" customFormat="false" ht="15.75" hidden="false" customHeight="false" outlineLevel="0" collapsed="false">
      <c r="A2022" s="6" t="n">
        <v>43030.2174074074</v>
      </c>
      <c r="B2022" s="7" t="str">
        <f aca="false">HYPERLINK("https://twitter.com/RenaeLucasHall","@RenaeLucasHall")</f>
        <v>@RenaeLucasHall</v>
      </c>
      <c r="C2022" s="8" t="s">
        <v>5268</v>
      </c>
      <c r="D2022" s="8" t="s">
        <v>5030</v>
      </c>
      <c r="E2022" s="9" t="str">
        <f aca="false">HYPERLINK("https://twitter.com/RenaeLucasHall/status/922073314474029057","922073314474029057")</f>
        <v>922073314474029057</v>
      </c>
      <c r="F2022" s="10" t="s">
        <v>39</v>
      </c>
      <c r="G2022" s="10" t="n">
        <v>13614</v>
      </c>
      <c r="H2022" s="10" t="n">
        <v>8802</v>
      </c>
      <c r="I2022" s="10" t="n">
        <v>22</v>
      </c>
      <c r="J2022" s="10" t="n">
        <v>0</v>
      </c>
      <c r="K2022" s="10" t="s">
        <v>20</v>
      </c>
      <c r="L2022" s="11" t="n">
        <v>41097.4658564815</v>
      </c>
      <c r="M2022" s="12" t="s">
        <v>5269</v>
      </c>
      <c r="N2022" s="12" t="s">
        <v>5270</v>
      </c>
      <c r="O2022" s="9" t="str">
        <f aca="false">HYPERLINK("https://pbs.twimg.com/profile_images/805743939957428224/JMN045gA_normal.jpg","View")</f>
        <v>View</v>
      </c>
      <c r="P2022" s="10"/>
    </row>
    <row r="2023" customFormat="false" ht="15.75" hidden="false" customHeight="false" outlineLevel="0" collapsed="false">
      <c r="A2023" s="6" t="n">
        <v>43030.2174074074</v>
      </c>
      <c r="B2023" s="7" t="str">
        <f aca="false">HYPERLINK("https://twitter.com/UpdatesMalaysia","@UpdatesMalaysia")</f>
        <v>@UpdatesMalaysia</v>
      </c>
      <c r="C2023" s="8" t="s">
        <v>5259</v>
      </c>
      <c r="D2023" s="8" t="s">
        <v>5271</v>
      </c>
      <c r="E2023" s="9" t="str">
        <f aca="false">HYPERLINK("https://twitter.com/UpdatesMalaysia/status/922073316906684416","922073316906684416")</f>
        <v>922073316906684416</v>
      </c>
      <c r="F2023" s="9" t="s">
        <v>979</v>
      </c>
      <c r="G2023" s="10" t="n">
        <v>188</v>
      </c>
      <c r="H2023" s="10" t="n">
        <v>507</v>
      </c>
      <c r="I2023" s="10" t="n">
        <v>0</v>
      </c>
      <c r="J2023" s="10" t="n">
        <v>0</v>
      </c>
      <c r="K2023" s="10" t="s">
        <v>20</v>
      </c>
      <c r="L2023" s="11" t="n">
        <v>42552.2981134259</v>
      </c>
      <c r="M2023" s="12" t="s">
        <v>5261</v>
      </c>
      <c r="N2023" s="12"/>
      <c r="O2023" s="9" t="str">
        <f aca="false">HYPERLINK("https://pbs.twimg.com/profile_images/851420871990300672/DqzExEzs_normal.jpg","View")</f>
        <v>View</v>
      </c>
      <c r="P2023" s="10"/>
    </row>
    <row r="2024" customFormat="false" ht="15.75" hidden="false" customHeight="false" outlineLevel="0" collapsed="false">
      <c r="A2024" s="6" t="n">
        <v>43030.2174189815</v>
      </c>
      <c r="B2024" s="7" t="str">
        <f aca="false">HYPERLINK("https://twitter.com/Breaking_1News","@Breaking_1News")</f>
        <v>@Breaking_1News</v>
      </c>
      <c r="C2024" s="8" t="s">
        <v>310</v>
      </c>
      <c r="D2024" s="8" t="s">
        <v>5272</v>
      </c>
      <c r="E2024" s="9" t="str">
        <f aca="false">HYPERLINK("https://twitter.com/Breaking_1News/status/922073321729953793","922073321729953793")</f>
        <v>922073321729953793</v>
      </c>
      <c r="F2024" s="9" t="s">
        <v>1147</v>
      </c>
      <c r="G2024" s="10" t="n">
        <v>5108</v>
      </c>
      <c r="H2024" s="10" t="n">
        <v>5200</v>
      </c>
      <c r="I2024" s="10" t="n">
        <v>0</v>
      </c>
      <c r="J2024" s="10" t="n">
        <v>0</v>
      </c>
      <c r="K2024" s="10" t="s">
        <v>20</v>
      </c>
      <c r="L2024" s="11" t="n">
        <v>42730.4198842593</v>
      </c>
      <c r="M2024" s="12"/>
      <c r="N2024" s="12" t="s">
        <v>5273</v>
      </c>
      <c r="O2024" s="9" t="str">
        <f aca="false">HYPERLINK("https://pbs.twimg.com/profile_images/813446495366246400/kaIsvoVx_normal.jpg","View")</f>
        <v>View</v>
      </c>
      <c r="P2024" s="10"/>
    </row>
    <row r="2025" customFormat="false" ht="15.75" hidden="false" customHeight="false" outlineLevel="0" collapsed="false">
      <c r="A2025" s="6" t="n">
        <v>43030.2174421296</v>
      </c>
      <c r="B2025" s="7" t="str">
        <f aca="false">HYPERLINK("https://twitter.com/RealTimeHack","@RealTimeHack")</f>
        <v>@RealTimeHack</v>
      </c>
      <c r="C2025" s="8" t="s">
        <v>2422</v>
      </c>
      <c r="D2025" s="8" t="s">
        <v>5274</v>
      </c>
      <c r="E2025" s="9" t="str">
        <f aca="false">HYPERLINK("https://twitter.com/RealTimeHack/status/922073328046804992","922073328046804992")</f>
        <v>922073328046804992</v>
      </c>
      <c r="F2025" s="10" t="s">
        <v>60</v>
      </c>
      <c r="G2025" s="10" t="n">
        <v>2184</v>
      </c>
      <c r="H2025" s="10" t="n">
        <v>1282</v>
      </c>
      <c r="I2025" s="10" t="n">
        <v>0</v>
      </c>
      <c r="J2025" s="10" t="n">
        <v>0</v>
      </c>
      <c r="K2025" s="10" t="s">
        <v>20</v>
      </c>
      <c r="L2025" s="11" t="n">
        <v>40641.3992013889</v>
      </c>
      <c r="M2025" s="12" t="s">
        <v>2424</v>
      </c>
      <c r="N2025" s="12" t="s">
        <v>2425</v>
      </c>
      <c r="O2025" s="9" t="str">
        <f aca="false">HYPERLINK("https://pbs.twimg.com/profile_images/1304602852/Nuke_Egg_normal.gif","View")</f>
        <v>View</v>
      </c>
      <c r="P2025" s="10"/>
    </row>
    <row r="2026" customFormat="false" ht="15.75" hidden="false" customHeight="false" outlineLevel="0" collapsed="false">
      <c r="A2026" s="6" t="n">
        <v>43030.2174652778</v>
      </c>
      <c r="B2026" s="7" t="str">
        <f aca="false">HYPERLINK("https://twitter.com/xxrrll","@xxrrll")</f>
        <v>@xxrrll</v>
      </c>
      <c r="C2026" s="8" t="s">
        <v>5275</v>
      </c>
      <c r="D2026" s="8" t="s">
        <v>4984</v>
      </c>
      <c r="E2026" s="9" t="str">
        <f aca="false">HYPERLINK("https://twitter.com/xxrrll/status/922073337244864513","922073337244864513")</f>
        <v>922073337244864513</v>
      </c>
      <c r="F2026" s="10" t="s">
        <v>51</v>
      </c>
      <c r="G2026" s="10" t="n">
        <v>240</v>
      </c>
      <c r="H2026" s="10" t="n">
        <v>848</v>
      </c>
      <c r="I2026" s="10" t="n">
        <v>187</v>
      </c>
      <c r="J2026" s="10" t="n">
        <v>0</v>
      </c>
      <c r="K2026" s="10" t="s">
        <v>20</v>
      </c>
      <c r="L2026" s="11" t="n">
        <v>40024.6368402778</v>
      </c>
      <c r="M2026" s="12"/>
      <c r="N2026" s="12" t="s">
        <v>5276</v>
      </c>
      <c r="O2026" s="9" t="str">
        <f aca="false">HYPERLINK("https://pbs.twimg.com/profile_images/439558534108565505/eqCO7Xik_normal.jpeg","View")</f>
        <v>View</v>
      </c>
      <c r="P2026" s="10"/>
    </row>
    <row r="2027" customFormat="false" ht="15.75" hidden="false" customHeight="false" outlineLevel="0" collapsed="false">
      <c r="A2027" s="6" t="n">
        <v>43030.217650463</v>
      </c>
      <c r="B2027" s="7" t="str">
        <f aca="false">HYPERLINK("https://twitter.com/Mr_AlVil","@Mr_AlVil")</f>
        <v>@Mr_AlVil</v>
      </c>
      <c r="C2027" s="8" t="s">
        <v>392</v>
      </c>
      <c r="D2027" s="8" t="s">
        <v>5277</v>
      </c>
      <c r="E2027" s="9" t="str">
        <f aca="false">HYPERLINK("https://twitter.com/Mr_AlVil/status/922073404903251968","922073404903251968")</f>
        <v>922073404903251968</v>
      </c>
      <c r="F2027" s="10" t="s">
        <v>60</v>
      </c>
      <c r="G2027" s="10" t="n">
        <v>353</v>
      </c>
      <c r="H2027" s="10" t="n">
        <v>51</v>
      </c>
      <c r="I2027" s="10" t="n">
        <v>0</v>
      </c>
      <c r="J2027" s="10" t="n">
        <v>0</v>
      </c>
      <c r="K2027" s="10" t="s">
        <v>20</v>
      </c>
      <c r="L2027" s="11" t="n">
        <v>40205.5345486111</v>
      </c>
      <c r="M2027" s="12" t="s">
        <v>394</v>
      </c>
      <c r="N2027" s="12" t="s">
        <v>395</v>
      </c>
      <c r="O2027" s="9" t="str">
        <f aca="false">HYPERLINK("https://pbs.twimg.com/profile_images/857577668967108609/KAXMKfpy_normal.jpg","View")</f>
        <v>View</v>
      </c>
      <c r="P2027" s="10"/>
    </row>
    <row r="2028" customFormat="false" ht="15.75" hidden="false" customHeight="false" outlineLevel="0" collapsed="false">
      <c r="A2028" s="6" t="n">
        <v>43030.2177083333</v>
      </c>
      <c r="B2028" s="7" t="str">
        <f aca="false">HYPERLINK("https://twitter.com/nishadhasan007","@nishadhasan007")</f>
        <v>@nishadhasan007</v>
      </c>
      <c r="C2028" s="8" t="s">
        <v>5278</v>
      </c>
      <c r="D2028" s="8" t="s">
        <v>5279</v>
      </c>
      <c r="E2028" s="9" t="str">
        <f aca="false">HYPERLINK("https://twitter.com/nishadhasan007/status/922073426449268736","922073426449268736")</f>
        <v>922073426449268736</v>
      </c>
      <c r="F2028" s="10" t="s">
        <v>60</v>
      </c>
      <c r="G2028" s="10" t="n">
        <v>695</v>
      </c>
      <c r="H2028" s="10" t="n">
        <v>1723</v>
      </c>
      <c r="I2028" s="10" t="n">
        <v>0</v>
      </c>
      <c r="J2028" s="10" t="n">
        <v>0</v>
      </c>
      <c r="K2028" s="10" t="s">
        <v>20</v>
      </c>
      <c r="L2028" s="11" t="n">
        <v>41036.644537037</v>
      </c>
      <c r="M2028" s="12" t="s">
        <v>5280</v>
      </c>
      <c r="N2028" s="12" t="s">
        <v>5281</v>
      </c>
      <c r="O2028" s="9" t="str">
        <f aca="false">HYPERLINK("https://pbs.twimg.com/profile_images/673810930027859968/LcejVNDJ_normal.jpg","View")</f>
        <v>View</v>
      </c>
      <c r="P2028" s="10"/>
    </row>
    <row r="2029" customFormat="false" ht="15.75" hidden="false" customHeight="false" outlineLevel="0" collapsed="false">
      <c r="A2029" s="6" t="n">
        <v>43030.2177546296</v>
      </c>
      <c r="B2029" s="7" t="str">
        <f aca="false">HYPERLINK("https://twitter.com/pune_adhik_une","@pune_adhik_une")</f>
        <v>@pune_adhik_une</v>
      </c>
      <c r="C2029" s="8" t="s">
        <v>5282</v>
      </c>
      <c r="D2029" s="8" t="s">
        <v>4984</v>
      </c>
      <c r="E2029" s="9" t="str">
        <f aca="false">HYPERLINK("https://twitter.com/pune_adhik_une/status/922073442953940992","922073442953940992")</f>
        <v>922073442953940992</v>
      </c>
      <c r="F2029" s="10" t="s">
        <v>51</v>
      </c>
      <c r="G2029" s="10" t="n">
        <v>152</v>
      </c>
      <c r="H2029" s="10" t="n">
        <v>131</v>
      </c>
      <c r="I2029" s="10" t="n">
        <v>187</v>
      </c>
      <c r="J2029" s="10" t="n">
        <v>0</v>
      </c>
      <c r="K2029" s="10" t="s">
        <v>20</v>
      </c>
      <c r="L2029" s="11" t="n">
        <v>41350.6012731482</v>
      </c>
      <c r="M2029" s="12" t="s">
        <v>5283</v>
      </c>
      <c r="N2029" s="12" t="s">
        <v>5284</v>
      </c>
      <c r="O2029" s="9" t="str">
        <f aca="false">HYPERLINK("https://pbs.twimg.com/profile_images/884993009707868161/mpSVDau2_normal.jpg","View")</f>
        <v>View</v>
      </c>
      <c r="P2029" s="10"/>
    </row>
    <row r="2030" customFormat="false" ht="15.75" hidden="false" customHeight="false" outlineLevel="0" collapsed="false">
      <c r="A2030" s="6" t="n">
        <v>43030.2177546296</v>
      </c>
      <c r="B2030" s="7" t="str">
        <f aca="false">HYPERLINK("https://twitter.com/luisaflorezmd","@luisaflorezmd")</f>
        <v>@luisaflorezmd</v>
      </c>
      <c r="C2030" s="8" t="s">
        <v>5285</v>
      </c>
      <c r="D2030" s="8" t="s">
        <v>5286</v>
      </c>
      <c r="E2030" s="9" t="str">
        <f aca="false">HYPERLINK("https://twitter.com/luisaflorezmd/status/922073443448819712","922073443448819712")</f>
        <v>922073443448819712</v>
      </c>
      <c r="F2030" s="10" t="s">
        <v>60</v>
      </c>
      <c r="G2030" s="10" t="n">
        <v>224</v>
      </c>
      <c r="H2030" s="10" t="n">
        <v>122</v>
      </c>
      <c r="I2030" s="10" t="n">
        <v>0</v>
      </c>
      <c r="J2030" s="10" t="n">
        <v>0</v>
      </c>
      <c r="K2030" s="10" t="s">
        <v>20</v>
      </c>
      <c r="L2030" s="11" t="n">
        <v>41472.8325925926</v>
      </c>
      <c r="M2030" s="12" t="s">
        <v>5287</v>
      </c>
      <c r="N2030" s="12" t="s">
        <v>5288</v>
      </c>
      <c r="O2030" s="9" t="str">
        <f aca="false">HYPERLINK("https://pbs.twimg.com/profile_images/378800000149660098/5ebd57d9c2dc9850b24e22b3d554e7e0_normal.jpeg","View")</f>
        <v>View</v>
      </c>
      <c r="P2030" s="10"/>
    </row>
    <row r="2031" customFormat="false" ht="15.75" hidden="false" customHeight="false" outlineLevel="0" collapsed="false">
      <c r="A2031" s="6" t="n">
        <v>43030.2177893519</v>
      </c>
      <c r="B2031" s="7" t="str">
        <f aca="false">HYPERLINK("https://twitter.com/aminnabill","@aminnabill")</f>
        <v>@aminnabill</v>
      </c>
      <c r="C2031" s="8" t="s">
        <v>5289</v>
      </c>
      <c r="D2031" s="8" t="s">
        <v>4984</v>
      </c>
      <c r="E2031" s="9" t="str">
        <f aca="false">HYPERLINK("https://twitter.com/aminnabill/status/922073455620587521","922073455620587521")</f>
        <v>922073455620587521</v>
      </c>
      <c r="F2031" s="10" t="s">
        <v>98</v>
      </c>
      <c r="G2031" s="10" t="n">
        <v>138</v>
      </c>
      <c r="H2031" s="10" t="n">
        <v>222</v>
      </c>
      <c r="I2031" s="10" t="n">
        <v>187</v>
      </c>
      <c r="J2031" s="10" t="n">
        <v>0</v>
      </c>
      <c r="K2031" s="10" t="s">
        <v>20</v>
      </c>
      <c r="L2031" s="11" t="n">
        <v>42713.6418865741</v>
      </c>
      <c r="M2031" s="12" t="s">
        <v>5290</v>
      </c>
      <c r="N2031" s="12" t="s">
        <v>5291</v>
      </c>
      <c r="O2031" s="9" t="str">
        <f aca="false">HYPERLINK("https://pbs.twimg.com/profile_images/857256251591319552/nWFcRH9D_normal.jpg","View")</f>
        <v>View</v>
      </c>
      <c r="P2031" s="10"/>
    </row>
    <row r="2032" customFormat="false" ht="15.75" hidden="false" customHeight="false" outlineLevel="0" collapsed="false">
      <c r="A2032" s="6" t="n">
        <v>43030.2178472222</v>
      </c>
      <c r="B2032" s="7" t="str">
        <f aca="false">HYPERLINK("https://twitter.com/McAffeeMerc","@McAffeeMerc")</f>
        <v>@McAffeeMerc</v>
      </c>
      <c r="C2032" s="8" t="s">
        <v>5292</v>
      </c>
      <c r="D2032" s="8" t="s">
        <v>4984</v>
      </c>
      <c r="E2032" s="9" t="str">
        <f aca="false">HYPERLINK("https://twitter.com/McAffeeMerc/status/922073474859917312","922073474859917312")</f>
        <v>922073474859917312</v>
      </c>
      <c r="F2032" s="10" t="s">
        <v>177</v>
      </c>
      <c r="G2032" s="10" t="n">
        <v>445</v>
      </c>
      <c r="H2032" s="10" t="n">
        <v>1402</v>
      </c>
      <c r="I2032" s="10" t="n">
        <v>187</v>
      </c>
      <c r="J2032" s="10" t="n">
        <v>0</v>
      </c>
      <c r="K2032" s="10" t="s">
        <v>20</v>
      </c>
      <c r="L2032" s="11" t="n">
        <v>41613.5353472222</v>
      </c>
      <c r="M2032" s="12"/>
      <c r="N2032" s="12"/>
      <c r="O2032" s="9" t="str">
        <f aca="false">HYPERLINK("https://pbs.twimg.com/profile_images/417786648395411456/i6L-ZM3t_normal.jpeg","View")</f>
        <v>View</v>
      </c>
      <c r="P2032" s="10"/>
    </row>
    <row r="2033" customFormat="false" ht="15.75" hidden="false" customHeight="false" outlineLevel="0" collapsed="false">
      <c r="A2033" s="6" t="n">
        <v>43030.2178587963</v>
      </c>
      <c r="B2033" s="7" t="str">
        <f aca="false">HYPERLINK("https://twitter.com/cgnetwork","@cgnetwork")</f>
        <v>@cgnetwork</v>
      </c>
      <c r="C2033" s="8" t="s">
        <v>372</v>
      </c>
      <c r="D2033" s="8" t="s">
        <v>5293</v>
      </c>
      <c r="E2033" s="9" t="str">
        <f aca="false">HYPERLINK("https://twitter.com/cgnetwork/status/922073478857097216","922073478857097216")</f>
        <v>922073478857097216</v>
      </c>
      <c r="F2033" s="10" t="s">
        <v>55</v>
      </c>
      <c r="G2033" s="10" t="n">
        <v>1176</v>
      </c>
      <c r="H2033" s="10" t="n">
        <v>497</v>
      </c>
      <c r="I2033" s="10" t="n">
        <v>0</v>
      </c>
      <c r="J2033" s="10" t="n">
        <v>0</v>
      </c>
      <c r="K2033" s="10" t="s">
        <v>20</v>
      </c>
      <c r="L2033" s="11" t="n">
        <v>39992.0619791667</v>
      </c>
      <c r="M2033" s="12" t="s">
        <v>374</v>
      </c>
      <c r="N2033" s="12" t="s">
        <v>375</v>
      </c>
      <c r="O2033" s="9" t="str">
        <f aca="false">HYPERLINK("https://pbs.twimg.com/profile_images/286683233/Francis_Lim_Passport_Size_photo_image.jpg_normal.jpg","View")</f>
        <v>View</v>
      </c>
      <c r="P2033" s="10"/>
    </row>
    <row r="2034" customFormat="false" ht="15.75" hidden="false" customHeight="false" outlineLevel="0" collapsed="false">
      <c r="A2034" s="6" t="n">
        <v>43030.2178703704</v>
      </c>
      <c r="B2034" s="7" t="str">
        <f aca="false">HYPERLINK("https://twitter.com/CarloMusa","@CarloMusa")</f>
        <v>@CarloMusa</v>
      </c>
      <c r="C2034" s="8" t="s">
        <v>5294</v>
      </c>
      <c r="D2034" s="8" t="s">
        <v>5135</v>
      </c>
      <c r="E2034" s="9" t="str">
        <f aca="false">HYPERLINK("https://twitter.com/CarloMusa/status/922073483890348032","922073483890348032")</f>
        <v>922073483890348032</v>
      </c>
      <c r="F2034" s="10" t="s">
        <v>39</v>
      </c>
      <c r="G2034" s="10" t="n">
        <v>1118</v>
      </c>
      <c r="H2034" s="10" t="n">
        <v>2511</v>
      </c>
      <c r="I2034" s="10" t="n">
        <v>18</v>
      </c>
      <c r="J2034" s="10" t="n">
        <v>0</v>
      </c>
      <c r="K2034" s="10" t="s">
        <v>20</v>
      </c>
      <c r="L2034" s="11" t="n">
        <v>40475.160625</v>
      </c>
      <c r="M2034" s="12" t="s">
        <v>5295</v>
      </c>
      <c r="N2034" s="12" t="s">
        <v>5296</v>
      </c>
      <c r="O2034" s="9" t="str">
        <f aca="false">HYPERLINK("https://pbs.twimg.com/profile_images/885218474657796097/IykYKynN_normal.jpg","View")</f>
        <v>View</v>
      </c>
      <c r="P2034" s="10"/>
    </row>
    <row r="2035" customFormat="false" ht="15.75" hidden="false" customHeight="false" outlineLevel="0" collapsed="false">
      <c r="A2035" s="6" t="n">
        <v>43030.2178935185</v>
      </c>
      <c r="B2035" s="7" t="str">
        <f aca="false">HYPERLINK("https://twitter.com/Sorgitzak","@Sorgitzak")</f>
        <v>@Sorgitzak</v>
      </c>
      <c r="C2035" s="8" t="s">
        <v>421</v>
      </c>
      <c r="D2035" s="8" t="s">
        <v>5297</v>
      </c>
      <c r="E2035" s="9" t="str">
        <f aca="false">HYPERLINK("https://twitter.com/Sorgitzak/status/922073491653963776","922073491653963776")</f>
        <v>922073491653963776</v>
      </c>
      <c r="F2035" s="10" t="s">
        <v>60</v>
      </c>
      <c r="G2035" s="10" t="n">
        <v>719</v>
      </c>
      <c r="H2035" s="10" t="n">
        <v>1309</v>
      </c>
      <c r="I2035" s="10" t="n">
        <v>0</v>
      </c>
      <c r="J2035" s="10" t="n">
        <v>0</v>
      </c>
      <c r="K2035" s="10" t="s">
        <v>20</v>
      </c>
      <c r="L2035" s="11" t="n">
        <v>39990.5521527778</v>
      </c>
      <c r="M2035" s="12" t="s">
        <v>423</v>
      </c>
      <c r="N2035" s="12"/>
      <c r="O2035" s="9" t="str">
        <f aca="false">HYPERLINK("https://pbs.twimg.com/profile_images/284404970/sorgitzak_normal.JPG","View")</f>
        <v>View</v>
      </c>
      <c r="P2035" s="10"/>
    </row>
    <row r="2036" customFormat="false" ht="15.75" hidden="false" customHeight="false" outlineLevel="0" collapsed="false">
      <c r="A2036" s="6" t="n">
        <v>43030.2179513889</v>
      </c>
      <c r="B2036" s="7" t="str">
        <f aca="false">HYPERLINK("https://twitter.com/CarolynCpcraig","@CarolynCpcraig")</f>
        <v>@CarolynCpcraig</v>
      </c>
      <c r="C2036" s="8" t="s">
        <v>281</v>
      </c>
      <c r="D2036" s="8" t="s">
        <v>4984</v>
      </c>
      <c r="E2036" s="9" t="str">
        <f aca="false">HYPERLINK("https://twitter.com/CarolynCpcraig/status/922073512323534849","922073512323534849")</f>
        <v>922073512323534849</v>
      </c>
      <c r="F2036" s="10" t="s">
        <v>51</v>
      </c>
      <c r="G2036" s="10" t="n">
        <v>1677</v>
      </c>
      <c r="H2036" s="10" t="n">
        <v>2775</v>
      </c>
      <c r="I2036" s="10" t="n">
        <v>187</v>
      </c>
      <c r="J2036" s="10" t="n">
        <v>0</v>
      </c>
      <c r="K2036" s="10" t="s">
        <v>20</v>
      </c>
      <c r="L2036" s="11" t="n">
        <v>41241.9173611111</v>
      </c>
      <c r="M2036" s="12"/>
      <c r="N2036" s="12" t="s">
        <v>282</v>
      </c>
      <c r="O2036" s="9" t="str">
        <f aca="false">HYPERLINK("https://pbs.twimg.com/profile_images/3209893383/0744821f1e286a18e50adbdf8506ee7c_normal.jpeg","View")</f>
        <v>View</v>
      </c>
      <c r="P2036" s="10"/>
    </row>
    <row r="2037" customFormat="false" ht="15.75" hidden="false" customHeight="false" outlineLevel="0" collapsed="false">
      <c r="A2037" s="6" t="n">
        <v>43030.2180555556</v>
      </c>
      <c r="B2037" s="7" t="str">
        <f aca="false">HYPERLINK("https://twitter.com/revolution_fr","@revolution_fr")</f>
        <v>@revolution_fr</v>
      </c>
      <c r="C2037" s="8" t="s">
        <v>1579</v>
      </c>
      <c r="D2037" s="8" t="s">
        <v>4984</v>
      </c>
      <c r="E2037" s="9" t="str">
        <f aca="false">HYPERLINK("https://twitter.com/revolution_fr/status/922073552362328065","922073552362328065")</f>
        <v>922073552362328065</v>
      </c>
      <c r="F2037" s="10" t="s">
        <v>98</v>
      </c>
      <c r="G2037" s="10" t="n">
        <v>2663</v>
      </c>
      <c r="H2037" s="10" t="n">
        <v>3625</v>
      </c>
      <c r="I2037" s="10" t="n">
        <v>187</v>
      </c>
      <c r="J2037" s="10" t="n">
        <v>0</v>
      </c>
      <c r="K2037" s="10" t="s">
        <v>20</v>
      </c>
      <c r="L2037" s="11" t="n">
        <v>42400.3124305556</v>
      </c>
      <c r="M2037" s="12" t="s">
        <v>1580</v>
      </c>
      <c r="N2037" s="12" t="s">
        <v>1581</v>
      </c>
      <c r="O2037" s="9" t="str">
        <f aca="false">HYPERLINK("https://pbs.twimg.com/profile_images/912005330749575173/gmtBFZtv_normal.jpg","View")</f>
        <v>View</v>
      </c>
      <c r="P2037" s="10"/>
    </row>
    <row r="2038" customFormat="false" ht="15.75" hidden="false" customHeight="false" outlineLevel="0" collapsed="false">
      <c r="A2038" s="6" t="n">
        <v>43030.2181712963</v>
      </c>
      <c r="B2038" s="7" t="str">
        <f aca="false">HYPERLINK("https://twitter.com/newslivenetwork","@newslivenetwork")</f>
        <v>@newslivenetwork</v>
      </c>
      <c r="C2038" s="8" t="s">
        <v>1668</v>
      </c>
      <c r="D2038" s="8" t="s">
        <v>5298</v>
      </c>
      <c r="E2038" s="9" t="str">
        <f aca="false">HYPERLINK("https://twitter.com/newslivenetwork/status/922073590975156224","922073590975156224")</f>
        <v>922073590975156224</v>
      </c>
      <c r="F2038" s="10" t="s">
        <v>55</v>
      </c>
      <c r="G2038" s="10" t="n">
        <v>272</v>
      </c>
      <c r="H2038" s="10" t="n">
        <v>87</v>
      </c>
      <c r="I2038" s="10" t="n">
        <v>0</v>
      </c>
      <c r="J2038" s="10" t="n">
        <v>0</v>
      </c>
      <c r="K2038" s="10" t="s">
        <v>20</v>
      </c>
      <c r="L2038" s="11" t="n">
        <v>42741.4719675926</v>
      </c>
      <c r="M2038" s="12" t="s">
        <v>1670</v>
      </c>
      <c r="N2038" s="12" t="s">
        <v>1671</v>
      </c>
      <c r="O2038" s="9" t="str">
        <f aca="false">HYPERLINK("https://pbs.twimg.com/profile_images/877414144424660992/scfhocj3_normal.jpg","View")</f>
        <v>View</v>
      </c>
      <c r="P2038" s="10"/>
    </row>
    <row r="2039" customFormat="false" ht="15.75" hidden="false" customHeight="false" outlineLevel="0" collapsed="false">
      <c r="A2039" s="6" t="n">
        <v>43030.2182175926</v>
      </c>
      <c r="B2039" s="7" t="str">
        <f aca="false">HYPERLINK("https://twitter.com/MarjiStevens","@MarjiStevens")</f>
        <v>@MarjiStevens</v>
      </c>
      <c r="C2039" s="8" t="s">
        <v>5299</v>
      </c>
      <c r="D2039" s="8" t="s">
        <v>3646</v>
      </c>
      <c r="E2039" s="9" t="str">
        <f aca="false">HYPERLINK("https://twitter.com/MarjiStevens/status/922073611040468992","922073611040468992")</f>
        <v>922073611040468992</v>
      </c>
      <c r="F2039" s="10" t="s">
        <v>51</v>
      </c>
      <c r="G2039" s="10" t="n">
        <v>5690</v>
      </c>
      <c r="H2039" s="10" t="n">
        <v>5935</v>
      </c>
      <c r="I2039" s="10" t="n">
        <v>71</v>
      </c>
      <c r="J2039" s="10" t="n">
        <v>0</v>
      </c>
      <c r="K2039" s="10" t="s">
        <v>20</v>
      </c>
      <c r="L2039" s="11" t="n">
        <v>39708.9520023148</v>
      </c>
      <c r="M2039" s="12" t="s">
        <v>5300</v>
      </c>
      <c r="N2039" s="12" t="s">
        <v>5301</v>
      </c>
      <c r="O2039" s="9" t="str">
        <f aca="false">HYPERLINK("https://pbs.twimg.com/profile_images/656689168106434560/WMrndtER_normal.jpg","View")</f>
        <v>View</v>
      </c>
      <c r="P2039" s="10"/>
    </row>
    <row r="2040" customFormat="false" ht="15.75" hidden="false" customHeight="false" outlineLevel="0" collapsed="false">
      <c r="A2040" s="6" t="n">
        <v>43030.2182407407</v>
      </c>
      <c r="B2040" s="7" t="str">
        <f aca="false">HYPERLINK("https://twitter.com/meithu","@meithu")</f>
        <v>@meithu</v>
      </c>
      <c r="C2040" s="8" t="s">
        <v>5302</v>
      </c>
      <c r="D2040" s="8" t="s">
        <v>5303</v>
      </c>
      <c r="E2040" s="9" t="str">
        <f aca="false">HYPERLINK("https://twitter.com/meithu/status/922073617009176576","922073617009176576")</f>
        <v>922073617009176576</v>
      </c>
      <c r="F2040" s="10" t="s">
        <v>25</v>
      </c>
      <c r="G2040" s="10" t="n">
        <v>1757</v>
      </c>
      <c r="H2040" s="10" t="n">
        <v>1486</v>
      </c>
      <c r="I2040" s="10" t="n">
        <v>0</v>
      </c>
      <c r="J2040" s="10" t="n">
        <v>0</v>
      </c>
      <c r="K2040" s="10" t="s">
        <v>20</v>
      </c>
      <c r="L2040" s="11" t="n">
        <v>40180.4042824074</v>
      </c>
      <c r="M2040" s="12" t="s">
        <v>567</v>
      </c>
      <c r="N2040" s="12" t="s">
        <v>5304</v>
      </c>
      <c r="O2040" s="9" t="str">
        <f aca="false">HYPERLINK("https://pbs.twimg.com/profile_images/659723872237969409/fEKBbtjp_normal.jpg","View")</f>
        <v>View</v>
      </c>
      <c r="P2040" s="10"/>
    </row>
    <row r="2041" customFormat="false" ht="15.75" hidden="false" customHeight="false" outlineLevel="0" collapsed="false">
      <c r="A2041" s="6" t="n">
        <v>43030.2182407407</v>
      </c>
      <c r="B2041" s="7" t="str">
        <f aca="false">HYPERLINK("https://twitter.com/Einformativo","@Einformativo")</f>
        <v>@Einformativo</v>
      </c>
      <c r="C2041" s="8" t="s">
        <v>5305</v>
      </c>
      <c r="D2041" s="8" t="s">
        <v>5306</v>
      </c>
      <c r="E2041" s="9" t="str">
        <f aca="false">HYPERLINK("https://twitter.com/Einformativo/status/922073619852820480","922073619852820480")</f>
        <v>922073619852820480</v>
      </c>
      <c r="F2041" s="10" t="s">
        <v>60</v>
      </c>
      <c r="G2041" s="10" t="n">
        <v>3487</v>
      </c>
      <c r="H2041" s="10" t="n">
        <v>1088</v>
      </c>
      <c r="I2041" s="10" t="n">
        <v>0</v>
      </c>
      <c r="J2041" s="10" t="n">
        <v>0</v>
      </c>
      <c r="K2041" s="10" t="s">
        <v>20</v>
      </c>
      <c r="L2041" s="11" t="n">
        <v>40421.1228703704</v>
      </c>
      <c r="M2041" s="12" t="s">
        <v>5307</v>
      </c>
      <c r="N2041" s="12" t="s">
        <v>5308</v>
      </c>
      <c r="O2041" s="9" t="str">
        <f aca="false">HYPERLINK("https://pbs.twimg.com/profile_images/2801643654/b898bd130616205f12a48cfa9ed483e1_normal.jpeg","View")</f>
        <v>View</v>
      </c>
      <c r="P2041" s="10"/>
    </row>
    <row r="2042" customFormat="false" ht="15.75" hidden="false" customHeight="false" outlineLevel="0" collapsed="false">
      <c r="A2042" s="6" t="n">
        <v>43030.2182638889</v>
      </c>
      <c r="B2042" s="7" t="str">
        <f aca="false">HYPERLINK("https://twitter.com/palash40072006","@palash40072006")</f>
        <v>@palash40072006</v>
      </c>
      <c r="C2042" s="8" t="s">
        <v>5309</v>
      </c>
      <c r="D2042" s="8" t="s">
        <v>5030</v>
      </c>
      <c r="E2042" s="9" t="str">
        <f aca="false">HYPERLINK("https://twitter.com/palash40072006/status/922073628065218560","922073628065218560")</f>
        <v>922073628065218560</v>
      </c>
      <c r="F2042" s="10" t="s">
        <v>2620</v>
      </c>
      <c r="G2042" s="10" t="n">
        <v>5294</v>
      </c>
      <c r="H2042" s="10" t="n">
        <v>704</v>
      </c>
      <c r="I2042" s="10" t="n">
        <v>22</v>
      </c>
      <c r="J2042" s="10" t="n">
        <v>0</v>
      </c>
      <c r="K2042" s="10" t="s">
        <v>20</v>
      </c>
      <c r="L2042" s="11" t="n">
        <v>42386.3820601852</v>
      </c>
      <c r="M2042" s="12" t="s">
        <v>3415</v>
      </c>
      <c r="N2042" s="12" t="s">
        <v>5310</v>
      </c>
      <c r="O2042" s="9" t="str">
        <f aca="false">HYPERLINK("https://pbs.twimg.com/profile_images/892935841919533057/fahfN5bD_normal.jpg","View")</f>
        <v>View</v>
      </c>
      <c r="P2042" s="10"/>
    </row>
    <row r="2043" customFormat="false" ht="15.75" hidden="false" customHeight="false" outlineLevel="0" collapsed="false">
      <c r="A2043" s="6" t="n">
        <v>43030.2183217593</v>
      </c>
      <c r="B2043" s="7" t="str">
        <f aca="false">HYPERLINK("https://twitter.com/Researcher_DSco","@Researcher_DSco")</f>
        <v>@Researcher_DSco</v>
      </c>
      <c r="C2043" s="8" t="s">
        <v>5311</v>
      </c>
      <c r="D2043" s="8" t="s">
        <v>5312</v>
      </c>
      <c r="E2043" s="9" t="str">
        <f aca="false">HYPERLINK("https://twitter.com/Researcher_DSco/status/922073647753375744","922073647753375744")</f>
        <v>922073647753375744</v>
      </c>
      <c r="F2043" s="10" t="s">
        <v>60</v>
      </c>
      <c r="G2043" s="10" t="n">
        <v>123</v>
      </c>
      <c r="H2043" s="10" t="n">
        <v>63</v>
      </c>
      <c r="I2043" s="10" t="n">
        <v>0</v>
      </c>
      <c r="J2043" s="10" t="n">
        <v>0</v>
      </c>
      <c r="K2043" s="10" t="s">
        <v>20</v>
      </c>
      <c r="L2043" s="11" t="n">
        <v>42009.6087962963</v>
      </c>
      <c r="M2043" s="12" t="s">
        <v>5313</v>
      </c>
      <c r="N2043" s="12" t="s">
        <v>5314</v>
      </c>
      <c r="O2043" s="9" t="str">
        <f aca="false">HYPERLINK("https://pbs.twimg.com/profile_images/611224454983778304/k7ogpiaG_normal.jpg","View")</f>
        <v>View</v>
      </c>
      <c r="P2043" s="10"/>
    </row>
    <row r="2044" customFormat="false" ht="15.75" hidden="false" customHeight="false" outlineLevel="0" collapsed="false">
      <c r="A2044" s="6" t="n">
        <v>43030.2183217593</v>
      </c>
      <c r="B2044" s="7" t="str">
        <f aca="false">HYPERLINK("https://twitter.com/vdelaserna","@vdelaserna")</f>
        <v>@vdelaserna</v>
      </c>
      <c r="C2044" s="8" t="s">
        <v>5315</v>
      </c>
      <c r="D2044" s="8" t="s">
        <v>4984</v>
      </c>
      <c r="E2044" s="9" t="str">
        <f aca="false">HYPERLINK("https://twitter.com/vdelaserna/status/922073648860680192","922073648860680192")</f>
        <v>922073648860680192</v>
      </c>
      <c r="F2044" s="10" t="s">
        <v>25</v>
      </c>
      <c r="G2044" s="10" t="n">
        <v>16926</v>
      </c>
      <c r="H2044" s="10" t="n">
        <v>704</v>
      </c>
      <c r="I2044" s="10" t="n">
        <v>187</v>
      </c>
      <c r="J2044" s="10" t="n">
        <v>0</v>
      </c>
      <c r="K2044" s="10" t="s">
        <v>20</v>
      </c>
      <c r="L2044" s="11" t="n">
        <v>39991.0642824074</v>
      </c>
      <c r="M2044" s="12" t="s">
        <v>5316</v>
      </c>
      <c r="N2044" s="12" t="s">
        <v>5317</v>
      </c>
      <c r="O2044" s="9" t="str">
        <f aca="false">HYPERLINK("https://pbs.twimg.com/profile_images/2045860224/Brindis_normal.jpg","View")</f>
        <v>View</v>
      </c>
      <c r="P2044" s="10"/>
    </row>
    <row r="2045" customFormat="false" ht="15.75" hidden="false" customHeight="false" outlineLevel="0" collapsed="false">
      <c r="A2045" s="6" t="n">
        <v>43030.2183333333</v>
      </c>
      <c r="B2045" s="7" t="str">
        <f aca="false">HYPERLINK("https://twitter.com/Silver_up_to5H","@Silver_up_to5H")</f>
        <v>@Silver_up_to5H</v>
      </c>
      <c r="C2045" s="8" t="n">
        <v>9</v>
      </c>
      <c r="D2045" s="8" t="s">
        <v>5318</v>
      </c>
      <c r="E2045" s="9" t="str">
        <f aca="false">HYPERLINK("https://twitter.com/Silver_up_to5H/status/922073651427422208","922073651427422208")</f>
        <v>922073651427422208</v>
      </c>
      <c r="F2045" s="10" t="s">
        <v>39</v>
      </c>
      <c r="G2045" s="10" t="n">
        <v>78</v>
      </c>
      <c r="H2045" s="10" t="n">
        <v>145</v>
      </c>
      <c r="I2045" s="10" t="n">
        <v>0</v>
      </c>
      <c r="J2045" s="10" t="n">
        <v>0</v>
      </c>
      <c r="K2045" s="10" t="s">
        <v>20</v>
      </c>
      <c r="L2045" s="11" t="n">
        <v>42670.3247916667</v>
      </c>
      <c r="M2045" s="12" t="s">
        <v>574</v>
      </c>
      <c r="N2045" s="13" t="s">
        <v>4214</v>
      </c>
      <c r="O2045" s="9" t="str">
        <f aca="false">HYPERLINK("https://pbs.twimg.com/profile_images/847426219574345729/RB9Z3Ytk_normal.jpg","View")</f>
        <v>View</v>
      </c>
      <c r="P2045" s="10"/>
    </row>
    <row r="2046" customFormat="false" ht="15.75" hidden="false" customHeight="false" outlineLevel="0" collapsed="false">
      <c r="A2046" s="6" t="n">
        <v>43030.2183912037</v>
      </c>
      <c r="B2046" s="7" t="str">
        <f aca="false">HYPERLINK("https://twitter.com/farhaadaarif","@farhaadaarif")</f>
        <v>@farhaadaarif</v>
      </c>
      <c r="C2046" s="8" t="s">
        <v>1031</v>
      </c>
      <c r="D2046" s="8" t="s">
        <v>5319</v>
      </c>
      <c r="E2046" s="9" t="str">
        <f aca="false">HYPERLINK("https://twitter.com/farhaadaarif/status/922073672776667136","922073672776667136")</f>
        <v>922073672776667136</v>
      </c>
      <c r="F2046" s="10" t="s">
        <v>60</v>
      </c>
      <c r="G2046" s="10" t="n">
        <v>704</v>
      </c>
      <c r="H2046" s="10" t="n">
        <v>512</v>
      </c>
      <c r="I2046" s="10" t="n">
        <v>0</v>
      </c>
      <c r="J2046" s="10" t="n">
        <v>0</v>
      </c>
      <c r="K2046" s="10" t="s">
        <v>20</v>
      </c>
      <c r="L2046" s="11" t="n">
        <v>41804.3271643519</v>
      </c>
      <c r="M2046" s="12"/>
      <c r="N2046" s="12" t="s">
        <v>1033</v>
      </c>
      <c r="O2046" s="9" t="str">
        <f aca="false">HYPERLINK("https://pbs.twimg.com/profile_images/923956796984823809/05olD5HV_normal.jpg","View")</f>
        <v>View</v>
      </c>
      <c r="P2046" s="10"/>
    </row>
    <row r="2047" customFormat="false" ht="15.75" hidden="false" customHeight="false" outlineLevel="0" collapsed="false">
      <c r="A2047" s="6" t="n">
        <v>43030.2184953704</v>
      </c>
      <c r="B2047" s="7" t="str">
        <f aca="false">HYPERLINK("https://twitter.com/worldnews_net","@worldnews_net")</f>
        <v>@worldnews_net</v>
      </c>
      <c r="C2047" s="8" t="s">
        <v>1738</v>
      </c>
      <c r="D2047" s="8" t="s">
        <v>5320</v>
      </c>
      <c r="E2047" s="9" t="str">
        <f aca="false">HYPERLINK("https://twitter.com/worldnews_net/status/922073711125069824","922073711125069824")</f>
        <v>922073711125069824</v>
      </c>
      <c r="F2047" s="10" t="s">
        <v>60</v>
      </c>
      <c r="G2047" s="10" t="n">
        <v>6454</v>
      </c>
      <c r="H2047" s="10" t="n">
        <v>1317</v>
      </c>
      <c r="I2047" s="10" t="n">
        <v>0</v>
      </c>
      <c r="J2047" s="10" t="n">
        <v>1</v>
      </c>
      <c r="K2047" s="10" t="s">
        <v>20</v>
      </c>
      <c r="L2047" s="11" t="n">
        <v>42056.080162037</v>
      </c>
      <c r="M2047" s="12"/>
      <c r="N2047" s="12" t="s">
        <v>1740</v>
      </c>
      <c r="O2047" s="9" t="str">
        <f aca="false">HYPERLINK("https://pbs.twimg.com/profile_images/570163852034076672/nbok5qlW_normal.jpeg","View")</f>
        <v>View</v>
      </c>
      <c r="P2047" s="10"/>
    </row>
    <row r="2048" customFormat="false" ht="15.75" hidden="false" customHeight="false" outlineLevel="0" collapsed="false">
      <c r="A2048" s="6" t="n">
        <v>43030.2185069445</v>
      </c>
      <c r="B2048" s="7" t="str">
        <f aca="false">HYPERLINK("https://twitter.com/happyfication","@happyfication")</f>
        <v>@happyfication</v>
      </c>
      <c r="C2048" s="8" t="s">
        <v>5321</v>
      </c>
      <c r="D2048" s="8" t="s">
        <v>5322</v>
      </c>
      <c r="E2048" s="9" t="str">
        <f aca="false">HYPERLINK("https://twitter.com/happyfication/status/922073716514836480","922073716514836480")</f>
        <v>922073716514836480</v>
      </c>
      <c r="F2048" s="10" t="s">
        <v>5323</v>
      </c>
      <c r="G2048" s="10" t="n">
        <v>233</v>
      </c>
      <c r="H2048" s="10" t="n">
        <v>110</v>
      </c>
      <c r="I2048" s="10" t="n">
        <v>0</v>
      </c>
      <c r="J2048" s="10" t="n">
        <v>0</v>
      </c>
      <c r="K2048" s="10" t="s">
        <v>20</v>
      </c>
      <c r="L2048" s="11" t="n">
        <v>40688.8641319444</v>
      </c>
      <c r="M2048" s="12"/>
      <c r="N2048" s="12" t="s">
        <v>5324</v>
      </c>
      <c r="O2048" s="9" t="str">
        <f aca="false">HYPERLINK("https://pbs.twimg.com/profile_images/515293681285210112/KcjpZjRw_normal.png","View")</f>
        <v>View</v>
      </c>
      <c r="P2048" s="10"/>
    </row>
    <row r="2049" customFormat="false" ht="15.75" hidden="false" customHeight="false" outlineLevel="0" collapsed="false">
      <c r="A2049" s="6" t="n">
        <v>43030.2185648148</v>
      </c>
      <c r="B2049" s="7" t="str">
        <f aca="false">HYPERLINK("https://twitter.com/slthompson29","@slthompson29")</f>
        <v>@slthompson29</v>
      </c>
      <c r="C2049" s="8" t="s">
        <v>5325</v>
      </c>
      <c r="D2049" s="8" t="s">
        <v>4984</v>
      </c>
      <c r="E2049" s="9" t="str">
        <f aca="false">HYPERLINK("https://twitter.com/slthompson29/status/922073735577948161","922073735577948161")</f>
        <v>922073735577948161</v>
      </c>
      <c r="F2049" s="10" t="s">
        <v>51</v>
      </c>
      <c r="G2049" s="10" t="n">
        <v>468</v>
      </c>
      <c r="H2049" s="10" t="n">
        <v>300</v>
      </c>
      <c r="I2049" s="10" t="n">
        <v>187</v>
      </c>
      <c r="J2049" s="10" t="n">
        <v>0</v>
      </c>
      <c r="K2049" s="10" t="s">
        <v>20</v>
      </c>
      <c r="L2049" s="11" t="n">
        <v>42640.8346643519</v>
      </c>
      <c r="M2049" s="12" t="s">
        <v>5326</v>
      </c>
      <c r="N2049" s="12" t="s">
        <v>5327</v>
      </c>
      <c r="O2049" s="9" t="str">
        <f aca="false">HYPERLINK("https://pbs.twimg.com/profile_images/799990497997680640/V4SePfdG_normal.jpg","View")</f>
        <v>View</v>
      </c>
      <c r="P2049" s="10"/>
    </row>
    <row r="2050" customFormat="false" ht="15.75" hidden="false" customHeight="false" outlineLevel="0" collapsed="false">
      <c r="A2050" s="6" t="n">
        <v>43030.2185648148</v>
      </c>
      <c r="B2050" s="7" t="str">
        <f aca="false">HYPERLINK("https://twitter.com/RainCDO","@RainCDO")</f>
        <v>@RainCDO</v>
      </c>
      <c r="C2050" s="8" t="s">
        <v>5328</v>
      </c>
      <c r="D2050" s="8" t="s">
        <v>4984</v>
      </c>
      <c r="E2050" s="9" t="str">
        <f aca="false">HYPERLINK("https://twitter.com/RainCDO/status/922073735581929473","922073735581929473")</f>
        <v>922073735581929473</v>
      </c>
      <c r="F2050" s="10" t="s">
        <v>25</v>
      </c>
      <c r="G2050" s="10" t="n">
        <v>32</v>
      </c>
      <c r="H2050" s="10" t="n">
        <v>256</v>
      </c>
      <c r="I2050" s="10" t="n">
        <v>187</v>
      </c>
      <c r="J2050" s="10" t="n">
        <v>0</v>
      </c>
      <c r="K2050" s="10" t="s">
        <v>20</v>
      </c>
      <c r="L2050" s="11" t="n">
        <v>40805.0774305556</v>
      </c>
      <c r="M2050" s="12" t="s">
        <v>5329</v>
      </c>
      <c r="N2050" s="12" t="s">
        <v>5330</v>
      </c>
      <c r="O2050" s="9" t="str">
        <f aca="false">HYPERLINK("https://pbs.twimg.com/profile_images/881141458710937600/6ecCxCFV_normal.jpg","View")</f>
        <v>View</v>
      </c>
      <c r="P2050" s="10"/>
    </row>
    <row r="2051" customFormat="false" ht="15.75" hidden="false" customHeight="false" outlineLevel="0" collapsed="false">
      <c r="A2051" s="6" t="n">
        <v>43030.2186226852</v>
      </c>
      <c r="B2051" s="7" t="str">
        <f aca="false">HYPERLINK("https://twitter.com/Bella623","@Bella623")</f>
        <v>@Bella623</v>
      </c>
      <c r="C2051" s="8" t="s">
        <v>5331</v>
      </c>
      <c r="D2051" s="8" t="s">
        <v>5030</v>
      </c>
      <c r="E2051" s="9" t="str">
        <f aca="false">HYPERLINK("https://twitter.com/Bella623/status/922073755698032640","922073755698032640")</f>
        <v>922073755698032640</v>
      </c>
      <c r="F2051" s="10" t="s">
        <v>563</v>
      </c>
      <c r="G2051" s="10" t="n">
        <v>102400</v>
      </c>
      <c r="H2051" s="10" t="n">
        <v>94250</v>
      </c>
      <c r="I2051" s="10" t="n">
        <v>22</v>
      </c>
      <c r="J2051" s="10" t="n">
        <v>0</v>
      </c>
      <c r="K2051" s="10" t="s">
        <v>20</v>
      </c>
      <c r="L2051" s="11" t="n">
        <v>39834.6584375</v>
      </c>
      <c r="M2051" s="12" t="s">
        <v>5332</v>
      </c>
      <c r="N2051" s="12" t="s">
        <v>5333</v>
      </c>
      <c r="O2051" s="9" t="str">
        <f aca="false">HYPERLINK("https://pbs.twimg.com/profile_images/715542479785697282/AaP3j25p_normal.jpg","View")</f>
        <v>View</v>
      </c>
      <c r="P2051" s="10"/>
    </row>
    <row r="2052" customFormat="false" ht="15.75" hidden="false" customHeight="false" outlineLevel="0" collapsed="false">
      <c r="A2052" s="6" t="n">
        <v>43030.2186342593</v>
      </c>
      <c r="B2052" s="7" t="str">
        <f aca="false">HYPERLINK("https://twitter.com/JKSCN","@JKSCN")</f>
        <v>@JKSCN</v>
      </c>
      <c r="C2052" s="8" t="s">
        <v>5334</v>
      </c>
      <c r="D2052" s="8" t="s">
        <v>5135</v>
      </c>
      <c r="E2052" s="9" t="str">
        <f aca="false">HYPERLINK("https://twitter.com/JKSCN/status/922073761234522113","922073761234522113")</f>
        <v>922073761234522113</v>
      </c>
      <c r="F2052" s="10" t="s">
        <v>51</v>
      </c>
      <c r="G2052" s="10" t="n">
        <v>1444</v>
      </c>
      <c r="H2052" s="10" t="n">
        <v>4466</v>
      </c>
      <c r="I2052" s="10" t="n">
        <v>18</v>
      </c>
      <c r="J2052" s="10" t="n">
        <v>0</v>
      </c>
      <c r="K2052" s="10" t="s">
        <v>20</v>
      </c>
      <c r="L2052" s="11" t="n">
        <v>39773.7291087963</v>
      </c>
      <c r="M2052" s="12" t="s">
        <v>5335</v>
      </c>
      <c r="N2052" s="12" t="s">
        <v>5336</v>
      </c>
      <c r="O2052" s="9" t="str">
        <f aca="false">HYPERLINK("https://pbs.twimg.com/profile_images/477977036905267200/cf71VHxI_normal.jpeg","View")</f>
        <v>View</v>
      </c>
      <c r="P2052" s="10"/>
    </row>
    <row r="2053" customFormat="false" ht="15.75" hidden="false" customHeight="false" outlineLevel="0" collapsed="false">
      <c r="A2053" s="6" t="n">
        <v>43030.2186689815</v>
      </c>
      <c r="B2053" s="7" t="str">
        <f aca="false">HYPERLINK("https://twitter.com/ishvin","@ishvin")</f>
        <v>@ishvin</v>
      </c>
      <c r="C2053" s="8" t="s">
        <v>5337</v>
      </c>
      <c r="D2053" s="8" t="s">
        <v>4124</v>
      </c>
      <c r="E2053" s="9" t="str">
        <f aca="false">HYPERLINK("https://twitter.com/ishvin/status/922073773947346944","922073773947346944")</f>
        <v>922073773947346944</v>
      </c>
      <c r="F2053" s="10" t="s">
        <v>51</v>
      </c>
      <c r="G2053" s="10" t="n">
        <v>1157</v>
      </c>
      <c r="H2053" s="10" t="n">
        <v>536</v>
      </c>
      <c r="I2053" s="10" t="n">
        <v>111</v>
      </c>
      <c r="J2053" s="10" t="n">
        <v>0</v>
      </c>
      <c r="K2053" s="10" t="s">
        <v>20</v>
      </c>
      <c r="L2053" s="11" t="n">
        <v>41447.7849189815</v>
      </c>
      <c r="M2053" s="12" t="s">
        <v>5338</v>
      </c>
      <c r="N2053" s="12" t="s">
        <v>5339</v>
      </c>
      <c r="O2053" s="9" t="str">
        <f aca="false">HYPERLINK("https://pbs.twimg.com/profile_images/713383870062665729/hWt0w3Xs_normal.jpg","View")</f>
        <v>View</v>
      </c>
      <c r="P2053" s="10"/>
    </row>
    <row r="2054" customFormat="false" ht="15.75" hidden="false" customHeight="false" outlineLevel="0" collapsed="false">
      <c r="A2054" s="6" t="n">
        <v>43030.2188194445</v>
      </c>
      <c r="B2054" s="7" t="str">
        <f aca="false">HYPERLINK("https://twitter.com/WatTylerUK","@WatTylerUK")</f>
        <v>@WatTylerUK</v>
      </c>
      <c r="C2054" s="8" t="s">
        <v>5340</v>
      </c>
      <c r="D2054" s="8" t="s">
        <v>5341</v>
      </c>
      <c r="E2054" s="9" t="str">
        <f aca="false">HYPERLINK("https://twitter.com/WatTylerUK/status/922073828871741440","922073828871741440")</f>
        <v>922073828871741440</v>
      </c>
      <c r="F2054" s="9" t="s">
        <v>1147</v>
      </c>
      <c r="G2054" s="10" t="n">
        <v>106</v>
      </c>
      <c r="H2054" s="10" t="n">
        <v>176</v>
      </c>
      <c r="I2054" s="10" t="n">
        <v>0</v>
      </c>
      <c r="J2054" s="10" t="n">
        <v>0</v>
      </c>
      <c r="K2054" s="10" t="s">
        <v>20</v>
      </c>
      <c r="L2054" s="11" t="n">
        <v>42262.2495833333</v>
      </c>
      <c r="M2054" s="12" t="s">
        <v>5342</v>
      </c>
      <c r="N2054" s="12" t="s">
        <v>5343</v>
      </c>
      <c r="O2054" s="9" t="str">
        <f aca="false">HYPERLINK("https://pbs.twimg.com/profile_images/643773497353895936/09uXr7mQ_normal.jpg","View")</f>
        <v>View</v>
      </c>
      <c r="P2054" s="10"/>
    </row>
    <row r="2055" customFormat="false" ht="15.75" hidden="false" customHeight="false" outlineLevel="0" collapsed="false">
      <c r="A2055" s="6" t="n">
        <v>43030.2188657407</v>
      </c>
      <c r="B2055" s="7" t="str">
        <f aca="false">HYPERLINK("https://twitter.com/couledi","@couledi")</f>
        <v>@couledi</v>
      </c>
      <c r="C2055" s="8" t="s">
        <v>5344</v>
      </c>
      <c r="D2055" s="8" t="s">
        <v>4984</v>
      </c>
      <c r="E2055" s="9" t="str">
        <f aca="false">HYPERLINK("https://twitter.com/couledi/status/922073846039109632","922073846039109632")</f>
        <v>922073846039109632</v>
      </c>
      <c r="F2055" s="10" t="s">
        <v>25</v>
      </c>
      <c r="G2055" s="10" t="n">
        <v>33</v>
      </c>
      <c r="H2055" s="10" t="n">
        <v>283</v>
      </c>
      <c r="I2055" s="10" t="n">
        <v>187</v>
      </c>
      <c r="J2055" s="10" t="n">
        <v>0</v>
      </c>
      <c r="K2055" s="10" t="s">
        <v>20</v>
      </c>
      <c r="L2055" s="11" t="n">
        <v>42861.5155902778</v>
      </c>
      <c r="M2055" s="12"/>
      <c r="N2055" s="12" t="s">
        <v>5345</v>
      </c>
      <c r="O2055" s="9" t="str">
        <f aca="false">HYPERLINK("https://pbs.twimg.com/profile_images/865184978484641793/ShXncHLJ_normal.jpg","View")</f>
        <v>View</v>
      </c>
      <c r="P2055" s="10"/>
    </row>
    <row r="2056" customFormat="false" ht="15.75" hidden="false" customHeight="false" outlineLevel="0" collapsed="false">
      <c r="A2056" s="6" t="n">
        <v>43030.218900463</v>
      </c>
      <c r="B2056" s="7" t="str">
        <f aca="false">HYPERLINK("https://twitter.com/bdnews24","@bdnews24")</f>
        <v>@bdnews24</v>
      </c>
      <c r="C2056" s="8" t="s">
        <v>216</v>
      </c>
      <c r="D2056" s="8" t="s">
        <v>5346</v>
      </c>
      <c r="E2056" s="9" t="str">
        <f aca="false">HYPERLINK("https://twitter.com/bdnews24/status/922073857099517952","922073857099517952")</f>
        <v>922073857099517952</v>
      </c>
      <c r="F2056" s="10" t="s">
        <v>60</v>
      </c>
      <c r="G2056" s="10" t="n">
        <v>215604</v>
      </c>
      <c r="H2056" s="10" t="n">
        <v>67887</v>
      </c>
      <c r="I2056" s="10" t="n">
        <v>0</v>
      </c>
      <c r="J2056" s="10" t="n">
        <v>0</v>
      </c>
      <c r="K2056" s="10" t="s">
        <v>20</v>
      </c>
      <c r="L2056" s="11" t="n">
        <v>39844.4680439815</v>
      </c>
      <c r="M2056" s="12" t="s">
        <v>218</v>
      </c>
      <c r="N2056" s="12" t="s">
        <v>219</v>
      </c>
      <c r="O2056" s="9" t="str">
        <f aca="false">HYPERLINK("https://pbs.twimg.com/profile_images/718433521509994497/4iW9RC_r_normal.jpg","View")</f>
        <v>View</v>
      </c>
      <c r="P2056" s="10"/>
    </row>
    <row r="2057" customFormat="false" ht="15.75" hidden="false" customHeight="false" outlineLevel="0" collapsed="false">
      <c r="A2057" s="6" t="n">
        <v>43030.2191203704</v>
      </c>
      <c r="B2057" s="7" t="str">
        <f aca="false">HYPERLINK("https://twitter.com/jaspeanuts","@jaspeanuts")</f>
        <v>@jaspeanuts</v>
      </c>
      <c r="C2057" s="8" t="s">
        <v>5347</v>
      </c>
      <c r="D2057" s="8" t="s">
        <v>5348</v>
      </c>
      <c r="E2057" s="9" t="str">
        <f aca="false">HYPERLINK("https://twitter.com/jaspeanuts/status/922073936006864896","922073936006864896")</f>
        <v>922073936006864896</v>
      </c>
      <c r="F2057" s="10" t="s">
        <v>177</v>
      </c>
      <c r="G2057" s="10" t="n">
        <v>251</v>
      </c>
      <c r="H2057" s="10" t="n">
        <v>513</v>
      </c>
      <c r="I2057" s="10" t="n">
        <v>0</v>
      </c>
      <c r="J2057" s="10" t="n">
        <v>0</v>
      </c>
      <c r="K2057" s="10" t="s">
        <v>20</v>
      </c>
      <c r="L2057" s="11" t="n">
        <v>39947.9430324074</v>
      </c>
      <c r="M2057" s="12" t="s">
        <v>186</v>
      </c>
      <c r="N2057" s="12" t="s">
        <v>5349</v>
      </c>
      <c r="O2057" s="9" t="str">
        <f aca="false">HYPERLINK("https://pbs.twimg.com/profile_images/547343512/n605631463_1302323_5782_normal.jpg","View")</f>
        <v>View</v>
      </c>
      <c r="P2057" s="10"/>
    </row>
    <row r="2058" customFormat="false" ht="15.75" hidden="false" customHeight="false" outlineLevel="0" collapsed="false">
      <c r="A2058" s="6" t="n">
        <v>43030.2191319444</v>
      </c>
      <c r="B2058" s="7" t="str">
        <f aca="false">HYPERLINK("https://twitter.com/HumBryan","@HumBryan")</f>
        <v>@HumBryan</v>
      </c>
      <c r="C2058" s="8" t="s">
        <v>5350</v>
      </c>
      <c r="D2058" s="8" t="s">
        <v>4984</v>
      </c>
      <c r="E2058" s="9" t="str">
        <f aca="false">HYPERLINK("https://twitter.com/HumBryan/status/922073940369006593","922073940369006593")</f>
        <v>922073940369006593</v>
      </c>
      <c r="F2058" s="10" t="s">
        <v>51</v>
      </c>
      <c r="G2058" s="10" t="n">
        <v>108</v>
      </c>
      <c r="H2058" s="10" t="n">
        <v>384</v>
      </c>
      <c r="I2058" s="10" t="n">
        <v>187</v>
      </c>
      <c r="J2058" s="10" t="n">
        <v>0</v>
      </c>
      <c r="K2058" s="10" t="s">
        <v>20</v>
      </c>
      <c r="L2058" s="11" t="n">
        <v>42094.960775463</v>
      </c>
      <c r="M2058" s="12" t="s">
        <v>723</v>
      </c>
      <c r="N2058" s="12" t="s">
        <v>5351</v>
      </c>
      <c r="O2058" s="9" t="str">
        <f aca="false">HYPERLINK("https://pbs.twimg.com/profile_images/679375904460566528/p1uOcG3v_normal.jpg","View")</f>
        <v>View</v>
      </c>
      <c r="P2058" s="10"/>
    </row>
    <row r="2059" customFormat="false" ht="15.75" hidden="false" customHeight="false" outlineLevel="0" collapsed="false">
      <c r="A2059" s="6" t="n">
        <v>43030.2191435185</v>
      </c>
      <c r="B2059" s="7" t="str">
        <f aca="false">HYPERLINK("https://twitter.com/Yawaraka43","@Yawaraka43")</f>
        <v>@Yawaraka43</v>
      </c>
      <c r="C2059" s="14" t="s">
        <v>5352</v>
      </c>
      <c r="D2059" s="8" t="s">
        <v>5353</v>
      </c>
      <c r="E2059" s="9" t="str">
        <f aca="false">HYPERLINK("https://twitter.com/Yawaraka43/status/922073946022821888","922073946022821888")</f>
        <v>922073946022821888</v>
      </c>
      <c r="F2059" s="10" t="s">
        <v>51</v>
      </c>
      <c r="G2059" s="10" t="n">
        <v>275</v>
      </c>
      <c r="H2059" s="10" t="n">
        <v>564</v>
      </c>
      <c r="I2059" s="10" t="n">
        <v>0</v>
      </c>
      <c r="J2059" s="10" t="n">
        <v>0</v>
      </c>
      <c r="K2059" s="10" t="s">
        <v>20</v>
      </c>
      <c r="L2059" s="11" t="n">
        <v>40257.4731134259</v>
      </c>
      <c r="M2059" s="12" t="s">
        <v>5354</v>
      </c>
      <c r="N2059" s="13" t="s">
        <v>5355</v>
      </c>
      <c r="O2059" s="9" t="str">
        <f aca="false">HYPERLINK("https://pbs.twimg.com/profile_images/378800000124236716/393ae21c1eed033458ccd6e3bc2742bf_normal.jpeg","View")</f>
        <v>View</v>
      </c>
      <c r="P2059" s="10"/>
    </row>
    <row r="2060" customFormat="false" ht="15.75" hidden="false" customHeight="false" outlineLevel="0" collapsed="false">
      <c r="A2060" s="6" t="n">
        <v>43030.2192013889</v>
      </c>
      <c r="B2060" s="7" t="str">
        <f aca="false">HYPERLINK("https://twitter.com/yhaw_mcarthy","@yhaw_mcarthy")</f>
        <v>@yhaw_mcarthy</v>
      </c>
      <c r="C2060" s="8" t="s">
        <v>5356</v>
      </c>
      <c r="D2060" s="8" t="s">
        <v>4984</v>
      </c>
      <c r="E2060" s="9" t="str">
        <f aca="false">HYPERLINK("https://twitter.com/yhaw_mcarthy/status/922073966432407552","922073966432407552")</f>
        <v>922073966432407552</v>
      </c>
      <c r="F2060" s="10" t="s">
        <v>25</v>
      </c>
      <c r="G2060" s="10" t="n">
        <v>168</v>
      </c>
      <c r="H2060" s="10" t="n">
        <v>110</v>
      </c>
      <c r="I2060" s="10" t="n">
        <v>187</v>
      </c>
      <c r="J2060" s="10" t="n">
        <v>0</v>
      </c>
      <c r="K2060" s="10" t="s">
        <v>20</v>
      </c>
      <c r="L2060" s="11" t="n">
        <v>42905.0424884259</v>
      </c>
      <c r="M2060" s="12" t="s">
        <v>5357</v>
      </c>
      <c r="N2060" s="12" t="s">
        <v>5358</v>
      </c>
      <c r="O2060" s="9" t="str">
        <f aca="false">HYPERLINK("https://pbs.twimg.com/profile_images/922059173252169728/dnTocwjx_normal.jpg","View")</f>
        <v>View</v>
      </c>
      <c r="P2060" s="10"/>
    </row>
    <row r="2061" customFormat="false" ht="15.75" hidden="false" customHeight="false" outlineLevel="0" collapsed="false">
      <c r="A2061" s="6" t="n">
        <v>43030.2192013889</v>
      </c>
      <c r="B2061" s="7" t="str">
        <f aca="false">HYPERLINK("https://twitter.com/ashishchauhan","@ashishchauhan")</f>
        <v>@ashishchauhan</v>
      </c>
      <c r="C2061" s="8" t="s">
        <v>5359</v>
      </c>
      <c r="D2061" s="8" t="s">
        <v>4120</v>
      </c>
      <c r="E2061" s="9" t="str">
        <f aca="false">HYPERLINK("https://twitter.com/ashishchauhan/status/922073967116083201","922073967116083201")</f>
        <v>922073967116083201</v>
      </c>
      <c r="F2061" s="10" t="s">
        <v>51</v>
      </c>
      <c r="G2061" s="10" t="n">
        <v>112775</v>
      </c>
      <c r="H2061" s="10" t="n">
        <v>1148</v>
      </c>
      <c r="I2061" s="10" t="n">
        <v>5</v>
      </c>
      <c r="J2061" s="10" t="n">
        <v>0</v>
      </c>
      <c r="K2061" s="10" t="s">
        <v>20</v>
      </c>
      <c r="L2061" s="11" t="n">
        <v>40295.1575694445</v>
      </c>
      <c r="M2061" s="12" t="s">
        <v>5360</v>
      </c>
      <c r="N2061" s="12" t="s">
        <v>5361</v>
      </c>
      <c r="O2061" s="9" t="str">
        <f aca="false">HYPERLINK("https://pbs.twimg.com/profile_images/598169420196761600/t9OQSD9z_normal.jpg","View")</f>
        <v>View</v>
      </c>
      <c r="P2061" s="10"/>
    </row>
    <row r="2062" customFormat="false" ht="15.75" hidden="false" customHeight="false" outlineLevel="0" collapsed="false">
      <c r="A2062" s="6" t="n">
        <v>43030.219212963</v>
      </c>
      <c r="B2062" s="7" t="str">
        <f aca="false">HYPERLINK("https://twitter.com/veracruz777","@veracruz777")</f>
        <v>@veracruz777</v>
      </c>
      <c r="C2062" s="8" t="s">
        <v>5362</v>
      </c>
      <c r="D2062" s="8" t="s">
        <v>3971</v>
      </c>
      <c r="E2062" s="9" t="str">
        <f aca="false">HYPERLINK("https://twitter.com/veracruz777/status/922073970362290177","922073970362290177")</f>
        <v>922073970362290177</v>
      </c>
      <c r="F2062" s="10" t="s">
        <v>5363</v>
      </c>
      <c r="G2062" s="10" t="n">
        <v>2027</v>
      </c>
      <c r="H2062" s="10" t="n">
        <v>2355</v>
      </c>
      <c r="I2062" s="10" t="n">
        <v>24</v>
      </c>
      <c r="J2062" s="10" t="n">
        <v>0</v>
      </c>
      <c r="K2062" s="10" t="s">
        <v>20</v>
      </c>
      <c r="L2062" s="11" t="n">
        <v>40178.8444560185</v>
      </c>
      <c r="M2062" s="12" t="s">
        <v>194</v>
      </c>
      <c r="N2062" s="12" t="s">
        <v>5364</v>
      </c>
      <c r="O2062" s="9" t="str">
        <f aca="false">HYPERLINK("https://pbs.twimg.com/profile_images/1838376613/__m_normal.jpg","View")</f>
        <v>View</v>
      </c>
      <c r="P2062" s="10"/>
    </row>
    <row r="2063" customFormat="false" ht="15.75" hidden="false" customHeight="false" outlineLevel="0" collapsed="false">
      <c r="A2063" s="6" t="n">
        <v>43030.2192361111</v>
      </c>
      <c r="B2063" s="7" t="str">
        <f aca="false">HYPERLINK("https://twitter.com/neterokara","@neterokara")</f>
        <v>@neterokara</v>
      </c>
      <c r="C2063" s="8" t="s">
        <v>5365</v>
      </c>
      <c r="D2063" s="8" t="s">
        <v>4984</v>
      </c>
      <c r="E2063" s="9" t="str">
        <f aca="false">HYPERLINK("https://twitter.com/neterokara/status/922073976951660544","922073976951660544")</f>
        <v>922073976951660544</v>
      </c>
      <c r="F2063" s="10" t="s">
        <v>51</v>
      </c>
      <c r="G2063" s="10" t="n">
        <v>14</v>
      </c>
      <c r="H2063" s="10" t="n">
        <v>75</v>
      </c>
      <c r="I2063" s="10" t="n">
        <v>187</v>
      </c>
      <c r="J2063" s="10" t="n">
        <v>0</v>
      </c>
      <c r="K2063" s="10" t="s">
        <v>20</v>
      </c>
      <c r="L2063" s="11" t="n">
        <v>42532.1940972222</v>
      </c>
      <c r="M2063" s="12"/>
      <c r="N2063" s="12"/>
      <c r="O2063" s="9" t="str">
        <f aca="false">HYPERLINK("https://pbs.twimg.com/profile_images/850121153368604672/WJ9_4bax_normal.jpg","View")</f>
        <v>View</v>
      </c>
      <c r="P2063" s="10"/>
    </row>
    <row r="2064" customFormat="false" ht="15.75" hidden="false" customHeight="false" outlineLevel="0" collapsed="false">
      <c r="A2064" s="6" t="n">
        <v>43030.2192824074</v>
      </c>
      <c r="B2064" s="7" t="str">
        <f aca="false">HYPERLINK("https://twitter.com/twittFliy","@twittFliy")</f>
        <v>@twittFliy</v>
      </c>
      <c r="C2064" s="8" t="s">
        <v>2883</v>
      </c>
      <c r="D2064" s="8" t="s">
        <v>4984</v>
      </c>
      <c r="E2064" s="9" t="str">
        <f aca="false">HYPERLINK("https://twitter.com/twittFliy/status/922073996606230528","922073996606230528")</f>
        <v>922073996606230528</v>
      </c>
      <c r="F2064" s="10" t="s">
        <v>2884</v>
      </c>
      <c r="G2064" s="10" t="n">
        <v>5607</v>
      </c>
      <c r="H2064" s="10" t="n">
        <v>1782</v>
      </c>
      <c r="I2064" s="10" t="n">
        <v>187</v>
      </c>
      <c r="J2064" s="10" t="n">
        <v>0</v>
      </c>
      <c r="K2064" s="10" t="s">
        <v>20</v>
      </c>
      <c r="L2064" s="11" t="n">
        <v>42240.4918981481</v>
      </c>
      <c r="M2064" s="12"/>
      <c r="N2064" s="12" t="s">
        <v>2885</v>
      </c>
      <c r="O2064" s="9" t="str">
        <f aca="false">HYPERLINK("https://pbs.twimg.com/profile_images/635931039215583232/NLUpEzNY_normal.jpg","View")</f>
        <v>View</v>
      </c>
      <c r="P2064" s="10"/>
    </row>
    <row r="2065" customFormat="false" ht="15.75" hidden="false" customHeight="false" outlineLevel="0" collapsed="false">
      <c r="A2065" s="6" t="n">
        <v>43030.2193171296</v>
      </c>
      <c r="B2065" s="7" t="str">
        <f aca="false">HYPERLINK("https://twitter.com/Social_Media_d3","@Social_Media_d3")</f>
        <v>@Social_Media_d3</v>
      </c>
      <c r="C2065" s="8" t="s">
        <v>5366</v>
      </c>
      <c r="D2065" s="8" t="s">
        <v>5367</v>
      </c>
      <c r="E2065" s="9" t="str">
        <f aca="false">HYPERLINK("https://twitter.com/Social_Media_d3/status/922074009101008903","922074009101008903")</f>
        <v>922074009101008903</v>
      </c>
      <c r="F2065" s="10" t="s">
        <v>110</v>
      </c>
      <c r="G2065" s="10" t="n">
        <v>17734</v>
      </c>
      <c r="H2065" s="10" t="n">
        <v>16713</v>
      </c>
      <c r="I2065" s="10" t="n">
        <v>0</v>
      </c>
      <c r="J2065" s="10" t="n">
        <v>0</v>
      </c>
      <c r="K2065" s="10" t="s">
        <v>20</v>
      </c>
      <c r="L2065" s="11" t="n">
        <v>42371.2468171296</v>
      </c>
      <c r="M2065" s="12"/>
      <c r="N2065" s="12" t="s">
        <v>5368</v>
      </c>
      <c r="O2065" s="9" t="str">
        <f aca="false">HYPERLINK("https://pbs.twimg.com/profile_images/858491583741673472/QgVwrZAZ_normal.jpg","View")</f>
        <v>View</v>
      </c>
      <c r="P2065" s="10"/>
    </row>
    <row r="2066" customFormat="false" ht="15.75" hidden="false" customHeight="false" outlineLevel="0" collapsed="false">
      <c r="A2066" s="6" t="n">
        <v>43030.2193518518</v>
      </c>
      <c r="B2066" s="7" t="str">
        <f aca="false">HYPERLINK("https://twitter.com/RechtsanwaltHH","@RechtsanwaltHH")</f>
        <v>@RechtsanwaltHH</v>
      </c>
      <c r="C2066" s="8" t="s">
        <v>5369</v>
      </c>
      <c r="D2066" s="8" t="s">
        <v>5370</v>
      </c>
      <c r="E2066" s="9" t="str">
        <f aca="false">HYPERLINK("https://twitter.com/RechtsanwaltHH/status/922074019943407616","922074019943407616")</f>
        <v>922074019943407616</v>
      </c>
      <c r="F2066" s="10" t="s">
        <v>110</v>
      </c>
      <c r="G2066" s="10" t="n">
        <v>1379</v>
      </c>
      <c r="H2066" s="10" t="n">
        <v>919</v>
      </c>
      <c r="I2066" s="10" t="n">
        <v>0</v>
      </c>
      <c r="J2066" s="10" t="n">
        <v>0</v>
      </c>
      <c r="K2066" s="10" t="s">
        <v>20</v>
      </c>
      <c r="L2066" s="11" t="n">
        <v>40631.2105092593</v>
      </c>
      <c r="M2066" s="12" t="s">
        <v>5371</v>
      </c>
      <c r="N2066" s="12" t="s">
        <v>5372</v>
      </c>
      <c r="O2066" s="9" t="str">
        <f aca="false">HYPERLINK("https://pbs.twimg.com/profile_images/624726790410477568/iWAb2aZd_normal.jpg","View")</f>
        <v>View</v>
      </c>
      <c r="P2066" s="10"/>
    </row>
    <row r="2067" customFormat="false" ht="15.75" hidden="false" customHeight="false" outlineLevel="0" collapsed="false">
      <c r="A2067" s="6" t="n">
        <v>43030.219375</v>
      </c>
      <c r="B2067" s="7" t="str">
        <f aca="false">HYPERLINK("https://twitter.com/notiven","@notiven")</f>
        <v>@notiven</v>
      </c>
      <c r="C2067" s="8" t="s">
        <v>699</v>
      </c>
      <c r="D2067" s="8" t="s">
        <v>5373</v>
      </c>
      <c r="E2067" s="9" t="str">
        <f aca="false">HYPERLINK("https://twitter.com/notiven/status/922074027543457794","922074027543457794")</f>
        <v>922074027543457794</v>
      </c>
      <c r="F2067" s="10" t="s">
        <v>701</v>
      </c>
      <c r="G2067" s="10" t="n">
        <v>51347</v>
      </c>
      <c r="H2067" s="10" t="n">
        <v>193</v>
      </c>
      <c r="I2067" s="10" t="n">
        <v>0</v>
      </c>
      <c r="J2067" s="10" t="n">
        <v>0</v>
      </c>
      <c r="K2067" s="10" t="s">
        <v>20</v>
      </c>
      <c r="L2067" s="11" t="n">
        <v>39235.5805787037</v>
      </c>
      <c r="M2067" s="12" t="s">
        <v>702</v>
      </c>
      <c r="N2067" s="12" t="s">
        <v>703</v>
      </c>
      <c r="O2067" s="9" t="str">
        <f aca="false">HYPERLINK("https://pbs.twimg.com/profile_images/799317731648606208/vbXQCdts_normal.jpg","View")</f>
        <v>View</v>
      </c>
      <c r="P2067" s="10"/>
    </row>
    <row r="2068" customFormat="false" ht="15.75" hidden="false" customHeight="false" outlineLevel="0" collapsed="false">
      <c r="A2068" s="6" t="n">
        <v>43030.219375</v>
      </c>
      <c r="B2068" s="7" t="str">
        <f aca="false">HYPERLINK("https://twitter.com/notiven","@notiven")</f>
        <v>@notiven</v>
      </c>
      <c r="C2068" s="8" t="s">
        <v>699</v>
      </c>
      <c r="D2068" s="8" t="s">
        <v>5374</v>
      </c>
      <c r="E2068" s="9" t="str">
        <f aca="false">HYPERLINK("https://twitter.com/notiven/status/922074029837770752","922074029837770752")</f>
        <v>922074029837770752</v>
      </c>
      <c r="F2068" s="10" t="s">
        <v>701</v>
      </c>
      <c r="G2068" s="10" t="n">
        <v>51347</v>
      </c>
      <c r="H2068" s="10" t="n">
        <v>193</v>
      </c>
      <c r="I2068" s="10" t="n">
        <v>1</v>
      </c>
      <c r="J2068" s="10" t="n">
        <v>0</v>
      </c>
      <c r="K2068" s="10" t="s">
        <v>20</v>
      </c>
      <c r="L2068" s="11" t="n">
        <v>39235.5805787037</v>
      </c>
      <c r="M2068" s="12" t="s">
        <v>702</v>
      </c>
      <c r="N2068" s="12" t="s">
        <v>703</v>
      </c>
      <c r="O2068" s="9" t="str">
        <f aca="false">HYPERLINK("https://pbs.twimg.com/profile_images/799317731648606208/vbXQCdts_normal.jpg","View")</f>
        <v>View</v>
      </c>
      <c r="P2068" s="10"/>
    </row>
    <row r="2069" customFormat="false" ht="15.75" hidden="false" customHeight="false" outlineLevel="0" collapsed="false">
      <c r="A2069" s="6" t="n">
        <v>43030.2194212963</v>
      </c>
      <c r="B2069" s="7" t="str">
        <f aca="false">HYPERLINK("https://twitter.com/usbs_usa","@usbs_usa")</f>
        <v>@usbs_usa</v>
      </c>
      <c r="C2069" s="8" t="s">
        <v>5375</v>
      </c>
      <c r="D2069" s="8" t="s">
        <v>4984</v>
      </c>
      <c r="E2069" s="9" t="str">
        <f aca="false">HYPERLINK("https://twitter.com/usbs_usa/status/922074046602403840","922074046602403840")</f>
        <v>922074046602403840</v>
      </c>
      <c r="F2069" s="10" t="s">
        <v>51</v>
      </c>
      <c r="G2069" s="10" t="n">
        <v>132</v>
      </c>
      <c r="H2069" s="10" t="n">
        <v>575</v>
      </c>
      <c r="I2069" s="10" t="n">
        <v>187</v>
      </c>
      <c r="J2069" s="10" t="n">
        <v>0</v>
      </c>
      <c r="K2069" s="10" t="s">
        <v>20</v>
      </c>
      <c r="L2069" s="11" t="n">
        <v>42767.6541203704</v>
      </c>
      <c r="M2069" s="12"/>
      <c r="N2069" s="12" t="s">
        <v>5376</v>
      </c>
      <c r="O2069" s="9" t="str">
        <f aca="false">HYPERLINK("https://pbs.twimg.com/profile_images/919111269201907717/w1PuXDgs_normal.jpg","View")</f>
        <v>View</v>
      </c>
      <c r="P2069" s="10"/>
    </row>
    <row r="2070" customFormat="false" ht="15.75" hidden="false" customHeight="false" outlineLevel="0" collapsed="false">
      <c r="A2070" s="6" t="n">
        <v>43030.2194675926</v>
      </c>
      <c r="B2070" s="7" t="str">
        <f aca="false">HYPERLINK("https://twitter.com/shady_aphraiam","@shady_aphraiam")</f>
        <v>@shady_aphraiam</v>
      </c>
      <c r="C2070" s="8" t="s">
        <v>5377</v>
      </c>
      <c r="D2070" s="8" t="s">
        <v>5378</v>
      </c>
      <c r="E2070" s="9" t="str">
        <f aca="false">HYPERLINK("https://twitter.com/shady_aphraiam/status/922074063367008256","922074063367008256")</f>
        <v>922074063367008256</v>
      </c>
      <c r="F2070" s="10" t="s">
        <v>110</v>
      </c>
      <c r="G2070" s="10" t="n">
        <v>243</v>
      </c>
      <c r="H2070" s="10" t="n">
        <v>724</v>
      </c>
      <c r="I2070" s="10" t="n">
        <v>0</v>
      </c>
      <c r="J2070" s="10" t="n">
        <v>0</v>
      </c>
      <c r="K2070" s="10" t="s">
        <v>20</v>
      </c>
      <c r="L2070" s="11" t="n">
        <v>41134.7366550926</v>
      </c>
      <c r="M2070" s="12" t="s">
        <v>5379</v>
      </c>
      <c r="N2070" s="12" t="s">
        <v>5380</v>
      </c>
      <c r="O2070" s="9" t="str">
        <f aca="false">HYPERLINK("https://pbs.twimg.com/profile_images/689100972623269894/dC_IFv_7_normal.jpg","View")</f>
        <v>View</v>
      </c>
      <c r="P2070" s="10"/>
    </row>
    <row r="2071" customFormat="false" ht="15.75" hidden="false" customHeight="false" outlineLevel="0" collapsed="false">
      <c r="A2071" s="6" t="n">
        <v>43030.2195138889</v>
      </c>
      <c r="B2071" s="7" t="str">
        <f aca="false">HYPERLINK("https://twitter.com/usyername","@usyername")</f>
        <v>@usyername</v>
      </c>
      <c r="C2071" s="8" t="s">
        <v>730</v>
      </c>
      <c r="D2071" s="8" t="s">
        <v>5381</v>
      </c>
      <c r="E2071" s="9" t="str">
        <f aca="false">HYPERLINK("https://twitter.com/usyername/status/922074080957882370","922074080957882370")</f>
        <v>922074080957882370</v>
      </c>
      <c r="F2071" s="10" t="s">
        <v>60</v>
      </c>
      <c r="G2071" s="10" t="n">
        <v>7</v>
      </c>
      <c r="H2071" s="10" t="n">
        <v>0</v>
      </c>
      <c r="I2071" s="10" t="n">
        <v>0</v>
      </c>
      <c r="J2071" s="10" t="n">
        <v>0</v>
      </c>
      <c r="K2071" s="10" t="s">
        <v>20</v>
      </c>
      <c r="L2071" s="11" t="n">
        <v>43009.7810763889</v>
      </c>
      <c r="M2071" s="12"/>
      <c r="N2071" s="12"/>
      <c r="O2071" s="9" t="str">
        <f aca="false">HYPERLINK("https://pbs.twimg.com/profile_images/916502409580392448/6PpLTsL5_normal.jpg","View")</f>
        <v>View</v>
      </c>
      <c r="P2071" s="10"/>
    </row>
    <row r="2072" customFormat="false" ht="15.75" hidden="false" customHeight="false" outlineLevel="0" collapsed="false">
      <c r="A2072" s="6" t="n">
        <v>43030.219525463</v>
      </c>
      <c r="B2072" s="7" t="str">
        <f aca="false">HYPERLINK("https://twitter.com/usyername","@usyername")</f>
        <v>@usyername</v>
      </c>
      <c r="C2072" s="8" t="s">
        <v>730</v>
      </c>
      <c r="D2072" s="8" t="s">
        <v>5382</v>
      </c>
      <c r="E2072" s="9" t="str">
        <f aca="false">HYPERLINK("https://twitter.com/usyername/status/922074082887249920","922074082887249920")</f>
        <v>922074082887249920</v>
      </c>
      <c r="F2072" s="10" t="s">
        <v>60</v>
      </c>
      <c r="G2072" s="10" t="n">
        <v>7</v>
      </c>
      <c r="H2072" s="10" t="n">
        <v>0</v>
      </c>
      <c r="I2072" s="10" t="n">
        <v>1</v>
      </c>
      <c r="J2072" s="10" t="n">
        <v>0</v>
      </c>
      <c r="K2072" s="10" t="s">
        <v>20</v>
      </c>
      <c r="L2072" s="11" t="n">
        <v>43009.7810763889</v>
      </c>
      <c r="M2072" s="12"/>
      <c r="N2072" s="12"/>
      <c r="O2072" s="9" t="str">
        <f aca="false">HYPERLINK("https://pbs.twimg.com/profile_images/916502409580392448/6PpLTsL5_normal.jpg","View")</f>
        <v>View</v>
      </c>
      <c r="P2072" s="10"/>
    </row>
    <row r="2073" customFormat="false" ht="15.75" hidden="false" customHeight="false" outlineLevel="0" collapsed="false">
      <c r="A2073" s="6" t="n">
        <v>43030.219525463</v>
      </c>
      <c r="B2073" s="7" t="str">
        <f aca="false">HYPERLINK("https://twitter.com/akhildeo94","@akhildeo94")</f>
        <v>@akhildeo94</v>
      </c>
      <c r="C2073" s="8" t="s">
        <v>5383</v>
      </c>
      <c r="D2073" s="8" t="s">
        <v>4984</v>
      </c>
      <c r="E2073" s="9" t="str">
        <f aca="false">HYPERLINK("https://twitter.com/akhildeo94/status/922074083101048832","922074083101048832")</f>
        <v>922074083101048832</v>
      </c>
      <c r="F2073" s="10" t="s">
        <v>25</v>
      </c>
      <c r="G2073" s="10" t="n">
        <v>65</v>
      </c>
      <c r="H2073" s="10" t="n">
        <v>662</v>
      </c>
      <c r="I2073" s="10" t="n">
        <v>187</v>
      </c>
      <c r="J2073" s="10" t="n">
        <v>0</v>
      </c>
      <c r="K2073" s="10" t="s">
        <v>20</v>
      </c>
      <c r="L2073" s="11" t="n">
        <v>42167.4994907407</v>
      </c>
      <c r="M2073" s="12"/>
      <c r="N2073" s="12" t="s">
        <v>5384</v>
      </c>
      <c r="O2073" s="9" t="str">
        <f aca="false">HYPERLINK("https://pbs.twimg.com/profile_images/783574885712920576/T20flQfj_normal.jpg","View")</f>
        <v>View</v>
      </c>
      <c r="P2073" s="10"/>
    </row>
    <row r="2074" customFormat="false" ht="15.75" hidden="false" customHeight="false" outlineLevel="0" collapsed="false">
      <c r="A2074" s="6" t="n">
        <v>43030.219537037</v>
      </c>
      <c r="B2074" s="7" t="str">
        <f aca="false">HYPERLINK("https://twitter.com/HaitiNewsNet","@HaitiNewsNet")</f>
        <v>@HaitiNewsNet</v>
      </c>
      <c r="C2074" s="8" t="s">
        <v>5385</v>
      </c>
      <c r="D2074" s="8" t="s">
        <v>5386</v>
      </c>
      <c r="E2074" s="9" t="str">
        <f aca="false">HYPERLINK("https://twitter.com/HaitiNewsNet/status/922074086045569027","922074086045569027")</f>
        <v>922074086045569027</v>
      </c>
      <c r="F2074" s="10" t="s">
        <v>110</v>
      </c>
      <c r="G2074" s="10" t="n">
        <v>105633</v>
      </c>
      <c r="H2074" s="10" t="n">
        <v>3998</v>
      </c>
      <c r="I2074" s="10" t="n">
        <v>0</v>
      </c>
      <c r="J2074" s="10" t="n">
        <v>0</v>
      </c>
      <c r="K2074" s="10" t="s">
        <v>20</v>
      </c>
      <c r="L2074" s="11" t="n">
        <v>39886.864537037</v>
      </c>
      <c r="M2074" s="12" t="s">
        <v>5387</v>
      </c>
      <c r="N2074" s="12" t="s">
        <v>5388</v>
      </c>
      <c r="O2074" s="9" t="str">
        <f aca="false">HYPERLINK("https://pbs.twimg.com/profile_images/821104834271211521/drhaM6mt_normal.jpg","View")</f>
        <v>View</v>
      </c>
      <c r="P2074" s="10"/>
    </row>
    <row r="2075" customFormat="false" ht="15.75" hidden="false" customHeight="false" outlineLevel="0" collapsed="false">
      <c r="A2075" s="6" t="n">
        <v>43030.2196064815</v>
      </c>
      <c r="B2075" s="7" t="str">
        <f aca="false">HYPERLINK("https://twitter.com/CarlosJLee","@CarlosJLee")</f>
        <v>@CarlosJLee</v>
      </c>
      <c r="C2075" s="8" t="s">
        <v>5389</v>
      </c>
      <c r="D2075" s="8" t="s">
        <v>5390</v>
      </c>
      <c r="E2075" s="9" t="str">
        <f aca="false">HYPERLINK("https://twitter.com/CarlosJLee/status/922074112952078336","922074112952078336")</f>
        <v>922074112952078336</v>
      </c>
      <c r="F2075" s="10" t="s">
        <v>110</v>
      </c>
      <c r="G2075" s="10" t="n">
        <v>418</v>
      </c>
      <c r="H2075" s="10" t="n">
        <v>2006</v>
      </c>
      <c r="I2075" s="10" t="n">
        <v>0</v>
      </c>
      <c r="J2075" s="10" t="n">
        <v>0</v>
      </c>
      <c r="K2075" s="10" t="s">
        <v>20</v>
      </c>
      <c r="L2075" s="11" t="n">
        <v>40289.5772453704</v>
      </c>
      <c r="M2075" s="12"/>
      <c r="N2075" s="12"/>
      <c r="O2075" s="9" t="str">
        <f aca="false">HYPERLINK("https://pbs.twimg.com/profile_images/378800000572177754/3c7dc6a25320689288a8971c98d893bb_normal.jpeg","View")</f>
        <v>View</v>
      </c>
      <c r="P2075" s="10"/>
    </row>
    <row r="2076" customFormat="false" ht="15.75" hidden="false" customHeight="false" outlineLevel="0" collapsed="false">
      <c r="A2076" s="6" t="n">
        <v>43030.2196180556</v>
      </c>
      <c r="B2076" s="7" t="str">
        <f aca="false">HYPERLINK("https://twitter.com/southeastasia4u","@southeastasia4u")</f>
        <v>@southeastasia4u</v>
      </c>
      <c r="C2076" s="8" t="s">
        <v>5391</v>
      </c>
      <c r="D2076" s="8" t="s">
        <v>5392</v>
      </c>
      <c r="E2076" s="9" t="str">
        <f aca="false">HYPERLINK("https://twitter.com/southeastasia4u/status/922074118996025344","922074118996025344")</f>
        <v>922074118996025344</v>
      </c>
      <c r="F2076" s="10" t="s">
        <v>110</v>
      </c>
      <c r="G2076" s="10" t="n">
        <v>10288</v>
      </c>
      <c r="H2076" s="10" t="n">
        <v>262</v>
      </c>
      <c r="I2076" s="10" t="n">
        <v>0</v>
      </c>
      <c r="J2076" s="10" t="n">
        <v>0</v>
      </c>
      <c r="K2076" s="10" t="s">
        <v>20</v>
      </c>
      <c r="L2076" s="11" t="n">
        <v>40501.2558449074</v>
      </c>
      <c r="M2076" s="12"/>
      <c r="N2076" s="12" t="s">
        <v>5393</v>
      </c>
      <c r="O2076" s="9" t="str">
        <f aca="false">HYPERLINK("https://pbs.twimg.com/profile_images/731982571609935872/8_XxaGHF_normal.jpg","View")</f>
        <v>View</v>
      </c>
      <c r="P2076" s="10"/>
    </row>
    <row r="2077" customFormat="false" ht="15.75" hidden="false" customHeight="false" outlineLevel="0" collapsed="false">
      <c r="A2077" s="6" t="n">
        <v>43030.2197222222</v>
      </c>
      <c r="B2077" s="7" t="str">
        <f aca="false">HYPERLINK("https://twitter.com/snowdropxx","@snowdropxx")</f>
        <v>@snowdropxx</v>
      </c>
      <c r="C2077" s="8" t="s">
        <v>5394</v>
      </c>
      <c r="D2077" s="8" t="s">
        <v>3541</v>
      </c>
      <c r="E2077" s="9" t="str">
        <f aca="false">HYPERLINK("https://twitter.com/snowdropxx/status/922074156933431298","922074156933431298")</f>
        <v>922074156933431298</v>
      </c>
      <c r="F2077" s="10" t="s">
        <v>1643</v>
      </c>
      <c r="G2077" s="10" t="n">
        <v>507</v>
      </c>
      <c r="H2077" s="10" t="n">
        <v>505</v>
      </c>
      <c r="I2077" s="10" t="n">
        <v>18</v>
      </c>
      <c r="J2077" s="10" t="n">
        <v>0</v>
      </c>
      <c r="K2077" s="10" t="s">
        <v>20</v>
      </c>
      <c r="L2077" s="11" t="n">
        <v>39880.7548263889</v>
      </c>
      <c r="M2077" s="12" t="s">
        <v>5395</v>
      </c>
      <c r="N2077" s="13" t="s">
        <v>5396</v>
      </c>
      <c r="O2077" s="9" t="str">
        <f aca="false">HYPERLINK("https://pbs.twimg.com/profile_images/1924011072/00b8756f-5266-43aa-b3a7-29d6eee76e20_normal.jpg","View")</f>
        <v>View</v>
      </c>
      <c r="P2077" s="10"/>
    </row>
    <row r="2078" customFormat="false" ht="15.75" hidden="false" customHeight="false" outlineLevel="0" collapsed="false">
      <c r="A2078" s="6" t="n">
        <v>43030.2197337963</v>
      </c>
      <c r="B2078" s="7" t="str">
        <f aca="false">HYPERLINK("https://twitter.com/Multiplier14","@Multiplier14")</f>
        <v>@Multiplier14</v>
      </c>
      <c r="C2078" s="8" t="s">
        <v>5397</v>
      </c>
      <c r="D2078" s="8" t="s">
        <v>4124</v>
      </c>
      <c r="E2078" s="9" t="str">
        <f aca="false">HYPERLINK("https://twitter.com/Multiplier14/status/922074160276353024","922074160276353024")</f>
        <v>922074160276353024</v>
      </c>
      <c r="F2078" s="10" t="s">
        <v>25</v>
      </c>
      <c r="G2078" s="10" t="n">
        <v>98</v>
      </c>
      <c r="H2078" s="10" t="n">
        <v>1145</v>
      </c>
      <c r="I2078" s="10" t="n">
        <v>111</v>
      </c>
      <c r="J2078" s="10" t="n">
        <v>0</v>
      </c>
      <c r="K2078" s="10" t="s">
        <v>20</v>
      </c>
      <c r="L2078" s="11" t="n">
        <v>42918.6967708333</v>
      </c>
      <c r="M2078" s="12" t="s">
        <v>5398</v>
      </c>
      <c r="N2078" s="12" t="s">
        <v>5115</v>
      </c>
      <c r="O2078" s="9" t="str">
        <f aca="false">HYPERLINK("https://pbs.twimg.com/profile_images/907678640237932545/Vicz-Fwq_normal.jpg","View")</f>
        <v>View</v>
      </c>
      <c r="P2078" s="10"/>
    </row>
    <row r="2079" customFormat="false" ht="15.75" hidden="false" customHeight="false" outlineLevel="0" collapsed="false">
      <c r="A2079" s="6" t="n">
        <v>43030.2197453704</v>
      </c>
      <c r="B2079" s="7" t="str">
        <f aca="false">HYPERLINK("https://twitter.com/honeymilkyway19","@honeymilkyway19")</f>
        <v>@honeymilkyway19</v>
      </c>
      <c r="C2079" s="8" t="s">
        <v>5399</v>
      </c>
      <c r="D2079" s="8" t="s">
        <v>5030</v>
      </c>
      <c r="E2079" s="9" t="str">
        <f aca="false">HYPERLINK("https://twitter.com/honeymilkyway19/status/922074163866566656","922074163866566656")</f>
        <v>922074163866566656</v>
      </c>
      <c r="F2079" s="10" t="s">
        <v>39</v>
      </c>
      <c r="G2079" s="10" t="n">
        <v>46</v>
      </c>
      <c r="H2079" s="10" t="n">
        <v>329</v>
      </c>
      <c r="I2079" s="10" t="n">
        <v>22</v>
      </c>
      <c r="J2079" s="10" t="n">
        <v>0</v>
      </c>
      <c r="K2079" s="10" t="s">
        <v>20</v>
      </c>
      <c r="L2079" s="11" t="n">
        <v>42918.0257407407</v>
      </c>
      <c r="M2079" s="13" t="s">
        <v>152</v>
      </c>
      <c r="N2079" s="13" t="s">
        <v>5400</v>
      </c>
      <c r="O2079" s="9" t="str">
        <f aca="false">HYPERLINK("https://pbs.twimg.com/profile_images/882226441785442304/zDDLF3bZ_normal.jpg","View")</f>
        <v>View</v>
      </c>
      <c r="P2079" s="10"/>
    </row>
    <row r="2080" customFormat="false" ht="15.75" hidden="false" customHeight="false" outlineLevel="0" collapsed="false">
      <c r="A2080" s="6" t="n">
        <v>43030.2197685185</v>
      </c>
      <c r="B2080" s="7" t="str">
        <f aca="false">HYPERLINK("https://twitter.com/go_chiba","@go_chiba")</f>
        <v>@go_chiba</v>
      </c>
      <c r="C2080" s="8" t="s">
        <v>5401</v>
      </c>
      <c r="D2080" s="8" t="s">
        <v>5402</v>
      </c>
      <c r="E2080" s="9" t="str">
        <f aca="false">HYPERLINK("https://twitter.com/go_chiba/status/922074171919577088","922074171919577088")</f>
        <v>922074171919577088</v>
      </c>
      <c r="F2080" s="10" t="s">
        <v>51</v>
      </c>
      <c r="G2080" s="10" t="n">
        <v>466</v>
      </c>
      <c r="H2080" s="10" t="n">
        <v>355</v>
      </c>
      <c r="I2080" s="10" t="n">
        <v>0</v>
      </c>
      <c r="J2080" s="10" t="n">
        <v>0</v>
      </c>
      <c r="K2080" s="10" t="s">
        <v>20</v>
      </c>
      <c r="L2080" s="11" t="n">
        <v>39285.9341203704</v>
      </c>
      <c r="M2080" s="12" t="s">
        <v>1473</v>
      </c>
      <c r="N2080" s="12" t="s">
        <v>5403</v>
      </c>
      <c r="O2080" s="9" t="str">
        <f aca="false">HYPERLINK("https://pbs.twimg.com/profile_images/904733725589569536/dLbDjoW9_normal.jpg","View")</f>
        <v>View</v>
      </c>
      <c r="P2080" s="10"/>
    </row>
    <row r="2081" customFormat="false" ht="15.75" hidden="false" customHeight="false" outlineLevel="0" collapsed="false">
      <c r="A2081" s="6" t="n">
        <v>43030.2198263889</v>
      </c>
      <c r="B2081" s="7" t="str">
        <f aca="false">HYPERLINK("https://twitter.com/tevhyngx","@tevhyngx")</f>
        <v>@tevhyngx</v>
      </c>
      <c r="C2081" s="8" t="s">
        <v>732</v>
      </c>
      <c r="D2081" s="8" t="s">
        <v>5404</v>
      </c>
      <c r="E2081" s="9" t="str">
        <f aca="false">HYPERLINK("https://twitter.com/tevhyngx/status/922074192329179136","922074192329179136")</f>
        <v>922074192329179136</v>
      </c>
      <c r="F2081" s="10" t="s">
        <v>60</v>
      </c>
      <c r="G2081" s="10" t="n">
        <v>4023</v>
      </c>
      <c r="H2081" s="10" t="n">
        <v>188</v>
      </c>
      <c r="I2081" s="10" t="n">
        <v>0</v>
      </c>
      <c r="J2081" s="10" t="n">
        <v>0</v>
      </c>
      <c r="K2081" s="10" t="s">
        <v>20</v>
      </c>
      <c r="L2081" s="11" t="n">
        <v>41733.8101157407</v>
      </c>
      <c r="M2081" s="12" t="s">
        <v>734</v>
      </c>
      <c r="N2081" s="12" t="s">
        <v>735</v>
      </c>
      <c r="O2081" s="9" t="str">
        <f aca="false">HYPERLINK("https://pbs.twimg.com/profile_images/922553402642505728/vxoeD4md_normal.jpg","View")</f>
        <v>View</v>
      </c>
      <c r="P2081" s="10"/>
    </row>
    <row r="2082" customFormat="false" ht="15.75" hidden="false" customHeight="false" outlineLevel="0" collapsed="false">
      <c r="A2082" s="6" t="n">
        <v>43030.2198263889</v>
      </c>
      <c r="B2082" s="7" t="str">
        <f aca="false">HYPERLINK("https://twitter.com/kazyasuda2","@kazyasuda2")</f>
        <v>@kazyasuda2</v>
      </c>
      <c r="C2082" s="14" t="s">
        <v>5405</v>
      </c>
      <c r="D2082" s="8" t="s">
        <v>5406</v>
      </c>
      <c r="E2082" s="9" t="str">
        <f aca="false">HYPERLINK("https://twitter.com/kazyasuda2/status/922074194107658240","922074194107658240")</f>
        <v>922074194107658240</v>
      </c>
      <c r="F2082" s="10" t="s">
        <v>5407</v>
      </c>
      <c r="G2082" s="10" t="n">
        <v>260</v>
      </c>
      <c r="H2082" s="10" t="n">
        <v>197</v>
      </c>
      <c r="I2082" s="10" t="n">
        <v>1</v>
      </c>
      <c r="J2082" s="10" t="n">
        <v>0</v>
      </c>
      <c r="K2082" s="10" t="s">
        <v>20</v>
      </c>
      <c r="L2082" s="11" t="n">
        <v>40316.0916898148</v>
      </c>
      <c r="M2082" s="12" t="s">
        <v>5408</v>
      </c>
      <c r="N2082" s="13" t="s">
        <v>5409</v>
      </c>
      <c r="O2082" s="9" t="str">
        <f aca="false">HYPERLINK("https://pbs.twimg.com/profile_images/831137039382958080/6j2mKSuu_normal.jpg","View")</f>
        <v>View</v>
      </c>
      <c r="P2082" s="10"/>
    </row>
    <row r="2083" customFormat="false" ht="15.75" hidden="false" customHeight="false" outlineLevel="0" collapsed="false">
      <c r="A2083" s="6" t="n">
        <v>43030.219837963</v>
      </c>
      <c r="B2083" s="7" t="str">
        <f aca="false">HYPERLINK("https://twitter.com/tevhyngx","@tevhyngx")</f>
        <v>@tevhyngx</v>
      </c>
      <c r="C2083" s="8" t="s">
        <v>732</v>
      </c>
      <c r="D2083" s="8" t="s">
        <v>5410</v>
      </c>
      <c r="E2083" s="9" t="str">
        <f aca="false">HYPERLINK("https://twitter.com/tevhyngx/status/922074194887790593","922074194887790593")</f>
        <v>922074194887790593</v>
      </c>
      <c r="F2083" s="10" t="s">
        <v>60</v>
      </c>
      <c r="G2083" s="10" t="n">
        <v>4023</v>
      </c>
      <c r="H2083" s="10" t="n">
        <v>188</v>
      </c>
      <c r="I2083" s="10" t="n">
        <v>0</v>
      </c>
      <c r="J2083" s="10" t="n">
        <v>0</v>
      </c>
      <c r="K2083" s="10" t="s">
        <v>20</v>
      </c>
      <c r="L2083" s="11" t="n">
        <v>41733.8101157407</v>
      </c>
      <c r="M2083" s="12" t="s">
        <v>734</v>
      </c>
      <c r="N2083" s="12" t="s">
        <v>735</v>
      </c>
      <c r="O2083" s="9" t="str">
        <f aca="false">HYPERLINK("https://pbs.twimg.com/profile_images/922553402642505728/vxoeD4md_normal.jpg","View")</f>
        <v>View</v>
      </c>
      <c r="P2083" s="10"/>
    </row>
    <row r="2084" customFormat="false" ht="15.75" hidden="false" customHeight="false" outlineLevel="0" collapsed="false">
      <c r="A2084" s="6" t="n">
        <v>43030.219837963</v>
      </c>
      <c r="B2084" s="7" t="str">
        <f aca="false">HYPERLINK("https://twitter.com/tvThirdEyeB","@tvThirdEyeB")</f>
        <v>@tvThirdEyeB</v>
      </c>
      <c r="C2084" s="8" t="s">
        <v>2027</v>
      </c>
      <c r="D2084" s="8" t="s">
        <v>5411</v>
      </c>
      <c r="E2084" s="9" t="str">
        <f aca="false">HYPERLINK("https://twitter.com/tvThirdEyeB/status/922074197626515457","922074197626515457")</f>
        <v>922074197626515457</v>
      </c>
      <c r="F2084" s="10" t="s">
        <v>2029</v>
      </c>
      <c r="G2084" s="10" t="n">
        <v>31</v>
      </c>
      <c r="H2084" s="10" t="n">
        <v>0</v>
      </c>
      <c r="I2084" s="10" t="n">
        <v>0</v>
      </c>
      <c r="J2084" s="10" t="n">
        <v>0</v>
      </c>
      <c r="K2084" s="10" t="s">
        <v>20</v>
      </c>
      <c r="L2084" s="11" t="n">
        <v>42972.5932638889</v>
      </c>
      <c r="M2084" s="12" t="s">
        <v>588</v>
      </c>
      <c r="N2084" s="12" t="s">
        <v>2030</v>
      </c>
      <c r="O2084" s="9" t="str">
        <f aca="false">HYPERLINK("https://pbs.twimg.com/profile_images/910606884565950464/P-E5U0ei_normal.jpg","View")</f>
        <v>View</v>
      </c>
      <c r="P2084" s="10"/>
    </row>
    <row r="2085" customFormat="false" ht="15.75" hidden="false" customHeight="false" outlineLevel="0" collapsed="false">
      <c r="A2085" s="6" t="n">
        <v>43030.2198842593</v>
      </c>
      <c r="B2085" s="7" t="str">
        <f aca="false">HYPERLINK("https://twitter.com/hap_santos","@hap_santos")</f>
        <v>@hap_santos</v>
      </c>
      <c r="C2085" s="8" t="s">
        <v>765</v>
      </c>
      <c r="D2085" s="8" t="s">
        <v>5412</v>
      </c>
      <c r="E2085" s="9" t="str">
        <f aca="false">HYPERLINK("https://twitter.com/hap_santos/status/922074214617755649","922074214617755649")</f>
        <v>922074214617755649</v>
      </c>
      <c r="F2085" s="10" t="s">
        <v>60</v>
      </c>
      <c r="G2085" s="10" t="n">
        <v>41</v>
      </c>
      <c r="H2085" s="10" t="n">
        <v>22</v>
      </c>
      <c r="I2085" s="10" t="n">
        <v>0</v>
      </c>
      <c r="J2085" s="10" t="n">
        <v>0</v>
      </c>
      <c r="K2085" s="10" t="s">
        <v>20</v>
      </c>
      <c r="L2085" s="11" t="n">
        <v>40300.4350231482</v>
      </c>
      <c r="M2085" s="12" t="s">
        <v>767</v>
      </c>
      <c r="N2085" s="12"/>
      <c r="O2085" s="9" t="str">
        <f aca="false">HYPERLINK("https://pbs.twimg.com/profile_images/867658947/DSC04779_normal.JPG","View")</f>
        <v>View</v>
      </c>
      <c r="P2085" s="10"/>
    </row>
    <row r="2086" customFormat="false" ht="15.75" hidden="false" customHeight="false" outlineLevel="0" collapsed="false">
      <c r="A2086" s="6" t="n">
        <v>43030.2198958333</v>
      </c>
      <c r="B2086" s="7" t="str">
        <f aca="false">HYPERLINK("https://twitter.com/ITCMarkets","@ITCMarkets")</f>
        <v>@ITCMarkets</v>
      </c>
      <c r="C2086" s="8" t="s">
        <v>5413</v>
      </c>
      <c r="D2086" s="8" t="s">
        <v>5414</v>
      </c>
      <c r="E2086" s="9" t="str">
        <f aca="false">HYPERLINK("https://twitter.com/ITCMarkets/status/922074216752664576","922074216752664576")</f>
        <v>922074216752664576</v>
      </c>
      <c r="F2086" s="10" t="s">
        <v>39</v>
      </c>
      <c r="G2086" s="10" t="n">
        <v>1829</v>
      </c>
      <c r="H2086" s="10" t="n">
        <v>521</v>
      </c>
      <c r="I2086" s="10" t="n">
        <v>0</v>
      </c>
      <c r="J2086" s="10" t="n">
        <v>1</v>
      </c>
      <c r="K2086" s="10" t="s">
        <v>20</v>
      </c>
      <c r="L2086" s="11" t="n">
        <v>40605.1717592593</v>
      </c>
      <c r="M2086" s="12" t="s">
        <v>5415</v>
      </c>
      <c r="N2086" s="12" t="s">
        <v>5416</v>
      </c>
      <c r="O2086" s="9" t="str">
        <f aca="false">HYPERLINK("https://pbs.twimg.com/profile_images/1272130295/logoedd_normal.JPG","View")</f>
        <v>View</v>
      </c>
      <c r="P2086" s="10"/>
    </row>
    <row r="2087" customFormat="false" ht="15.75" hidden="false" customHeight="false" outlineLevel="0" collapsed="false">
      <c r="A2087" s="6" t="n">
        <v>43030.2199074074</v>
      </c>
      <c r="B2087" s="7" t="str">
        <f aca="false">HYPERLINK("https://twitter.com/fc1575","@fc1575")</f>
        <v>@fc1575</v>
      </c>
      <c r="C2087" s="8" t="s">
        <v>5417</v>
      </c>
      <c r="D2087" s="8" t="s">
        <v>4984</v>
      </c>
      <c r="E2087" s="9" t="str">
        <f aca="false">HYPERLINK("https://twitter.com/fc1575/status/922074223165579265","922074223165579265")</f>
        <v>922074223165579265</v>
      </c>
      <c r="F2087" s="10" t="s">
        <v>51</v>
      </c>
      <c r="G2087" s="10" t="n">
        <v>460</v>
      </c>
      <c r="H2087" s="10" t="n">
        <v>244</v>
      </c>
      <c r="I2087" s="10" t="n">
        <v>187</v>
      </c>
      <c r="J2087" s="10" t="n">
        <v>0</v>
      </c>
      <c r="K2087" s="10" t="s">
        <v>20</v>
      </c>
      <c r="L2087" s="11" t="n">
        <v>40271.4362268519</v>
      </c>
      <c r="M2087" s="13" t="s">
        <v>5418</v>
      </c>
      <c r="N2087" s="12" t="s">
        <v>5419</v>
      </c>
      <c r="O2087" s="9" t="str">
        <f aca="false">HYPERLINK("https://pbs.twimg.com/profile_images/481545211311448064/XnRNXLOO_normal.jpeg","View")</f>
        <v>View</v>
      </c>
      <c r="P2087" s="10"/>
    </row>
    <row r="2088" customFormat="false" ht="15.75" hidden="false" customHeight="false" outlineLevel="0" collapsed="false">
      <c r="A2088" s="6" t="n">
        <v>43030.2199537037</v>
      </c>
      <c r="B2088" s="7" t="str">
        <f aca="false">HYPERLINK("https://twitter.com/AlexContestBot","@AlexContestBot")</f>
        <v>@AlexContestBot</v>
      </c>
      <c r="C2088" s="8" t="s">
        <v>2191</v>
      </c>
      <c r="D2088" s="8" t="s">
        <v>4955</v>
      </c>
      <c r="E2088" s="9" t="str">
        <f aca="false">HYPERLINK("https://twitter.com/AlexContestBot/status/922074237636034560","922074237636034560")</f>
        <v>922074237636034560</v>
      </c>
      <c r="F2088" s="10" t="s">
        <v>5202</v>
      </c>
      <c r="G2088" s="10" t="n">
        <v>619</v>
      </c>
      <c r="H2088" s="10" t="n">
        <v>5003</v>
      </c>
      <c r="I2088" s="10" t="n">
        <v>2</v>
      </c>
      <c r="J2088" s="10" t="n">
        <v>0</v>
      </c>
      <c r="K2088" s="10" t="s">
        <v>20</v>
      </c>
      <c r="L2088" s="11" t="n">
        <v>42987.5389814815</v>
      </c>
      <c r="M2088" s="12"/>
      <c r="N2088" s="12"/>
      <c r="O2088" s="9" t="str">
        <f aca="false">HYPERLINK("https://abs.twimg.com/sticky/default_profile_images/default_profile_normal.png","View")</f>
        <v>View</v>
      </c>
      <c r="P2088" s="10"/>
    </row>
    <row r="2089" customFormat="false" ht="15.75" hidden="false" customHeight="false" outlineLevel="0" collapsed="false">
      <c r="A2089" s="6" t="n">
        <v>43030.22</v>
      </c>
      <c r="B2089" s="7" t="str">
        <f aca="false">HYPERLINK("https://twitter.com/MexicoNewsBot","@MexicoNewsBot")</f>
        <v>@MexicoNewsBot</v>
      </c>
      <c r="C2089" s="8" t="s">
        <v>53</v>
      </c>
      <c r="D2089" s="8" t="s">
        <v>5420</v>
      </c>
      <c r="E2089" s="9" t="str">
        <f aca="false">HYPERLINK("https://twitter.com/MexicoNewsBot/status/922074256208429056","922074256208429056")</f>
        <v>922074256208429056</v>
      </c>
      <c r="F2089" s="10" t="s">
        <v>55</v>
      </c>
      <c r="G2089" s="10" t="n">
        <v>474</v>
      </c>
      <c r="H2089" s="10" t="n">
        <v>183</v>
      </c>
      <c r="I2089" s="10" t="n">
        <v>0</v>
      </c>
      <c r="J2089" s="10" t="n">
        <v>0</v>
      </c>
      <c r="K2089" s="10" t="s">
        <v>20</v>
      </c>
      <c r="L2089" s="11" t="n">
        <v>41845.7457523148</v>
      </c>
      <c r="M2089" s="12"/>
      <c r="N2089" s="12"/>
      <c r="O2089" s="9" t="str">
        <f aca="false">HYPERLINK("https://pbs.twimg.com/profile_images/492864938445000704/QxvpQrRZ_normal.jpeg","View")</f>
        <v>View</v>
      </c>
      <c r="P2089" s="10"/>
    </row>
    <row r="2090" customFormat="false" ht="15.75" hidden="false" customHeight="false" outlineLevel="0" collapsed="false">
      <c r="A2090" s="6" t="n">
        <v>43030.2200115741</v>
      </c>
      <c r="B2090" s="7" t="str">
        <f aca="false">HYPERLINK("https://twitter.com/sgbroadcast","@sgbroadcast")</f>
        <v>@sgbroadcast</v>
      </c>
      <c r="C2090" s="8" t="s">
        <v>5421</v>
      </c>
      <c r="D2090" s="8" t="s">
        <v>3514</v>
      </c>
      <c r="E2090" s="9" t="str">
        <f aca="false">HYPERLINK("https://twitter.com/sgbroadcast/status/922074258418802688","922074258418802688")</f>
        <v>922074258418802688</v>
      </c>
      <c r="F2090" s="10" t="s">
        <v>39</v>
      </c>
      <c r="G2090" s="10" t="n">
        <v>22786</v>
      </c>
      <c r="H2090" s="10" t="n">
        <v>13950</v>
      </c>
      <c r="I2090" s="10" t="n">
        <v>19</v>
      </c>
      <c r="J2090" s="10" t="n">
        <v>0</v>
      </c>
      <c r="K2090" s="10" t="s">
        <v>20</v>
      </c>
      <c r="L2090" s="11" t="n">
        <v>40841.3564351852</v>
      </c>
      <c r="M2090" s="12" t="s">
        <v>186</v>
      </c>
      <c r="N2090" s="12" t="s">
        <v>5422</v>
      </c>
      <c r="O2090" s="9" t="str">
        <f aca="false">HYPERLINK("https://pbs.twimg.com/profile_images/1858131595/singapore-news_normal.jpg","View")</f>
        <v>View</v>
      </c>
      <c r="P2090" s="10"/>
    </row>
    <row r="2091" customFormat="false" ht="15.75" hidden="false" customHeight="false" outlineLevel="0" collapsed="false">
      <c r="A2091" s="6" t="n">
        <v>43030.2200347222</v>
      </c>
      <c r="B2091" s="7" t="str">
        <f aca="false">HYPERLINK("https://twitter.com/shrewst","@shrewst")</f>
        <v>@shrewst</v>
      </c>
      <c r="C2091" s="8" t="s">
        <v>5423</v>
      </c>
      <c r="D2091" s="8" t="s">
        <v>4984</v>
      </c>
      <c r="E2091" s="9" t="str">
        <f aca="false">HYPERLINK("https://twitter.com/shrewst/status/922074266526474241","922074266526474241")</f>
        <v>922074266526474241</v>
      </c>
      <c r="F2091" s="10" t="s">
        <v>51</v>
      </c>
      <c r="G2091" s="10" t="n">
        <v>2200</v>
      </c>
      <c r="H2091" s="10" t="n">
        <v>2294</v>
      </c>
      <c r="I2091" s="10" t="n">
        <v>187</v>
      </c>
      <c r="J2091" s="10" t="n">
        <v>0</v>
      </c>
      <c r="K2091" s="10" t="s">
        <v>20</v>
      </c>
      <c r="L2091" s="11" t="n">
        <v>41756.3364351852</v>
      </c>
      <c r="M2091" s="12" t="s">
        <v>5424</v>
      </c>
      <c r="N2091" s="12" t="s">
        <v>5425</v>
      </c>
      <c r="O2091" s="9" t="str">
        <f aca="false">HYPERLINK("https://pbs.twimg.com/profile_images/770836392083615744/goVcOri8_normal.jpg","View")</f>
        <v>View</v>
      </c>
      <c r="P2091" s="10"/>
    </row>
    <row r="2092" customFormat="false" ht="15.75" hidden="false" customHeight="false" outlineLevel="0" collapsed="false">
      <c r="A2092" s="6" t="n">
        <v>43030.2200462963</v>
      </c>
      <c r="B2092" s="7" t="str">
        <f aca="false">HYPERLINK("https://twitter.com/ggoufas","@ggoufas")</f>
        <v>@ggoufas</v>
      </c>
      <c r="C2092" s="8" t="s">
        <v>5426</v>
      </c>
      <c r="D2092" s="8" t="s">
        <v>3295</v>
      </c>
      <c r="E2092" s="9" t="str">
        <f aca="false">HYPERLINK("https://twitter.com/ggoufas/status/922074271375032320","922074271375032320")</f>
        <v>922074271375032320</v>
      </c>
      <c r="F2092" s="10" t="s">
        <v>2620</v>
      </c>
      <c r="G2092" s="10" t="n">
        <v>333</v>
      </c>
      <c r="H2092" s="10" t="n">
        <v>609</v>
      </c>
      <c r="I2092" s="10" t="n">
        <v>71</v>
      </c>
      <c r="J2092" s="10" t="n">
        <v>0</v>
      </c>
      <c r="K2092" s="10" t="s">
        <v>20</v>
      </c>
      <c r="L2092" s="11" t="n">
        <v>40696.2685416667</v>
      </c>
      <c r="M2092" s="12" t="s">
        <v>5427</v>
      </c>
      <c r="N2092" s="12"/>
      <c r="O2092" s="9" t="str">
        <f aca="false">HYPERLINK("https://pbs.twimg.com/profile_images/906119338213695488/OFW_iOle_normal.jpg","View")</f>
        <v>View</v>
      </c>
      <c r="P2092" s="10"/>
    </row>
    <row r="2093" customFormat="false" ht="15.75" hidden="false" customHeight="false" outlineLevel="0" collapsed="false">
      <c r="A2093" s="6" t="n">
        <v>43030.2200694444</v>
      </c>
      <c r="B2093" s="7" t="str">
        <f aca="false">HYPERLINK("https://twitter.com/PaginaNuova","@PaginaNuova")</f>
        <v>@PaginaNuova</v>
      </c>
      <c r="C2093" s="8" t="s">
        <v>991</v>
      </c>
      <c r="D2093" s="8" t="s">
        <v>5428</v>
      </c>
      <c r="E2093" s="9" t="str">
        <f aca="false">HYPERLINK("https://twitter.com/PaginaNuova/status/922074279612747777","922074279612747777")</f>
        <v>922074279612747777</v>
      </c>
      <c r="F2093" s="10" t="s">
        <v>60</v>
      </c>
      <c r="G2093" s="10" t="n">
        <v>1162</v>
      </c>
      <c r="H2093" s="10" t="n">
        <v>512</v>
      </c>
      <c r="I2093" s="10" t="n">
        <v>0</v>
      </c>
      <c r="J2093" s="10" t="n">
        <v>0</v>
      </c>
      <c r="K2093" s="10" t="s">
        <v>20</v>
      </c>
      <c r="L2093" s="11" t="n">
        <v>39795.7385416667</v>
      </c>
      <c r="M2093" s="12" t="s">
        <v>993</v>
      </c>
      <c r="N2093" s="12" t="s">
        <v>994</v>
      </c>
      <c r="O2093" s="9" t="str">
        <f aca="false">HYPERLINK("https://pbs.twimg.com/profile_images/733085909457993728/CNCcL-S7_normal.jpg","View")</f>
        <v>View</v>
      </c>
      <c r="P2093" s="10"/>
    </row>
    <row r="2094" customFormat="false" ht="15.75" hidden="false" customHeight="false" outlineLevel="0" collapsed="false">
      <c r="A2094" s="6" t="n">
        <v>43030.2200694444</v>
      </c>
      <c r="B2094" s="7" t="str">
        <f aca="false">HYPERLINK("https://twitter.com/Ritsjun","@Ritsjun")</f>
        <v>@Ritsjun</v>
      </c>
      <c r="C2094" s="8" t="s">
        <v>5429</v>
      </c>
      <c r="D2094" s="8" t="s">
        <v>5430</v>
      </c>
      <c r="E2094" s="9" t="str">
        <f aca="false">HYPERLINK("https://twitter.com/Ritsjun/status/922074280871055360","922074280871055360")</f>
        <v>922074280871055360</v>
      </c>
      <c r="F2094" s="10" t="s">
        <v>51</v>
      </c>
      <c r="G2094" s="10" t="n">
        <v>223</v>
      </c>
      <c r="H2094" s="10" t="n">
        <v>119</v>
      </c>
      <c r="I2094" s="10" t="n">
        <v>0</v>
      </c>
      <c r="J2094" s="10" t="n">
        <v>0</v>
      </c>
      <c r="K2094" s="10" t="s">
        <v>20</v>
      </c>
      <c r="L2094" s="11" t="n">
        <v>42067.8566782407</v>
      </c>
      <c r="M2094" s="12" t="s">
        <v>5431</v>
      </c>
      <c r="N2094" s="12" t="s">
        <v>5432</v>
      </c>
      <c r="O2094" s="9" t="str">
        <f aca="false">HYPERLINK("https://pbs.twimg.com/profile_images/848089391977213952/Oga-8gIv_normal.jpg","View")</f>
        <v>View</v>
      </c>
      <c r="P2094" s="10"/>
    </row>
    <row r="2095" customFormat="false" ht="15.75" hidden="false" customHeight="false" outlineLevel="0" collapsed="false">
      <c r="A2095" s="6" t="n">
        <v>43030.2201157407</v>
      </c>
      <c r="B2095" s="7" t="str">
        <f aca="false">HYPERLINK("https://twitter.com/honeymilkyway19","@honeymilkyway19")</f>
        <v>@honeymilkyway19</v>
      </c>
      <c r="C2095" s="8" t="s">
        <v>5399</v>
      </c>
      <c r="D2095" s="8" t="s">
        <v>4984</v>
      </c>
      <c r="E2095" s="9" t="str">
        <f aca="false">HYPERLINK("https://twitter.com/honeymilkyway19/status/922074296842719235","922074296842719235")</f>
        <v>922074296842719235</v>
      </c>
      <c r="F2095" s="10" t="s">
        <v>39</v>
      </c>
      <c r="G2095" s="10" t="n">
        <v>46</v>
      </c>
      <c r="H2095" s="10" t="n">
        <v>329</v>
      </c>
      <c r="I2095" s="10" t="n">
        <v>187</v>
      </c>
      <c r="J2095" s="10" t="n">
        <v>0</v>
      </c>
      <c r="K2095" s="10" t="s">
        <v>20</v>
      </c>
      <c r="L2095" s="11" t="n">
        <v>42918.0257407407</v>
      </c>
      <c r="M2095" s="13" t="s">
        <v>152</v>
      </c>
      <c r="N2095" s="13" t="s">
        <v>5400</v>
      </c>
      <c r="O2095" s="9" t="str">
        <f aca="false">HYPERLINK("https://pbs.twimg.com/profile_images/882226441785442304/zDDLF3bZ_normal.jpg","View")</f>
        <v>View</v>
      </c>
      <c r="P2095" s="10"/>
    </row>
    <row r="2096" customFormat="false" ht="15.75" hidden="false" customHeight="false" outlineLevel="0" collapsed="false">
      <c r="A2096" s="6" t="n">
        <v>43030.2201851852</v>
      </c>
      <c r="B2096" s="7" t="str">
        <f aca="false">HYPERLINK("https://twitter.com/Geckomagazinew","@Geckomagazinew")</f>
        <v>@Geckomagazinew</v>
      </c>
      <c r="C2096" s="8" t="s">
        <v>5433</v>
      </c>
      <c r="D2096" s="8" t="s">
        <v>5434</v>
      </c>
      <c r="E2096" s="9" t="str">
        <f aca="false">HYPERLINK("https://twitter.com/Geckomagazinew/status/922074324252606464","922074324252606464")</f>
        <v>922074324252606464</v>
      </c>
      <c r="F2096" s="9" t="s">
        <v>1147</v>
      </c>
      <c r="G2096" s="10" t="n">
        <v>1705</v>
      </c>
      <c r="H2096" s="10" t="n">
        <v>2449</v>
      </c>
      <c r="I2096" s="10" t="n">
        <v>0</v>
      </c>
      <c r="J2096" s="10" t="n">
        <v>0</v>
      </c>
      <c r="K2096" s="10" t="s">
        <v>20</v>
      </c>
      <c r="L2096" s="11" t="n">
        <v>42797.8149421296</v>
      </c>
      <c r="M2096" s="12"/>
      <c r="N2096" s="12"/>
      <c r="O2096" s="9" t="str">
        <f aca="false">HYPERLINK("https://pbs.twimg.com/profile_images/837869033198399488/nau7nUZ5_normal.jpg","View")</f>
        <v>View</v>
      </c>
      <c r="P2096" s="10"/>
    </row>
    <row r="2097" customFormat="false" ht="15.75" hidden="false" customHeight="false" outlineLevel="0" collapsed="false">
      <c r="A2097" s="6" t="n">
        <v>43030.2201967593</v>
      </c>
      <c r="B2097" s="7" t="str">
        <f aca="false">HYPERLINK("https://twitter.com/JesusMCaseres","@JesusMCaseres")</f>
        <v>@JesusMCaseres</v>
      </c>
      <c r="C2097" s="8" t="s">
        <v>5435</v>
      </c>
      <c r="D2097" s="8" t="s">
        <v>5436</v>
      </c>
      <c r="E2097" s="9" t="str">
        <f aca="false">HYPERLINK("https://twitter.com/JesusMCaseres/status/922074328052535301","922074328052535301")</f>
        <v>922074328052535301</v>
      </c>
      <c r="F2097" s="9" t="s">
        <v>1147</v>
      </c>
      <c r="G2097" s="10" t="n">
        <v>1151</v>
      </c>
      <c r="H2097" s="10" t="n">
        <v>1980</v>
      </c>
      <c r="I2097" s="10" t="n">
        <v>0</v>
      </c>
      <c r="J2097" s="10" t="n">
        <v>0</v>
      </c>
      <c r="K2097" s="10" t="s">
        <v>20</v>
      </c>
      <c r="L2097" s="11" t="n">
        <v>40173.8285648148</v>
      </c>
      <c r="M2097" s="12" t="s">
        <v>491</v>
      </c>
      <c r="N2097" s="12" t="s">
        <v>5437</v>
      </c>
      <c r="O2097" s="9" t="str">
        <f aca="false">HYPERLINK("https://pbs.twimg.com/profile_images/919768096751210496/IBq7Fp7U_normal.jpg","View")</f>
        <v>View</v>
      </c>
      <c r="P2097" s="10"/>
    </row>
    <row r="2098" customFormat="false" ht="15.75" hidden="false" customHeight="false" outlineLevel="0" collapsed="false">
      <c r="A2098" s="6" t="n">
        <v>43030.2202083333</v>
      </c>
      <c r="B2098" s="7" t="str">
        <f aca="false">HYPERLINK("https://twitter.com/mahanthanut","@mahanthanut")</f>
        <v>@mahanthanut</v>
      </c>
      <c r="C2098" s="8" t="s">
        <v>4083</v>
      </c>
      <c r="D2098" s="8" t="s">
        <v>5438</v>
      </c>
      <c r="E2098" s="9" t="str">
        <f aca="false">HYPERLINK("https://twitter.com/mahanthanut/status/922074332200804352","922074332200804352")</f>
        <v>922074332200804352</v>
      </c>
      <c r="F2098" s="10" t="s">
        <v>39</v>
      </c>
      <c r="G2098" s="10" t="n">
        <v>755</v>
      </c>
      <c r="H2098" s="10" t="n">
        <v>1972</v>
      </c>
      <c r="I2098" s="10" t="n">
        <v>0</v>
      </c>
      <c r="J2098" s="10" t="n">
        <v>1</v>
      </c>
      <c r="K2098" s="10" t="s">
        <v>20</v>
      </c>
      <c r="L2098" s="11" t="n">
        <v>42066.3065046296</v>
      </c>
      <c r="M2098" s="12"/>
      <c r="N2098" s="12"/>
      <c r="O2098" s="9" t="str">
        <f aca="false">HYPERLINK("https://pbs.twimg.com/profile_images/602460467231985666/I5K3SbBA_normal.jpg","View")</f>
        <v>View</v>
      </c>
      <c r="P2098" s="10"/>
    </row>
    <row r="2099" customFormat="false" ht="15.75" hidden="false" customHeight="false" outlineLevel="0" collapsed="false">
      <c r="A2099" s="6" t="n">
        <v>43030.2202083333</v>
      </c>
      <c r="B2099" s="7" t="str">
        <f aca="false">HYPERLINK("https://twitter.com/4sh_4hm3d","@4sh_4hm3d")</f>
        <v>@4sh_4hm3d</v>
      </c>
      <c r="C2099" s="8" t="s">
        <v>5439</v>
      </c>
      <c r="D2099" s="8" t="s">
        <v>5440</v>
      </c>
      <c r="E2099" s="9" t="str">
        <f aca="false">HYPERLINK("https://twitter.com/4sh_4hm3d/status/922074332540612608","922074332540612608")</f>
        <v>922074332540612608</v>
      </c>
      <c r="F2099" s="10" t="s">
        <v>60</v>
      </c>
      <c r="G2099" s="10" t="n">
        <v>250</v>
      </c>
      <c r="H2099" s="10" t="n">
        <v>6</v>
      </c>
      <c r="I2099" s="10" t="n">
        <v>0</v>
      </c>
      <c r="J2099" s="10" t="n">
        <v>0</v>
      </c>
      <c r="K2099" s="10" t="s">
        <v>20</v>
      </c>
      <c r="L2099" s="11" t="n">
        <v>42250.4977430556</v>
      </c>
      <c r="M2099" s="12"/>
      <c r="N2099" s="12" t="s">
        <v>5441</v>
      </c>
      <c r="O2099" s="9" t="str">
        <f aca="false">HYPERLINK("https://pbs.twimg.com/profile_images/882001036369580032/F5PkJQYj_normal.jpg","View")</f>
        <v>View</v>
      </c>
      <c r="P2099" s="10"/>
    </row>
    <row r="2100" customFormat="false" ht="15.75" hidden="false" customHeight="false" outlineLevel="0" collapsed="false">
      <c r="A2100" s="6" t="n">
        <v>43030.2202199074</v>
      </c>
      <c r="B2100" s="7" t="str">
        <f aca="false">HYPERLINK("https://twitter.com/PalestineFacts","@PalestineFacts")</f>
        <v>@PalestineFacts</v>
      </c>
      <c r="C2100" s="8" t="s">
        <v>5442</v>
      </c>
      <c r="D2100" s="8" t="s">
        <v>3646</v>
      </c>
      <c r="E2100" s="9" t="str">
        <f aca="false">HYPERLINK("https://twitter.com/PalestineFacts/status/922074333970702337","922074333970702337")</f>
        <v>922074333970702337</v>
      </c>
      <c r="F2100" s="9" t="s">
        <v>1147</v>
      </c>
      <c r="G2100" s="10" t="n">
        <v>33370</v>
      </c>
      <c r="H2100" s="10" t="n">
        <v>2912</v>
      </c>
      <c r="I2100" s="10" t="n">
        <v>71</v>
      </c>
      <c r="J2100" s="10" t="n">
        <v>0</v>
      </c>
      <c r="K2100" s="10" t="s">
        <v>20</v>
      </c>
      <c r="L2100" s="11" t="n">
        <v>40188.595162037</v>
      </c>
      <c r="M2100" s="12" t="s">
        <v>1946</v>
      </c>
      <c r="N2100" s="12" t="s">
        <v>5443</v>
      </c>
      <c r="O2100" s="9" t="str">
        <f aca="false">HYPERLINK("https://pbs.twimg.com/profile_images/436489620340346880/z25CVvaf_normal.jpeg","View")</f>
        <v>View</v>
      </c>
      <c r="P2100" s="10"/>
    </row>
    <row r="2101" customFormat="false" ht="15.75" hidden="false" customHeight="false" outlineLevel="0" collapsed="false">
      <c r="A2101" s="6" t="n">
        <v>43030.2202199074</v>
      </c>
      <c r="B2101" s="7" t="str">
        <f aca="false">HYPERLINK("https://twitter.com/NewsUpdate24Int","@NewsUpdate24Int")</f>
        <v>@NewsUpdate24Int</v>
      </c>
      <c r="C2101" s="8" t="s">
        <v>5444</v>
      </c>
      <c r="D2101" s="8" t="s">
        <v>5445</v>
      </c>
      <c r="E2101" s="9" t="str">
        <f aca="false">HYPERLINK("https://twitter.com/NewsUpdate24Int/status/922074335640215552","922074335640215552")</f>
        <v>922074335640215552</v>
      </c>
      <c r="F2101" s="10" t="s">
        <v>60</v>
      </c>
      <c r="G2101" s="10" t="n">
        <v>1289</v>
      </c>
      <c r="H2101" s="10" t="n">
        <v>54</v>
      </c>
      <c r="I2101" s="10" t="n">
        <v>0</v>
      </c>
      <c r="J2101" s="10" t="n">
        <v>0</v>
      </c>
      <c r="K2101" s="10" t="s">
        <v>20</v>
      </c>
      <c r="L2101" s="11" t="n">
        <v>42142.5818171296</v>
      </c>
      <c r="M2101" s="12" t="s">
        <v>4866</v>
      </c>
      <c r="N2101" s="12" t="s">
        <v>5446</v>
      </c>
      <c r="O2101" s="9" t="str">
        <f aca="false">HYPERLINK("https://pbs.twimg.com/profile_images/858443073717764096/OPmPGIMa_normal.jpg","View")</f>
        <v>View</v>
      </c>
      <c r="P2101" s="10"/>
    </row>
    <row r="2102" customFormat="false" ht="15.75" hidden="false" customHeight="false" outlineLevel="0" collapsed="false">
      <c r="A2102" s="6" t="n">
        <v>43030.2202314815</v>
      </c>
      <c r="B2102" s="7" t="str">
        <f aca="false">HYPERLINK("https://twitter.com/Apocrifos","@Apocrifos")</f>
        <v>@Apocrifos</v>
      </c>
      <c r="C2102" s="8" t="s">
        <v>1297</v>
      </c>
      <c r="D2102" s="8" t="s">
        <v>5447</v>
      </c>
      <c r="E2102" s="9" t="str">
        <f aca="false">HYPERLINK("https://twitter.com/Apocrifos/status/922074340346290176","922074340346290176")</f>
        <v>922074340346290176</v>
      </c>
      <c r="F2102" s="10" t="s">
        <v>60</v>
      </c>
      <c r="G2102" s="10" t="n">
        <v>777</v>
      </c>
      <c r="H2102" s="10" t="n">
        <v>508</v>
      </c>
      <c r="I2102" s="10" t="n">
        <v>0</v>
      </c>
      <c r="J2102" s="10" t="n">
        <v>0</v>
      </c>
      <c r="K2102" s="10" t="s">
        <v>20</v>
      </c>
      <c r="L2102" s="11" t="n">
        <v>39961.4268287037</v>
      </c>
      <c r="M2102" s="12" t="s">
        <v>551</v>
      </c>
      <c r="N2102" s="12" t="s">
        <v>1299</v>
      </c>
      <c r="O2102" s="9" t="str">
        <f aca="false">HYPERLINK("https://pbs.twimg.com/profile_images/3672960453/ea0d6104e1c4773a26d48d5437e962d8_normal.jpeg","View")</f>
        <v>View</v>
      </c>
      <c r="P2102" s="10"/>
    </row>
    <row r="2103" customFormat="false" ht="15.75" hidden="false" customHeight="false" outlineLevel="0" collapsed="false">
      <c r="A2103" s="6" t="n">
        <v>43030.2202430556</v>
      </c>
      <c r="B2103" s="7" t="str">
        <f aca="false">HYPERLINK("https://twitter.com/namgaywangmo89","@namgaywangmo89")</f>
        <v>@namgaywangmo89</v>
      </c>
      <c r="C2103" s="8" t="s">
        <v>5448</v>
      </c>
      <c r="D2103" s="8" t="s">
        <v>4124</v>
      </c>
      <c r="E2103" s="9" t="str">
        <f aca="false">HYPERLINK("https://twitter.com/namgaywangmo89/status/922074343495970816","922074343495970816")</f>
        <v>922074343495970816</v>
      </c>
      <c r="F2103" s="10" t="s">
        <v>51</v>
      </c>
      <c r="G2103" s="10" t="n">
        <v>172</v>
      </c>
      <c r="H2103" s="10" t="n">
        <v>182</v>
      </c>
      <c r="I2103" s="10" t="n">
        <v>111</v>
      </c>
      <c r="J2103" s="10" t="n">
        <v>0</v>
      </c>
      <c r="K2103" s="10" t="s">
        <v>20</v>
      </c>
      <c r="L2103" s="11" t="n">
        <v>42070.8712731482</v>
      </c>
      <c r="M2103" s="12" t="s">
        <v>5449</v>
      </c>
      <c r="N2103" s="12" t="s">
        <v>5450</v>
      </c>
      <c r="O2103" s="9" t="str">
        <f aca="false">HYPERLINK("https://pbs.twimg.com/profile_images/921452201603510272/2qqoss7A_normal.jpg","View")</f>
        <v>View</v>
      </c>
      <c r="P2103" s="10"/>
    </row>
    <row r="2104" customFormat="false" ht="15.75" hidden="false" customHeight="false" outlineLevel="0" collapsed="false">
      <c r="A2104" s="6" t="n">
        <v>43030.2204513889</v>
      </c>
      <c r="B2104" s="7" t="str">
        <f aca="false">HYPERLINK("https://twitter.com/tvThirdEyeB","@tvThirdEyeB")</f>
        <v>@tvThirdEyeB</v>
      </c>
      <c r="C2104" s="8" t="s">
        <v>2027</v>
      </c>
      <c r="D2104" s="8" t="s">
        <v>5451</v>
      </c>
      <c r="E2104" s="9" t="str">
        <f aca="false">HYPERLINK("https://twitter.com/tvThirdEyeB/status/922074418922192897","922074418922192897")</f>
        <v>922074418922192897</v>
      </c>
      <c r="F2104" s="10" t="s">
        <v>2029</v>
      </c>
      <c r="G2104" s="10" t="n">
        <v>31</v>
      </c>
      <c r="H2104" s="10" t="n">
        <v>0</v>
      </c>
      <c r="I2104" s="10" t="n">
        <v>0</v>
      </c>
      <c r="J2104" s="10" t="n">
        <v>0</v>
      </c>
      <c r="K2104" s="10" t="s">
        <v>20</v>
      </c>
      <c r="L2104" s="11" t="n">
        <v>42972.5932638889</v>
      </c>
      <c r="M2104" s="12" t="s">
        <v>588</v>
      </c>
      <c r="N2104" s="12" t="s">
        <v>2030</v>
      </c>
      <c r="O2104" s="9" t="str">
        <f aca="false">HYPERLINK("https://pbs.twimg.com/profile_images/910606884565950464/P-E5U0ei_normal.jpg","View")</f>
        <v>View</v>
      </c>
      <c r="P2104" s="10"/>
    </row>
    <row r="2105" customFormat="false" ht="15.75" hidden="false" customHeight="false" outlineLevel="0" collapsed="false">
      <c r="A2105" s="6" t="n">
        <v>43030.2204976852</v>
      </c>
      <c r="B2105" s="7" t="str">
        <f aca="false">HYPERLINK("https://twitter.com/MarketingNetCo","@MarketingNetCo")</f>
        <v>@MarketingNetCo</v>
      </c>
      <c r="C2105" s="8" t="s">
        <v>5452</v>
      </c>
      <c r="D2105" s="8" t="s">
        <v>5453</v>
      </c>
      <c r="E2105" s="9" t="str">
        <f aca="false">HYPERLINK("https://twitter.com/MarketingNetCo/status/922074434353221632","922074434353221632")</f>
        <v>922074434353221632</v>
      </c>
      <c r="F2105" s="10" t="s">
        <v>60</v>
      </c>
      <c r="G2105" s="10" t="n">
        <v>915</v>
      </c>
      <c r="H2105" s="10" t="n">
        <v>185</v>
      </c>
      <c r="I2105" s="10" t="n">
        <v>0</v>
      </c>
      <c r="J2105" s="10" t="n">
        <v>0</v>
      </c>
      <c r="K2105" s="10" t="s">
        <v>20</v>
      </c>
      <c r="L2105" s="11" t="n">
        <v>42419.1144907407</v>
      </c>
      <c r="M2105" s="12" t="s">
        <v>182</v>
      </c>
      <c r="N2105" s="12" t="s">
        <v>5454</v>
      </c>
      <c r="O2105" s="9" t="str">
        <f aca="false">HYPERLINK("https://pbs.twimg.com/profile_images/716912488432971776/WxJygU6v_normal.jpg","View")</f>
        <v>View</v>
      </c>
      <c r="P2105" s="10"/>
    </row>
    <row r="2106" customFormat="false" ht="15.75" hidden="false" customHeight="false" outlineLevel="0" collapsed="false">
      <c r="A2106" s="6" t="n">
        <v>43030.2204976852</v>
      </c>
      <c r="B2106" s="7" t="str">
        <f aca="false">HYPERLINK("https://twitter.com/CWNewsReport","@CWNewsReport")</f>
        <v>@CWNewsReport</v>
      </c>
      <c r="C2106" s="8" t="s">
        <v>4636</v>
      </c>
      <c r="D2106" s="8" t="s">
        <v>5455</v>
      </c>
      <c r="E2106" s="9" t="str">
        <f aca="false">HYPERLINK("https://twitter.com/CWNewsReport/status/922074437154955264","922074437154955264")</f>
        <v>922074437154955264</v>
      </c>
      <c r="F2106" s="9" t="s">
        <v>979</v>
      </c>
      <c r="G2106" s="10" t="n">
        <v>1053</v>
      </c>
      <c r="H2106" s="10" t="n">
        <v>1433</v>
      </c>
      <c r="I2106" s="10" t="n">
        <v>0</v>
      </c>
      <c r="J2106" s="10" t="n">
        <v>0</v>
      </c>
      <c r="K2106" s="10" t="s">
        <v>20</v>
      </c>
      <c r="L2106" s="11" t="n">
        <v>42075.45125</v>
      </c>
      <c r="M2106" s="12" t="s">
        <v>1143</v>
      </c>
      <c r="N2106" s="12" t="s">
        <v>4638</v>
      </c>
      <c r="O2106" s="9" t="str">
        <f aca="false">HYPERLINK("https://pbs.twimg.com/profile_images/576191201822441472/DE4-VMNZ_normal.png","View")</f>
        <v>View</v>
      </c>
      <c r="P2106" s="10"/>
    </row>
    <row r="2107" customFormat="false" ht="15.75" hidden="false" customHeight="false" outlineLevel="0" collapsed="false">
      <c r="A2107" s="6" t="n">
        <v>43030.2206018519</v>
      </c>
      <c r="B2107" s="7" t="str">
        <f aca="false">HYPERLINK("https://twitter.com/mrkwhrvy","@mrkwhrvy")</f>
        <v>@mrkwhrvy</v>
      </c>
      <c r="C2107" s="8" t="s">
        <v>5456</v>
      </c>
      <c r="D2107" s="8" t="s">
        <v>4984</v>
      </c>
      <c r="E2107" s="9" t="str">
        <f aca="false">HYPERLINK("https://twitter.com/mrkwhrvy/status/922074474391904256","922074474391904256")</f>
        <v>922074474391904256</v>
      </c>
      <c r="F2107" s="10" t="s">
        <v>51</v>
      </c>
      <c r="G2107" s="10" t="n">
        <v>90</v>
      </c>
      <c r="H2107" s="10" t="n">
        <v>260</v>
      </c>
      <c r="I2107" s="10" t="n">
        <v>187</v>
      </c>
      <c r="J2107" s="10" t="n">
        <v>0</v>
      </c>
      <c r="K2107" s="10" t="s">
        <v>20</v>
      </c>
      <c r="L2107" s="11" t="n">
        <v>42054.7916550926</v>
      </c>
      <c r="M2107" s="12" t="s">
        <v>5457</v>
      </c>
      <c r="N2107" s="12" t="s">
        <v>5458</v>
      </c>
      <c r="O2107" s="9" t="str">
        <f aca="false">HYPERLINK("https://pbs.twimg.com/profile_images/800438193292214272/ijWqVLsN_normal.jpg","View")</f>
        <v>View</v>
      </c>
      <c r="P2107" s="10"/>
    </row>
    <row r="2108" customFormat="false" ht="15.75" hidden="false" customHeight="false" outlineLevel="0" collapsed="false">
      <c r="A2108" s="6" t="n">
        <v>43030.2208101852</v>
      </c>
      <c r="B2108" s="7" t="str">
        <f aca="false">HYPERLINK("https://twitter.com/veracruz777","@veracruz777")</f>
        <v>@veracruz777</v>
      </c>
      <c r="C2108" s="8" t="s">
        <v>5362</v>
      </c>
      <c r="D2108" s="8" t="s">
        <v>4124</v>
      </c>
      <c r="E2108" s="9" t="str">
        <f aca="false">HYPERLINK("https://twitter.com/veracruz777/status/922074547976683520","922074547976683520")</f>
        <v>922074547976683520</v>
      </c>
      <c r="F2108" s="10" t="s">
        <v>5363</v>
      </c>
      <c r="G2108" s="10" t="n">
        <v>2027</v>
      </c>
      <c r="H2108" s="10" t="n">
        <v>2355</v>
      </c>
      <c r="I2108" s="10" t="n">
        <v>111</v>
      </c>
      <c r="J2108" s="10" t="n">
        <v>0</v>
      </c>
      <c r="K2108" s="10" t="s">
        <v>20</v>
      </c>
      <c r="L2108" s="11" t="n">
        <v>40178.8444560185</v>
      </c>
      <c r="M2108" s="12" t="s">
        <v>194</v>
      </c>
      <c r="N2108" s="12" t="s">
        <v>5364</v>
      </c>
      <c r="O2108" s="9" t="str">
        <f aca="false">HYPERLINK("https://pbs.twimg.com/profile_images/1838376613/__m_normal.jpg","View")</f>
        <v>View</v>
      </c>
      <c r="P2108" s="10"/>
    </row>
    <row r="2109" customFormat="false" ht="15.75" hidden="false" customHeight="false" outlineLevel="0" collapsed="false">
      <c r="A2109" s="6" t="n">
        <v>43030.2209027778</v>
      </c>
      <c r="B2109" s="7" t="str">
        <f aca="false">HYPERLINK("https://twitter.com/omarjonathan","@omarjonathan")</f>
        <v>@omarjonathan</v>
      </c>
      <c r="C2109" s="8" t="s">
        <v>5459</v>
      </c>
      <c r="D2109" s="8" t="s">
        <v>5460</v>
      </c>
      <c r="E2109" s="9" t="str">
        <f aca="false">HYPERLINK("https://twitter.com/omarjonathan/status/922074583632568320","922074583632568320")</f>
        <v>922074583632568320</v>
      </c>
      <c r="F2109" s="9" t="s">
        <v>1147</v>
      </c>
      <c r="G2109" s="10" t="n">
        <v>1649</v>
      </c>
      <c r="H2109" s="10" t="n">
        <v>2577</v>
      </c>
      <c r="I2109" s="10" t="n">
        <v>0</v>
      </c>
      <c r="J2109" s="10" t="n">
        <v>0</v>
      </c>
      <c r="K2109" s="10" t="s">
        <v>20</v>
      </c>
      <c r="L2109" s="11" t="n">
        <v>39951.6125115741</v>
      </c>
      <c r="M2109" s="12" t="s">
        <v>5461</v>
      </c>
      <c r="N2109" s="12" t="s">
        <v>5462</v>
      </c>
      <c r="O2109" s="9" t="str">
        <f aca="false">HYPERLINK("https://pbs.twimg.com/profile_images/1424091907/7164724_normal.jpg","View")</f>
        <v>View</v>
      </c>
      <c r="P2109" s="10"/>
    </row>
    <row r="2110" customFormat="false" ht="15.75" hidden="false" customHeight="false" outlineLevel="0" collapsed="false">
      <c r="A2110" s="6" t="n">
        <v>43030.2209837963</v>
      </c>
      <c r="B2110" s="7" t="str">
        <f aca="false">HYPERLINK("https://twitter.com/Anon_Eu","@Anon_Eu")</f>
        <v>@Anon_Eu</v>
      </c>
      <c r="C2110" s="8" t="s">
        <v>1270</v>
      </c>
      <c r="D2110" s="8" t="s">
        <v>5463</v>
      </c>
      <c r="E2110" s="9" t="str">
        <f aca="false">HYPERLINK("https://twitter.com/Anon_Eu/status/922074610014732289","922074610014732289")</f>
        <v>922074610014732289</v>
      </c>
      <c r="F2110" s="9" t="s">
        <v>1147</v>
      </c>
      <c r="G2110" s="10" t="n">
        <v>13150</v>
      </c>
      <c r="H2110" s="10" t="n">
        <v>6968</v>
      </c>
      <c r="I2110" s="10" t="n">
        <v>0</v>
      </c>
      <c r="J2110" s="10" t="n">
        <v>0</v>
      </c>
      <c r="K2110" s="10" t="s">
        <v>20</v>
      </c>
      <c r="L2110" s="11" t="n">
        <v>41161.5910416667</v>
      </c>
      <c r="M2110" s="12" t="s">
        <v>1272</v>
      </c>
      <c r="N2110" s="12" t="s">
        <v>1273</v>
      </c>
      <c r="O2110" s="9" t="str">
        <f aca="false">HYPERLINK("https://pbs.twimg.com/profile_images/839870179282669570/K5jLYmlF_normal.jpg","View")</f>
        <v>View</v>
      </c>
      <c r="P2110" s="10"/>
    </row>
    <row r="2111" customFormat="false" ht="15.75" hidden="false" customHeight="false" outlineLevel="0" collapsed="false">
      <c r="A2111" s="6" t="n">
        <v>43030.2209953704</v>
      </c>
      <c r="B2111" s="7" t="str">
        <f aca="false">HYPERLINK("https://twitter.com/litianyu2000","@litianyu2000")</f>
        <v>@litianyu2000</v>
      </c>
      <c r="C2111" s="14" t="s">
        <v>5464</v>
      </c>
      <c r="D2111" s="8" t="s">
        <v>4984</v>
      </c>
      <c r="E2111" s="9" t="str">
        <f aca="false">HYPERLINK("https://twitter.com/litianyu2000/status/922074616419381248","922074616419381248")</f>
        <v>922074616419381248</v>
      </c>
      <c r="F2111" s="10" t="s">
        <v>39</v>
      </c>
      <c r="G2111" s="10" t="n">
        <v>5</v>
      </c>
      <c r="H2111" s="10" t="n">
        <v>143</v>
      </c>
      <c r="I2111" s="10" t="n">
        <v>187</v>
      </c>
      <c r="J2111" s="10" t="n">
        <v>0</v>
      </c>
      <c r="K2111" s="10" t="s">
        <v>20</v>
      </c>
      <c r="L2111" s="11" t="n">
        <v>43029.4626273148</v>
      </c>
      <c r="M2111" s="12" t="s">
        <v>5465</v>
      </c>
      <c r="N2111" s="13" t="s">
        <v>5466</v>
      </c>
      <c r="O2111" s="9" t="str">
        <f aca="false">HYPERLINK("https://pbs.twimg.com/profile_images/921800008055136257/HiBv4Xmd_normal.jpg","View")</f>
        <v>View</v>
      </c>
      <c r="P2111" s="10"/>
    </row>
    <row r="2112" customFormat="false" ht="15.75" hidden="false" customHeight="false" outlineLevel="0" collapsed="false">
      <c r="A2112" s="6" t="n">
        <v>43030.2210416667</v>
      </c>
      <c r="B2112" s="7" t="str">
        <f aca="false">HYPERLINK("https://twitter.com/appmaster2015","@appmaster2015")</f>
        <v>@appmaster2015</v>
      </c>
      <c r="C2112" s="8" t="s">
        <v>5467</v>
      </c>
      <c r="D2112" s="8" t="s">
        <v>5468</v>
      </c>
      <c r="E2112" s="9" t="str">
        <f aca="false">HYPERLINK("https://twitter.com/appmaster2015/status/922074633419059200","922074633419059200")</f>
        <v>922074633419059200</v>
      </c>
      <c r="F2112" s="10" t="s">
        <v>60</v>
      </c>
      <c r="G2112" s="10" t="n">
        <v>1386</v>
      </c>
      <c r="H2112" s="10" t="n">
        <v>303</v>
      </c>
      <c r="I2112" s="10" t="n">
        <v>0</v>
      </c>
      <c r="J2112" s="10" t="n">
        <v>0</v>
      </c>
      <c r="K2112" s="10" t="s">
        <v>20</v>
      </c>
      <c r="L2112" s="11" t="n">
        <v>42018.0216550926</v>
      </c>
      <c r="M2112" s="12" t="s">
        <v>72</v>
      </c>
      <c r="N2112" s="12"/>
      <c r="O2112" s="9" t="str">
        <f aca="false">HYPERLINK("https://pbs.twimg.com/profile_images/555281744044113921/uoOjQNhd_normal.jpeg","View")</f>
        <v>View</v>
      </c>
      <c r="P2112" s="10"/>
    </row>
    <row r="2113" customFormat="false" ht="15.75" hidden="false" customHeight="false" outlineLevel="0" collapsed="false">
      <c r="A2113" s="6" t="n">
        <v>43030.2210648148</v>
      </c>
      <c r="B2113" s="7" t="str">
        <f aca="false">HYPERLINK("https://twitter.com/DiraGunness","@DiraGunness")</f>
        <v>@DiraGunness</v>
      </c>
      <c r="C2113" s="8" t="s">
        <v>5469</v>
      </c>
      <c r="D2113" s="8" t="s">
        <v>4984</v>
      </c>
      <c r="E2113" s="9" t="str">
        <f aca="false">HYPERLINK("https://twitter.com/DiraGunness/status/922074639672758272","922074639672758272")</f>
        <v>922074639672758272</v>
      </c>
      <c r="F2113" s="10" t="s">
        <v>51</v>
      </c>
      <c r="G2113" s="10" t="n">
        <v>233</v>
      </c>
      <c r="H2113" s="10" t="n">
        <v>98</v>
      </c>
      <c r="I2113" s="10" t="n">
        <v>187</v>
      </c>
      <c r="J2113" s="10" t="n">
        <v>0</v>
      </c>
      <c r="K2113" s="10" t="s">
        <v>20</v>
      </c>
      <c r="L2113" s="11" t="n">
        <v>41101.7691087963</v>
      </c>
      <c r="M2113" s="12" t="s">
        <v>5470</v>
      </c>
      <c r="N2113" s="12"/>
      <c r="O2113" s="9" t="str">
        <f aca="false">HYPERLINK("https://pbs.twimg.com/profile_images/894234065125199878/qdgFaX9v_normal.jpg","View")</f>
        <v>View</v>
      </c>
      <c r="P2113" s="10"/>
    </row>
    <row r="2114" customFormat="false" ht="15.75" hidden="false" customHeight="false" outlineLevel="0" collapsed="false">
      <c r="A2114" s="6" t="n">
        <v>43030.2210648148</v>
      </c>
      <c r="B2114" s="7" t="str">
        <f aca="false">HYPERLINK("https://twitter.com/CollectedN","@CollectedN")</f>
        <v>@CollectedN</v>
      </c>
      <c r="C2114" s="8" t="s">
        <v>1803</v>
      </c>
      <c r="D2114" s="8" t="s">
        <v>5471</v>
      </c>
      <c r="E2114" s="9" t="str">
        <f aca="false">HYPERLINK("https://twitter.com/CollectedN/status/922074640788480001","922074640788480001")</f>
        <v>922074640788480001</v>
      </c>
      <c r="F2114" s="10" t="s">
        <v>60</v>
      </c>
      <c r="G2114" s="10" t="n">
        <v>21998</v>
      </c>
      <c r="H2114" s="10" t="n">
        <v>16536</v>
      </c>
      <c r="I2114" s="10" t="n">
        <v>0</v>
      </c>
      <c r="J2114" s="10" t="n">
        <v>0</v>
      </c>
      <c r="K2114" s="10" t="s">
        <v>20</v>
      </c>
      <c r="L2114" s="11" t="n">
        <v>41333.7684027778</v>
      </c>
      <c r="M2114" s="12"/>
      <c r="N2114" s="12" t="s">
        <v>1805</v>
      </c>
      <c r="O2114" s="9" t="str">
        <f aca="false">HYPERLINK("https://pbs.twimg.com/profile_images/705925817277108224/nGS1Ko7F_normal.jpg","View")</f>
        <v>View</v>
      </c>
      <c r="P2114" s="10"/>
    </row>
    <row r="2115" customFormat="false" ht="15.75" hidden="false" customHeight="false" outlineLevel="0" collapsed="false">
      <c r="A2115" s="6" t="n">
        <v>43030.2210648148</v>
      </c>
      <c r="B2115" s="7" t="str">
        <f aca="false">HYPERLINK("https://twitter.com/CollectedN","@CollectedN")</f>
        <v>@CollectedN</v>
      </c>
      <c r="C2115" s="8" t="s">
        <v>1803</v>
      </c>
      <c r="D2115" s="8" t="s">
        <v>5472</v>
      </c>
      <c r="E2115" s="9" t="str">
        <f aca="false">HYPERLINK("https://twitter.com/CollectedN/status/922074642801725441","922074642801725441")</f>
        <v>922074642801725441</v>
      </c>
      <c r="F2115" s="10" t="s">
        <v>60</v>
      </c>
      <c r="G2115" s="10" t="n">
        <v>21998</v>
      </c>
      <c r="H2115" s="10" t="n">
        <v>16536</v>
      </c>
      <c r="I2115" s="10" t="n">
        <v>0</v>
      </c>
      <c r="J2115" s="10" t="n">
        <v>0</v>
      </c>
      <c r="K2115" s="10" t="s">
        <v>20</v>
      </c>
      <c r="L2115" s="11" t="n">
        <v>41333.7684027778</v>
      </c>
      <c r="M2115" s="12"/>
      <c r="N2115" s="12" t="s">
        <v>1805</v>
      </c>
      <c r="O2115" s="9" t="str">
        <f aca="false">HYPERLINK("https://pbs.twimg.com/profile_images/705925817277108224/nGS1Ko7F_normal.jpg","View")</f>
        <v>View</v>
      </c>
      <c r="P2115" s="10"/>
    </row>
    <row r="2116" customFormat="false" ht="15.75" hidden="false" customHeight="false" outlineLevel="0" collapsed="false">
      <c r="A2116" s="6" t="n">
        <v>43030.2211458333</v>
      </c>
      <c r="B2116" s="7" t="str">
        <f aca="false">HYPERLINK("https://twitter.com/Yongbiyn","@Yongbiyn")</f>
        <v>@Yongbiyn</v>
      </c>
      <c r="C2116" s="8" t="s">
        <v>781</v>
      </c>
      <c r="D2116" s="8" t="s">
        <v>5473</v>
      </c>
      <c r="E2116" s="9" t="str">
        <f aca="false">HYPERLINK("https://twitter.com/Yongbiyn/status/922074669875978240","922074669875978240")</f>
        <v>922074669875978240</v>
      </c>
      <c r="F2116" s="10" t="s">
        <v>60</v>
      </c>
      <c r="G2116" s="10" t="n">
        <v>5</v>
      </c>
      <c r="H2116" s="10" t="n">
        <v>0</v>
      </c>
      <c r="I2116" s="10" t="n">
        <v>0</v>
      </c>
      <c r="J2116" s="10" t="n">
        <v>0</v>
      </c>
      <c r="K2116" s="10" t="s">
        <v>20</v>
      </c>
      <c r="L2116" s="11" t="n">
        <v>40627.1999884259</v>
      </c>
      <c r="M2116" s="12"/>
      <c r="N2116" s="12"/>
      <c r="O2116" s="9" t="str">
        <f aca="false">HYPERLINK("https://pbs.twimg.com/profile_images/891142706415542272/ebuXhLzE_normal.jpg","View")</f>
        <v>View</v>
      </c>
      <c r="P2116" s="10"/>
    </row>
    <row r="2117" customFormat="false" ht="15.75" hidden="false" customHeight="false" outlineLevel="0" collapsed="false">
      <c r="A2117" s="6" t="n">
        <v>43030.2211458333</v>
      </c>
      <c r="B2117" s="7" t="str">
        <f aca="false">HYPERLINK("https://twitter.com/Yongbiyn","@Yongbiyn")</f>
        <v>@Yongbiyn</v>
      </c>
      <c r="C2117" s="8" t="s">
        <v>781</v>
      </c>
      <c r="D2117" s="8" t="s">
        <v>5474</v>
      </c>
      <c r="E2117" s="9" t="str">
        <f aca="false">HYPERLINK("https://twitter.com/Yongbiyn/status/922074671939555328","922074671939555328")</f>
        <v>922074671939555328</v>
      </c>
      <c r="F2117" s="10" t="s">
        <v>60</v>
      </c>
      <c r="G2117" s="10" t="n">
        <v>5</v>
      </c>
      <c r="H2117" s="10" t="n">
        <v>0</v>
      </c>
      <c r="I2117" s="10" t="n">
        <v>0</v>
      </c>
      <c r="J2117" s="10" t="n">
        <v>0</v>
      </c>
      <c r="K2117" s="10" t="s">
        <v>20</v>
      </c>
      <c r="L2117" s="11" t="n">
        <v>40627.1999884259</v>
      </c>
      <c r="M2117" s="12"/>
      <c r="N2117" s="12"/>
      <c r="O2117" s="9" t="str">
        <f aca="false">HYPERLINK("https://pbs.twimg.com/profile_images/891142706415542272/ebuXhLzE_normal.jpg","View")</f>
        <v>View</v>
      </c>
      <c r="P2117" s="10"/>
    </row>
    <row r="2118" customFormat="false" ht="15.75" hidden="false" customHeight="false" outlineLevel="0" collapsed="false">
      <c r="A2118" s="6" t="n">
        <v>43030.2213310185</v>
      </c>
      <c r="B2118" s="7" t="str">
        <f aca="false">HYPERLINK("https://twitter.com/joisami","@joisami")</f>
        <v>@joisami</v>
      </c>
      <c r="C2118" s="8" t="s">
        <v>5475</v>
      </c>
      <c r="D2118" s="8" t="s">
        <v>3631</v>
      </c>
      <c r="E2118" s="9" t="str">
        <f aca="false">HYPERLINK("https://twitter.com/joisami/status/922074736825319424","922074736825319424")</f>
        <v>922074736825319424</v>
      </c>
      <c r="F2118" s="10" t="s">
        <v>51</v>
      </c>
      <c r="G2118" s="10" t="n">
        <v>1668</v>
      </c>
      <c r="H2118" s="10" t="n">
        <v>1794</v>
      </c>
      <c r="I2118" s="10" t="n">
        <v>16</v>
      </c>
      <c r="J2118" s="10" t="n">
        <v>0</v>
      </c>
      <c r="K2118" s="10" t="s">
        <v>20</v>
      </c>
      <c r="L2118" s="11" t="n">
        <v>40101.8935532407</v>
      </c>
      <c r="M2118" s="12" t="s">
        <v>5476</v>
      </c>
      <c r="N2118" s="12" t="s">
        <v>5477</v>
      </c>
      <c r="O2118" s="9" t="str">
        <f aca="false">HYPERLINK("https://pbs.twimg.com/profile_images/914706939082190848/_rC1zLq6_normal.jpg","View")</f>
        <v>View</v>
      </c>
      <c r="P2118" s="10"/>
    </row>
    <row r="2119" customFormat="false" ht="15.75" hidden="false" customHeight="false" outlineLevel="0" collapsed="false">
      <c r="A2119" s="6" t="n">
        <v>43030.2214699074</v>
      </c>
      <c r="B2119" s="7" t="str">
        <f aca="false">HYPERLINK("https://twitter.com/PriyambudiS","@PriyambudiS")</f>
        <v>@PriyambudiS</v>
      </c>
      <c r="C2119" s="8" t="s">
        <v>5478</v>
      </c>
      <c r="D2119" s="8" t="s">
        <v>5479</v>
      </c>
      <c r="E2119" s="9" t="str">
        <f aca="false">HYPERLINK("https://twitter.com/PriyambudiS/status/922074789547720705","922074789547720705")</f>
        <v>922074789547720705</v>
      </c>
      <c r="F2119" s="10" t="s">
        <v>177</v>
      </c>
      <c r="G2119" s="10" t="n">
        <v>403</v>
      </c>
      <c r="H2119" s="10" t="n">
        <v>258</v>
      </c>
      <c r="I2119" s="10" t="n">
        <v>2</v>
      </c>
      <c r="J2119" s="10" t="n">
        <v>0</v>
      </c>
      <c r="K2119" s="10" t="s">
        <v>20</v>
      </c>
      <c r="L2119" s="11" t="n">
        <v>41378.2515856482</v>
      </c>
      <c r="M2119" s="12"/>
      <c r="N2119" s="12" t="s">
        <v>5480</v>
      </c>
      <c r="O2119" s="9" t="str">
        <f aca="false">HYPERLINK("https://pbs.twimg.com/profile_images/774021429830356992/WqKtHoCB_normal.jpg","View")</f>
        <v>View</v>
      </c>
      <c r="P2119" s="10"/>
    </row>
    <row r="2120" customFormat="false" ht="15.75" hidden="false" customHeight="false" outlineLevel="0" collapsed="false">
      <c r="A2120" s="6" t="n">
        <v>43030.2215393519</v>
      </c>
      <c r="B2120" s="7" t="str">
        <f aca="false">HYPERLINK("https://twitter.com/LillianRees10","@LillianRees10")</f>
        <v>@LillianRees10</v>
      </c>
      <c r="C2120" s="8" t="s">
        <v>5481</v>
      </c>
      <c r="D2120" s="8" t="s">
        <v>5482</v>
      </c>
      <c r="E2120" s="9" t="str">
        <f aca="false">HYPERLINK("https://twitter.com/LillianRees10/status/922074815183380480","922074815183380480")</f>
        <v>922074815183380480</v>
      </c>
      <c r="F2120" s="10" t="s">
        <v>60</v>
      </c>
      <c r="G2120" s="10" t="n">
        <v>3</v>
      </c>
      <c r="H2120" s="10" t="n">
        <v>0</v>
      </c>
      <c r="I2120" s="10" t="n">
        <v>0</v>
      </c>
      <c r="J2120" s="10" t="n">
        <v>0</v>
      </c>
      <c r="K2120" s="10" t="s">
        <v>20</v>
      </c>
      <c r="L2120" s="11" t="n">
        <v>42950.8917361111</v>
      </c>
      <c r="M2120" s="12"/>
      <c r="N2120" s="12"/>
      <c r="O2120" s="9" t="str">
        <f aca="false">HYPERLINK("https://pbs.twimg.com/profile_images/905030301969031168/BDHVnbMu_normal.jpg","View")</f>
        <v>View</v>
      </c>
      <c r="P2120" s="10"/>
    </row>
    <row r="2121" customFormat="false" ht="15.75" hidden="false" customHeight="false" outlineLevel="0" collapsed="false">
      <c r="A2121" s="6" t="n">
        <v>43030.2216782407</v>
      </c>
      <c r="B2121" s="7" t="str">
        <f aca="false">HYPERLINK("https://twitter.com/FunInMia","@FunInMia")</f>
        <v>@FunInMia</v>
      </c>
      <c r="C2121" s="8" t="s">
        <v>5483</v>
      </c>
      <c r="D2121" s="8" t="s">
        <v>4984</v>
      </c>
      <c r="E2121" s="9" t="str">
        <f aca="false">HYPERLINK("https://twitter.com/FunInMia/status/922074863879278593","922074863879278593")</f>
        <v>922074863879278593</v>
      </c>
      <c r="F2121" s="10" t="s">
        <v>51</v>
      </c>
      <c r="G2121" s="10" t="n">
        <v>820</v>
      </c>
      <c r="H2121" s="10" t="n">
        <v>779</v>
      </c>
      <c r="I2121" s="10" t="n">
        <v>187</v>
      </c>
      <c r="J2121" s="10" t="n">
        <v>0</v>
      </c>
      <c r="K2121" s="10" t="s">
        <v>20</v>
      </c>
      <c r="L2121" s="11" t="n">
        <v>40623.2644791667</v>
      </c>
      <c r="M2121" s="12" t="s">
        <v>5484</v>
      </c>
      <c r="N2121" s="12"/>
      <c r="O2121" s="9" t="str">
        <f aca="false">HYPERLINK("https://pbs.twimg.com/profile_images/475422485056221184/W706ZSQp_normal.jpeg","View")</f>
        <v>View</v>
      </c>
      <c r="P2121" s="10"/>
    </row>
    <row r="2122" customFormat="false" ht="15.75" hidden="false" customHeight="false" outlineLevel="0" collapsed="false">
      <c r="A2122" s="6" t="n">
        <v>43030.2217708333</v>
      </c>
      <c r="B2122" s="7" t="str">
        <f aca="false">HYPERLINK("https://twitter.com/MoJamesApted","@MoJamesApted")</f>
        <v>@MoJamesApted</v>
      </c>
      <c r="C2122" s="8" t="s">
        <v>5485</v>
      </c>
      <c r="D2122" s="8" t="s">
        <v>5030</v>
      </c>
      <c r="E2122" s="9" t="str">
        <f aca="false">HYPERLINK("https://twitter.com/MoJamesApted/status/922074895827083264","922074895827083264")</f>
        <v>922074895827083264</v>
      </c>
      <c r="F2122" s="10" t="s">
        <v>1289</v>
      </c>
      <c r="G2122" s="10" t="n">
        <v>727</v>
      </c>
      <c r="H2122" s="10" t="n">
        <v>2121</v>
      </c>
      <c r="I2122" s="10" t="n">
        <v>22</v>
      </c>
      <c r="J2122" s="10" t="n">
        <v>0</v>
      </c>
      <c r="K2122" s="10" t="s">
        <v>20</v>
      </c>
      <c r="L2122" s="11" t="n">
        <v>40250.8864930556</v>
      </c>
      <c r="M2122" s="12" t="s">
        <v>5486</v>
      </c>
      <c r="N2122" s="12"/>
      <c r="O2122" s="9" t="str">
        <f aca="false">HYPERLINK("https://pbs.twimg.com/profile_images/1095205333/TILE0001A_normal.jpg","View")</f>
        <v>View</v>
      </c>
      <c r="P2122" s="10"/>
    </row>
    <row r="2123" customFormat="false" ht="15.75" hidden="false" customHeight="false" outlineLevel="0" collapsed="false">
      <c r="A2123" s="6" t="n">
        <v>43030.2218402778</v>
      </c>
      <c r="B2123" s="7" t="str">
        <f aca="false">HYPERLINK("https://twitter.com/rcastle06","@rcastle06")</f>
        <v>@rcastle06</v>
      </c>
      <c r="C2123" s="8" t="s">
        <v>5487</v>
      </c>
      <c r="D2123" s="8" t="s">
        <v>5135</v>
      </c>
      <c r="E2123" s="9" t="str">
        <f aca="false">HYPERLINK("https://twitter.com/rcastle06/status/922074922419093504","922074922419093504")</f>
        <v>922074922419093504</v>
      </c>
      <c r="F2123" s="10" t="s">
        <v>3458</v>
      </c>
      <c r="G2123" s="10" t="n">
        <v>2109</v>
      </c>
      <c r="H2123" s="10" t="n">
        <v>3730</v>
      </c>
      <c r="I2123" s="10" t="n">
        <v>18</v>
      </c>
      <c r="J2123" s="10" t="n">
        <v>0</v>
      </c>
      <c r="K2123" s="10" t="s">
        <v>20</v>
      </c>
      <c r="L2123" s="11" t="n">
        <v>39940.5361342593</v>
      </c>
      <c r="M2123" s="12" t="s">
        <v>5488</v>
      </c>
      <c r="N2123" s="12" t="s">
        <v>5489</v>
      </c>
      <c r="O2123" s="9" t="str">
        <f aca="false">HYPERLINK("https://pbs.twimg.com/profile_images/816993346136719360/dBJl0lH3_normal.jpg","View")</f>
        <v>View</v>
      </c>
      <c r="P2123" s="10"/>
    </row>
    <row r="2124" customFormat="false" ht="15.75" hidden="false" customHeight="false" outlineLevel="0" collapsed="false">
      <c r="A2124" s="6" t="n">
        <v>43030.2218634259</v>
      </c>
      <c r="B2124" s="7" t="str">
        <f aca="false">HYPERLINK("https://twitter.com/HolmesVera1","@HolmesVera1")</f>
        <v>@HolmesVera1</v>
      </c>
      <c r="C2124" s="8" t="s">
        <v>5490</v>
      </c>
      <c r="D2124" s="8" t="s">
        <v>5491</v>
      </c>
      <c r="E2124" s="9" t="str">
        <f aca="false">HYPERLINK("https://twitter.com/HolmesVera1/status/922074932946833408","922074932946833408")</f>
        <v>922074932946833408</v>
      </c>
      <c r="F2124" s="10" t="s">
        <v>60</v>
      </c>
      <c r="G2124" s="10" t="n">
        <v>0</v>
      </c>
      <c r="H2124" s="10" t="n">
        <v>0</v>
      </c>
      <c r="I2124" s="10" t="n">
        <v>0</v>
      </c>
      <c r="J2124" s="10" t="n">
        <v>0</v>
      </c>
      <c r="K2124" s="10" t="s">
        <v>20</v>
      </c>
      <c r="L2124" s="11" t="n">
        <v>42950.9390277778</v>
      </c>
      <c r="M2124" s="12"/>
      <c r="N2124" s="12"/>
      <c r="O2124" s="9" t="str">
        <f aca="false">HYPERLINK("https://pbs.twimg.com/profile_images/902096637786329088/xnND3T2M_normal.jpg","View")</f>
        <v>View</v>
      </c>
      <c r="P2124" s="10"/>
    </row>
    <row r="2125" customFormat="false" ht="15.75" hidden="false" customHeight="false" outlineLevel="0" collapsed="false">
      <c r="A2125" s="6" t="n">
        <v>43030.2218865741</v>
      </c>
      <c r="B2125" s="7" t="str">
        <f aca="false">HYPERLINK("https://twitter.com/marishaapplebee","@marishaapplebee")</f>
        <v>@marishaapplebee</v>
      </c>
      <c r="C2125" s="8" t="s">
        <v>5492</v>
      </c>
      <c r="D2125" s="8" t="s">
        <v>5493</v>
      </c>
      <c r="E2125" s="9" t="str">
        <f aca="false">HYPERLINK("https://twitter.com/marishaapplebee/status/922074938902802432","922074938902802432")</f>
        <v>922074938902802432</v>
      </c>
      <c r="F2125" s="10" t="s">
        <v>60</v>
      </c>
      <c r="G2125" s="10" t="n">
        <v>0</v>
      </c>
      <c r="H2125" s="10" t="n">
        <v>9</v>
      </c>
      <c r="I2125" s="10" t="n">
        <v>0</v>
      </c>
      <c r="J2125" s="10" t="n">
        <v>0</v>
      </c>
      <c r="K2125" s="10" t="s">
        <v>20</v>
      </c>
      <c r="L2125" s="11" t="n">
        <v>42808.1497569445</v>
      </c>
      <c r="M2125" s="12"/>
      <c r="N2125" s="12" t="s">
        <v>5494</v>
      </c>
      <c r="O2125" s="9" t="str">
        <f aca="false">HYPERLINK("https://pbs.twimg.com/profile_images/854612435944169472/LlVVZmSZ_normal.jpg","View")</f>
        <v>View</v>
      </c>
      <c r="P2125" s="10"/>
    </row>
    <row r="2126" customFormat="false" ht="15.75" hidden="false" customHeight="false" outlineLevel="0" collapsed="false">
      <c r="A2126" s="6" t="n">
        <v>43030.2218981482</v>
      </c>
      <c r="B2126" s="7" t="str">
        <f aca="false">HYPERLINK("https://twitter.com/MaraHollabaugh","@MaraHollabaugh")</f>
        <v>@MaraHollabaugh</v>
      </c>
      <c r="C2126" s="8" t="s">
        <v>5495</v>
      </c>
      <c r="D2126" s="8" t="s">
        <v>5496</v>
      </c>
      <c r="E2126" s="9" t="str">
        <f aca="false">HYPERLINK("https://twitter.com/MaraHollabaugh/status/922074941641691137","922074941641691137")</f>
        <v>922074941641691137</v>
      </c>
      <c r="F2126" s="10" t="s">
        <v>60</v>
      </c>
      <c r="G2126" s="10" t="n">
        <v>0</v>
      </c>
      <c r="H2126" s="10" t="n">
        <v>8</v>
      </c>
      <c r="I2126" s="10" t="n">
        <v>0</v>
      </c>
      <c r="J2126" s="10" t="n">
        <v>0</v>
      </c>
      <c r="K2126" s="10" t="s">
        <v>20</v>
      </c>
      <c r="L2126" s="11" t="n">
        <v>43011.8760069444</v>
      </c>
      <c r="M2126" s="12" t="s">
        <v>230</v>
      </c>
      <c r="N2126" s="12" t="s">
        <v>5497</v>
      </c>
      <c r="O2126" s="9" t="str">
        <f aca="false">HYPERLINK("https://pbs.twimg.com/profile_images/917922795861839872/jLIfmwIx_normal.jpg","View")</f>
        <v>View</v>
      </c>
      <c r="P2126" s="10"/>
    </row>
    <row r="2127" customFormat="false" ht="15.75" hidden="false" customHeight="false" outlineLevel="0" collapsed="false">
      <c r="A2127" s="6" t="n">
        <v>43030.2219097222</v>
      </c>
      <c r="B2127" s="7" t="str">
        <f aca="false">HYPERLINK("https://twitter.com/OlivaesNancy","@OlivaesNancy")</f>
        <v>@OlivaesNancy</v>
      </c>
      <c r="C2127" s="8" t="s">
        <v>5498</v>
      </c>
      <c r="D2127" s="8" t="s">
        <v>5499</v>
      </c>
      <c r="E2127" s="9" t="str">
        <f aca="false">HYPERLINK("https://twitter.com/OlivaesNancy/status/922074948516106240","922074948516106240")</f>
        <v>922074948516106240</v>
      </c>
      <c r="F2127" s="10" t="s">
        <v>60</v>
      </c>
      <c r="G2127" s="10" t="n">
        <v>0</v>
      </c>
      <c r="H2127" s="10" t="n">
        <v>8</v>
      </c>
      <c r="I2127" s="10" t="n">
        <v>0</v>
      </c>
      <c r="J2127" s="10" t="n">
        <v>0</v>
      </c>
      <c r="K2127" s="10" t="s">
        <v>20</v>
      </c>
      <c r="L2127" s="11" t="n">
        <v>43011.1179282407</v>
      </c>
      <c r="M2127" s="12" t="s">
        <v>5500</v>
      </c>
      <c r="N2127" s="12" t="s">
        <v>5501</v>
      </c>
      <c r="O2127" s="9" t="str">
        <f aca="false">HYPERLINK("https://pbs.twimg.com/profile_images/917899375136858113/Hb3U-lGO_normal.jpg","View")</f>
        <v>View</v>
      </c>
      <c r="P2127" s="10"/>
    </row>
    <row r="2128" customFormat="false" ht="15.75" hidden="false" customHeight="false" outlineLevel="0" collapsed="false">
      <c r="A2128" s="6" t="n">
        <v>43030.2219328704</v>
      </c>
      <c r="B2128" s="7" t="str">
        <f aca="false">HYPERLINK("https://twitter.com/BrindaHalperin","@BrindaHalperin")</f>
        <v>@BrindaHalperin</v>
      </c>
      <c r="C2128" s="8" t="s">
        <v>5502</v>
      </c>
      <c r="D2128" s="8" t="s">
        <v>5503</v>
      </c>
      <c r="E2128" s="9" t="str">
        <f aca="false">HYPERLINK("https://twitter.com/BrindaHalperin/status/922074955449274369","922074955449274369")</f>
        <v>922074955449274369</v>
      </c>
      <c r="F2128" s="10" t="s">
        <v>60</v>
      </c>
      <c r="G2128" s="10" t="n">
        <v>1</v>
      </c>
      <c r="H2128" s="10" t="n">
        <v>9</v>
      </c>
      <c r="I2128" s="10" t="n">
        <v>0</v>
      </c>
      <c r="J2128" s="10" t="n">
        <v>0</v>
      </c>
      <c r="K2128" s="10" t="s">
        <v>20</v>
      </c>
      <c r="L2128" s="11" t="n">
        <v>43011.0636458333</v>
      </c>
      <c r="M2128" s="12" t="s">
        <v>230</v>
      </c>
      <c r="N2128" s="12" t="s">
        <v>5504</v>
      </c>
      <c r="O2128" s="9" t="str">
        <f aca="false">HYPERLINK("https://pbs.twimg.com/profile_images/917138071266529280/twz5oiP8_normal.jpg","View")</f>
        <v>View</v>
      </c>
      <c r="P2128" s="10"/>
    </row>
    <row r="2129" customFormat="false" ht="15.75" hidden="false" customHeight="false" outlineLevel="0" collapsed="false">
      <c r="A2129" s="6" t="n">
        <v>43030.2219791667</v>
      </c>
      <c r="B2129" s="7" t="str">
        <f aca="false">HYPERLINK("https://twitter.com/NewYork_Vibes","@NewYork_Vibes")</f>
        <v>@NewYork_Vibes</v>
      </c>
      <c r="C2129" s="8" t="s">
        <v>5505</v>
      </c>
      <c r="D2129" s="8" t="s">
        <v>5506</v>
      </c>
      <c r="E2129" s="9" t="str">
        <f aca="false">HYPERLINK("https://twitter.com/NewYork_Vibes/status/922074972880859139","922074972880859139")</f>
        <v>922074972880859139</v>
      </c>
      <c r="F2129" s="10" t="s">
        <v>60</v>
      </c>
      <c r="G2129" s="10" t="n">
        <v>36</v>
      </c>
      <c r="H2129" s="10" t="n">
        <v>21</v>
      </c>
      <c r="I2129" s="10" t="n">
        <v>0</v>
      </c>
      <c r="J2129" s="10" t="n">
        <v>0</v>
      </c>
      <c r="K2129" s="10" t="s">
        <v>20</v>
      </c>
      <c r="L2129" s="11" t="n">
        <v>42586.4552893519</v>
      </c>
      <c r="M2129" s="12" t="s">
        <v>312</v>
      </c>
      <c r="N2129" s="12"/>
      <c r="O2129" s="9" t="str">
        <f aca="false">HYPERLINK("https://pbs.twimg.com/profile_images/761659579767730176/et14rYxM_normal.jpg","View")</f>
        <v>View</v>
      </c>
      <c r="P2129" s="10"/>
    </row>
    <row r="2130" customFormat="false" ht="15.75" hidden="false" customHeight="false" outlineLevel="0" collapsed="false">
      <c r="A2130" s="6" t="n">
        <v>43030.2220023148</v>
      </c>
      <c r="B2130" s="7" t="str">
        <f aca="false">HYPERLINK("https://twitter.com/krunox123","@krunox123")</f>
        <v>@krunox123</v>
      </c>
      <c r="C2130" s="8" t="s">
        <v>1049</v>
      </c>
      <c r="D2130" s="8" t="s">
        <v>5507</v>
      </c>
      <c r="E2130" s="9" t="str">
        <f aca="false">HYPERLINK("https://twitter.com/krunox123/status/922074980577366018","922074980577366018")</f>
        <v>922074980577366018</v>
      </c>
      <c r="F2130" s="10" t="s">
        <v>60</v>
      </c>
      <c r="G2130" s="10" t="n">
        <v>10225</v>
      </c>
      <c r="H2130" s="10" t="n">
        <v>2</v>
      </c>
      <c r="I2130" s="10" t="n">
        <v>0</v>
      </c>
      <c r="J2130" s="10" t="n">
        <v>0</v>
      </c>
      <c r="K2130" s="10" t="s">
        <v>20</v>
      </c>
      <c r="L2130" s="11" t="n">
        <v>40938.2278935185</v>
      </c>
      <c r="M2130" s="12" t="s">
        <v>1051</v>
      </c>
      <c r="N2130" s="12" t="s">
        <v>1052</v>
      </c>
      <c r="O2130" s="9" t="str">
        <f aca="false">HYPERLINK("https://pbs.twimg.com/profile_images/824952382618349568/2SFIkM2x_normal.jpg","View")</f>
        <v>View</v>
      </c>
      <c r="P2130" s="10"/>
    </row>
    <row r="2131" customFormat="false" ht="15.75" hidden="false" customHeight="false" outlineLevel="0" collapsed="false">
      <c r="A2131" s="6" t="n">
        <v>43030.222037037</v>
      </c>
      <c r="B2131" s="7" t="str">
        <f aca="false">HYPERLINK("https://twitter.com/brandonbuckla17","@brandonbuckla17")</f>
        <v>@brandonbuckla17</v>
      </c>
      <c r="C2131" s="8" t="s">
        <v>5508</v>
      </c>
      <c r="D2131" s="8" t="s">
        <v>5509</v>
      </c>
      <c r="E2131" s="9" t="str">
        <f aca="false">HYPERLINK("https://twitter.com/brandonbuckla17/status/922074991969079296","922074991969079296")</f>
        <v>922074991969079296</v>
      </c>
      <c r="F2131" s="10" t="s">
        <v>60</v>
      </c>
      <c r="G2131" s="10" t="n">
        <v>0</v>
      </c>
      <c r="H2131" s="10" t="n">
        <v>34</v>
      </c>
      <c r="I2131" s="10" t="n">
        <v>0</v>
      </c>
      <c r="J2131" s="10" t="n">
        <v>0</v>
      </c>
      <c r="K2131" s="10" t="s">
        <v>20</v>
      </c>
      <c r="L2131" s="11" t="n">
        <v>42950.8761921296</v>
      </c>
      <c r="M2131" s="12"/>
      <c r="N2131" s="12"/>
      <c r="O2131" s="9" t="str">
        <f aca="false">HYPERLINK("https://pbs.twimg.com/profile_images/897137767104225280/J_zL7f_B_normal.jpg","View")</f>
        <v>View</v>
      </c>
      <c r="P2131" s="10"/>
    </row>
    <row r="2132" customFormat="false" ht="15.75" hidden="false" customHeight="false" outlineLevel="0" collapsed="false">
      <c r="A2132" s="6" t="n">
        <v>43030.2220949074</v>
      </c>
      <c r="B2132" s="7" t="str">
        <f aca="false">HYPERLINK("https://twitter.com/Akita4two1","@Akita4two1")</f>
        <v>@Akita4two1</v>
      </c>
      <c r="C2132" s="8" t="s">
        <v>5510</v>
      </c>
      <c r="D2132" s="8" t="s">
        <v>3295</v>
      </c>
      <c r="E2132" s="9" t="str">
        <f aca="false">HYPERLINK("https://twitter.com/Akita4two1/status/922075015297847296","922075015297847296")</f>
        <v>922075015297847296</v>
      </c>
      <c r="F2132" s="10" t="s">
        <v>98</v>
      </c>
      <c r="G2132" s="10" t="n">
        <v>96</v>
      </c>
      <c r="H2132" s="10" t="n">
        <v>396</v>
      </c>
      <c r="I2132" s="10" t="n">
        <v>71</v>
      </c>
      <c r="J2132" s="10" t="n">
        <v>0</v>
      </c>
      <c r="K2132" s="10" t="s">
        <v>20</v>
      </c>
      <c r="L2132" s="11" t="n">
        <v>42896.7746875</v>
      </c>
      <c r="M2132" s="12"/>
      <c r="N2132" s="12"/>
      <c r="O2132" s="9" t="str">
        <f aca="false">HYPERLINK("https://pbs.twimg.com/profile_images/901866298824466432/IiBzXe38_normal.jpg","View")</f>
        <v>View</v>
      </c>
      <c r="P2132" s="10"/>
    </row>
    <row r="2133" customFormat="false" ht="15.75" hidden="false" customHeight="false" outlineLevel="0" collapsed="false">
      <c r="A2133" s="6" t="n">
        <v>43030.2221875</v>
      </c>
      <c r="B2133" s="7" t="str">
        <f aca="false">HYPERLINK("https://twitter.com/young_peace","@young_peace")</f>
        <v>@young_peace</v>
      </c>
      <c r="C2133" s="8" t="s">
        <v>5511</v>
      </c>
      <c r="D2133" s="8" t="s">
        <v>5135</v>
      </c>
      <c r="E2133" s="9" t="str">
        <f aca="false">HYPERLINK("https://twitter.com/young_peace/status/922075047174463488","922075047174463488")</f>
        <v>922075047174463488</v>
      </c>
      <c r="F2133" s="10" t="s">
        <v>25</v>
      </c>
      <c r="G2133" s="10" t="n">
        <v>2927</v>
      </c>
      <c r="H2133" s="10" t="n">
        <v>4999</v>
      </c>
      <c r="I2133" s="10" t="n">
        <v>18</v>
      </c>
      <c r="J2133" s="10" t="n">
        <v>0</v>
      </c>
      <c r="K2133" s="10" t="s">
        <v>20</v>
      </c>
      <c r="L2133" s="11" t="n">
        <v>41009.6377314815</v>
      </c>
      <c r="M2133" s="13" t="s">
        <v>5512</v>
      </c>
      <c r="N2133" s="12" t="s">
        <v>5513</v>
      </c>
      <c r="O2133" s="9" t="str">
        <f aca="false">HYPERLINK("https://pbs.twimg.com/profile_images/679998150216568832/6d6BiwlW_normal.jpg","View")</f>
        <v>View</v>
      </c>
      <c r="P2133" s="10"/>
    </row>
    <row r="2134" customFormat="false" ht="15.75" hidden="false" customHeight="false" outlineLevel="0" collapsed="false">
      <c r="A2134" s="6" t="n">
        <v>43030.2222685185</v>
      </c>
      <c r="B2134" s="7" t="str">
        <f aca="false">HYPERLINK("https://twitter.com/inandoutofcars","@inandoutofcars")</f>
        <v>@inandoutofcars</v>
      </c>
      <c r="C2134" s="8" t="s">
        <v>5514</v>
      </c>
      <c r="D2134" s="8" t="s">
        <v>4124</v>
      </c>
      <c r="E2134" s="9" t="str">
        <f aca="false">HYPERLINK("https://twitter.com/inandoutofcars/status/922075076241043457","922075076241043457")</f>
        <v>922075076241043457</v>
      </c>
      <c r="F2134" s="10" t="s">
        <v>25</v>
      </c>
      <c r="G2134" s="10" t="n">
        <v>283</v>
      </c>
      <c r="H2134" s="10" t="n">
        <v>774</v>
      </c>
      <c r="I2134" s="10" t="n">
        <v>111</v>
      </c>
      <c r="J2134" s="10" t="n">
        <v>0</v>
      </c>
      <c r="K2134" s="10" t="s">
        <v>20</v>
      </c>
      <c r="L2134" s="11" t="n">
        <v>42008.8529513889</v>
      </c>
      <c r="M2134" s="12" t="s">
        <v>5515</v>
      </c>
      <c r="N2134" s="12" t="s">
        <v>5516</v>
      </c>
      <c r="O2134" s="9" t="str">
        <f aca="false">HYPERLINK("https://pbs.twimg.com/profile_images/902381703313817600/g7DRtSfD_normal.jpg","View")</f>
        <v>View</v>
      </c>
      <c r="P2134" s="10"/>
    </row>
    <row r="2135" customFormat="false" ht="15.75" hidden="false" customHeight="false" outlineLevel="0" collapsed="false">
      <c r="A2135" s="6" t="n">
        <v>43030.2222685185</v>
      </c>
      <c r="B2135" s="7" t="str">
        <f aca="false">HYPERLINK("https://twitter.com/teyllan","@teyllan")</f>
        <v>@teyllan</v>
      </c>
      <c r="C2135" s="8" t="s">
        <v>5517</v>
      </c>
      <c r="D2135" s="8" t="s">
        <v>3514</v>
      </c>
      <c r="E2135" s="9" t="str">
        <f aca="false">HYPERLINK("https://twitter.com/teyllan/status/922075076928815105","922075076928815105")</f>
        <v>922075076928815105</v>
      </c>
      <c r="F2135" s="10" t="s">
        <v>39</v>
      </c>
      <c r="G2135" s="10" t="n">
        <v>1016</v>
      </c>
      <c r="H2135" s="10" t="n">
        <v>391</v>
      </c>
      <c r="I2135" s="10" t="n">
        <v>19</v>
      </c>
      <c r="J2135" s="10" t="n">
        <v>0</v>
      </c>
      <c r="K2135" s="10" t="s">
        <v>20</v>
      </c>
      <c r="L2135" s="11" t="n">
        <v>40543.0408680556</v>
      </c>
      <c r="M2135" s="12" t="s">
        <v>1257</v>
      </c>
      <c r="N2135" s="13" t="s">
        <v>5518</v>
      </c>
      <c r="O2135" s="9" t="str">
        <f aca="false">HYPERLINK("https://pbs.twimg.com/profile_images/673127190725201921/uaCwxeO-_normal.jpg","View")</f>
        <v>View</v>
      </c>
      <c r="P2135" s="10"/>
    </row>
    <row r="2136" customFormat="false" ht="15.75" hidden="false" customHeight="false" outlineLevel="0" collapsed="false">
      <c r="A2136" s="6" t="n">
        <v>43030.2222800926</v>
      </c>
      <c r="B2136" s="7" t="str">
        <f aca="false">HYPERLINK("https://twitter.com/baqpack","@baqpack")</f>
        <v>@baqpack</v>
      </c>
      <c r="C2136" s="8" t="s">
        <v>5519</v>
      </c>
      <c r="D2136" s="8" t="s">
        <v>5520</v>
      </c>
      <c r="E2136" s="9" t="str">
        <f aca="false">HYPERLINK("https://twitter.com/baqpack/status/922075082561867776","922075082561867776")</f>
        <v>922075082561867776</v>
      </c>
      <c r="F2136" s="10" t="s">
        <v>47</v>
      </c>
      <c r="G2136" s="10" t="n">
        <v>70</v>
      </c>
      <c r="H2136" s="10" t="n">
        <v>296</v>
      </c>
      <c r="I2136" s="10" t="n">
        <v>0</v>
      </c>
      <c r="J2136" s="10" t="n">
        <v>0</v>
      </c>
      <c r="K2136" s="10" t="s">
        <v>20</v>
      </c>
      <c r="L2136" s="11" t="n">
        <v>40720.138275463</v>
      </c>
      <c r="M2136" s="12"/>
      <c r="N2136" s="12" t="s">
        <v>5521</v>
      </c>
      <c r="O2136" s="9" t="str">
        <f aca="false">HYPERLINK("https://pbs.twimg.com/profile_images/1465962481/qp_logo_blue_sqrx170_normal.png","View")</f>
        <v>View</v>
      </c>
      <c r="P2136" s="10"/>
    </row>
    <row r="2137" customFormat="false" ht="15.75" hidden="false" customHeight="false" outlineLevel="0" collapsed="false">
      <c r="A2137" s="6" t="n">
        <v>43030.2223032407</v>
      </c>
      <c r="B2137" s="7" t="str">
        <f aca="false">HYPERLINK("https://twitter.com/News365247live","@News365247live")</f>
        <v>@News365247live</v>
      </c>
      <c r="C2137" s="8" t="s">
        <v>376</v>
      </c>
      <c r="D2137" s="8" t="s">
        <v>4984</v>
      </c>
      <c r="E2137" s="9" t="str">
        <f aca="false">HYPERLINK("https://twitter.com/News365247live/status/922075088647684097","922075088647684097")</f>
        <v>922075088647684097</v>
      </c>
      <c r="F2137" s="10" t="s">
        <v>377</v>
      </c>
      <c r="G2137" s="10" t="n">
        <v>1535</v>
      </c>
      <c r="H2137" s="10" t="n">
        <v>5001</v>
      </c>
      <c r="I2137" s="10" t="n">
        <v>187</v>
      </c>
      <c r="J2137" s="10" t="n">
        <v>0</v>
      </c>
      <c r="K2137" s="10" t="s">
        <v>20</v>
      </c>
      <c r="L2137" s="11" t="n">
        <v>42728.3420949074</v>
      </c>
      <c r="M2137" s="12" t="s">
        <v>357</v>
      </c>
      <c r="N2137" s="12" t="s">
        <v>378</v>
      </c>
      <c r="O2137" s="9" t="str">
        <f aca="false">HYPERLINK("https://pbs.twimg.com/profile_images/813047771091472384/ZtakiWrG_normal.jpg","View")</f>
        <v>View</v>
      </c>
      <c r="P2137" s="10"/>
    </row>
    <row r="2138" customFormat="false" ht="15.75" hidden="false" customHeight="false" outlineLevel="0" collapsed="false">
      <c r="A2138" s="6" t="n">
        <v>43030.2223263889</v>
      </c>
      <c r="B2138" s="7" t="str">
        <f aca="false">HYPERLINK("https://twitter.com/CareyMyrick","@CareyMyrick")</f>
        <v>@CareyMyrick</v>
      </c>
      <c r="C2138" s="8" t="s">
        <v>5522</v>
      </c>
      <c r="D2138" s="8" t="s">
        <v>5523</v>
      </c>
      <c r="E2138" s="9" t="str">
        <f aca="false">HYPERLINK("https://twitter.com/CareyMyrick/status/922075099460718592","922075099460718592")</f>
        <v>922075099460718592</v>
      </c>
      <c r="F2138" s="10" t="s">
        <v>60</v>
      </c>
      <c r="G2138" s="10" t="n">
        <v>40</v>
      </c>
      <c r="H2138" s="10" t="n">
        <v>15</v>
      </c>
      <c r="I2138" s="10" t="n">
        <v>0</v>
      </c>
      <c r="J2138" s="10" t="n">
        <v>0</v>
      </c>
      <c r="K2138" s="10" t="s">
        <v>20</v>
      </c>
      <c r="L2138" s="11" t="n">
        <v>41562.5715277778</v>
      </c>
      <c r="M2138" s="12" t="s">
        <v>5524</v>
      </c>
      <c r="N2138" s="12" t="s">
        <v>5525</v>
      </c>
      <c r="O2138" s="9" t="str">
        <f aca="false">HYPERLINK("https://pbs.twimg.com/profile_images/432977509655670784/FKK2TEVo_normal.jpeg","View")</f>
        <v>View</v>
      </c>
      <c r="P2138" s="10"/>
    </row>
    <row r="2139" customFormat="false" ht="15.75" hidden="false" customHeight="false" outlineLevel="0" collapsed="false">
      <c r="A2139" s="6" t="n">
        <v>43030.2223263889</v>
      </c>
      <c r="B2139" s="7" t="str">
        <f aca="false">HYPERLINK("https://twitter.com/VerredeMiroir","@VerredeMiroir")</f>
        <v>@VerredeMiroir</v>
      </c>
      <c r="C2139" s="8" t="s">
        <v>4944</v>
      </c>
      <c r="D2139" s="8" t="s">
        <v>5526</v>
      </c>
      <c r="E2139" s="9" t="str">
        <f aca="false">HYPERLINK("https://twitter.com/VerredeMiroir/status/922075099863195648","922075099863195648")</f>
        <v>922075099863195648</v>
      </c>
      <c r="F2139" s="10" t="s">
        <v>60</v>
      </c>
      <c r="G2139" s="10" t="n">
        <v>2136</v>
      </c>
      <c r="H2139" s="10" t="n">
        <v>65</v>
      </c>
      <c r="I2139" s="10" t="n">
        <v>0</v>
      </c>
      <c r="J2139" s="10" t="n">
        <v>0</v>
      </c>
      <c r="K2139" s="10" t="s">
        <v>20</v>
      </c>
      <c r="L2139" s="11" t="n">
        <v>42667.1603356481</v>
      </c>
      <c r="M2139" s="12" t="s">
        <v>4946</v>
      </c>
      <c r="N2139" s="12" t="s">
        <v>4947</v>
      </c>
      <c r="O2139" s="9" t="str">
        <f aca="false">HYPERLINK("https://pbs.twimg.com/profile_images/855366207578529793/PFgZqSUD_normal.jpg","View")</f>
        <v>View</v>
      </c>
      <c r="P2139" s="10"/>
    </row>
    <row r="2140" customFormat="false" ht="15.75" hidden="false" customHeight="false" outlineLevel="0" collapsed="false">
      <c r="A2140" s="6" t="n">
        <v>43030.2223726852</v>
      </c>
      <c r="B2140" s="7" t="str">
        <f aca="false">HYPERLINK("https://twitter.com/DurandMela","@DurandMela")</f>
        <v>@DurandMela</v>
      </c>
      <c r="C2140" s="8" t="s">
        <v>5527</v>
      </c>
      <c r="D2140" s="8" t="s">
        <v>5528</v>
      </c>
      <c r="E2140" s="9" t="str">
        <f aca="false">HYPERLINK("https://twitter.com/DurandMela/status/922075113587167232","922075113587167232")</f>
        <v>922075113587167232</v>
      </c>
      <c r="F2140" s="10" t="s">
        <v>60</v>
      </c>
      <c r="G2140" s="10" t="n">
        <v>0</v>
      </c>
      <c r="H2140" s="10" t="n">
        <v>42</v>
      </c>
      <c r="I2140" s="10" t="n">
        <v>0</v>
      </c>
      <c r="J2140" s="10" t="n">
        <v>0</v>
      </c>
      <c r="K2140" s="10" t="s">
        <v>20</v>
      </c>
      <c r="L2140" s="11" t="n">
        <v>43022.0697800926</v>
      </c>
      <c r="M2140" s="12" t="s">
        <v>295</v>
      </c>
      <c r="N2140" s="12" t="s">
        <v>5529</v>
      </c>
      <c r="O2140" s="9" t="str">
        <f aca="false">HYPERLINK("https://pbs.twimg.com/profile_images/920804453032144897/fJ_lH9jc_normal.jpg","View")</f>
        <v>View</v>
      </c>
      <c r="P2140" s="10"/>
    </row>
    <row r="2141" customFormat="false" ht="15.75" hidden="false" customHeight="false" outlineLevel="0" collapsed="false">
      <c r="A2141" s="6" t="n">
        <v>43030.2223726852</v>
      </c>
      <c r="B2141" s="7" t="str">
        <f aca="false">HYPERLINK("https://twitter.com/TracyAurtin","@TracyAurtin")</f>
        <v>@TracyAurtin</v>
      </c>
      <c r="C2141" s="8" t="s">
        <v>5530</v>
      </c>
      <c r="D2141" s="8" t="s">
        <v>5531</v>
      </c>
      <c r="E2141" s="9" t="str">
        <f aca="false">HYPERLINK("https://twitter.com/TracyAurtin/status/922075113742372864","922075113742372864")</f>
        <v>922075113742372864</v>
      </c>
      <c r="F2141" s="10" t="s">
        <v>60</v>
      </c>
      <c r="G2141" s="10" t="n">
        <v>4</v>
      </c>
      <c r="H2141" s="10" t="n">
        <v>8</v>
      </c>
      <c r="I2141" s="10" t="n">
        <v>0</v>
      </c>
      <c r="J2141" s="10" t="n">
        <v>0</v>
      </c>
      <c r="K2141" s="10" t="s">
        <v>20</v>
      </c>
      <c r="L2141" s="11" t="n">
        <v>43011.1010763889</v>
      </c>
      <c r="M2141" s="12" t="s">
        <v>230</v>
      </c>
      <c r="N2141" s="12" t="s">
        <v>5532</v>
      </c>
      <c r="O2141" s="9" t="str">
        <f aca="false">HYPERLINK("https://pbs.twimg.com/profile_images/917542033094459393/KyxkrlIY_normal.jpg","View")</f>
        <v>View</v>
      </c>
      <c r="P2141" s="10"/>
    </row>
    <row r="2142" customFormat="false" ht="15.75" hidden="false" customHeight="false" outlineLevel="0" collapsed="false">
      <c r="A2142" s="6" t="n">
        <v>43030.2223958333</v>
      </c>
      <c r="B2142" s="7" t="str">
        <f aca="false">HYPERLINK("https://twitter.com/morrisondeanna3","@morrisondeanna3")</f>
        <v>@morrisondeanna3</v>
      </c>
      <c r="C2142" s="8" t="s">
        <v>5533</v>
      </c>
      <c r="D2142" s="8" t="s">
        <v>5534</v>
      </c>
      <c r="E2142" s="9" t="str">
        <f aca="false">HYPERLINK("https://twitter.com/morrisondeanna3/status/922075123057856514","922075123057856514")</f>
        <v>922075123057856514</v>
      </c>
      <c r="F2142" s="10" t="s">
        <v>60</v>
      </c>
      <c r="G2142" s="10" t="n">
        <v>0</v>
      </c>
      <c r="H2142" s="10" t="n">
        <v>13</v>
      </c>
      <c r="I2142" s="10" t="n">
        <v>0</v>
      </c>
      <c r="J2142" s="10" t="n">
        <v>0</v>
      </c>
      <c r="K2142" s="10" t="s">
        <v>20</v>
      </c>
      <c r="L2142" s="11" t="n">
        <v>42950.8970601852</v>
      </c>
      <c r="M2142" s="12"/>
      <c r="N2142" s="12"/>
      <c r="O2142" s="9" t="str">
        <f aca="false">HYPERLINK("https://pbs.twimg.com/profile_images/901013701192433664/TAS_FP6l_normal.jpg","View")</f>
        <v>View</v>
      </c>
      <c r="P2142" s="10"/>
    </row>
    <row r="2143" customFormat="false" ht="15.75" hidden="false" customHeight="false" outlineLevel="0" collapsed="false">
      <c r="A2143" s="6" t="n">
        <v>43030.2223958333</v>
      </c>
      <c r="B2143" s="7" t="str">
        <f aca="false">HYPERLINK("https://twitter.com/ginagvandi","@ginagvandi")</f>
        <v>@ginagvandi</v>
      </c>
      <c r="C2143" s="8" t="s">
        <v>5535</v>
      </c>
      <c r="D2143" s="8" t="s">
        <v>5536</v>
      </c>
      <c r="E2143" s="9" t="str">
        <f aca="false">HYPERLINK("https://twitter.com/ginagvandi/status/922075124764938242","922075124764938242")</f>
        <v>922075124764938242</v>
      </c>
      <c r="F2143" s="10" t="s">
        <v>60</v>
      </c>
      <c r="G2143" s="10" t="n">
        <v>0</v>
      </c>
      <c r="H2143" s="10" t="n">
        <v>9</v>
      </c>
      <c r="I2143" s="10" t="n">
        <v>0</v>
      </c>
      <c r="J2143" s="10" t="n">
        <v>0</v>
      </c>
      <c r="K2143" s="10" t="s">
        <v>20</v>
      </c>
      <c r="L2143" s="11" t="n">
        <v>42933.9189467593</v>
      </c>
      <c r="M2143" s="12" t="s">
        <v>5500</v>
      </c>
      <c r="N2143" s="12" t="s">
        <v>5537</v>
      </c>
      <c r="O2143" s="9" t="str">
        <f aca="false">HYPERLINK("https://pbs.twimg.com/profile_images/894881710113816576/5933Cpek_normal.jpg","View")</f>
        <v>View</v>
      </c>
      <c r="P2143" s="10"/>
    </row>
    <row r="2144" customFormat="false" ht="15.75" hidden="false" customHeight="false" outlineLevel="0" collapsed="false">
      <c r="A2144" s="6" t="n">
        <v>43030.2224074074</v>
      </c>
      <c r="B2144" s="7" t="str">
        <f aca="false">HYPERLINK("https://twitter.com/ValeRoselle","@ValeRoselle")</f>
        <v>@ValeRoselle</v>
      </c>
      <c r="C2144" s="8" t="s">
        <v>5538</v>
      </c>
      <c r="D2144" s="8" t="s">
        <v>5539</v>
      </c>
      <c r="E2144" s="9" t="str">
        <f aca="false">HYPERLINK("https://twitter.com/ValeRoselle/status/922075129840062464","922075129840062464")</f>
        <v>922075129840062464</v>
      </c>
      <c r="F2144" s="10" t="s">
        <v>60</v>
      </c>
      <c r="G2144" s="10" t="n">
        <v>0</v>
      </c>
      <c r="H2144" s="10" t="n">
        <v>0</v>
      </c>
      <c r="I2144" s="10" t="n">
        <v>0</v>
      </c>
      <c r="J2144" s="10" t="n">
        <v>0</v>
      </c>
      <c r="K2144" s="10" t="s">
        <v>20</v>
      </c>
      <c r="L2144" s="11" t="n">
        <v>43021.9945486111</v>
      </c>
      <c r="M2144" s="12" t="s">
        <v>295</v>
      </c>
      <c r="N2144" s="12" t="s">
        <v>5540</v>
      </c>
      <c r="O2144" s="9" t="str">
        <f aca="false">HYPERLINK("https://pbs.twimg.com/profile_images/921269365722398720/X4RrjSJh_normal.jpg","View")</f>
        <v>View</v>
      </c>
      <c r="P2144" s="10"/>
    </row>
    <row r="2145" customFormat="false" ht="15.75" hidden="false" customHeight="false" outlineLevel="0" collapsed="false">
      <c r="A2145" s="6" t="n">
        <v>43030.2224305556</v>
      </c>
      <c r="B2145" s="7" t="str">
        <f aca="false">HYPERLINK("https://twitter.com/Jinycoung","@Jinycoung")</f>
        <v>@Jinycoung</v>
      </c>
      <c r="C2145" s="8" t="s">
        <v>768</v>
      </c>
      <c r="D2145" s="8" t="s">
        <v>5541</v>
      </c>
      <c r="E2145" s="9" t="str">
        <f aca="false">HYPERLINK("https://twitter.com/Jinycoung/status/922075136160948225","922075136160948225")</f>
        <v>922075136160948225</v>
      </c>
      <c r="F2145" s="10" t="s">
        <v>60</v>
      </c>
      <c r="G2145" s="10" t="n">
        <v>76</v>
      </c>
      <c r="H2145" s="10" t="n">
        <v>49</v>
      </c>
      <c r="I2145" s="10" t="n">
        <v>0</v>
      </c>
      <c r="J2145" s="10" t="n">
        <v>0</v>
      </c>
      <c r="K2145" s="10" t="s">
        <v>20</v>
      </c>
      <c r="L2145" s="11" t="n">
        <v>40922.2551967593</v>
      </c>
      <c r="M2145" s="12"/>
      <c r="N2145" s="12" t="s">
        <v>770</v>
      </c>
      <c r="O2145" s="9" t="str">
        <f aca="false">HYPERLINK("https://pbs.twimg.com/profile_images/893469567678205952/VgdXEOgi_normal.jpg","View")</f>
        <v>View</v>
      </c>
      <c r="P2145" s="10"/>
    </row>
    <row r="2146" customFormat="false" ht="15.75" hidden="false" customHeight="false" outlineLevel="0" collapsed="false">
      <c r="A2146" s="6" t="n">
        <v>43030.2224305556</v>
      </c>
      <c r="B2146" s="7" t="str">
        <f aca="false">HYPERLINK("https://twitter.com/Jinycoung","@Jinycoung")</f>
        <v>@Jinycoung</v>
      </c>
      <c r="C2146" s="8" t="s">
        <v>768</v>
      </c>
      <c r="D2146" s="8" t="s">
        <v>5542</v>
      </c>
      <c r="E2146" s="9" t="str">
        <f aca="false">HYPERLINK("https://twitter.com/Jinycoung/status/922075137851232256","922075137851232256")</f>
        <v>922075137851232256</v>
      </c>
      <c r="F2146" s="10" t="s">
        <v>60</v>
      </c>
      <c r="G2146" s="10" t="n">
        <v>76</v>
      </c>
      <c r="H2146" s="10" t="n">
        <v>49</v>
      </c>
      <c r="I2146" s="10" t="n">
        <v>0</v>
      </c>
      <c r="J2146" s="10" t="n">
        <v>0</v>
      </c>
      <c r="K2146" s="10" t="s">
        <v>20</v>
      </c>
      <c r="L2146" s="11" t="n">
        <v>40922.2551967593</v>
      </c>
      <c r="M2146" s="12"/>
      <c r="N2146" s="12" t="s">
        <v>770</v>
      </c>
      <c r="O2146" s="9" t="str">
        <f aca="false">HYPERLINK("https://pbs.twimg.com/profile_images/893469567678205952/VgdXEOgi_normal.jpg","View")</f>
        <v>View</v>
      </c>
      <c r="P2146" s="10"/>
    </row>
    <row r="2147" customFormat="false" ht="15.75" hidden="false" customHeight="false" outlineLevel="0" collapsed="false">
      <c r="A2147" s="6" t="n">
        <v>43030.2224421296</v>
      </c>
      <c r="B2147" s="7" t="str">
        <f aca="false">HYPERLINK("https://twitter.com/AngelleMarc1029","@AngelleMarc1029")</f>
        <v>@AngelleMarc1029</v>
      </c>
      <c r="C2147" s="8" t="s">
        <v>5543</v>
      </c>
      <c r="D2147" s="8" t="s">
        <v>5544</v>
      </c>
      <c r="E2147" s="9" t="str">
        <f aca="false">HYPERLINK("https://twitter.com/AngelleMarc1029/status/922075142221688834","922075142221688834")</f>
        <v>922075142221688834</v>
      </c>
      <c r="F2147" s="10" t="s">
        <v>60</v>
      </c>
      <c r="G2147" s="10" t="n">
        <v>24</v>
      </c>
      <c r="H2147" s="10" t="n">
        <v>37</v>
      </c>
      <c r="I2147" s="10" t="n">
        <v>0</v>
      </c>
      <c r="J2147" s="10" t="n">
        <v>0</v>
      </c>
      <c r="K2147" s="10" t="s">
        <v>20</v>
      </c>
      <c r="L2147" s="11" t="n">
        <v>42306.2292708333</v>
      </c>
      <c r="M2147" s="12" t="s">
        <v>5545</v>
      </c>
      <c r="N2147" s="12" t="s">
        <v>5546</v>
      </c>
      <c r="O2147" s="9" t="str">
        <f aca="false">HYPERLINK("https://pbs.twimg.com/profile_images/667133473883222016/-uC10Si-_normal.png","View")</f>
        <v>View</v>
      </c>
      <c r="P2147" s="10"/>
    </row>
    <row r="2148" customFormat="false" ht="15.75" hidden="false" customHeight="false" outlineLevel="0" collapsed="false">
      <c r="A2148" s="6" t="n">
        <v>43030.2224537037</v>
      </c>
      <c r="B2148" s="7" t="str">
        <f aca="false">HYPERLINK("https://twitter.com/k3shtk4r","@k3shtk4r")</f>
        <v>@k3shtk4r</v>
      </c>
      <c r="C2148" s="8" t="s">
        <v>5547</v>
      </c>
      <c r="D2148" s="8" t="s">
        <v>5548</v>
      </c>
      <c r="E2148" s="9" t="str">
        <f aca="false">HYPERLINK("https://twitter.com/k3shtk4r/status/922075145396736000","922075145396736000")</f>
        <v>922075145396736000</v>
      </c>
      <c r="F2148" s="10" t="s">
        <v>60</v>
      </c>
      <c r="G2148" s="10" t="n">
        <v>375</v>
      </c>
      <c r="H2148" s="10" t="n">
        <v>99</v>
      </c>
      <c r="I2148" s="10" t="n">
        <v>0</v>
      </c>
      <c r="J2148" s="10" t="n">
        <v>0</v>
      </c>
      <c r="K2148" s="10" t="s">
        <v>20</v>
      </c>
      <c r="L2148" s="11" t="n">
        <v>40445.0624074074</v>
      </c>
      <c r="M2148" s="12"/>
      <c r="N2148" s="12" t="s">
        <v>5549</v>
      </c>
      <c r="O2148" s="9" t="str">
        <f aca="false">HYPERLINK("https://pbs.twimg.com/profile_images/1643334812/1_normal.jpg","View")</f>
        <v>View</v>
      </c>
      <c r="P2148" s="10"/>
    </row>
    <row r="2149" customFormat="false" ht="15.75" hidden="false" customHeight="false" outlineLevel="0" collapsed="false">
      <c r="A2149" s="6" t="n">
        <v>43030.2224537037</v>
      </c>
      <c r="B2149" s="7" t="str">
        <f aca="false">HYPERLINK("https://twitter.com/TherenTomes","@TherenTomes")</f>
        <v>@TherenTomes</v>
      </c>
      <c r="C2149" s="8" t="s">
        <v>5550</v>
      </c>
      <c r="D2149" s="8" t="s">
        <v>5551</v>
      </c>
      <c r="E2149" s="9" t="str">
        <f aca="false">HYPERLINK("https://twitter.com/TherenTomes/status/922075146495709184","922075146495709184")</f>
        <v>922075146495709184</v>
      </c>
      <c r="F2149" s="10" t="s">
        <v>60</v>
      </c>
      <c r="G2149" s="10" t="n">
        <v>2</v>
      </c>
      <c r="H2149" s="10" t="n">
        <v>0</v>
      </c>
      <c r="I2149" s="10" t="n">
        <v>0</v>
      </c>
      <c r="J2149" s="10" t="n">
        <v>0</v>
      </c>
      <c r="K2149" s="10" t="s">
        <v>20</v>
      </c>
      <c r="L2149" s="11" t="n">
        <v>42968.1336342593</v>
      </c>
      <c r="M2149" s="12"/>
      <c r="N2149" s="12"/>
      <c r="O2149" s="9" t="str">
        <f aca="false">HYPERLINK("https://pbs.twimg.com/profile_images/910327430992166912/nZAHzxV8_normal.jpg","View")</f>
        <v>View</v>
      </c>
      <c r="P2149" s="10"/>
    </row>
    <row r="2150" customFormat="false" ht="15.75" hidden="false" customHeight="false" outlineLevel="0" collapsed="false">
      <c r="A2150" s="6" t="n">
        <v>43030.2224537037</v>
      </c>
      <c r="B2150" s="7" t="str">
        <f aca="false">HYPERLINK("https://twitter.com/ColleeKisel","@ColleeKisel")</f>
        <v>@ColleeKisel</v>
      </c>
      <c r="C2150" s="8" t="s">
        <v>5552</v>
      </c>
      <c r="D2150" s="8" t="s">
        <v>5553</v>
      </c>
      <c r="E2150" s="9" t="str">
        <f aca="false">HYPERLINK("https://twitter.com/ColleeKisel/status/922075146562793472","922075146562793472")</f>
        <v>922075146562793472</v>
      </c>
      <c r="F2150" s="10" t="s">
        <v>60</v>
      </c>
      <c r="G2150" s="10" t="n">
        <v>1</v>
      </c>
      <c r="H2150" s="10" t="n">
        <v>0</v>
      </c>
      <c r="I2150" s="10" t="n">
        <v>0</v>
      </c>
      <c r="J2150" s="10" t="n">
        <v>0</v>
      </c>
      <c r="K2150" s="10" t="s">
        <v>20</v>
      </c>
      <c r="L2150" s="11" t="n">
        <v>42984.9348263889</v>
      </c>
      <c r="M2150" s="12"/>
      <c r="N2150" s="12" t="s">
        <v>5554</v>
      </c>
      <c r="O2150" s="9" t="str">
        <f aca="false">HYPERLINK("https://pbs.twimg.com/profile_images/907936237717037058/QH3bbnFP_normal.jpg","View")</f>
        <v>View</v>
      </c>
      <c r="P2150" s="10"/>
    </row>
    <row r="2151" customFormat="false" ht="15.75" hidden="false" customHeight="false" outlineLevel="0" collapsed="false">
      <c r="A2151" s="6" t="n">
        <v>43030.2224652778</v>
      </c>
      <c r="B2151" s="7" t="str">
        <f aca="false">HYPERLINK("https://twitter.com/HallieKing18","@HallieKing18")</f>
        <v>@HallieKing18</v>
      </c>
      <c r="C2151" s="8" t="s">
        <v>5555</v>
      </c>
      <c r="D2151" s="8" t="s">
        <v>5556</v>
      </c>
      <c r="E2151" s="9" t="str">
        <f aca="false">HYPERLINK("https://twitter.com/HallieKing18/status/922075147917582338","922075147917582338")</f>
        <v>922075147917582338</v>
      </c>
      <c r="F2151" s="10" t="s">
        <v>60</v>
      </c>
      <c r="G2151" s="10" t="n">
        <v>0</v>
      </c>
      <c r="H2151" s="10" t="n">
        <v>0</v>
      </c>
      <c r="I2151" s="10" t="n">
        <v>0</v>
      </c>
      <c r="J2151" s="10" t="n">
        <v>0</v>
      </c>
      <c r="K2151" s="10" t="s">
        <v>20</v>
      </c>
      <c r="L2151" s="11" t="n">
        <v>42980.1279976852</v>
      </c>
      <c r="M2151" s="12"/>
      <c r="N2151" s="12" t="s">
        <v>5557</v>
      </c>
      <c r="O2151" s="9" t="str">
        <f aca="false">HYPERLINK("https://pbs.twimg.com/profile_images/909187090960678913/qqN_nd5Y_normal.jpg","View")</f>
        <v>View</v>
      </c>
      <c r="P2151" s="10"/>
    </row>
    <row r="2152" customFormat="false" ht="15.75" hidden="false" customHeight="false" outlineLevel="0" collapsed="false">
      <c r="A2152" s="6" t="n">
        <v>43030.2224652778</v>
      </c>
      <c r="B2152" s="7" t="str">
        <f aca="false">HYPERLINK("https://twitter.com/oraliadima","@oraliadima")</f>
        <v>@oraliadima</v>
      </c>
      <c r="C2152" s="8" t="s">
        <v>5558</v>
      </c>
      <c r="D2152" s="8" t="s">
        <v>5559</v>
      </c>
      <c r="E2152" s="9" t="str">
        <f aca="false">HYPERLINK("https://twitter.com/oraliadima/status/922075150748708865","922075150748708865")</f>
        <v>922075150748708865</v>
      </c>
      <c r="F2152" s="10" t="s">
        <v>60</v>
      </c>
      <c r="G2152" s="10" t="n">
        <v>1</v>
      </c>
      <c r="H2152" s="10" t="n">
        <v>8</v>
      </c>
      <c r="I2152" s="10" t="n">
        <v>0</v>
      </c>
      <c r="J2152" s="10" t="n">
        <v>0</v>
      </c>
      <c r="K2152" s="10" t="s">
        <v>20</v>
      </c>
      <c r="L2152" s="11" t="n">
        <v>42933.8953125</v>
      </c>
      <c r="M2152" s="12" t="s">
        <v>485</v>
      </c>
      <c r="N2152" s="12" t="s">
        <v>5560</v>
      </c>
      <c r="O2152" s="9" t="str">
        <f aca="false">HYPERLINK("https://pbs.twimg.com/profile_images/894400901800050692/BcOTmcVU_normal.jpg","View")</f>
        <v>View</v>
      </c>
      <c r="P2152" s="10"/>
    </row>
    <row r="2153" customFormat="false" ht="15.75" hidden="false" customHeight="false" outlineLevel="0" collapsed="false">
      <c r="A2153" s="6" t="n">
        <v>43030.2224884259</v>
      </c>
      <c r="B2153" s="7" t="str">
        <f aca="false">HYPERLINK("https://twitter.com/TylerWillisGlav","@TylerWillisGlav")</f>
        <v>@TylerWillisGlav</v>
      </c>
      <c r="C2153" s="8" t="s">
        <v>5561</v>
      </c>
      <c r="D2153" s="8" t="s">
        <v>4124</v>
      </c>
      <c r="E2153" s="9" t="str">
        <f aca="false">HYPERLINK("https://twitter.com/TylerWillisGlav/status/922075155580497921","922075155580497921")</f>
        <v>922075155580497921</v>
      </c>
      <c r="F2153" s="10" t="s">
        <v>51</v>
      </c>
      <c r="G2153" s="10" t="n">
        <v>657</v>
      </c>
      <c r="H2153" s="10" t="n">
        <v>3071</v>
      </c>
      <c r="I2153" s="10" t="n">
        <v>111</v>
      </c>
      <c r="J2153" s="10" t="n">
        <v>0</v>
      </c>
      <c r="K2153" s="10" t="s">
        <v>20</v>
      </c>
      <c r="L2153" s="11" t="n">
        <v>41702.3633101852</v>
      </c>
      <c r="M2153" s="12" t="s">
        <v>5562</v>
      </c>
      <c r="N2153" s="12" t="s">
        <v>5563</v>
      </c>
      <c r="O2153" s="9" t="str">
        <f aca="false">HYPERLINK("https://pbs.twimg.com/profile_images/910200999792562176/sQhEDafn_normal.jpg","View")</f>
        <v>View</v>
      </c>
      <c r="P2153" s="10"/>
    </row>
    <row r="2154" customFormat="false" ht="15.75" hidden="false" customHeight="false" outlineLevel="0" collapsed="false">
      <c r="A2154" s="6" t="n">
        <v>43030.2224884259</v>
      </c>
      <c r="B2154" s="7" t="str">
        <f aca="false">HYPERLINK("https://twitter.com/oliviawallace75","@oliviawallace75")</f>
        <v>@oliviawallace75</v>
      </c>
      <c r="C2154" s="8" t="s">
        <v>5564</v>
      </c>
      <c r="D2154" s="8" t="s">
        <v>5565</v>
      </c>
      <c r="E2154" s="9" t="str">
        <f aca="false">HYPERLINK("https://twitter.com/oliviawallace75/status/922075158990524418","922075158990524418")</f>
        <v>922075158990524418</v>
      </c>
      <c r="F2154" s="10" t="s">
        <v>60</v>
      </c>
      <c r="G2154" s="10" t="n">
        <v>0</v>
      </c>
      <c r="H2154" s="10" t="n">
        <v>23</v>
      </c>
      <c r="I2154" s="10" t="n">
        <v>0</v>
      </c>
      <c r="J2154" s="10" t="n">
        <v>0</v>
      </c>
      <c r="K2154" s="10" t="s">
        <v>20</v>
      </c>
      <c r="L2154" s="11" t="n">
        <v>42950.9747916667</v>
      </c>
      <c r="M2154" s="12"/>
      <c r="N2154" s="12"/>
      <c r="O2154" s="9" t="str">
        <f aca="false">HYPERLINK("https://pbs.twimg.com/profile_images/906994735537053696/NlltUktl_normal.jpg","View")</f>
        <v>View</v>
      </c>
      <c r="P2154" s="10"/>
    </row>
    <row r="2155" customFormat="false" ht="15.75" hidden="false" customHeight="false" outlineLevel="0" collapsed="false">
      <c r="A2155" s="6" t="n">
        <v>43030.2225578704</v>
      </c>
      <c r="B2155" s="7" t="str">
        <f aca="false">HYPERLINK("https://twitter.com/ilenfaut","@ilenfaut")</f>
        <v>@ilenfaut</v>
      </c>
      <c r="C2155" s="8" t="s">
        <v>5566</v>
      </c>
      <c r="D2155" s="8" t="s">
        <v>5567</v>
      </c>
      <c r="E2155" s="9" t="str">
        <f aca="false">HYPERLINK("https://twitter.com/ilenfaut/status/922075181530484738","922075181530484738")</f>
        <v>922075181530484738</v>
      </c>
      <c r="F2155" s="10" t="s">
        <v>51</v>
      </c>
      <c r="G2155" s="10" t="n">
        <v>191</v>
      </c>
      <c r="H2155" s="10" t="n">
        <v>1255</v>
      </c>
      <c r="I2155" s="10" t="n">
        <v>0</v>
      </c>
      <c r="J2155" s="10" t="n">
        <v>0</v>
      </c>
      <c r="K2155" s="10" t="s">
        <v>20</v>
      </c>
      <c r="L2155" s="11" t="n">
        <v>39978.3365972222</v>
      </c>
      <c r="M2155" s="12" t="s">
        <v>5028</v>
      </c>
      <c r="N2155" s="12" t="s">
        <v>5568</v>
      </c>
      <c r="O2155" s="9" t="str">
        <f aca="false">HYPERLINK("https://pbs.twimg.com/profile_images/2533001262/image_normal.jpg","View")</f>
        <v>View</v>
      </c>
      <c r="P2155" s="10"/>
    </row>
    <row r="2156" customFormat="false" ht="15.75" hidden="false" customHeight="false" outlineLevel="0" collapsed="false">
      <c r="A2156" s="6" t="n">
        <v>43030.2226273148</v>
      </c>
      <c r="B2156" s="7" t="str">
        <f aca="false">HYPERLINK("https://twitter.com/tiffanyfha","@tiffanyfha")</f>
        <v>@tiffanyfha</v>
      </c>
      <c r="C2156" s="8" t="s">
        <v>5569</v>
      </c>
      <c r="D2156" s="8" t="s">
        <v>5570</v>
      </c>
      <c r="E2156" s="9" t="str">
        <f aca="false">HYPERLINK("https://twitter.com/tiffanyfha/status/922075205668884480","922075205668884480")</f>
        <v>922075205668884480</v>
      </c>
      <c r="F2156" s="10" t="s">
        <v>60</v>
      </c>
      <c r="G2156" s="10" t="n">
        <v>3</v>
      </c>
      <c r="H2156" s="10" t="n">
        <v>8</v>
      </c>
      <c r="I2156" s="10" t="n">
        <v>0</v>
      </c>
      <c r="J2156" s="10" t="n">
        <v>0</v>
      </c>
      <c r="K2156" s="10" t="s">
        <v>20</v>
      </c>
      <c r="L2156" s="11" t="n">
        <v>43001.1156944445</v>
      </c>
      <c r="M2156" s="12" t="s">
        <v>230</v>
      </c>
      <c r="N2156" s="12" t="s">
        <v>5571</v>
      </c>
      <c r="O2156" s="9" t="str">
        <f aca="false">HYPERLINK("https://pbs.twimg.com/profile_images/915487070541324289/0lxsSt6s_normal.jpg","View")</f>
        <v>View</v>
      </c>
      <c r="P2156" s="10"/>
    </row>
    <row r="2157" customFormat="false" ht="15.75" hidden="false" customHeight="false" outlineLevel="0" collapsed="false">
      <c r="A2157" s="6" t="n">
        <v>43030.2226273148</v>
      </c>
      <c r="B2157" s="7" t="str">
        <f aca="false">HYPERLINK("https://twitter.com/ShawnRawlings1","@ShawnRawlings1")</f>
        <v>@ShawnRawlings1</v>
      </c>
      <c r="C2157" s="8" t="s">
        <v>5572</v>
      </c>
      <c r="D2157" s="8" t="s">
        <v>5573</v>
      </c>
      <c r="E2157" s="9" t="str">
        <f aca="false">HYPERLINK("https://twitter.com/ShawnRawlings1/status/922075209536073735","922075209536073735")</f>
        <v>922075209536073735</v>
      </c>
      <c r="F2157" s="10" t="s">
        <v>60</v>
      </c>
      <c r="G2157" s="10" t="n">
        <v>0</v>
      </c>
      <c r="H2157" s="10" t="n">
        <v>0</v>
      </c>
      <c r="I2157" s="10" t="n">
        <v>0</v>
      </c>
      <c r="J2157" s="10" t="n">
        <v>0</v>
      </c>
      <c r="K2157" s="10" t="s">
        <v>20</v>
      </c>
      <c r="L2157" s="11" t="n">
        <v>42984.889537037</v>
      </c>
      <c r="M2157" s="12"/>
      <c r="N2157" s="12" t="s">
        <v>5574</v>
      </c>
      <c r="O2157" s="9" t="str">
        <f aca="false">HYPERLINK("https://pbs.twimg.com/profile_images/907236928361185280/x01AZ-MN_normal.jpg","View")</f>
        <v>View</v>
      </c>
      <c r="P2157" s="10"/>
    </row>
    <row r="2158" customFormat="false" ht="15.75" hidden="false" customHeight="false" outlineLevel="0" collapsed="false">
      <c r="A2158" s="6" t="n">
        <v>43030.222662037</v>
      </c>
      <c r="B2158" s="7" t="str">
        <f aca="false">HYPERLINK("https://twitter.com/WalkerClarkLLC","@WalkerClarkLLC")</f>
        <v>@WalkerClarkLLC</v>
      </c>
      <c r="C2158" s="8" t="s">
        <v>5575</v>
      </c>
      <c r="D2158" s="8" t="s">
        <v>5576</v>
      </c>
      <c r="E2158" s="9" t="str">
        <f aca="false">HYPERLINK("https://twitter.com/WalkerClarkLLC/status/922075219199692800","922075219199692800")</f>
        <v>922075219199692800</v>
      </c>
      <c r="F2158" s="10" t="s">
        <v>25</v>
      </c>
      <c r="G2158" s="10" t="n">
        <v>820</v>
      </c>
      <c r="H2158" s="10" t="n">
        <v>2319</v>
      </c>
      <c r="I2158" s="10" t="n">
        <v>0</v>
      </c>
      <c r="J2158" s="10" t="n">
        <v>0</v>
      </c>
      <c r="K2158" s="10" t="s">
        <v>20</v>
      </c>
      <c r="L2158" s="11" t="n">
        <v>40605.787962963</v>
      </c>
      <c r="M2158" s="12" t="s">
        <v>5577</v>
      </c>
      <c r="N2158" s="12" t="s">
        <v>5578</v>
      </c>
      <c r="O2158" s="9" t="str">
        <f aca="false">HYPERLINK("https://pbs.twimg.com/profile_images/1471396483/cropped_logo_image_normal.png","View")</f>
        <v>View</v>
      </c>
      <c r="P2158" s="10"/>
    </row>
    <row r="2159" customFormat="false" ht="15.75" hidden="false" customHeight="false" outlineLevel="0" collapsed="false">
      <c r="A2159" s="6" t="n">
        <v>43030.222662037</v>
      </c>
      <c r="B2159" s="7" t="str">
        <f aca="false">HYPERLINK("https://twitter.com/miomeinmio","@miomeinmio")</f>
        <v>@miomeinmio</v>
      </c>
      <c r="C2159" s="8" t="s">
        <v>5579</v>
      </c>
      <c r="D2159" s="8" t="s">
        <v>4984</v>
      </c>
      <c r="E2159" s="9" t="str">
        <f aca="false">HYPERLINK("https://twitter.com/miomeinmio/status/922075219744899074","922075219744899074")</f>
        <v>922075219744899074</v>
      </c>
      <c r="F2159" s="10" t="s">
        <v>25</v>
      </c>
      <c r="G2159" s="10" t="n">
        <v>97</v>
      </c>
      <c r="H2159" s="10" t="n">
        <v>249</v>
      </c>
      <c r="I2159" s="10" t="n">
        <v>187</v>
      </c>
      <c r="J2159" s="10" t="n">
        <v>0</v>
      </c>
      <c r="K2159" s="10" t="s">
        <v>20</v>
      </c>
      <c r="L2159" s="11" t="n">
        <v>40025.4159837963</v>
      </c>
      <c r="M2159" s="12" t="s">
        <v>5580</v>
      </c>
      <c r="N2159" s="12" t="s">
        <v>5581</v>
      </c>
      <c r="O2159" s="9" t="str">
        <f aca="false">HYPERLINK("https://pbs.twimg.com/profile_images/484746428208537600/8BXFsLA7_normal.jpeg","View")</f>
        <v>View</v>
      </c>
      <c r="P2159" s="10"/>
    </row>
    <row r="2160" customFormat="false" ht="15.75" hidden="false" customHeight="false" outlineLevel="0" collapsed="false">
      <c r="A2160" s="6" t="n">
        <v>43030.2226736111</v>
      </c>
      <c r="B2160" s="7" t="str">
        <f aca="false">HYPERLINK("https://twitter.com/Ephraim_Golgher","@Ephraim_Golgher")</f>
        <v>@Ephraim_Golgher</v>
      </c>
      <c r="C2160" s="8" t="s">
        <v>5582</v>
      </c>
      <c r="D2160" s="8" t="s">
        <v>4984</v>
      </c>
      <c r="E2160" s="9" t="str">
        <f aca="false">HYPERLINK("https://twitter.com/Ephraim_Golgher/status/922075224841113600","922075224841113600")</f>
        <v>922075224841113600</v>
      </c>
      <c r="F2160" s="10" t="s">
        <v>51</v>
      </c>
      <c r="G2160" s="10" t="n">
        <v>10</v>
      </c>
      <c r="H2160" s="10" t="n">
        <v>75</v>
      </c>
      <c r="I2160" s="10" t="n">
        <v>187</v>
      </c>
      <c r="J2160" s="10" t="n">
        <v>0</v>
      </c>
      <c r="K2160" s="10" t="s">
        <v>20</v>
      </c>
      <c r="L2160" s="11" t="n">
        <v>42774.1128472222</v>
      </c>
      <c r="M2160" s="12"/>
      <c r="N2160" s="12"/>
      <c r="O2160" s="9" t="str">
        <f aca="false">HYPERLINK("https://pbs.twimg.com/profile_images/890517776552558592/zs8Xk3Zt_normal.jpg","View")</f>
        <v>View</v>
      </c>
      <c r="P2160" s="10"/>
    </row>
    <row r="2161" customFormat="false" ht="15.75" hidden="false" customHeight="false" outlineLevel="0" collapsed="false">
      <c r="A2161" s="6" t="n">
        <v>43030.2226967593</v>
      </c>
      <c r="B2161" s="7" t="str">
        <f aca="false">HYPERLINK("https://twitter.com/Morlandvickers","@Morlandvickers")</f>
        <v>@Morlandvickers</v>
      </c>
      <c r="C2161" s="8" t="s">
        <v>5583</v>
      </c>
      <c r="D2161" s="8" t="s">
        <v>5584</v>
      </c>
      <c r="E2161" s="9" t="str">
        <f aca="false">HYPERLINK("https://twitter.com/Morlandvickers/status/922075231556177920","922075231556177920")</f>
        <v>922075231556177920</v>
      </c>
      <c r="F2161" s="10" t="s">
        <v>60</v>
      </c>
      <c r="G2161" s="10" t="n">
        <v>1</v>
      </c>
      <c r="H2161" s="10" t="n">
        <v>8</v>
      </c>
      <c r="I2161" s="10" t="n">
        <v>0</v>
      </c>
      <c r="J2161" s="10" t="n">
        <v>0</v>
      </c>
      <c r="K2161" s="10" t="s">
        <v>20</v>
      </c>
      <c r="L2161" s="11" t="n">
        <v>42933.2253472222</v>
      </c>
      <c r="M2161" s="12" t="s">
        <v>230</v>
      </c>
      <c r="N2161" s="12" t="s">
        <v>5585</v>
      </c>
      <c r="O2161" s="9" t="str">
        <f aca="false">HYPERLINK("https://pbs.twimg.com/profile_images/893668633544605696/pqrzRuNl_normal.jpg","View")</f>
        <v>View</v>
      </c>
      <c r="P2161" s="10"/>
    </row>
    <row r="2162" customFormat="false" ht="15.75" hidden="false" customHeight="false" outlineLevel="0" collapsed="false">
      <c r="A2162" s="6" t="n">
        <v>43030.222962963</v>
      </c>
      <c r="B2162" s="7" t="str">
        <f aca="false">HYPERLINK("https://twitter.com/Alexa_Anthony94","@Alexa_Anthony94")</f>
        <v>@Alexa_Anthony94</v>
      </c>
      <c r="C2162" s="8" t="s">
        <v>5586</v>
      </c>
      <c r="D2162" s="8" t="s">
        <v>5587</v>
      </c>
      <c r="E2162" s="9" t="str">
        <f aca="false">HYPERLINK("https://twitter.com/Alexa_Anthony94/status/922075330734571521","922075330734571521")</f>
        <v>922075330734571521</v>
      </c>
      <c r="F2162" s="9" t="s">
        <v>1147</v>
      </c>
      <c r="G2162" s="10" t="n">
        <v>144</v>
      </c>
      <c r="H2162" s="10" t="n">
        <v>598</v>
      </c>
      <c r="I2162" s="10" t="n">
        <v>0</v>
      </c>
      <c r="J2162" s="10" t="n">
        <v>0</v>
      </c>
      <c r="K2162" s="10" t="s">
        <v>20</v>
      </c>
      <c r="L2162" s="11" t="n">
        <v>42801.1111689815</v>
      </c>
      <c r="M2162" s="12" t="s">
        <v>798</v>
      </c>
      <c r="N2162" s="12" t="s">
        <v>5588</v>
      </c>
      <c r="O2162" s="9" t="str">
        <f aca="false">HYPERLINK("https://pbs.twimg.com/profile_images/899991918477807616/BRtu4gtI_normal.jpg","View")</f>
        <v>View</v>
      </c>
      <c r="P2162" s="10"/>
    </row>
    <row r="2163" customFormat="false" ht="15.75" hidden="false" customHeight="false" outlineLevel="0" collapsed="false">
      <c r="A2163" s="6" t="n">
        <v>43030.222962963</v>
      </c>
      <c r="B2163" s="7" t="str">
        <f aca="false">HYPERLINK("https://twitter.com/naturalkitchen7","@naturalkitchen7")</f>
        <v>@naturalkitchen7</v>
      </c>
      <c r="C2163" s="8" t="s">
        <v>3951</v>
      </c>
      <c r="D2163" s="8" t="s">
        <v>4984</v>
      </c>
      <c r="E2163" s="9" t="str">
        <f aca="false">HYPERLINK("https://twitter.com/naturalkitchen7/status/922075331162341376","922075331162341376")</f>
        <v>922075331162341376</v>
      </c>
      <c r="F2163" s="10" t="s">
        <v>39</v>
      </c>
      <c r="G2163" s="10" t="n">
        <v>3705</v>
      </c>
      <c r="H2163" s="10" t="n">
        <v>3678</v>
      </c>
      <c r="I2163" s="10" t="n">
        <v>187</v>
      </c>
      <c r="J2163" s="10" t="n">
        <v>0</v>
      </c>
      <c r="K2163" s="10" t="s">
        <v>20</v>
      </c>
      <c r="L2163" s="11" t="n">
        <v>41975.8018518519</v>
      </c>
      <c r="M2163" s="12"/>
      <c r="N2163" s="12" t="s">
        <v>3952</v>
      </c>
      <c r="O2163" s="9" t="str">
        <f aca="false">HYPERLINK("https://pbs.twimg.com/profile_images/920553692595593217/5_5GUOMQ_normal.jpg","View")</f>
        <v>View</v>
      </c>
      <c r="P2163" s="10"/>
    </row>
    <row r="2164" customFormat="false" ht="15.75" hidden="false" customHeight="false" outlineLevel="0" collapsed="false">
      <c r="A2164" s="6" t="n">
        <v>43030.2229976852</v>
      </c>
      <c r="B2164" s="7" t="str">
        <f aca="false">HYPERLINK("https://twitter.com/bellagrant574t","@bellagrant574t")</f>
        <v>@bellagrant574t</v>
      </c>
      <c r="C2164" s="8" t="s">
        <v>5589</v>
      </c>
      <c r="D2164" s="8" t="s">
        <v>5590</v>
      </c>
      <c r="E2164" s="9" t="str">
        <f aca="false">HYPERLINK("https://twitter.com/bellagrant574t/status/922075340436135936","922075340436135936")</f>
        <v>922075340436135936</v>
      </c>
      <c r="F2164" s="10" t="s">
        <v>60</v>
      </c>
      <c r="G2164" s="10" t="n">
        <v>0</v>
      </c>
      <c r="H2164" s="10" t="n">
        <v>0</v>
      </c>
      <c r="I2164" s="10" t="n">
        <v>0</v>
      </c>
      <c r="J2164" s="10" t="n">
        <v>0</v>
      </c>
      <c r="K2164" s="10" t="s">
        <v>20</v>
      </c>
      <c r="L2164" s="11" t="n">
        <v>42950.9137037037</v>
      </c>
      <c r="M2164" s="12"/>
      <c r="N2164" s="12"/>
      <c r="O2164" s="9" t="str">
        <f aca="false">HYPERLINK("https://pbs.twimg.com/profile_images/905748712130961408/UwETeWUA_normal.jpg","View")</f>
        <v>View</v>
      </c>
      <c r="P2164" s="10"/>
    </row>
    <row r="2165" customFormat="false" ht="15.75" hidden="false" customHeight="false" outlineLevel="0" collapsed="false">
      <c r="A2165" s="6" t="n">
        <v>43030.2229976852</v>
      </c>
      <c r="B2165" s="7" t="str">
        <f aca="false">HYPERLINK("https://twitter.com/ApexOpusJobs","@ApexOpusJobs")</f>
        <v>@ApexOpusJobs</v>
      </c>
      <c r="C2165" s="8" t="s">
        <v>5591</v>
      </c>
      <c r="D2165" s="8" t="s">
        <v>5592</v>
      </c>
      <c r="E2165" s="9" t="str">
        <f aca="false">HYPERLINK("https://twitter.com/ApexOpusJobs/status/922075343812403203","922075343812403203")</f>
        <v>922075343812403203</v>
      </c>
      <c r="F2165" s="9" t="s">
        <v>1147</v>
      </c>
      <c r="G2165" s="10" t="n">
        <v>105</v>
      </c>
      <c r="H2165" s="10" t="n">
        <v>93</v>
      </c>
      <c r="I2165" s="10" t="n">
        <v>0</v>
      </c>
      <c r="J2165" s="10" t="n">
        <v>0</v>
      </c>
      <c r="K2165" s="10" t="s">
        <v>20</v>
      </c>
      <c r="L2165" s="11" t="n">
        <v>42161.424224537</v>
      </c>
      <c r="M2165" s="12" t="s">
        <v>230</v>
      </c>
      <c r="N2165" s="12" t="s">
        <v>5593</v>
      </c>
      <c r="O2165" s="9" t="str">
        <f aca="false">HYPERLINK("https://pbs.twimg.com/profile_images/611484433594626050/07_UJPdn_normal.png","View")</f>
        <v>View</v>
      </c>
      <c r="P2165" s="10"/>
    </row>
    <row r="2166" customFormat="false" ht="15.75" hidden="false" customHeight="false" outlineLevel="0" collapsed="false">
      <c r="A2166" s="6" t="n">
        <v>43030.2230555556</v>
      </c>
      <c r="B2166" s="7" t="str">
        <f aca="false">HYPERLINK("https://twitter.com/friltang1996","@friltang1996")</f>
        <v>@friltang1996</v>
      </c>
      <c r="C2166" s="8" t="s">
        <v>5594</v>
      </c>
      <c r="D2166" s="8" t="s">
        <v>5595</v>
      </c>
      <c r="E2166" s="9" t="str">
        <f aca="false">HYPERLINK("https://twitter.com/friltang1996/status/922075364754681856","922075364754681856")</f>
        <v>922075364754681856</v>
      </c>
      <c r="F2166" s="10" t="s">
        <v>60</v>
      </c>
      <c r="G2166" s="10" t="n">
        <v>0</v>
      </c>
      <c r="H2166" s="10" t="n">
        <v>0</v>
      </c>
      <c r="I2166" s="10" t="n">
        <v>0</v>
      </c>
      <c r="J2166" s="10" t="n">
        <v>0</v>
      </c>
      <c r="K2166" s="10" t="s">
        <v>20</v>
      </c>
      <c r="L2166" s="11" t="n">
        <v>42967.9626967593</v>
      </c>
      <c r="M2166" s="12"/>
      <c r="N2166" s="12" t="s">
        <v>5596</v>
      </c>
      <c r="O2166" s="9" t="str">
        <f aca="false">HYPERLINK("https://pbs.twimg.com/profile_images/909545771422199814/oSJDcBoc_normal.jpg","View")</f>
        <v>View</v>
      </c>
      <c r="P2166" s="10"/>
    </row>
    <row r="2167" customFormat="false" ht="15.75" hidden="false" customHeight="false" outlineLevel="0" collapsed="false">
      <c r="A2167" s="6" t="n">
        <v>43030.2230787037</v>
      </c>
      <c r="B2167" s="7" t="str">
        <f aca="false">HYPERLINK("https://twitter.com/WorldNews7777","@WorldNews7777")</f>
        <v>@WorldNews7777</v>
      </c>
      <c r="C2167" s="8" t="s">
        <v>1749</v>
      </c>
      <c r="D2167" s="8" t="s">
        <v>5597</v>
      </c>
      <c r="E2167" s="9" t="str">
        <f aca="false">HYPERLINK("https://twitter.com/WorldNews7777/status/922075371394289667","922075371394289667")</f>
        <v>922075371394289667</v>
      </c>
      <c r="F2167" s="10" t="s">
        <v>60</v>
      </c>
      <c r="G2167" s="10" t="n">
        <v>6456</v>
      </c>
      <c r="H2167" s="10" t="n">
        <v>6318</v>
      </c>
      <c r="I2167" s="10" t="n">
        <v>1</v>
      </c>
      <c r="J2167" s="10" t="n">
        <v>0</v>
      </c>
      <c r="K2167" s="10" t="s">
        <v>20</v>
      </c>
      <c r="L2167" s="11" t="n">
        <v>42489.1319444444</v>
      </c>
      <c r="M2167" s="12" t="s">
        <v>230</v>
      </c>
      <c r="N2167" s="12" t="s">
        <v>1751</v>
      </c>
      <c r="O2167" s="9" t="str">
        <f aca="false">HYPERLINK("https://pbs.twimg.com/profile_images/736884749566889984/BtAvBgS4_normal.jpg","View")</f>
        <v>View</v>
      </c>
      <c r="P2167" s="10"/>
    </row>
    <row r="2168" customFormat="false" ht="15.75" hidden="false" customHeight="false" outlineLevel="0" collapsed="false">
      <c r="A2168" s="6" t="n">
        <v>43030.2230787037</v>
      </c>
      <c r="B2168" s="7" t="str">
        <f aca="false">HYPERLINK("https://twitter.com/CForgch","@CForgch")</f>
        <v>@CForgch</v>
      </c>
      <c r="C2168" s="8" t="s">
        <v>5598</v>
      </c>
      <c r="D2168" s="8" t="s">
        <v>5599</v>
      </c>
      <c r="E2168" s="9" t="str">
        <f aca="false">HYPERLINK("https://twitter.com/CForgch/status/922075372899926016","922075372899926016")</f>
        <v>922075372899926016</v>
      </c>
      <c r="F2168" s="10" t="s">
        <v>60</v>
      </c>
      <c r="G2168" s="10" t="n">
        <v>0</v>
      </c>
      <c r="H2168" s="10" t="n">
        <v>0</v>
      </c>
      <c r="I2168" s="10" t="n">
        <v>0</v>
      </c>
      <c r="J2168" s="10" t="n">
        <v>0</v>
      </c>
      <c r="K2168" s="10" t="s">
        <v>20</v>
      </c>
      <c r="L2168" s="11" t="n">
        <v>42984.9948032407</v>
      </c>
      <c r="M2168" s="12"/>
      <c r="N2168" s="12" t="s">
        <v>5600</v>
      </c>
      <c r="O2168" s="9" t="str">
        <f aca="false">HYPERLINK("https://pbs.twimg.com/profile_images/909888752616562688/lecmzEut_normal.jpg","View")</f>
        <v>View</v>
      </c>
      <c r="P2168" s="10"/>
    </row>
    <row r="2169" customFormat="false" ht="15.75" hidden="false" customHeight="false" outlineLevel="0" collapsed="false">
      <c r="A2169" s="6" t="n">
        <v>43030.2231018519</v>
      </c>
      <c r="B2169" s="7" t="str">
        <f aca="false">HYPERLINK("https://twitter.com/annarampling821","@annarampling821")</f>
        <v>@annarampling821</v>
      </c>
      <c r="C2169" s="8" t="s">
        <v>5601</v>
      </c>
      <c r="D2169" s="8" t="s">
        <v>5602</v>
      </c>
      <c r="E2169" s="9" t="str">
        <f aca="false">HYPERLINK("https://twitter.com/annarampling821/status/922075379904507904","922075379904507904")</f>
        <v>922075379904507904</v>
      </c>
      <c r="F2169" s="10" t="s">
        <v>60</v>
      </c>
      <c r="G2169" s="10" t="n">
        <v>0</v>
      </c>
      <c r="H2169" s="10" t="n">
        <v>35</v>
      </c>
      <c r="I2169" s="10" t="n">
        <v>0</v>
      </c>
      <c r="J2169" s="10" t="n">
        <v>0</v>
      </c>
      <c r="K2169" s="10" t="s">
        <v>20</v>
      </c>
      <c r="L2169" s="11" t="n">
        <v>42950.9002083333</v>
      </c>
      <c r="M2169" s="12"/>
      <c r="N2169" s="12"/>
      <c r="O2169" s="9" t="str">
        <f aca="false">HYPERLINK("https://pbs.twimg.com/profile_images/898049876218347520/vQWaXu3k_normal.jpg","View")</f>
        <v>View</v>
      </c>
      <c r="P2169" s="10"/>
    </row>
    <row r="2170" customFormat="false" ht="15.75" hidden="false" customHeight="false" outlineLevel="0" collapsed="false">
      <c r="A2170" s="6" t="n">
        <v>43030.2231134259</v>
      </c>
      <c r="B2170" s="7" t="str">
        <f aca="false">HYPERLINK("https://twitter.com/Jennife82502911","@Jennife82502911")</f>
        <v>@Jennife82502911</v>
      </c>
      <c r="C2170" s="8" t="s">
        <v>5603</v>
      </c>
      <c r="D2170" s="8" t="s">
        <v>5604</v>
      </c>
      <c r="E2170" s="9" t="str">
        <f aca="false">HYPERLINK("https://twitter.com/Jennife82502911/status/922075382047821824","922075382047821824")</f>
        <v>922075382047821824</v>
      </c>
      <c r="F2170" s="10" t="s">
        <v>60</v>
      </c>
      <c r="G2170" s="10" t="n">
        <v>1</v>
      </c>
      <c r="H2170" s="10" t="n">
        <v>0</v>
      </c>
      <c r="I2170" s="10" t="n">
        <v>0</v>
      </c>
      <c r="J2170" s="10" t="n">
        <v>0</v>
      </c>
      <c r="K2170" s="10" t="s">
        <v>20</v>
      </c>
      <c r="L2170" s="11" t="n">
        <v>42985.0098958333</v>
      </c>
      <c r="M2170" s="12"/>
      <c r="N2170" s="12" t="s">
        <v>5605</v>
      </c>
      <c r="O2170" s="9" t="str">
        <f aca="false">HYPERLINK("https://pbs.twimg.com/profile_images/910993690805407744/c-yy5m0R_normal.jpg","View")</f>
        <v>View</v>
      </c>
      <c r="P2170" s="10"/>
    </row>
    <row r="2171" customFormat="false" ht="15.75" hidden="false" customHeight="false" outlineLevel="0" collapsed="false">
      <c r="A2171" s="6" t="n">
        <v>43030.2231134259</v>
      </c>
      <c r="B2171" s="7" t="str">
        <f aca="false">HYPERLINK("https://twitter.com/ultrascanhumint","@ultrascanhumint")</f>
        <v>@ultrascanhumint</v>
      </c>
      <c r="C2171" s="8" t="s">
        <v>5606</v>
      </c>
      <c r="D2171" s="8" t="s">
        <v>5607</v>
      </c>
      <c r="E2171" s="9" t="str">
        <f aca="false">HYPERLINK("https://twitter.com/ultrascanhumint/status/922075382550949888","922075382550949888")</f>
        <v>922075382550949888</v>
      </c>
      <c r="F2171" s="9" t="s">
        <v>1147</v>
      </c>
      <c r="G2171" s="10" t="n">
        <v>2609</v>
      </c>
      <c r="H2171" s="10" t="n">
        <v>1603</v>
      </c>
      <c r="I2171" s="10" t="n">
        <v>0</v>
      </c>
      <c r="J2171" s="10" t="n">
        <v>0</v>
      </c>
      <c r="K2171" s="10" t="s">
        <v>20</v>
      </c>
      <c r="L2171" s="11" t="n">
        <v>41540.4766203704</v>
      </c>
      <c r="M2171" s="12"/>
      <c r="N2171" s="12" t="s">
        <v>5608</v>
      </c>
      <c r="O2171" s="9" t="str">
        <f aca="false">HYPERLINK("https://pbs.twimg.com/profile_images/543113984136581120/ZH_XpJ3h_normal.png","View")</f>
        <v>View</v>
      </c>
      <c r="P2171" s="10"/>
    </row>
    <row r="2172" customFormat="false" ht="15.75" hidden="false" customHeight="false" outlineLevel="0" collapsed="false">
      <c r="A2172" s="6" t="n">
        <v>43030.2231134259</v>
      </c>
      <c r="B2172" s="7" t="str">
        <f aca="false">HYPERLINK("https://twitter.com/Belindanderson1","@Belindanderson1")</f>
        <v>@Belindanderson1</v>
      </c>
      <c r="C2172" s="8" t="s">
        <v>5609</v>
      </c>
      <c r="D2172" s="8" t="s">
        <v>5610</v>
      </c>
      <c r="E2172" s="9" t="str">
        <f aca="false">HYPERLINK("https://twitter.com/Belindanderson1/status/922075385076047873","922075385076047873")</f>
        <v>922075385076047873</v>
      </c>
      <c r="F2172" s="10" t="s">
        <v>60</v>
      </c>
      <c r="G2172" s="10" t="n">
        <v>0</v>
      </c>
      <c r="H2172" s="10" t="n">
        <v>3</v>
      </c>
      <c r="I2172" s="10" t="n">
        <v>0</v>
      </c>
      <c r="J2172" s="10" t="n">
        <v>0</v>
      </c>
      <c r="K2172" s="10" t="s">
        <v>20</v>
      </c>
      <c r="L2172" s="11" t="n">
        <v>42984.9525694444</v>
      </c>
      <c r="M2172" s="12"/>
      <c r="N2172" s="12" t="s">
        <v>5611</v>
      </c>
      <c r="O2172" s="9" t="str">
        <f aca="false">HYPERLINK("https://pbs.twimg.com/profile_images/907681862805364736/RgdKb5AT_normal.jpg","View")</f>
        <v>View</v>
      </c>
      <c r="P2172" s="10"/>
    </row>
    <row r="2173" customFormat="false" ht="15.75" hidden="false" customHeight="false" outlineLevel="0" collapsed="false">
      <c r="A2173" s="6" t="n">
        <v>43030.223125</v>
      </c>
      <c r="B2173" s="7" t="str">
        <f aca="false">HYPERLINK("https://twitter.com/WorldNewsGPS","@WorldNewsGPS")</f>
        <v>@WorldNewsGPS</v>
      </c>
      <c r="C2173" s="8" t="s">
        <v>2573</v>
      </c>
      <c r="D2173" s="8" t="s">
        <v>5612</v>
      </c>
      <c r="E2173" s="9" t="str">
        <f aca="false">HYPERLINK("https://twitter.com/WorldNewsGPS/status/922075387215060992","922075387215060992")</f>
        <v>922075387215060992</v>
      </c>
      <c r="F2173" s="9" t="s">
        <v>1147</v>
      </c>
      <c r="G2173" s="10" t="n">
        <v>5082</v>
      </c>
      <c r="H2173" s="10" t="n">
        <v>3634</v>
      </c>
      <c r="I2173" s="10" t="n">
        <v>0</v>
      </c>
      <c r="J2173" s="10" t="n">
        <v>0</v>
      </c>
      <c r="K2173" s="10" t="s">
        <v>20</v>
      </c>
      <c r="L2173" s="11" t="n">
        <v>41855.6448263889</v>
      </c>
      <c r="M2173" s="12" t="s">
        <v>2575</v>
      </c>
      <c r="N2173" s="12" t="s">
        <v>2576</v>
      </c>
      <c r="O2173" s="9" t="str">
        <f aca="false">HYPERLINK("https://pbs.twimg.com/profile_images/923461394355257344/b0o17ueG_normal.jpg","View")</f>
        <v>View</v>
      </c>
      <c r="P2173" s="10"/>
    </row>
    <row r="2174" customFormat="false" ht="15.75" hidden="false" customHeight="false" outlineLevel="0" collapsed="false">
      <c r="A2174" s="6" t="n">
        <v>43030.2231944444</v>
      </c>
      <c r="B2174" s="7" t="str">
        <f aca="false">HYPERLINK("https://twitter.com/vanessa83448894","@vanessa83448894")</f>
        <v>@vanessa83448894</v>
      </c>
      <c r="C2174" s="8" t="s">
        <v>5613</v>
      </c>
      <c r="D2174" s="8" t="s">
        <v>5614</v>
      </c>
      <c r="E2174" s="9" t="str">
        <f aca="false">HYPERLINK("https://twitter.com/vanessa83448894/status/922075411995136002","922075411995136002")</f>
        <v>922075411995136002</v>
      </c>
      <c r="F2174" s="10" t="s">
        <v>60</v>
      </c>
      <c r="G2174" s="10" t="n">
        <v>0</v>
      </c>
      <c r="H2174" s="10" t="n">
        <v>0</v>
      </c>
      <c r="I2174" s="10" t="n">
        <v>0</v>
      </c>
      <c r="J2174" s="10" t="n">
        <v>0</v>
      </c>
      <c r="K2174" s="10" t="s">
        <v>20</v>
      </c>
      <c r="L2174" s="11" t="n">
        <v>42950.894375</v>
      </c>
      <c r="M2174" s="12"/>
      <c r="N2174" s="12"/>
      <c r="O2174" s="9" t="str">
        <f aca="false">HYPERLINK("https://pbs.twimg.com/profile_images/897685469768667136/2krky2VM_normal.jpg","View")</f>
        <v>View</v>
      </c>
      <c r="P2174" s="10"/>
    </row>
    <row r="2175" customFormat="false" ht="15.75" hidden="false" customHeight="false" outlineLevel="0" collapsed="false">
      <c r="A2175" s="6" t="n">
        <v>43030.2232407407</v>
      </c>
      <c r="B2175" s="7" t="str">
        <f aca="false">HYPERLINK("https://twitter.com/obsut55465","@obsut55465")</f>
        <v>@obsut55465</v>
      </c>
      <c r="C2175" s="14" t="s">
        <v>2517</v>
      </c>
      <c r="D2175" s="8" t="s">
        <v>3646</v>
      </c>
      <c r="E2175" s="9" t="str">
        <f aca="false">HYPERLINK("https://twitter.com/obsut55465/status/922075428763811840","922075428763811840")</f>
        <v>922075428763811840</v>
      </c>
      <c r="F2175" s="10" t="s">
        <v>25</v>
      </c>
      <c r="G2175" s="10" t="n">
        <v>169</v>
      </c>
      <c r="H2175" s="10" t="n">
        <v>52</v>
      </c>
      <c r="I2175" s="10" t="n">
        <v>71</v>
      </c>
      <c r="J2175" s="10" t="n">
        <v>0</v>
      </c>
      <c r="K2175" s="10" t="s">
        <v>20</v>
      </c>
      <c r="L2175" s="11" t="n">
        <v>42784.0639699074</v>
      </c>
      <c r="M2175" s="12"/>
      <c r="N2175" s="12"/>
      <c r="O2175" s="9" t="str">
        <f aca="false">HYPERLINK("https://pbs.twimg.com/profile_images/912255270545268736/buDgv1po_normal.jpg","View")</f>
        <v>View</v>
      </c>
      <c r="P2175" s="10"/>
    </row>
    <row r="2176" customFormat="false" ht="15.75" hidden="false" customHeight="false" outlineLevel="0" collapsed="false">
      <c r="A2176" s="6" t="n">
        <v>43030.2233449074</v>
      </c>
      <c r="B2176" s="7" t="str">
        <f aca="false">HYPERLINK("https://twitter.com/GboruM","@GboruM")</f>
        <v>@GboruM</v>
      </c>
      <c r="C2176" s="8" t="s">
        <v>2206</v>
      </c>
      <c r="D2176" s="8" t="s">
        <v>5615</v>
      </c>
      <c r="E2176" s="9" t="str">
        <f aca="false">HYPERLINK("https://twitter.com/GboruM/status/922075465711484929","922075465711484929")</f>
        <v>922075465711484929</v>
      </c>
      <c r="F2176" s="10" t="s">
        <v>55</v>
      </c>
      <c r="G2176" s="10" t="n">
        <v>12129</v>
      </c>
      <c r="H2176" s="10" t="n">
        <v>287</v>
      </c>
      <c r="I2176" s="10" t="n">
        <v>0</v>
      </c>
      <c r="J2176" s="10" t="n">
        <v>0</v>
      </c>
      <c r="K2176" s="10" t="s">
        <v>20</v>
      </c>
      <c r="L2176" s="11" t="n">
        <v>41246.9268518519</v>
      </c>
      <c r="M2176" s="12" t="s">
        <v>1670</v>
      </c>
      <c r="N2176" s="12" t="s">
        <v>2208</v>
      </c>
      <c r="O2176" s="9" t="str">
        <f aca="false">HYPERLINK("https://pbs.twimg.com/profile_images/923809863121166336/FPYIgixr_normal.jpg","View")</f>
        <v>View</v>
      </c>
      <c r="P2176" s="10"/>
    </row>
    <row r="2177" customFormat="false" ht="15.75" hidden="false" customHeight="false" outlineLevel="0" collapsed="false">
      <c r="A2177" s="6" t="n">
        <v>43030.2233796296</v>
      </c>
      <c r="B2177" s="7" t="str">
        <f aca="false">HYPERLINK("https://twitter.com/BiancaH74192398","@BiancaH74192398")</f>
        <v>@BiancaH74192398</v>
      </c>
      <c r="C2177" s="8" t="s">
        <v>5616</v>
      </c>
      <c r="D2177" s="8" t="s">
        <v>5617</v>
      </c>
      <c r="E2177" s="9" t="str">
        <f aca="false">HYPERLINK("https://twitter.com/BiancaH74192398/status/922075479632433152","922075479632433152")</f>
        <v>922075479632433152</v>
      </c>
      <c r="F2177" s="10" t="s">
        <v>60</v>
      </c>
      <c r="G2177" s="10" t="n">
        <v>2</v>
      </c>
      <c r="H2177" s="10" t="n">
        <v>0</v>
      </c>
      <c r="I2177" s="10" t="n">
        <v>0</v>
      </c>
      <c r="J2177" s="10" t="n">
        <v>0</v>
      </c>
      <c r="K2177" s="10" t="s">
        <v>20</v>
      </c>
      <c r="L2177" s="11" t="n">
        <v>42984.9283333333</v>
      </c>
      <c r="M2177" s="12"/>
      <c r="N2177" s="12" t="s">
        <v>5618</v>
      </c>
      <c r="O2177" s="9" t="str">
        <f aca="false">HYPERLINK("https://pbs.twimg.com/profile_images/907698503534632960/8oh0Wn9f_normal.jpg","View")</f>
        <v>View</v>
      </c>
      <c r="P2177" s="10"/>
    </row>
    <row r="2178" customFormat="false" ht="15.75" hidden="false" customHeight="false" outlineLevel="0" collapsed="false">
      <c r="A2178" s="6" t="n">
        <v>43030.2234953704</v>
      </c>
      <c r="B2178" s="7" t="str">
        <f aca="false">HYPERLINK("https://twitter.com/sethia_b","@sethia_b")</f>
        <v>@sethia_b</v>
      </c>
      <c r="C2178" s="8" t="s">
        <v>5619</v>
      </c>
      <c r="D2178" s="8" t="s">
        <v>5620</v>
      </c>
      <c r="E2178" s="9" t="str">
        <f aca="false">HYPERLINK("https://twitter.com/sethia_b/status/922075522829393921","922075522829393921")</f>
        <v>922075522829393921</v>
      </c>
      <c r="F2178" s="10" t="s">
        <v>25</v>
      </c>
      <c r="G2178" s="10" t="n">
        <v>1294</v>
      </c>
      <c r="H2178" s="10" t="n">
        <v>926</v>
      </c>
      <c r="I2178" s="10" t="n">
        <v>1</v>
      </c>
      <c r="J2178" s="10" t="n">
        <v>0</v>
      </c>
      <c r="K2178" s="10" t="s">
        <v>20</v>
      </c>
      <c r="L2178" s="11" t="n">
        <v>42682.7908333333</v>
      </c>
      <c r="M2178" s="12"/>
      <c r="N2178" s="12" t="s">
        <v>5621</v>
      </c>
      <c r="O2178" s="9" t="str">
        <f aca="false">HYPERLINK("https://pbs.twimg.com/profile_images/885644809104375809/m38JdzKU_normal.jpg","View")</f>
        <v>View</v>
      </c>
      <c r="P2178" s="10"/>
    </row>
    <row r="2179" customFormat="false" ht="15.75" hidden="false" customHeight="false" outlineLevel="0" collapsed="false">
      <c r="A2179" s="6" t="n">
        <v>43030.2234953704</v>
      </c>
      <c r="B2179" s="7" t="str">
        <f aca="false">HYPERLINK("https://twitter.com/rcastle06","@rcastle06")</f>
        <v>@rcastle06</v>
      </c>
      <c r="C2179" s="8" t="s">
        <v>5487</v>
      </c>
      <c r="D2179" s="8" t="s">
        <v>4984</v>
      </c>
      <c r="E2179" s="9" t="str">
        <f aca="false">HYPERLINK("https://twitter.com/rcastle06/status/922075524297646080","922075524297646080")</f>
        <v>922075524297646080</v>
      </c>
      <c r="F2179" s="10" t="s">
        <v>3458</v>
      </c>
      <c r="G2179" s="10" t="n">
        <v>2109</v>
      </c>
      <c r="H2179" s="10" t="n">
        <v>3730</v>
      </c>
      <c r="I2179" s="10" t="n">
        <v>187</v>
      </c>
      <c r="J2179" s="10" t="n">
        <v>0</v>
      </c>
      <c r="K2179" s="10" t="s">
        <v>20</v>
      </c>
      <c r="L2179" s="11" t="n">
        <v>39940.5361342593</v>
      </c>
      <c r="M2179" s="12" t="s">
        <v>5488</v>
      </c>
      <c r="N2179" s="12" t="s">
        <v>5489</v>
      </c>
      <c r="O2179" s="9" t="str">
        <f aca="false">HYPERLINK("https://pbs.twimg.com/profile_images/816993346136719360/dBJl0lH3_normal.jpg","View")</f>
        <v>View</v>
      </c>
      <c r="P2179" s="10"/>
    </row>
    <row r="2180" customFormat="false" ht="15.75" hidden="false" customHeight="false" outlineLevel="0" collapsed="false">
      <c r="A2180" s="6" t="n">
        <v>43030.2235300926</v>
      </c>
      <c r="B2180" s="7" t="str">
        <f aca="false">HYPERLINK("https://twitter.com/CherylBatchelo3","@CherylBatchelo3")</f>
        <v>@CherylBatchelo3</v>
      </c>
      <c r="C2180" s="8" t="s">
        <v>5622</v>
      </c>
      <c r="D2180" s="8" t="s">
        <v>5623</v>
      </c>
      <c r="E2180" s="9" t="str">
        <f aca="false">HYPERLINK("https://twitter.com/CherylBatchelo3/status/922075535664144384","922075535664144384")</f>
        <v>922075535664144384</v>
      </c>
      <c r="F2180" s="10" t="s">
        <v>51</v>
      </c>
      <c r="G2180" s="10" t="n">
        <v>528</v>
      </c>
      <c r="H2180" s="10" t="n">
        <v>1106</v>
      </c>
      <c r="I2180" s="10" t="n">
        <v>0</v>
      </c>
      <c r="J2180" s="10" t="n">
        <v>0</v>
      </c>
      <c r="K2180" s="10" t="s">
        <v>20</v>
      </c>
      <c r="L2180" s="11" t="n">
        <v>42276.4336574074</v>
      </c>
      <c r="M2180" s="12"/>
      <c r="N2180" s="12" t="s">
        <v>5624</v>
      </c>
      <c r="O2180" s="9" t="str">
        <f aca="false">HYPERLINK("https://pbs.twimg.com/profile_images/648913796136894468/ClLwHfiW_normal.jpg","View")</f>
        <v>View</v>
      </c>
      <c r="P2180" s="10"/>
    </row>
    <row r="2181" customFormat="false" ht="15.75" hidden="false" customHeight="false" outlineLevel="0" collapsed="false">
      <c r="A2181" s="6" t="n">
        <v>43030.2235648148</v>
      </c>
      <c r="B2181" s="7" t="str">
        <f aca="false">HYPERLINK("https://twitter.com/newsbits173","@newsbits173")</f>
        <v>@newsbits173</v>
      </c>
      <c r="C2181" s="8" t="s">
        <v>5625</v>
      </c>
      <c r="D2181" s="8" t="s">
        <v>5626</v>
      </c>
      <c r="E2181" s="9" t="str">
        <f aca="false">HYPERLINK("https://twitter.com/newsbits173/status/922075549123710978","922075549123710978")</f>
        <v>922075549123710978</v>
      </c>
      <c r="F2181" s="10" t="s">
        <v>5627</v>
      </c>
      <c r="G2181" s="10" t="n">
        <v>452</v>
      </c>
      <c r="H2181" s="10" t="n">
        <v>522</v>
      </c>
      <c r="I2181" s="10" t="n">
        <v>0</v>
      </c>
      <c r="J2181" s="10" t="n">
        <v>0</v>
      </c>
      <c r="K2181" s="10" t="s">
        <v>20</v>
      </c>
      <c r="L2181" s="11" t="n">
        <v>39731.5235763889</v>
      </c>
      <c r="M2181" s="12"/>
      <c r="N2181" s="12"/>
      <c r="O2181" s="9" t="str">
        <f aca="false">HYPERLINK("https://pbs.twimg.com/profile_images/917010627327008768/XoL1bd6u_normal.jpg","View")</f>
        <v>View</v>
      </c>
      <c r="P2181" s="10"/>
    </row>
    <row r="2182" customFormat="false" ht="15.75" hidden="false" customHeight="false" outlineLevel="0" collapsed="false">
      <c r="A2182" s="6" t="n">
        <v>43030.2236574074</v>
      </c>
      <c r="B2182" s="7" t="str">
        <f aca="false">HYPERLINK("https://twitter.com/Anon_Eu","@Anon_Eu")</f>
        <v>@Anon_Eu</v>
      </c>
      <c r="C2182" s="8" t="s">
        <v>1270</v>
      </c>
      <c r="D2182" s="8" t="s">
        <v>5628</v>
      </c>
      <c r="E2182" s="9" t="str">
        <f aca="false">HYPERLINK("https://twitter.com/Anon_Eu/status/922075581352521728","922075581352521728")</f>
        <v>922075581352521728</v>
      </c>
      <c r="F2182" s="9" t="s">
        <v>1147</v>
      </c>
      <c r="G2182" s="10" t="n">
        <v>13150</v>
      </c>
      <c r="H2182" s="10" t="n">
        <v>6968</v>
      </c>
      <c r="I2182" s="10" t="n">
        <v>1</v>
      </c>
      <c r="J2182" s="10" t="n">
        <v>1</v>
      </c>
      <c r="K2182" s="10" t="s">
        <v>20</v>
      </c>
      <c r="L2182" s="11" t="n">
        <v>41161.5910416667</v>
      </c>
      <c r="M2182" s="12" t="s">
        <v>1272</v>
      </c>
      <c r="N2182" s="12" t="s">
        <v>1273</v>
      </c>
      <c r="O2182" s="9" t="str">
        <f aca="false">HYPERLINK("https://pbs.twimg.com/profile_images/839870179282669570/K5jLYmlF_normal.jpg","View")</f>
        <v>View</v>
      </c>
      <c r="P2182" s="10"/>
    </row>
    <row r="2183" customFormat="false" ht="15.75" hidden="false" customHeight="false" outlineLevel="0" collapsed="false">
      <c r="A2183" s="6" t="n">
        <v>43030.2236574074</v>
      </c>
      <c r="B2183" s="7" t="str">
        <f aca="false">HYPERLINK("https://twitter.com/journalistoxy","@journalistoxy")</f>
        <v>@journalistoxy</v>
      </c>
      <c r="C2183" s="8" t="s">
        <v>5629</v>
      </c>
      <c r="D2183" s="8" t="s">
        <v>5630</v>
      </c>
      <c r="E2183" s="9" t="str">
        <f aca="false">HYPERLINK("https://twitter.com/journalistoxy/status/922075581491036166","922075581491036166")</f>
        <v>922075581491036166</v>
      </c>
      <c r="F2183" s="9" t="s">
        <v>1147</v>
      </c>
      <c r="G2183" s="10" t="n">
        <v>35</v>
      </c>
      <c r="H2183" s="10" t="n">
        <v>34</v>
      </c>
      <c r="I2183" s="10" t="n">
        <v>0</v>
      </c>
      <c r="J2183" s="10" t="n">
        <v>0</v>
      </c>
      <c r="K2183" s="10" t="s">
        <v>20</v>
      </c>
      <c r="L2183" s="11" t="n">
        <v>42626.4408796296</v>
      </c>
      <c r="M2183" s="12"/>
      <c r="N2183" s="12"/>
      <c r="O2183" s="9" t="str">
        <f aca="false">HYPERLINK("https://pbs.twimg.com/profile_images/775750397336190977/gzFN9Gbl_normal.jpg","View")</f>
        <v>View</v>
      </c>
      <c r="P2183" s="10"/>
    </row>
    <row r="2184" customFormat="false" ht="15.75" hidden="false" customHeight="false" outlineLevel="0" collapsed="false">
      <c r="A2184" s="6" t="n">
        <v>43030.2236574074</v>
      </c>
      <c r="B2184" s="7" t="str">
        <f aca="false">HYPERLINK("https://twitter.com/annelangdon391s","@annelangdon391s")</f>
        <v>@annelangdon391s</v>
      </c>
      <c r="C2184" s="8" t="s">
        <v>5631</v>
      </c>
      <c r="D2184" s="8" t="s">
        <v>5632</v>
      </c>
      <c r="E2184" s="9" t="str">
        <f aca="false">HYPERLINK("https://twitter.com/annelangdon391s/status/922075582690676736","922075582690676736")</f>
        <v>922075582690676736</v>
      </c>
      <c r="F2184" s="10" t="s">
        <v>60</v>
      </c>
      <c r="G2184" s="10" t="n">
        <v>0</v>
      </c>
      <c r="H2184" s="10" t="n">
        <v>0</v>
      </c>
      <c r="I2184" s="10" t="n">
        <v>0</v>
      </c>
      <c r="J2184" s="10" t="n">
        <v>0</v>
      </c>
      <c r="K2184" s="10" t="s">
        <v>20</v>
      </c>
      <c r="L2184" s="11" t="n">
        <v>42950.8648726852</v>
      </c>
      <c r="M2184" s="12"/>
      <c r="N2184" s="12"/>
      <c r="O2184" s="9" t="str">
        <f aca="false">HYPERLINK("https://pbs.twimg.com/profile_images/899580679347884032/DjCOydmg_normal.jpg","View")</f>
        <v>View</v>
      </c>
      <c r="P2184" s="10"/>
    </row>
    <row r="2185" customFormat="false" ht="15.75" hidden="false" customHeight="false" outlineLevel="0" collapsed="false">
      <c r="A2185" s="6" t="n">
        <v>43030.2236921296</v>
      </c>
      <c r="B2185" s="7" t="str">
        <f aca="false">HYPERLINK("https://twitter.com/Guadalu45446457","@Guadalu45446457")</f>
        <v>@Guadalu45446457</v>
      </c>
      <c r="C2185" s="8" t="s">
        <v>5633</v>
      </c>
      <c r="D2185" s="8" t="s">
        <v>5634</v>
      </c>
      <c r="E2185" s="9" t="str">
        <f aca="false">HYPERLINK("https://twitter.com/Guadalu45446457/status/922075593721688064","922075593721688064")</f>
        <v>922075593721688064</v>
      </c>
      <c r="F2185" s="10" t="s">
        <v>60</v>
      </c>
      <c r="G2185" s="10" t="n">
        <v>0</v>
      </c>
      <c r="H2185" s="10" t="n">
        <v>0</v>
      </c>
      <c r="I2185" s="10" t="n">
        <v>0</v>
      </c>
      <c r="J2185" s="10" t="n">
        <v>0</v>
      </c>
      <c r="K2185" s="10" t="s">
        <v>20</v>
      </c>
      <c r="L2185" s="11" t="n">
        <v>42980.1394212963</v>
      </c>
      <c r="M2185" s="12"/>
      <c r="N2185" s="12" t="s">
        <v>5635</v>
      </c>
      <c r="O2185" s="9" t="str">
        <f aca="false">HYPERLINK("https://pbs.twimg.com/profile_images/907533820471083008/fem-HyKz_normal.jpg","View")</f>
        <v>View</v>
      </c>
      <c r="P2185" s="10"/>
    </row>
    <row r="2186" customFormat="false" ht="15.75" hidden="false" customHeight="false" outlineLevel="0" collapsed="false">
      <c r="A2186" s="6" t="n">
        <v>43030.2237268519</v>
      </c>
      <c r="B2186" s="7" t="str">
        <f aca="false">HYPERLINK("https://twitter.com/AlisonS98326843","@AlisonS98326843")</f>
        <v>@AlisonS98326843</v>
      </c>
      <c r="C2186" s="8" t="s">
        <v>5636</v>
      </c>
      <c r="D2186" s="8" t="s">
        <v>5637</v>
      </c>
      <c r="E2186" s="9" t="str">
        <f aca="false">HYPERLINK("https://twitter.com/AlisonS98326843/status/922075607701381120","922075607701381120")</f>
        <v>922075607701381120</v>
      </c>
      <c r="F2186" s="10" t="s">
        <v>60</v>
      </c>
      <c r="G2186" s="10" t="n">
        <v>0</v>
      </c>
      <c r="H2186" s="10" t="n">
        <v>0</v>
      </c>
      <c r="I2186" s="10" t="n">
        <v>0</v>
      </c>
      <c r="J2186" s="10" t="n">
        <v>0</v>
      </c>
      <c r="K2186" s="10" t="s">
        <v>20</v>
      </c>
      <c r="L2186" s="11" t="n">
        <v>42950.8699537037</v>
      </c>
      <c r="M2186" s="12"/>
      <c r="N2186" s="12"/>
      <c r="O2186" s="9" t="str">
        <f aca="false">HYPERLINK("https://pbs.twimg.com/profile_images/904669628458180609/SH_AdadD_normal.jpg","View")</f>
        <v>View</v>
      </c>
      <c r="P2186" s="10"/>
    </row>
    <row r="2187" customFormat="false" ht="15.75" hidden="false" customHeight="false" outlineLevel="0" collapsed="false">
      <c r="A2187" s="6" t="n">
        <v>43030.22375</v>
      </c>
      <c r="B2187" s="7" t="str">
        <f aca="false">HYPERLINK("https://twitter.com/wandawrobi","@wandawrobi")</f>
        <v>@wandawrobi</v>
      </c>
      <c r="C2187" s="8" t="s">
        <v>5638</v>
      </c>
      <c r="D2187" s="8" t="s">
        <v>5639</v>
      </c>
      <c r="E2187" s="9" t="str">
        <f aca="false">HYPERLINK("https://twitter.com/wandawrobi/status/922075614013771776","922075614013771776")</f>
        <v>922075614013771776</v>
      </c>
      <c r="F2187" s="10" t="s">
        <v>60</v>
      </c>
      <c r="G2187" s="10" t="n">
        <v>3</v>
      </c>
      <c r="H2187" s="10" t="n">
        <v>8</v>
      </c>
      <c r="I2187" s="10" t="n">
        <v>0</v>
      </c>
      <c r="J2187" s="10" t="n">
        <v>0</v>
      </c>
      <c r="K2187" s="10" t="s">
        <v>20</v>
      </c>
      <c r="L2187" s="11" t="n">
        <v>43001.1174074074</v>
      </c>
      <c r="M2187" s="12" t="s">
        <v>230</v>
      </c>
      <c r="N2187" s="12" t="s">
        <v>5640</v>
      </c>
      <c r="O2187" s="9" t="str">
        <f aca="false">HYPERLINK("https://pbs.twimg.com/profile_images/915511518535467009/5tOJlZIX_normal.jpg","View")</f>
        <v>View</v>
      </c>
      <c r="P2187" s="10"/>
    </row>
    <row r="2188" customFormat="false" ht="15.75" hidden="false" customHeight="false" outlineLevel="0" collapsed="false">
      <c r="A2188" s="6" t="n">
        <v>43030.2237731481</v>
      </c>
      <c r="B2188" s="7" t="str">
        <f aca="false">HYPERLINK("https://twitter.com/stray_hyrax","@stray_hyrax")</f>
        <v>@stray_hyrax</v>
      </c>
      <c r="C2188" s="14" t="s">
        <v>5641</v>
      </c>
      <c r="D2188" s="8" t="s">
        <v>3646</v>
      </c>
      <c r="E2188" s="9" t="str">
        <f aca="false">HYPERLINK("https://twitter.com/stray_hyrax/status/922075622364430336","922075622364430336")</f>
        <v>922075622364430336</v>
      </c>
      <c r="F2188" s="10" t="s">
        <v>276</v>
      </c>
      <c r="G2188" s="10" t="n">
        <v>167</v>
      </c>
      <c r="H2188" s="10" t="n">
        <v>102</v>
      </c>
      <c r="I2188" s="10" t="n">
        <v>71</v>
      </c>
      <c r="J2188" s="10" t="n">
        <v>0</v>
      </c>
      <c r="K2188" s="10" t="s">
        <v>20</v>
      </c>
      <c r="L2188" s="11" t="n">
        <v>41819.1186805556</v>
      </c>
      <c r="M2188" s="12" t="s">
        <v>574</v>
      </c>
      <c r="N2188" s="13" t="s">
        <v>5642</v>
      </c>
      <c r="O2188" s="9" t="str">
        <f aca="false">HYPERLINK("https://pbs.twimg.com/profile_images/680497664979410944/dZa_UHFL_normal.jpg","View")</f>
        <v>View</v>
      </c>
      <c r="P2188" s="10"/>
    </row>
    <row r="2189" customFormat="false" ht="15.75" hidden="false" customHeight="false" outlineLevel="0" collapsed="false">
      <c r="A2189" s="6" t="n">
        <v>43030.2237847222</v>
      </c>
      <c r="B2189" s="7" t="str">
        <f aca="false">HYPERLINK("https://twitter.com/3X04N0N","@3X04N0N")</f>
        <v>@3X04N0N</v>
      </c>
      <c r="C2189" s="8" t="s">
        <v>1278</v>
      </c>
      <c r="D2189" s="8" t="s">
        <v>5643</v>
      </c>
      <c r="E2189" s="9" t="str">
        <f aca="false">HYPERLINK("https://twitter.com/3X04N0N/status/922075625850048512","922075625850048512")</f>
        <v>922075625850048512</v>
      </c>
      <c r="F2189" s="10" t="s">
        <v>60</v>
      </c>
      <c r="G2189" s="10" t="n">
        <v>922</v>
      </c>
      <c r="H2189" s="10" t="n">
        <v>295</v>
      </c>
      <c r="I2189" s="10" t="n">
        <v>0</v>
      </c>
      <c r="J2189" s="10" t="n">
        <v>0</v>
      </c>
      <c r="K2189" s="10" t="s">
        <v>20</v>
      </c>
      <c r="L2189" s="11" t="n">
        <v>42066.5668518519</v>
      </c>
      <c r="M2189" s="12"/>
      <c r="N2189" s="12" t="s">
        <v>1280</v>
      </c>
      <c r="O2189" s="9" t="str">
        <f aca="false">HYPERLINK("https://pbs.twimg.com/profile_images/793550507205914625/qBVxzsrU_normal.jpg","View")</f>
        <v>View</v>
      </c>
      <c r="P2189" s="10"/>
    </row>
    <row r="2190" customFormat="false" ht="15.75" hidden="false" customHeight="false" outlineLevel="0" collapsed="false">
      <c r="A2190" s="6" t="n">
        <v>43030.2237962963</v>
      </c>
      <c r="B2190" s="7" t="str">
        <f aca="false">HYPERLINK("https://twitter.com/3X04N0N","@3X04N0N")</f>
        <v>@3X04N0N</v>
      </c>
      <c r="C2190" s="8" t="s">
        <v>1278</v>
      </c>
      <c r="D2190" s="8" t="s">
        <v>5644</v>
      </c>
      <c r="E2190" s="9" t="str">
        <f aca="false">HYPERLINK("https://twitter.com/3X04N0N/status/922075630237376512","922075630237376512")</f>
        <v>922075630237376512</v>
      </c>
      <c r="F2190" s="10" t="s">
        <v>60</v>
      </c>
      <c r="G2190" s="10" t="n">
        <v>922</v>
      </c>
      <c r="H2190" s="10" t="n">
        <v>295</v>
      </c>
      <c r="I2190" s="10" t="n">
        <v>0</v>
      </c>
      <c r="J2190" s="10" t="n">
        <v>0</v>
      </c>
      <c r="K2190" s="10" t="s">
        <v>20</v>
      </c>
      <c r="L2190" s="11" t="n">
        <v>42066.5668518519</v>
      </c>
      <c r="M2190" s="12"/>
      <c r="N2190" s="12" t="s">
        <v>1280</v>
      </c>
      <c r="O2190" s="9" t="str">
        <f aca="false">HYPERLINK("https://pbs.twimg.com/profile_images/793550507205914625/qBVxzsrU_normal.jpg","View")</f>
        <v>View</v>
      </c>
      <c r="P2190" s="10"/>
    </row>
    <row r="2191" customFormat="false" ht="15.75" hidden="false" customHeight="false" outlineLevel="0" collapsed="false">
      <c r="A2191" s="6" t="n">
        <v>43030.2237962963</v>
      </c>
      <c r="B2191" s="7" t="str">
        <f aca="false">HYPERLINK("https://twitter.com/ElizabethFieshe","@ElizabethFieshe")</f>
        <v>@ElizabethFieshe</v>
      </c>
      <c r="C2191" s="8" t="s">
        <v>5645</v>
      </c>
      <c r="D2191" s="8" t="s">
        <v>5646</v>
      </c>
      <c r="E2191" s="9" t="str">
        <f aca="false">HYPERLINK("https://twitter.com/ElizabethFieshe/status/922075631902494720","922075631902494720")</f>
        <v>922075631902494720</v>
      </c>
      <c r="F2191" s="10" t="s">
        <v>60</v>
      </c>
      <c r="G2191" s="10" t="n">
        <v>0</v>
      </c>
      <c r="H2191" s="10" t="n">
        <v>8</v>
      </c>
      <c r="I2191" s="10" t="n">
        <v>0</v>
      </c>
      <c r="J2191" s="10" t="n">
        <v>0</v>
      </c>
      <c r="K2191" s="10" t="s">
        <v>20</v>
      </c>
      <c r="L2191" s="11" t="n">
        <v>43011.1194212963</v>
      </c>
      <c r="M2191" s="12" t="s">
        <v>230</v>
      </c>
      <c r="N2191" s="12" t="s">
        <v>5647</v>
      </c>
      <c r="O2191" s="9" t="str">
        <f aca="false">HYPERLINK("https://pbs.twimg.com/profile_images/917108296405757952/oVkANnjK_normal.jpg","View")</f>
        <v>View</v>
      </c>
      <c r="P2191" s="10"/>
    </row>
    <row r="2192" customFormat="false" ht="15.75" hidden="false" customHeight="false" outlineLevel="0" collapsed="false">
      <c r="A2192" s="6" t="n">
        <v>43030.2238078704</v>
      </c>
      <c r="B2192" s="7" t="str">
        <f aca="false">HYPERLINK("https://twitter.com/ShannonUpwall","@ShannonUpwall")</f>
        <v>@ShannonUpwall</v>
      </c>
      <c r="C2192" s="8" t="s">
        <v>5648</v>
      </c>
      <c r="D2192" s="8" t="s">
        <v>5649</v>
      </c>
      <c r="E2192" s="9" t="str">
        <f aca="false">HYPERLINK("https://twitter.com/ShannonUpwall/status/922075634687410177","922075634687410177")</f>
        <v>922075634687410177</v>
      </c>
      <c r="F2192" s="10" t="s">
        <v>60</v>
      </c>
      <c r="G2192" s="10" t="n">
        <v>60</v>
      </c>
      <c r="H2192" s="10" t="n">
        <v>11</v>
      </c>
      <c r="I2192" s="10" t="n">
        <v>0</v>
      </c>
      <c r="J2192" s="10" t="n">
        <v>0</v>
      </c>
      <c r="K2192" s="10" t="s">
        <v>20</v>
      </c>
      <c r="L2192" s="11" t="n">
        <v>41562.5714930556</v>
      </c>
      <c r="M2192" s="12" t="s">
        <v>5650</v>
      </c>
      <c r="N2192" s="12" t="s">
        <v>5651</v>
      </c>
      <c r="O2192" s="9" t="str">
        <f aca="false">HYPERLINK("https://pbs.twimg.com/profile_images/432977502605029376/uZkYnWq5_normal.jpeg","View")</f>
        <v>View</v>
      </c>
      <c r="P2192" s="10"/>
    </row>
    <row r="2193" customFormat="false" ht="15.75" hidden="false" customHeight="false" outlineLevel="0" collapsed="false">
      <c r="A2193" s="6" t="n">
        <v>43030.2238078704</v>
      </c>
      <c r="B2193" s="7" t="str">
        <f aca="false">HYPERLINK("https://twitter.com/christilcara","@christilcara")</f>
        <v>@christilcara</v>
      </c>
      <c r="C2193" s="8" t="s">
        <v>5652</v>
      </c>
      <c r="D2193" s="8" t="s">
        <v>5030</v>
      </c>
      <c r="E2193" s="9" t="str">
        <f aca="false">HYPERLINK("https://twitter.com/christilcara/status/922075637183021056","922075637183021056")</f>
        <v>922075637183021056</v>
      </c>
      <c r="F2193" s="10" t="s">
        <v>25</v>
      </c>
      <c r="G2193" s="10" t="n">
        <v>1436</v>
      </c>
      <c r="H2193" s="10" t="n">
        <v>937</v>
      </c>
      <c r="I2193" s="10" t="n">
        <v>22</v>
      </c>
      <c r="J2193" s="10" t="n">
        <v>0</v>
      </c>
      <c r="K2193" s="10" t="s">
        <v>20</v>
      </c>
      <c r="L2193" s="11" t="n">
        <v>40059.6215162037</v>
      </c>
      <c r="M2193" s="12" t="s">
        <v>5653</v>
      </c>
      <c r="N2193" s="12" t="s">
        <v>5654</v>
      </c>
      <c r="O2193" s="9" t="str">
        <f aca="false">HYPERLINK("https://pbs.twimg.com/profile_images/1182654846/BlackFish_Salzburg__Die_Weisse_normal.jpg","View")</f>
        <v>View</v>
      </c>
      <c r="P2193" s="10"/>
    </row>
    <row r="2194" customFormat="false" ht="15.75" hidden="false" customHeight="false" outlineLevel="0" collapsed="false">
      <c r="A2194" s="6" t="n">
        <v>43030.2238310185</v>
      </c>
      <c r="B2194" s="7" t="str">
        <f aca="false">HYPERLINK("https://twitter.com/ShiWry","@ShiWry")</f>
        <v>@ShiWry</v>
      </c>
      <c r="C2194" s="8" t="s">
        <v>5655</v>
      </c>
      <c r="D2194" s="8" t="s">
        <v>5656</v>
      </c>
      <c r="E2194" s="9" t="str">
        <f aca="false">HYPERLINK("https://twitter.com/ShiWry/status/922075644221165568","922075644221165568")</f>
        <v>922075644221165568</v>
      </c>
      <c r="F2194" s="10" t="s">
        <v>60</v>
      </c>
      <c r="G2194" s="10" t="n">
        <v>0</v>
      </c>
      <c r="H2194" s="10" t="n">
        <v>0</v>
      </c>
      <c r="I2194" s="10" t="n">
        <v>0</v>
      </c>
      <c r="J2194" s="10" t="n">
        <v>0</v>
      </c>
      <c r="K2194" s="10" t="s">
        <v>20</v>
      </c>
      <c r="L2194" s="11" t="n">
        <v>42984.9930324074</v>
      </c>
      <c r="M2194" s="12"/>
      <c r="N2194" s="12" t="s">
        <v>5657</v>
      </c>
      <c r="O2194" s="9" t="str">
        <f aca="false">HYPERLINK("https://pbs.twimg.com/profile_images/908163805091213312/e-dVY6cL_normal.jpg","View")</f>
        <v>View</v>
      </c>
      <c r="P2194" s="10"/>
    </row>
    <row r="2195" customFormat="false" ht="15.75" hidden="false" customHeight="false" outlineLevel="0" collapsed="false">
      <c r="A2195" s="6" t="n">
        <v>43030.2238657407</v>
      </c>
      <c r="B2195" s="7" t="str">
        <f aca="false">HYPERLINK("https://twitter.com/rosaspitts","@rosaspitts")</f>
        <v>@rosaspitts</v>
      </c>
      <c r="C2195" s="8" t="s">
        <v>5658</v>
      </c>
      <c r="D2195" s="8" t="s">
        <v>5659</v>
      </c>
      <c r="E2195" s="9" t="str">
        <f aca="false">HYPERLINK("https://twitter.com/rosaspitts/status/922075654719528961","922075654719528961")</f>
        <v>922075654719528961</v>
      </c>
      <c r="F2195" s="10" t="s">
        <v>60</v>
      </c>
      <c r="G2195" s="10" t="n">
        <v>0</v>
      </c>
      <c r="H2195" s="10" t="n">
        <v>8</v>
      </c>
      <c r="I2195" s="10" t="n">
        <v>0</v>
      </c>
      <c r="J2195" s="10" t="n">
        <v>0</v>
      </c>
      <c r="K2195" s="10" t="s">
        <v>20</v>
      </c>
      <c r="L2195" s="11" t="n">
        <v>43011.0104398148</v>
      </c>
      <c r="M2195" s="12" t="s">
        <v>230</v>
      </c>
      <c r="N2195" s="12" t="s">
        <v>5660</v>
      </c>
      <c r="O2195" s="9" t="str">
        <f aca="false">HYPERLINK("https://pbs.twimg.com/profile_images/917296885718642688/qzikzS3k_normal.jpg","View")</f>
        <v>View</v>
      </c>
      <c r="P2195" s="10"/>
    </row>
    <row r="2196" customFormat="false" ht="15.75" hidden="false" customHeight="false" outlineLevel="0" collapsed="false">
      <c r="A2196" s="6" t="n">
        <v>43030.223900463</v>
      </c>
      <c r="B2196" s="7" t="str">
        <f aca="false">HYPERLINK("https://twitter.com/AmyWhit85197243","@AmyWhit85197243")</f>
        <v>@AmyWhit85197243</v>
      </c>
      <c r="C2196" s="8" t="s">
        <v>5661</v>
      </c>
      <c r="D2196" s="8" t="s">
        <v>5662</v>
      </c>
      <c r="E2196" s="9" t="str">
        <f aca="false">HYPERLINK("https://twitter.com/AmyWhit85197243/status/922075668585897985","922075668585897985")</f>
        <v>922075668585897985</v>
      </c>
      <c r="F2196" s="10" t="s">
        <v>60</v>
      </c>
      <c r="G2196" s="10" t="n">
        <v>0</v>
      </c>
      <c r="H2196" s="10" t="n">
        <v>0</v>
      </c>
      <c r="I2196" s="10" t="n">
        <v>0</v>
      </c>
      <c r="J2196" s="10" t="n">
        <v>0</v>
      </c>
      <c r="K2196" s="10" t="s">
        <v>20</v>
      </c>
      <c r="L2196" s="11" t="n">
        <v>42950.9309953704</v>
      </c>
      <c r="M2196" s="12"/>
      <c r="N2196" s="12"/>
      <c r="O2196" s="9" t="str">
        <f aca="false">HYPERLINK("https://pbs.twimg.com/profile_images/906453387805302784/RSMZvSqc_normal.jpg","View")</f>
        <v>View</v>
      </c>
      <c r="P2196" s="10"/>
    </row>
    <row r="2197" customFormat="false" ht="15.75" hidden="false" customHeight="false" outlineLevel="0" collapsed="false">
      <c r="A2197" s="6" t="n">
        <v>43030.2239467593</v>
      </c>
      <c r="B2197" s="7" t="str">
        <f aca="false">HYPERLINK("https://twitter.com/hannahhardacre9","@hannahhardacre9")</f>
        <v>@hannahhardacre9</v>
      </c>
      <c r="C2197" s="8" t="s">
        <v>5663</v>
      </c>
      <c r="D2197" s="8" t="s">
        <v>5664</v>
      </c>
      <c r="E2197" s="9" t="str">
        <f aca="false">HYPERLINK("https://twitter.com/hannahhardacre9/status/922075686843555840","922075686843555840")</f>
        <v>922075686843555840</v>
      </c>
      <c r="F2197" s="10" t="s">
        <v>60</v>
      </c>
      <c r="G2197" s="10" t="n">
        <v>0</v>
      </c>
      <c r="H2197" s="10" t="n">
        <v>0</v>
      </c>
      <c r="I2197" s="10" t="n">
        <v>0</v>
      </c>
      <c r="J2197" s="10" t="n">
        <v>0</v>
      </c>
      <c r="K2197" s="10" t="s">
        <v>20</v>
      </c>
      <c r="L2197" s="11" t="n">
        <v>42950.9724652778</v>
      </c>
      <c r="M2197" s="12"/>
      <c r="N2197" s="12"/>
      <c r="O2197" s="9" t="str">
        <f aca="false">HYPERLINK("https://pbs.twimg.com/profile_images/906875976524603393/xnAsx9oT_normal.jpg","View")</f>
        <v>View</v>
      </c>
      <c r="P2197" s="10"/>
    </row>
    <row r="2198" customFormat="false" ht="15.75" hidden="false" customHeight="false" outlineLevel="0" collapsed="false">
      <c r="A2198" s="6" t="n">
        <v>43030.2240162037</v>
      </c>
      <c r="B2198" s="7" t="str">
        <f aca="false">HYPERLINK("https://twitter.com/fredfrazier","@fredfrazier")</f>
        <v>@fredfrazier</v>
      </c>
      <c r="C2198" s="8" t="s">
        <v>5665</v>
      </c>
      <c r="D2198" s="8" t="s">
        <v>5030</v>
      </c>
      <c r="E2198" s="9" t="str">
        <f aca="false">HYPERLINK("https://twitter.com/fredfrazier/status/922075709148774400","922075709148774400")</f>
        <v>922075709148774400</v>
      </c>
      <c r="F2198" s="10" t="s">
        <v>51</v>
      </c>
      <c r="G2198" s="10" t="n">
        <v>1847</v>
      </c>
      <c r="H2198" s="10" t="n">
        <v>3204</v>
      </c>
      <c r="I2198" s="10" t="n">
        <v>22</v>
      </c>
      <c r="J2198" s="10" t="n">
        <v>0</v>
      </c>
      <c r="K2198" s="10" t="s">
        <v>20</v>
      </c>
      <c r="L2198" s="11" t="n">
        <v>39883.6401967593</v>
      </c>
      <c r="M2198" s="12" t="s">
        <v>1363</v>
      </c>
      <c r="N2198" s="12" t="s">
        <v>5666</v>
      </c>
      <c r="O2198" s="9" t="str">
        <f aca="false">HYPERLINK("https://pbs.twimg.com/profile_images/769304607835115520/pC4BryZw_normal.jpg","View")</f>
        <v>View</v>
      </c>
      <c r="P2198" s="10"/>
    </row>
    <row r="2199" customFormat="false" ht="15.75" hidden="false" customHeight="false" outlineLevel="0" collapsed="false">
      <c r="A2199" s="6" t="n">
        <v>43030.224212963</v>
      </c>
      <c r="B2199" s="7" t="str">
        <f aca="false">HYPERLINK("https://twitter.com/ohiomary","@ohiomary")</f>
        <v>@ohiomary</v>
      </c>
      <c r="C2199" s="8" t="s">
        <v>5667</v>
      </c>
      <c r="D2199" s="8" t="s">
        <v>4984</v>
      </c>
      <c r="E2199" s="9" t="str">
        <f aca="false">HYPERLINK("https://twitter.com/ohiomary/status/922075780930265088","922075780930265088")</f>
        <v>922075780930265088</v>
      </c>
      <c r="F2199" s="10" t="s">
        <v>276</v>
      </c>
      <c r="G2199" s="10" t="n">
        <v>1412</v>
      </c>
      <c r="H2199" s="10" t="n">
        <v>574</v>
      </c>
      <c r="I2199" s="10" t="n">
        <v>187</v>
      </c>
      <c r="J2199" s="10" t="n">
        <v>0</v>
      </c>
      <c r="K2199" s="10" t="s">
        <v>20</v>
      </c>
      <c r="L2199" s="11" t="n">
        <v>39262.3800231481</v>
      </c>
      <c r="M2199" s="12" t="s">
        <v>5668</v>
      </c>
      <c r="N2199" s="12" t="s">
        <v>5669</v>
      </c>
      <c r="O2199" s="9" t="str">
        <f aca="false">HYPERLINK("https://pbs.twimg.com/profile_images/459496233149542400/9r1j10CL_normal.jpeg","View")</f>
        <v>View</v>
      </c>
      <c r="P2199" s="10"/>
    </row>
    <row r="2200" customFormat="false" ht="15.75" hidden="false" customHeight="false" outlineLevel="0" collapsed="false">
      <c r="A2200" s="6" t="n">
        <v>43030.2242476852</v>
      </c>
      <c r="B2200" s="7" t="str">
        <f aca="false">HYPERLINK("https://twitter.com/Zicutake","@Zicutake")</f>
        <v>@Zicutake</v>
      </c>
      <c r="C2200" s="8" t="s">
        <v>5670</v>
      </c>
      <c r="D2200" s="8" t="s">
        <v>5671</v>
      </c>
      <c r="E2200" s="9" t="str">
        <f aca="false">HYPERLINK("https://twitter.com/Zicutake/status/922075794352103425","922075794352103425")</f>
        <v>922075794352103425</v>
      </c>
      <c r="F2200" s="10" t="s">
        <v>55</v>
      </c>
      <c r="G2200" s="10" t="n">
        <v>4542</v>
      </c>
      <c r="H2200" s="10" t="n">
        <v>22</v>
      </c>
      <c r="I2200" s="10" t="n">
        <v>0</v>
      </c>
      <c r="J2200" s="10" t="n">
        <v>0</v>
      </c>
      <c r="K2200" s="10" t="s">
        <v>20</v>
      </c>
      <c r="L2200" s="11" t="n">
        <v>41499.3833101852</v>
      </c>
      <c r="M2200" s="12"/>
      <c r="N2200" s="12" t="s">
        <v>5672</v>
      </c>
      <c r="O2200" s="9" t="str">
        <f aca="false">HYPERLINK("https://pbs.twimg.com/profile_images/786703756616404992/HbUnSFl5_normal.png","View")</f>
        <v>View</v>
      </c>
      <c r="P2200" s="10"/>
    </row>
    <row r="2201" customFormat="false" ht="15.75" hidden="false" customHeight="false" outlineLevel="0" collapsed="false">
      <c r="A2201" s="6" t="n">
        <v>43030.2242824074</v>
      </c>
      <c r="B2201" s="7" t="str">
        <f aca="false">HYPERLINK("https://twitter.com/daiichi_crisis","@daiichi_crisis")</f>
        <v>@daiichi_crisis</v>
      </c>
      <c r="C2201" s="8" t="s">
        <v>287</v>
      </c>
      <c r="D2201" s="8" t="s">
        <v>5673</v>
      </c>
      <c r="E2201" s="9" t="str">
        <f aca="false">HYPERLINK("https://twitter.com/daiichi_crisis/status/922075805588578304","922075805588578304")</f>
        <v>922075805588578304</v>
      </c>
      <c r="F2201" s="10" t="s">
        <v>55</v>
      </c>
      <c r="G2201" s="10" t="n">
        <v>584</v>
      </c>
      <c r="H2201" s="10" t="n">
        <v>1</v>
      </c>
      <c r="I2201" s="10" t="n">
        <v>0</v>
      </c>
      <c r="J2201" s="10" t="n">
        <v>0</v>
      </c>
      <c r="K2201" s="10" t="s">
        <v>20</v>
      </c>
      <c r="L2201" s="11" t="n">
        <v>40615.6037384259</v>
      </c>
      <c r="M2201" s="12"/>
      <c r="N2201" s="12" t="s">
        <v>289</v>
      </c>
      <c r="O2201" s="9" t="str">
        <f aca="false">HYPERLINK("https://pbs.twimg.com/profile_images/1271554061/thumb_normal.jpg","View")</f>
        <v>View</v>
      </c>
      <c r="P2201" s="10"/>
    </row>
    <row r="2202" customFormat="false" ht="15.75" hidden="false" customHeight="false" outlineLevel="0" collapsed="false">
      <c r="A2202" s="6" t="n">
        <v>43030.2243287037</v>
      </c>
      <c r="B2202" s="7" t="str">
        <f aca="false">HYPERLINK("https://twitter.com/GoGeckomagazine","@GoGeckomagazine")</f>
        <v>@GoGeckomagazine</v>
      </c>
      <c r="C2202" s="8" t="s">
        <v>5674</v>
      </c>
      <c r="D2202" s="8" t="s">
        <v>5675</v>
      </c>
      <c r="E2202" s="9" t="str">
        <f aca="false">HYPERLINK("https://twitter.com/GoGeckomagazine/status/922075823896588289","922075823896588289")</f>
        <v>922075823896588289</v>
      </c>
      <c r="F2202" s="9" t="s">
        <v>1147</v>
      </c>
      <c r="G2202" s="10" t="n">
        <v>1348</v>
      </c>
      <c r="H2202" s="10" t="n">
        <v>2947</v>
      </c>
      <c r="I2202" s="10" t="n">
        <v>0</v>
      </c>
      <c r="J2202" s="10" t="n">
        <v>0</v>
      </c>
      <c r="K2202" s="10" t="s">
        <v>20</v>
      </c>
      <c r="L2202" s="11" t="n">
        <v>42798.7796527778</v>
      </c>
      <c r="M2202" s="12"/>
      <c r="N2202" s="12"/>
      <c r="O2202" s="9" t="str">
        <f aca="false">HYPERLINK("https://pbs.twimg.com/profile_images/838218768899796992/EQkYlZLx_normal.jpg","View")</f>
        <v>View</v>
      </c>
      <c r="P2202" s="10"/>
    </row>
    <row r="2203" customFormat="false" ht="15.75" hidden="false" customHeight="false" outlineLevel="0" collapsed="false">
      <c r="A2203" s="6" t="n">
        <v>43030.2243634259</v>
      </c>
      <c r="B2203" s="7" t="str">
        <f aca="false">HYPERLINK("https://twitter.com/STEWARDmag","@STEWARDmag")</f>
        <v>@STEWARDmag</v>
      </c>
      <c r="C2203" s="8" t="s">
        <v>5676</v>
      </c>
      <c r="D2203" s="8" t="s">
        <v>5677</v>
      </c>
      <c r="E2203" s="9" t="str">
        <f aca="false">HYPERLINK("https://twitter.com/STEWARDmag/status/922075838576672769","922075838576672769")</f>
        <v>922075838576672769</v>
      </c>
      <c r="F2203" s="9" t="s">
        <v>1147</v>
      </c>
      <c r="G2203" s="10" t="n">
        <v>276</v>
      </c>
      <c r="H2203" s="10" t="n">
        <v>205</v>
      </c>
      <c r="I2203" s="10" t="n">
        <v>1</v>
      </c>
      <c r="J2203" s="10" t="n">
        <v>0</v>
      </c>
      <c r="K2203" s="10" t="s">
        <v>20</v>
      </c>
      <c r="L2203" s="11" t="n">
        <v>40917.812974537</v>
      </c>
      <c r="M2203" s="12" t="s">
        <v>319</v>
      </c>
      <c r="N2203" s="12" t="s">
        <v>5678</v>
      </c>
      <c r="O2203" s="9" t="str">
        <f aca="false">HYPERLINK("https://pbs.twimg.com/profile_images/420744629965709312/SFfTIgUt_normal.png","View")</f>
        <v>View</v>
      </c>
      <c r="P2203" s="10"/>
    </row>
    <row r="2204" customFormat="false" ht="15.75" hidden="false" customHeight="false" outlineLevel="0" collapsed="false">
      <c r="A2204" s="6" t="n">
        <v>43030.224375</v>
      </c>
      <c r="B2204" s="7" t="str">
        <f aca="false">HYPERLINK("https://twitter.com/daiichi_crisis","@daiichi_crisis")</f>
        <v>@daiichi_crisis</v>
      </c>
      <c r="C2204" s="8" t="s">
        <v>287</v>
      </c>
      <c r="D2204" s="8" t="s">
        <v>5679</v>
      </c>
      <c r="E2204" s="9" t="str">
        <f aca="false">HYPERLINK("https://twitter.com/daiichi_crisis/status/922075839914696709","922075839914696709")</f>
        <v>922075839914696709</v>
      </c>
      <c r="F2204" s="9" t="s">
        <v>1147</v>
      </c>
      <c r="G2204" s="10" t="n">
        <v>584</v>
      </c>
      <c r="H2204" s="10" t="n">
        <v>1</v>
      </c>
      <c r="I2204" s="10" t="n">
        <v>0</v>
      </c>
      <c r="J2204" s="10" t="n">
        <v>0</v>
      </c>
      <c r="K2204" s="10" t="s">
        <v>20</v>
      </c>
      <c r="L2204" s="11" t="n">
        <v>40615.6037384259</v>
      </c>
      <c r="M2204" s="12"/>
      <c r="N2204" s="12" t="s">
        <v>289</v>
      </c>
      <c r="O2204" s="9" t="str">
        <f aca="false">HYPERLINK("https://pbs.twimg.com/profile_images/1271554061/thumb_normal.jpg","View")</f>
        <v>View</v>
      </c>
      <c r="P2204" s="10"/>
    </row>
    <row r="2205" customFormat="false" ht="15.75" hidden="false" customHeight="false" outlineLevel="0" collapsed="false">
      <c r="A2205" s="6" t="n">
        <v>43030.224375</v>
      </c>
      <c r="B2205" s="7" t="str">
        <f aca="false">HYPERLINK("https://twitter.com/akemmapapa","@akemmapapa")</f>
        <v>@akemmapapa</v>
      </c>
      <c r="C2205" s="8" t="s">
        <v>5680</v>
      </c>
      <c r="D2205" s="8" t="s">
        <v>5030</v>
      </c>
      <c r="E2205" s="9" t="str">
        <f aca="false">HYPERLINK("https://twitter.com/akemmapapa/status/922075841479180288","922075841479180288")</f>
        <v>922075841479180288</v>
      </c>
      <c r="F2205" s="10" t="s">
        <v>51</v>
      </c>
      <c r="G2205" s="10" t="n">
        <v>739</v>
      </c>
      <c r="H2205" s="10" t="n">
        <v>1444</v>
      </c>
      <c r="I2205" s="10" t="n">
        <v>22</v>
      </c>
      <c r="J2205" s="10" t="n">
        <v>0</v>
      </c>
      <c r="K2205" s="10" t="s">
        <v>20</v>
      </c>
      <c r="L2205" s="11" t="n">
        <v>40493.5064699074</v>
      </c>
      <c r="M2205" s="12"/>
      <c r="N2205" s="12"/>
      <c r="O2205" s="9" t="str">
        <f aca="false">HYPERLINK("https://pbs.twimg.com/profile_images/598097212355272704/P6FCYoqb_normal.jpg","View")</f>
        <v>View</v>
      </c>
      <c r="P2205" s="10"/>
    </row>
    <row r="2206" customFormat="false" ht="15.75" hidden="false" customHeight="false" outlineLevel="0" collapsed="false">
      <c r="A2206" s="6" t="n">
        <v>43030.224375</v>
      </c>
      <c r="B2206" s="7" t="str">
        <f aca="false">HYPERLINK("https://twitter.com/gauravndhankar","@gauravndhankar")</f>
        <v>@gauravndhankar</v>
      </c>
      <c r="C2206" s="8" t="s">
        <v>5681</v>
      </c>
      <c r="D2206" s="8" t="s">
        <v>5682</v>
      </c>
      <c r="E2206" s="9" t="str">
        <f aca="false">HYPERLINK("https://twitter.com/gauravndhankar/status/922075843110748162","922075843110748162")</f>
        <v>922075843110748162</v>
      </c>
      <c r="F2206" s="9" t="s">
        <v>1147</v>
      </c>
      <c r="G2206" s="10" t="n">
        <v>245</v>
      </c>
      <c r="H2206" s="10" t="n">
        <v>405</v>
      </c>
      <c r="I2206" s="10" t="n">
        <v>0</v>
      </c>
      <c r="J2206" s="10" t="n">
        <v>0</v>
      </c>
      <c r="K2206" s="10" t="s">
        <v>20</v>
      </c>
      <c r="L2206" s="11" t="n">
        <v>42105.8529861111</v>
      </c>
      <c r="M2206" s="12" t="s">
        <v>72</v>
      </c>
      <c r="N2206" s="12"/>
      <c r="O2206" s="9" t="str">
        <f aca="false">HYPERLINK("https://pbs.twimg.com/profile_images/895512028198035456/BKMNTwK7_normal.jpg","View")</f>
        <v>View</v>
      </c>
      <c r="P2206" s="10"/>
    </row>
    <row r="2207" customFormat="false" ht="15.75" hidden="false" customHeight="false" outlineLevel="0" collapsed="false">
      <c r="A2207" s="6" t="n">
        <v>43030.2243865741</v>
      </c>
      <c r="B2207" s="7" t="str">
        <f aca="false">HYPERLINK("https://twitter.com/AmericanKingNew","@AmericanKingNew")</f>
        <v>@AmericanKingNew</v>
      </c>
      <c r="C2207" s="8" t="s">
        <v>5683</v>
      </c>
      <c r="D2207" s="8" t="s">
        <v>5684</v>
      </c>
      <c r="E2207" s="9" t="str">
        <f aca="false">HYPERLINK("https://twitter.com/AmericanKingNew/status/922075844444528641","922075844444528641")</f>
        <v>922075844444528641</v>
      </c>
      <c r="F2207" s="9" t="s">
        <v>1147</v>
      </c>
      <c r="G2207" s="10" t="n">
        <v>24</v>
      </c>
      <c r="H2207" s="10" t="n">
        <v>105</v>
      </c>
      <c r="I2207" s="10" t="n">
        <v>0</v>
      </c>
      <c r="J2207" s="10" t="n">
        <v>1</v>
      </c>
      <c r="K2207" s="10" t="s">
        <v>20</v>
      </c>
      <c r="L2207" s="11" t="n">
        <v>42788.4291203704</v>
      </c>
      <c r="M2207" s="12" t="s">
        <v>723</v>
      </c>
      <c r="N2207" s="12" t="s">
        <v>5685</v>
      </c>
      <c r="O2207" s="9" t="str">
        <f aca="false">HYPERLINK("https://pbs.twimg.com/profile_images/834468112502312960/LWC3YOSX_normal.jpg","View")</f>
        <v>View</v>
      </c>
      <c r="P2207" s="10"/>
    </row>
    <row r="2208" customFormat="false" ht="15.75" hidden="false" customHeight="false" outlineLevel="0" collapsed="false">
      <c r="A2208" s="6" t="n">
        <v>43030.2243981481</v>
      </c>
      <c r="B2208" s="7" t="str">
        <f aca="false">HYPERLINK("https://twitter.com/JimmCarr","@JimmCarr")</f>
        <v>@JimmCarr</v>
      </c>
      <c r="C2208" s="8" t="s">
        <v>5686</v>
      </c>
      <c r="D2208" s="8" t="s">
        <v>5687</v>
      </c>
      <c r="E2208" s="9" t="str">
        <f aca="false">HYPERLINK("https://twitter.com/JimmCarr/status/922075851226628096","922075851226628096")</f>
        <v>922075851226628096</v>
      </c>
      <c r="F2208" s="9" t="s">
        <v>1147</v>
      </c>
      <c r="G2208" s="10" t="n">
        <v>1733</v>
      </c>
      <c r="H2208" s="10" t="n">
        <v>1023</v>
      </c>
      <c r="I2208" s="10" t="n">
        <v>0</v>
      </c>
      <c r="J2208" s="10" t="n">
        <v>0</v>
      </c>
      <c r="K2208" s="10" t="s">
        <v>20</v>
      </c>
      <c r="L2208" s="11" t="n">
        <v>39647.2709722222</v>
      </c>
      <c r="M2208" s="12" t="s">
        <v>312</v>
      </c>
      <c r="N2208" s="12" t="s">
        <v>5688</v>
      </c>
      <c r="O2208" s="9" t="str">
        <f aca="false">HYPERLINK("https://pbs.twimg.com/profile_images/1211269397/jc-beach_normal.jpg","View")</f>
        <v>View</v>
      </c>
      <c r="P2208" s="10"/>
    </row>
    <row r="2209" customFormat="false" ht="15.75" hidden="false" customHeight="false" outlineLevel="0" collapsed="false">
      <c r="A2209" s="6" t="n">
        <v>43030.2244444444</v>
      </c>
      <c r="B2209" s="7" t="str">
        <f aca="false">HYPERLINK("https://twitter.com/HymanAndriette","@HymanAndriette")</f>
        <v>@HymanAndriette</v>
      </c>
      <c r="C2209" s="8" t="s">
        <v>5689</v>
      </c>
      <c r="D2209" s="8" t="s">
        <v>5690</v>
      </c>
      <c r="E2209" s="9" t="str">
        <f aca="false">HYPERLINK("https://twitter.com/HymanAndriette/status/922075865017651201","922075865017651201")</f>
        <v>922075865017651201</v>
      </c>
      <c r="F2209" s="10" t="s">
        <v>60</v>
      </c>
      <c r="G2209" s="10" t="n">
        <v>1</v>
      </c>
      <c r="H2209" s="10" t="n">
        <v>0</v>
      </c>
      <c r="I2209" s="10" t="n">
        <v>0</v>
      </c>
      <c r="J2209" s="10" t="n">
        <v>0</v>
      </c>
      <c r="K2209" s="10" t="s">
        <v>20</v>
      </c>
      <c r="L2209" s="11" t="n">
        <v>43004.9351967593</v>
      </c>
      <c r="M2209" s="12" t="s">
        <v>4607</v>
      </c>
      <c r="N2209" s="12" t="s">
        <v>5691</v>
      </c>
      <c r="O2209" s="9" t="str">
        <f aca="false">HYPERLINK("https://pbs.twimg.com/profile_images/921928588290428928/Pk1_cFPf_normal.jpg","View")</f>
        <v>View</v>
      </c>
      <c r="P2209" s="10"/>
    </row>
    <row r="2210" customFormat="false" ht="15.75" hidden="false" customHeight="false" outlineLevel="0" collapsed="false">
      <c r="A2210" s="6" t="n">
        <v>43030.2244444444</v>
      </c>
      <c r="B2210" s="7" t="str">
        <f aca="false">HYPERLINK("https://twitter.com/AmyThernat","@AmyThernat")</f>
        <v>@AmyThernat</v>
      </c>
      <c r="C2210" s="8" t="s">
        <v>5692</v>
      </c>
      <c r="D2210" s="8" t="s">
        <v>5693</v>
      </c>
      <c r="E2210" s="9" t="str">
        <f aca="false">HYPERLINK("https://twitter.com/AmyThernat/status/922075866745704448","922075866745704448")</f>
        <v>922075866745704448</v>
      </c>
      <c r="F2210" s="10" t="s">
        <v>60</v>
      </c>
      <c r="G2210" s="10" t="n">
        <v>0</v>
      </c>
      <c r="H2210" s="10" t="n">
        <v>0</v>
      </c>
      <c r="I2210" s="10" t="n">
        <v>0</v>
      </c>
      <c r="J2210" s="10" t="n">
        <v>0</v>
      </c>
      <c r="K2210" s="10" t="s">
        <v>20</v>
      </c>
      <c r="L2210" s="11" t="n">
        <v>42968.1844791667</v>
      </c>
      <c r="M2210" s="12"/>
      <c r="N2210" s="12" t="s">
        <v>5694</v>
      </c>
      <c r="O2210" s="9" t="str">
        <f aca="false">HYPERLINK("https://pbs.twimg.com/profile_images/909803765963747329/oVJE5aNQ_normal.jpg","View")</f>
        <v>View</v>
      </c>
      <c r="P2210" s="10"/>
    </row>
    <row r="2211" customFormat="false" ht="15.75" hidden="false" customHeight="false" outlineLevel="0" collapsed="false">
      <c r="A2211" s="6" t="n">
        <v>43030.2245601852</v>
      </c>
      <c r="B2211" s="7" t="str">
        <f aca="false">HYPERLINK("https://twitter.com/elvin_jeanie","@elvin_jeanie")</f>
        <v>@elvin_jeanie</v>
      </c>
      <c r="C2211" s="8" t="s">
        <v>5695</v>
      </c>
      <c r="D2211" s="8" t="s">
        <v>5696</v>
      </c>
      <c r="E2211" s="9" t="str">
        <f aca="false">HYPERLINK("https://twitter.com/elvin_jeanie/status/922075908726509568","922075908726509568")</f>
        <v>922075908726509568</v>
      </c>
      <c r="F2211" s="10" t="s">
        <v>60</v>
      </c>
      <c r="G2211" s="10" t="n">
        <v>0</v>
      </c>
      <c r="H2211" s="10" t="n">
        <v>0</v>
      </c>
      <c r="I2211" s="10" t="n">
        <v>0</v>
      </c>
      <c r="J2211" s="10" t="n">
        <v>0</v>
      </c>
      <c r="K2211" s="10" t="s">
        <v>20</v>
      </c>
      <c r="L2211" s="11" t="n">
        <v>43021.9187037037</v>
      </c>
      <c r="M2211" s="12" t="s">
        <v>295</v>
      </c>
      <c r="N2211" s="12" t="s">
        <v>5697</v>
      </c>
      <c r="O2211" s="9" t="str">
        <f aca="false">HYPERLINK("https://pbs.twimg.com/profile_images/920244100707762177/BNZX5ZCS_normal.jpg","View")</f>
        <v>View</v>
      </c>
      <c r="P2211" s="10"/>
    </row>
    <row r="2212" customFormat="false" ht="15.75" hidden="false" customHeight="false" outlineLevel="0" collapsed="false">
      <c r="A2212" s="6" t="n">
        <v>43030.2245717593</v>
      </c>
      <c r="B2212" s="7" t="str">
        <f aca="false">HYPERLINK("https://twitter.com/emico3473","@emico3473")</f>
        <v>@emico3473</v>
      </c>
      <c r="C2212" s="8" t="s">
        <v>5698</v>
      </c>
      <c r="D2212" s="8" t="s">
        <v>4984</v>
      </c>
      <c r="E2212" s="9" t="str">
        <f aca="false">HYPERLINK("https://twitter.com/emico3473/status/922075914057392133","922075914057392133")</f>
        <v>922075914057392133</v>
      </c>
      <c r="F2212" s="10" t="s">
        <v>51</v>
      </c>
      <c r="G2212" s="10" t="n">
        <v>188</v>
      </c>
      <c r="H2212" s="10" t="n">
        <v>178</v>
      </c>
      <c r="I2212" s="10" t="n">
        <v>187</v>
      </c>
      <c r="J2212" s="10" t="n">
        <v>0</v>
      </c>
      <c r="K2212" s="10" t="s">
        <v>20</v>
      </c>
      <c r="L2212" s="11" t="n">
        <v>40946.9988657407</v>
      </c>
      <c r="M2212" s="12" t="s">
        <v>5699</v>
      </c>
      <c r="N2212" s="12" t="s">
        <v>5700</v>
      </c>
      <c r="O2212" s="9" t="str">
        <f aca="false">HYPERLINK("https://pbs.twimg.com/profile_images/586907996740984832/u1K43ZMP_normal.jpg","View")</f>
        <v>View</v>
      </c>
      <c r="P2212" s="10"/>
    </row>
    <row r="2213" customFormat="false" ht="15.75" hidden="false" customHeight="false" outlineLevel="0" collapsed="false">
      <c r="A2213" s="6" t="n">
        <v>43030.2245833333</v>
      </c>
      <c r="B2213" s="7" t="str">
        <f aca="false">HYPERLINK("https://twitter.com/wendyhart571d","@wendyhart571d")</f>
        <v>@wendyhart571d</v>
      </c>
      <c r="C2213" s="8" t="s">
        <v>5701</v>
      </c>
      <c r="D2213" s="8" t="s">
        <v>5702</v>
      </c>
      <c r="E2213" s="9" t="str">
        <f aca="false">HYPERLINK("https://twitter.com/wendyhart571d/status/922075918503415809","922075918503415809")</f>
        <v>922075918503415809</v>
      </c>
      <c r="F2213" s="10" t="s">
        <v>60</v>
      </c>
      <c r="G2213" s="10" t="n">
        <v>0</v>
      </c>
      <c r="H2213" s="10" t="n">
        <v>0</v>
      </c>
      <c r="I2213" s="10" t="n">
        <v>0</v>
      </c>
      <c r="J2213" s="10" t="n">
        <v>0</v>
      </c>
      <c r="K2213" s="10" t="s">
        <v>20</v>
      </c>
      <c r="L2213" s="11" t="n">
        <v>42950.9171527778</v>
      </c>
      <c r="M2213" s="12"/>
      <c r="N2213" s="12"/>
      <c r="O2213" s="9" t="str">
        <f aca="false">HYPERLINK("https://pbs.twimg.com/profile_images/905757347418537984/fNCRz-aO_normal.jpg","View")</f>
        <v>View</v>
      </c>
      <c r="P2213" s="10"/>
    </row>
    <row r="2214" customFormat="false" ht="15.75" hidden="false" customHeight="false" outlineLevel="0" collapsed="false">
      <c r="A2214" s="6" t="n">
        <v>43030.2245949074</v>
      </c>
      <c r="B2214" s="7" t="str">
        <f aca="false">HYPERLINK("https://twitter.com/EfrainlLopez","@EfrainlLopez")</f>
        <v>@EfrainlLopez</v>
      </c>
      <c r="C2214" s="8" t="s">
        <v>5703</v>
      </c>
      <c r="D2214" s="8" t="s">
        <v>3541</v>
      </c>
      <c r="E2214" s="9" t="str">
        <f aca="false">HYPERLINK("https://twitter.com/EfrainlLopez/status/922075921779253248","922075921779253248")</f>
        <v>922075921779253248</v>
      </c>
      <c r="F2214" s="10" t="s">
        <v>25</v>
      </c>
      <c r="G2214" s="10" t="n">
        <v>109</v>
      </c>
      <c r="H2214" s="10" t="n">
        <v>131</v>
      </c>
      <c r="I2214" s="10" t="n">
        <v>18</v>
      </c>
      <c r="J2214" s="10" t="n">
        <v>0</v>
      </c>
      <c r="K2214" s="10" t="s">
        <v>20</v>
      </c>
      <c r="L2214" s="11" t="n">
        <v>41452.993275463</v>
      </c>
      <c r="M2214" s="12" t="s">
        <v>5704</v>
      </c>
      <c r="N2214" s="12" t="s">
        <v>5705</v>
      </c>
      <c r="O2214" s="9" t="str">
        <f aca="false">HYPERLINK("https://pbs.twimg.com/profile_images/830277519752441857/_Z64ibzK_normal.jpg","View")</f>
        <v>View</v>
      </c>
      <c r="P2214" s="10"/>
    </row>
    <row r="2215" customFormat="false" ht="15.75" hidden="false" customHeight="false" outlineLevel="0" collapsed="false">
      <c r="A2215" s="6" t="n">
        <v>43030.2246180556</v>
      </c>
      <c r="B2215" s="7" t="str">
        <f aca="false">HYPERLINK("https://twitter.com/pufnotch","@pufnotch")</f>
        <v>@pufnotch</v>
      </c>
      <c r="C2215" s="8" t="s">
        <v>5706</v>
      </c>
      <c r="D2215" s="8" t="s">
        <v>4984</v>
      </c>
      <c r="E2215" s="9" t="str">
        <f aca="false">HYPERLINK("https://twitter.com/pufnotch/status/922075929781743616","922075929781743616")</f>
        <v>922075929781743616</v>
      </c>
      <c r="F2215" s="10" t="s">
        <v>39</v>
      </c>
      <c r="G2215" s="10" t="n">
        <v>3</v>
      </c>
      <c r="H2215" s="10" t="n">
        <v>74</v>
      </c>
      <c r="I2215" s="10" t="n">
        <v>187</v>
      </c>
      <c r="J2215" s="10" t="n">
        <v>0</v>
      </c>
      <c r="K2215" s="10" t="s">
        <v>20</v>
      </c>
      <c r="L2215" s="11" t="n">
        <v>42826.3301851852</v>
      </c>
      <c r="M2215" s="12"/>
      <c r="N2215" s="12" t="s">
        <v>5707</v>
      </c>
      <c r="O2215" s="9" t="str">
        <f aca="false">HYPERLINK("https://pbs.twimg.com/profile_images/848340480098050048/ogPnJG7O_normal.jpg","View")</f>
        <v>View</v>
      </c>
      <c r="P2215" s="10"/>
    </row>
    <row r="2216" customFormat="false" ht="15.75" hidden="false" customHeight="false" outlineLevel="0" collapsed="false">
      <c r="A2216" s="6" t="n">
        <v>43030.2246527778</v>
      </c>
      <c r="B2216" s="7" t="str">
        <f aca="false">HYPERLINK("https://twitter.com/whyAmerica1","@whyAmerica1")</f>
        <v>@whyAmerica1</v>
      </c>
      <c r="C2216" s="8" t="s">
        <v>5708</v>
      </c>
      <c r="D2216" s="8" t="s">
        <v>5709</v>
      </c>
      <c r="E2216" s="9" t="str">
        <f aca="false">HYPERLINK("https://twitter.com/whyAmerica1/status/922075942838849536","922075942838849536")</f>
        <v>922075942838849536</v>
      </c>
      <c r="F2216" s="10" t="s">
        <v>55</v>
      </c>
      <c r="G2216" s="10" t="n">
        <v>562</v>
      </c>
      <c r="H2216" s="10" t="n">
        <v>1434</v>
      </c>
      <c r="I2216" s="10" t="n">
        <v>0</v>
      </c>
      <c r="J2216" s="10" t="n">
        <v>0</v>
      </c>
      <c r="K2216" s="10" t="s">
        <v>20</v>
      </c>
      <c r="L2216" s="11" t="n">
        <v>40480.5251851852</v>
      </c>
      <c r="M2216" s="12" t="s">
        <v>2217</v>
      </c>
      <c r="N2216" s="12" t="s">
        <v>5710</v>
      </c>
      <c r="O2216" s="9" t="str">
        <f aca="false">HYPERLINK("https://pbs.twimg.com/profile_images/1155239818/usa_logo_normal.jpg","View")</f>
        <v>View</v>
      </c>
      <c r="P2216" s="10"/>
    </row>
    <row r="2217" customFormat="false" ht="15.75" hidden="false" customHeight="false" outlineLevel="0" collapsed="false">
      <c r="A2217" s="6" t="n">
        <v>43030.2246643519</v>
      </c>
      <c r="B2217" s="7" t="str">
        <f aca="false">HYPERLINK("https://twitter.com/supra1Bqteam","@supra1Bqteam")</f>
        <v>@supra1Bqteam</v>
      </c>
      <c r="C2217" s="8" t="s">
        <v>1092</v>
      </c>
      <c r="D2217" s="8" t="s">
        <v>5711</v>
      </c>
      <c r="E2217" s="9" t="str">
        <f aca="false">HYPERLINK("https://twitter.com/supra1Bqteam/status/922075946643021824","922075946643021824")</f>
        <v>922075946643021824</v>
      </c>
      <c r="F2217" s="10" t="s">
        <v>60</v>
      </c>
      <c r="G2217" s="10" t="n">
        <v>29111</v>
      </c>
      <c r="H2217" s="10" t="n">
        <v>27568</v>
      </c>
      <c r="I2217" s="10" t="n">
        <v>0</v>
      </c>
      <c r="J2217" s="10" t="n">
        <v>0</v>
      </c>
      <c r="K2217" s="10" t="s">
        <v>20</v>
      </c>
      <c r="L2217" s="11" t="n">
        <v>40930.4692824074</v>
      </c>
      <c r="M2217" s="12" t="s">
        <v>1094</v>
      </c>
      <c r="N2217" s="12" t="s">
        <v>1095</v>
      </c>
      <c r="O2217" s="9" t="str">
        <f aca="false">HYPERLINK("https://pbs.twimg.com/profile_images/752065571068444672/dkKCTbsg_normal.jpg","View")</f>
        <v>View</v>
      </c>
      <c r="P2217" s="10"/>
    </row>
    <row r="2218" customFormat="false" ht="15.75" hidden="false" customHeight="false" outlineLevel="0" collapsed="false">
      <c r="A2218" s="6" t="n">
        <v>43030.2247222222</v>
      </c>
      <c r="B2218" s="7" t="str">
        <f aca="false">HYPERLINK("https://twitter.com/athenebalt","@athenebalt")</f>
        <v>@athenebalt</v>
      </c>
      <c r="C2218" s="8" t="s">
        <v>5712</v>
      </c>
      <c r="D2218" s="8" t="s">
        <v>5713</v>
      </c>
      <c r="E2218" s="9" t="str">
        <f aca="false">HYPERLINK("https://twitter.com/athenebalt/status/922075965915844608","922075965915844608")</f>
        <v>922075965915844608</v>
      </c>
      <c r="F2218" s="10" t="s">
        <v>60</v>
      </c>
      <c r="G2218" s="10" t="n">
        <v>3</v>
      </c>
      <c r="H2218" s="10" t="n">
        <v>8</v>
      </c>
      <c r="I2218" s="10" t="n">
        <v>0</v>
      </c>
      <c r="J2218" s="10" t="n">
        <v>0</v>
      </c>
      <c r="K2218" s="10" t="s">
        <v>20</v>
      </c>
      <c r="L2218" s="11" t="n">
        <v>42933.2519675926</v>
      </c>
      <c r="M2218" s="12" t="s">
        <v>485</v>
      </c>
      <c r="N2218" s="12" t="s">
        <v>5714</v>
      </c>
      <c r="O2218" s="9" t="str">
        <f aca="false">HYPERLINK("https://pbs.twimg.com/profile_images/892638693546053632/DCQu9eIC_normal.jpg","View")</f>
        <v>View</v>
      </c>
      <c r="P2218" s="10"/>
    </row>
    <row r="2219" customFormat="false" ht="15.75" hidden="false" customHeight="false" outlineLevel="0" collapsed="false">
      <c r="A2219" s="6" t="n">
        <v>43030.2247453704</v>
      </c>
      <c r="B2219" s="7" t="str">
        <f aca="false">HYPERLINK("https://twitter.com/AngelaC48725876","@AngelaC48725876")</f>
        <v>@AngelaC48725876</v>
      </c>
      <c r="C2219" s="8" t="s">
        <v>5715</v>
      </c>
      <c r="D2219" s="8" t="s">
        <v>5716</v>
      </c>
      <c r="E2219" s="9" t="str">
        <f aca="false">HYPERLINK("https://twitter.com/AngelaC48725876/status/922075975235571712","922075975235571712")</f>
        <v>922075975235571712</v>
      </c>
      <c r="F2219" s="10" t="s">
        <v>60</v>
      </c>
      <c r="G2219" s="10" t="n">
        <v>1</v>
      </c>
      <c r="H2219" s="10" t="n">
        <v>0</v>
      </c>
      <c r="I2219" s="10" t="n">
        <v>0</v>
      </c>
      <c r="J2219" s="10" t="n">
        <v>0</v>
      </c>
      <c r="K2219" s="10" t="s">
        <v>20</v>
      </c>
      <c r="L2219" s="11" t="n">
        <v>42950.9416898148</v>
      </c>
      <c r="M2219" s="12"/>
      <c r="N2219" s="12"/>
      <c r="O2219" s="9" t="str">
        <f aca="false">HYPERLINK("https://pbs.twimg.com/profile_images/898779339629617152/TQdmeUrZ_normal.jpg","View")</f>
        <v>View</v>
      </c>
      <c r="P2219" s="10"/>
    </row>
    <row r="2220" customFormat="false" ht="15.75" hidden="false" customHeight="false" outlineLevel="0" collapsed="false">
      <c r="A2220" s="6" t="n">
        <v>43030.2247685185</v>
      </c>
      <c r="B2220" s="7" t="str">
        <f aca="false">HYPERLINK("https://twitter.com/godwinn86","@godwinn86")</f>
        <v>@godwinn86</v>
      </c>
      <c r="C2220" s="8" t="s">
        <v>5717</v>
      </c>
      <c r="D2220" s="8" t="s">
        <v>4984</v>
      </c>
      <c r="E2220" s="9" t="str">
        <f aca="false">HYPERLINK("https://twitter.com/godwinn86/status/922075983301300224","922075983301300224")</f>
        <v>922075983301300224</v>
      </c>
      <c r="F2220" s="10" t="s">
        <v>25</v>
      </c>
      <c r="G2220" s="10" t="n">
        <v>121</v>
      </c>
      <c r="H2220" s="10" t="n">
        <v>254</v>
      </c>
      <c r="I2220" s="10" t="n">
        <v>187</v>
      </c>
      <c r="J2220" s="10" t="n">
        <v>0</v>
      </c>
      <c r="K2220" s="10" t="s">
        <v>20</v>
      </c>
      <c r="L2220" s="11" t="n">
        <v>42470.1883912037</v>
      </c>
      <c r="M2220" s="12"/>
      <c r="N2220" s="12"/>
      <c r="O2220" s="9" t="str">
        <f aca="false">HYPERLINK("https://pbs.twimg.com/profile_images/866910279883476992/UbbCUejq_normal.jpg","View")</f>
        <v>View</v>
      </c>
      <c r="P2220" s="10"/>
    </row>
    <row r="2221" customFormat="false" ht="15.75" hidden="false" customHeight="false" outlineLevel="0" collapsed="false">
      <c r="A2221" s="6" t="n">
        <v>43030.225</v>
      </c>
      <c r="B2221" s="7" t="str">
        <f aca="false">HYPERLINK("https://twitter.com/RivistaZeppelin","@RivistaZeppelin")</f>
        <v>@RivistaZeppelin</v>
      </c>
      <c r="C2221" s="8" t="s">
        <v>5718</v>
      </c>
      <c r="D2221" s="8" t="s">
        <v>4068</v>
      </c>
      <c r="E2221" s="9" t="str">
        <f aca="false">HYPERLINK("https://twitter.com/RivistaZeppelin/status/922076069586505729","922076069586505729")</f>
        <v>922076069586505729</v>
      </c>
      <c r="F2221" s="10" t="s">
        <v>25</v>
      </c>
      <c r="G2221" s="10" t="n">
        <v>343</v>
      </c>
      <c r="H2221" s="10" t="n">
        <v>309</v>
      </c>
      <c r="I2221" s="10" t="n">
        <v>50</v>
      </c>
      <c r="J2221" s="10" t="n">
        <v>0</v>
      </c>
      <c r="K2221" s="10" t="s">
        <v>20</v>
      </c>
      <c r="L2221" s="11" t="n">
        <v>42040.2808333333</v>
      </c>
      <c r="M2221" s="12" t="s">
        <v>5719</v>
      </c>
      <c r="N2221" s="12" t="s">
        <v>5720</v>
      </c>
      <c r="O2221" s="9" t="str">
        <f aca="false">HYPERLINK("https://pbs.twimg.com/profile_images/571652848513855488/ZkDD5s92_normal.jpeg","View")</f>
        <v>View</v>
      </c>
      <c r="P2221" s="10"/>
    </row>
    <row r="2222" customFormat="false" ht="15.75" hidden="false" customHeight="false" outlineLevel="0" collapsed="false">
      <c r="A2222" s="6" t="n">
        <v>43030.2250462963</v>
      </c>
      <c r="B2222" s="7" t="str">
        <f aca="false">HYPERLINK("https://twitter.com/obsut55465","@obsut55465")</f>
        <v>@obsut55465</v>
      </c>
      <c r="C2222" s="14" t="s">
        <v>2517</v>
      </c>
      <c r="D2222" s="8" t="s">
        <v>5030</v>
      </c>
      <c r="E2222" s="9" t="str">
        <f aca="false">HYPERLINK("https://twitter.com/obsut55465/status/922076083595362304","922076083595362304")</f>
        <v>922076083595362304</v>
      </c>
      <c r="F2222" s="10" t="s">
        <v>25</v>
      </c>
      <c r="G2222" s="10" t="n">
        <v>169</v>
      </c>
      <c r="H2222" s="10" t="n">
        <v>52</v>
      </c>
      <c r="I2222" s="10" t="n">
        <v>22</v>
      </c>
      <c r="J2222" s="10" t="n">
        <v>0</v>
      </c>
      <c r="K2222" s="10" t="s">
        <v>20</v>
      </c>
      <c r="L2222" s="11" t="n">
        <v>42784.0639699074</v>
      </c>
      <c r="M2222" s="12"/>
      <c r="N2222" s="12"/>
      <c r="O2222" s="9" t="str">
        <f aca="false">HYPERLINK("https://pbs.twimg.com/profile_images/912255270545268736/buDgv1po_normal.jpg","View")</f>
        <v>View</v>
      </c>
      <c r="P2222" s="10"/>
    </row>
    <row r="2223" customFormat="false" ht="15.75" hidden="false" customHeight="false" outlineLevel="0" collapsed="false">
      <c r="A2223" s="6" t="n">
        <v>43030.2250694444</v>
      </c>
      <c r="B2223" s="7" t="str">
        <f aca="false">HYPERLINK("https://twitter.com/lawsonjessie301","@lawsonjessie301")</f>
        <v>@lawsonjessie301</v>
      </c>
      <c r="C2223" s="8" t="s">
        <v>5721</v>
      </c>
      <c r="D2223" s="8" t="s">
        <v>5722</v>
      </c>
      <c r="E2223" s="9" t="str">
        <f aca="false">HYPERLINK("https://twitter.com/lawsonjessie301/status/922076093741518848","922076093741518848")</f>
        <v>922076093741518848</v>
      </c>
      <c r="F2223" s="10" t="s">
        <v>60</v>
      </c>
      <c r="G2223" s="10" t="n">
        <v>0</v>
      </c>
      <c r="H2223" s="10" t="n">
        <v>0</v>
      </c>
      <c r="I2223" s="10" t="n">
        <v>0</v>
      </c>
      <c r="J2223" s="10" t="n">
        <v>0</v>
      </c>
      <c r="K2223" s="10" t="s">
        <v>20</v>
      </c>
      <c r="L2223" s="11" t="n">
        <v>42950.9214699074</v>
      </c>
      <c r="M2223" s="12"/>
      <c r="N2223" s="12"/>
      <c r="O2223" s="9" t="str">
        <f aca="false">HYPERLINK("https://pbs.twimg.com/profile_images/901761850135650304/Jh3aAvM6_normal.jpg","View")</f>
        <v>View</v>
      </c>
      <c r="P2223" s="10"/>
    </row>
    <row r="2224" customFormat="false" ht="15.75" hidden="false" customHeight="false" outlineLevel="0" collapsed="false">
      <c r="A2224" s="6" t="n">
        <v>43030.2250810185</v>
      </c>
      <c r="B2224" s="7" t="str">
        <f aca="false">HYPERLINK("https://twitter.com/worldnewsbox","@worldnewsbox")</f>
        <v>@worldnewsbox</v>
      </c>
      <c r="C2224" s="8" t="s">
        <v>2100</v>
      </c>
      <c r="D2224" s="8" t="s">
        <v>5723</v>
      </c>
      <c r="E2224" s="9" t="str">
        <f aca="false">HYPERLINK("https://twitter.com/worldnewsbox/status/922076097071714306","922076097071714306")</f>
        <v>922076097071714306</v>
      </c>
      <c r="F2224" s="10" t="s">
        <v>60</v>
      </c>
      <c r="G2224" s="10" t="n">
        <v>140</v>
      </c>
      <c r="H2224" s="10" t="n">
        <v>0</v>
      </c>
      <c r="I2224" s="10" t="n">
        <v>0</v>
      </c>
      <c r="J2224" s="10" t="n">
        <v>0</v>
      </c>
      <c r="K2224" s="10" t="s">
        <v>20</v>
      </c>
      <c r="L2224" s="11" t="n">
        <v>42048.4426388889</v>
      </c>
      <c r="M2224" s="12" t="s">
        <v>2102</v>
      </c>
      <c r="N2224" s="12"/>
      <c r="O2224" s="9" t="str">
        <f aca="false">HYPERLINK("https://pbs.twimg.com/profile_images/566373479780347904/cRWsNt3U_normal.png","View")</f>
        <v>View</v>
      </c>
      <c r="P2224" s="10"/>
    </row>
    <row r="2225" customFormat="false" ht="15.75" hidden="false" customHeight="false" outlineLevel="0" collapsed="false">
      <c r="A2225" s="6" t="n">
        <v>43030.2250925926</v>
      </c>
      <c r="B2225" s="7" t="str">
        <f aca="false">HYPERLINK("https://twitter.com/indrajit1112","@indrajit1112")</f>
        <v>@indrajit1112</v>
      </c>
      <c r="C2225" s="8" t="s">
        <v>5724</v>
      </c>
      <c r="D2225" s="8" t="s">
        <v>5725</v>
      </c>
      <c r="E2225" s="9" t="str">
        <f aca="false">HYPERLINK("https://twitter.com/indrajit1112/status/922076099613462528","922076099613462528")</f>
        <v>922076099613462528</v>
      </c>
      <c r="F2225" s="10" t="s">
        <v>60</v>
      </c>
      <c r="G2225" s="10" t="n">
        <v>184</v>
      </c>
      <c r="H2225" s="10" t="n">
        <v>267</v>
      </c>
      <c r="I2225" s="10" t="n">
        <v>0</v>
      </c>
      <c r="J2225" s="10" t="n">
        <v>0</v>
      </c>
      <c r="K2225" s="10" t="s">
        <v>20</v>
      </c>
      <c r="L2225" s="11" t="n">
        <v>39994.2604861111</v>
      </c>
      <c r="M2225" s="12" t="s">
        <v>5726</v>
      </c>
      <c r="N2225" s="12" t="s">
        <v>5727</v>
      </c>
      <c r="O2225" s="9" t="str">
        <f aca="false">HYPERLINK("https://pbs.twimg.com/profile_images/856935040562864129/ZIMXkMT1_normal.jpg","View")</f>
        <v>View</v>
      </c>
      <c r="P2225" s="10"/>
    </row>
    <row r="2226" customFormat="false" ht="15.75" hidden="false" customHeight="false" outlineLevel="0" collapsed="false">
      <c r="A2226" s="6" t="n">
        <v>43030.2251388889</v>
      </c>
      <c r="B2226" s="7" t="str">
        <f aca="false">HYPERLINK("https://twitter.com/WandaHu72856328","@WandaHu72856328")</f>
        <v>@WandaHu72856328</v>
      </c>
      <c r="C2226" s="8" t="s">
        <v>5728</v>
      </c>
      <c r="D2226" s="8" t="s">
        <v>5729</v>
      </c>
      <c r="E2226" s="9" t="str">
        <f aca="false">HYPERLINK("https://twitter.com/WandaHu72856328/status/922076119951605760","922076119951605760")</f>
        <v>922076119951605760</v>
      </c>
      <c r="F2226" s="10" t="s">
        <v>60</v>
      </c>
      <c r="G2226" s="10" t="n">
        <v>1</v>
      </c>
      <c r="H2226" s="10" t="n">
        <v>0</v>
      </c>
      <c r="I2226" s="10" t="n">
        <v>0</v>
      </c>
      <c r="J2226" s="10" t="n">
        <v>0</v>
      </c>
      <c r="K2226" s="10" t="s">
        <v>20</v>
      </c>
      <c r="L2226" s="11" t="n">
        <v>42950.8629166667</v>
      </c>
      <c r="M2226" s="12"/>
      <c r="N2226" s="12"/>
      <c r="O2226" s="9" t="str">
        <f aca="false">HYPERLINK("https://pbs.twimg.com/profile_images/903214511095668738/-13N02XS_normal.jpg","View")</f>
        <v>View</v>
      </c>
      <c r="P2226" s="10"/>
    </row>
    <row r="2227" customFormat="false" ht="15.75" hidden="false" customHeight="false" outlineLevel="0" collapsed="false">
      <c r="A2227" s="6" t="n">
        <v>43030.2251967593</v>
      </c>
      <c r="B2227" s="7" t="str">
        <f aca="false">HYPERLINK("https://twitter.com/yvonnegibson281","@yvonnegibson281")</f>
        <v>@yvonnegibson281</v>
      </c>
      <c r="C2227" s="8" t="s">
        <v>5730</v>
      </c>
      <c r="D2227" s="8" t="s">
        <v>5731</v>
      </c>
      <c r="E2227" s="9" t="str">
        <f aca="false">HYPERLINK("https://twitter.com/yvonnegibson281/status/922076138897371136","922076138897371136")</f>
        <v>922076138897371136</v>
      </c>
      <c r="F2227" s="10" t="s">
        <v>60</v>
      </c>
      <c r="G2227" s="10" t="n">
        <v>0</v>
      </c>
      <c r="H2227" s="10" t="n">
        <v>0</v>
      </c>
      <c r="I2227" s="10" t="n">
        <v>0</v>
      </c>
      <c r="J2227" s="10" t="n">
        <v>0</v>
      </c>
      <c r="K2227" s="10" t="s">
        <v>20</v>
      </c>
      <c r="L2227" s="11" t="n">
        <v>42950.9023263889</v>
      </c>
      <c r="M2227" s="12"/>
      <c r="N2227" s="12"/>
      <c r="O2227" s="9" t="str">
        <f aca="false">HYPERLINK("https://pbs.twimg.com/profile_images/905540238549721089/D9jkydae_normal.jpg","View")</f>
        <v>View</v>
      </c>
      <c r="P2227" s="10"/>
    </row>
    <row r="2228" customFormat="false" ht="15.75" hidden="false" customHeight="false" outlineLevel="0" collapsed="false">
      <c r="A2228" s="6" t="n">
        <v>43030.2252083333</v>
      </c>
      <c r="B2228" s="7" t="str">
        <f aca="false">HYPERLINK("https://twitter.com/konstantinaBel3","@konstantinaBel3")</f>
        <v>@konstantinaBel3</v>
      </c>
      <c r="C2228" s="8" t="s">
        <v>5732</v>
      </c>
      <c r="D2228" s="8" t="s">
        <v>4124</v>
      </c>
      <c r="E2228" s="9" t="str">
        <f aca="false">HYPERLINK("https://twitter.com/konstantinaBel3/status/922076143313932288","922076143313932288")</f>
        <v>922076143313932288</v>
      </c>
      <c r="F2228" s="10" t="s">
        <v>98</v>
      </c>
      <c r="G2228" s="10" t="n">
        <v>497</v>
      </c>
      <c r="H2228" s="10" t="n">
        <v>1011</v>
      </c>
      <c r="I2228" s="10" t="n">
        <v>111</v>
      </c>
      <c r="J2228" s="10" t="n">
        <v>0</v>
      </c>
      <c r="K2228" s="10" t="s">
        <v>20</v>
      </c>
      <c r="L2228" s="11" t="n">
        <v>42240.2451388889</v>
      </c>
      <c r="M2228" s="12" t="s">
        <v>4712</v>
      </c>
      <c r="N2228" s="12" t="s">
        <v>5733</v>
      </c>
      <c r="O2228" s="9" t="str">
        <f aca="false">HYPERLINK("https://pbs.twimg.com/profile_images/909814956161413121/FC--YmLH_normal.jpg","View")</f>
        <v>View</v>
      </c>
      <c r="P2228" s="10"/>
    </row>
    <row r="2229" customFormat="false" ht="15.75" hidden="false" customHeight="false" outlineLevel="0" collapsed="false">
      <c r="A2229" s="6" t="n">
        <v>43030.2252314815</v>
      </c>
      <c r="B2229" s="7" t="str">
        <f aca="false">HYPERLINK("https://twitter.com/kenything","@kenything")</f>
        <v>@kenything</v>
      </c>
      <c r="C2229" s="8" t="s">
        <v>2581</v>
      </c>
      <c r="D2229" s="8" t="s">
        <v>5734</v>
      </c>
      <c r="E2229" s="9" t="str">
        <f aca="false">HYPERLINK("https://twitter.com/kenything/status/922076151564066822","922076151564066822")</f>
        <v>922076151564066822</v>
      </c>
      <c r="F2229" s="10" t="s">
        <v>51</v>
      </c>
      <c r="G2229" s="10" t="n">
        <v>24</v>
      </c>
      <c r="H2229" s="10" t="n">
        <v>10</v>
      </c>
      <c r="I2229" s="10" t="n">
        <v>0</v>
      </c>
      <c r="J2229" s="10" t="n">
        <v>0</v>
      </c>
      <c r="K2229" s="10" t="s">
        <v>20</v>
      </c>
      <c r="L2229" s="11" t="n">
        <v>42867.8029861111</v>
      </c>
      <c r="M2229" s="12"/>
      <c r="N2229" s="12"/>
      <c r="O2229" s="9" t="str">
        <f aca="false">HYPERLINK("https://pbs.twimg.com/profile_images/873164099751772161/-25ab9-b_normal.jpg","View")</f>
        <v>View</v>
      </c>
      <c r="P2229" s="10"/>
    </row>
    <row r="2230" customFormat="false" ht="15.75" hidden="false" customHeight="false" outlineLevel="0" collapsed="false">
      <c r="A2230" s="6" t="n">
        <v>43030.2252430556</v>
      </c>
      <c r="B2230" s="7" t="str">
        <f aca="false">HYPERLINK("https://twitter.com/RaiJon16","@RaiJon16")</f>
        <v>@RaiJon16</v>
      </c>
      <c r="C2230" s="8" t="s">
        <v>2258</v>
      </c>
      <c r="D2230" s="8" t="s">
        <v>4984</v>
      </c>
      <c r="E2230" s="9" t="str">
        <f aca="false">HYPERLINK("https://twitter.com/RaiJon16/status/922076157410979840","922076157410979840")</f>
        <v>922076157410979840</v>
      </c>
      <c r="F2230" s="10" t="s">
        <v>2259</v>
      </c>
      <c r="G2230" s="10" t="n">
        <v>224</v>
      </c>
      <c r="H2230" s="10" t="n">
        <v>2016</v>
      </c>
      <c r="I2230" s="10" t="n">
        <v>187</v>
      </c>
      <c r="J2230" s="10" t="n">
        <v>0</v>
      </c>
      <c r="K2230" s="10" t="s">
        <v>20</v>
      </c>
      <c r="L2230" s="11" t="n">
        <v>42904.5836921296</v>
      </c>
      <c r="M2230" s="12" t="s">
        <v>230</v>
      </c>
      <c r="N2230" s="12" t="s">
        <v>2260</v>
      </c>
      <c r="O2230" s="9" t="str">
        <f aca="false">HYPERLINK("https://pbs.twimg.com/profile_images/876545803329974273/A_UKlGD7_normal.jpg","View")</f>
        <v>View</v>
      </c>
      <c r="P2230" s="10"/>
    </row>
    <row r="2231" customFormat="false" ht="15.75" hidden="false" customHeight="false" outlineLevel="0" collapsed="false">
      <c r="A2231" s="6" t="n">
        <v>43030.2252662037</v>
      </c>
      <c r="B2231" s="7" t="str">
        <f aca="false">HYPERLINK("https://twitter.com/NYT","@NYT")</f>
        <v>@NYT</v>
      </c>
      <c r="C2231" s="8" t="s">
        <v>5735</v>
      </c>
      <c r="D2231" s="8" t="s">
        <v>5736</v>
      </c>
      <c r="E2231" s="9" t="str">
        <f aca="false">HYPERLINK("https://twitter.com/NYT/status/922076165615079424","922076165615079424")</f>
        <v>922076165615079424</v>
      </c>
      <c r="F2231" s="9" t="s">
        <v>5737</v>
      </c>
      <c r="G2231" s="10" t="n">
        <v>4796</v>
      </c>
      <c r="H2231" s="10" t="n">
        <v>109</v>
      </c>
      <c r="I2231" s="10" t="n">
        <v>0</v>
      </c>
      <c r="J2231" s="10" t="n">
        <v>0</v>
      </c>
      <c r="K2231" s="10" t="s">
        <v>20</v>
      </c>
      <c r="L2231" s="11" t="n">
        <v>39156.7097453704</v>
      </c>
      <c r="M2231" s="12" t="s">
        <v>491</v>
      </c>
      <c r="N2231" s="12" t="s">
        <v>5738</v>
      </c>
      <c r="O2231" s="9" t="str">
        <f aca="false">HYPERLINK("https://pbs.twimg.com/profile_images/535643131299897344/A4x_RMwj_normal.jpeg","View")</f>
        <v>View</v>
      </c>
      <c r="P2231" s="10"/>
    </row>
    <row r="2232" customFormat="false" ht="15.75" hidden="false" customHeight="false" outlineLevel="0" collapsed="false">
      <c r="A2232" s="6" t="n">
        <v>43030.2253935185</v>
      </c>
      <c r="B2232" s="7" t="str">
        <f aca="false">HYPERLINK("https://twitter.com/worldstories","@worldstories")</f>
        <v>@worldstories</v>
      </c>
      <c r="C2232" s="8" t="s">
        <v>5739</v>
      </c>
      <c r="D2232" s="8" t="s">
        <v>5740</v>
      </c>
      <c r="E2232" s="9" t="str">
        <f aca="false">HYPERLINK("https://twitter.com/worldstories/status/922076209709641728","922076209709641728")</f>
        <v>922076209709641728</v>
      </c>
      <c r="F2232" s="9" t="s">
        <v>1147</v>
      </c>
      <c r="G2232" s="10" t="n">
        <v>1360</v>
      </c>
      <c r="H2232" s="10" t="n">
        <v>956</v>
      </c>
      <c r="I2232" s="10" t="n">
        <v>0</v>
      </c>
      <c r="J2232" s="10" t="n">
        <v>0</v>
      </c>
      <c r="K2232" s="10" t="s">
        <v>20</v>
      </c>
      <c r="L2232" s="11" t="n">
        <v>40814.48625</v>
      </c>
      <c r="M2232" s="12" t="s">
        <v>5741</v>
      </c>
      <c r="N2232" s="12" t="s">
        <v>5742</v>
      </c>
      <c r="O2232" s="9" t="str">
        <f aca="false">HYPERLINK("https://pbs.twimg.com/profile_images/521755907927994368/AJpQHFKm_normal.jpeg","View")</f>
        <v>View</v>
      </c>
      <c r="P2232" s="10"/>
    </row>
    <row r="2233" customFormat="false" ht="15.75" hidden="false" customHeight="false" outlineLevel="0" collapsed="false">
      <c r="A2233" s="6" t="n">
        <v>43030.2254513889</v>
      </c>
      <c r="B2233" s="7" t="str">
        <f aca="false">HYPERLINK("https://twitter.com/JunichiKnows","@JunichiKnows")</f>
        <v>@JunichiKnows</v>
      </c>
      <c r="C2233" s="14" t="s">
        <v>5743</v>
      </c>
      <c r="D2233" s="8" t="s">
        <v>5030</v>
      </c>
      <c r="E2233" s="9" t="str">
        <f aca="false">HYPERLINK("https://twitter.com/JunichiKnows/status/922076229997445121","922076229997445121")</f>
        <v>922076229997445121</v>
      </c>
      <c r="F2233" s="10" t="s">
        <v>51</v>
      </c>
      <c r="G2233" s="10" t="n">
        <v>48</v>
      </c>
      <c r="H2233" s="10" t="n">
        <v>553</v>
      </c>
      <c r="I2233" s="10" t="n">
        <v>22</v>
      </c>
      <c r="J2233" s="10" t="n">
        <v>0</v>
      </c>
      <c r="K2233" s="10" t="s">
        <v>20</v>
      </c>
      <c r="L2233" s="11" t="n">
        <v>40576.2708217593</v>
      </c>
      <c r="M2233" s="12" t="s">
        <v>5744</v>
      </c>
      <c r="N2233" s="13" t="s">
        <v>5745</v>
      </c>
      <c r="O2233" s="9" t="str">
        <f aca="false">HYPERLINK("https://pbs.twimg.com/profile_images/907214489593851904/z5wloA-d_normal.jpg","View")</f>
        <v>View</v>
      </c>
      <c r="P2233" s="10"/>
    </row>
    <row r="2234" customFormat="false" ht="15.75" hidden="false" customHeight="false" outlineLevel="0" collapsed="false">
      <c r="A2234" s="6" t="n">
        <v>43030.2255902778</v>
      </c>
      <c r="B2234" s="7" t="str">
        <f aca="false">HYPERLINK("https://twitter.com/CLM_net","@CLM_net")</f>
        <v>@CLM_net</v>
      </c>
      <c r="C2234" s="8" t="s">
        <v>5746</v>
      </c>
      <c r="D2234" s="8" t="s">
        <v>5747</v>
      </c>
      <c r="E2234" s="9" t="str">
        <f aca="false">HYPERLINK("https://twitter.com/CLM_net/status/922076281428152321","922076281428152321")</f>
        <v>922076281428152321</v>
      </c>
      <c r="F2234" s="10" t="s">
        <v>55</v>
      </c>
      <c r="G2234" s="10" t="n">
        <v>1530</v>
      </c>
      <c r="H2234" s="10" t="n">
        <v>0</v>
      </c>
      <c r="I2234" s="10" t="n">
        <v>0</v>
      </c>
      <c r="J2234" s="10" t="n">
        <v>0</v>
      </c>
      <c r="K2234" s="10" t="s">
        <v>20</v>
      </c>
      <c r="L2234" s="11" t="n">
        <v>41134.1074421296</v>
      </c>
      <c r="M2234" s="12" t="s">
        <v>230</v>
      </c>
      <c r="N2234" s="12" t="s">
        <v>5748</v>
      </c>
      <c r="O2234" s="9" t="str">
        <f aca="false">HYPERLINK("https://pbs.twimg.com/profile_images/823517749821509632/wURcbkRj_normal.jpg","View")</f>
        <v>View</v>
      </c>
      <c r="P2234" s="10"/>
    </row>
    <row r="2235" customFormat="false" ht="15.75" hidden="false" customHeight="false" outlineLevel="0" collapsed="false">
      <c r="A2235" s="6" t="n">
        <v>43030.2256018519</v>
      </c>
      <c r="B2235" s="7" t="str">
        <f aca="false">HYPERLINK("https://twitter.com/OmarPorro2","@OmarPorro2")</f>
        <v>@OmarPorro2</v>
      </c>
      <c r="C2235" s="8" t="s">
        <v>5749</v>
      </c>
      <c r="D2235" s="8" t="s">
        <v>4068</v>
      </c>
      <c r="E2235" s="9" t="str">
        <f aca="false">HYPERLINK("https://twitter.com/OmarPorro2/status/922076284519419905","922076284519419905")</f>
        <v>922076284519419905</v>
      </c>
      <c r="F2235" s="10" t="s">
        <v>25</v>
      </c>
      <c r="G2235" s="10" t="n">
        <v>170</v>
      </c>
      <c r="H2235" s="10" t="n">
        <v>823</v>
      </c>
      <c r="I2235" s="10" t="n">
        <v>50</v>
      </c>
      <c r="J2235" s="10" t="n">
        <v>0</v>
      </c>
      <c r="K2235" s="10" t="s">
        <v>20</v>
      </c>
      <c r="L2235" s="11" t="n">
        <v>42339.4577893519</v>
      </c>
      <c r="M2235" s="12" t="s">
        <v>5719</v>
      </c>
      <c r="N2235" s="12" t="s">
        <v>5750</v>
      </c>
      <c r="O2235" s="9" t="str">
        <f aca="false">HYPERLINK("https://pbs.twimg.com/profile_images/863163119824252928/PEEd4p-Q_normal.jpg","View")</f>
        <v>View</v>
      </c>
      <c r="P2235" s="10"/>
    </row>
    <row r="2236" customFormat="false" ht="15.75" hidden="false" customHeight="false" outlineLevel="0" collapsed="false">
      <c r="A2236" s="6" t="n">
        <v>43030.2257175926</v>
      </c>
      <c r="B2236" s="7" t="str">
        <f aca="false">HYPERLINK("https://twitter.com/KerseyTony","@KerseyTony")</f>
        <v>@KerseyTony</v>
      </c>
      <c r="C2236" s="8" t="s">
        <v>5751</v>
      </c>
      <c r="D2236" s="8" t="s">
        <v>5752</v>
      </c>
      <c r="E2236" s="9" t="str">
        <f aca="false">HYPERLINK("https://twitter.com/KerseyTony/status/922076327875960832","922076327875960832")</f>
        <v>922076327875960832</v>
      </c>
      <c r="F2236" s="10" t="s">
        <v>51</v>
      </c>
      <c r="G2236" s="10" t="n">
        <v>6863</v>
      </c>
      <c r="H2236" s="10" t="n">
        <v>7318</v>
      </c>
      <c r="I2236" s="10" t="n">
        <v>0</v>
      </c>
      <c r="J2236" s="10" t="n">
        <v>0</v>
      </c>
      <c r="K2236" s="10" t="s">
        <v>20</v>
      </c>
      <c r="L2236" s="11" t="n">
        <v>40961.8504861111</v>
      </c>
      <c r="M2236" s="12" t="s">
        <v>5753</v>
      </c>
      <c r="N2236" s="12" t="s">
        <v>5754</v>
      </c>
      <c r="O2236" s="9" t="str">
        <f aca="false">HYPERLINK("https://pbs.twimg.com/profile_images/879430608451186688/xo22if9i_normal.jpg","View")</f>
        <v>View</v>
      </c>
      <c r="P2236" s="10"/>
    </row>
    <row r="2237" customFormat="false" ht="15.75" hidden="false" customHeight="false" outlineLevel="0" collapsed="false">
      <c r="A2237" s="6" t="n">
        <v>43030.2257407408</v>
      </c>
      <c r="B2237" s="7" t="str">
        <f aca="false">HYPERLINK("https://twitter.com/cajka3712","@cajka3712")</f>
        <v>@cajka3712</v>
      </c>
      <c r="C2237" s="8" t="s">
        <v>5755</v>
      </c>
      <c r="D2237" s="8" t="s">
        <v>3646</v>
      </c>
      <c r="E2237" s="9" t="str">
        <f aca="false">HYPERLINK("https://twitter.com/cajka3712/status/922076336155385856","922076336155385856")</f>
        <v>922076336155385856</v>
      </c>
      <c r="F2237" s="10" t="s">
        <v>25</v>
      </c>
      <c r="G2237" s="10" t="n">
        <v>114</v>
      </c>
      <c r="H2237" s="10" t="n">
        <v>169</v>
      </c>
      <c r="I2237" s="10" t="n">
        <v>71</v>
      </c>
      <c r="J2237" s="10" t="n">
        <v>0</v>
      </c>
      <c r="K2237" s="10" t="s">
        <v>20</v>
      </c>
      <c r="L2237" s="11" t="n">
        <v>42383.9988078704</v>
      </c>
      <c r="M2237" s="12"/>
      <c r="N2237" s="13" t="s">
        <v>5756</v>
      </c>
      <c r="O2237" s="9" t="str">
        <f aca="false">HYPERLINK("https://pbs.twimg.com/profile_images/922880029750566912/Ts6VjrN3_normal.jpg","View")</f>
        <v>View</v>
      </c>
      <c r="P2237" s="10"/>
    </row>
    <row r="2238" customFormat="false" ht="15.75" hidden="false" customHeight="false" outlineLevel="0" collapsed="false">
      <c r="A2238" s="6" t="n">
        <v>43030.2259143519</v>
      </c>
      <c r="B2238" s="7" t="str">
        <f aca="false">HYPERLINK("https://twitter.com/DesertSafaria","@DesertSafaria")</f>
        <v>@DesertSafaria</v>
      </c>
      <c r="C2238" s="8" t="s">
        <v>5757</v>
      </c>
      <c r="D2238" s="8" t="s">
        <v>5758</v>
      </c>
      <c r="E2238" s="9" t="str">
        <f aca="false">HYPERLINK("https://twitter.com/DesertSafaria/status/922076396796743680","922076396796743680")</f>
        <v>922076396796743680</v>
      </c>
      <c r="F2238" s="10" t="s">
        <v>60</v>
      </c>
      <c r="G2238" s="10" t="n">
        <v>267</v>
      </c>
      <c r="H2238" s="10" t="n">
        <v>574</v>
      </c>
      <c r="I2238" s="10" t="n">
        <v>0</v>
      </c>
      <c r="J2238" s="10" t="n">
        <v>0</v>
      </c>
      <c r="K2238" s="10" t="s">
        <v>20</v>
      </c>
      <c r="L2238" s="11" t="n">
        <v>42472.4691319444</v>
      </c>
      <c r="M2238" s="12" t="s">
        <v>4532</v>
      </c>
      <c r="N2238" s="12" t="s">
        <v>5759</v>
      </c>
      <c r="O2238" s="9" t="str">
        <f aca="false">HYPERLINK("https://pbs.twimg.com/profile_images/824897488582635520/3BMASg8z_normal.jpg","View")</f>
        <v>View</v>
      </c>
      <c r="P2238" s="10"/>
    </row>
    <row r="2239" customFormat="false" ht="15.75" hidden="false" customHeight="false" outlineLevel="0" collapsed="false">
      <c r="A2239" s="6" t="n">
        <v>43030.2259606482</v>
      </c>
      <c r="B2239" s="7" t="str">
        <f aca="false">HYPERLINK("https://twitter.com/AnitaS64","@AnitaS64")</f>
        <v>@AnitaS64</v>
      </c>
      <c r="C2239" s="8" t="s">
        <v>791</v>
      </c>
      <c r="D2239" s="8" t="s">
        <v>4984</v>
      </c>
      <c r="E2239" s="9" t="str">
        <f aca="false">HYPERLINK("https://twitter.com/AnitaS64/status/922076417491312640","922076417491312640")</f>
        <v>922076417491312640</v>
      </c>
      <c r="F2239" s="10" t="s">
        <v>51</v>
      </c>
      <c r="G2239" s="10" t="n">
        <v>314</v>
      </c>
      <c r="H2239" s="10" t="n">
        <v>14</v>
      </c>
      <c r="I2239" s="10" t="n">
        <v>187</v>
      </c>
      <c r="J2239" s="10" t="n">
        <v>0</v>
      </c>
      <c r="K2239" s="10" t="s">
        <v>20</v>
      </c>
      <c r="L2239" s="11" t="n">
        <v>41242.3520023148</v>
      </c>
      <c r="M2239" s="12" t="s">
        <v>792</v>
      </c>
      <c r="N2239" s="12" t="s">
        <v>793</v>
      </c>
      <c r="O2239" s="9" t="str">
        <f aca="false">HYPERLINK("https://pbs.twimg.com/profile_images/922065225204957184/DRzHAi3G_normal.jpg","View")</f>
        <v>View</v>
      </c>
      <c r="P2239" s="10"/>
    </row>
    <row r="2240" customFormat="false" ht="15.75" hidden="false" customHeight="false" outlineLevel="0" collapsed="false">
      <c r="A2240" s="6" t="n">
        <v>43030.2261458333</v>
      </c>
      <c r="B2240" s="7" t="str">
        <f aca="false">HYPERLINK("https://twitter.com/TerenceChoong","@TerenceChoong")</f>
        <v>@TerenceChoong</v>
      </c>
      <c r="C2240" s="8" t="s">
        <v>5760</v>
      </c>
      <c r="D2240" s="8" t="s">
        <v>5761</v>
      </c>
      <c r="E2240" s="9" t="str">
        <f aca="false">HYPERLINK("https://twitter.com/TerenceChoong/status/922076480875532289","922076480875532289")</f>
        <v>922076480875532289</v>
      </c>
      <c r="F2240" s="10" t="s">
        <v>47</v>
      </c>
      <c r="G2240" s="10" t="n">
        <v>361</v>
      </c>
      <c r="H2240" s="10" t="n">
        <v>122</v>
      </c>
      <c r="I2240" s="10" t="n">
        <v>0</v>
      </c>
      <c r="J2240" s="10" t="n">
        <v>0</v>
      </c>
      <c r="K2240" s="10" t="s">
        <v>20</v>
      </c>
      <c r="L2240" s="11" t="n">
        <v>40375.328900463</v>
      </c>
      <c r="M2240" s="12" t="s">
        <v>2797</v>
      </c>
      <c r="N2240" s="12" t="s">
        <v>5762</v>
      </c>
      <c r="O2240" s="9" t="str">
        <f aca="false">HYPERLINK("https://pbs.twimg.com/profile_images/853324972109971456/xguQbCap_normal.jpg","View")</f>
        <v>View</v>
      </c>
      <c r="P2240" s="10"/>
    </row>
    <row r="2241" customFormat="false" ht="15.75" hidden="false" customHeight="false" outlineLevel="0" collapsed="false">
      <c r="A2241" s="6" t="n">
        <v>43030.2261458333</v>
      </c>
      <c r="B2241" s="7" t="str">
        <f aca="false">HYPERLINK("https://twitter.com/dkahvesi","@dkahvesi")</f>
        <v>@dkahvesi</v>
      </c>
      <c r="C2241" s="7" t="s">
        <v>5763</v>
      </c>
      <c r="D2241" s="8" t="s">
        <v>4068</v>
      </c>
      <c r="E2241" s="9" t="str">
        <f aca="false">HYPERLINK("https://twitter.com/dkahvesi/status/922076482800828416","922076482800828416")</f>
        <v>922076482800828416</v>
      </c>
      <c r="F2241" s="10" t="s">
        <v>25</v>
      </c>
      <c r="G2241" s="10" t="n">
        <v>1238</v>
      </c>
      <c r="H2241" s="10" t="n">
        <v>2650</v>
      </c>
      <c r="I2241" s="10" t="n">
        <v>50</v>
      </c>
      <c r="J2241" s="10" t="n">
        <v>0</v>
      </c>
      <c r="K2241" s="10" t="s">
        <v>20</v>
      </c>
      <c r="L2241" s="11" t="n">
        <v>40363.510625</v>
      </c>
      <c r="M2241" s="12"/>
      <c r="N2241" s="12" t="s">
        <v>5764</v>
      </c>
      <c r="O2241" s="9" t="str">
        <f aca="false">HYPERLINK("https://pbs.twimg.com/profile_images/745177140673445888/CTqi3RQr_normal.jpg","View")</f>
        <v>View</v>
      </c>
      <c r="P2241" s="10"/>
    </row>
    <row r="2242" customFormat="false" ht="15.75" hidden="false" customHeight="false" outlineLevel="0" collapsed="false">
      <c r="A2242" s="6" t="n">
        <v>43030.2261458333</v>
      </c>
      <c r="B2242" s="7" t="str">
        <f aca="false">HYPERLINK("https://twitter.com/tetsu_teddy","@tetsu_teddy")</f>
        <v>@tetsu_teddy</v>
      </c>
      <c r="C2242" s="8" t="s">
        <v>5765</v>
      </c>
      <c r="D2242" s="8" t="s">
        <v>3646</v>
      </c>
      <c r="E2242" s="9" t="str">
        <f aca="false">HYPERLINK("https://twitter.com/tetsu_teddy/status/922076483278987265","922076483278987265")</f>
        <v>922076483278987265</v>
      </c>
      <c r="F2242" s="10" t="s">
        <v>51</v>
      </c>
      <c r="G2242" s="10" t="n">
        <v>175</v>
      </c>
      <c r="H2242" s="10" t="n">
        <v>312</v>
      </c>
      <c r="I2242" s="10" t="n">
        <v>71</v>
      </c>
      <c r="J2242" s="10" t="n">
        <v>0</v>
      </c>
      <c r="K2242" s="10" t="s">
        <v>20</v>
      </c>
      <c r="L2242" s="11" t="n">
        <v>40850.4208333333</v>
      </c>
      <c r="M2242" s="12" t="s">
        <v>5766</v>
      </c>
      <c r="N2242" s="13" t="s">
        <v>5767</v>
      </c>
      <c r="O2242" s="9" t="str">
        <f aca="false">HYPERLINK("https://pbs.twimg.com/profile_images/462268815443632128/lk2ABEtG_normal.jpeg","View")</f>
        <v>View</v>
      </c>
      <c r="P2242" s="10"/>
    </row>
    <row r="2243" customFormat="false" ht="15.75" hidden="false" customHeight="false" outlineLevel="0" collapsed="false">
      <c r="A2243" s="6" t="n">
        <v>43030.2262037037</v>
      </c>
      <c r="B2243" s="7" t="str">
        <f aca="false">HYPERLINK("https://twitter.com/michaelcollins","@michaelcollins")</f>
        <v>@michaelcollins</v>
      </c>
      <c r="C2243" s="8" t="s">
        <v>5768</v>
      </c>
      <c r="D2243" s="8" t="s">
        <v>5769</v>
      </c>
      <c r="E2243" s="9" t="str">
        <f aca="false">HYPERLINK("https://twitter.com/michaelcollins/status/922076505403932673","922076505403932673")</f>
        <v>922076505403932673</v>
      </c>
      <c r="F2243" s="10" t="s">
        <v>51</v>
      </c>
      <c r="G2243" s="10" t="n">
        <v>934</v>
      </c>
      <c r="H2243" s="10" t="n">
        <v>3775</v>
      </c>
      <c r="I2243" s="10" t="n">
        <v>0</v>
      </c>
      <c r="J2243" s="10" t="n">
        <v>0</v>
      </c>
      <c r="K2243" s="10" t="s">
        <v>20</v>
      </c>
      <c r="L2243" s="11" t="n">
        <v>39499.9422916667</v>
      </c>
      <c r="M2243" s="12"/>
      <c r="N2243" s="12" t="s">
        <v>5770</v>
      </c>
      <c r="O2243" s="9" t="str">
        <f aca="false">HYPERLINK("https://pbs.twimg.com/profile_images/484968103025995777/zif3FUIw_normal.jpeg","View")</f>
        <v>View</v>
      </c>
      <c r="P2243" s="10"/>
    </row>
    <row r="2244" customFormat="false" ht="15.75" hidden="false" customHeight="false" outlineLevel="0" collapsed="false">
      <c r="A2244" s="6" t="n">
        <v>43030.2263078704</v>
      </c>
      <c r="B2244" s="7" t="str">
        <f aca="false">HYPERLINK("https://twitter.com/sgbroadcast","@sgbroadcast")</f>
        <v>@sgbroadcast</v>
      </c>
      <c r="C2244" s="8" t="s">
        <v>5421</v>
      </c>
      <c r="D2244" s="8" t="s">
        <v>3314</v>
      </c>
      <c r="E2244" s="9" t="str">
        <f aca="false">HYPERLINK("https://twitter.com/sgbroadcast/status/922076542980595715","922076542980595715")</f>
        <v>922076542980595715</v>
      </c>
      <c r="F2244" s="10" t="s">
        <v>39</v>
      </c>
      <c r="G2244" s="10" t="n">
        <v>22782</v>
      </c>
      <c r="H2244" s="10" t="n">
        <v>13950</v>
      </c>
      <c r="I2244" s="10" t="n">
        <v>7</v>
      </c>
      <c r="J2244" s="10" t="n">
        <v>0</v>
      </c>
      <c r="K2244" s="10" t="s">
        <v>20</v>
      </c>
      <c r="L2244" s="11" t="n">
        <v>40841.3564351852</v>
      </c>
      <c r="M2244" s="12" t="s">
        <v>186</v>
      </c>
      <c r="N2244" s="12" t="s">
        <v>5422</v>
      </c>
      <c r="O2244" s="9" t="str">
        <f aca="false">HYPERLINK("https://pbs.twimg.com/profile_images/1858131595/singapore-news_normal.jpg","View")</f>
        <v>View</v>
      </c>
      <c r="P2244" s="10"/>
    </row>
    <row r="2245" customFormat="false" ht="15.75" hidden="false" customHeight="false" outlineLevel="0" collapsed="false">
      <c r="A2245" s="6" t="n">
        <v>43030.2263541667</v>
      </c>
      <c r="B2245" s="7" t="str">
        <f aca="false">HYPERLINK("https://twitter.com/albertoallen","@albertoallen")</f>
        <v>@albertoallen</v>
      </c>
      <c r="C2245" s="8" t="s">
        <v>5771</v>
      </c>
      <c r="D2245" s="8" t="s">
        <v>5772</v>
      </c>
      <c r="E2245" s="9" t="str">
        <f aca="false">HYPERLINK("https://twitter.com/albertoallen/status/922076559472779264","922076559472779264")</f>
        <v>922076559472779264</v>
      </c>
      <c r="F2245" s="10" t="s">
        <v>39</v>
      </c>
      <c r="G2245" s="10" t="n">
        <v>1132</v>
      </c>
      <c r="H2245" s="10" t="n">
        <v>1497</v>
      </c>
      <c r="I2245" s="10" t="n">
        <v>0</v>
      </c>
      <c r="J2245" s="10" t="n">
        <v>0</v>
      </c>
      <c r="K2245" s="10" t="s">
        <v>20</v>
      </c>
      <c r="L2245" s="11" t="n">
        <v>40015.7212152778</v>
      </c>
      <c r="M2245" s="12" t="s">
        <v>1448</v>
      </c>
      <c r="N2245" s="12" t="s">
        <v>5773</v>
      </c>
      <c r="O2245" s="9" t="str">
        <f aca="false">HYPERLINK("https://pbs.twimg.com/profile_images/550596100445331457/ZNkIjKgY_normal.jpeg","View")</f>
        <v>View</v>
      </c>
      <c r="P2245" s="10"/>
    </row>
    <row r="2246" customFormat="false" ht="15.75" hidden="false" customHeight="false" outlineLevel="0" collapsed="false">
      <c r="A2246" s="6" t="n">
        <v>43030.2264699074</v>
      </c>
      <c r="B2246" s="7" t="str">
        <f aca="false">HYPERLINK("https://twitter.com/QxNews","@QxNews")</f>
        <v>@QxNews</v>
      </c>
      <c r="C2246" s="8" t="s">
        <v>3009</v>
      </c>
      <c r="D2246" s="8" t="s">
        <v>4984</v>
      </c>
      <c r="E2246" s="9" t="str">
        <f aca="false">HYPERLINK("https://twitter.com/QxNews/status/922076601067626498","922076601067626498")</f>
        <v>922076601067626498</v>
      </c>
      <c r="F2246" s="10" t="s">
        <v>3011</v>
      </c>
      <c r="G2246" s="10" t="n">
        <v>3237</v>
      </c>
      <c r="H2246" s="10" t="n">
        <v>271</v>
      </c>
      <c r="I2246" s="10" t="n">
        <v>187</v>
      </c>
      <c r="J2246" s="10" t="n">
        <v>0</v>
      </c>
      <c r="K2246" s="10" t="s">
        <v>20</v>
      </c>
      <c r="L2246" s="11" t="n">
        <v>41497.8580671296</v>
      </c>
      <c r="M2246" s="12" t="s">
        <v>502</v>
      </c>
      <c r="N2246" s="12" t="s">
        <v>3012</v>
      </c>
      <c r="O2246" s="9" t="str">
        <f aca="false">HYPERLINK("https://pbs.twimg.com/profile_images/597288578092240896/ePlmSYCH_normal.png","View")</f>
        <v>View</v>
      </c>
      <c r="P2246" s="10"/>
    </row>
    <row r="2247" customFormat="false" ht="15.75" hidden="false" customHeight="false" outlineLevel="0" collapsed="false">
      <c r="A2247" s="6" t="n">
        <v>43030.2265162037</v>
      </c>
      <c r="B2247" s="7" t="str">
        <f aca="false">HYPERLINK("https://twitter.com/rashidaldosari","@rashidaldosari")</f>
        <v>@rashidaldosari</v>
      </c>
      <c r="C2247" s="8" t="s">
        <v>810</v>
      </c>
      <c r="D2247" s="8" t="s">
        <v>4068</v>
      </c>
      <c r="E2247" s="9" t="str">
        <f aca="false">HYPERLINK("https://twitter.com/rashidaldosari/status/922076617563869186","922076617563869186")</f>
        <v>922076617563869186</v>
      </c>
      <c r="F2247" s="10" t="s">
        <v>51</v>
      </c>
      <c r="G2247" s="10" t="n">
        <v>2400</v>
      </c>
      <c r="H2247" s="10" t="n">
        <v>55</v>
      </c>
      <c r="I2247" s="10" t="n">
        <v>50</v>
      </c>
      <c r="J2247" s="10" t="n">
        <v>0</v>
      </c>
      <c r="K2247" s="10" t="s">
        <v>20</v>
      </c>
      <c r="L2247" s="11" t="n">
        <v>40635.110625</v>
      </c>
      <c r="M2247" s="12"/>
      <c r="N2247" s="12" t="s">
        <v>811</v>
      </c>
      <c r="O2247" s="9" t="str">
        <f aca="false">HYPERLINK("https://pbs.twimg.com/profile_images/1389660377/image_normal.jpg","View")</f>
        <v>View</v>
      </c>
      <c r="P2247" s="10"/>
    </row>
    <row r="2248" customFormat="false" ht="15.75" hidden="false" customHeight="false" outlineLevel="0" collapsed="false">
      <c r="A2248" s="6" t="n">
        <v>43030.2267939815</v>
      </c>
      <c r="B2248" s="7" t="str">
        <f aca="false">HYPERLINK("https://twitter.com/james_minter","@james_minter")</f>
        <v>@james_minter</v>
      </c>
      <c r="C2248" s="8" t="s">
        <v>5774</v>
      </c>
      <c r="D2248" s="8" t="s">
        <v>4984</v>
      </c>
      <c r="E2248" s="9" t="str">
        <f aca="false">HYPERLINK("https://twitter.com/james_minter/status/922076717690257408","922076717690257408")</f>
        <v>922076717690257408</v>
      </c>
      <c r="F2248" s="10" t="s">
        <v>563</v>
      </c>
      <c r="G2248" s="10" t="n">
        <v>36986</v>
      </c>
      <c r="H2248" s="10" t="n">
        <v>33352</v>
      </c>
      <c r="I2248" s="10" t="n">
        <v>187</v>
      </c>
      <c r="J2248" s="10" t="n">
        <v>0</v>
      </c>
      <c r="K2248" s="10" t="s">
        <v>20</v>
      </c>
      <c r="L2248" s="11" t="n">
        <v>40876.3702083333</v>
      </c>
      <c r="M2248" s="12" t="s">
        <v>5775</v>
      </c>
      <c r="N2248" s="12" t="s">
        <v>5776</v>
      </c>
      <c r="O2248" s="9" t="str">
        <f aca="false">HYPERLINK("https://pbs.twimg.com/profile_images/785528687349395461/pdvC9rn-_normal.jpg","View")</f>
        <v>View</v>
      </c>
      <c r="P2248" s="10"/>
    </row>
    <row r="2249" customFormat="false" ht="15.75" hidden="false" customHeight="false" outlineLevel="0" collapsed="false">
      <c r="A2249" s="6" t="n">
        <v>43030.2269097222</v>
      </c>
      <c r="B2249" s="7" t="str">
        <f aca="false">HYPERLINK("https://twitter.com/asuka_yoneyama_","@asuka_yoneyama_")</f>
        <v>@asuka_yoneyama_</v>
      </c>
      <c r="C2249" s="14" t="s">
        <v>5777</v>
      </c>
      <c r="D2249" s="8" t="s">
        <v>3646</v>
      </c>
      <c r="E2249" s="9" t="str">
        <f aca="false">HYPERLINK("https://twitter.com/asuka_yoneyama_/status/922076757804515328","922076757804515328")</f>
        <v>922076757804515328</v>
      </c>
      <c r="F2249" s="10" t="s">
        <v>39</v>
      </c>
      <c r="G2249" s="10" t="n">
        <v>50</v>
      </c>
      <c r="H2249" s="10" t="n">
        <v>49</v>
      </c>
      <c r="I2249" s="10" t="n">
        <v>71</v>
      </c>
      <c r="J2249" s="10" t="n">
        <v>0</v>
      </c>
      <c r="K2249" s="10" t="s">
        <v>20</v>
      </c>
      <c r="L2249" s="11" t="n">
        <v>40636.2714930556</v>
      </c>
      <c r="M2249" s="13" t="s">
        <v>5778</v>
      </c>
      <c r="N2249" s="13" t="s">
        <v>5779</v>
      </c>
      <c r="O2249" s="9" t="str">
        <f aca="false">HYPERLINK("https://pbs.twimg.com/profile_images/916263297787105280/9Pi3W38J_normal.jpg","View")</f>
        <v>View</v>
      </c>
      <c r="P2249" s="10"/>
    </row>
    <row r="2250" customFormat="false" ht="15.75" hidden="false" customHeight="false" outlineLevel="0" collapsed="false">
      <c r="A2250" s="6" t="n">
        <v>43030.227037037</v>
      </c>
      <c r="B2250" s="7" t="str">
        <f aca="false">HYPERLINK("https://twitter.com/sixteinliesena","@sixteinliesena")</f>
        <v>@sixteinliesena</v>
      </c>
      <c r="C2250" s="8" t="s">
        <v>3615</v>
      </c>
      <c r="D2250" s="8" t="s">
        <v>4124</v>
      </c>
      <c r="E2250" s="9" t="str">
        <f aca="false">HYPERLINK("https://twitter.com/sixteinliesena/status/922076806600990722","922076806600990722")</f>
        <v>922076806600990722</v>
      </c>
      <c r="F2250" s="10" t="s">
        <v>25</v>
      </c>
      <c r="G2250" s="10" t="n">
        <v>543</v>
      </c>
      <c r="H2250" s="10" t="n">
        <v>662</v>
      </c>
      <c r="I2250" s="10" t="n">
        <v>111</v>
      </c>
      <c r="J2250" s="10" t="n">
        <v>0</v>
      </c>
      <c r="K2250" s="10" t="s">
        <v>20</v>
      </c>
      <c r="L2250" s="11" t="n">
        <v>40067.1269560185</v>
      </c>
      <c r="M2250" s="12" t="s">
        <v>3616</v>
      </c>
      <c r="N2250" s="12" t="s">
        <v>3617</v>
      </c>
      <c r="O2250" s="9" t="str">
        <f aca="false">HYPERLINK("https://pbs.twimg.com/profile_images/900200466646269952/xdFoCPnZ_normal.jpg","View")</f>
        <v>View</v>
      </c>
      <c r="P2250" s="10"/>
    </row>
    <row r="2251" customFormat="false" ht="15.75" hidden="false" customHeight="false" outlineLevel="0" collapsed="false">
      <c r="A2251" s="6" t="n">
        <v>43030.227037037</v>
      </c>
      <c r="B2251" s="7" t="str">
        <f aca="false">HYPERLINK("https://twitter.com/Timesolizer","@Timesolizer")</f>
        <v>@Timesolizer</v>
      </c>
      <c r="C2251" s="8" t="s">
        <v>5780</v>
      </c>
      <c r="D2251" s="8" t="s">
        <v>5781</v>
      </c>
      <c r="E2251" s="9" t="str">
        <f aca="false">HYPERLINK("https://twitter.com/Timesolizer/status/922076807414931456","922076807414931456")</f>
        <v>922076807414931456</v>
      </c>
      <c r="F2251" s="10" t="s">
        <v>5782</v>
      </c>
      <c r="G2251" s="10" t="n">
        <v>1805</v>
      </c>
      <c r="H2251" s="10" t="n">
        <v>362</v>
      </c>
      <c r="I2251" s="10" t="n">
        <v>0</v>
      </c>
      <c r="J2251" s="10" t="n">
        <v>0</v>
      </c>
      <c r="K2251" s="10" t="s">
        <v>20</v>
      </c>
      <c r="L2251" s="11" t="n">
        <v>42027.1052430556</v>
      </c>
      <c r="M2251" s="12" t="s">
        <v>1670</v>
      </c>
      <c r="N2251" s="12" t="s">
        <v>5783</v>
      </c>
      <c r="O2251" s="9" t="str">
        <f aca="false">HYPERLINK("https://pbs.twimg.com/profile_images/558573226423353344/Xjj7p4qe_normal.jpeg","View")</f>
        <v>View</v>
      </c>
      <c r="P2251" s="10"/>
    </row>
    <row r="2252" customFormat="false" ht="15.75" hidden="false" customHeight="false" outlineLevel="0" collapsed="false">
      <c r="A2252" s="6" t="n">
        <v>43030.2271990741</v>
      </c>
      <c r="B2252" s="7" t="str">
        <f aca="false">HYPERLINK("https://twitter.com/jpn_anonymous_2","@jpn_anonymous_2")</f>
        <v>@jpn_anonymous_2</v>
      </c>
      <c r="C2252" s="8" t="s">
        <v>5784</v>
      </c>
      <c r="D2252" s="8" t="s">
        <v>4124</v>
      </c>
      <c r="E2252" s="9" t="str">
        <f aca="false">HYPERLINK("https://twitter.com/jpn_anonymous_2/status/922076863211585536","922076863211585536")</f>
        <v>922076863211585536</v>
      </c>
      <c r="F2252" s="10" t="s">
        <v>51</v>
      </c>
      <c r="G2252" s="10" t="n">
        <v>102</v>
      </c>
      <c r="H2252" s="10" t="n">
        <v>151</v>
      </c>
      <c r="I2252" s="10" t="n">
        <v>111</v>
      </c>
      <c r="J2252" s="10" t="n">
        <v>0</v>
      </c>
      <c r="K2252" s="10" t="s">
        <v>20</v>
      </c>
      <c r="L2252" s="11" t="n">
        <v>42365.7217361111</v>
      </c>
      <c r="M2252" s="12"/>
      <c r="N2252" s="12" t="s">
        <v>5785</v>
      </c>
      <c r="O2252" s="9" t="str">
        <f aca="false">HYPERLINK("https://pbs.twimg.com/profile_images/889968944278151168/sw98clb1_normal.jpg","View")</f>
        <v>View</v>
      </c>
      <c r="P2252" s="10"/>
    </row>
    <row r="2253" customFormat="false" ht="15.75" hidden="false" customHeight="false" outlineLevel="0" collapsed="false">
      <c r="A2253" s="6" t="n">
        <v>43030.2275</v>
      </c>
      <c r="B2253" s="7" t="str">
        <f aca="false">HYPERLINK("https://twitter.com/MyDailyReporter","@MyDailyReporter")</f>
        <v>@MyDailyReporter</v>
      </c>
      <c r="C2253" s="8" t="s">
        <v>2125</v>
      </c>
      <c r="D2253" s="8" t="s">
        <v>5786</v>
      </c>
      <c r="E2253" s="9" t="str">
        <f aca="false">HYPERLINK("https://twitter.com/MyDailyReporter/status/922076973626687489","922076973626687489")</f>
        <v>922076973626687489</v>
      </c>
      <c r="F2253" s="10" t="s">
        <v>60</v>
      </c>
      <c r="G2253" s="10" t="n">
        <v>299</v>
      </c>
      <c r="H2253" s="10" t="n">
        <v>0</v>
      </c>
      <c r="I2253" s="10" t="n">
        <v>0</v>
      </c>
      <c r="J2253" s="10" t="n">
        <v>0</v>
      </c>
      <c r="K2253" s="10" t="s">
        <v>20</v>
      </c>
      <c r="L2253" s="11" t="n">
        <v>42308.4636458333</v>
      </c>
      <c r="M2253" s="12"/>
      <c r="N2253" s="12"/>
      <c r="O2253" s="9" t="str">
        <f aca="false">HYPERLINK("https://pbs.twimg.com/profile_images/660520809585315841/YEKGmz9g_normal.png","View")</f>
        <v>View</v>
      </c>
      <c r="P2253" s="10"/>
    </row>
    <row r="2254" customFormat="false" ht="15.75" hidden="false" customHeight="false" outlineLevel="0" collapsed="false">
      <c r="A2254" s="6" t="n">
        <v>43030.2275578704</v>
      </c>
      <c r="B2254" s="7" t="str">
        <f aca="false">HYPERLINK("https://twitter.com/NarenMenon1","@NarenMenon1")</f>
        <v>@NarenMenon1</v>
      </c>
      <c r="C2254" s="8" t="s">
        <v>5787</v>
      </c>
      <c r="D2254" s="8" t="s">
        <v>4285</v>
      </c>
      <c r="E2254" s="9" t="str">
        <f aca="false">HYPERLINK("https://twitter.com/NarenMenon1/status/922076995885731840","922076995885731840")</f>
        <v>922076995885731840</v>
      </c>
      <c r="F2254" s="10" t="s">
        <v>51</v>
      </c>
      <c r="G2254" s="10" t="n">
        <v>2649</v>
      </c>
      <c r="H2254" s="10" t="n">
        <v>487</v>
      </c>
      <c r="I2254" s="10" t="n">
        <v>5</v>
      </c>
      <c r="J2254" s="10" t="n">
        <v>0</v>
      </c>
      <c r="K2254" s="10" t="s">
        <v>20</v>
      </c>
      <c r="L2254" s="11" t="n">
        <v>41355.8394328704</v>
      </c>
      <c r="M2254" s="12" t="s">
        <v>5788</v>
      </c>
      <c r="N2254" s="12" t="s">
        <v>5789</v>
      </c>
      <c r="O2254" s="9" t="str">
        <f aca="false">HYPERLINK("https://pbs.twimg.com/profile_images/543373288555040768/wLIQrJK-_normal.jpeg","View")</f>
        <v>View</v>
      </c>
      <c r="P2254" s="10"/>
    </row>
    <row r="2255" customFormat="false" ht="15.75" hidden="false" customHeight="false" outlineLevel="0" collapsed="false">
      <c r="A2255" s="6" t="n">
        <v>43030.2279050926</v>
      </c>
      <c r="B2255" s="7" t="str">
        <f aca="false">HYPERLINK("https://twitter.com/manuco22","@manuco22")</f>
        <v>@manuco22</v>
      </c>
      <c r="C2255" s="8" t="s">
        <v>5790</v>
      </c>
      <c r="D2255" s="8" t="s">
        <v>5791</v>
      </c>
      <c r="E2255" s="9" t="str">
        <f aca="false">HYPERLINK("https://twitter.com/manuco22/status/922077120578424832","922077120578424832")</f>
        <v>922077120578424832</v>
      </c>
      <c r="F2255" s="10" t="s">
        <v>51</v>
      </c>
      <c r="G2255" s="10" t="n">
        <v>7701</v>
      </c>
      <c r="H2255" s="10" t="n">
        <v>7016</v>
      </c>
      <c r="I2255" s="10" t="n">
        <v>0</v>
      </c>
      <c r="J2255" s="10" t="n">
        <v>0</v>
      </c>
      <c r="K2255" s="10" t="s">
        <v>20</v>
      </c>
      <c r="L2255" s="11" t="n">
        <v>39925.8220023148</v>
      </c>
      <c r="M2255" s="12" t="s">
        <v>5792</v>
      </c>
      <c r="N2255" s="12" t="s">
        <v>5793</v>
      </c>
      <c r="O2255" s="9" t="str">
        <f aca="false">HYPERLINK("https://pbs.twimg.com/profile_images/587793977/manuco_foto_twitter_navidad_normal.jpg","View")</f>
        <v>View</v>
      </c>
      <c r="P2255" s="10"/>
    </row>
    <row r="2256" customFormat="false" ht="15.75" hidden="false" customHeight="false" outlineLevel="0" collapsed="false">
      <c r="A2256" s="6" t="n">
        <v>43030.2280324074</v>
      </c>
      <c r="B2256" s="7" t="str">
        <f aca="false">HYPERLINK("https://twitter.com/Edkura12","@Edkura12")</f>
        <v>@Edkura12</v>
      </c>
      <c r="C2256" s="8" t="s">
        <v>5794</v>
      </c>
      <c r="D2256" s="8" t="s">
        <v>5030</v>
      </c>
      <c r="E2256" s="9" t="str">
        <f aca="false">HYPERLINK("https://twitter.com/Edkura12/status/922077166451462144","922077166451462144")</f>
        <v>922077166451462144</v>
      </c>
      <c r="F2256" s="10" t="s">
        <v>51</v>
      </c>
      <c r="G2256" s="10" t="n">
        <v>2678</v>
      </c>
      <c r="H2256" s="10" t="n">
        <v>3351</v>
      </c>
      <c r="I2256" s="10" t="n">
        <v>22</v>
      </c>
      <c r="J2256" s="10" t="n">
        <v>0</v>
      </c>
      <c r="K2256" s="10" t="s">
        <v>20</v>
      </c>
      <c r="L2256" s="11" t="n">
        <v>41513.7799305556</v>
      </c>
      <c r="M2256" s="12" t="s">
        <v>1448</v>
      </c>
      <c r="N2256" s="12" t="s">
        <v>5795</v>
      </c>
      <c r="O2256" s="9" t="str">
        <f aca="false">HYPERLINK("https://pbs.twimg.com/profile_images/876746855358574592/_2yh5lfS_normal.jpg","View")</f>
        <v>View</v>
      </c>
      <c r="P2256" s="10"/>
    </row>
    <row r="2257" customFormat="false" ht="15.75" hidden="false" customHeight="false" outlineLevel="0" collapsed="false">
      <c r="A2257" s="6" t="n">
        <v>43030.2280671296</v>
      </c>
      <c r="B2257" s="7" t="str">
        <f aca="false">HYPERLINK("https://twitter.com/augusto_amato","@augusto_amato")</f>
        <v>@augusto_amato</v>
      </c>
      <c r="C2257" s="8" t="s">
        <v>5796</v>
      </c>
      <c r="D2257" s="8" t="s">
        <v>5797</v>
      </c>
      <c r="E2257" s="9" t="str">
        <f aca="false">HYPERLINK("https://twitter.com/augusto_amato/status/922077179713908736","922077179713908736")</f>
        <v>922077179713908736</v>
      </c>
      <c r="F2257" s="10" t="s">
        <v>39</v>
      </c>
      <c r="G2257" s="10" t="n">
        <v>16717</v>
      </c>
      <c r="H2257" s="10" t="n">
        <v>7617</v>
      </c>
      <c r="I2257" s="10" t="n">
        <v>0</v>
      </c>
      <c r="J2257" s="10" t="n">
        <v>0</v>
      </c>
      <c r="K2257" s="10" t="s">
        <v>20</v>
      </c>
      <c r="L2257" s="11" t="n">
        <v>39996.5234606481</v>
      </c>
      <c r="M2257" s="12" t="s">
        <v>5798</v>
      </c>
      <c r="N2257" s="12" t="s">
        <v>5799</v>
      </c>
      <c r="O2257" s="9" t="str">
        <f aca="false">HYPERLINK("https://pbs.twimg.com/profile_images/759466116175593474/PDXnDrGZ_normal.jpg","View")</f>
        <v>View</v>
      </c>
      <c r="P2257" s="10"/>
    </row>
    <row r="2258" customFormat="false" ht="15.75" hidden="false" customHeight="false" outlineLevel="0" collapsed="false">
      <c r="A2258" s="6" t="n">
        <v>43030.228287037</v>
      </c>
      <c r="B2258" s="7" t="str">
        <f aca="false">HYPERLINK("https://twitter.com/andydl321","@andydl321")</f>
        <v>@andydl321</v>
      </c>
      <c r="C2258" s="8" t="s">
        <v>5800</v>
      </c>
      <c r="D2258" s="8" t="s">
        <v>5801</v>
      </c>
      <c r="E2258" s="9" t="str">
        <f aca="false">HYPERLINK("https://twitter.com/andydl321/status/922077259569270784","922077259569270784")</f>
        <v>922077259569270784</v>
      </c>
      <c r="F2258" s="10" t="s">
        <v>51</v>
      </c>
      <c r="G2258" s="10" t="n">
        <v>1425</v>
      </c>
      <c r="H2258" s="10" t="n">
        <v>3170</v>
      </c>
      <c r="I2258" s="10" t="n">
        <v>0</v>
      </c>
      <c r="J2258" s="10" t="n">
        <v>0</v>
      </c>
      <c r="K2258" s="10" t="s">
        <v>20</v>
      </c>
      <c r="L2258" s="11" t="n">
        <v>39922.483125</v>
      </c>
      <c r="M2258" s="12" t="s">
        <v>491</v>
      </c>
      <c r="N2258" s="12" t="s">
        <v>5802</v>
      </c>
      <c r="O2258" s="9" t="str">
        <f aca="false">HYPERLINK("https://pbs.twimg.com/profile_images/920357015523803137/guMv7yh3_normal.jpg","View")</f>
        <v>View</v>
      </c>
      <c r="P2258" s="10"/>
    </row>
    <row r="2259" customFormat="false" ht="15.75" hidden="false" customHeight="false" outlineLevel="0" collapsed="false">
      <c r="A2259" s="6" t="n">
        <v>43030.2285185185</v>
      </c>
      <c r="B2259" s="7" t="str">
        <f aca="false">HYPERLINK("https://twitter.com/ChicagooGoing","@ChicagooGoing")</f>
        <v>@ChicagooGoing</v>
      </c>
      <c r="C2259" s="8" t="s">
        <v>5803</v>
      </c>
      <c r="D2259" s="8" t="s">
        <v>5804</v>
      </c>
      <c r="E2259" s="9" t="str">
        <f aca="false">HYPERLINK("https://twitter.com/ChicagooGoing/status/922077342645624833","922077342645624833")</f>
        <v>922077342645624833</v>
      </c>
      <c r="F2259" s="9" t="s">
        <v>1147</v>
      </c>
      <c r="G2259" s="10" t="n">
        <v>951</v>
      </c>
      <c r="H2259" s="10" t="n">
        <v>2471</v>
      </c>
      <c r="I2259" s="10" t="n">
        <v>0</v>
      </c>
      <c r="J2259" s="10" t="n">
        <v>0</v>
      </c>
      <c r="K2259" s="10" t="s">
        <v>20</v>
      </c>
      <c r="L2259" s="11" t="n">
        <v>41284.6068055556</v>
      </c>
      <c r="M2259" s="12" t="s">
        <v>5805</v>
      </c>
      <c r="N2259" s="12" t="s">
        <v>5806</v>
      </c>
      <c r="O2259" s="9" t="str">
        <f aca="false">HYPERLINK("https://pbs.twimg.com/profile_images/3092250614/72441df72f617338f2ecaae798cc4bfd_normal.jpeg","View")</f>
        <v>View</v>
      </c>
      <c r="P2259" s="10"/>
    </row>
    <row r="2260" customFormat="false" ht="15.75" hidden="false" customHeight="false" outlineLevel="0" collapsed="false">
      <c r="A2260" s="6" t="n">
        <v>43030.2285416667</v>
      </c>
      <c r="B2260" s="7" t="str">
        <f aca="false">HYPERLINK("https://twitter.com/WorldNewsGPS","@WorldNewsGPS")</f>
        <v>@WorldNewsGPS</v>
      </c>
      <c r="C2260" s="8" t="s">
        <v>2573</v>
      </c>
      <c r="D2260" s="8" t="s">
        <v>5807</v>
      </c>
      <c r="E2260" s="9" t="str">
        <f aca="false">HYPERLINK("https://twitter.com/WorldNewsGPS/status/922077349805416448","922077349805416448")</f>
        <v>922077349805416448</v>
      </c>
      <c r="F2260" s="9" t="s">
        <v>1147</v>
      </c>
      <c r="G2260" s="10" t="n">
        <v>5082</v>
      </c>
      <c r="H2260" s="10" t="n">
        <v>3634</v>
      </c>
      <c r="I2260" s="10" t="n">
        <v>1</v>
      </c>
      <c r="J2260" s="10" t="n">
        <v>0</v>
      </c>
      <c r="K2260" s="10" t="s">
        <v>20</v>
      </c>
      <c r="L2260" s="11" t="n">
        <v>41855.6448263889</v>
      </c>
      <c r="M2260" s="12" t="s">
        <v>2575</v>
      </c>
      <c r="N2260" s="12" t="s">
        <v>2576</v>
      </c>
      <c r="O2260" s="9" t="str">
        <f aca="false">HYPERLINK("https://pbs.twimg.com/profile_images/923461394355257344/b0o17ueG_normal.jpg","View")</f>
        <v>View</v>
      </c>
      <c r="P2260" s="10"/>
    </row>
    <row r="2261" customFormat="false" ht="15.75" hidden="false" customHeight="false" outlineLevel="0" collapsed="false">
      <c r="A2261" s="6" t="n">
        <v>43030.2285416667</v>
      </c>
      <c r="B2261" s="7" t="str">
        <f aca="false">HYPERLINK("https://twitter.com/candy_sexy1","@candy_sexy1")</f>
        <v>@candy_sexy1</v>
      </c>
      <c r="C2261" s="8" t="s">
        <v>5808</v>
      </c>
      <c r="D2261" s="8" t="s">
        <v>4984</v>
      </c>
      <c r="E2261" s="9" t="str">
        <f aca="false">HYPERLINK("https://twitter.com/candy_sexy1/status/922077351789387776","922077351789387776")</f>
        <v>922077351789387776</v>
      </c>
      <c r="F2261" s="10" t="s">
        <v>25</v>
      </c>
      <c r="G2261" s="10" t="n">
        <v>363</v>
      </c>
      <c r="H2261" s="10" t="n">
        <v>724</v>
      </c>
      <c r="I2261" s="10" t="n">
        <v>187</v>
      </c>
      <c r="J2261" s="10" t="n">
        <v>0</v>
      </c>
      <c r="K2261" s="10" t="s">
        <v>20</v>
      </c>
      <c r="L2261" s="11" t="n">
        <v>41961.7222106482</v>
      </c>
      <c r="M2261" s="12" t="s">
        <v>5809</v>
      </c>
      <c r="N2261" s="12" t="s">
        <v>5810</v>
      </c>
      <c r="O2261" s="9" t="str">
        <f aca="false">HYPERLINK("https://pbs.twimg.com/profile_images/921735485319516160/VherD4oV_normal.jpg","View")</f>
        <v>View</v>
      </c>
      <c r="P2261" s="10"/>
    </row>
    <row r="2262" customFormat="false" ht="15.75" hidden="false" customHeight="false" outlineLevel="0" collapsed="false">
      <c r="A2262" s="6" t="n">
        <v>43030.2285763889</v>
      </c>
      <c r="B2262" s="7" t="str">
        <f aca="false">HYPERLINK("https://twitter.com/NewsBossIndia","@NewsBossIndia")</f>
        <v>@NewsBossIndia</v>
      </c>
      <c r="C2262" s="7" t="s">
        <v>2911</v>
      </c>
      <c r="D2262" s="8" t="s">
        <v>5811</v>
      </c>
      <c r="E2262" s="9" t="str">
        <f aca="false">HYPERLINK("https://twitter.com/NewsBossIndia/status/922077361545273345","922077361545273345")</f>
        <v>922077361545273345</v>
      </c>
      <c r="F2262" s="9" t="s">
        <v>2911</v>
      </c>
      <c r="G2262" s="10" t="n">
        <v>996</v>
      </c>
      <c r="H2262" s="10" t="n">
        <v>1</v>
      </c>
      <c r="I2262" s="10" t="n">
        <v>0</v>
      </c>
      <c r="J2262" s="10" t="n">
        <v>0</v>
      </c>
      <c r="K2262" s="10" t="s">
        <v>20</v>
      </c>
      <c r="L2262" s="11" t="n">
        <v>42564.3806134259</v>
      </c>
      <c r="M2262" s="12"/>
      <c r="N2262" s="12" t="s">
        <v>2913</v>
      </c>
      <c r="O2262" s="9" t="str">
        <f aca="false">HYPERLINK("https://pbs.twimg.com/profile_images/753260679692333057/AS4Xiw4q_normal.jpg","View")</f>
        <v>View</v>
      </c>
      <c r="P2262" s="10"/>
    </row>
    <row r="2263" customFormat="false" ht="15.75" hidden="false" customHeight="false" outlineLevel="0" collapsed="false">
      <c r="A2263" s="6" t="n">
        <v>43030.228587963</v>
      </c>
      <c r="B2263" s="7" t="str">
        <f aca="false">HYPERLINK("https://twitter.com/DGriffin1980","@DGriffin1980")</f>
        <v>@DGriffin1980</v>
      </c>
      <c r="C2263" s="8" t="s">
        <v>5812</v>
      </c>
      <c r="D2263" s="8" t="s">
        <v>5813</v>
      </c>
      <c r="E2263" s="9" t="str">
        <f aca="false">HYPERLINK("https://twitter.com/DGriffin1980/status/922077366729527296","922077366729527296")</f>
        <v>922077366729527296</v>
      </c>
      <c r="F2263" s="10" t="s">
        <v>25</v>
      </c>
      <c r="G2263" s="10" t="n">
        <v>762</v>
      </c>
      <c r="H2263" s="10" t="n">
        <v>387</v>
      </c>
      <c r="I2263" s="10" t="n">
        <v>3</v>
      </c>
      <c r="J2263" s="10" t="n">
        <v>0</v>
      </c>
      <c r="K2263" s="10" t="s">
        <v>20</v>
      </c>
      <c r="L2263" s="11" t="n">
        <v>40178.6360763889</v>
      </c>
      <c r="M2263" s="12"/>
      <c r="N2263" s="12"/>
      <c r="O2263" s="9" t="str">
        <f aca="false">HYPERLINK("https://pbs.twimg.com/profile_images/627713370855047168/Tf8oDI9u_normal.jpg","View")</f>
        <v>View</v>
      </c>
      <c r="P2263" s="10"/>
    </row>
    <row r="2264" customFormat="false" ht="15.75" hidden="false" customHeight="false" outlineLevel="0" collapsed="false">
      <c r="A2264" s="6" t="n">
        <v>43030.2288194444</v>
      </c>
      <c r="B2264" s="7" t="str">
        <f aca="false">HYPERLINK("https://twitter.com/cbinewton","@cbinewton")</f>
        <v>@cbinewton</v>
      </c>
      <c r="C2264" s="8" t="s">
        <v>5814</v>
      </c>
      <c r="D2264" s="8" t="s">
        <v>5815</v>
      </c>
      <c r="E2264" s="9" t="str">
        <f aca="false">HYPERLINK("https://twitter.com/cbinewton/status/922077452955824128","922077452955824128")</f>
        <v>922077452955824128</v>
      </c>
      <c r="F2264" s="10" t="s">
        <v>98</v>
      </c>
      <c r="G2264" s="10" t="n">
        <v>634</v>
      </c>
      <c r="H2264" s="10" t="n">
        <v>907</v>
      </c>
      <c r="I2264" s="10" t="n">
        <v>1</v>
      </c>
      <c r="J2264" s="10" t="n">
        <v>1</v>
      </c>
      <c r="K2264" s="10" t="s">
        <v>20</v>
      </c>
      <c r="L2264" s="11" t="n">
        <v>40244.0890509259</v>
      </c>
      <c r="M2264" s="12" t="s">
        <v>5816</v>
      </c>
      <c r="N2264" s="12" t="s">
        <v>5817</v>
      </c>
      <c r="O2264" s="9" t="str">
        <f aca="false">HYPERLINK("https://pbs.twimg.com/profile_images/921727105984905216/Mjj3TfP3_normal.jpg","View")</f>
        <v>View</v>
      </c>
      <c r="P2264" s="10"/>
    </row>
    <row r="2265" customFormat="false" ht="15.75" hidden="false" customHeight="false" outlineLevel="0" collapsed="false">
      <c r="A2265" s="6" t="n">
        <v>43030.2288888889</v>
      </c>
      <c r="B2265" s="7" t="str">
        <f aca="false">HYPERLINK("https://twitter.com/summedupusa","@summedupusa")</f>
        <v>@summedupusa</v>
      </c>
      <c r="C2265" s="8" t="s">
        <v>5818</v>
      </c>
      <c r="D2265" s="8" t="s">
        <v>5819</v>
      </c>
      <c r="E2265" s="9" t="str">
        <f aca="false">HYPERLINK("https://twitter.com/summedupusa/status/922077475466895360","922077475466895360")</f>
        <v>922077475466895360</v>
      </c>
      <c r="F2265" s="10" t="s">
        <v>1179</v>
      </c>
      <c r="G2265" s="10" t="n">
        <v>96</v>
      </c>
      <c r="H2265" s="10" t="n">
        <v>7</v>
      </c>
      <c r="I2265" s="10" t="n">
        <v>0</v>
      </c>
      <c r="J2265" s="10" t="n">
        <v>0</v>
      </c>
      <c r="K2265" s="10" t="s">
        <v>20</v>
      </c>
      <c r="L2265" s="11" t="n">
        <v>42534.2779050926</v>
      </c>
      <c r="M2265" s="12" t="s">
        <v>588</v>
      </c>
      <c r="N2265" s="12" t="s">
        <v>2460</v>
      </c>
      <c r="O2265" s="9" t="str">
        <f aca="false">HYPERLINK("https://pbs.twimg.com/profile_images/742666371926876162/G7MSvH6a_normal.jpg","View")</f>
        <v>View</v>
      </c>
      <c r="P2265" s="10"/>
    </row>
    <row r="2266" customFormat="false" ht="15.75" hidden="false" customHeight="false" outlineLevel="0" collapsed="false">
      <c r="A2266" s="6" t="n">
        <v>43030.2290277778</v>
      </c>
      <c r="B2266" s="7" t="str">
        <f aca="false">HYPERLINK("https://twitter.com/twit48aa","@twit48aa")</f>
        <v>@twit48aa</v>
      </c>
      <c r="C2266" s="8" t="s">
        <v>2800</v>
      </c>
      <c r="D2266" s="8" t="s">
        <v>5820</v>
      </c>
      <c r="E2266" s="9" t="str">
        <f aca="false">HYPERLINK("https://twitter.com/twit48aa/status/922077527505625088","922077527505625088")</f>
        <v>922077527505625088</v>
      </c>
      <c r="F2266" s="10" t="s">
        <v>60</v>
      </c>
      <c r="G2266" s="10" t="n">
        <v>10</v>
      </c>
      <c r="H2266" s="10" t="n">
        <v>77</v>
      </c>
      <c r="I2266" s="10" t="n">
        <v>0</v>
      </c>
      <c r="J2266" s="10" t="n">
        <v>0</v>
      </c>
      <c r="K2266" s="10" t="s">
        <v>20</v>
      </c>
      <c r="L2266" s="11" t="n">
        <v>41375.2227430556</v>
      </c>
      <c r="M2266" s="12" t="s">
        <v>2802</v>
      </c>
      <c r="N2266" s="12" t="s">
        <v>2803</v>
      </c>
      <c r="O2266" s="9" t="str">
        <f aca="false">HYPERLINK("https://pbs.twimg.com/profile_images/3506164379/590ab77a416cbb6b88d0f6abb07e22fe_normal.jpeg","View")</f>
        <v>View</v>
      </c>
      <c r="P2266" s="10"/>
    </row>
    <row r="2267" customFormat="false" ht="15.75" hidden="false" customHeight="false" outlineLevel="0" collapsed="false">
      <c r="A2267" s="6" t="n">
        <v>43030.2290393519</v>
      </c>
      <c r="B2267" s="7" t="str">
        <f aca="false">HYPERLINK("https://twitter.com/iketaku127","@iketaku127")</f>
        <v>@iketaku127</v>
      </c>
      <c r="C2267" s="8" t="s">
        <v>5821</v>
      </c>
      <c r="D2267" s="8" t="s">
        <v>4984</v>
      </c>
      <c r="E2267" s="9" t="str">
        <f aca="false">HYPERLINK("https://twitter.com/iketaku127/status/922077533167804417","922077533167804417")</f>
        <v>922077533167804417</v>
      </c>
      <c r="F2267" s="10" t="s">
        <v>51</v>
      </c>
      <c r="G2267" s="10" t="n">
        <v>17</v>
      </c>
      <c r="H2267" s="10" t="n">
        <v>75</v>
      </c>
      <c r="I2267" s="10" t="n">
        <v>187</v>
      </c>
      <c r="J2267" s="10" t="n">
        <v>0</v>
      </c>
      <c r="K2267" s="10" t="s">
        <v>20</v>
      </c>
      <c r="L2267" s="11" t="n">
        <v>42732.9551273148</v>
      </c>
      <c r="M2267" s="12" t="s">
        <v>5822</v>
      </c>
      <c r="N2267" s="12" t="s">
        <v>5823</v>
      </c>
      <c r="O2267" s="9" t="str">
        <f aca="false">HYPERLINK("https://pbs.twimg.com/profile_images/856509641940807680/VmIhWGJg_normal.jpg","View")</f>
        <v>View</v>
      </c>
      <c r="P2267" s="10"/>
    </row>
    <row r="2268" customFormat="false" ht="15.75" hidden="false" customHeight="false" outlineLevel="0" collapsed="false">
      <c r="A2268" s="6" t="n">
        <v>43030.2290740741</v>
      </c>
      <c r="B2268" s="7" t="str">
        <f aca="false">HYPERLINK("https://twitter.com/Pelleg1Gabriell","@Pelleg1Gabriell")</f>
        <v>@Pelleg1Gabriell</v>
      </c>
      <c r="C2268" s="8" t="s">
        <v>5824</v>
      </c>
      <c r="D2268" s="8" t="s">
        <v>4984</v>
      </c>
      <c r="E2268" s="9" t="str">
        <f aca="false">HYPERLINK("https://twitter.com/Pelleg1Gabriell/status/922077545708773380","922077545708773380")</f>
        <v>922077545708773380</v>
      </c>
      <c r="F2268" s="10" t="s">
        <v>51</v>
      </c>
      <c r="G2268" s="10" t="n">
        <v>1174</v>
      </c>
      <c r="H2268" s="10" t="n">
        <v>885</v>
      </c>
      <c r="I2268" s="10" t="n">
        <v>187</v>
      </c>
      <c r="J2268" s="10" t="n">
        <v>0</v>
      </c>
      <c r="K2268" s="10" t="s">
        <v>20</v>
      </c>
      <c r="L2268" s="11" t="n">
        <v>42232.2109606482</v>
      </c>
      <c r="M2268" s="12" t="s">
        <v>5825</v>
      </c>
      <c r="N2268" s="12" t="s">
        <v>5826</v>
      </c>
      <c r="O2268" s="9" t="str">
        <f aca="false">HYPERLINK("https://pbs.twimg.com/profile_images/633634811605741569/vvvAX6UL_normal.jpg","View")</f>
        <v>View</v>
      </c>
      <c r="P2268" s="10"/>
    </row>
    <row r="2269" customFormat="false" ht="15.75" hidden="false" customHeight="false" outlineLevel="0" collapsed="false">
      <c r="A2269" s="6" t="n">
        <v>43030.2290740741</v>
      </c>
      <c r="B2269" s="7" t="str">
        <f aca="false">HYPERLINK("https://twitter.com/signify","@signify")</f>
        <v>@signify</v>
      </c>
      <c r="C2269" s="8" t="s">
        <v>5827</v>
      </c>
      <c r="D2269" s="8" t="s">
        <v>3295</v>
      </c>
      <c r="E2269" s="9" t="str">
        <f aca="false">HYPERLINK("https://twitter.com/signify/status/922077546015068162","922077546015068162")</f>
        <v>922077546015068162</v>
      </c>
      <c r="F2269" s="10" t="s">
        <v>39</v>
      </c>
      <c r="G2269" s="10" t="n">
        <v>156</v>
      </c>
      <c r="H2269" s="10" t="n">
        <v>962</v>
      </c>
      <c r="I2269" s="10" t="n">
        <v>71</v>
      </c>
      <c r="J2269" s="10" t="n">
        <v>0</v>
      </c>
      <c r="K2269" s="10" t="s">
        <v>20</v>
      </c>
      <c r="L2269" s="11" t="n">
        <v>42894.350162037</v>
      </c>
      <c r="M2269" s="12" t="s">
        <v>182</v>
      </c>
      <c r="N2269" s="12" t="s">
        <v>5828</v>
      </c>
      <c r="O2269" s="9" t="str">
        <f aca="false">HYPERLINK("https://pbs.twimg.com/profile_images/872841153762258945/586Sz_r7_normal.jpg","View")</f>
        <v>View</v>
      </c>
      <c r="P2269" s="10"/>
    </row>
    <row r="2270" customFormat="false" ht="15.75" hidden="false" customHeight="false" outlineLevel="0" collapsed="false">
      <c r="A2270" s="6" t="n">
        <v>43030.2290856482</v>
      </c>
      <c r="B2270" s="7" t="str">
        <f aca="false">HYPERLINK("https://twitter.com/impetus_yamada","@impetus_yamada")</f>
        <v>@impetus_yamada</v>
      </c>
      <c r="C2270" s="8" t="s">
        <v>5829</v>
      </c>
      <c r="D2270" s="8" t="s">
        <v>4984</v>
      </c>
      <c r="E2270" s="9" t="str">
        <f aca="false">HYPERLINK("https://twitter.com/impetus_yamada/status/922077546379747328","922077546379747328")</f>
        <v>922077546379747328</v>
      </c>
      <c r="F2270" s="10" t="s">
        <v>39</v>
      </c>
      <c r="G2270" s="10" t="n">
        <v>17</v>
      </c>
      <c r="H2270" s="10" t="n">
        <v>65</v>
      </c>
      <c r="I2270" s="10" t="n">
        <v>187</v>
      </c>
      <c r="J2270" s="10" t="n">
        <v>0</v>
      </c>
      <c r="K2270" s="10" t="s">
        <v>20</v>
      </c>
      <c r="L2270" s="11" t="n">
        <v>41563.1966087963</v>
      </c>
      <c r="M2270" s="12"/>
      <c r="N2270" s="13" t="s">
        <v>5830</v>
      </c>
      <c r="O2270" s="9" t="str">
        <f aca="false">HYPERLINK("https://pbs.twimg.com/profile_images/693698806165016576/VsE4BxB-_normal.jpg","View")</f>
        <v>View</v>
      </c>
      <c r="P2270" s="10"/>
    </row>
    <row r="2271" customFormat="false" ht="15.75" hidden="false" customHeight="false" outlineLevel="0" collapsed="false">
      <c r="A2271" s="6" t="n">
        <v>43030.2291087963</v>
      </c>
      <c r="B2271" s="7" t="str">
        <f aca="false">HYPERLINK("https://twitter.com/Lawgirl318","@Lawgirl318")</f>
        <v>@Lawgirl318</v>
      </c>
      <c r="C2271" s="8" t="s">
        <v>5831</v>
      </c>
      <c r="D2271" s="8" t="s">
        <v>4984</v>
      </c>
      <c r="E2271" s="9" t="str">
        <f aca="false">HYPERLINK("https://twitter.com/Lawgirl318/status/922077558589370368","922077558589370368")</f>
        <v>922077558589370368</v>
      </c>
      <c r="F2271" s="10" t="s">
        <v>98</v>
      </c>
      <c r="G2271" s="10" t="n">
        <v>261</v>
      </c>
      <c r="H2271" s="10" t="n">
        <v>199</v>
      </c>
      <c r="I2271" s="10" t="n">
        <v>187</v>
      </c>
      <c r="J2271" s="10" t="n">
        <v>0</v>
      </c>
      <c r="K2271" s="10" t="s">
        <v>20</v>
      </c>
      <c r="L2271" s="11" t="n">
        <v>42226.5662615741</v>
      </c>
      <c r="M2271" s="12"/>
      <c r="N2271" s="12"/>
      <c r="O2271" s="9" t="str">
        <f aca="false">HYPERLINK("https://abs.twimg.com/sticky/default_profile_images/default_profile_normal.png","View")</f>
        <v>View</v>
      </c>
      <c r="P2271" s="10"/>
    </row>
    <row r="2272" customFormat="false" ht="15.75" hidden="false" customHeight="false" outlineLevel="0" collapsed="false">
      <c r="A2272" s="6" t="n">
        <v>43030.229212963</v>
      </c>
      <c r="B2272" s="7" t="str">
        <f aca="false">HYPERLINK("https://twitter.com/GCM_2016","@GCM_2016")</f>
        <v>@GCM_2016</v>
      </c>
      <c r="C2272" s="8" t="s">
        <v>5832</v>
      </c>
      <c r="D2272" s="8" t="s">
        <v>5833</v>
      </c>
      <c r="E2272" s="9" t="str">
        <f aca="false">HYPERLINK("https://twitter.com/GCM_2016/status/922077592580182016","922077592580182016")</f>
        <v>922077592580182016</v>
      </c>
      <c r="F2272" s="10" t="s">
        <v>331</v>
      </c>
      <c r="G2272" s="10" t="n">
        <v>166</v>
      </c>
      <c r="H2272" s="10" t="n">
        <v>79</v>
      </c>
      <c r="I2272" s="10" t="n">
        <v>0</v>
      </c>
      <c r="J2272" s="10" t="n">
        <v>0</v>
      </c>
      <c r="K2272" s="10" t="s">
        <v>20</v>
      </c>
      <c r="L2272" s="11" t="n">
        <v>42370.5583449074</v>
      </c>
      <c r="M2272" s="12"/>
      <c r="N2272" s="12"/>
      <c r="O2272" s="9" t="str">
        <f aca="false">HYPERLINK("https://pbs.twimg.com/profile_images/693546638913064962/zYlFyIoK_normal.jpg","View")</f>
        <v>View</v>
      </c>
      <c r="P2272" s="10"/>
    </row>
    <row r="2273" customFormat="false" ht="15.75" hidden="false" customHeight="false" outlineLevel="0" collapsed="false">
      <c r="A2273" s="6" t="n">
        <v>43030.2293171296</v>
      </c>
      <c r="B2273" s="7" t="str">
        <f aca="false">HYPERLINK("https://twitter.com/Fehreen_k96","@Fehreen_k96")</f>
        <v>@Fehreen_k96</v>
      </c>
      <c r="C2273" s="8" t="s">
        <v>5834</v>
      </c>
      <c r="D2273" s="8" t="s">
        <v>4984</v>
      </c>
      <c r="E2273" s="9" t="str">
        <f aca="false">HYPERLINK("https://twitter.com/Fehreen_k96/status/922077630085689344","922077630085689344")</f>
        <v>922077630085689344</v>
      </c>
      <c r="F2273" s="10" t="s">
        <v>51</v>
      </c>
      <c r="G2273" s="10" t="n">
        <v>22</v>
      </c>
      <c r="H2273" s="10" t="n">
        <v>149</v>
      </c>
      <c r="I2273" s="10" t="n">
        <v>187</v>
      </c>
      <c r="J2273" s="10" t="n">
        <v>0</v>
      </c>
      <c r="K2273" s="10" t="s">
        <v>20</v>
      </c>
      <c r="L2273" s="11" t="n">
        <v>43020.1100694444</v>
      </c>
      <c r="M2273" s="12"/>
      <c r="N2273" s="12"/>
      <c r="O2273" s="9" t="str">
        <f aca="false">HYPERLINK("https://abs.twimg.com/sticky/default_profile_images/default_profile_normal.png","View")</f>
        <v>View</v>
      </c>
      <c r="P2273" s="10"/>
    </row>
    <row r="2274" customFormat="false" ht="15.75" hidden="false" customHeight="false" outlineLevel="0" collapsed="false">
      <c r="A2274" s="6" t="n">
        <v>43030.2293402778</v>
      </c>
      <c r="B2274" s="7" t="str">
        <f aca="false">HYPERLINK("https://twitter.com/signify","@signify")</f>
        <v>@signify</v>
      </c>
      <c r="C2274" s="8" t="s">
        <v>5827</v>
      </c>
      <c r="D2274" s="8" t="s">
        <v>4984</v>
      </c>
      <c r="E2274" s="9" t="str">
        <f aca="false">HYPERLINK("https://twitter.com/signify/status/922077639216652290","922077639216652290")</f>
        <v>922077639216652290</v>
      </c>
      <c r="F2274" s="10" t="s">
        <v>39</v>
      </c>
      <c r="G2274" s="10" t="n">
        <v>156</v>
      </c>
      <c r="H2274" s="10" t="n">
        <v>962</v>
      </c>
      <c r="I2274" s="10" t="n">
        <v>187</v>
      </c>
      <c r="J2274" s="10" t="n">
        <v>0</v>
      </c>
      <c r="K2274" s="10" t="s">
        <v>20</v>
      </c>
      <c r="L2274" s="11" t="n">
        <v>42894.350162037</v>
      </c>
      <c r="M2274" s="12" t="s">
        <v>182</v>
      </c>
      <c r="N2274" s="12" t="s">
        <v>5828</v>
      </c>
      <c r="O2274" s="9" t="str">
        <f aca="false">HYPERLINK("https://pbs.twimg.com/profile_images/872841153762258945/586Sz_r7_normal.jpg","View")</f>
        <v>View</v>
      </c>
      <c r="P2274" s="10"/>
    </row>
    <row r="2275" customFormat="false" ht="15.75" hidden="false" customHeight="false" outlineLevel="0" collapsed="false">
      <c r="A2275" s="6" t="n">
        <v>43030.2293402778</v>
      </c>
      <c r="B2275" s="7" t="str">
        <f aca="false">HYPERLINK("https://twitter.com/nytimesworld","@nytimesworld")</f>
        <v>@nytimesworld</v>
      </c>
      <c r="C2275" s="8" t="s">
        <v>621</v>
      </c>
      <c r="D2275" s="8" t="s">
        <v>5835</v>
      </c>
      <c r="E2275" s="9" t="str">
        <f aca="false">HYPERLINK("https://twitter.com/nytimesworld/status/922077640231669761","922077640231669761")</f>
        <v>922077640231669761</v>
      </c>
      <c r="F2275" s="10" t="s">
        <v>268</v>
      </c>
      <c r="G2275" s="10" t="n">
        <v>1873821</v>
      </c>
      <c r="H2275" s="10" t="n">
        <v>465</v>
      </c>
      <c r="I2275" s="10" t="n">
        <v>16</v>
      </c>
      <c r="J2275" s="10" t="n">
        <v>23</v>
      </c>
      <c r="K2275" s="10" t="s">
        <v>20</v>
      </c>
      <c r="L2275" s="11" t="n">
        <v>39163.2915393518</v>
      </c>
      <c r="M2275" s="12" t="s">
        <v>491</v>
      </c>
      <c r="N2275" s="12" t="s">
        <v>623</v>
      </c>
      <c r="O2275" s="9" t="str">
        <f aca="false">HYPERLINK("https://pbs.twimg.com/profile_images/2045337639/NYT_Twitter_world_normal.png","View")</f>
        <v>View</v>
      </c>
      <c r="P2275" s="10"/>
    </row>
    <row r="2276" customFormat="false" ht="15.75" hidden="false" customHeight="false" outlineLevel="0" collapsed="false">
      <c r="A2276" s="6" t="n">
        <v>43030.229837963</v>
      </c>
      <c r="B2276" s="7" t="str">
        <f aca="false">HYPERLINK("https://twitter.com/notiven","@notiven")</f>
        <v>@notiven</v>
      </c>
      <c r="C2276" s="8" t="s">
        <v>699</v>
      </c>
      <c r="D2276" s="8" t="s">
        <v>5836</v>
      </c>
      <c r="E2276" s="9" t="str">
        <f aca="false">HYPERLINK("https://twitter.com/notiven/status/922077818850365441","922077818850365441")</f>
        <v>922077818850365441</v>
      </c>
      <c r="F2276" s="10" t="s">
        <v>701</v>
      </c>
      <c r="G2276" s="10" t="n">
        <v>51343</v>
      </c>
      <c r="H2276" s="10" t="n">
        <v>193</v>
      </c>
      <c r="I2276" s="10" t="n">
        <v>0</v>
      </c>
      <c r="J2276" s="10" t="n">
        <v>0</v>
      </c>
      <c r="K2276" s="10" t="s">
        <v>20</v>
      </c>
      <c r="L2276" s="11" t="n">
        <v>39235.5805787037</v>
      </c>
      <c r="M2276" s="12" t="s">
        <v>702</v>
      </c>
      <c r="N2276" s="12" t="s">
        <v>703</v>
      </c>
      <c r="O2276" s="9" t="str">
        <f aca="false">HYPERLINK("https://pbs.twimg.com/profile_images/799317731648606208/vbXQCdts_normal.jpg","View")</f>
        <v>View</v>
      </c>
      <c r="P2276" s="10"/>
    </row>
    <row r="2277" customFormat="false" ht="15.75" hidden="false" customHeight="false" outlineLevel="0" collapsed="false">
      <c r="A2277" s="6" t="n">
        <v>43030.2298611111</v>
      </c>
      <c r="B2277" s="7" t="str">
        <f aca="false">HYPERLINK("https://twitter.com/pongmala","@pongmala")</f>
        <v>@pongmala</v>
      </c>
      <c r="C2277" s="7" t="s">
        <v>5837</v>
      </c>
      <c r="D2277" s="8" t="s">
        <v>3514</v>
      </c>
      <c r="E2277" s="9" t="str">
        <f aca="false">HYPERLINK("https://twitter.com/pongmala/status/922077829369434113","922077829369434113")</f>
        <v>922077829369434113</v>
      </c>
      <c r="F2277" s="10" t="s">
        <v>51</v>
      </c>
      <c r="G2277" s="10" t="n">
        <v>143</v>
      </c>
      <c r="H2277" s="10" t="n">
        <v>820</v>
      </c>
      <c r="I2277" s="10" t="n">
        <v>19</v>
      </c>
      <c r="J2277" s="10" t="n">
        <v>0</v>
      </c>
      <c r="K2277" s="10" t="s">
        <v>20</v>
      </c>
      <c r="L2277" s="11" t="n">
        <v>40632.8929513889</v>
      </c>
      <c r="M2277" s="12" t="s">
        <v>5838</v>
      </c>
      <c r="N2277" s="12" t="s">
        <v>5839</v>
      </c>
      <c r="O2277" s="9" t="str">
        <f aca="false">HYPERLINK("https://pbs.twimg.com/profile_images/914412406452842496/lFlJKyPc_normal.jpg","View")</f>
        <v>View</v>
      </c>
      <c r="P2277" s="10"/>
    </row>
    <row r="2278" customFormat="false" ht="15.75" hidden="false" customHeight="false" outlineLevel="0" collapsed="false">
      <c r="A2278" s="6" t="n">
        <v>43030.2299189815</v>
      </c>
      <c r="B2278" s="7" t="str">
        <f aca="false">HYPERLINK("https://twitter.com/rashidaldosari","@rashidaldosari")</f>
        <v>@rashidaldosari</v>
      </c>
      <c r="C2278" s="8" t="s">
        <v>810</v>
      </c>
      <c r="D2278" s="8" t="s">
        <v>4984</v>
      </c>
      <c r="E2278" s="9" t="str">
        <f aca="false">HYPERLINK("https://twitter.com/rashidaldosari/status/922077850622152705","922077850622152705")</f>
        <v>922077850622152705</v>
      </c>
      <c r="F2278" s="10" t="s">
        <v>51</v>
      </c>
      <c r="G2278" s="10" t="n">
        <v>2400</v>
      </c>
      <c r="H2278" s="10" t="n">
        <v>55</v>
      </c>
      <c r="I2278" s="10" t="n">
        <v>187</v>
      </c>
      <c r="J2278" s="10" t="n">
        <v>0</v>
      </c>
      <c r="K2278" s="10" t="s">
        <v>20</v>
      </c>
      <c r="L2278" s="11" t="n">
        <v>40635.110625</v>
      </c>
      <c r="M2278" s="12"/>
      <c r="N2278" s="12" t="s">
        <v>811</v>
      </c>
      <c r="O2278" s="9" t="str">
        <f aca="false">HYPERLINK("https://pbs.twimg.com/profile_images/1389660377/image_normal.jpg","View")</f>
        <v>View</v>
      </c>
      <c r="P2278" s="10"/>
    </row>
    <row r="2279" customFormat="false" ht="15.75" hidden="false" customHeight="false" outlineLevel="0" collapsed="false">
      <c r="A2279" s="6" t="n">
        <v>43030.2299421296</v>
      </c>
      <c r="B2279" s="7" t="str">
        <f aca="false">HYPERLINK("https://twitter.com/m7m5ea","@m7m5ea")</f>
        <v>@m7m5ea</v>
      </c>
      <c r="C2279" s="8" t="s">
        <v>5840</v>
      </c>
      <c r="D2279" s="8" t="s">
        <v>3971</v>
      </c>
      <c r="E2279" s="9" t="str">
        <f aca="false">HYPERLINK("https://twitter.com/m7m5ea/status/922077858142359555","922077858142359555")</f>
        <v>922077858142359555</v>
      </c>
      <c r="F2279" s="10" t="s">
        <v>25</v>
      </c>
      <c r="G2279" s="10" t="n">
        <v>147</v>
      </c>
      <c r="H2279" s="10" t="n">
        <v>810</v>
      </c>
      <c r="I2279" s="10" t="n">
        <v>24</v>
      </c>
      <c r="J2279" s="10" t="n">
        <v>0</v>
      </c>
      <c r="K2279" s="10" t="s">
        <v>20</v>
      </c>
      <c r="L2279" s="11" t="n">
        <v>42568.2016203704</v>
      </c>
      <c r="M2279" s="12"/>
      <c r="N2279" s="12" t="s">
        <v>5841</v>
      </c>
      <c r="O2279" s="9" t="str">
        <f aca="false">HYPERLINK("https://pbs.twimg.com/profile_images/856484077456601088/sUHTZafL_normal.jpg","View")</f>
        <v>View</v>
      </c>
      <c r="P2279" s="10"/>
    </row>
    <row r="2280" customFormat="false" ht="15.75" hidden="false" customHeight="false" outlineLevel="0" collapsed="false">
      <c r="A2280" s="6" t="n">
        <v>43030.2299537037</v>
      </c>
      <c r="B2280" s="7" t="str">
        <f aca="false">HYPERLINK("https://twitter.com/dennisgjones","@dennisgjones")</f>
        <v>@dennisgjones</v>
      </c>
      <c r="C2280" s="8" t="s">
        <v>5842</v>
      </c>
      <c r="D2280" s="8" t="s">
        <v>3646</v>
      </c>
      <c r="E2280" s="9" t="str">
        <f aca="false">HYPERLINK("https://twitter.com/dennisgjones/status/922077863649607680","922077863649607680")</f>
        <v>922077863649607680</v>
      </c>
      <c r="F2280" s="10" t="s">
        <v>177</v>
      </c>
      <c r="G2280" s="10" t="n">
        <v>1971</v>
      </c>
      <c r="H2280" s="10" t="n">
        <v>871</v>
      </c>
      <c r="I2280" s="10" t="n">
        <v>71</v>
      </c>
      <c r="J2280" s="10" t="n">
        <v>0</v>
      </c>
      <c r="K2280" s="10" t="s">
        <v>20</v>
      </c>
      <c r="L2280" s="11" t="n">
        <v>39877.3268402778</v>
      </c>
      <c r="M2280" s="12" t="s">
        <v>5843</v>
      </c>
      <c r="N2280" s="12" t="s">
        <v>5844</v>
      </c>
      <c r="O2280" s="9" t="str">
        <f aca="false">HYPERLINK("https://pbs.twimg.com/profile_images/874496471202189312/lN8ez6l0_normal.jpg","View")</f>
        <v>View</v>
      </c>
      <c r="P2280" s="10"/>
    </row>
    <row r="2281" customFormat="false" ht="15.75" hidden="false" customHeight="false" outlineLevel="0" collapsed="false">
      <c r="A2281" s="6" t="n">
        <v>43030.2299652778</v>
      </c>
      <c r="B2281" s="7" t="str">
        <f aca="false">HYPERLINK("https://twitter.com/DisneySorceror","@DisneySorceror")</f>
        <v>@DisneySorceror</v>
      </c>
      <c r="C2281" s="8" t="s">
        <v>5845</v>
      </c>
      <c r="D2281" s="8" t="s">
        <v>5846</v>
      </c>
      <c r="E2281" s="9" t="str">
        <f aca="false">HYPERLINK("https://twitter.com/DisneySorceror/status/922077866342326272","922077866342326272")</f>
        <v>922077866342326272</v>
      </c>
      <c r="F2281" s="10" t="s">
        <v>39</v>
      </c>
      <c r="G2281" s="10" t="n">
        <v>1527</v>
      </c>
      <c r="H2281" s="10" t="n">
        <v>3986</v>
      </c>
      <c r="I2281" s="10" t="n">
        <v>16</v>
      </c>
      <c r="J2281" s="10" t="n">
        <v>0</v>
      </c>
      <c r="K2281" s="10" t="s">
        <v>20</v>
      </c>
      <c r="L2281" s="11" t="n">
        <v>42362.3680902778</v>
      </c>
      <c r="M2281" s="12" t="s">
        <v>5847</v>
      </c>
      <c r="N2281" s="12" t="s">
        <v>5848</v>
      </c>
      <c r="O2281" s="9" t="str">
        <f aca="false">HYPERLINK("https://pbs.twimg.com/profile_images/914394025225891841/mhtxQOXh_normal.jpg","View")</f>
        <v>View</v>
      </c>
      <c r="P2281" s="10"/>
    </row>
    <row r="2282" customFormat="false" ht="15.75" hidden="false" customHeight="false" outlineLevel="0" collapsed="false">
      <c r="A2282" s="6" t="n">
        <v>43030.2299768519</v>
      </c>
      <c r="B2282" s="7" t="str">
        <f aca="false">HYPERLINK("https://twitter.com/Hadesprince","@Hadesprince")</f>
        <v>@Hadesprince</v>
      </c>
      <c r="C2282" s="8" t="s">
        <v>5849</v>
      </c>
      <c r="D2282" s="8" t="s">
        <v>4124</v>
      </c>
      <c r="E2282" s="9" t="str">
        <f aca="false">HYPERLINK("https://twitter.com/Hadesprince/status/922077870540800000","922077870540800000")</f>
        <v>922077870540800000</v>
      </c>
      <c r="F2282" s="10" t="s">
        <v>276</v>
      </c>
      <c r="G2282" s="10" t="n">
        <v>507</v>
      </c>
      <c r="H2282" s="10" t="n">
        <v>1590</v>
      </c>
      <c r="I2282" s="10" t="n">
        <v>111</v>
      </c>
      <c r="J2282" s="10" t="n">
        <v>0</v>
      </c>
      <c r="K2282" s="10" t="s">
        <v>20</v>
      </c>
      <c r="L2282" s="11" t="n">
        <v>41311.237662037</v>
      </c>
      <c r="M2282" s="12" t="s">
        <v>5850</v>
      </c>
      <c r="N2282" s="12" t="s">
        <v>5851</v>
      </c>
      <c r="O2282" s="9" t="str">
        <f aca="false">HYPERLINK("https://pbs.twimg.com/profile_images/920532841280057344/lSDgLspm_normal.jpg","View")</f>
        <v>View</v>
      </c>
      <c r="P2282" s="10"/>
    </row>
    <row r="2283" customFormat="false" ht="15.75" hidden="false" customHeight="false" outlineLevel="0" collapsed="false">
      <c r="A2283" s="6" t="n">
        <v>43030.2301041667</v>
      </c>
      <c r="B2283" s="7" t="str">
        <f aca="false">HYPERLINK("https://twitter.com/Really_Greatt","@Really_Greatt")</f>
        <v>@Really_Greatt</v>
      </c>
      <c r="C2283" s="8" t="s">
        <v>5852</v>
      </c>
      <c r="D2283" s="8" t="s">
        <v>5853</v>
      </c>
      <c r="E2283" s="9" t="str">
        <f aca="false">HYPERLINK("https://twitter.com/Really_Greatt/status/922077918540582913","922077918540582913")</f>
        <v>922077918540582913</v>
      </c>
      <c r="F2283" s="10" t="s">
        <v>60</v>
      </c>
      <c r="G2283" s="10" t="n">
        <v>310</v>
      </c>
      <c r="H2283" s="10" t="n">
        <v>406</v>
      </c>
      <c r="I2283" s="10" t="n">
        <v>0</v>
      </c>
      <c r="J2283" s="10" t="n">
        <v>0</v>
      </c>
      <c r="K2283" s="10" t="s">
        <v>20</v>
      </c>
      <c r="L2283" s="11" t="n">
        <v>42823.7861111111</v>
      </c>
      <c r="M2283" s="12" t="s">
        <v>1423</v>
      </c>
      <c r="N2283" s="12" t="s">
        <v>5854</v>
      </c>
      <c r="O2283" s="9" t="str">
        <f aca="false">HYPERLINK("https://pbs.twimg.com/profile_images/847266098156142594/1zhKwwCI_normal.jpg","View")</f>
        <v>View</v>
      </c>
      <c r="P2283" s="10"/>
    </row>
    <row r="2284" customFormat="false" ht="15.75" hidden="false" customHeight="false" outlineLevel="0" collapsed="false">
      <c r="A2284" s="6" t="n">
        <v>43030.2301273148</v>
      </c>
      <c r="B2284" s="7" t="str">
        <f aca="false">HYPERLINK("https://twitter.com/Happeningbham","@Happeningbham")</f>
        <v>@Happeningbham</v>
      </c>
      <c r="C2284" s="8" t="s">
        <v>5855</v>
      </c>
      <c r="D2284" s="8" t="s">
        <v>5856</v>
      </c>
      <c r="E2284" s="9" t="str">
        <f aca="false">HYPERLINK("https://twitter.com/Happeningbham/status/922077924836216833","922077924836216833")</f>
        <v>922077924836216833</v>
      </c>
      <c r="F2284" s="10" t="s">
        <v>110</v>
      </c>
      <c r="G2284" s="10" t="n">
        <v>5471</v>
      </c>
      <c r="H2284" s="10" t="n">
        <v>1038</v>
      </c>
      <c r="I2284" s="10" t="n">
        <v>0</v>
      </c>
      <c r="J2284" s="10" t="n">
        <v>0</v>
      </c>
      <c r="K2284" s="10" t="s">
        <v>20</v>
      </c>
      <c r="L2284" s="11" t="n">
        <v>39956.6873958333</v>
      </c>
      <c r="M2284" s="12" t="s">
        <v>5857</v>
      </c>
      <c r="N2284" s="12" t="s">
        <v>5858</v>
      </c>
      <c r="O2284" s="9" t="str">
        <f aca="false">HYPERLINK("https://pbs.twimg.com/profile_images/378800000253920575/aa80f52b25eda4eb5701f88cbc64c018_normal.jpeg","View")</f>
        <v>View</v>
      </c>
      <c r="P2284" s="10"/>
    </row>
    <row r="2285" customFormat="false" ht="15.75" hidden="false" customHeight="false" outlineLevel="0" collapsed="false">
      <c r="A2285" s="6" t="n">
        <v>43030.2301273148</v>
      </c>
      <c r="B2285" s="7" t="str">
        <f aca="false">HYPERLINK("https://twitter.com/dethdeth08","@dethdeth08")</f>
        <v>@dethdeth08</v>
      </c>
      <c r="C2285" s="8" t="s">
        <v>5859</v>
      </c>
      <c r="D2285" s="8" t="s">
        <v>5860</v>
      </c>
      <c r="E2285" s="9" t="str">
        <f aca="false">HYPERLINK("https://twitter.com/dethdeth08/status/922077926203494400","922077926203494400")</f>
        <v>922077926203494400</v>
      </c>
      <c r="F2285" s="10" t="s">
        <v>110</v>
      </c>
      <c r="G2285" s="10" t="n">
        <v>29</v>
      </c>
      <c r="H2285" s="10" t="n">
        <v>76</v>
      </c>
      <c r="I2285" s="10" t="n">
        <v>0</v>
      </c>
      <c r="J2285" s="10" t="n">
        <v>0</v>
      </c>
      <c r="K2285" s="10" t="s">
        <v>20</v>
      </c>
      <c r="L2285" s="11" t="n">
        <v>42241.789849537</v>
      </c>
      <c r="M2285" s="12"/>
      <c r="N2285" s="12"/>
      <c r="O2285" s="9" t="str">
        <f aca="false">HYPERLINK("https://pbs.twimg.com/profile_images/722952775504531456/24wYCCUu_normal.jpg","View")</f>
        <v>View</v>
      </c>
      <c r="P2285" s="10"/>
    </row>
    <row r="2286" customFormat="false" ht="15.75" hidden="false" customHeight="false" outlineLevel="0" collapsed="false">
      <c r="A2286" s="6" t="n">
        <v>43030.2301967593</v>
      </c>
      <c r="B2286" s="7" t="str">
        <f aca="false">HYPERLINK("https://twitter.com/booboodip","@booboodip")</f>
        <v>@booboodip</v>
      </c>
      <c r="C2286" s="8" t="s">
        <v>5861</v>
      </c>
      <c r="D2286" s="8" t="s">
        <v>4984</v>
      </c>
      <c r="E2286" s="9" t="str">
        <f aca="false">HYPERLINK("https://twitter.com/booboodip/status/922077950526201856","922077950526201856")</f>
        <v>922077950526201856</v>
      </c>
      <c r="F2286" s="10" t="s">
        <v>98</v>
      </c>
      <c r="G2286" s="10" t="n">
        <v>386</v>
      </c>
      <c r="H2286" s="10" t="n">
        <v>180</v>
      </c>
      <c r="I2286" s="10" t="n">
        <v>187</v>
      </c>
      <c r="J2286" s="10" t="n">
        <v>0</v>
      </c>
      <c r="K2286" s="10" t="s">
        <v>20</v>
      </c>
      <c r="L2286" s="11" t="n">
        <v>42561.2428819445</v>
      </c>
      <c r="M2286" s="12"/>
      <c r="N2286" s="12" t="s">
        <v>5862</v>
      </c>
      <c r="O2286" s="9" t="str">
        <f aca="false">HYPERLINK("https://pbs.twimg.com/profile_images/752131980603498496/57Ap9BGt_normal.jpg","View")</f>
        <v>View</v>
      </c>
      <c r="P2286" s="10"/>
    </row>
    <row r="2287" customFormat="false" ht="15.75" hidden="false" customHeight="false" outlineLevel="0" collapsed="false">
      <c r="A2287" s="6" t="n">
        <v>43030.2302199074</v>
      </c>
      <c r="B2287" s="7" t="str">
        <f aca="false">HYPERLINK("https://twitter.com/BNTS2017","@BNTS2017")</f>
        <v>@BNTS2017</v>
      </c>
      <c r="C2287" s="8" t="s">
        <v>5863</v>
      </c>
      <c r="D2287" s="8" t="s">
        <v>5864</v>
      </c>
      <c r="E2287" s="9" t="str">
        <f aca="false">HYPERLINK("https://twitter.com/BNTS2017/status/922077960085131264","922077960085131264")</f>
        <v>922077960085131264</v>
      </c>
      <c r="F2287" s="10" t="s">
        <v>110</v>
      </c>
      <c r="G2287" s="10" t="n">
        <v>70</v>
      </c>
      <c r="H2287" s="10" t="n">
        <v>551</v>
      </c>
      <c r="I2287" s="10" t="n">
        <v>0</v>
      </c>
      <c r="J2287" s="10" t="n">
        <v>0</v>
      </c>
      <c r="K2287" s="10" t="s">
        <v>20</v>
      </c>
      <c r="L2287" s="11" t="n">
        <v>42907.6985069445</v>
      </c>
      <c r="M2287" s="12"/>
      <c r="N2287" s="12"/>
      <c r="O2287" s="9" t="str">
        <f aca="false">HYPERLINK("https://abs.twimg.com/sticky/default_profile_images/default_profile_normal.png","View")</f>
        <v>View</v>
      </c>
      <c r="P2287" s="10"/>
    </row>
    <row r="2288" customFormat="false" ht="15.75" hidden="false" customHeight="false" outlineLevel="0" collapsed="false">
      <c r="A2288" s="6" t="n">
        <v>43030.2302199074</v>
      </c>
      <c r="B2288" s="7" t="str">
        <f aca="false">HYPERLINK("https://twitter.com/Social_Media_d1","@Social_Media_d1")</f>
        <v>@Social_Media_d1</v>
      </c>
      <c r="C2288" s="8" t="s">
        <v>306</v>
      </c>
      <c r="D2288" s="8" t="s">
        <v>5865</v>
      </c>
      <c r="E2288" s="9" t="str">
        <f aca="false">HYPERLINK("https://twitter.com/Social_Media_d1/status/922077960475160576","922077960475160576")</f>
        <v>922077960475160576</v>
      </c>
      <c r="F2288" s="10" t="s">
        <v>110</v>
      </c>
      <c r="G2288" s="10" t="n">
        <v>42447</v>
      </c>
      <c r="H2288" s="10" t="n">
        <v>37735</v>
      </c>
      <c r="I2288" s="10" t="n">
        <v>0</v>
      </c>
      <c r="J2288" s="10" t="n">
        <v>0</v>
      </c>
      <c r="K2288" s="10" t="s">
        <v>20</v>
      </c>
      <c r="L2288" s="11" t="n">
        <v>42208.657662037</v>
      </c>
      <c r="M2288" s="12"/>
      <c r="N2288" s="12" t="s">
        <v>407</v>
      </c>
      <c r="O2288" s="9" t="str">
        <f aca="false">HYPERLINK("https://pbs.twimg.com/profile_images/862605989236756480/2nrQOgz8_normal.jpg","View")</f>
        <v>View</v>
      </c>
      <c r="P2288" s="10"/>
    </row>
    <row r="2289" customFormat="false" ht="15.75" hidden="false" customHeight="false" outlineLevel="0" collapsed="false">
      <c r="A2289" s="6" t="n">
        <v>43030.2302314815</v>
      </c>
      <c r="B2289" s="7" t="str">
        <f aca="false">HYPERLINK("https://twitter.com/PMunozLorite","@PMunozLorite")</f>
        <v>@PMunozLorite</v>
      </c>
      <c r="C2289" s="8" t="s">
        <v>351</v>
      </c>
      <c r="D2289" s="8" t="s">
        <v>5866</v>
      </c>
      <c r="E2289" s="9" t="str">
        <f aca="false">HYPERLINK("https://twitter.com/PMunozLorite/status/922077963872624640","922077963872624640")</f>
        <v>922077963872624640</v>
      </c>
      <c r="F2289" s="10" t="s">
        <v>110</v>
      </c>
      <c r="G2289" s="10" t="n">
        <v>2678</v>
      </c>
      <c r="H2289" s="10" t="n">
        <v>4946</v>
      </c>
      <c r="I2289" s="10" t="n">
        <v>0</v>
      </c>
      <c r="J2289" s="10" t="n">
        <v>0</v>
      </c>
      <c r="K2289" s="10" t="s">
        <v>20</v>
      </c>
      <c r="L2289" s="11" t="n">
        <v>39769.5892939815</v>
      </c>
      <c r="M2289" s="12" t="s">
        <v>353</v>
      </c>
      <c r="N2289" s="12" t="s">
        <v>354</v>
      </c>
      <c r="O2289" s="9" t="str">
        <f aca="false">HYPERLINK("https://pbs.twimg.com/profile_images/574247662901403648/LzeOfYmt_normal.jpeg","View")</f>
        <v>View</v>
      </c>
      <c r="P2289" s="10"/>
    </row>
    <row r="2290" customFormat="false" ht="15.75" hidden="false" customHeight="false" outlineLevel="0" collapsed="false">
      <c r="A2290" s="6" t="n">
        <v>43030.2304513889</v>
      </c>
      <c r="B2290" s="7" t="str">
        <f aca="false">HYPERLINK("https://twitter.com/Worldnews_Media","@Worldnews_Media")</f>
        <v>@Worldnews_Media</v>
      </c>
      <c r="C2290" s="8" t="s">
        <v>2893</v>
      </c>
      <c r="D2290" s="8" t="s">
        <v>5867</v>
      </c>
      <c r="E2290" s="9" t="str">
        <f aca="false">HYPERLINK("https://twitter.com/Worldnews_Media/status/922078044860362754","922078044860362754")</f>
        <v>922078044860362754</v>
      </c>
      <c r="F2290" s="10" t="s">
        <v>110</v>
      </c>
      <c r="G2290" s="10" t="n">
        <v>668</v>
      </c>
      <c r="H2290" s="10" t="n">
        <v>304</v>
      </c>
      <c r="I2290" s="10" t="n">
        <v>0</v>
      </c>
      <c r="J2290" s="10" t="n">
        <v>0</v>
      </c>
      <c r="K2290" s="10" t="s">
        <v>20</v>
      </c>
      <c r="L2290" s="11" t="n">
        <v>41604.4159375</v>
      </c>
      <c r="M2290" s="12" t="s">
        <v>2102</v>
      </c>
      <c r="N2290" s="12" t="s">
        <v>2895</v>
      </c>
      <c r="O2290" s="9" t="str">
        <f aca="false">HYPERLINK("https://pbs.twimg.com/profile_images/561618507708641280/GDz3qXPE_normal.png","View")</f>
        <v>View</v>
      </c>
      <c r="P2290" s="10"/>
    </row>
    <row r="2291" customFormat="false" ht="15.75" hidden="false" customHeight="false" outlineLevel="0" collapsed="false">
      <c r="A2291" s="6" t="n">
        <v>43030.230474537</v>
      </c>
      <c r="B2291" s="7" t="str">
        <f aca="false">HYPERLINK("https://twitter.com/SaLeehMuhammed1","@SaLeehMuhammed1")</f>
        <v>@SaLeehMuhammed1</v>
      </c>
      <c r="C2291" s="8" t="s">
        <v>5868</v>
      </c>
      <c r="D2291" s="8" t="s">
        <v>4124</v>
      </c>
      <c r="E2291" s="9" t="str">
        <f aca="false">HYPERLINK("https://twitter.com/SaLeehMuhammed1/status/922078053160931329","922078053160931329")</f>
        <v>922078053160931329</v>
      </c>
      <c r="F2291" s="10" t="s">
        <v>25</v>
      </c>
      <c r="G2291" s="10" t="n">
        <v>4654</v>
      </c>
      <c r="H2291" s="10" t="n">
        <v>609</v>
      </c>
      <c r="I2291" s="10" t="n">
        <v>111</v>
      </c>
      <c r="J2291" s="10" t="n">
        <v>0</v>
      </c>
      <c r="K2291" s="10" t="s">
        <v>20</v>
      </c>
      <c r="L2291" s="11" t="n">
        <v>42429.3494907407</v>
      </c>
      <c r="M2291" s="12" t="s">
        <v>5869</v>
      </c>
      <c r="N2291" s="12" t="s">
        <v>5870</v>
      </c>
      <c r="O2291" s="9" t="str">
        <f aca="false">HYPERLINK("https://pbs.twimg.com/profile_images/923876969481232384/8pbZAenR_normal.jpg","View")</f>
        <v>View</v>
      </c>
      <c r="P2291" s="10"/>
    </row>
    <row r="2292" customFormat="false" ht="15.75" hidden="false" customHeight="false" outlineLevel="0" collapsed="false">
      <c r="A2292" s="6" t="n">
        <v>43030.2305092593</v>
      </c>
      <c r="B2292" s="7" t="str">
        <f aca="false">HYPERLINK("https://twitter.com/TODAYS_TURKEY","@TODAYS_TURKEY")</f>
        <v>@TODAYS_TURKEY</v>
      </c>
      <c r="C2292" s="8" t="s">
        <v>5871</v>
      </c>
      <c r="D2292" s="8" t="s">
        <v>5846</v>
      </c>
      <c r="E2292" s="9" t="str">
        <f aca="false">HYPERLINK("https://twitter.com/TODAYS_TURKEY/status/922078064355479558","922078064355479558")</f>
        <v>922078064355479558</v>
      </c>
      <c r="F2292" s="10" t="s">
        <v>25</v>
      </c>
      <c r="G2292" s="10" t="n">
        <v>4859</v>
      </c>
      <c r="H2292" s="10" t="n">
        <v>691</v>
      </c>
      <c r="I2292" s="10" t="n">
        <v>16</v>
      </c>
      <c r="J2292" s="10" t="n">
        <v>0</v>
      </c>
      <c r="K2292" s="10" t="s">
        <v>20</v>
      </c>
      <c r="L2292" s="11" t="n">
        <v>41700.7271990741</v>
      </c>
      <c r="M2292" s="12" t="s">
        <v>312</v>
      </c>
      <c r="N2292" s="12" t="s">
        <v>5872</v>
      </c>
      <c r="O2292" s="9" t="str">
        <f aca="false">HYPERLINK("https://pbs.twimg.com/profile_images/776612996651053056/HR7si8sd_normal.jpg","View")</f>
        <v>View</v>
      </c>
      <c r="P2292" s="10"/>
    </row>
    <row r="2293" customFormat="false" ht="15.75" hidden="false" customHeight="false" outlineLevel="0" collapsed="false">
      <c r="A2293" s="6" t="n">
        <v>43030.2305671296</v>
      </c>
      <c r="B2293" s="7" t="str">
        <f aca="false">HYPERLINK("https://twitter.com/maruko54","@maruko54")</f>
        <v>@maruko54</v>
      </c>
      <c r="C2293" s="8" t="s">
        <v>5873</v>
      </c>
      <c r="D2293" s="8" t="s">
        <v>5874</v>
      </c>
      <c r="E2293" s="9" t="str">
        <f aca="false">HYPERLINK("https://twitter.com/maruko54/status/922078087054897152","922078087054897152")</f>
        <v>922078087054897152</v>
      </c>
      <c r="F2293" s="10" t="s">
        <v>25</v>
      </c>
      <c r="G2293" s="10" t="n">
        <v>101</v>
      </c>
      <c r="H2293" s="10" t="n">
        <v>311</v>
      </c>
      <c r="I2293" s="10" t="n">
        <v>0</v>
      </c>
      <c r="J2293" s="10" t="n">
        <v>0</v>
      </c>
      <c r="K2293" s="10" t="s">
        <v>20</v>
      </c>
      <c r="L2293" s="11" t="n">
        <v>39752.6440509259</v>
      </c>
      <c r="M2293" s="12" t="s">
        <v>574</v>
      </c>
      <c r="N2293" s="12" t="s">
        <v>5875</v>
      </c>
      <c r="O2293" s="9" t="str">
        <f aca="false">HYPERLINK("https://pbs.twimg.com/profile_images/2211196385/icon1204020753692243638004040_normal.jpg","View")</f>
        <v>View</v>
      </c>
      <c r="P2293" s="10"/>
    </row>
    <row r="2294" customFormat="false" ht="15.75" hidden="false" customHeight="false" outlineLevel="0" collapsed="false">
      <c r="A2294" s="6" t="n">
        <v>43030.2306597222</v>
      </c>
      <c r="B2294" s="7" t="str">
        <f aca="false">HYPERLINK("https://twitter.com/arrobin0077","@arrobin0077")</f>
        <v>@arrobin0077</v>
      </c>
      <c r="C2294" s="8" t="s">
        <v>631</v>
      </c>
      <c r="D2294" s="8" t="s">
        <v>5876</v>
      </c>
      <c r="E2294" s="9" t="str">
        <f aca="false">HYPERLINK("https://twitter.com/arrobin0077/status/922078118432604160","922078118432604160")</f>
        <v>922078118432604160</v>
      </c>
      <c r="F2294" s="10" t="s">
        <v>60</v>
      </c>
      <c r="G2294" s="10" t="n">
        <v>7479</v>
      </c>
      <c r="H2294" s="10" t="n">
        <v>7442</v>
      </c>
      <c r="I2294" s="10" t="n">
        <v>0</v>
      </c>
      <c r="J2294" s="10" t="n">
        <v>0</v>
      </c>
      <c r="K2294" s="10" t="s">
        <v>20</v>
      </c>
      <c r="L2294" s="11" t="n">
        <v>42218.4780671296</v>
      </c>
      <c r="M2294" s="12" t="s">
        <v>230</v>
      </c>
      <c r="N2294" s="12" t="s">
        <v>633</v>
      </c>
      <c r="O2294" s="9" t="str">
        <f aca="false">HYPERLINK("https://pbs.twimg.com/profile_images/627909948698050560/Lz1QBK8N_normal.jpg","View")</f>
        <v>View</v>
      </c>
      <c r="P2294" s="10"/>
    </row>
    <row r="2295" customFormat="false" ht="15.75" hidden="false" customHeight="false" outlineLevel="0" collapsed="false">
      <c r="A2295" s="6" t="n">
        <v>43030.2308680556</v>
      </c>
      <c r="B2295" s="7" t="str">
        <f aca="false">HYPERLINK("https://twitter.com/kimeshchudasma","@kimeshchudasma")</f>
        <v>@kimeshchudasma</v>
      </c>
      <c r="C2295" s="8" t="s">
        <v>5877</v>
      </c>
      <c r="D2295" s="8" t="s">
        <v>4120</v>
      </c>
      <c r="E2295" s="9" t="str">
        <f aca="false">HYPERLINK("https://twitter.com/kimeshchudasma/status/922078192088768512","922078192088768512")</f>
        <v>922078192088768512</v>
      </c>
      <c r="F2295" s="10" t="s">
        <v>25</v>
      </c>
      <c r="G2295" s="10" t="n">
        <v>349</v>
      </c>
      <c r="H2295" s="10" t="n">
        <v>2022</v>
      </c>
      <c r="I2295" s="10" t="n">
        <v>5</v>
      </c>
      <c r="J2295" s="10" t="n">
        <v>0</v>
      </c>
      <c r="K2295" s="10" t="s">
        <v>20</v>
      </c>
      <c r="L2295" s="11" t="n">
        <v>42788.2253240741</v>
      </c>
      <c r="M2295" s="12" t="s">
        <v>1877</v>
      </c>
      <c r="N2295" s="12" t="s">
        <v>5878</v>
      </c>
      <c r="O2295" s="9" t="str">
        <f aca="false">HYPERLINK("https://pbs.twimg.com/profile_images/858706687758413824/rtBtXZfv_normal.jpg","View")</f>
        <v>View</v>
      </c>
      <c r="P2295" s="10"/>
    </row>
    <row r="2296" customFormat="false" ht="15.75" hidden="false" customHeight="false" outlineLevel="0" collapsed="false">
      <c r="A2296" s="6" t="n">
        <v>43030.2309143519</v>
      </c>
      <c r="B2296" s="7" t="str">
        <f aca="false">HYPERLINK("https://twitter.com/watchlatestnews","@watchlatestnews")</f>
        <v>@watchlatestnews</v>
      </c>
      <c r="C2296" s="8" t="s">
        <v>5879</v>
      </c>
      <c r="D2296" s="8" t="s">
        <v>5880</v>
      </c>
      <c r="E2296" s="9" t="str">
        <f aca="false">HYPERLINK("https://twitter.com/watchlatestnews/status/922078209587458048","922078209587458048")</f>
        <v>922078209587458048</v>
      </c>
      <c r="F2296" s="10" t="s">
        <v>5881</v>
      </c>
      <c r="G2296" s="10" t="n">
        <v>71</v>
      </c>
      <c r="H2296" s="10" t="n">
        <v>0</v>
      </c>
      <c r="I2296" s="10" t="n">
        <v>0</v>
      </c>
      <c r="J2296" s="10" t="n">
        <v>0</v>
      </c>
      <c r="K2296" s="10" t="s">
        <v>20</v>
      </c>
      <c r="L2296" s="11" t="n">
        <v>41836.0567476852</v>
      </c>
      <c r="M2296" s="12"/>
      <c r="N2296" s="12"/>
      <c r="O2296" s="9" t="str">
        <f aca="false">HYPERLINK("https://abs.twimg.com/sticky/default_profile_images/default_profile_normal.png","View")</f>
        <v>View</v>
      </c>
      <c r="P2296" s="10"/>
    </row>
    <row r="2297" customFormat="false" ht="15.75" hidden="false" customHeight="false" outlineLevel="0" collapsed="false">
      <c r="A2297" s="6" t="n">
        <v>43030.2309606481</v>
      </c>
      <c r="B2297" s="7" t="str">
        <f aca="false">HYPERLINK("https://twitter.com/vice_elisabete","@vice_elisabete")</f>
        <v>@vice_elisabete</v>
      </c>
      <c r="C2297" s="8" t="s">
        <v>4365</v>
      </c>
      <c r="D2297" s="8" t="s">
        <v>5846</v>
      </c>
      <c r="E2297" s="9" t="str">
        <f aca="false">HYPERLINK("https://twitter.com/vice_elisabete/status/922078226536697856","922078226536697856")</f>
        <v>922078226536697856</v>
      </c>
      <c r="F2297" s="10" t="s">
        <v>25</v>
      </c>
      <c r="G2297" s="10" t="n">
        <v>695</v>
      </c>
      <c r="H2297" s="10" t="n">
        <v>955</v>
      </c>
      <c r="I2297" s="10" t="n">
        <v>16</v>
      </c>
      <c r="J2297" s="10" t="n">
        <v>0</v>
      </c>
      <c r="K2297" s="10" t="s">
        <v>20</v>
      </c>
      <c r="L2297" s="11" t="n">
        <v>42181.746724537</v>
      </c>
      <c r="M2297" s="12" t="s">
        <v>4366</v>
      </c>
      <c r="N2297" s="12" t="s">
        <v>4367</v>
      </c>
      <c r="O2297" s="9" t="str">
        <f aca="false">HYPERLINK("https://pbs.twimg.com/profile_images/912729572218720256/ucFkhg_N_normal.jpg","View")</f>
        <v>View</v>
      </c>
      <c r="P2297" s="10"/>
    </row>
    <row r="2298" customFormat="false" ht="15.75" hidden="false" customHeight="false" outlineLevel="0" collapsed="false">
      <c r="A2298" s="6" t="n">
        <v>43030.231087963</v>
      </c>
      <c r="B2298" s="7" t="str">
        <f aca="false">HYPERLINK("https://twitter.com/karrama12","@karrama12")</f>
        <v>@karrama12</v>
      </c>
      <c r="C2298" s="8" t="s">
        <v>5882</v>
      </c>
      <c r="D2298" s="8" t="s">
        <v>4285</v>
      </c>
      <c r="E2298" s="9" t="str">
        <f aca="false">HYPERLINK("https://twitter.com/karrama12/status/922078272594239489","922078272594239489")</f>
        <v>922078272594239489</v>
      </c>
      <c r="F2298" s="10" t="s">
        <v>25</v>
      </c>
      <c r="G2298" s="10" t="n">
        <v>286</v>
      </c>
      <c r="H2298" s="10" t="n">
        <v>874</v>
      </c>
      <c r="I2298" s="10" t="n">
        <v>5</v>
      </c>
      <c r="J2298" s="10" t="n">
        <v>0</v>
      </c>
      <c r="K2298" s="10" t="s">
        <v>20</v>
      </c>
      <c r="L2298" s="11" t="n">
        <v>40817.2404050926</v>
      </c>
      <c r="M2298" s="12" t="s">
        <v>5883</v>
      </c>
      <c r="N2298" s="12" t="s">
        <v>5884</v>
      </c>
      <c r="O2298" s="9" t="str">
        <f aca="false">HYPERLINK("https://pbs.twimg.com/profile_images/791715963183824897/AdvWgk0C_normal.jpg","View")</f>
        <v>View</v>
      </c>
      <c r="P2298" s="10"/>
    </row>
    <row r="2299" customFormat="false" ht="15.75" hidden="false" customHeight="false" outlineLevel="0" collapsed="false">
      <c r="A2299" s="6" t="n">
        <v>43030.2311805556</v>
      </c>
      <c r="B2299" s="7" t="str">
        <f aca="false">HYPERLINK("https://twitter.com/Real_tmv","@Real_tmv")</f>
        <v>@Real_tmv</v>
      </c>
      <c r="C2299" s="14" t="s">
        <v>5885</v>
      </c>
      <c r="D2299" s="8" t="s">
        <v>4124</v>
      </c>
      <c r="E2299" s="9" t="str">
        <f aca="false">HYPERLINK("https://twitter.com/Real_tmv/status/922078307595649024","922078307595649024")</f>
        <v>922078307595649024</v>
      </c>
      <c r="F2299" s="10" t="s">
        <v>25</v>
      </c>
      <c r="G2299" s="10" t="n">
        <v>140</v>
      </c>
      <c r="H2299" s="10" t="n">
        <v>258</v>
      </c>
      <c r="I2299" s="10" t="n">
        <v>111</v>
      </c>
      <c r="J2299" s="10" t="n">
        <v>0</v>
      </c>
      <c r="K2299" s="10" t="s">
        <v>20</v>
      </c>
      <c r="L2299" s="11" t="n">
        <v>41893.3829976852</v>
      </c>
      <c r="M2299" s="12" t="s">
        <v>5886</v>
      </c>
      <c r="N2299" s="12" t="s">
        <v>5887</v>
      </c>
      <c r="O2299" s="9" t="str">
        <f aca="false">HYPERLINK("https://pbs.twimg.com/profile_images/922404975296225280/3LyRH6DM_normal.jpg","View")</f>
        <v>View</v>
      </c>
      <c r="P2299" s="10"/>
    </row>
    <row r="2300" customFormat="false" ht="15.75" hidden="false" customHeight="false" outlineLevel="0" collapsed="false">
      <c r="A2300" s="6" t="n">
        <v>43030.2313541667</v>
      </c>
      <c r="B2300" s="7" t="str">
        <f aca="false">HYPERLINK("https://twitter.com/invent_therapy","@invent_therapy")</f>
        <v>@invent_therapy</v>
      </c>
      <c r="C2300" s="8" t="s">
        <v>2808</v>
      </c>
      <c r="D2300" s="8" t="s">
        <v>5888</v>
      </c>
      <c r="E2300" s="9" t="str">
        <f aca="false">HYPERLINK("https://twitter.com/invent_therapy/status/922078372020109315","922078372020109315")</f>
        <v>922078372020109315</v>
      </c>
      <c r="F2300" s="9" t="s">
        <v>1147</v>
      </c>
      <c r="G2300" s="10" t="n">
        <v>62012</v>
      </c>
      <c r="H2300" s="10" t="n">
        <v>1943</v>
      </c>
      <c r="I2300" s="10" t="n">
        <v>0</v>
      </c>
      <c r="J2300" s="10" t="n">
        <v>0</v>
      </c>
      <c r="K2300" s="10" t="s">
        <v>20</v>
      </c>
      <c r="L2300" s="11" t="n">
        <v>39878.7376157407</v>
      </c>
      <c r="M2300" s="12" t="s">
        <v>752</v>
      </c>
      <c r="N2300" s="12" t="s">
        <v>2810</v>
      </c>
      <c r="O2300" s="9" t="str">
        <f aca="false">HYPERLINK("https://pbs.twimg.com/profile_images/738788282771771393/smAfi3r__normal.jpg","View")</f>
        <v>View</v>
      </c>
      <c r="P2300" s="10"/>
    </row>
    <row r="2301" customFormat="false" ht="15.75" hidden="false" customHeight="false" outlineLevel="0" collapsed="false">
      <c r="A2301" s="6" t="n">
        <v>43030.2313773148</v>
      </c>
      <c r="B2301" s="7" t="str">
        <f aca="false">HYPERLINK("https://twitter.com/lepak4ever","@lepak4ever")</f>
        <v>@lepak4ever</v>
      </c>
      <c r="C2301" s="8" t="s">
        <v>5889</v>
      </c>
      <c r="D2301" s="8" t="s">
        <v>3631</v>
      </c>
      <c r="E2301" s="9" t="str">
        <f aca="false">HYPERLINK("https://twitter.com/lepak4ever/status/922078376906518531","922078376906518531")</f>
        <v>922078376906518531</v>
      </c>
      <c r="F2301" s="10" t="s">
        <v>25</v>
      </c>
      <c r="G2301" s="10" t="n">
        <v>169</v>
      </c>
      <c r="H2301" s="10" t="n">
        <v>58</v>
      </c>
      <c r="I2301" s="10" t="n">
        <v>16</v>
      </c>
      <c r="J2301" s="10" t="n">
        <v>0</v>
      </c>
      <c r="K2301" s="10" t="s">
        <v>20</v>
      </c>
      <c r="L2301" s="11" t="n">
        <v>41825.284537037</v>
      </c>
      <c r="M2301" s="12" t="s">
        <v>5890</v>
      </c>
      <c r="N2301" s="12" t="s">
        <v>5891</v>
      </c>
      <c r="O2301" s="9" t="str">
        <f aca="false">HYPERLINK("https://pbs.twimg.com/profile_images/674288873006981120/Ca2ZrTOi_normal.jpg","View")</f>
        <v>View</v>
      </c>
      <c r="P2301" s="10"/>
    </row>
    <row r="2302" customFormat="false" ht="15.75" hidden="false" customHeight="false" outlineLevel="0" collapsed="false">
      <c r="A2302" s="6" t="n">
        <v>43030.231400463</v>
      </c>
      <c r="B2302" s="7" t="str">
        <f aca="false">HYPERLINK("https://twitter.com/WBNews","@WBNews")</f>
        <v>@WBNews</v>
      </c>
      <c r="C2302" s="8" t="s">
        <v>5892</v>
      </c>
      <c r="D2302" s="8" t="s">
        <v>5893</v>
      </c>
      <c r="E2302" s="9" t="str">
        <f aca="false">HYPERLINK("https://twitter.com/WBNews/status/922078385253244928","922078385253244928")</f>
        <v>922078385253244928</v>
      </c>
      <c r="F2302" s="9" t="s">
        <v>1147</v>
      </c>
      <c r="G2302" s="10" t="n">
        <v>1140</v>
      </c>
      <c r="H2302" s="10" t="n">
        <v>61</v>
      </c>
      <c r="I2302" s="10" t="n">
        <v>0</v>
      </c>
      <c r="J2302" s="10" t="n">
        <v>0</v>
      </c>
      <c r="K2302" s="10" t="s">
        <v>20</v>
      </c>
      <c r="L2302" s="11" t="n">
        <v>41185.1234027778</v>
      </c>
      <c r="M2302" s="12"/>
      <c r="N2302" s="12" t="s">
        <v>5894</v>
      </c>
      <c r="O2302" s="9" t="str">
        <f aca="false">HYPERLINK("https://pbs.twimg.com/profile_images/2715924581/e982bd6ec66794e3f4d12111abcf582a_normal.jpeg","View")</f>
        <v>View</v>
      </c>
      <c r="P2302" s="10"/>
    </row>
    <row r="2303" customFormat="false" ht="15.75" hidden="false" customHeight="false" outlineLevel="0" collapsed="false">
      <c r="A2303" s="6" t="n">
        <v>43030.2315509259</v>
      </c>
      <c r="B2303" s="7" t="str">
        <f aca="false">HYPERLINK("https://twitter.com/InsdataInter","@InsdataInter")</f>
        <v>@InsdataInter</v>
      </c>
      <c r="C2303" s="8" t="s">
        <v>1860</v>
      </c>
      <c r="D2303" s="8" t="s">
        <v>3007</v>
      </c>
      <c r="E2303" s="9" t="str">
        <f aca="false">HYPERLINK("https://twitter.com/InsdataInter/status/922078439913541632","922078439913541632")</f>
        <v>922078439913541632</v>
      </c>
      <c r="F2303" s="10" t="s">
        <v>51</v>
      </c>
      <c r="G2303" s="10" t="n">
        <v>1729</v>
      </c>
      <c r="H2303" s="10" t="n">
        <v>2947</v>
      </c>
      <c r="I2303" s="10" t="n">
        <v>12</v>
      </c>
      <c r="J2303" s="10" t="n">
        <v>0</v>
      </c>
      <c r="K2303" s="10" t="s">
        <v>20</v>
      </c>
      <c r="L2303" s="11" t="n">
        <v>41533.3899768519</v>
      </c>
      <c r="M2303" s="12" t="s">
        <v>1861</v>
      </c>
      <c r="N2303" s="12"/>
      <c r="O2303" s="9" t="str">
        <f aca="false">HYPERLINK("https://pbs.twimg.com/profile_images/378800000501893520/b4582cd3ce52a7c47133d606b639176e_normal.jpeg","View")</f>
        <v>View</v>
      </c>
      <c r="P2303" s="10"/>
    </row>
    <row r="2304" customFormat="false" ht="15.75" hidden="false" customHeight="false" outlineLevel="0" collapsed="false">
      <c r="A2304" s="6" t="n">
        <v>43030.2319675926</v>
      </c>
      <c r="B2304" s="7" t="str">
        <f aca="false">HYPERLINK("https://twitter.com/john_antos","@john_antos")</f>
        <v>@john_antos</v>
      </c>
      <c r="C2304" s="8" t="s">
        <v>5895</v>
      </c>
      <c r="D2304" s="8" t="s">
        <v>5896</v>
      </c>
      <c r="E2304" s="9" t="str">
        <f aca="false">HYPERLINK("https://twitter.com/john_antos/status/922078590761549825","922078590761549825")</f>
        <v>922078590761549825</v>
      </c>
      <c r="F2304" s="10" t="s">
        <v>25</v>
      </c>
      <c r="G2304" s="10" t="n">
        <v>540</v>
      </c>
      <c r="H2304" s="10" t="n">
        <v>779</v>
      </c>
      <c r="I2304" s="10" t="n">
        <v>0</v>
      </c>
      <c r="J2304" s="10" t="n">
        <v>0</v>
      </c>
      <c r="K2304" s="10" t="s">
        <v>20</v>
      </c>
      <c r="L2304" s="11" t="n">
        <v>41040.2639930556</v>
      </c>
      <c r="M2304" s="12" t="s">
        <v>5897</v>
      </c>
      <c r="N2304" s="12" t="s">
        <v>5898</v>
      </c>
      <c r="O2304" s="9" t="str">
        <f aca="false">HYPERLINK("https://pbs.twimg.com/profile_images/3542726354/51a4a44bed8c33d61b1ae572ef455758_normal.jpeg","View")</f>
        <v>View</v>
      </c>
      <c r="P2304" s="10"/>
    </row>
    <row r="2305" customFormat="false" ht="15.75" hidden="false" customHeight="false" outlineLevel="0" collapsed="false">
      <c r="A2305" s="6" t="n">
        <v>43030.2321643519</v>
      </c>
      <c r="B2305" s="7" t="str">
        <f aca="false">HYPERLINK("https://twitter.com/BlueBoodie","@BlueBoodie")</f>
        <v>@BlueBoodie</v>
      </c>
      <c r="C2305" s="8" t="s">
        <v>5899</v>
      </c>
      <c r="D2305" s="8" t="s">
        <v>5900</v>
      </c>
      <c r="E2305" s="9" t="str">
        <f aca="false">HYPERLINK("https://twitter.com/BlueBoodie/status/922078664963035137","922078664963035137")</f>
        <v>922078664963035137</v>
      </c>
      <c r="F2305" s="10" t="s">
        <v>39</v>
      </c>
      <c r="G2305" s="10" t="n">
        <v>126</v>
      </c>
      <c r="H2305" s="10" t="n">
        <v>197</v>
      </c>
      <c r="I2305" s="10" t="n">
        <v>0</v>
      </c>
      <c r="J2305" s="10" t="n">
        <v>0</v>
      </c>
      <c r="K2305" s="10" t="s">
        <v>20</v>
      </c>
      <c r="L2305" s="11" t="n">
        <v>42526.4556597222</v>
      </c>
      <c r="M2305" s="12"/>
      <c r="N2305" s="12" t="s">
        <v>5901</v>
      </c>
      <c r="O2305" s="9" t="str">
        <f aca="false">HYPERLINK("https://pbs.twimg.com/profile_images/739516866972913664/L8BTuNZ1_normal.jpg","View")</f>
        <v>View</v>
      </c>
      <c r="P2305" s="10"/>
    </row>
    <row r="2306" customFormat="false" ht="15.75" hidden="false" customHeight="false" outlineLevel="0" collapsed="false">
      <c r="A2306" s="6" t="n">
        <v>43030.2322685185</v>
      </c>
      <c r="B2306" s="7" t="str">
        <f aca="false">HYPERLINK("https://twitter.com/sethia_b","@sethia_b")</f>
        <v>@sethia_b</v>
      </c>
      <c r="C2306" s="8" t="s">
        <v>5619</v>
      </c>
      <c r="D2306" s="8" t="s">
        <v>5902</v>
      </c>
      <c r="E2306" s="9" t="str">
        <f aca="false">HYPERLINK("https://twitter.com/sethia_b/status/922078701142999040","922078701142999040")</f>
        <v>922078701142999040</v>
      </c>
      <c r="F2306" s="10" t="s">
        <v>25</v>
      </c>
      <c r="G2306" s="10" t="n">
        <v>1294</v>
      </c>
      <c r="H2306" s="10" t="n">
        <v>926</v>
      </c>
      <c r="I2306" s="10" t="n">
        <v>1</v>
      </c>
      <c r="J2306" s="10" t="n">
        <v>0</v>
      </c>
      <c r="K2306" s="10" t="s">
        <v>20</v>
      </c>
      <c r="L2306" s="11" t="n">
        <v>42682.7908333333</v>
      </c>
      <c r="M2306" s="12"/>
      <c r="N2306" s="12" t="s">
        <v>5621</v>
      </c>
      <c r="O2306" s="9" t="str">
        <f aca="false">HYPERLINK("https://pbs.twimg.com/profile_images/885644809104375809/m38JdzKU_normal.jpg","View")</f>
        <v>View</v>
      </c>
      <c r="P2306" s="10"/>
    </row>
    <row r="2307" customFormat="false" ht="15.75" hidden="false" customHeight="false" outlineLevel="0" collapsed="false">
      <c r="A2307" s="6" t="n">
        <v>43030.2323032407</v>
      </c>
      <c r="B2307" s="7" t="str">
        <f aca="false">HYPERLINK("https://twitter.com/The_lnformer","@The_lnformer")</f>
        <v>@The_lnformer</v>
      </c>
      <c r="C2307" s="8" t="s">
        <v>5903</v>
      </c>
      <c r="D2307" s="8" t="s">
        <v>5904</v>
      </c>
      <c r="E2307" s="9" t="str">
        <f aca="false">HYPERLINK("https://twitter.com/The_lnformer/status/922078715265286144","922078715265286144")</f>
        <v>922078715265286144</v>
      </c>
      <c r="F2307" s="10" t="s">
        <v>5905</v>
      </c>
      <c r="G2307" s="10" t="n">
        <v>8286</v>
      </c>
      <c r="H2307" s="10" t="n">
        <v>304</v>
      </c>
      <c r="I2307" s="10" t="n">
        <v>0</v>
      </c>
      <c r="J2307" s="10" t="n">
        <v>0</v>
      </c>
      <c r="K2307" s="10" t="s">
        <v>20</v>
      </c>
      <c r="L2307" s="11" t="n">
        <v>40270.1094328704</v>
      </c>
      <c r="M2307" s="12" t="s">
        <v>723</v>
      </c>
      <c r="N2307" s="12" t="s">
        <v>5906</v>
      </c>
      <c r="O2307" s="9" t="str">
        <f aca="false">HYPERLINK("https://pbs.twimg.com/profile_images/828575439153221633/ilw074eD_normal.jpg","View")</f>
        <v>View</v>
      </c>
      <c r="P2307" s="10"/>
    </row>
    <row r="2308" customFormat="false" ht="15.75" hidden="false" customHeight="false" outlineLevel="0" collapsed="false">
      <c r="A2308" s="6" t="n">
        <v>43030.2323032407</v>
      </c>
      <c r="B2308" s="7" t="str">
        <f aca="false">HYPERLINK("https://twitter.com/booboodip","@booboodip")</f>
        <v>@booboodip</v>
      </c>
      <c r="C2308" s="8" t="s">
        <v>5861</v>
      </c>
      <c r="D2308" s="8" t="s">
        <v>4124</v>
      </c>
      <c r="E2308" s="9" t="str">
        <f aca="false">HYPERLINK("https://twitter.com/booboodip/status/922078715701469186","922078715701469186")</f>
        <v>922078715701469186</v>
      </c>
      <c r="F2308" s="10" t="s">
        <v>98</v>
      </c>
      <c r="G2308" s="10" t="n">
        <v>386</v>
      </c>
      <c r="H2308" s="10" t="n">
        <v>180</v>
      </c>
      <c r="I2308" s="10" t="n">
        <v>111</v>
      </c>
      <c r="J2308" s="10" t="n">
        <v>0</v>
      </c>
      <c r="K2308" s="10" t="s">
        <v>20</v>
      </c>
      <c r="L2308" s="11" t="n">
        <v>42561.2428819445</v>
      </c>
      <c r="M2308" s="12"/>
      <c r="N2308" s="12" t="s">
        <v>5862</v>
      </c>
      <c r="O2308" s="9" t="str">
        <f aca="false">HYPERLINK("https://pbs.twimg.com/profile_images/752131980603498496/57Ap9BGt_normal.jpg","View")</f>
        <v>View</v>
      </c>
      <c r="P2308" s="10"/>
    </row>
    <row r="2309" customFormat="false" ht="15.75" hidden="false" customHeight="false" outlineLevel="0" collapsed="false">
      <c r="A2309" s="6" t="n">
        <v>43030.232349537</v>
      </c>
      <c r="B2309" s="7" t="str">
        <f aca="false">HYPERLINK("https://twitter.com/mofmof_words","@mofmof_words")</f>
        <v>@mofmof_words</v>
      </c>
      <c r="C2309" s="8" t="s">
        <v>5907</v>
      </c>
      <c r="D2309" s="8" t="s">
        <v>4984</v>
      </c>
      <c r="E2309" s="9" t="str">
        <f aca="false">HYPERLINK("https://twitter.com/mofmof_words/status/922078730771578880","922078730771578880")</f>
        <v>922078730771578880</v>
      </c>
      <c r="F2309" s="10" t="s">
        <v>98</v>
      </c>
      <c r="G2309" s="10" t="n">
        <v>13</v>
      </c>
      <c r="H2309" s="10" t="n">
        <v>34</v>
      </c>
      <c r="I2309" s="10" t="n">
        <v>187</v>
      </c>
      <c r="J2309" s="10" t="n">
        <v>0</v>
      </c>
      <c r="K2309" s="10" t="s">
        <v>20</v>
      </c>
      <c r="L2309" s="11" t="n">
        <v>41849.3179282407</v>
      </c>
      <c r="M2309" s="12"/>
      <c r="N2309" s="13" t="s">
        <v>5908</v>
      </c>
      <c r="O2309" s="9" t="str">
        <f aca="false">HYPERLINK("https://pbs.twimg.com/profile_images/632433624025989120/mymy9sqS_normal.jpg","View")</f>
        <v>View</v>
      </c>
      <c r="P2309" s="10"/>
    </row>
    <row r="2310" customFormat="false" ht="15.75" hidden="false" customHeight="false" outlineLevel="0" collapsed="false">
      <c r="A2310" s="6" t="n">
        <v>43030.2323611111</v>
      </c>
      <c r="B2310" s="7" t="str">
        <f aca="false">HYPERLINK("https://twitter.com/Areksandora","@Areksandora")</f>
        <v>@Areksandora</v>
      </c>
      <c r="C2310" s="8" t="s">
        <v>5909</v>
      </c>
      <c r="D2310" s="8" t="s">
        <v>5910</v>
      </c>
      <c r="E2310" s="9" t="str">
        <f aca="false">HYPERLINK("https://twitter.com/Areksandora/status/922078736639516672","922078736639516672")</f>
        <v>922078736639516672</v>
      </c>
      <c r="F2310" s="10" t="s">
        <v>39</v>
      </c>
      <c r="G2310" s="10" t="n">
        <v>187</v>
      </c>
      <c r="H2310" s="10" t="n">
        <v>1170</v>
      </c>
      <c r="I2310" s="10" t="n">
        <v>0</v>
      </c>
      <c r="J2310" s="10" t="n">
        <v>0</v>
      </c>
      <c r="K2310" s="10" t="s">
        <v>20</v>
      </c>
      <c r="L2310" s="11" t="n">
        <v>42182.6094560185</v>
      </c>
      <c r="M2310" s="12" t="s">
        <v>5911</v>
      </c>
      <c r="N2310" s="12" t="s">
        <v>5912</v>
      </c>
      <c r="O2310" s="9" t="str">
        <f aca="false">HYPERLINK("https://pbs.twimg.com/profile_images/647491959603376128/aqSJYL9c_normal.jpg","View")</f>
        <v>View</v>
      </c>
      <c r="P2310" s="10"/>
    </row>
    <row r="2311" customFormat="false" ht="15.75" hidden="false" customHeight="false" outlineLevel="0" collapsed="false">
      <c r="A2311" s="6" t="n">
        <v>43030.232662037</v>
      </c>
      <c r="B2311" s="7" t="str">
        <f aca="false">HYPERLINK("https://twitter.com/booboodip","@booboodip")</f>
        <v>@booboodip</v>
      </c>
      <c r="C2311" s="8" t="s">
        <v>5861</v>
      </c>
      <c r="D2311" s="8" t="s">
        <v>3971</v>
      </c>
      <c r="E2311" s="9" t="str">
        <f aca="false">HYPERLINK("https://twitter.com/booboodip/status/922078846244995073","922078846244995073")</f>
        <v>922078846244995073</v>
      </c>
      <c r="F2311" s="10" t="s">
        <v>98</v>
      </c>
      <c r="G2311" s="10" t="n">
        <v>386</v>
      </c>
      <c r="H2311" s="10" t="n">
        <v>180</v>
      </c>
      <c r="I2311" s="10" t="n">
        <v>24</v>
      </c>
      <c r="J2311" s="10" t="n">
        <v>0</v>
      </c>
      <c r="K2311" s="10" t="s">
        <v>20</v>
      </c>
      <c r="L2311" s="11" t="n">
        <v>42561.2428819445</v>
      </c>
      <c r="M2311" s="12"/>
      <c r="N2311" s="12" t="s">
        <v>5862</v>
      </c>
      <c r="O2311" s="9" t="str">
        <f aca="false">HYPERLINK("https://pbs.twimg.com/profile_images/752131980603498496/57Ap9BGt_normal.jpg","View")</f>
        <v>View</v>
      </c>
      <c r="P2311" s="10"/>
    </row>
    <row r="2312" customFormat="false" ht="15.75" hidden="false" customHeight="false" outlineLevel="0" collapsed="false">
      <c r="A2312" s="6" t="n">
        <v>43030.2328125</v>
      </c>
      <c r="B2312" s="7" t="str">
        <f aca="false">HYPERLINK("https://twitter.com/pmlnusa","@pmlnusa")</f>
        <v>@pmlnusa</v>
      </c>
      <c r="C2312" s="8" t="s">
        <v>5913</v>
      </c>
      <c r="D2312" s="8" t="s">
        <v>5914</v>
      </c>
      <c r="E2312" s="9" t="str">
        <f aca="false">HYPERLINK("https://twitter.com/pmlnusa/status/922078896908046341","922078896908046341")</f>
        <v>922078896908046341</v>
      </c>
      <c r="F2312" s="10" t="s">
        <v>39</v>
      </c>
      <c r="G2312" s="10" t="n">
        <v>1068</v>
      </c>
      <c r="H2312" s="10" t="n">
        <v>2</v>
      </c>
      <c r="I2312" s="10" t="n">
        <v>0</v>
      </c>
      <c r="J2312" s="10" t="n">
        <v>0</v>
      </c>
      <c r="K2312" s="10" t="s">
        <v>20</v>
      </c>
      <c r="L2312" s="11" t="n">
        <v>40223.395787037</v>
      </c>
      <c r="M2312" s="12" t="s">
        <v>312</v>
      </c>
      <c r="N2312" s="12" t="s">
        <v>5915</v>
      </c>
      <c r="O2312" s="9" t="str">
        <f aca="false">HYPERLINK("https://pbs.twimg.com/profile_images/848535196865622016/Oo6ZUuEY_normal.jpg","View")</f>
        <v>View</v>
      </c>
      <c r="P2312" s="10"/>
    </row>
    <row r="2313" customFormat="false" ht="15.75" hidden="false" customHeight="false" outlineLevel="0" collapsed="false">
      <c r="A2313" s="6" t="n">
        <v>43030.2329976852</v>
      </c>
      <c r="B2313" s="7" t="str">
        <f aca="false">HYPERLINK("https://twitter.com/khuramwaqas","@khuramwaqas")</f>
        <v>@khuramwaqas</v>
      </c>
      <c r="C2313" s="8" t="s">
        <v>5916</v>
      </c>
      <c r="D2313" s="8" t="s">
        <v>4984</v>
      </c>
      <c r="E2313" s="9" t="str">
        <f aca="false">HYPERLINK("https://twitter.com/khuramwaqas/status/922078966269251585","922078966269251585")</f>
        <v>922078966269251585</v>
      </c>
      <c r="F2313" s="10" t="s">
        <v>25</v>
      </c>
      <c r="G2313" s="10" t="n">
        <v>402</v>
      </c>
      <c r="H2313" s="10" t="n">
        <v>1259</v>
      </c>
      <c r="I2313" s="10" t="n">
        <v>187</v>
      </c>
      <c r="J2313" s="10" t="n">
        <v>0</v>
      </c>
      <c r="K2313" s="10" t="s">
        <v>20</v>
      </c>
      <c r="L2313" s="11" t="n">
        <v>40390.298587963</v>
      </c>
      <c r="M2313" s="12" t="s">
        <v>516</v>
      </c>
      <c r="N2313" s="12" t="s">
        <v>5917</v>
      </c>
      <c r="O2313" s="9" t="str">
        <f aca="false">HYPERLINK("https://pbs.twimg.com/profile_images/916032003492995072/BYdFviGx_normal.jpg","View")</f>
        <v>View</v>
      </c>
      <c r="P2313" s="10"/>
    </row>
    <row r="2314" customFormat="false" ht="15.75" hidden="false" customHeight="false" outlineLevel="0" collapsed="false">
      <c r="A2314" s="6" t="n">
        <v>43030.2330324074</v>
      </c>
      <c r="B2314" s="7" t="str">
        <f aca="false">HYPERLINK("https://twitter.com/aw90aw","@aw90aw")</f>
        <v>@aw90aw</v>
      </c>
      <c r="C2314" s="8" t="s">
        <v>5918</v>
      </c>
      <c r="D2314" s="8" t="s">
        <v>5846</v>
      </c>
      <c r="E2314" s="9" t="str">
        <f aca="false">HYPERLINK("https://twitter.com/aw90aw/status/922078978352996352","922078978352996352")</f>
        <v>922078978352996352</v>
      </c>
      <c r="F2314" s="10" t="s">
        <v>98</v>
      </c>
      <c r="G2314" s="10" t="n">
        <v>132</v>
      </c>
      <c r="H2314" s="10" t="n">
        <v>312</v>
      </c>
      <c r="I2314" s="10" t="n">
        <v>16</v>
      </c>
      <c r="J2314" s="10" t="n">
        <v>0</v>
      </c>
      <c r="K2314" s="10" t="s">
        <v>20</v>
      </c>
      <c r="L2314" s="11" t="n">
        <v>40618.7544097222</v>
      </c>
      <c r="M2314" s="12"/>
      <c r="N2314" s="12"/>
      <c r="O2314" s="9" t="str">
        <f aca="false">HYPERLINK("https://pbs.twimg.com/profile_images/619837660954169344/TGtaoFZB_normal.jpg","View")</f>
        <v>View</v>
      </c>
      <c r="P2314" s="10"/>
    </row>
    <row r="2315" customFormat="false" ht="15.75" hidden="false" customHeight="false" outlineLevel="0" collapsed="false">
      <c r="A2315" s="6" t="n">
        <v>43030.2331365741</v>
      </c>
      <c r="B2315" s="7" t="str">
        <f aca="false">HYPERLINK("https://twitter.com/NetWorkWriter","@NetWorkWriter")</f>
        <v>@NetWorkWriter</v>
      </c>
      <c r="C2315" s="8" t="s">
        <v>5919</v>
      </c>
      <c r="D2315" s="8" t="s">
        <v>4124</v>
      </c>
      <c r="E2315" s="9" t="str">
        <f aca="false">HYPERLINK("https://twitter.com/NetWorkWriter/status/922079014436478979","922079014436478979")</f>
        <v>922079014436478979</v>
      </c>
      <c r="F2315" s="10" t="s">
        <v>177</v>
      </c>
      <c r="G2315" s="10" t="n">
        <v>151</v>
      </c>
      <c r="H2315" s="10" t="n">
        <v>1417</v>
      </c>
      <c r="I2315" s="10" t="n">
        <v>111</v>
      </c>
      <c r="J2315" s="10" t="n">
        <v>0</v>
      </c>
      <c r="K2315" s="10" t="s">
        <v>20</v>
      </c>
      <c r="L2315" s="11" t="n">
        <v>41995.3969212963</v>
      </c>
      <c r="M2315" s="12" t="s">
        <v>5920</v>
      </c>
      <c r="N2315" s="12"/>
      <c r="O2315" s="9" t="str">
        <f aca="false">HYPERLINK("https://abs.twimg.com/sticky/default_profile_images/default_profile_normal.png","View")</f>
        <v>View</v>
      </c>
      <c r="P2315" s="10"/>
    </row>
    <row r="2316" customFormat="false" ht="15.75" hidden="false" customHeight="false" outlineLevel="0" collapsed="false">
      <c r="A2316" s="6" t="n">
        <v>43030.2336226852</v>
      </c>
      <c r="B2316" s="7" t="str">
        <f aca="false">HYPERLINK("https://twitter.com/nobuhirohakojim","@nobuhirohakojim")</f>
        <v>@nobuhirohakojim</v>
      </c>
      <c r="C2316" s="8" t="s">
        <v>5921</v>
      </c>
      <c r="D2316" s="8" t="s">
        <v>3685</v>
      </c>
      <c r="E2316" s="9" t="str">
        <f aca="false">HYPERLINK("https://twitter.com/nobuhirohakojim/status/922079194149875712","922079194149875712")</f>
        <v>922079194149875712</v>
      </c>
      <c r="F2316" s="10" t="s">
        <v>51</v>
      </c>
      <c r="G2316" s="10" t="n">
        <v>82</v>
      </c>
      <c r="H2316" s="10" t="n">
        <v>354</v>
      </c>
      <c r="I2316" s="10" t="n">
        <v>6</v>
      </c>
      <c r="J2316" s="10" t="n">
        <v>0</v>
      </c>
      <c r="K2316" s="10" t="s">
        <v>20</v>
      </c>
      <c r="L2316" s="11" t="n">
        <v>40243.4386458333</v>
      </c>
      <c r="M2316" s="12" t="s">
        <v>574</v>
      </c>
      <c r="N2316" s="12" t="s">
        <v>5922</v>
      </c>
      <c r="O2316" s="9" t="str">
        <f aca="false">HYPERLINK("https://pbs.twimg.com/profile_images/576180997412118528/AW2KCHEN_normal.jpeg","View")</f>
        <v>View</v>
      </c>
      <c r="P2316" s="10"/>
    </row>
    <row r="2317" customFormat="false" ht="15.75" hidden="false" customHeight="false" outlineLevel="0" collapsed="false">
      <c r="A2317" s="6" t="n">
        <v>43030.2337962963</v>
      </c>
      <c r="B2317" s="7" t="str">
        <f aca="false">HYPERLINK("https://twitter.com/tobibus2000","@tobibus2000")</f>
        <v>@tobibus2000</v>
      </c>
      <c r="C2317" s="8" t="s">
        <v>5923</v>
      </c>
      <c r="D2317" s="8" t="s">
        <v>4124</v>
      </c>
      <c r="E2317" s="9" t="str">
        <f aca="false">HYPERLINK("https://twitter.com/tobibus2000/status/922079256410279936","922079256410279936")</f>
        <v>922079256410279936</v>
      </c>
      <c r="F2317" s="10" t="s">
        <v>25</v>
      </c>
      <c r="G2317" s="10" t="n">
        <v>610</v>
      </c>
      <c r="H2317" s="10" t="n">
        <v>601</v>
      </c>
      <c r="I2317" s="10" t="n">
        <v>111</v>
      </c>
      <c r="J2317" s="10" t="n">
        <v>0</v>
      </c>
      <c r="K2317" s="10" t="s">
        <v>20</v>
      </c>
      <c r="L2317" s="11" t="n">
        <v>39984.0629861111</v>
      </c>
      <c r="M2317" s="12" t="s">
        <v>1670</v>
      </c>
      <c r="N2317" s="12" t="s">
        <v>5924</v>
      </c>
      <c r="O2317" s="9" t="str">
        <f aca="false">HYPERLINK("https://pbs.twimg.com/profile_images/892344790070812672/zKj3GMb2_normal.jpg","View")</f>
        <v>View</v>
      </c>
      <c r="P2317" s="10"/>
    </row>
    <row r="2318" customFormat="false" ht="15.75" hidden="false" customHeight="false" outlineLevel="0" collapsed="false">
      <c r="A2318" s="6" t="n">
        <v>43030.2338425926</v>
      </c>
      <c r="B2318" s="7" t="str">
        <f aca="false">HYPERLINK("https://twitter.com/rob_b72","@rob_b72")</f>
        <v>@rob_b72</v>
      </c>
      <c r="C2318" s="8" t="s">
        <v>5925</v>
      </c>
      <c r="D2318" s="8" t="s">
        <v>4984</v>
      </c>
      <c r="E2318" s="9" t="str">
        <f aca="false">HYPERLINK("https://twitter.com/rob_b72/status/922079270196924418","922079270196924418")</f>
        <v>922079270196924418</v>
      </c>
      <c r="F2318" s="10" t="s">
        <v>51</v>
      </c>
      <c r="G2318" s="10" t="n">
        <v>4003</v>
      </c>
      <c r="H2318" s="10" t="n">
        <v>2831</v>
      </c>
      <c r="I2318" s="10" t="n">
        <v>187</v>
      </c>
      <c r="J2318" s="10" t="n">
        <v>0</v>
      </c>
      <c r="K2318" s="10" t="s">
        <v>20</v>
      </c>
      <c r="L2318" s="11" t="n">
        <v>39842.5463773148</v>
      </c>
      <c r="M2318" s="12" t="s">
        <v>723</v>
      </c>
      <c r="N2318" s="12" t="s">
        <v>5926</v>
      </c>
      <c r="O2318" s="9" t="str">
        <f aca="false">HYPERLINK("https://pbs.twimg.com/profile_images/668104280914677760/_5dm56Zb_normal.jpg","View")</f>
        <v>View</v>
      </c>
      <c r="P2318" s="10"/>
    </row>
    <row r="2319" customFormat="false" ht="15.75" hidden="false" customHeight="false" outlineLevel="0" collapsed="false">
      <c r="A2319" s="6" t="n">
        <v>43030.2338888889</v>
      </c>
      <c r="B2319" s="7" t="str">
        <f aca="false">HYPERLINK("https://twitter.com/ishu_yaduvandu","@ishu_yaduvandu")</f>
        <v>@ishu_yaduvandu</v>
      </c>
      <c r="C2319" s="8" t="s">
        <v>5927</v>
      </c>
      <c r="D2319" s="8" t="s">
        <v>4984</v>
      </c>
      <c r="E2319" s="9" t="str">
        <f aca="false">HYPERLINK("https://twitter.com/ishu_yaduvandu/status/922079287506636801","922079287506636801")</f>
        <v>922079287506636801</v>
      </c>
      <c r="F2319" s="10" t="s">
        <v>25</v>
      </c>
      <c r="G2319" s="10" t="n">
        <v>146</v>
      </c>
      <c r="H2319" s="10" t="n">
        <v>87</v>
      </c>
      <c r="I2319" s="10" t="n">
        <v>187</v>
      </c>
      <c r="J2319" s="10" t="n">
        <v>0</v>
      </c>
      <c r="K2319" s="10" t="s">
        <v>20</v>
      </c>
      <c r="L2319" s="11" t="n">
        <v>42445.1446296296</v>
      </c>
      <c r="M2319" s="12" t="s">
        <v>5928</v>
      </c>
      <c r="N2319" s="12" t="s">
        <v>5929</v>
      </c>
      <c r="O2319" s="9" t="str">
        <f aca="false">HYPERLINK("https://pbs.twimg.com/profile_images/904026517902057472/TMCpniu5_normal.jpg","View")</f>
        <v>View</v>
      </c>
      <c r="P2319" s="10"/>
    </row>
    <row r="2320" customFormat="false" ht="15.75" hidden="false" customHeight="false" outlineLevel="0" collapsed="false">
      <c r="A2320" s="6" t="n">
        <v>43030.2340625</v>
      </c>
      <c r="B2320" s="7" t="str">
        <f aca="false">HYPERLINK("https://twitter.com/CAPEuropeFR","@CAPEuropeFR")</f>
        <v>@CAPEuropeFR</v>
      </c>
      <c r="C2320" s="8" t="s">
        <v>5930</v>
      </c>
      <c r="D2320" s="8" t="s">
        <v>5931</v>
      </c>
      <c r="E2320" s="9" t="str">
        <f aca="false">HYPERLINK("https://twitter.com/CAPEuropeFR/status/922079350811385858","922079350811385858")</f>
        <v>922079350811385858</v>
      </c>
      <c r="F2320" s="10" t="s">
        <v>39</v>
      </c>
      <c r="G2320" s="10" t="n">
        <v>1534</v>
      </c>
      <c r="H2320" s="10" t="n">
        <v>869</v>
      </c>
      <c r="I2320" s="10" t="n">
        <v>1</v>
      </c>
      <c r="J2320" s="10" t="n">
        <v>0</v>
      </c>
      <c r="K2320" s="10" t="s">
        <v>20</v>
      </c>
      <c r="L2320" s="11" t="n">
        <v>42549.2896064815</v>
      </c>
      <c r="M2320" s="12" t="s">
        <v>1754</v>
      </c>
      <c r="N2320" s="12" t="s">
        <v>5932</v>
      </c>
      <c r="O2320" s="9" t="str">
        <f aca="false">HYPERLINK("https://pbs.twimg.com/profile_images/747791873394282496/8FvQoDRY_normal.jpg","View")</f>
        <v>View</v>
      </c>
      <c r="P2320" s="10"/>
    </row>
    <row r="2321" customFormat="false" ht="15.75" hidden="false" customHeight="false" outlineLevel="0" collapsed="false">
      <c r="A2321" s="6" t="n">
        <v>43030.2344675926</v>
      </c>
      <c r="B2321" s="7" t="str">
        <f aca="false">HYPERLINK("https://twitter.com/wolfster308","@wolfster308")</f>
        <v>@wolfster308</v>
      </c>
      <c r="C2321" s="8" t="s">
        <v>5933</v>
      </c>
      <c r="D2321" s="8" t="s">
        <v>5934</v>
      </c>
      <c r="E2321" s="9" t="str">
        <f aca="false">HYPERLINK("https://twitter.com/wolfster308/status/922079499197526016","922079499197526016")</f>
        <v>922079499197526016</v>
      </c>
      <c r="F2321" s="10" t="s">
        <v>25</v>
      </c>
      <c r="G2321" s="10" t="n">
        <v>2815</v>
      </c>
      <c r="H2321" s="10" t="n">
        <v>4329</v>
      </c>
      <c r="I2321" s="10" t="n">
        <v>1</v>
      </c>
      <c r="J2321" s="10" t="n">
        <v>1</v>
      </c>
      <c r="K2321" s="10" t="s">
        <v>20</v>
      </c>
      <c r="L2321" s="11" t="n">
        <v>40763.6214930556</v>
      </c>
      <c r="M2321" s="12" t="s">
        <v>380</v>
      </c>
      <c r="N2321" s="12" t="s">
        <v>5935</v>
      </c>
      <c r="O2321" s="9" t="str">
        <f aca="false">HYPERLINK("https://pbs.twimg.com/profile_images/906266840468520961/1v8dHrKd_normal.jpg","View")</f>
        <v>View</v>
      </c>
      <c r="P2321" s="10"/>
    </row>
    <row r="2322" customFormat="false" ht="15.75" hidden="false" customHeight="false" outlineLevel="0" collapsed="false">
      <c r="A2322" s="6" t="n">
        <v>43030.2347916667</v>
      </c>
      <c r="B2322" s="7" t="str">
        <f aca="false">HYPERLINK("https://twitter.com/eric_serge","@eric_serge")</f>
        <v>@eric_serge</v>
      </c>
      <c r="C2322" s="8" t="s">
        <v>5936</v>
      </c>
      <c r="D2322" s="8" t="s">
        <v>4984</v>
      </c>
      <c r="E2322" s="9" t="str">
        <f aca="false">HYPERLINK("https://twitter.com/eric_serge/status/922079614696124416","922079614696124416")</f>
        <v>922079614696124416</v>
      </c>
      <c r="F2322" s="10" t="s">
        <v>51</v>
      </c>
      <c r="G2322" s="10" t="n">
        <v>2000</v>
      </c>
      <c r="H2322" s="10" t="n">
        <v>1732</v>
      </c>
      <c r="I2322" s="10" t="n">
        <v>187</v>
      </c>
      <c r="J2322" s="10" t="n">
        <v>0</v>
      </c>
      <c r="K2322" s="10" t="s">
        <v>20</v>
      </c>
      <c r="L2322" s="11" t="n">
        <v>40996.5354050926</v>
      </c>
      <c r="M2322" s="12" t="s">
        <v>5937</v>
      </c>
      <c r="N2322" s="12" t="s">
        <v>5938</v>
      </c>
      <c r="O2322" s="9" t="str">
        <f aca="false">HYPERLINK("https://pbs.twimg.com/profile_images/921001474196426752/HRND15YO_normal.jpg","View")</f>
        <v>View</v>
      </c>
      <c r="P2322" s="10"/>
    </row>
    <row r="2323" customFormat="false" ht="15.75" hidden="false" customHeight="false" outlineLevel="0" collapsed="false">
      <c r="A2323" s="6" t="n">
        <v>43030.2350115741</v>
      </c>
      <c r="B2323" s="7" t="str">
        <f aca="false">HYPERLINK("https://twitter.com/SilviaVMiranda","@SilviaVMiranda")</f>
        <v>@SilviaVMiranda</v>
      </c>
      <c r="C2323" s="8" t="s">
        <v>5939</v>
      </c>
      <c r="D2323" s="8" t="s">
        <v>4124</v>
      </c>
      <c r="E2323" s="9" t="str">
        <f aca="false">HYPERLINK("https://twitter.com/SilviaVMiranda/status/922079693800697856","922079693800697856")</f>
        <v>922079693800697856</v>
      </c>
      <c r="F2323" s="10" t="s">
        <v>25</v>
      </c>
      <c r="G2323" s="10" t="n">
        <v>157</v>
      </c>
      <c r="H2323" s="10" t="n">
        <v>68</v>
      </c>
      <c r="I2323" s="10" t="n">
        <v>111</v>
      </c>
      <c r="J2323" s="10" t="n">
        <v>0</v>
      </c>
      <c r="K2323" s="10" t="s">
        <v>20</v>
      </c>
      <c r="L2323" s="11" t="n">
        <v>40045.2619560185</v>
      </c>
      <c r="M2323" s="12" t="s">
        <v>5940</v>
      </c>
      <c r="N2323" s="12" t="s">
        <v>5941</v>
      </c>
      <c r="O2323" s="9" t="str">
        <f aca="false">HYPERLINK("https://pbs.twimg.com/profile_images/911630159249154049/ZdtEyUMF_normal.jpg","View")</f>
        <v>View</v>
      </c>
      <c r="P2323" s="10"/>
    </row>
    <row r="2324" customFormat="false" ht="15.75" hidden="false" customHeight="false" outlineLevel="0" collapsed="false">
      <c r="A2324" s="6" t="n">
        <v>43030.2352314815</v>
      </c>
      <c r="B2324" s="7" t="str">
        <f aca="false">HYPERLINK("https://twitter.com/sammie__sweety","@sammie__sweety")</f>
        <v>@sammie__sweety</v>
      </c>
      <c r="C2324" s="8" t="s">
        <v>5942</v>
      </c>
      <c r="D2324" s="8" t="s">
        <v>5846</v>
      </c>
      <c r="E2324" s="9" t="str">
        <f aca="false">HYPERLINK("https://twitter.com/sammie__sweety/status/922079774079676421","922079774079676421")</f>
        <v>922079774079676421</v>
      </c>
      <c r="F2324" s="10" t="s">
        <v>25</v>
      </c>
      <c r="G2324" s="10" t="n">
        <v>85</v>
      </c>
      <c r="H2324" s="10" t="n">
        <v>4533</v>
      </c>
      <c r="I2324" s="10" t="n">
        <v>16</v>
      </c>
      <c r="J2324" s="10" t="n">
        <v>0</v>
      </c>
      <c r="K2324" s="10" t="s">
        <v>20</v>
      </c>
      <c r="L2324" s="11" t="n">
        <v>41742.5058333333</v>
      </c>
      <c r="M2324" s="12" t="s">
        <v>5943</v>
      </c>
      <c r="N2324" s="12"/>
      <c r="O2324" s="9" t="str">
        <f aca="false">HYPERLINK("https://pbs.twimg.com/profile_images/743552489383993344/Zq3dRDwv_normal.jpg","View")</f>
        <v>View</v>
      </c>
      <c r="P2324" s="10"/>
    </row>
    <row r="2325" customFormat="false" ht="15.75" hidden="false" customHeight="false" outlineLevel="0" collapsed="false">
      <c r="A2325" s="6" t="n">
        <v>43030.2352662037</v>
      </c>
      <c r="B2325" s="7" t="str">
        <f aca="false">HYPERLINK("https://twitter.com/slimanetirera","@slimanetirera")</f>
        <v>@slimanetirera</v>
      </c>
      <c r="C2325" s="8" t="s">
        <v>5944</v>
      </c>
      <c r="D2325" s="8" t="s">
        <v>4984</v>
      </c>
      <c r="E2325" s="9" t="str">
        <f aca="false">HYPERLINK("https://twitter.com/slimanetirera/status/922079786415075328","922079786415075328")</f>
        <v>922079786415075328</v>
      </c>
      <c r="F2325" s="10" t="s">
        <v>39</v>
      </c>
      <c r="G2325" s="10" t="n">
        <v>6902</v>
      </c>
      <c r="H2325" s="10" t="n">
        <v>6896</v>
      </c>
      <c r="I2325" s="10" t="n">
        <v>187</v>
      </c>
      <c r="J2325" s="10" t="n">
        <v>0</v>
      </c>
      <c r="K2325" s="10" t="s">
        <v>20</v>
      </c>
      <c r="L2325" s="11" t="n">
        <v>40491.0157523148</v>
      </c>
      <c r="M2325" s="12" t="s">
        <v>5945</v>
      </c>
      <c r="N2325" s="12" t="s">
        <v>5946</v>
      </c>
      <c r="O2325" s="9" t="str">
        <f aca="false">HYPERLINK("https://pbs.twimg.com/profile_images/922427373685039106/V3pgK0tw_normal.jpg","View")</f>
        <v>View</v>
      </c>
      <c r="P2325" s="10"/>
    </row>
    <row r="2326" customFormat="false" ht="15.75" hidden="false" customHeight="false" outlineLevel="0" collapsed="false">
      <c r="A2326" s="6" t="n">
        <v>43030.2352662037</v>
      </c>
      <c r="B2326" s="7" t="str">
        <f aca="false">HYPERLINK("https://twitter.com/supra1Bqteam","@supra1Bqteam")</f>
        <v>@supra1Bqteam</v>
      </c>
      <c r="C2326" s="8" t="s">
        <v>1092</v>
      </c>
      <c r="D2326" s="8" t="s">
        <v>5947</v>
      </c>
      <c r="E2326" s="9" t="str">
        <f aca="false">HYPERLINK("https://twitter.com/supra1Bqteam/status/922079786528395264","922079786528395264")</f>
        <v>922079786528395264</v>
      </c>
      <c r="F2326" s="10" t="s">
        <v>60</v>
      </c>
      <c r="G2326" s="10" t="n">
        <v>29104</v>
      </c>
      <c r="H2326" s="10" t="n">
        <v>27568</v>
      </c>
      <c r="I2326" s="10" t="n">
        <v>0</v>
      </c>
      <c r="J2326" s="10" t="n">
        <v>0</v>
      </c>
      <c r="K2326" s="10" t="s">
        <v>20</v>
      </c>
      <c r="L2326" s="11" t="n">
        <v>40930.4692824074</v>
      </c>
      <c r="M2326" s="12" t="s">
        <v>1094</v>
      </c>
      <c r="N2326" s="12" t="s">
        <v>1095</v>
      </c>
      <c r="O2326" s="9" t="str">
        <f aca="false">HYPERLINK("https://pbs.twimg.com/profile_images/752065571068444672/dkKCTbsg_normal.jpg","View")</f>
        <v>View</v>
      </c>
      <c r="P2326" s="10"/>
    </row>
    <row r="2327" customFormat="false" ht="15.75" hidden="false" customHeight="false" outlineLevel="0" collapsed="false">
      <c r="A2327" s="6" t="n">
        <v>43030.2352777778</v>
      </c>
      <c r="B2327" s="7" t="str">
        <f aca="false">HYPERLINK("https://twitter.com/kick_butts","@kick_butts")</f>
        <v>@kick_butts</v>
      </c>
      <c r="C2327" s="8" t="s">
        <v>5948</v>
      </c>
      <c r="D2327" s="8" t="s">
        <v>5030</v>
      </c>
      <c r="E2327" s="9" t="str">
        <f aca="false">HYPERLINK("https://twitter.com/kick_butts/status/922079793130061826","922079793130061826")</f>
        <v>922079793130061826</v>
      </c>
      <c r="F2327" s="10" t="s">
        <v>51</v>
      </c>
      <c r="G2327" s="10" t="n">
        <v>1172</v>
      </c>
      <c r="H2327" s="10" t="n">
        <v>268</v>
      </c>
      <c r="I2327" s="10" t="n">
        <v>22</v>
      </c>
      <c r="J2327" s="10" t="n">
        <v>0</v>
      </c>
      <c r="K2327" s="10" t="s">
        <v>20</v>
      </c>
      <c r="L2327" s="11" t="n">
        <v>40333.3452430556</v>
      </c>
      <c r="M2327" s="13" t="s">
        <v>5949</v>
      </c>
      <c r="N2327" s="12" t="s">
        <v>5950</v>
      </c>
      <c r="O2327" s="9" t="str">
        <f aca="false">HYPERLINK("https://pbs.twimg.com/profile_images/762642176480120832/Ab--2jVQ_normal.jpg","View")</f>
        <v>View</v>
      </c>
      <c r="P2327" s="10"/>
    </row>
    <row r="2328" customFormat="false" ht="15.75" hidden="false" customHeight="false" outlineLevel="0" collapsed="false">
      <c r="A2328" s="6" t="n">
        <v>43030.2354050926</v>
      </c>
      <c r="B2328" s="7" t="str">
        <f aca="false">HYPERLINK("https://twitter.com/PaulineCole18","@PaulineCole18")</f>
        <v>@PaulineCole18</v>
      </c>
      <c r="C2328" s="8" t="s">
        <v>5951</v>
      </c>
      <c r="D2328" s="8" t="s">
        <v>5952</v>
      </c>
      <c r="E2328" s="9" t="str">
        <f aca="false">HYPERLINK("https://twitter.com/PaulineCole18/status/922079837103194112","922079837103194112")</f>
        <v>922079837103194112</v>
      </c>
      <c r="F2328" s="10" t="s">
        <v>39</v>
      </c>
      <c r="G2328" s="10" t="n">
        <v>350</v>
      </c>
      <c r="H2328" s="10" t="n">
        <v>1804</v>
      </c>
      <c r="I2328" s="10" t="n">
        <v>0</v>
      </c>
      <c r="J2328" s="10" t="n">
        <v>0</v>
      </c>
      <c r="K2328" s="10" t="s">
        <v>20</v>
      </c>
      <c r="L2328" s="11" t="n">
        <v>41469.3911689815</v>
      </c>
      <c r="M2328" s="12" t="s">
        <v>5953</v>
      </c>
      <c r="N2328" s="12" t="s">
        <v>5954</v>
      </c>
      <c r="O2328" s="9" t="str">
        <f aca="false">HYPERLINK("https://pbs.twimg.com/profile_images/826611294195294208/zguaz9_S_normal.jpg","View")</f>
        <v>View</v>
      </c>
      <c r="P2328" s="10"/>
    </row>
    <row r="2329" customFormat="false" ht="15.75" hidden="false" customHeight="false" outlineLevel="0" collapsed="false">
      <c r="A2329" s="6" t="n">
        <v>43030.2354513889</v>
      </c>
      <c r="B2329" s="7" t="str">
        <f aca="false">HYPERLINK("https://twitter.com/watchnewsvideos","@watchnewsvideos")</f>
        <v>@watchnewsvideos</v>
      </c>
      <c r="C2329" s="8" t="s">
        <v>5955</v>
      </c>
      <c r="D2329" s="8" t="s">
        <v>5956</v>
      </c>
      <c r="E2329" s="9" t="str">
        <f aca="false">HYPERLINK("https://twitter.com/watchnewsvideos/status/922079854232834050","922079854232834050")</f>
        <v>922079854232834050</v>
      </c>
      <c r="F2329" s="10" t="s">
        <v>5957</v>
      </c>
      <c r="G2329" s="10" t="n">
        <v>14</v>
      </c>
      <c r="H2329" s="10" t="n">
        <v>0</v>
      </c>
      <c r="I2329" s="10" t="n">
        <v>0</v>
      </c>
      <c r="J2329" s="10" t="n">
        <v>0</v>
      </c>
      <c r="K2329" s="10" t="s">
        <v>20</v>
      </c>
      <c r="L2329" s="11" t="n">
        <v>42067.712349537</v>
      </c>
      <c r="M2329" s="12"/>
      <c r="N2329" s="12"/>
      <c r="O2329" s="9" t="str">
        <f aca="false">HYPERLINK("https://abs.twimg.com/sticky/default_profile_images/default_profile_normal.png","View")</f>
        <v>View</v>
      </c>
      <c r="P2329" s="10"/>
    </row>
    <row r="2330" customFormat="false" ht="15.75" hidden="false" customHeight="false" outlineLevel="0" collapsed="false">
      <c r="A2330" s="6" t="n">
        <v>43030.235625</v>
      </c>
      <c r="B2330" s="7" t="str">
        <f aca="false">HYPERLINK("https://twitter.com/kick_butts","@kick_butts")</f>
        <v>@kick_butts</v>
      </c>
      <c r="C2330" s="8" t="s">
        <v>5948</v>
      </c>
      <c r="D2330" s="8" t="s">
        <v>4984</v>
      </c>
      <c r="E2330" s="9" t="str">
        <f aca="false">HYPERLINK("https://twitter.com/kick_butts/status/922079919827435526","922079919827435526")</f>
        <v>922079919827435526</v>
      </c>
      <c r="F2330" s="10" t="s">
        <v>51</v>
      </c>
      <c r="G2330" s="10" t="n">
        <v>1172</v>
      </c>
      <c r="H2330" s="10" t="n">
        <v>268</v>
      </c>
      <c r="I2330" s="10" t="n">
        <v>187</v>
      </c>
      <c r="J2330" s="10" t="n">
        <v>0</v>
      </c>
      <c r="K2330" s="10" t="s">
        <v>20</v>
      </c>
      <c r="L2330" s="11" t="n">
        <v>40333.3452430556</v>
      </c>
      <c r="M2330" s="13" t="s">
        <v>5949</v>
      </c>
      <c r="N2330" s="12" t="s">
        <v>5950</v>
      </c>
      <c r="O2330" s="9" t="str">
        <f aca="false">HYPERLINK("https://pbs.twimg.com/profile_images/762642176480120832/Ab--2jVQ_normal.jpg","View")</f>
        <v>View</v>
      </c>
      <c r="P2330" s="10"/>
    </row>
    <row r="2331" customFormat="false" ht="15.75" hidden="false" customHeight="false" outlineLevel="0" collapsed="false">
      <c r="A2331" s="6" t="n">
        <v>43030.2358449074</v>
      </c>
      <c r="B2331" s="7" t="str">
        <f aca="false">HYPERLINK("https://twitter.com/WorldNews7777","@WorldNews7777")</f>
        <v>@WorldNews7777</v>
      </c>
      <c r="C2331" s="8" t="s">
        <v>1749</v>
      </c>
      <c r="D2331" s="8" t="s">
        <v>5958</v>
      </c>
      <c r="E2331" s="9" t="str">
        <f aca="false">HYPERLINK("https://twitter.com/WorldNews7777/status/922079995706650625","922079995706650625")</f>
        <v>922079995706650625</v>
      </c>
      <c r="F2331" s="10" t="s">
        <v>55</v>
      </c>
      <c r="G2331" s="10" t="n">
        <v>6455</v>
      </c>
      <c r="H2331" s="10" t="n">
        <v>6318</v>
      </c>
      <c r="I2331" s="10" t="n">
        <v>0</v>
      </c>
      <c r="J2331" s="10" t="n">
        <v>0</v>
      </c>
      <c r="K2331" s="10" t="s">
        <v>20</v>
      </c>
      <c r="L2331" s="11" t="n">
        <v>42489.1319444444</v>
      </c>
      <c r="M2331" s="12" t="s">
        <v>230</v>
      </c>
      <c r="N2331" s="12" t="s">
        <v>1751</v>
      </c>
      <c r="O2331" s="9" t="str">
        <f aca="false">HYPERLINK("https://pbs.twimg.com/profile_images/736884749566889984/BtAvBgS4_normal.jpg","View")</f>
        <v>View</v>
      </c>
      <c r="P2331" s="10"/>
    </row>
    <row r="2332" customFormat="false" ht="15.75" hidden="false" customHeight="false" outlineLevel="0" collapsed="false">
      <c r="A2332" s="6" t="n">
        <v>43030.2359027778</v>
      </c>
      <c r="B2332" s="7" t="str">
        <f aca="false">HYPERLINK("https://twitter.com/1freetruth","@1freetruth")</f>
        <v>@1freetruth</v>
      </c>
      <c r="C2332" s="8" t="s">
        <v>5959</v>
      </c>
      <c r="D2332" s="8" t="s">
        <v>5960</v>
      </c>
      <c r="E2332" s="9" t="str">
        <f aca="false">HYPERLINK("https://twitter.com/1freetruth/status/922080019626840065","922080019626840065")</f>
        <v>922080019626840065</v>
      </c>
      <c r="F2332" s="10" t="s">
        <v>60</v>
      </c>
      <c r="G2332" s="10" t="n">
        <v>1497</v>
      </c>
      <c r="H2332" s="10" t="n">
        <v>1020</v>
      </c>
      <c r="I2332" s="10" t="n">
        <v>0</v>
      </c>
      <c r="J2332" s="10" t="n">
        <v>0</v>
      </c>
      <c r="K2332" s="10" t="s">
        <v>20</v>
      </c>
      <c r="L2332" s="11" t="n">
        <v>41153.2847916667</v>
      </c>
      <c r="M2332" s="12"/>
      <c r="N2332" s="12" t="s">
        <v>5961</v>
      </c>
      <c r="O2332" s="9" t="str">
        <f aca="false">HYPERLINK("https://pbs.twimg.com/profile_images/2565867670/iebphtjnm3dcwt7d95qp_normal.png","View")</f>
        <v>View</v>
      </c>
      <c r="P2332" s="10"/>
    </row>
    <row r="2333" customFormat="false" ht="15.75" hidden="false" customHeight="false" outlineLevel="0" collapsed="false">
      <c r="A2333" s="6" t="n">
        <v>43030.2360648148</v>
      </c>
      <c r="B2333" s="7" t="str">
        <f aca="false">HYPERLINK("https://twitter.com/CLM_net","@CLM_net")</f>
        <v>@CLM_net</v>
      </c>
      <c r="C2333" s="8" t="s">
        <v>5746</v>
      </c>
      <c r="D2333" s="8" t="s">
        <v>5962</v>
      </c>
      <c r="E2333" s="9" t="str">
        <f aca="false">HYPERLINK("https://twitter.com/CLM_net/status/922080079009779712","922080079009779712")</f>
        <v>922080079009779712</v>
      </c>
      <c r="F2333" s="10" t="s">
        <v>55</v>
      </c>
      <c r="G2333" s="10" t="n">
        <v>1530</v>
      </c>
      <c r="H2333" s="10" t="n">
        <v>0</v>
      </c>
      <c r="I2333" s="10" t="n">
        <v>0</v>
      </c>
      <c r="J2333" s="10" t="n">
        <v>0</v>
      </c>
      <c r="K2333" s="10" t="s">
        <v>20</v>
      </c>
      <c r="L2333" s="11" t="n">
        <v>41134.1074421296</v>
      </c>
      <c r="M2333" s="12" t="s">
        <v>230</v>
      </c>
      <c r="N2333" s="12" t="s">
        <v>5748</v>
      </c>
      <c r="O2333" s="9" t="str">
        <f aca="false">HYPERLINK("https://pbs.twimg.com/profile_images/823517749821509632/wURcbkRj_normal.jpg","View")</f>
        <v>View</v>
      </c>
      <c r="P2333" s="10"/>
    </row>
    <row r="2334" customFormat="false" ht="15.75" hidden="false" customHeight="false" outlineLevel="0" collapsed="false">
      <c r="A2334" s="6" t="n">
        <v>43030.2361458333</v>
      </c>
      <c r="B2334" s="7" t="str">
        <f aca="false">HYPERLINK("https://twitter.com/1freetruth","@1freetruth")</f>
        <v>@1freetruth</v>
      </c>
      <c r="C2334" s="8" t="s">
        <v>5959</v>
      </c>
      <c r="D2334" s="8" t="s">
        <v>5963</v>
      </c>
      <c r="E2334" s="9" t="str">
        <f aca="false">HYPERLINK("https://twitter.com/1freetruth/status/922080104897040384","922080104897040384")</f>
        <v>922080104897040384</v>
      </c>
      <c r="F2334" s="10" t="s">
        <v>47</v>
      </c>
      <c r="G2334" s="10" t="n">
        <v>1497</v>
      </c>
      <c r="H2334" s="10" t="n">
        <v>1020</v>
      </c>
      <c r="I2334" s="10" t="n">
        <v>0</v>
      </c>
      <c r="J2334" s="10" t="n">
        <v>0</v>
      </c>
      <c r="K2334" s="10" t="s">
        <v>20</v>
      </c>
      <c r="L2334" s="11" t="n">
        <v>41153.2847916667</v>
      </c>
      <c r="M2334" s="12"/>
      <c r="N2334" s="12" t="s">
        <v>5961</v>
      </c>
      <c r="O2334" s="9" t="str">
        <f aca="false">HYPERLINK("https://pbs.twimg.com/profile_images/2565867670/iebphtjnm3dcwt7d95qp_normal.png","View")</f>
        <v>View</v>
      </c>
      <c r="P2334" s="10"/>
    </row>
    <row r="2335" customFormat="false" ht="15.75" hidden="false" customHeight="false" outlineLevel="0" collapsed="false">
      <c r="A2335" s="6" t="n">
        <v>43030.2366550926</v>
      </c>
      <c r="B2335" s="7" t="str">
        <f aca="false">HYPERLINK("https://twitter.com/newsbreak","@newsbreak")</f>
        <v>@newsbreak</v>
      </c>
      <c r="C2335" s="8" t="s">
        <v>310</v>
      </c>
      <c r="D2335" s="8" t="s">
        <v>5964</v>
      </c>
      <c r="E2335" s="9" t="str">
        <f aca="false">HYPERLINK("https://twitter.com/newsbreak/status/922080290570457088","922080290570457088")</f>
        <v>922080290570457088</v>
      </c>
      <c r="F2335" s="10" t="s">
        <v>55</v>
      </c>
      <c r="G2335" s="10" t="n">
        <v>619</v>
      </c>
      <c r="H2335" s="10" t="n">
        <v>7</v>
      </c>
      <c r="I2335" s="10" t="n">
        <v>0</v>
      </c>
      <c r="J2335" s="10" t="n">
        <v>0</v>
      </c>
      <c r="K2335" s="10" t="s">
        <v>20</v>
      </c>
      <c r="L2335" s="11" t="n">
        <v>39530.6903009259</v>
      </c>
      <c r="M2335" s="12" t="s">
        <v>5965</v>
      </c>
      <c r="N2335" s="12" t="s">
        <v>5966</v>
      </c>
      <c r="O2335" s="9" t="str">
        <f aca="false">HYPERLINK("https://pbs.twimg.com/profile_images/1274658033/newsbreaksmall_normal.gif","View")</f>
        <v>View</v>
      </c>
      <c r="P2335" s="10"/>
    </row>
    <row r="2336" customFormat="false" ht="15.75" hidden="false" customHeight="false" outlineLevel="0" collapsed="false">
      <c r="A2336" s="6" t="n">
        <v>43030.2371759259</v>
      </c>
      <c r="B2336" s="7" t="str">
        <f aca="false">HYPERLINK("https://twitter.com/theglobalworld","@theglobalworld")</f>
        <v>@theglobalworld</v>
      </c>
      <c r="C2336" s="8" t="s">
        <v>5967</v>
      </c>
      <c r="D2336" s="8" t="s">
        <v>5968</v>
      </c>
      <c r="E2336" s="9" t="str">
        <f aca="false">HYPERLINK("https://twitter.com/theglobalworld/status/922080479636942848","922080479636942848")</f>
        <v>922080479636942848</v>
      </c>
      <c r="F2336" s="10" t="s">
        <v>55</v>
      </c>
      <c r="G2336" s="10" t="n">
        <v>4463</v>
      </c>
      <c r="H2336" s="10" t="n">
        <v>5467</v>
      </c>
      <c r="I2336" s="10" t="n">
        <v>0</v>
      </c>
      <c r="J2336" s="10" t="n">
        <v>0</v>
      </c>
      <c r="K2336" s="10" t="s">
        <v>20</v>
      </c>
      <c r="L2336" s="11" t="n">
        <v>40610.6265162037</v>
      </c>
      <c r="M2336" s="12" t="s">
        <v>2925</v>
      </c>
      <c r="N2336" s="12" t="s">
        <v>5969</v>
      </c>
      <c r="O2336" s="9" t="str">
        <f aca="false">HYPERLINK("https://pbs.twimg.com/profile_images/1267111944/globalworld_normal.jpg","View")</f>
        <v>View</v>
      </c>
      <c r="P2336" s="10"/>
    </row>
    <row r="2337" customFormat="false" ht="15.75" hidden="false" customHeight="false" outlineLevel="0" collapsed="false">
      <c r="A2337" s="6" t="n">
        <v>43030.2372916667</v>
      </c>
      <c r="B2337" s="7" t="str">
        <f aca="false">HYPERLINK("https://twitter.com/Rhojojoe","@Rhojojoe")</f>
        <v>@Rhojojoe</v>
      </c>
      <c r="C2337" s="8" t="s">
        <v>5970</v>
      </c>
      <c r="D2337" s="8" t="s">
        <v>4124</v>
      </c>
      <c r="E2337" s="9" t="str">
        <f aca="false">HYPERLINK("https://twitter.com/Rhojojoe/status/922080520032354305","922080520032354305")</f>
        <v>922080520032354305</v>
      </c>
      <c r="F2337" s="10" t="s">
        <v>25</v>
      </c>
      <c r="G2337" s="10" t="n">
        <v>56</v>
      </c>
      <c r="H2337" s="10" t="n">
        <v>132</v>
      </c>
      <c r="I2337" s="10" t="n">
        <v>111</v>
      </c>
      <c r="J2337" s="10" t="n">
        <v>0</v>
      </c>
      <c r="K2337" s="10" t="s">
        <v>20</v>
      </c>
      <c r="L2337" s="11" t="n">
        <v>40001.285150463</v>
      </c>
      <c r="M2337" s="12" t="s">
        <v>5971</v>
      </c>
      <c r="N2337" s="12" t="s">
        <v>5972</v>
      </c>
      <c r="O2337" s="9" t="str">
        <f aca="false">HYPERLINK("https://pbs.twimg.com/profile_images/840900590460895232/_jt3JIQG_normal.jpg","View")</f>
        <v>View</v>
      </c>
      <c r="P2337" s="10"/>
    </row>
    <row r="2338" customFormat="false" ht="15.75" hidden="false" customHeight="false" outlineLevel="0" collapsed="false">
      <c r="A2338" s="6" t="n">
        <v>43030.237349537</v>
      </c>
      <c r="B2338" s="7" t="str">
        <f aca="false">HYPERLINK("https://twitter.com/BabaBakhabar","@BabaBakhabar")</f>
        <v>@BabaBakhabar</v>
      </c>
      <c r="C2338" s="8" t="s">
        <v>5973</v>
      </c>
      <c r="D2338" s="8" t="s">
        <v>5974</v>
      </c>
      <c r="E2338" s="9" t="str">
        <f aca="false">HYPERLINK("https://twitter.com/BabaBakhabar/status/922080543021391872","922080543021391872")</f>
        <v>922080543021391872</v>
      </c>
      <c r="F2338" s="9" t="s">
        <v>979</v>
      </c>
      <c r="G2338" s="10" t="n">
        <v>4395</v>
      </c>
      <c r="H2338" s="10" t="n">
        <v>962</v>
      </c>
      <c r="I2338" s="10" t="n">
        <v>0</v>
      </c>
      <c r="J2338" s="10" t="n">
        <v>0</v>
      </c>
      <c r="K2338" s="10" t="s">
        <v>20</v>
      </c>
      <c r="L2338" s="11" t="n">
        <v>40933.5489467593</v>
      </c>
      <c r="M2338" s="12" t="s">
        <v>516</v>
      </c>
      <c r="N2338" s="12" t="s">
        <v>5975</v>
      </c>
      <c r="O2338" s="9" t="str">
        <f aca="false">HYPERLINK("https://pbs.twimg.com/profile_images/873838749813178368/lk4BdFHT_normal.jpg","View")</f>
        <v>View</v>
      </c>
      <c r="P2338" s="10"/>
    </row>
    <row r="2339" customFormat="false" ht="15.75" hidden="false" customHeight="false" outlineLevel="0" collapsed="false">
      <c r="A2339" s="6" t="n">
        <v>43030.2373842593</v>
      </c>
      <c r="B2339" s="7" t="str">
        <f aca="false">HYPERLINK("https://twitter.com/Tajamulfayaz1","@Tajamulfayaz1")</f>
        <v>@Tajamulfayaz1</v>
      </c>
      <c r="C2339" s="8" t="s">
        <v>5976</v>
      </c>
      <c r="D2339" s="8" t="s">
        <v>4124</v>
      </c>
      <c r="E2339" s="9" t="str">
        <f aca="false">HYPERLINK("https://twitter.com/Tajamulfayaz1/status/922080555792941056","922080555792941056")</f>
        <v>922080555792941056</v>
      </c>
      <c r="F2339" s="10" t="s">
        <v>25</v>
      </c>
      <c r="G2339" s="10" t="n">
        <v>531</v>
      </c>
      <c r="H2339" s="10" t="n">
        <v>222</v>
      </c>
      <c r="I2339" s="10" t="n">
        <v>111</v>
      </c>
      <c r="J2339" s="10" t="n">
        <v>0</v>
      </c>
      <c r="K2339" s="10" t="s">
        <v>20</v>
      </c>
      <c r="L2339" s="11" t="n">
        <v>42930.4228240741</v>
      </c>
      <c r="M2339" s="12" t="s">
        <v>5977</v>
      </c>
      <c r="N2339" s="12" t="s">
        <v>5978</v>
      </c>
      <c r="O2339" s="9" t="str">
        <f aca="false">HYPERLINK("https://pbs.twimg.com/profile_images/905016141340225536/6f-vP0Rd_normal.jpg","View")</f>
        <v>View</v>
      </c>
      <c r="P2339" s="10"/>
    </row>
    <row r="2340" customFormat="false" ht="15.75" hidden="false" customHeight="false" outlineLevel="0" collapsed="false">
      <c r="A2340" s="6" t="n">
        <v>43030.2374652778</v>
      </c>
      <c r="B2340" s="7" t="str">
        <f aca="false">HYPERLINK("https://twitter.com/Subah_Pakistan","@Subah_Pakistan")</f>
        <v>@Subah_Pakistan</v>
      </c>
      <c r="C2340" s="8" t="s">
        <v>5979</v>
      </c>
      <c r="D2340" s="8" t="s">
        <v>5980</v>
      </c>
      <c r="E2340" s="9" t="str">
        <f aca="false">HYPERLINK("https://twitter.com/Subah_Pakistan/status/922080582846251008","922080582846251008")</f>
        <v>922080582846251008</v>
      </c>
      <c r="F2340" s="9" t="s">
        <v>979</v>
      </c>
      <c r="G2340" s="10" t="n">
        <v>50</v>
      </c>
      <c r="H2340" s="10" t="n">
        <v>102</v>
      </c>
      <c r="I2340" s="10" t="n">
        <v>1</v>
      </c>
      <c r="J2340" s="10" t="n">
        <v>0</v>
      </c>
      <c r="K2340" s="10" t="s">
        <v>20</v>
      </c>
      <c r="L2340" s="11" t="n">
        <v>42887.9506712963</v>
      </c>
      <c r="M2340" s="12" t="s">
        <v>516</v>
      </c>
      <c r="N2340" s="12" t="s">
        <v>5981</v>
      </c>
      <c r="O2340" s="9" t="str">
        <f aca="false">HYPERLINK("https://pbs.twimg.com/profile_images/871278735219183616/UXhnA2wC_normal.jpg","View")</f>
        <v>View</v>
      </c>
      <c r="P2340" s="10"/>
    </row>
    <row r="2341" customFormat="false" ht="15.75" hidden="false" customHeight="false" outlineLevel="0" collapsed="false">
      <c r="A2341" s="6" t="n">
        <v>43030.2375231481</v>
      </c>
      <c r="B2341" s="7" t="str">
        <f aca="false">HYPERLINK("https://twitter.com/claytonswisher","@claytonswisher")</f>
        <v>@claytonswisher</v>
      </c>
      <c r="C2341" s="8" t="s">
        <v>5982</v>
      </c>
      <c r="D2341" s="8" t="s">
        <v>4124</v>
      </c>
      <c r="E2341" s="9" t="str">
        <f aca="false">HYPERLINK("https://twitter.com/claytonswisher/status/922080606351167489","922080606351167489")</f>
        <v>922080606351167489</v>
      </c>
      <c r="F2341" s="10" t="s">
        <v>51</v>
      </c>
      <c r="G2341" s="10" t="n">
        <v>11220</v>
      </c>
      <c r="H2341" s="10" t="n">
        <v>1647</v>
      </c>
      <c r="I2341" s="10" t="n">
        <v>111</v>
      </c>
      <c r="J2341" s="10" t="n">
        <v>0</v>
      </c>
      <c r="K2341" s="10" t="s">
        <v>20</v>
      </c>
      <c r="L2341" s="11" t="n">
        <v>39838.2140856481</v>
      </c>
      <c r="M2341" s="12" t="s">
        <v>3962</v>
      </c>
      <c r="N2341" s="12" t="s">
        <v>5983</v>
      </c>
      <c r="O2341" s="9" t="str">
        <f aca="false">HYPERLINK("https://pbs.twimg.com/profile_images/573862953125945344/8lAc7SKl_normal.jpeg","View")</f>
        <v>View</v>
      </c>
      <c r="P2341" s="10"/>
    </row>
    <row r="2342" customFormat="false" ht="15.75" hidden="false" customHeight="false" outlineLevel="0" collapsed="false">
      <c r="A2342" s="6" t="n">
        <v>43030.2375347222</v>
      </c>
      <c r="B2342" s="7" t="str">
        <f aca="false">HYPERLINK("https://twitter.com/romerotrino23","@romerotrino23")</f>
        <v>@romerotrino23</v>
      </c>
      <c r="C2342" s="8" t="s">
        <v>5984</v>
      </c>
      <c r="D2342" s="8" t="s">
        <v>5985</v>
      </c>
      <c r="E2342" s="9" t="str">
        <f aca="false">HYPERLINK("https://twitter.com/romerotrino23/status/922080609110913024","922080609110913024")</f>
        <v>922080609110913024</v>
      </c>
      <c r="F2342" s="9" t="s">
        <v>1147</v>
      </c>
      <c r="G2342" s="10" t="n">
        <v>16</v>
      </c>
      <c r="H2342" s="10" t="n">
        <v>27</v>
      </c>
      <c r="I2342" s="10" t="n">
        <v>0</v>
      </c>
      <c r="J2342" s="10" t="n">
        <v>0</v>
      </c>
      <c r="K2342" s="10" t="s">
        <v>20</v>
      </c>
      <c r="L2342" s="11" t="n">
        <v>42676.3972453704</v>
      </c>
      <c r="M2342" s="12" t="s">
        <v>476</v>
      </c>
      <c r="N2342" s="12" t="s">
        <v>5986</v>
      </c>
      <c r="O2342" s="9" t="str">
        <f aca="false">HYPERLINK("https://pbs.twimg.com/profile_images/793853874448764928/tD4hIuIg_normal.jpg","View")</f>
        <v>View</v>
      </c>
      <c r="P2342" s="10"/>
    </row>
    <row r="2343" customFormat="false" ht="15.75" hidden="false" customHeight="false" outlineLevel="0" collapsed="false">
      <c r="A2343" s="6" t="n">
        <v>43030.2375347222</v>
      </c>
      <c r="B2343" s="7" t="str">
        <f aca="false">HYPERLINK("https://twitter.com/danbe_kun","@danbe_kun")</f>
        <v>@danbe_kun</v>
      </c>
      <c r="C2343" s="14" t="s">
        <v>5987</v>
      </c>
      <c r="D2343" s="8" t="s">
        <v>5988</v>
      </c>
      <c r="E2343" s="9" t="str">
        <f aca="false">HYPERLINK("https://twitter.com/danbe_kun/status/922080609807167489","922080609807167489")</f>
        <v>922080609807167489</v>
      </c>
      <c r="F2343" s="9" t="s">
        <v>1147</v>
      </c>
      <c r="G2343" s="10" t="n">
        <v>426</v>
      </c>
      <c r="H2343" s="10" t="n">
        <v>302</v>
      </c>
      <c r="I2343" s="10" t="n">
        <v>0</v>
      </c>
      <c r="J2343" s="10" t="n">
        <v>0</v>
      </c>
      <c r="K2343" s="10" t="s">
        <v>20</v>
      </c>
      <c r="L2343" s="11" t="n">
        <v>40774.1376851852</v>
      </c>
      <c r="M2343" s="13" t="s">
        <v>5989</v>
      </c>
      <c r="N2343" s="13" t="s">
        <v>5990</v>
      </c>
      <c r="O2343" s="9" t="str">
        <f aca="false">HYPERLINK("https://pbs.twimg.com/profile_images/701674964479422464/JZlvx9lw_normal.jpg","View")</f>
        <v>View</v>
      </c>
      <c r="P2343" s="10"/>
    </row>
    <row r="2344" customFormat="false" ht="15.75" hidden="false" customHeight="false" outlineLevel="0" collapsed="false">
      <c r="A2344" s="6" t="n">
        <v>43030.2375462963</v>
      </c>
      <c r="B2344" s="7" t="str">
        <f aca="false">HYPERLINK("https://twitter.com/HescobarPablo","@HescobarPablo")</f>
        <v>@HescobarPablo</v>
      </c>
      <c r="C2344" s="8" t="s">
        <v>5991</v>
      </c>
      <c r="D2344" s="8" t="s">
        <v>5992</v>
      </c>
      <c r="E2344" s="9" t="str">
        <f aca="false">HYPERLINK("https://twitter.com/HescobarPablo/status/922080612659339267","922080612659339267")</f>
        <v>922080612659339267</v>
      </c>
      <c r="F2344" s="9" t="s">
        <v>1147</v>
      </c>
      <c r="G2344" s="10" t="n">
        <v>5</v>
      </c>
      <c r="H2344" s="10" t="n">
        <v>13</v>
      </c>
      <c r="I2344" s="10" t="n">
        <v>0</v>
      </c>
      <c r="J2344" s="10" t="n">
        <v>0</v>
      </c>
      <c r="K2344" s="10" t="s">
        <v>20</v>
      </c>
      <c r="L2344" s="11" t="n">
        <v>42646.7598032407</v>
      </c>
      <c r="M2344" s="12"/>
      <c r="N2344" s="12"/>
      <c r="O2344" s="9" t="str">
        <f aca="false">HYPERLINK("https://pbs.twimg.com/profile_images/792198606270951428/9-ASqFrZ_normal.jpg","View")</f>
        <v>View</v>
      </c>
      <c r="P2344" s="10"/>
    </row>
    <row r="2345" customFormat="false" ht="15.75" hidden="false" customHeight="false" outlineLevel="0" collapsed="false">
      <c r="A2345" s="6" t="n">
        <v>43030.2375462963</v>
      </c>
      <c r="B2345" s="7" t="str">
        <f aca="false">HYPERLINK("https://twitter.com/albertomarti548","@albertomarti548")</f>
        <v>@albertomarti548</v>
      </c>
      <c r="C2345" s="8" t="s">
        <v>5993</v>
      </c>
      <c r="D2345" s="8" t="s">
        <v>5994</v>
      </c>
      <c r="E2345" s="9" t="str">
        <f aca="false">HYPERLINK("https://twitter.com/albertomarti548/status/922080615398129665","922080615398129665")</f>
        <v>922080615398129665</v>
      </c>
      <c r="F2345" s="9" t="s">
        <v>1147</v>
      </c>
      <c r="G2345" s="10" t="n">
        <v>9</v>
      </c>
      <c r="H2345" s="10" t="n">
        <v>37</v>
      </c>
      <c r="I2345" s="10" t="n">
        <v>0</v>
      </c>
      <c r="J2345" s="10" t="n">
        <v>0</v>
      </c>
      <c r="K2345" s="10" t="s">
        <v>20</v>
      </c>
      <c r="L2345" s="11" t="n">
        <v>42692.5669907407</v>
      </c>
      <c r="M2345" s="12"/>
      <c r="N2345" s="12"/>
      <c r="O2345" s="9" t="str">
        <f aca="false">HYPERLINK("https://pbs.twimg.com/profile_images/799729024478146560/WRW9foYt_normal.jpg","View")</f>
        <v>View</v>
      </c>
      <c r="P2345" s="10"/>
    </row>
    <row r="2346" customFormat="false" ht="15.75" hidden="false" customHeight="false" outlineLevel="0" collapsed="false">
      <c r="A2346" s="6" t="n">
        <v>43030.2377199074</v>
      </c>
      <c r="B2346" s="7" t="str">
        <f aca="false">HYPERLINK("https://twitter.com/AndreaW28925929","@AndreaW28925929")</f>
        <v>@AndreaW28925929</v>
      </c>
      <c r="C2346" s="8" t="s">
        <v>5995</v>
      </c>
      <c r="D2346" s="8" t="s">
        <v>4124</v>
      </c>
      <c r="E2346" s="9" t="str">
        <f aca="false">HYPERLINK("https://twitter.com/AndreaW28925929/status/922080677947899904","922080677947899904")</f>
        <v>922080677947899904</v>
      </c>
      <c r="F2346" s="10" t="s">
        <v>25</v>
      </c>
      <c r="G2346" s="10" t="n">
        <v>73</v>
      </c>
      <c r="H2346" s="10" t="n">
        <v>123</v>
      </c>
      <c r="I2346" s="10" t="n">
        <v>111</v>
      </c>
      <c r="J2346" s="10" t="n">
        <v>0</v>
      </c>
      <c r="K2346" s="10" t="s">
        <v>20</v>
      </c>
      <c r="L2346" s="11" t="n">
        <v>42816.2243981481</v>
      </c>
      <c r="M2346" s="12"/>
      <c r="N2346" s="12"/>
      <c r="O2346" s="9" t="str">
        <f aca="false">HYPERLINK("https://abs.twimg.com/sticky/default_profile_images/default_profile_normal.png","View")</f>
        <v>View</v>
      </c>
      <c r="P2346" s="10"/>
    </row>
    <row r="2347" customFormat="false" ht="15.75" hidden="false" customHeight="false" outlineLevel="0" collapsed="false">
      <c r="A2347" s="6" t="n">
        <v>43030.2377893519</v>
      </c>
      <c r="B2347" s="7" t="str">
        <f aca="false">HYPERLINK("https://twitter.com/andyhamamatsu","@andyhamamatsu")</f>
        <v>@andyhamamatsu</v>
      </c>
      <c r="C2347" s="8" t="s">
        <v>5996</v>
      </c>
      <c r="D2347" s="8" t="s">
        <v>5997</v>
      </c>
      <c r="E2347" s="9" t="str">
        <f aca="false">HYPERLINK("https://twitter.com/andyhamamatsu/status/922080700160815104","922080700160815104")</f>
        <v>922080700160815104</v>
      </c>
      <c r="F2347" s="10" t="s">
        <v>39</v>
      </c>
      <c r="G2347" s="10" t="n">
        <v>734</v>
      </c>
      <c r="H2347" s="10" t="n">
        <v>1077</v>
      </c>
      <c r="I2347" s="10" t="n">
        <v>1</v>
      </c>
      <c r="J2347" s="10" t="n">
        <v>0</v>
      </c>
      <c r="K2347" s="10" t="s">
        <v>20</v>
      </c>
      <c r="L2347" s="11" t="n">
        <v>40436.2557407407</v>
      </c>
      <c r="M2347" s="12" t="s">
        <v>5998</v>
      </c>
      <c r="N2347" s="12" t="s">
        <v>5999</v>
      </c>
      <c r="O2347" s="9" t="str">
        <f aca="false">HYPERLINK("https://pbs.twimg.com/profile_images/909014923354685441/ZXDrhnX__normal.jpg","View")</f>
        <v>View</v>
      </c>
      <c r="P2347" s="10"/>
    </row>
    <row r="2348" customFormat="false" ht="15.75" hidden="false" customHeight="false" outlineLevel="0" collapsed="false">
      <c r="A2348" s="6" t="n">
        <v>43030.2378819444</v>
      </c>
      <c r="B2348" s="7" t="str">
        <f aca="false">HYPERLINK("https://twitter.com/UrbanWronski","@UrbanWronski")</f>
        <v>@UrbanWronski</v>
      </c>
      <c r="C2348" s="8" t="s">
        <v>6000</v>
      </c>
      <c r="D2348" s="8" t="s">
        <v>6001</v>
      </c>
      <c r="E2348" s="9" t="str">
        <f aca="false">HYPERLINK("https://twitter.com/UrbanWronski/status/922080737423122432","922080737423122432")</f>
        <v>922080737423122432</v>
      </c>
      <c r="F2348" s="10" t="s">
        <v>177</v>
      </c>
      <c r="G2348" s="10" t="n">
        <v>1066</v>
      </c>
      <c r="H2348" s="10" t="n">
        <v>529</v>
      </c>
      <c r="I2348" s="10" t="n">
        <v>0</v>
      </c>
      <c r="J2348" s="10" t="n">
        <v>1</v>
      </c>
      <c r="K2348" s="10" t="s">
        <v>20</v>
      </c>
      <c r="L2348" s="11" t="n">
        <v>41888.996099537</v>
      </c>
      <c r="M2348" s="15" t="s">
        <v>6002</v>
      </c>
      <c r="N2348" s="12" t="s">
        <v>6003</v>
      </c>
      <c r="O2348" s="9" t="str">
        <f aca="false">HYPERLINK("https://pbs.twimg.com/profile_images/518712294868402176/LTBlbgk__normal.jpeg","View")</f>
        <v>View</v>
      </c>
      <c r="P2348" s="10"/>
    </row>
    <row r="2349" customFormat="false" ht="15.75" hidden="false" customHeight="false" outlineLevel="0" collapsed="false">
      <c r="A2349" s="6" t="n">
        <v>43030.2378935185</v>
      </c>
      <c r="B2349" s="7" t="str">
        <f aca="false">HYPERLINK("https://twitter.com/rashidaldosari","@rashidaldosari")</f>
        <v>@rashidaldosari</v>
      </c>
      <c r="C2349" s="8" t="s">
        <v>810</v>
      </c>
      <c r="D2349" s="8" t="s">
        <v>5135</v>
      </c>
      <c r="E2349" s="9" t="str">
        <f aca="false">HYPERLINK("https://twitter.com/rashidaldosari/status/922080741856567296","922080741856567296")</f>
        <v>922080741856567296</v>
      </c>
      <c r="F2349" s="10" t="s">
        <v>51</v>
      </c>
      <c r="G2349" s="10" t="n">
        <v>2401</v>
      </c>
      <c r="H2349" s="10" t="n">
        <v>55</v>
      </c>
      <c r="I2349" s="10" t="n">
        <v>18</v>
      </c>
      <c r="J2349" s="10" t="n">
        <v>0</v>
      </c>
      <c r="K2349" s="10" t="s">
        <v>20</v>
      </c>
      <c r="L2349" s="11" t="n">
        <v>40635.110625</v>
      </c>
      <c r="M2349" s="12"/>
      <c r="N2349" s="12" t="s">
        <v>811</v>
      </c>
      <c r="O2349" s="9" t="str">
        <f aca="false">HYPERLINK("https://pbs.twimg.com/profile_images/1389660377/image_normal.jpg","View")</f>
        <v>View</v>
      </c>
      <c r="P2349" s="10"/>
    </row>
    <row r="2350" customFormat="false" ht="15.75" hidden="false" customHeight="false" outlineLevel="0" collapsed="false">
      <c r="A2350" s="6" t="n">
        <v>43030.2379861111</v>
      </c>
      <c r="B2350" s="7" t="str">
        <f aca="false">HYPERLINK("https://twitter.com/johnthejack","@johnthejack")</f>
        <v>@johnthejack</v>
      </c>
      <c r="C2350" s="8" t="s">
        <v>6004</v>
      </c>
      <c r="D2350" s="8" t="s">
        <v>6005</v>
      </c>
      <c r="E2350" s="9" t="str">
        <f aca="false">HYPERLINK("https://twitter.com/johnthejack/status/922080772701466626","922080772701466626")</f>
        <v>922080772701466626</v>
      </c>
      <c r="F2350" s="10" t="s">
        <v>39</v>
      </c>
      <c r="G2350" s="10" t="n">
        <v>2124</v>
      </c>
      <c r="H2350" s="10" t="n">
        <v>2706</v>
      </c>
      <c r="I2350" s="10" t="n">
        <v>1</v>
      </c>
      <c r="J2350" s="10" t="n">
        <v>0</v>
      </c>
      <c r="K2350" s="10" t="s">
        <v>20</v>
      </c>
      <c r="L2350" s="11" t="n">
        <v>39186.4431944444</v>
      </c>
      <c r="M2350" s="12" t="s">
        <v>6006</v>
      </c>
      <c r="N2350" s="12" t="s">
        <v>6007</v>
      </c>
      <c r="O2350" s="9" t="str">
        <f aca="false">HYPERLINK("https://pbs.twimg.com/profile_images/601849476010123265/LAUastsg_normal.jpg","View")</f>
        <v>View</v>
      </c>
      <c r="P2350" s="10"/>
    </row>
    <row r="2351" customFormat="false" ht="15.75" hidden="false" customHeight="false" outlineLevel="0" collapsed="false">
      <c r="A2351" s="6" t="n">
        <v>43030.2383217593</v>
      </c>
      <c r="B2351" s="7" t="str">
        <f aca="false">HYPERLINK("https://twitter.com/marvellous997","@marvellous997")</f>
        <v>@marvellous997</v>
      </c>
      <c r="C2351" s="8" t="s">
        <v>1788</v>
      </c>
      <c r="D2351" s="8" t="s">
        <v>6008</v>
      </c>
      <c r="E2351" s="9" t="str">
        <f aca="false">HYPERLINK("https://twitter.com/marvellous997/status/922080896093773825","922080896093773825")</f>
        <v>922080896093773825</v>
      </c>
      <c r="F2351" s="10" t="s">
        <v>55</v>
      </c>
      <c r="G2351" s="10" t="n">
        <v>792</v>
      </c>
      <c r="H2351" s="10" t="n">
        <v>59</v>
      </c>
      <c r="I2351" s="10" t="n">
        <v>0</v>
      </c>
      <c r="J2351" s="10" t="n">
        <v>0</v>
      </c>
      <c r="K2351" s="10" t="s">
        <v>20</v>
      </c>
      <c r="L2351" s="11" t="n">
        <v>41334.1588078704</v>
      </c>
      <c r="M2351" s="12" t="s">
        <v>1790</v>
      </c>
      <c r="N2351" s="12" t="s">
        <v>1791</v>
      </c>
      <c r="O2351" s="9" t="str">
        <f aca="false">HYPERLINK("https://pbs.twimg.com/profile_images/765082261150720000/AKwZsJGh_normal.jpg","View")</f>
        <v>View</v>
      </c>
      <c r="P2351" s="10"/>
    </row>
    <row r="2352" customFormat="false" ht="15.75" hidden="false" customHeight="false" outlineLevel="0" collapsed="false">
      <c r="A2352" s="6" t="n">
        <v>43030.2383333333</v>
      </c>
      <c r="B2352" s="7" t="str">
        <f aca="false">HYPERLINK("https://twitter.com/jethrotoll","@jethrotoll")</f>
        <v>@jethrotoll</v>
      </c>
      <c r="C2352" s="8" t="s">
        <v>6009</v>
      </c>
      <c r="D2352" s="8" t="s">
        <v>5479</v>
      </c>
      <c r="E2352" s="9" t="str">
        <f aca="false">HYPERLINK("https://twitter.com/jethrotoll/status/922080899612708864","922080899612708864")</f>
        <v>922080899612708864</v>
      </c>
      <c r="F2352" s="10" t="s">
        <v>39</v>
      </c>
      <c r="G2352" s="10" t="n">
        <v>1450</v>
      </c>
      <c r="H2352" s="10" t="n">
        <v>4999</v>
      </c>
      <c r="I2352" s="10" t="n">
        <v>2</v>
      </c>
      <c r="J2352" s="10" t="n">
        <v>0</v>
      </c>
      <c r="K2352" s="10" t="s">
        <v>20</v>
      </c>
      <c r="L2352" s="11" t="n">
        <v>40576.0850115741</v>
      </c>
      <c r="M2352" s="12" t="s">
        <v>1961</v>
      </c>
      <c r="N2352" s="12" t="s">
        <v>6010</v>
      </c>
      <c r="O2352" s="9" t="str">
        <f aca="false">HYPERLINK("https://pbs.twimg.com/profile_images/463700953380577282/ZiDEe4xY_normal.png","View")</f>
        <v>View</v>
      </c>
      <c r="P2352" s="10"/>
    </row>
    <row r="2353" customFormat="false" ht="15.75" hidden="false" customHeight="false" outlineLevel="0" collapsed="false">
      <c r="A2353" s="6" t="n">
        <v>43030.2385648148</v>
      </c>
      <c r="B2353" s="7" t="str">
        <f aca="false">HYPERLINK("https://twitter.com/TheMeanBlog_Com","@TheMeanBlog_Com")</f>
        <v>@TheMeanBlog_Com</v>
      </c>
      <c r="C2353" s="7" t="s">
        <v>6011</v>
      </c>
      <c r="D2353" s="8" t="s">
        <v>6012</v>
      </c>
      <c r="E2353" s="9" t="str">
        <f aca="false">HYPERLINK("https://twitter.com/TheMeanBlog_Com/status/922080981351387139","922080981351387139")</f>
        <v>922080981351387139</v>
      </c>
      <c r="F2353" s="9" t="s">
        <v>979</v>
      </c>
      <c r="G2353" s="10" t="n">
        <v>57</v>
      </c>
      <c r="H2353" s="10" t="n">
        <v>1039</v>
      </c>
      <c r="I2353" s="10" t="n">
        <v>0</v>
      </c>
      <c r="J2353" s="10" t="n">
        <v>0</v>
      </c>
      <c r="K2353" s="10" t="s">
        <v>20</v>
      </c>
      <c r="L2353" s="11" t="n">
        <v>43007.3069444444</v>
      </c>
      <c r="M2353" s="12" t="s">
        <v>516</v>
      </c>
      <c r="N2353" s="12" t="s">
        <v>6013</v>
      </c>
      <c r="O2353" s="9" t="str">
        <f aca="false">HYPERLINK("https://pbs.twimg.com/profile_images/913774399408525318/QlXO6KPu_normal.jpg","View")</f>
        <v>View</v>
      </c>
      <c r="P2353" s="10"/>
    </row>
    <row r="2354" customFormat="false" ht="15.75" hidden="false" customHeight="false" outlineLevel="0" collapsed="false">
      <c r="A2354" s="6" t="n">
        <v>43030.2387037037</v>
      </c>
      <c r="B2354" s="7" t="str">
        <f aca="false">HYPERLINK("https://twitter.com/Jedibeeftrix","@Jedibeeftrix")</f>
        <v>@Jedibeeftrix</v>
      </c>
      <c r="C2354" s="8" t="s">
        <v>6014</v>
      </c>
      <c r="D2354" s="8" t="s">
        <v>6015</v>
      </c>
      <c r="E2354" s="9" t="str">
        <f aca="false">HYPERLINK("https://twitter.com/Jedibeeftrix/status/922081033213939712","922081033213939712")</f>
        <v>922081033213939712</v>
      </c>
      <c r="F2354" s="10" t="s">
        <v>39</v>
      </c>
      <c r="G2354" s="10" t="n">
        <v>240</v>
      </c>
      <c r="H2354" s="10" t="n">
        <v>228</v>
      </c>
      <c r="I2354" s="10" t="n">
        <v>0</v>
      </c>
      <c r="J2354" s="10" t="n">
        <v>0</v>
      </c>
      <c r="K2354" s="10" t="s">
        <v>20</v>
      </c>
      <c r="L2354" s="11" t="n">
        <v>40265.6773148148</v>
      </c>
      <c r="M2354" s="12"/>
      <c r="N2354" s="12" t="s">
        <v>6016</v>
      </c>
      <c r="O2354" s="9" t="str">
        <f aca="false">HYPERLINK("https://pbs.twimg.com/profile_images/909789695/Jedibeeftrix_normal.png","View")</f>
        <v>View</v>
      </c>
      <c r="P2354" s="10"/>
    </row>
    <row r="2355" customFormat="false" ht="15.75" hidden="false" customHeight="false" outlineLevel="0" collapsed="false">
      <c r="A2355" s="6" t="n">
        <v>43030.2389930556</v>
      </c>
      <c r="B2355" s="7" t="str">
        <f aca="false">HYPERLINK("https://twitter.com/malipoza","@malipoza")</f>
        <v>@malipoza</v>
      </c>
      <c r="C2355" s="14" t="s">
        <v>6017</v>
      </c>
      <c r="D2355" s="8" t="s">
        <v>6018</v>
      </c>
      <c r="E2355" s="9" t="str">
        <f aca="false">HYPERLINK("https://twitter.com/malipoza/status/922081136473288704","922081136473288704")</f>
        <v>922081136473288704</v>
      </c>
      <c r="F2355" s="10" t="s">
        <v>51</v>
      </c>
      <c r="G2355" s="10" t="n">
        <v>670</v>
      </c>
      <c r="H2355" s="10" t="n">
        <v>449</v>
      </c>
      <c r="I2355" s="10" t="n">
        <v>1</v>
      </c>
      <c r="J2355" s="10" t="n">
        <v>0</v>
      </c>
      <c r="K2355" s="10" t="s">
        <v>20</v>
      </c>
      <c r="L2355" s="11" t="n">
        <v>40114.4245833333</v>
      </c>
      <c r="M2355" s="12" t="s">
        <v>3162</v>
      </c>
      <c r="N2355" s="13" t="s">
        <v>6019</v>
      </c>
      <c r="O2355" s="9" t="str">
        <f aca="false">HYPERLINK("https://pbs.twimg.com/profile_images/494883946/face_normal.jpg","View")</f>
        <v>View</v>
      </c>
      <c r="P2355" s="10"/>
    </row>
    <row r="2356" customFormat="false" ht="15.75" hidden="false" customHeight="false" outlineLevel="0" collapsed="false">
      <c r="A2356" s="6" t="n">
        <v>43030.2391319444</v>
      </c>
      <c r="B2356" s="7" t="str">
        <f aca="false">HYPERLINK("https://twitter.com/LadyEleanorA","@LadyEleanorA")</f>
        <v>@LadyEleanorA</v>
      </c>
      <c r="C2356" s="8" t="s">
        <v>6020</v>
      </c>
      <c r="D2356" s="8" t="s">
        <v>6021</v>
      </c>
      <c r="E2356" s="9" t="str">
        <f aca="false">HYPERLINK("https://twitter.com/LadyEleanorA/status/922081188323446784","922081188323446784")</f>
        <v>922081188323446784</v>
      </c>
      <c r="F2356" s="10" t="s">
        <v>51</v>
      </c>
      <c r="G2356" s="10" t="n">
        <v>5689</v>
      </c>
      <c r="H2356" s="10" t="n">
        <v>6130</v>
      </c>
      <c r="I2356" s="10" t="n">
        <v>1</v>
      </c>
      <c r="J2356" s="10" t="n">
        <v>0</v>
      </c>
      <c r="K2356" s="10" t="s">
        <v>20</v>
      </c>
      <c r="L2356" s="11" t="n">
        <v>40416.1257175926</v>
      </c>
      <c r="M2356" s="12" t="s">
        <v>6022</v>
      </c>
      <c r="N2356" s="12" t="s">
        <v>6023</v>
      </c>
      <c r="O2356" s="9" t="str">
        <f aca="false">HYPERLINK("https://pbs.twimg.com/profile_images/894528131247243266/uAnC96uo_normal.jpg","View")</f>
        <v>View</v>
      </c>
      <c r="P2356" s="10"/>
    </row>
    <row r="2357" customFormat="false" ht="15.75" hidden="false" customHeight="false" outlineLevel="0" collapsed="false">
      <c r="A2357" s="6" t="n">
        <v>43030.2392013889</v>
      </c>
      <c r="B2357" s="7" t="str">
        <f aca="false">HYPERLINK("https://twitter.com/kick_butts","@kick_butts")</f>
        <v>@kick_butts</v>
      </c>
      <c r="C2357" s="8" t="s">
        <v>5948</v>
      </c>
      <c r="D2357" s="8" t="s">
        <v>6024</v>
      </c>
      <c r="E2357" s="9" t="str">
        <f aca="false">HYPERLINK("https://twitter.com/kick_butts/status/922081212218224644","922081212218224644")</f>
        <v>922081212218224644</v>
      </c>
      <c r="F2357" s="10" t="s">
        <v>51</v>
      </c>
      <c r="G2357" s="10" t="n">
        <v>1172</v>
      </c>
      <c r="H2357" s="10" t="n">
        <v>268</v>
      </c>
      <c r="I2357" s="10" t="n">
        <v>1</v>
      </c>
      <c r="J2357" s="10" t="n">
        <v>0</v>
      </c>
      <c r="K2357" s="10" t="s">
        <v>20</v>
      </c>
      <c r="L2357" s="11" t="n">
        <v>40333.3452430556</v>
      </c>
      <c r="M2357" s="13" t="s">
        <v>5949</v>
      </c>
      <c r="N2357" s="12" t="s">
        <v>5950</v>
      </c>
      <c r="O2357" s="9" t="str">
        <f aca="false">HYPERLINK("https://pbs.twimg.com/profile_images/762642176480120832/Ab--2jVQ_normal.jpg","View")</f>
        <v>View</v>
      </c>
      <c r="P2357" s="10"/>
    </row>
    <row r="2358" customFormat="false" ht="15.75" hidden="false" customHeight="false" outlineLevel="0" collapsed="false">
      <c r="A2358" s="6" t="n">
        <v>43030.239224537</v>
      </c>
      <c r="B2358" s="7" t="str">
        <f aca="false">HYPERLINK("https://twitter.com/labirinto","@labirinto")</f>
        <v>@labirinto</v>
      </c>
      <c r="C2358" s="8" t="s">
        <v>6025</v>
      </c>
      <c r="D2358" s="8" t="s">
        <v>6026</v>
      </c>
      <c r="E2358" s="9" t="str">
        <f aca="false">HYPERLINK("https://twitter.com/labirinto/status/922081222918098944","922081222918098944")</f>
        <v>922081222918098944</v>
      </c>
      <c r="F2358" s="10" t="s">
        <v>39</v>
      </c>
      <c r="G2358" s="10" t="n">
        <v>1000</v>
      </c>
      <c r="H2358" s="10" t="n">
        <v>1580</v>
      </c>
      <c r="I2358" s="10" t="n">
        <v>0</v>
      </c>
      <c r="J2358" s="10" t="n">
        <v>0</v>
      </c>
      <c r="K2358" s="10" t="s">
        <v>20</v>
      </c>
      <c r="L2358" s="11" t="n">
        <v>39819.3506481481</v>
      </c>
      <c r="M2358" s="12" t="s">
        <v>6027</v>
      </c>
      <c r="N2358" s="12" t="s">
        <v>6028</v>
      </c>
      <c r="O2358" s="9" t="str">
        <f aca="false">HYPERLINK("https://pbs.twimg.com/profile_images/2252468334/eu1a_normal.jpg","View")</f>
        <v>View</v>
      </c>
      <c r="P2358" s="10"/>
    </row>
    <row r="2359" customFormat="false" ht="15.75" hidden="false" customHeight="false" outlineLevel="0" collapsed="false">
      <c r="A2359" s="6" t="n">
        <v>43030.2392708333</v>
      </c>
      <c r="B2359" s="7" t="str">
        <f aca="false">HYPERLINK("https://twitter.com/Jedibeeftrix","@Jedibeeftrix")</f>
        <v>@Jedibeeftrix</v>
      </c>
      <c r="C2359" s="8" t="s">
        <v>6014</v>
      </c>
      <c r="D2359" s="8" t="s">
        <v>6029</v>
      </c>
      <c r="E2359" s="9" t="str">
        <f aca="false">HYPERLINK("https://twitter.com/Jedibeeftrix/status/922081237895925760","922081237895925760")</f>
        <v>922081237895925760</v>
      </c>
      <c r="F2359" s="10" t="s">
        <v>39</v>
      </c>
      <c r="G2359" s="10" t="n">
        <v>240</v>
      </c>
      <c r="H2359" s="10" t="n">
        <v>228</v>
      </c>
      <c r="I2359" s="10" t="n">
        <v>0</v>
      </c>
      <c r="J2359" s="10" t="n">
        <v>0</v>
      </c>
      <c r="K2359" s="10" t="s">
        <v>20</v>
      </c>
      <c r="L2359" s="11" t="n">
        <v>40265.6773148148</v>
      </c>
      <c r="M2359" s="12"/>
      <c r="N2359" s="12" t="s">
        <v>6016</v>
      </c>
      <c r="O2359" s="9" t="str">
        <f aca="false">HYPERLINK("https://pbs.twimg.com/profile_images/909789695/Jedibeeftrix_normal.png","View")</f>
        <v>View</v>
      </c>
      <c r="P2359" s="10"/>
    </row>
    <row r="2360" customFormat="false" ht="15.75" hidden="false" customHeight="false" outlineLevel="0" collapsed="false">
      <c r="A2360" s="6" t="n">
        <v>43030.2397106482</v>
      </c>
      <c r="B2360" s="7" t="str">
        <f aca="false">HYPERLINK("https://twitter.com/CookingNewz","@CookingNewz")</f>
        <v>@CookingNewz</v>
      </c>
      <c r="C2360" s="8" t="s">
        <v>6030</v>
      </c>
      <c r="D2360" s="8" t="s">
        <v>6031</v>
      </c>
      <c r="E2360" s="9" t="str">
        <f aca="false">HYPERLINK("https://twitter.com/CookingNewz/status/922081398663589889","922081398663589889")</f>
        <v>922081398663589889</v>
      </c>
      <c r="F2360" s="10" t="s">
        <v>6032</v>
      </c>
      <c r="G2360" s="10" t="n">
        <v>14730</v>
      </c>
      <c r="H2360" s="10" t="n">
        <v>654</v>
      </c>
      <c r="I2360" s="10" t="n">
        <v>0</v>
      </c>
      <c r="J2360" s="10" t="n">
        <v>0</v>
      </c>
      <c r="K2360" s="10" t="s">
        <v>20</v>
      </c>
      <c r="L2360" s="11" t="n">
        <v>41210.8821527778</v>
      </c>
      <c r="M2360" s="12" t="s">
        <v>2102</v>
      </c>
      <c r="N2360" s="12" t="s">
        <v>6033</v>
      </c>
      <c r="O2360" s="9" t="str">
        <f aca="false">HYPERLINK("https://pbs.twimg.com/profile_images/687343163510374400/0pjzn2Y3_normal.png","View")</f>
        <v>View</v>
      </c>
      <c r="P2360" s="10"/>
    </row>
    <row r="2361" customFormat="false" ht="15.75" hidden="false" customHeight="false" outlineLevel="0" collapsed="false">
      <c r="A2361" s="6" t="n">
        <v>43030.2397222222</v>
      </c>
      <c r="B2361" s="7" t="str">
        <f aca="false">HYPERLINK("https://twitter.com/globnewsen","@globnewsen")</f>
        <v>@globnewsen</v>
      </c>
      <c r="C2361" s="8" t="s">
        <v>1793</v>
      </c>
      <c r="D2361" s="8" t="s">
        <v>6034</v>
      </c>
      <c r="E2361" s="9" t="str">
        <f aca="false">HYPERLINK("https://twitter.com/globnewsen/status/922081404506263552","922081404506263552")</f>
        <v>922081404506263552</v>
      </c>
      <c r="F2361" s="10" t="s">
        <v>60</v>
      </c>
      <c r="G2361" s="10" t="n">
        <v>538</v>
      </c>
      <c r="H2361" s="10" t="n">
        <v>0</v>
      </c>
      <c r="I2361" s="10" t="n">
        <v>0</v>
      </c>
      <c r="J2361" s="10" t="n">
        <v>0</v>
      </c>
      <c r="K2361" s="10" t="s">
        <v>20</v>
      </c>
      <c r="L2361" s="11" t="n">
        <v>41790.5255902778</v>
      </c>
      <c r="M2361" s="12"/>
      <c r="N2361" s="12"/>
      <c r="O2361" s="9" t="str">
        <f aca="false">HYPERLINK("https://abs.twimg.com/sticky/default_profile_images/default_profile_normal.png","View")</f>
        <v>View</v>
      </c>
      <c r="P2361" s="10"/>
    </row>
    <row r="2362" customFormat="false" ht="15.75" hidden="false" customHeight="false" outlineLevel="0" collapsed="false">
      <c r="A2362" s="6" t="n">
        <v>43030.240150463</v>
      </c>
      <c r="B2362" s="7" t="str">
        <f aca="false">HYPERLINK("https://twitter.com/PMunozLorite","@PMunozLorite")</f>
        <v>@PMunozLorite</v>
      </c>
      <c r="C2362" s="8" t="s">
        <v>351</v>
      </c>
      <c r="D2362" s="8" t="s">
        <v>6035</v>
      </c>
      <c r="E2362" s="9" t="str">
        <f aca="false">HYPERLINK("https://twitter.com/PMunozLorite/status/922081556851822592","922081556851822592")</f>
        <v>922081556851822592</v>
      </c>
      <c r="F2362" s="10" t="s">
        <v>110</v>
      </c>
      <c r="G2362" s="10" t="n">
        <v>2678</v>
      </c>
      <c r="H2362" s="10" t="n">
        <v>4946</v>
      </c>
      <c r="I2362" s="10" t="n">
        <v>0</v>
      </c>
      <c r="J2362" s="10" t="n">
        <v>0</v>
      </c>
      <c r="K2362" s="10" t="s">
        <v>20</v>
      </c>
      <c r="L2362" s="11" t="n">
        <v>39769.5892939815</v>
      </c>
      <c r="M2362" s="12" t="s">
        <v>353</v>
      </c>
      <c r="N2362" s="12" t="s">
        <v>354</v>
      </c>
      <c r="O2362" s="9" t="str">
        <f aca="false">HYPERLINK("https://pbs.twimg.com/profile_images/574247662901403648/LzeOfYmt_normal.jpeg","View")</f>
        <v>View</v>
      </c>
      <c r="P2362" s="10"/>
    </row>
    <row r="2363" customFormat="false" ht="15.75" hidden="false" customHeight="false" outlineLevel="0" collapsed="false">
      <c r="A2363" s="6" t="n">
        <v>43030.2401851852</v>
      </c>
      <c r="B2363" s="7" t="str">
        <f aca="false">HYPERLINK("https://twitter.com/SpeakT2P","@SpeakT2P")</f>
        <v>@SpeakT2P</v>
      </c>
      <c r="C2363" s="8" t="s">
        <v>6036</v>
      </c>
      <c r="D2363" s="8" t="s">
        <v>6037</v>
      </c>
      <c r="E2363" s="9" t="str">
        <f aca="false">HYPERLINK("https://twitter.com/SpeakT2P/status/922081571888230401","922081571888230401")</f>
        <v>922081571888230401</v>
      </c>
      <c r="F2363" s="9" t="s">
        <v>1147</v>
      </c>
      <c r="G2363" s="10" t="n">
        <v>23875</v>
      </c>
      <c r="H2363" s="10" t="n">
        <v>19905</v>
      </c>
      <c r="I2363" s="10" t="n">
        <v>0</v>
      </c>
      <c r="J2363" s="10" t="n">
        <v>1</v>
      </c>
      <c r="K2363" s="10" t="s">
        <v>20</v>
      </c>
      <c r="L2363" s="11" t="n">
        <v>41667.5131018519</v>
      </c>
      <c r="M2363" s="12" t="s">
        <v>1946</v>
      </c>
      <c r="N2363" s="12" t="s">
        <v>6038</v>
      </c>
      <c r="O2363" s="9" t="str">
        <f aca="false">HYPERLINK("https://pbs.twimg.com/profile_images/430860412918439936/Zt6rWfFQ_normal.jpeg","View")</f>
        <v>View</v>
      </c>
      <c r="P2363" s="10"/>
    </row>
    <row r="2364" customFormat="false" ht="15.75" hidden="false" customHeight="false" outlineLevel="0" collapsed="false">
      <c r="A2364" s="6" t="n">
        <v>43030.2403587963</v>
      </c>
      <c r="B2364" s="7" t="str">
        <f aca="false">HYPERLINK("https://twitter.com/southeastasia4u","@southeastasia4u")</f>
        <v>@southeastasia4u</v>
      </c>
      <c r="C2364" s="8" t="s">
        <v>5391</v>
      </c>
      <c r="D2364" s="8" t="s">
        <v>6039</v>
      </c>
      <c r="E2364" s="9" t="str">
        <f aca="false">HYPERLINK("https://twitter.com/southeastasia4u/status/922081632022073344","922081632022073344")</f>
        <v>922081632022073344</v>
      </c>
      <c r="F2364" s="10" t="s">
        <v>110</v>
      </c>
      <c r="G2364" s="10" t="n">
        <v>10288</v>
      </c>
      <c r="H2364" s="10" t="n">
        <v>262</v>
      </c>
      <c r="I2364" s="10" t="n">
        <v>0</v>
      </c>
      <c r="J2364" s="10" t="n">
        <v>0</v>
      </c>
      <c r="K2364" s="10" t="s">
        <v>20</v>
      </c>
      <c r="L2364" s="11" t="n">
        <v>40501.2558449074</v>
      </c>
      <c r="M2364" s="12"/>
      <c r="N2364" s="12" t="s">
        <v>5393</v>
      </c>
      <c r="O2364" s="9" t="str">
        <f aca="false">HYPERLINK("https://pbs.twimg.com/profile_images/731982571609935872/8_XxaGHF_normal.jpg","View")</f>
        <v>View</v>
      </c>
      <c r="P2364" s="10"/>
    </row>
    <row r="2365" customFormat="false" ht="15.75" hidden="false" customHeight="false" outlineLevel="0" collapsed="false">
      <c r="A2365" s="6" t="n">
        <v>43030.2403819445</v>
      </c>
      <c r="B2365" s="7" t="str">
        <f aca="false">HYPERLINK("https://twitter.com/BN365","@BN365")</f>
        <v>@BN365</v>
      </c>
      <c r="C2365" s="8" t="s">
        <v>310</v>
      </c>
      <c r="D2365" s="8" t="s">
        <v>6040</v>
      </c>
      <c r="E2365" s="9" t="str">
        <f aca="false">HYPERLINK("https://twitter.com/BN365/status/922081642579144705","922081642579144705")</f>
        <v>922081642579144705</v>
      </c>
      <c r="F2365" s="10" t="s">
        <v>60</v>
      </c>
      <c r="G2365" s="10" t="n">
        <v>467</v>
      </c>
      <c r="H2365" s="10" t="n">
        <v>25</v>
      </c>
      <c r="I2365" s="10" t="n">
        <v>0</v>
      </c>
      <c r="J2365" s="10" t="n">
        <v>0</v>
      </c>
      <c r="K2365" s="10" t="s">
        <v>20</v>
      </c>
      <c r="L2365" s="11" t="n">
        <v>42265.8858912037</v>
      </c>
      <c r="M2365" s="12" t="s">
        <v>6041</v>
      </c>
      <c r="N2365" s="12" t="s">
        <v>6042</v>
      </c>
      <c r="O2365" s="9" t="str">
        <f aca="false">HYPERLINK("https://pbs.twimg.com/profile_images/663231525345996800/5lNUuXDr_normal.jpg","View")</f>
        <v>View</v>
      </c>
      <c r="P2365" s="10"/>
    </row>
    <row r="2366" customFormat="false" ht="15.75" hidden="false" customHeight="false" outlineLevel="0" collapsed="false">
      <c r="A2366" s="6" t="n">
        <v>43030.2403935185</v>
      </c>
      <c r="B2366" s="7" t="str">
        <f aca="false">HYPERLINK("https://twitter.com/FCoticchia","@FCoticchia")</f>
        <v>@FCoticchia</v>
      </c>
      <c r="C2366" s="8" t="s">
        <v>6043</v>
      </c>
      <c r="D2366" s="8" t="s">
        <v>5135</v>
      </c>
      <c r="E2366" s="9" t="str">
        <f aca="false">HYPERLINK("https://twitter.com/FCoticchia/status/922081644688957440","922081644688957440")</f>
        <v>922081644688957440</v>
      </c>
      <c r="F2366" s="10" t="s">
        <v>51</v>
      </c>
      <c r="G2366" s="10" t="n">
        <v>699</v>
      </c>
      <c r="H2366" s="10" t="n">
        <v>1177</v>
      </c>
      <c r="I2366" s="10" t="n">
        <v>18</v>
      </c>
      <c r="J2366" s="10" t="n">
        <v>0</v>
      </c>
      <c r="K2366" s="10" t="s">
        <v>20</v>
      </c>
      <c r="L2366" s="11" t="n">
        <v>41451.2233796296</v>
      </c>
      <c r="M2366" s="12"/>
      <c r="N2366" s="12" t="s">
        <v>6044</v>
      </c>
      <c r="O2366" s="9" t="str">
        <f aca="false">HYPERLINK("https://pbs.twimg.com/profile_images/917109982864269313/iyi7gEAa_normal.jpg","View")</f>
        <v>View</v>
      </c>
      <c r="P2366" s="10"/>
    </row>
    <row r="2367" customFormat="false" ht="15.75" hidden="false" customHeight="false" outlineLevel="0" collapsed="false">
      <c r="A2367" s="6" t="n">
        <v>43030.2404861111</v>
      </c>
      <c r="B2367" s="7" t="str">
        <f aca="false">HYPERLINK("https://twitter.com/DawnLeaks","@DawnLeaks")</f>
        <v>@DawnLeaks</v>
      </c>
      <c r="C2367" s="8" t="s">
        <v>6045</v>
      </c>
      <c r="D2367" s="8" t="s">
        <v>6046</v>
      </c>
      <c r="E2367" s="9" t="str">
        <f aca="false">HYPERLINK("https://twitter.com/DawnLeaks/status/922081681049255936","922081681049255936")</f>
        <v>922081681049255936</v>
      </c>
      <c r="F2367" s="10" t="s">
        <v>25</v>
      </c>
      <c r="G2367" s="10" t="n">
        <v>1642</v>
      </c>
      <c r="H2367" s="10" t="n">
        <v>579</v>
      </c>
      <c r="I2367" s="10" t="n">
        <v>0</v>
      </c>
      <c r="J2367" s="10" t="n">
        <v>0</v>
      </c>
      <c r="K2367" s="10" t="s">
        <v>20</v>
      </c>
      <c r="L2367" s="11" t="n">
        <v>42788.9666782408</v>
      </c>
      <c r="M2367" s="12"/>
      <c r="N2367" s="12"/>
      <c r="O2367" s="9" t="str">
        <f aca="false">HYPERLINK("https://pbs.twimg.com/profile_images/835142700559187969/QKX1HYYR_normal.jpg","View")</f>
        <v>View</v>
      </c>
      <c r="P2367" s="10"/>
    </row>
    <row r="2368" customFormat="false" ht="15.75" hidden="false" customHeight="false" outlineLevel="0" collapsed="false">
      <c r="A2368" s="6" t="n">
        <v>43030.2405092593</v>
      </c>
      <c r="B2368" s="7" t="str">
        <f aca="false">HYPERLINK("https://twitter.com/eTurboNews","@eTurboNews")</f>
        <v>@eTurboNews</v>
      </c>
      <c r="C2368" s="8" t="s">
        <v>6047</v>
      </c>
      <c r="D2368" s="8" t="s">
        <v>6048</v>
      </c>
      <c r="E2368" s="9" t="str">
        <f aca="false">HYPERLINK("https://twitter.com/eTurboNews/status/922081688934670337","922081688934670337")</f>
        <v>922081688934670337</v>
      </c>
      <c r="F2368" s="9" t="s">
        <v>979</v>
      </c>
      <c r="G2368" s="10" t="n">
        <v>23895</v>
      </c>
      <c r="H2368" s="10" t="n">
        <v>18210</v>
      </c>
      <c r="I2368" s="10" t="n">
        <v>0</v>
      </c>
      <c r="J2368" s="10" t="n">
        <v>0</v>
      </c>
      <c r="K2368" s="10" t="s">
        <v>20</v>
      </c>
      <c r="L2368" s="11" t="n">
        <v>39922.8573958333</v>
      </c>
      <c r="M2368" s="12" t="s">
        <v>6049</v>
      </c>
      <c r="N2368" s="12" t="s">
        <v>6050</v>
      </c>
      <c r="O2368" s="9" t="str">
        <f aca="false">HYPERLINK("https://pbs.twimg.com/profile_images/491388592153849857/ZhkTwNJy_normal.jpeg","View")</f>
        <v>View</v>
      </c>
      <c r="P2368" s="10"/>
    </row>
    <row r="2369" customFormat="false" ht="15.75" hidden="false" customHeight="false" outlineLevel="0" collapsed="false">
      <c r="A2369" s="6" t="n">
        <v>43030.2405439815</v>
      </c>
      <c r="B2369" s="7" t="str">
        <f aca="false">HYPERLINK("https://twitter.com/Social_Media_A1","@Social_Media_A1")</f>
        <v>@Social_Media_A1</v>
      </c>
      <c r="C2369" s="8" t="s">
        <v>306</v>
      </c>
      <c r="D2369" s="8" t="s">
        <v>6051</v>
      </c>
      <c r="E2369" s="9" t="str">
        <f aca="false">HYPERLINK("https://twitter.com/Social_Media_A1/status/922081698946445312","922081698946445312")</f>
        <v>922081698946445312</v>
      </c>
      <c r="F2369" s="10" t="s">
        <v>110</v>
      </c>
      <c r="G2369" s="10" t="n">
        <v>67550</v>
      </c>
      <c r="H2369" s="10" t="n">
        <v>49291</v>
      </c>
      <c r="I2369" s="10" t="n">
        <v>0</v>
      </c>
      <c r="J2369" s="10" t="n">
        <v>0</v>
      </c>
      <c r="K2369" s="10" t="s">
        <v>20</v>
      </c>
      <c r="L2369" s="11" t="n">
        <v>42137.8611574074</v>
      </c>
      <c r="M2369" s="12"/>
      <c r="N2369" s="12" t="s">
        <v>308</v>
      </c>
      <c r="O2369" s="9" t="str">
        <f aca="false">HYPERLINK("https://pbs.twimg.com/profile_images/859645637687750657/cJF8elPS_normal.jpg","View")</f>
        <v>View</v>
      </c>
      <c r="P2369" s="10"/>
    </row>
    <row r="2370" customFormat="false" ht="15.75" hidden="false" customHeight="false" outlineLevel="0" collapsed="false">
      <c r="A2370" s="6" t="n">
        <v>43030.2405671296</v>
      </c>
      <c r="B2370" s="7" t="str">
        <f aca="false">HYPERLINK("https://twitter.com/Kethical","@Kethical")</f>
        <v>@Kethical</v>
      </c>
      <c r="C2370" s="8" t="s">
        <v>6052</v>
      </c>
      <c r="D2370" s="8" t="s">
        <v>6053</v>
      </c>
      <c r="E2370" s="9" t="str">
        <f aca="false">HYPERLINK("https://twitter.com/Kethical/status/922081708580667397","922081708580667397")</f>
        <v>922081708580667397</v>
      </c>
      <c r="F2370" s="10" t="s">
        <v>51</v>
      </c>
      <c r="G2370" s="10" t="n">
        <v>1417</v>
      </c>
      <c r="H2370" s="10" t="n">
        <v>2507</v>
      </c>
      <c r="I2370" s="10" t="n">
        <v>0</v>
      </c>
      <c r="J2370" s="10" t="n">
        <v>0</v>
      </c>
      <c r="K2370" s="10" t="s">
        <v>20</v>
      </c>
      <c r="L2370" s="11" t="n">
        <v>40415.0963425926</v>
      </c>
      <c r="M2370" s="12" t="s">
        <v>893</v>
      </c>
      <c r="N2370" s="12" t="s">
        <v>6054</v>
      </c>
      <c r="O2370" s="9" t="str">
        <f aca="false">HYPERLINK("https://pbs.twimg.com/profile_images/619528322511450112/g1_vlzYr_normal.jpg","View")</f>
        <v>View</v>
      </c>
      <c r="P2370" s="10"/>
    </row>
    <row r="2371" customFormat="false" ht="15.75" hidden="false" customHeight="false" outlineLevel="0" collapsed="false">
      <c r="A2371" s="6" t="n">
        <v>43030.2405902778</v>
      </c>
      <c r="B2371" s="7" t="str">
        <f aca="false">HYPERLINK("https://twitter.com/PhamNguyenly","@PhamNguyenly")</f>
        <v>@PhamNguyenly</v>
      </c>
      <c r="C2371" s="8" t="s">
        <v>1538</v>
      </c>
      <c r="D2371" s="8" t="s">
        <v>6055</v>
      </c>
      <c r="E2371" s="9" t="str">
        <f aca="false">HYPERLINK("https://twitter.com/PhamNguyenly/status/922081718538067968","922081718538067968")</f>
        <v>922081718538067968</v>
      </c>
      <c r="F2371" s="10" t="s">
        <v>55</v>
      </c>
      <c r="G2371" s="10" t="n">
        <v>174</v>
      </c>
      <c r="H2371" s="10" t="n">
        <v>48</v>
      </c>
      <c r="I2371" s="10" t="n">
        <v>0</v>
      </c>
      <c r="J2371" s="10" t="n">
        <v>0</v>
      </c>
      <c r="K2371" s="10" t="s">
        <v>20</v>
      </c>
      <c r="L2371" s="11" t="n">
        <v>42379.075162037</v>
      </c>
      <c r="M2371" s="12"/>
      <c r="N2371" s="12"/>
      <c r="O2371" s="9" t="str">
        <f aca="false">HYPERLINK("https://pbs.twimg.com/profile_images/686123123029053440/tlIsdN69_normal.jpg","View")</f>
        <v>View</v>
      </c>
      <c r="P2371" s="10"/>
    </row>
    <row r="2372" customFormat="false" ht="15.75" hidden="false" customHeight="false" outlineLevel="0" collapsed="false">
      <c r="A2372" s="6" t="n">
        <v>43030.2406712963</v>
      </c>
      <c r="B2372" s="7" t="str">
        <f aca="false">HYPERLINK("https://twitter.com/nadsday","@nadsday")</f>
        <v>@nadsday</v>
      </c>
      <c r="C2372" s="8" t="s">
        <v>6056</v>
      </c>
      <c r="D2372" s="8" t="s">
        <v>3971</v>
      </c>
      <c r="E2372" s="9" t="str">
        <f aca="false">HYPERLINK("https://twitter.com/nadsday/status/922081745641594880","922081745641594880")</f>
        <v>922081745641594880</v>
      </c>
      <c r="F2372" s="10" t="s">
        <v>98</v>
      </c>
      <c r="G2372" s="10" t="n">
        <v>2928</v>
      </c>
      <c r="H2372" s="10" t="n">
        <v>2530</v>
      </c>
      <c r="I2372" s="10" t="n">
        <v>24</v>
      </c>
      <c r="J2372" s="10" t="n">
        <v>0</v>
      </c>
      <c r="K2372" s="10" t="s">
        <v>20</v>
      </c>
      <c r="L2372" s="11" t="n">
        <v>40387.2705902778</v>
      </c>
      <c r="M2372" s="12" t="s">
        <v>6057</v>
      </c>
      <c r="N2372" s="12" t="s">
        <v>6058</v>
      </c>
      <c r="O2372" s="9" t="str">
        <f aca="false">HYPERLINK("https://pbs.twimg.com/profile_images/1089786099/Nadia__2__normal.jpg","View")</f>
        <v>View</v>
      </c>
      <c r="P2372" s="10"/>
    </row>
    <row r="2373" customFormat="false" ht="15.75" hidden="false" customHeight="false" outlineLevel="0" collapsed="false">
      <c r="A2373" s="6" t="n">
        <v>43030.2409722222</v>
      </c>
      <c r="B2373" s="7" t="str">
        <f aca="false">HYPERLINK("https://twitter.com/KazimotoBaraka3","@KazimotoBaraka3")</f>
        <v>@KazimotoBaraka3</v>
      </c>
      <c r="C2373" s="8" t="s">
        <v>6059</v>
      </c>
      <c r="D2373" s="8" t="s">
        <v>3646</v>
      </c>
      <c r="E2373" s="9" t="str">
        <f aca="false">HYPERLINK("https://twitter.com/KazimotoBaraka3/status/922081857625382915","922081857625382915")</f>
        <v>922081857625382915</v>
      </c>
      <c r="F2373" s="10" t="s">
        <v>25</v>
      </c>
      <c r="G2373" s="10" t="n">
        <v>482</v>
      </c>
      <c r="H2373" s="10" t="n">
        <v>5000</v>
      </c>
      <c r="I2373" s="10" t="n">
        <v>71</v>
      </c>
      <c r="J2373" s="10" t="n">
        <v>0</v>
      </c>
      <c r="K2373" s="10" t="s">
        <v>20</v>
      </c>
      <c r="L2373" s="11" t="n">
        <v>42834.0741319445</v>
      </c>
      <c r="M2373" s="12" t="s">
        <v>5398</v>
      </c>
      <c r="N2373" s="12" t="s">
        <v>6060</v>
      </c>
      <c r="O2373" s="9" t="str">
        <f aca="false">HYPERLINK("https://pbs.twimg.com/profile_images/912565184815882240/RnjIyacP_normal.jpg","View")</f>
        <v>View</v>
      </c>
      <c r="P2373" s="10"/>
    </row>
    <row r="2374" customFormat="false" ht="15.75" hidden="false" customHeight="false" outlineLevel="0" collapsed="false">
      <c r="A2374" s="6" t="n">
        <v>43030.2410300926</v>
      </c>
      <c r="B2374" s="7" t="str">
        <f aca="false">HYPERLINK("https://twitter.com/bridges2italy","@bridges2italy")</f>
        <v>@bridges2italy</v>
      </c>
      <c r="C2374" s="8" t="s">
        <v>6061</v>
      </c>
      <c r="D2374" s="8" t="s">
        <v>4984</v>
      </c>
      <c r="E2374" s="9" t="str">
        <f aca="false">HYPERLINK("https://twitter.com/bridges2italy/status/922081878592471040","922081878592471040")</f>
        <v>922081878592471040</v>
      </c>
      <c r="F2374" s="10" t="s">
        <v>51</v>
      </c>
      <c r="G2374" s="10" t="n">
        <v>11417</v>
      </c>
      <c r="H2374" s="10" t="n">
        <v>11999</v>
      </c>
      <c r="I2374" s="10" t="n">
        <v>187</v>
      </c>
      <c r="J2374" s="10" t="n">
        <v>0</v>
      </c>
      <c r="K2374" s="10" t="s">
        <v>20</v>
      </c>
      <c r="L2374" s="11" t="n">
        <v>39840.6352314815</v>
      </c>
      <c r="M2374" s="12" t="s">
        <v>752</v>
      </c>
      <c r="N2374" s="12" t="s">
        <v>6062</v>
      </c>
      <c r="O2374" s="9" t="str">
        <f aca="false">HYPERLINK("https://pbs.twimg.com/profile_images/482306796749484032/H3WhCiNO_normal.jpeg","View")</f>
        <v>View</v>
      </c>
      <c r="P2374" s="10"/>
    </row>
    <row r="2375" customFormat="false" ht="15.75" hidden="false" customHeight="false" outlineLevel="0" collapsed="false">
      <c r="A2375" s="6" t="n">
        <v>43030.2410416667</v>
      </c>
      <c r="B2375" s="7" t="str">
        <f aca="false">HYPERLINK("https://twitter.com/Rei43356258","@Rei43356258")</f>
        <v>@Rei43356258</v>
      </c>
      <c r="C2375" s="8" t="s">
        <v>6063</v>
      </c>
      <c r="D2375" s="8" t="s">
        <v>6064</v>
      </c>
      <c r="E2375" s="9" t="str">
        <f aca="false">HYPERLINK("https://twitter.com/Rei43356258/status/922081878848323586","922081878848323586")</f>
        <v>922081878848323586</v>
      </c>
      <c r="F2375" s="10" t="s">
        <v>25</v>
      </c>
      <c r="G2375" s="10" t="n">
        <v>401</v>
      </c>
      <c r="H2375" s="10" t="n">
        <v>704</v>
      </c>
      <c r="I2375" s="10" t="n">
        <v>1</v>
      </c>
      <c r="J2375" s="10" t="n">
        <v>0</v>
      </c>
      <c r="K2375" s="10" t="s">
        <v>20</v>
      </c>
      <c r="L2375" s="11" t="n">
        <v>42802.9941666667</v>
      </c>
      <c r="M2375" s="12"/>
      <c r="N2375" s="13" t="s">
        <v>6065</v>
      </c>
      <c r="O2375" s="9" t="str">
        <f aca="false">HYPERLINK("https://pbs.twimg.com/profile_images/839754179836960769/MzmyDHZX_normal.jpg","View")</f>
        <v>View</v>
      </c>
      <c r="P2375" s="10"/>
    </row>
    <row r="2376" customFormat="false" ht="15.75" hidden="false" customHeight="false" outlineLevel="0" collapsed="false">
      <c r="A2376" s="6" t="n">
        <v>43030.2414351852</v>
      </c>
      <c r="B2376" s="7" t="str">
        <f aca="false">HYPERLINK("https://twitter.com/cgnetwork","@cgnetwork")</f>
        <v>@cgnetwork</v>
      </c>
      <c r="C2376" s="8" t="s">
        <v>372</v>
      </c>
      <c r="D2376" s="8" t="s">
        <v>6066</v>
      </c>
      <c r="E2376" s="9" t="str">
        <f aca="false">HYPERLINK("https://twitter.com/cgnetwork/status/922082024046972928","922082024046972928")</f>
        <v>922082024046972928</v>
      </c>
      <c r="F2376" s="10" t="s">
        <v>55</v>
      </c>
      <c r="G2376" s="10" t="n">
        <v>1176</v>
      </c>
      <c r="H2376" s="10" t="n">
        <v>497</v>
      </c>
      <c r="I2376" s="10" t="n">
        <v>0</v>
      </c>
      <c r="J2376" s="10" t="n">
        <v>0</v>
      </c>
      <c r="K2376" s="10" t="s">
        <v>20</v>
      </c>
      <c r="L2376" s="11" t="n">
        <v>39992.0619791667</v>
      </c>
      <c r="M2376" s="12" t="s">
        <v>374</v>
      </c>
      <c r="N2376" s="12" t="s">
        <v>375</v>
      </c>
      <c r="O2376" s="9" t="str">
        <f aca="false">HYPERLINK("https://pbs.twimg.com/profile_images/286683233/Francis_Lim_Passport_Size_photo_image.jpg_normal.jpg","View")</f>
        <v>View</v>
      </c>
      <c r="P2376" s="10"/>
    </row>
    <row r="2377" customFormat="false" ht="15.75" hidden="false" customHeight="false" outlineLevel="0" collapsed="false">
      <c r="A2377" s="6" t="n">
        <v>43030.2418518519</v>
      </c>
      <c r="B2377" s="7" t="str">
        <f aca="false">HYPERLINK("https://twitter.com/pedrorichter","@pedrorichter")</f>
        <v>@pedrorichter</v>
      </c>
      <c r="C2377" s="8" t="s">
        <v>6067</v>
      </c>
      <c r="D2377" s="8" t="s">
        <v>6068</v>
      </c>
      <c r="E2377" s="9" t="str">
        <f aca="false">HYPERLINK("https://twitter.com/pedrorichter/status/922082173808709632","922082173808709632")</f>
        <v>922082173808709632</v>
      </c>
      <c r="F2377" s="10" t="s">
        <v>6069</v>
      </c>
      <c r="G2377" s="10" t="n">
        <v>5068</v>
      </c>
      <c r="H2377" s="10" t="n">
        <v>5539</v>
      </c>
      <c r="I2377" s="10" t="n">
        <v>0</v>
      </c>
      <c r="J2377" s="10" t="n">
        <v>0</v>
      </c>
      <c r="K2377" s="10" t="s">
        <v>20</v>
      </c>
      <c r="L2377" s="11" t="n">
        <v>39927.1898726852</v>
      </c>
      <c r="M2377" s="12" t="s">
        <v>6070</v>
      </c>
      <c r="N2377" s="12" t="s">
        <v>6071</v>
      </c>
      <c r="O2377" s="9" t="str">
        <f aca="false">HYPERLINK("https://pbs.twimg.com/profile_images/1388973999/pedro_richter_normal.JPG","View")</f>
        <v>View</v>
      </c>
      <c r="P2377" s="10"/>
    </row>
    <row r="2378" customFormat="false" ht="15.75" hidden="false" customHeight="false" outlineLevel="0" collapsed="false">
      <c r="A2378" s="6" t="n">
        <v>43030.2419791667</v>
      </c>
      <c r="B2378" s="7" t="str">
        <f aca="false">HYPERLINK("https://twitter.com/supra1Bqteam","@supra1Bqteam")</f>
        <v>@supra1Bqteam</v>
      </c>
      <c r="C2378" s="8" t="s">
        <v>1092</v>
      </c>
      <c r="D2378" s="8" t="s">
        <v>6072</v>
      </c>
      <c r="E2378" s="9" t="str">
        <f aca="false">HYPERLINK("https://twitter.com/supra1Bqteam/status/922082221003034624","922082221003034624")</f>
        <v>922082221003034624</v>
      </c>
      <c r="F2378" s="10" t="s">
        <v>60</v>
      </c>
      <c r="G2378" s="10" t="n">
        <v>29111</v>
      </c>
      <c r="H2378" s="10" t="n">
        <v>27568</v>
      </c>
      <c r="I2378" s="10" t="n">
        <v>0</v>
      </c>
      <c r="J2378" s="10" t="n">
        <v>0</v>
      </c>
      <c r="K2378" s="10" t="s">
        <v>20</v>
      </c>
      <c r="L2378" s="11" t="n">
        <v>40930.4692824074</v>
      </c>
      <c r="M2378" s="12" t="s">
        <v>1094</v>
      </c>
      <c r="N2378" s="12" t="s">
        <v>1095</v>
      </c>
      <c r="O2378" s="9" t="str">
        <f aca="false">HYPERLINK("https://pbs.twimg.com/profile_images/752065571068444672/dkKCTbsg_normal.jpg","View")</f>
        <v>View</v>
      </c>
      <c r="P2378" s="10"/>
    </row>
    <row r="2379" customFormat="false" ht="15.75" hidden="false" customHeight="false" outlineLevel="0" collapsed="false">
      <c r="A2379" s="6" t="n">
        <v>43030.2421527778</v>
      </c>
      <c r="B2379" s="7" t="str">
        <f aca="false">HYPERLINK("https://twitter.com/AbbySandrs","@AbbySandrs")</f>
        <v>@AbbySandrs</v>
      </c>
      <c r="C2379" s="8" t="s">
        <v>6073</v>
      </c>
      <c r="D2379" s="8" t="s">
        <v>6074</v>
      </c>
      <c r="E2379" s="9" t="str">
        <f aca="false">HYPERLINK("https://twitter.com/AbbySandrs/status/922082282466304000","922082282466304000")</f>
        <v>922082282466304000</v>
      </c>
      <c r="F2379" s="9" t="s">
        <v>1147</v>
      </c>
      <c r="G2379" s="10" t="n">
        <v>1196</v>
      </c>
      <c r="H2379" s="10" t="n">
        <v>1851</v>
      </c>
      <c r="I2379" s="10" t="n">
        <v>0</v>
      </c>
      <c r="J2379" s="10" t="n">
        <v>0</v>
      </c>
      <c r="K2379" s="10" t="s">
        <v>20</v>
      </c>
      <c r="L2379" s="11" t="n">
        <v>41721.0358217593</v>
      </c>
      <c r="M2379" s="12" t="s">
        <v>380</v>
      </c>
      <c r="N2379" s="12" t="s">
        <v>6075</v>
      </c>
      <c r="O2379" s="9" t="str">
        <f aca="false">HYPERLINK("https://pbs.twimg.com/profile_images/918425056480505856/p-ncBKj1_normal.jpg","View")</f>
        <v>View</v>
      </c>
      <c r="P2379" s="10"/>
    </row>
    <row r="2380" customFormat="false" ht="15.75" hidden="false" customHeight="false" outlineLevel="0" collapsed="false">
      <c r="A2380" s="6" t="n">
        <v>43030.2421990741</v>
      </c>
      <c r="B2380" s="7" t="str">
        <f aca="false">HYPERLINK("https://twitter.com/orwell4ever","@orwell4ever")</f>
        <v>@orwell4ever</v>
      </c>
      <c r="C2380" s="8" t="s">
        <v>6076</v>
      </c>
      <c r="D2380" s="8" t="s">
        <v>4068</v>
      </c>
      <c r="E2380" s="9" t="str">
        <f aca="false">HYPERLINK("https://twitter.com/orwell4ever/status/922082301265219584","922082301265219584")</f>
        <v>922082301265219584</v>
      </c>
      <c r="F2380" s="10" t="s">
        <v>1017</v>
      </c>
      <c r="G2380" s="10" t="n">
        <v>12926</v>
      </c>
      <c r="H2380" s="10" t="n">
        <v>12788</v>
      </c>
      <c r="I2380" s="10" t="n">
        <v>50</v>
      </c>
      <c r="J2380" s="10" t="n">
        <v>0</v>
      </c>
      <c r="K2380" s="10" t="s">
        <v>20</v>
      </c>
      <c r="L2380" s="11" t="n">
        <v>41591.0621643519</v>
      </c>
      <c r="M2380" s="12"/>
      <c r="N2380" s="12" t="s">
        <v>6077</v>
      </c>
      <c r="O2380" s="9" t="str">
        <f aca="false">HYPERLINK("https://pbs.twimg.com/profile_images/538506491871776768/0pHoM3jh_normal.jpeg","View")</f>
        <v>View</v>
      </c>
      <c r="P2380" s="10"/>
    </row>
    <row r="2381" customFormat="false" ht="15.75" hidden="false" customHeight="false" outlineLevel="0" collapsed="false">
      <c r="A2381" s="6" t="n">
        <v>43030.2422337963</v>
      </c>
      <c r="B2381" s="7" t="str">
        <f aca="false">HYPERLINK("https://twitter.com/ucauca56","@ucauca56")</f>
        <v>@ucauca56</v>
      </c>
      <c r="C2381" s="14" t="s">
        <v>6078</v>
      </c>
      <c r="D2381" s="8" t="s">
        <v>4984</v>
      </c>
      <c r="E2381" s="9" t="str">
        <f aca="false">HYPERLINK("https://twitter.com/ucauca56/status/922082314561056768","922082314561056768")</f>
        <v>922082314561056768</v>
      </c>
      <c r="F2381" s="10" t="s">
        <v>3458</v>
      </c>
      <c r="G2381" s="10" t="n">
        <v>1618</v>
      </c>
      <c r="H2381" s="10" t="n">
        <v>3</v>
      </c>
      <c r="I2381" s="10" t="n">
        <v>187</v>
      </c>
      <c r="J2381" s="10" t="n">
        <v>0</v>
      </c>
      <c r="K2381" s="10" t="s">
        <v>20</v>
      </c>
      <c r="L2381" s="11" t="n">
        <v>40433.9253240741</v>
      </c>
      <c r="M2381" s="13" t="s">
        <v>6079</v>
      </c>
      <c r="N2381" s="13" t="s">
        <v>6080</v>
      </c>
      <c r="O2381" s="9" t="str">
        <f aca="false">HYPERLINK("https://pbs.twimg.com/profile_images/630714037706199040/hP8gF1jh_normal.jpg","View")</f>
        <v>View</v>
      </c>
      <c r="P2381" s="10"/>
    </row>
    <row r="2382" customFormat="false" ht="15.75" hidden="false" customHeight="false" outlineLevel="0" collapsed="false">
      <c r="A2382" s="6" t="n">
        <v>43030.2424305556</v>
      </c>
      <c r="B2382" s="7" t="str">
        <f aca="false">HYPERLINK("https://twitter.com/Viper_Olga","@Viper_Olga")</f>
        <v>@Viper_Olga</v>
      </c>
      <c r="C2382" s="8" t="s">
        <v>6081</v>
      </c>
      <c r="D2382" s="8" t="s">
        <v>6082</v>
      </c>
      <c r="E2382" s="9" t="str">
        <f aca="false">HYPERLINK("https://twitter.com/Viper_Olga/status/922082384467582979","922082384467582979")</f>
        <v>922082384467582979</v>
      </c>
      <c r="F2382" s="9" t="s">
        <v>1147</v>
      </c>
      <c r="G2382" s="10" t="n">
        <v>9</v>
      </c>
      <c r="H2382" s="10" t="n">
        <v>33</v>
      </c>
      <c r="I2382" s="10" t="n">
        <v>0</v>
      </c>
      <c r="J2382" s="10" t="n">
        <v>0</v>
      </c>
      <c r="K2382" s="10" t="s">
        <v>20</v>
      </c>
      <c r="L2382" s="11" t="n">
        <v>42646.7618981482</v>
      </c>
      <c r="M2382" s="12"/>
      <c r="N2382" s="12"/>
      <c r="O2382" s="9" t="str">
        <f aca="false">HYPERLINK("https://pbs.twimg.com/profile_images/792200157114826752/LAq3WJeP_normal.jpg","View")</f>
        <v>View</v>
      </c>
      <c r="P2382" s="10"/>
    </row>
    <row r="2383" customFormat="false" ht="15.75" hidden="false" customHeight="false" outlineLevel="0" collapsed="false">
      <c r="A2383" s="6" t="n">
        <v>43030.243125</v>
      </c>
      <c r="B2383" s="7" t="str">
        <f aca="false">HYPERLINK("https://twitter.com/UK_Asia_News","@UK_Asia_News")</f>
        <v>@UK_Asia_News</v>
      </c>
      <c r="C2383" s="8" t="s">
        <v>6083</v>
      </c>
      <c r="D2383" s="8" t="s">
        <v>6084</v>
      </c>
      <c r="E2383" s="9" t="str">
        <f aca="false">HYPERLINK("https://twitter.com/UK_Asia_News/status/922082635823898625","922082635823898625")</f>
        <v>922082635823898625</v>
      </c>
      <c r="F2383" s="10" t="s">
        <v>3042</v>
      </c>
      <c r="G2383" s="10" t="n">
        <v>516</v>
      </c>
      <c r="H2383" s="10" t="n">
        <v>606</v>
      </c>
      <c r="I2383" s="10" t="n">
        <v>0</v>
      </c>
      <c r="J2383" s="10" t="n">
        <v>0</v>
      </c>
      <c r="K2383" s="10" t="s">
        <v>20</v>
      </c>
      <c r="L2383" s="11" t="n">
        <v>41789.4036689815</v>
      </c>
      <c r="M2383" s="12"/>
      <c r="N2383" s="12" t="s">
        <v>6085</v>
      </c>
      <c r="O2383" s="9" t="str">
        <f aca="false">HYPERLINK("https://pbs.twimg.com/profile_images/472417910422781952/ewNOZDTf_normal.png","View")</f>
        <v>View</v>
      </c>
      <c r="P2383" s="10"/>
    </row>
    <row r="2384" customFormat="false" ht="15.75" hidden="false" customHeight="false" outlineLevel="0" collapsed="false">
      <c r="A2384" s="6" t="n">
        <v>43030.2433217593</v>
      </c>
      <c r="B2384" s="7" t="str">
        <f aca="false">HYPERLINK("https://twitter.com/omnipopmag","@omnipopmag")</f>
        <v>@omnipopmag</v>
      </c>
      <c r="C2384" s="8" t="s">
        <v>6086</v>
      </c>
      <c r="D2384" s="8" t="s">
        <v>6087</v>
      </c>
      <c r="E2384" s="9" t="str">
        <f aca="false">HYPERLINK("https://twitter.com/omnipopmag/status/922082706464428032","922082706464428032")</f>
        <v>922082706464428032</v>
      </c>
      <c r="F2384" s="10" t="s">
        <v>60</v>
      </c>
      <c r="G2384" s="10" t="n">
        <v>3033</v>
      </c>
      <c r="H2384" s="10" t="n">
        <v>2451</v>
      </c>
      <c r="I2384" s="10" t="n">
        <v>0</v>
      </c>
      <c r="J2384" s="10" t="n">
        <v>0</v>
      </c>
      <c r="K2384" s="10" t="s">
        <v>20</v>
      </c>
      <c r="L2384" s="11" t="n">
        <v>42771.6238310185</v>
      </c>
      <c r="M2384" s="12"/>
      <c r="N2384" s="12" t="s">
        <v>6088</v>
      </c>
      <c r="O2384" s="9" t="str">
        <f aca="false">HYPERLINK("https://pbs.twimg.com/profile_images/828377561285537792/BQfN0sKh_normal.jpg","View")</f>
        <v>View</v>
      </c>
      <c r="P2384" s="10"/>
    </row>
    <row r="2385" customFormat="false" ht="15.75" hidden="false" customHeight="false" outlineLevel="0" collapsed="false">
      <c r="A2385" s="6" t="n">
        <v>43030.2434490741</v>
      </c>
      <c r="B2385" s="7" t="str">
        <f aca="false">HYPERLINK("https://twitter.com/JesusEsBasura","@JesusEsBasura")</f>
        <v>@JesusEsBasura</v>
      </c>
      <c r="C2385" s="8" t="s">
        <v>6089</v>
      </c>
      <c r="D2385" s="8" t="s">
        <v>6090</v>
      </c>
      <c r="E2385" s="9" t="str">
        <f aca="false">HYPERLINK("https://twitter.com/JesusEsBasura/status/922082752865767424","922082752865767424")</f>
        <v>922082752865767424</v>
      </c>
      <c r="F2385" s="10" t="s">
        <v>98</v>
      </c>
      <c r="G2385" s="10" t="n">
        <v>15</v>
      </c>
      <c r="H2385" s="10" t="n">
        <v>2</v>
      </c>
      <c r="I2385" s="10" t="n">
        <v>0</v>
      </c>
      <c r="J2385" s="10" t="n">
        <v>0</v>
      </c>
      <c r="K2385" s="10" t="s">
        <v>20</v>
      </c>
      <c r="L2385" s="11" t="n">
        <v>42543.3579166667</v>
      </c>
      <c r="M2385" s="12" t="s">
        <v>6091</v>
      </c>
      <c r="N2385" s="12" t="s">
        <v>6092</v>
      </c>
      <c r="O2385" s="9" t="str">
        <f aca="false">HYPERLINK("https://pbs.twimg.com/profile_images/879376475132051456/3j6jBgoj_normal.jpg","View")</f>
        <v>View</v>
      </c>
      <c r="P2385" s="10"/>
    </row>
    <row r="2386" customFormat="false" ht="15.75" hidden="false" customHeight="false" outlineLevel="0" collapsed="false">
      <c r="A2386" s="6" t="n">
        <v>43030.2439351852</v>
      </c>
      <c r="B2386" s="7" t="str">
        <f aca="false">HYPERLINK("https://twitter.com/StateOfNetwork","@StateOfNetwork")</f>
        <v>@StateOfNetwork</v>
      </c>
      <c r="C2386" s="8" t="s">
        <v>6093</v>
      </c>
      <c r="D2386" s="8" t="s">
        <v>6094</v>
      </c>
      <c r="E2386" s="9" t="str">
        <f aca="false">HYPERLINK("https://twitter.com/StateOfNetwork/status/922082928829632512","922082928829632512")</f>
        <v>922082928829632512</v>
      </c>
      <c r="F2386" s="10" t="s">
        <v>55</v>
      </c>
      <c r="G2386" s="10" t="n">
        <v>93</v>
      </c>
      <c r="H2386" s="10" t="n">
        <v>2</v>
      </c>
      <c r="I2386" s="10" t="n">
        <v>0</v>
      </c>
      <c r="J2386" s="10" t="n">
        <v>0</v>
      </c>
      <c r="K2386" s="10" t="s">
        <v>20</v>
      </c>
      <c r="L2386" s="11" t="n">
        <v>42591.6267476852</v>
      </c>
      <c r="M2386" s="12" t="s">
        <v>6095</v>
      </c>
      <c r="N2386" s="12" t="s">
        <v>6096</v>
      </c>
      <c r="O2386" s="9" t="str">
        <f aca="false">HYPERLINK("https://pbs.twimg.com/profile_images/857770319620263936/CpVum0Np_normal.jpg","View")</f>
        <v>View</v>
      </c>
      <c r="P2386" s="10"/>
    </row>
    <row r="2387" customFormat="false" ht="15.75" hidden="false" customHeight="false" outlineLevel="0" collapsed="false">
      <c r="A2387" s="6" t="n">
        <v>43030.2441203704</v>
      </c>
      <c r="B2387" s="7" t="str">
        <f aca="false">HYPERLINK("https://twitter.com/JPnewsinEng","@JPnewsinEng")</f>
        <v>@JPnewsinEng</v>
      </c>
      <c r="C2387" s="8" t="s">
        <v>6097</v>
      </c>
      <c r="D2387" s="8" t="s">
        <v>6098</v>
      </c>
      <c r="E2387" s="9" t="str">
        <f aca="false">HYPERLINK("https://twitter.com/JPnewsinEng/status/922082997842726914","922082997842726914")</f>
        <v>922082997842726914</v>
      </c>
      <c r="F2387" s="10" t="s">
        <v>60</v>
      </c>
      <c r="G2387" s="10" t="n">
        <v>95</v>
      </c>
      <c r="H2387" s="10" t="n">
        <v>0</v>
      </c>
      <c r="I2387" s="10" t="n">
        <v>0</v>
      </c>
      <c r="J2387" s="10" t="n">
        <v>0</v>
      </c>
      <c r="K2387" s="10" t="s">
        <v>20</v>
      </c>
      <c r="L2387" s="11" t="n">
        <v>42298.2794907407</v>
      </c>
      <c r="M2387" s="13" t="s">
        <v>152</v>
      </c>
      <c r="N2387" s="13" t="s">
        <v>6099</v>
      </c>
      <c r="O2387" s="9" t="str">
        <f aca="false">HYPERLINK("https://pbs.twimg.com/profile_images/658617776026705920/TPmWzjC0_normal.png","View")</f>
        <v>View</v>
      </c>
      <c r="P2387" s="10"/>
    </row>
    <row r="2388" customFormat="false" ht="15.75" hidden="false" customHeight="false" outlineLevel="0" collapsed="false">
      <c r="A2388" s="6" t="n">
        <v>43030.2441782407</v>
      </c>
      <c r="B2388" s="7" t="str">
        <f aca="false">HYPERLINK("https://twitter.com/CCRadXIII","@CCRadXIII")</f>
        <v>@CCRadXIII</v>
      </c>
      <c r="C2388" s="8" t="s">
        <v>6100</v>
      </c>
      <c r="D2388" s="8" t="s">
        <v>5030</v>
      </c>
      <c r="E2388" s="9" t="str">
        <f aca="false">HYPERLINK("https://twitter.com/CCRadXIII/status/922083016851251200","922083016851251200")</f>
        <v>922083016851251200</v>
      </c>
      <c r="F2388" s="10" t="s">
        <v>25</v>
      </c>
      <c r="G2388" s="10" t="n">
        <v>65</v>
      </c>
      <c r="H2388" s="10" t="n">
        <v>298</v>
      </c>
      <c r="I2388" s="10" t="n">
        <v>22</v>
      </c>
      <c r="J2388" s="10" t="n">
        <v>0</v>
      </c>
      <c r="K2388" s="10" t="s">
        <v>20</v>
      </c>
      <c r="L2388" s="11" t="n">
        <v>40529.0710300926</v>
      </c>
      <c r="M2388" s="12" t="s">
        <v>1843</v>
      </c>
      <c r="N2388" s="12" t="s">
        <v>6101</v>
      </c>
      <c r="O2388" s="9" t="str">
        <f aca="false">HYPERLINK("https://pbs.twimg.com/profile_images/854379900375109632/5wyEknYD_normal.jpg","View")</f>
        <v>View</v>
      </c>
      <c r="P2388" s="10"/>
    </row>
    <row r="2389" customFormat="false" ht="15.75" hidden="false" customHeight="false" outlineLevel="0" collapsed="false">
      <c r="A2389" s="6" t="n">
        <v>43030.2444675926</v>
      </c>
      <c r="B2389" s="7" t="str">
        <f aca="false">HYPERLINK("https://twitter.com/TokyoJapanRR","@TokyoJapanRR")</f>
        <v>@TokyoJapanRR</v>
      </c>
      <c r="C2389" s="8" t="s">
        <v>194</v>
      </c>
      <c r="D2389" s="8" t="s">
        <v>6102</v>
      </c>
      <c r="E2389" s="9" t="str">
        <f aca="false">HYPERLINK("https://twitter.com/TokyoJapanRR/status/922083121910173696","922083121910173696")</f>
        <v>922083121910173696</v>
      </c>
      <c r="F2389" s="10" t="s">
        <v>6103</v>
      </c>
      <c r="G2389" s="10" t="n">
        <v>5679</v>
      </c>
      <c r="H2389" s="10" t="n">
        <v>3792</v>
      </c>
      <c r="I2389" s="10" t="n">
        <v>0</v>
      </c>
      <c r="J2389" s="10" t="n">
        <v>0</v>
      </c>
      <c r="K2389" s="10" t="s">
        <v>20</v>
      </c>
      <c r="L2389" s="11" t="n">
        <v>41987.4019675926</v>
      </c>
      <c r="M2389" s="12" t="s">
        <v>1473</v>
      </c>
      <c r="N2389" s="12" t="s">
        <v>6104</v>
      </c>
      <c r="O2389" s="9" t="str">
        <f aca="false">HYPERLINK("https://pbs.twimg.com/profile_images/748168856208801792/JuAdcS6X_normal.jpg","View")</f>
        <v>View</v>
      </c>
      <c r="P2389" s="10"/>
    </row>
    <row r="2390" customFormat="false" ht="15.75" hidden="false" customHeight="false" outlineLevel="0" collapsed="false">
      <c r="A2390" s="6" t="n">
        <v>43030.2445486111</v>
      </c>
      <c r="B2390" s="7" t="str">
        <f aca="false">HYPERLINK("https://twitter.com/NTKRNow","@NTKRNow")</f>
        <v>@NTKRNow</v>
      </c>
      <c r="C2390" s="8" t="s">
        <v>829</v>
      </c>
      <c r="D2390" s="8" t="s">
        <v>6105</v>
      </c>
      <c r="E2390" s="9" t="str">
        <f aca="false">HYPERLINK("https://twitter.com/NTKRNow/status/922083150163005440","922083150163005440")</f>
        <v>922083150163005440</v>
      </c>
      <c r="F2390" s="10" t="s">
        <v>60</v>
      </c>
      <c r="G2390" s="10" t="n">
        <v>610</v>
      </c>
      <c r="H2390" s="10" t="n">
        <v>4</v>
      </c>
      <c r="I2390" s="10" t="n">
        <v>0</v>
      </c>
      <c r="J2390" s="10" t="n">
        <v>0</v>
      </c>
      <c r="K2390" s="10" t="s">
        <v>20</v>
      </c>
      <c r="L2390" s="11" t="n">
        <v>42402.810625</v>
      </c>
      <c r="M2390" s="12"/>
      <c r="N2390" s="12"/>
      <c r="O2390" s="9" t="str">
        <f aca="false">HYPERLINK("https://abs.twimg.com/sticky/default_profile_images/default_profile_normal.png","View")</f>
        <v>View</v>
      </c>
      <c r="P2390" s="10"/>
    </row>
    <row r="2391" customFormat="false" ht="15.75" hidden="false" customHeight="false" outlineLevel="0" collapsed="false">
      <c r="A2391" s="6" t="n">
        <v>43030.2445601852</v>
      </c>
      <c r="B2391" s="7" t="str">
        <f aca="false">HYPERLINK("https://twitter.com/EURACC","@EURACC")</f>
        <v>@EURACC</v>
      </c>
      <c r="C2391" s="7" t="s">
        <v>6106</v>
      </c>
      <c r="D2391" s="8" t="s">
        <v>6107</v>
      </c>
      <c r="E2391" s="9" t="str">
        <f aca="false">HYPERLINK("https://twitter.com/EURACC/status/922083157528207361","922083157528207361")</f>
        <v>922083157528207361</v>
      </c>
      <c r="F2391" s="10" t="s">
        <v>39</v>
      </c>
      <c r="G2391" s="10" t="n">
        <v>767</v>
      </c>
      <c r="H2391" s="10" t="n">
        <v>1665</v>
      </c>
      <c r="I2391" s="10" t="n">
        <v>0</v>
      </c>
      <c r="J2391" s="10" t="n">
        <v>0</v>
      </c>
      <c r="K2391" s="10" t="s">
        <v>20</v>
      </c>
      <c r="L2391" s="11" t="n">
        <v>41278.5149421296</v>
      </c>
      <c r="M2391" s="12" t="s">
        <v>6108</v>
      </c>
      <c r="N2391" s="12" t="s">
        <v>6109</v>
      </c>
      <c r="O2391" s="9" t="str">
        <f aca="false">HYPERLINK("https://pbs.twimg.com/profile_images/413085212000546816/ob5dN8yM_normal.jpeg","View")</f>
        <v>View</v>
      </c>
      <c r="P2391" s="10"/>
    </row>
    <row r="2392" customFormat="false" ht="15.75" hidden="false" customHeight="false" outlineLevel="0" collapsed="false">
      <c r="A2392" s="6" t="n">
        <v>43030.245</v>
      </c>
      <c r="B2392" s="7" t="str">
        <f aca="false">HYPERLINK("https://twitter.com/bchristophjones","@bchristophjones")</f>
        <v>@bchristophjones</v>
      </c>
      <c r="C2392" s="8" t="s">
        <v>6110</v>
      </c>
      <c r="D2392" s="8" t="s">
        <v>6111</v>
      </c>
      <c r="E2392" s="9" t="str">
        <f aca="false">HYPERLINK("https://twitter.com/bchristophjones/status/922083313308831744","922083313308831744")</f>
        <v>922083313308831744</v>
      </c>
      <c r="F2392" s="10" t="s">
        <v>39</v>
      </c>
      <c r="G2392" s="10" t="n">
        <v>80</v>
      </c>
      <c r="H2392" s="10" t="n">
        <v>282</v>
      </c>
      <c r="I2392" s="10" t="n">
        <v>0</v>
      </c>
      <c r="J2392" s="10" t="n">
        <v>0</v>
      </c>
      <c r="K2392" s="10" t="s">
        <v>20</v>
      </c>
      <c r="L2392" s="11" t="n">
        <v>40333.9557175926</v>
      </c>
      <c r="M2392" s="12" t="s">
        <v>6112</v>
      </c>
      <c r="N2392" s="12" t="s">
        <v>6113</v>
      </c>
      <c r="O2392" s="9" t="str">
        <f aca="false">HYPERLINK("https://pbs.twimg.com/profile_images/849287380758614019/JlbRqpcB_normal.jpg","View")</f>
        <v>View</v>
      </c>
      <c r="P2392" s="10"/>
    </row>
    <row r="2393" customFormat="false" ht="15.75" hidden="false" customHeight="false" outlineLevel="0" collapsed="false">
      <c r="A2393" s="6" t="n">
        <v>43030.2451967593</v>
      </c>
      <c r="B2393" s="7" t="str">
        <f aca="false">HYPERLINK("https://twitter.com/alfabeto","@alfabeto")</f>
        <v>@alfabeto</v>
      </c>
      <c r="C2393" s="8" t="s">
        <v>6114</v>
      </c>
      <c r="D2393" s="8" t="s">
        <v>6115</v>
      </c>
      <c r="E2393" s="9" t="str">
        <f aca="false">HYPERLINK("https://twitter.com/alfabeto/status/922083387744985088","922083387744985088")</f>
        <v>922083387744985088</v>
      </c>
      <c r="F2393" s="9" t="s">
        <v>1147</v>
      </c>
      <c r="G2393" s="10" t="n">
        <v>8908</v>
      </c>
      <c r="H2393" s="10" t="n">
        <v>8356</v>
      </c>
      <c r="I2393" s="10" t="n">
        <v>0</v>
      </c>
      <c r="J2393" s="10" t="n">
        <v>0</v>
      </c>
      <c r="K2393" s="10" t="s">
        <v>20</v>
      </c>
      <c r="L2393" s="11" t="n">
        <v>39892.8303125</v>
      </c>
      <c r="M2393" s="12" t="s">
        <v>502</v>
      </c>
      <c r="N2393" s="12" t="s">
        <v>6116</v>
      </c>
      <c r="O2393" s="9" t="str">
        <f aca="false">HYPERLINK("https://pbs.twimg.com/profile_images/1098673181/employee_normal.jpg","View")</f>
        <v>View</v>
      </c>
      <c r="P2393" s="10"/>
    </row>
    <row r="2394" customFormat="false" ht="15.75" hidden="false" customHeight="false" outlineLevel="0" collapsed="false">
      <c r="A2394" s="6" t="n">
        <v>43030.2452546296</v>
      </c>
      <c r="B2394" s="7" t="str">
        <f aca="false">HYPERLINK("https://twitter.com/LuisCampos_ST","@LuisCampos_ST")</f>
        <v>@LuisCampos_ST</v>
      </c>
      <c r="C2394" s="8" t="s">
        <v>6117</v>
      </c>
      <c r="D2394" s="8" t="s">
        <v>6118</v>
      </c>
      <c r="E2394" s="9" t="str">
        <f aca="false">HYPERLINK("https://twitter.com/LuisCampos_ST/status/922083409396105217","922083409396105217")</f>
        <v>922083409396105217</v>
      </c>
      <c r="F2394" s="10" t="s">
        <v>60</v>
      </c>
      <c r="G2394" s="10" t="n">
        <v>664</v>
      </c>
      <c r="H2394" s="10" t="n">
        <v>90</v>
      </c>
      <c r="I2394" s="10" t="n">
        <v>0</v>
      </c>
      <c r="J2394" s="10" t="n">
        <v>0</v>
      </c>
      <c r="K2394" s="10" t="s">
        <v>20</v>
      </c>
      <c r="L2394" s="11" t="n">
        <v>42022.2927314815</v>
      </c>
      <c r="M2394" s="12"/>
      <c r="N2394" s="12" t="s">
        <v>6119</v>
      </c>
      <c r="O2394" s="9" t="str">
        <f aca="false">HYPERLINK("https://pbs.twimg.com/profile_images/556830187967348737/vOlwsVCe_normal.png","View")</f>
        <v>View</v>
      </c>
      <c r="P2394" s="10"/>
    </row>
    <row r="2395" customFormat="false" ht="15.75" hidden="false" customHeight="false" outlineLevel="0" collapsed="false">
      <c r="A2395" s="6" t="n">
        <v>43030.2456597222</v>
      </c>
      <c r="B2395" s="7" t="str">
        <f aca="false">HYPERLINK("https://twitter.com/NamVietNetwork","@NamVietNetwork")</f>
        <v>@NamVietNetwork</v>
      </c>
      <c r="C2395" s="8" t="s">
        <v>2489</v>
      </c>
      <c r="D2395" s="8" t="s">
        <v>6120</v>
      </c>
      <c r="E2395" s="9" t="str">
        <f aca="false">HYPERLINK("https://twitter.com/NamVietNetwork/status/922083552749150208","922083552749150208")</f>
        <v>922083552749150208</v>
      </c>
      <c r="F2395" s="10" t="s">
        <v>55</v>
      </c>
      <c r="G2395" s="10" t="n">
        <v>1540</v>
      </c>
      <c r="H2395" s="10" t="n">
        <v>147</v>
      </c>
      <c r="I2395" s="10" t="n">
        <v>0</v>
      </c>
      <c r="J2395" s="10" t="n">
        <v>0</v>
      </c>
      <c r="K2395" s="10" t="s">
        <v>20</v>
      </c>
      <c r="L2395" s="11" t="n">
        <v>40189.0717476852</v>
      </c>
      <c r="M2395" s="12" t="s">
        <v>2491</v>
      </c>
      <c r="N2395" s="12" t="s">
        <v>2492</v>
      </c>
      <c r="O2395" s="9" t="str">
        <f aca="false">HYPERLINK("https://pbs.twimg.com/profile_images/2509866256/6fjgs8rtts7014kqe70t_normal.jpeg","View")</f>
        <v>View</v>
      </c>
      <c r="P2395" s="10"/>
    </row>
    <row r="2396" customFormat="false" ht="15.75" hidden="false" customHeight="false" outlineLevel="0" collapsed="false">
      <c r="A2396" s="6" t="n">
        <v>43030.2456597222</v>
      </c>
      <c r="B2396" s="7" t="str">
        <f aca="false">HYPERLINK("https://twitter.com/NamVietNetwork","@NamVietNetwork")</f>
        <v>@NamVietNetwork</v>
      </c>
      <c r="C2396" s="8" t="s">
        <v>2489</v>
      </c>
      <c r="D2396" s="8" t="s">
        <v>6121</v>
      </c>
      <c r="E2396" s="9" t="str">
        <f aca="false">HYPERLINK("https://twitter.com/NamVietNetwork/status/922083556335280129","922083556335280129")</f>
        <v>922083556335280129</v>
      </c>
      <c r="F2396" s="10" t="s">
        <v>55</v>
      </c>
      <c r="G2396" s="10" t="n">
        <v>1540</v>
      </c>
      <c r="H2396" s="10" t="n">
        <v>147</v>
      </c>
      <c r="I2396" s="10" t="n">
        <v>0</v>
      </c>
      <c r="J2396" s="10" t="n">
        <v>0</v>
      </c>
      <c r="K2396" s="10" t="s">
        <v>20</v>
      </c>
      <c r="L2396" s="11" t="n">
        <v>40189.0717476852</v>
      </c>
      <c r="M2396" s="12" t="s">
        <v>2491</v>
      </c>
      <c r="N2396" s="12" t="s">
        <v>2492</v>
      </c>
      <c r="O2396" s="9" t="str">
        <f aca="false">HYPERLINK("https://pbs.twimg.com/profile_images/2509866256/6fjgs8rtts7014kqe70t_normal.jpeg","View")</f>
        <v>View</v>
      </c>
      <c r="P2396" s="10"/>
    </row>
    <row r="2397" customFormat="false" ht="15.75" hidden="false" customHeight="false" outlineLevel="0" collapsed="false">
      <c r="A2397" s="6" t="n">
        <v>43030.2458680556</v>
      </c>
      <c r="B2397" s="7" t="str">
        <f aca="false">HYPERLINK("https://twitter.com/PolticsNewz","@PolticsNewz")</f>
        <v>@PolticsNewz</v>
      </c>
      <c r="C2397" s="8" t="s">
        <v>1121</v>
      </c>
      <c r="D2397" s="8" t="s">
        <v>6122</v>
      </c>
      <c r="E2397" s="9" t="str">
        <f aca="false">HYPERLINK("https://twitter.com/PolticsNewz/status/922083631220297729","922083631220297729")</f>
        <v>922083631220297729</v>
      </c>
      <c r="F2397" s="10" t="s">
        <v>1123</v>
      </c>
      <c r="G2397" s="10" t="n">
        <v>26441</v>
      </c>
      <c r="H2397" s="10" t="n">
        <v>23998</v>
      </c>
      <c r="I2397" s="10" t="n">
        <v>0</v>
      </c>
      <c r="J2397" s="10" t="n">
        <v>0</v>
      </c>
      <c r="K2397" s="10" t="s">
        <v>20</v>
      </c>
      <c r="L2397" s="11" t="n">
        <v>42509.1547569445</v>
      </c>
      <c r="M2397" s="12" t="s">
        <v>230</v>
      </c>
      <c r="N2397" s="12" t="s">
        <v>1124</v>
      </c>
      <c r="O2397" s="9" t="str">
        <f aca="false">HYPERLINK("https://pbs.twimg.com/profile_images/733247246314131456/M6u2U4GO_normal.jpg","View")</f>
        <v>View</v>
      </c>
      <c r="P2397" s="10"/>
    </row>
    <row r="2398" customFormat="false" ht="15.75" hidden="false" customHeight="false" outlineLevel="0" collapsed="false">
      <c r="A2398" s="6" t="n">
        <v>43030.2458912037</v>
      </c>
      <c r="B2398" s="7" t="str">
        <f aca="false">HYPERLINK("https://twitter.com/pushne_savitur","@pushne_savitur")</f>
        <v>@pushne_savitur</v>
      </c>
      <c r="C2398" s="8" t="s">
        <v>6123</v>
      </c>
      <c r="D2398" s="8" t="s">
        <v>4120</v>
      </c>
      <c r="E2398" s="9" t="str">
        <f aca="false">HYPERLINK("https://twitter.com/pushne_savitur/status/922083639202013184","922083639202013184")</f>
        <v>922083639202013184</v>
      </c>
      <c r="F2398" s="10" t="s">
        <v>25</v>
      </c>
      <c r="G2398" s="10" t="n">
        <v>204</v>
      </c>
      <c r="H2398" s="10" t="n">
        <v>546</v>
      </c>
      <c r="I2398" s="10" t="n">
        <v>5</v>
      </c>
      <c r="J2398" s="10" t="n">
        <v>0</v>
      </c>
      <c r="K2398" s="10" t="s">
        <v>20</v>
      </c>
      <c r="L2398" s="11" t="n">
        <v>41875.4896527778</v>
      </c>
      <c r="M2398" s="12"/>
      <c r="N2398" s="12" t="s">
        <v>6124</v>
      </c>
      <c r="O2398" s="9" t="str">
        <f aca="false">HYPERLINK("https://pbs.twimg.com/profile_images/503628445415260161/uKoitu3H_normal.jpeg","View")</f>
        <v>View</v>
      </c>
      <c r="P2398" s="10"/>
    </row>
    <row r="2399" customFormat="false" ht="15.75" hidden="false" customHeight="false" outlineLevel="0" collapsed="false">
      <c r="A2399" s="6" t="n">
        <v>43030.2459837963</v>
      </c>
      <c r="B2399" s="7" t="str">
        <f aca="false">HYPERLINK("https://twitter.com/mikaerupochi","@mikaerupochi")</f>
        <v>@mikaerupochi</v>
      </c>
      <c r="C2399" s="8" t="s">
        <v>6125</v>
      </c>
      <c r="D2399" s="8" t="s">
        <v>6126</v>
      </c>
      <c r="E2399" s="9" t="str">
        <f aca="false">HYPERLINK("https://twitter.com/mikaerupochi/status/922083672467038209","922083672467038209")</f>
        <v>922083672467038209</v>
      </c>
      <c r="F2399" s="10" t="s">
        <v>51</v>
      </c>
      <c r="G2399" s="10" t="n">
        <v>1071</v>
      </c>
      <c r="H2399" s="10" t="n">
        <v>1568</v>
      </c>
      <c r="I2399" s="10" t="n">
        <v>1</v>
      </c>
      <c r="J2399" s="10" t="n">
        <v>0</v>
      </c>
      <c r="K2399" s="10" t="s">
        <v>20</v>
      </c>
      <c r="L2399" s="11" t="n">
        <v>41347.3279166667</v>
      </c>
      <c r="M2399" s="12" t="s">
        <v>6127</v>
      </c>
      <c r="N2399" s="12" t="s">
        <v>6128</v>
      </c>
      <c r="O2399" s="9" t="str">
        <f aca="false">HYPERLINK("https://pbs.twimg.com/profile_images/378800000674174604/cf4cce927378f28863bc67eaaadbb4fe_normal.jpeg","View")</f>
        <v>View</v>
      </c>
      <c r="P2399" s="10"/>
    </row>
    <row r="2400" customFormat="false" ht="15.75" hidden="false" customHeight="false" outlineLevel="0" collapsed="false">
      <c r="A2400" s="6" t="n">
        <v>43030.2462037037</v>
      </c>
      <c r="B2400" s="7" t="str">
        <f aca="false">HYPERLINK("https://twitter.com/ukelection_2017","@ukelection_2017")</f>
        <v>@ukelection_2017</v>
      </c>
      <c r="C2400" s="8" t="s">
        <v>1354</v>
      </c>
      <c r="D2400" s="8" t="s">
        <v>6129</v>
      </c>
      <c r="E2400" s="9" t="str">
        <f aca="false">HYPERLINK("https://twitter.com/ukelection_2017/status/922083751953182720","922083751953182720")</f>
        <v>922083751953182720</v>
      </c>
      <c r="F2400" s="9" t="s">
        <v>1147</v>
      </c>
      <c r="G2400" s="10" t="n">
        <v>549</v>
      </c>
      <c r="H2400" s="10" t="n">
        <v>366</v>
      </c>
      <c r="I2400" s="10" t="n">
        <v>0</v>
      </c>
      <c r="J2400" s="10" t="n">
        <v>0</v>
      </c>
      <c r="K2400" s="10" t="s">
        <v>20</v>
      </c>
      <c r="L2400" s="11" t="n">
        <v>42848.3948842593</v>
      </c>
      <c r="M2400" s="12" t="s">
        <v>1319</v>
      </c>
      <c r="N2400" s="12" t="s">
        <v>1356</v>
      </c>
      <c r="O2400" s="9" t="str">
        <f aca="false">HYPERLINK("https://pbs.twimg.com/profile_images/864382212820676608/xRoCeHK8_normal.jpg","View")</f>
        <v>View</v>
      </c>
      <c r="P2400" s="10"/>
    </row>
    <row r="2401" customFormat="false" ht="15.75" hidden="false" customHeight="false" outlineLevel="0" collapsed="false">
      <c r="A2401" s="6" t="n">
        <v>43030.2466782407</v>
      </c>
      <c r="B2401" s="7" t="str">
        <f aca="false">HYPERLINK("https://twitter.com/GboruM","@GboruM")</f>
        <v>@GboruM</v>
      </c>
      <c r="C2401" s="8" t="s">
        <v>2206</v>
      </c>
      <c r="D2401" s="8" t="s">
        <v>6130</v>
      </c>
      <c r="E2401" s="9" t="str">
        <f aca="false">HYPERLINK("https://twitter.com/GboruM/status/922083925480132608","922083925480132608")</f>
        <v>922083925480132608</v>
      </c>
      <c r="F2401" s="10" t="s">
        <v>55</v>
      </c>
      <c r="G2401" s="10" t="n">
        <v>12129</v>
      </c>
      <c r="H2401" s="10" t="n">
        <v>287</v>
      </c>
      <c r="I2401" s="10" t="n">
        <v>0</v>
      </c>
      <c r="J2401" s="10" t="n">
        <v>0</v>
      </c>
      <c r="K2401" s="10" t="s">
        <v>20</v>
      </c>
      <c r="L2401" s="11" t="n">
        <v>41246.9268518519</v>
      </c>
      <c r="M2401" s="12" t="s">
        <v>1670</v>
      </c>
      <c r="N2401" s="12" t="s">
        <v>2208</v>
      </c>
      <c r="O2401" s="9" t="str">
        <f aca="false">HYPERLINK("https://pbs.twimg.com/profile_images/923809863121166336/FPYIgixr_normal.jpg","View")</f>
        <v>View</v>
      </c>
      <c r="P2401" s="10"/>
    </row>
    <row r="2402" customFormat="false" ht="15.75" hidden="false" customHeight="false" outlineLevel="0" collapsed="false">
      <c r="A2402" s="6" t="n">
        <v>43030.2468055556</v>
      </c>
      <c r="B2402" s="7" t="str">
        <f aca="false">HYPERLINK("https://twitter.com/BaileyLeeMSYP","@BaileyLeeMSYP")</f>
        <v>@BaileyLeeMSYP</v>
      </c>
      <c r="C2402" s="8" t="s">
        <v>6131</v>
      </c>
      <c r="D2402" s="8" t="s">
        <v>3295</v>
      </c>
      <c r="E2402" s="9" t="str">
        <f aca="false">HYPERLINK("https://twitter.com/BaileyLeeMSYP/status/922083967620337664","922083967620337664")</f>
        <v>922083967620337664</v>
      </c>
      <c r="F2402" s="10" t="s">
        <v>51</v>
      </c>
      <c r="G2402" s="10" t="n">
        <v>359</v>
      </c>
      <c r="H2402" s="10" t="n">
        <v>338</v>
      </c>
      <c r="I2402" s="10" t="n">
        <v>71</v>
      </c>
      <c r="J2402" s="10" t="n">
        <v>0</v>
      </c>
      <c r="K2402" s="10" t="s">
        <v>20</v>
      </c>
      <c r="L2402" s="11" t="n">
        <v>42750.5695717593</v>
      </c>
      <c r="M2402" s="12" t="s">
        <v>6132</v>
      </c>
      <c r="N2402" s="12" t="s">
        <v>6133</v>
      </c>
      <c r="O2402" s="9" t="str">
        <f aca="false">HYPERLINK("https://pbs.twimg.com/profile_images/871436527167033344/JNfRtQW8_normal.jpg","View")</f>
        <v>View</v>
      </c>
      <c r="P2402" s="10"/>
    </row>
    <row r="2403" customFormat="false" ht="15.75" hidden="false" customHeight="false" outlineLevel="0" collapsed="false">
      <c r="A2403" s="6" t="n">
        <v>43030.2470023148</v>
      </c>
      <c r="B2403" s="7" t="str">
        <f aca="false">HYPERLINK("https://twitter.com/barbiebrox","@barbiebrox")</f>
        <v>@barbiebrox</v>
      </c>
      <c r="C2403" s="8" t="s">
        <v>6134</v>
      </c>
      <c r="D2403" s="8" t="s">
        <v>6135</v>
      </c>
      <c r="E2403" s="9" t="str">
        <f aca="false">HYPERLINK("https://twitter.com/barbiebrox/status/922084039514869760","922084039514869760")</f>
        <v>922084039514869760</v>
      </c>
      <c r="F2403" s="10" t="s">
        <v>25</v>
      </c>
      <c r="G2403" s="10" t="n">
        <v>1348</v>
      </c>
      <c r="H2403" s="10" t="n">
        <v>589</v>
      </c>
      <c r="I2403" s="10" t="n">
        <v>1</v>
      </c>
      <c r="J2403" s="10" t="n">
        <v>0</v>
      </c>
      <c r="K2403" s="10" t="s">
        <v>20</v>
      </c>
      <c r="L2403" s="11" t="n">
        <v>40361.7338773148</v>
      </c>
      <c r="M2403" s="12" t="s">
        <v>6136</v>
      </c>
      <c r="N2403" s="12" t="s">
        <v>6137</v>
      </c>
      <c r="O2403" s="9" t="str">
        <f aca="false">HYPERLINK("https://pbs.twimg.com/profile_images/1522316208/323_normal.jpg","View")</f>
        <v>View</v>
      </c>
      <c r="P2403" s="10"/>
    </row>
    <row r="2404" customFormat="false" ht="15.75" hidden="false" customHeight="false" outlineLevel="0" collapsed="false">
      <c r="A2404" s="6" t="n">
        <v>43030.2472106482</v>
      </c>
      <c r="B2404" s="7" t="str">
        <f aca="false">HYPERLINK("https://twitter.com/bizzyboneee","@bizzyboneee")</f>
        <v>@bizzyboneee</v>
      </c>
      <c r="C2404" s="8" t="s">
        <v>6138</v>
      </c>
      <c r="D2404" s="8" t="s">
        <v>6139</v>
      </c>
      <c r="E2404" s="9" t="str">
        <f aca="false">HYPERLINK("https://twitter.com/bizzyboneee/status/922084114802585600","922084114802585600")</f>
        <v>922084114802585600</v>
      </c>
      <c r="F2404" s="10" t="s">
        <v>55</v>
      </c>
      <c r="G2404" s="10" t="n">
        <v>1272</v>
      </c>
      <c r="H2404" s="10" t="n">
        <v>328</v>
      </c>
      <c r="I2404" s="10" t="n">
        <v>0</v>
      </c>
      <c r="J2404" s="10" t="n">
        <v>0</v>
      </c>
      <c r="K2404" s="10" t="s">
        <v>20</v>
      </c>
      <c r="L2404" s="11" t="n">
        <v>41079.4358217593</v>
      </c>
      <c r="M2404" s="12" t="s">
        <v>3180</v>
      </c>
      <c r="N2404" s="12" t="s">
        <v>6140</v>
      </c>
      <c r="O2404" s="9" t="str">
        <f aca="false">HYPERLINK("https://pbs.twimg.com/profile_images/657808414039527424/0q4wQs75_normal.jpg","View")</f>
        <v>View</v>
      </c>
      <c r="P2404" s="10"/>
    </row>
    <row r="2405" customFormat="false" ht="15.75" hidden="false" customHeight="false" outlineLevel="0" collapsed="false">
      <c r="A2405" s="6" t="n">
        <v>43030.2475115741</v>
      </c>
      <c r="B2405" s="7" t="str">
        <f aca="false">HYPERLINK("https://twitter.com/sarahndipitydu","@sarahndipitydu")</f>
        <v>@sarahndipitydu</v>
      </c>
      <c r="C2405" s="8" t="s">
        <v>6141</v>
      </c>
      <c r="D2405" s="8" t="s">
        <v>4984</v>
      </c>
      <c r="E2405" s="9" t="str">
        <f aca="false">HYPERLINK("https://twitter.com/sarahndipitydu/status/922084224013828096","922084224013828096")</f>
        <v>922084224013828096</v>
      </c>
      <c r="F2405" s="10" t="s">
        <v>98</v>
      </c>
      <c r="G2405" s="10" t="n">
        <v>45</v>
      </c>
      <c r="H2405" s="10" t="n">
        <v>35</v>
      </c>
      <c r="I2405" s="10" t="n">
        <v>187</v>
      </c>
      <c r="J2405" s="10" t="n">
        <v>0</v>
      </c>
      <c r="K2405" s="10" t="s">
        <v>20</v>
      </c>
      <c r="L2405" s="11" t="n">
        <v>42099.6513078704</v>
      </c>
      <c r="M2405" s="12"/>
      <c r="N2405" s="12" t="s">
        <v>6142</v>
      </c>
      <c r="O2405" s="9" t="str">
        <f aca="false">HYPERLINK("https://pbs.twimg.com/profile_images/584899336787505152/lbrgd1Sh_normal.jpg","View")</f>
        <v>View</v>
      </c>
      <c r="P2405" s="10"/>
    </row>
    <row r="2406" customFormat="false" ht="15.75" hidden="false" customHeight="false" outlineLevel="0" collapsed="false">
      <c r="A2406" s="6" t="n">
        <v>43030.2475578704</v>
      </c>
      <c r="B2406" s="7" t="str">
        <f aca="false">HYPERLINK("https://twitter.com/1_newsnet","@1_newsnet")</f>
        <v>@1_newsnet</v>
      </c>
      <c r="C2406" s="8" t="s">
        <v>1637</v>
      </c>
      <c r="D2406" s="8" t="s">
        <v>6143</v>
      </c>
      <c r="E2406" s="9" t="str">
        <f aca="false">HYPERLINK("https://twitter.com/1_newsnet/status/922084242133274624","922084242133274624")</f>
        <v>922084242133274624</v>
      </c>
      <c r="F2406" s="10" t="s">
        <v>1639</v>
      </c>
      <c r="G2406" s="10" t="n">
        <v>16157</v>
      </c>
      <c r="H2406" s="10" t="n">
        <v>147</v>
      </c>
      <c r="I2406" s="10" t="n">
        <v>0</v>
      </c>
      <c r="J2406" s="10" t="n">
        <v>0</v>
      </c>
      <c r="K2406" s="10" t="s">
        <v>20</v>
      </c>
      <c r="L2406" s="11" t="n">
        <v>41726.3007638889</v>
      </c>
      <c r="M2406" s="12"/>
      <c r="N2406" s="12" t="s">
        <v>1640</v>
      </c>
      <c r="O2406" s="9" t="str">
        <f aca="false">HYPERLINK("https://pbs.twimg.com/profile_images/475296454257291264/Uj3aJ-3r_normal.jpeg","View")</f>
        <v>View</v>
      </c>
      <c r="P2406" s="10"/>
    </row>
    <row r="2407" customFormat="false" ht="15.75" hidden="false" customHeight="false" outlineLevel="0" collapsed="false">
      <c r="A2407" s="6" t="n">
        <v>43030.2476967593</v>
      </c>
      <c r="B2407" s="7" t="str">
        <f aca="false">HYPERLINK("https://twitter.com/haussamen","@haussamen")</f>
        <v>@haussamen</v>
      </c>
      <c r="C2407" s="8" t="s">
        <v>6144</v>
      </c>
      <c r="D2407" s="8" t="s">
        <v>4984</v>
      </c>
      <c r="E2407" s="9" t="str">
        <f aca="false">HYPERLINK("https://twitter.com/haussamen/status/922084292510998528","922084292510998528")</f>
        <v>922084292510998528</v>
      </c>
      <c r="F2407" s="10" t="s">
        <v>51</v>
      </c>
      <c r="G2407" s="10" t="n">
        <v>5059</v>
      </c>
      <c r="H2407" s="10" t="n">
        <v>809</v>
      </c>
      <c r="I2407" s="10" t="n">
        <v>187</v>
      </c>
      <c r="J2407" s="10" t="n">
        <v>0</v>
      </c>
      <c r="K2407" s="10" t="s">
        <v>20</v>
      </c>
      <c r="L2407" s="11" t="n">
        <v>39828.8791319444</v>
      </c>
      <c r="M2407" s="12" t="s">
        <v>6145</v>
      </c>
      <c r="N2407" s="12" t="s">
        <v>6146</v>
      </c>
      <c r="O2407" s="9" t="str">
        <f aca="false">HYPERLINK("https://pbs.twimg.com/profile_images/880613015565082627/MhacozSu_normal.jpg","View")</f>
        <v>View</v>
      </c>
      <c r="P2407" s="10"/>
    </row>
    <row r="2408" customFormat="false" ht="15.75" hidden="false" customHeight="false" outlineLevel="0" collapsed="false">
      <c r="A2408" s="6" t="n">
        <v>43030.247974537</v>
      </c>
      <c r="B2408" s="7" t="str">
        <f aca="false">HYPERLINK("https://twitter.com/wiryaa27","@wiryaa27")</f>
        <v>@wiryaa27</v>
      </c>
      <c r="C2408" s="8" t="s">
        <v>6147</v>
      </c>
      <c r="D2408" s="8" t="s">
        <v>6148</v>
      </c>
      <c r="E2408" s="9" t="str">
        <f aca="false">HYPERLINK("https://twitter.com/wiryaa27/status/922084392947802112","922084392947802112")</f>
        <v>922084392947802112</v>
      </c>
      <c r="F2408" s="9" t="s">
        <v>1147</v>
      </c>
      <c r="G2408" s="10" t="n">
        <v>704</v>
      </c>
      <c r="H2408" s="10" t="n">
        <v>82</v>
      </c>
      <c r="I2408" s="10" t="n">
        <v>0</v>
      </c>
      <c r="J2408" s="10" t="n">
        <v>0</v>
      </c>
      <c r="K2408" s="10" t="s">
        <v>20</v>
      </c>
      <c r="L2408" s="11" t="n">
        <v>42546.9265509259</v>
      </c>
      <c r="M2408" s="12" t="s">
        <v>6149</v>
      </c>
      <c r="N2408" s="12" t="s">
        <v>6150</v>
      </c>
      <c r="O2408" s="9" t="str">
        <f aca="false">HYPERLINK("https://pbs.twimg.com/profile_images/910341808047013888/L9QgeqUI_normal.jpg","View")</f>
        <v>View</v>
      </c>
      <c r="P2408" s="10"/>
    </row>
    <row r="2409" customFormat="false" ht="15.75" hidden="false" customHeight="false" outlineLevel="0" collapsed="false">
      <c r="A2409" s="6" t="n">
        <v>43030.2479976852</v>
      </c>
      <c r="B2409" s="7" t="str">
        <f aca="false">HYPERLINK("https://twitter.com/HanifHanifEG","@HanifHanifEG")</f>
        <v>@HanifHanifEG</v>
      </c>
      <c r="C2409" s="8" t="s">
        <v>6151</v>
      </c>
      <c r="D2409" s="8" t="s">
        <v>6152</v>
      </c>
      <c r="E2409" s="9" t="str">
        <f aca="false">HYPERLINK("https://twitter.com/HanifHanifEG/status/922084402477219840","922084402477219840")</f>
        <v>922084402477219840</v>
      </c>
      <c r="F2409" s="9" t="s">
        <v>1147</v>
      </c>
      <c r="G2409" s="10" t="n">
        <v>6213</v>
      </c>
      <c r="H2409" s="10" t="n">
        <v>5504</v>
      </c>
      <c r="I2409" s="10" t="n">
        <v>0</v>
      </c>
      <c r="J2409" s="10" t="n">
        <v>0</v>
      </c>
      <c r="K2409" s="10" t="s">
        <v>20</v>
      </c>
      <c r="L2409" s="11" t="n">
        <v>42225.718912037</v>
      </c>
      <c r="M2409" s="12" t="s">
        <v>6153</v>
      </c>
      <c r="N2409" s="12" t="s">
        <v>6154</v>
      </c>
      <c r="O2409" s="9" t="str">
        <f aca="false">HYPERLINK("https://pbs.twimg.com/profile_images/640761675302465540/qWlXuojm_normal.jpg","View")</f>
        <v>View</v>
      </c>
      <c r="P2409" s="10"/>
    </row>
    <row r="2410" customFormat="false" ht="15.75" hidden="false" customHeight="false" outlineLevel="0" collapsed="false">
      <c r="A2410" s="6" t="n">
        <v>43030.2480092593</v>
      </c>
      <c r="B2410" s="7" t="str">
        <f aca="false">HYPERLINK("https://twitter.com/ArabicEditor","@ArabicEditor")</f>
        <v>@ArabicEditor</v>
      </c>
      <c r="C2410" s="8" t="s">
        <v>6155</v>
      </c>
      <c r="D2410" s="8" t="s">
        <v>6156</v>
      </c>
      <c r="E2410" s="9" t="str">
        <f aca="false">HYPERLINK("https://twitter.com/ArabicEditor/status/922084405601976320","922084405601976320")</f>
        <v>922084405601976320</v>
      </c>
      <c r="F2410" s="9" t="s">
        <v>1147</v>
      </c>
      <c r="G2410" s="10" t="n">
        <v>37</v>
      </c>
      <c r="H2410" s="10" t="n">
        <v>64</v>
      </c>
      <c r="I2410" s="10" t="n">
        <v>0</v>
      </c>
      <c r="J2410" s="10" t="n">
        <v>0</v>
      </c>
      <c r="K2410" s="10" t="s">
        <v>20</v>
      </c>
      <c r="L2410" s="11" t="n">
        <v>41062.9547453704</v>
      </c>
      <c r="M2410" s="12"/>
      <c r="N2410" s="12"/>
      <c r="O2410" s="9" t="str">
        <f aca="false">HYPERLINK("https://abs.twimg.com/sticky/default_profile_images/default_profile_normal.png","View")</f>
        <v>View</v>
      </c>
      <c r="P2410" s="10"/>
    </row>
    <row r="2411" customFormat="false" ht="15.75" hidden="false" customHeight="false" outlineLevel="0" collapsed="false">
      <c r="A2411" s="6" t="n">
        <v>43030.2480208333</v>
      </c>
      <c r="B2411" s="7" t="str">
        <f aca="false">HYPERLINK("https://twitter.com/Thnx4NothinDear","@Thnx4NothinDear")</f>
        <v>@Thnx4NothinDear</v>
      </c>
      <c r="C2411" s="8" t="s">
        <v>6157</v>
      </c>
      <c r="D2411" s="8" t="s">
        <v>6158</v>
      </c>
      <c r="E2411" s="9" t="str">
        <f aca="false">HYPERLINK("https://twitter.com/Thnx4NothinDear/status/922084408160526336","922084408160526336")</f>
        <v>922084408160526336</v>
      </c>
      <c r="F2411" s="9" t="s">
        <v>1147</v>
      </c>
      <c r="G2411" s="10" t="n">
        <v>5187</v>
      </c>
      <c r="H2411" s="10" t="n">
        <v>4636</v>
      </c>
      <c r="I2411" s="10" t="n">
        <v>0</v>
      </c>
      <c r="J2411" s="10" t="n">
        <v>1</v>
      </c>
      <c r="K2411" s="10" t="s">
        <v>20</v>
      </c>
      <c r="L2411" s="11" t="n">
        <v>42570.523912037</v>
      </c>
      <c r="M2411" s="12"/>
      <c r="N2411" s="12" t="s">
        <v>6159</v>
      </c>
      <c r="O2411" s="9" t="str">
        <f aca="false">HYPERLINK("https://pbs.twimg.com/profile_images/908988563122991105/EtvdHvPI_normal.jpg","View")</f>
        <v>View</v>
      </c>
      <c r="P2411" s="10"/>
    </row>
    <row r="2412" customFormat="false" ht="15.75" hidden="false" customHeight="false" outlineLevel="0" collapsed="false">
      <c r="A2412" s="6" t="n">
        <v>43030.2481018519</v>
      </c>
      <c r="B2412" s="7" t="str">
        <f aca="false">HYPERLINK("https://twitter.com/StoshAuf","@StoshAuf")</f>
        <v>@StoshAuf</v>
      </c>
      <c r="C2412" s="8" t="s">
        <v>6160</v>
      </c>
      <c r="D2412" s="8" t="s">
        <v>6161</v>
      </c>
      <c r="E2412" s="9" t="str">
        <f aca="false">HYPERLINK("https://twitter.com/StoshAuf/status/922084441262100480","922084441262100480")</f>
        <v>922084441262100480</v>
      </c>
      <c r="F2412" s="10" t="s">
        <v>51</v>
      </c>
      <c r="G2412" s="10" t="n">
        <v>13806</v>
      </c>
      <c r="H2412" s="10" t="n">
        <v>13424</v>
      </c>
      <c r="I2412" s="10" t="n">
        <v>1</v>
      </c>
      <c r="J2412" s="10" t="n">
        <v>0</v>
      </c>
      <c r="K2412" s="10" t="s">
        <v>20</v>
      </c>
      <c r="L2412" s="11" t="n">
        <v>42693.2724768519</v>
      </c>
      <c r="M2412" s="12" t="s">
        <v>6162</v>
      </c>
      <c r="N2412" s="12" t="s">
        <v>6163</v>
      </c>
      <c r="O2412" s="9" t="str">
        <f aca="false">HYPERLINK("https://pbs.twimg.com/profile_images/809572992443359232/VcfqH7t0_normal.jpg","View")</f>
        <v>View</v>
      </c>
      <c r="P2412" s="10"/>
    </row>
    <row r="2413" customFormat="false" ht="15.75" hidden="false" customHeight="false" outlineLevel="0" collapsed="false">
      <c r="A2413" s="6" t="n">
        <v>43030.248587963</v>
      </c>
      <c r="B2413" s="7" t="str">
        <f aca="false">HYPERLINK("https://twitter.com/DrAsifShahid","@DrAsifShahid")</f>
        <v>@DrAsifShahid</v>
      </c>
      <c r="C2413" s="8" t="s">
        <v>6164</v>
      </c>
      <c r="D2413" s="8" t="s">
        <v>6165</v>
      </c>
      <c r="E2413" s="9" t="str">
        <f aca="false">HYPERLINK("https://twitter.com/DrAsifShahid/status/922084617611628544","922084617611628544")</f>
        <v>922084617611628544</v>
      </c>
      <c r="F2413" s="10" t="s">
        <v>60</v>
      </c>
      <c r="G2413" s="10" t="n">
        <v>150</v>
      </c>
      <c r="H2413" s="10" t="n">
        <v>735</v>
      </c>
      <c r="I2413" s="10" t="n">
        <v>0</v>
      </c>
      <c r="J2413" s="10" t="n">
        <v>0</v>
      </c>
      <c r="K2413" s="10" t="s">
        <v>20</v>
      </c>
      <c r="L2413" s="11" t="n">
        <v>41070.4294560185</v>
      </c>
      <c r="M2413" s="12" t="s">
        <v>6166</v>
      </c>
      <c r="N2413" s="12" t="s">
        <v>6167</v>
      </c>
      <c r="O2413" s="9" t="str">
        <f aca="false">HYPERLINK("https://pbs.twimg.com/profile_images/764571135371608064/jXQc4b-D_normal.jpg","View")</f>
        <v>View</v>
      </c>
      <c r="P2413" s="10"/>
    </row>
    <row r="2414" customFormat="false" ht="15.75" hidden="false" customHeight="false" outlineLevel="0" collapsed="false">
      <c r="A2414" s="6" t="n">
        <v>43030.248599537</v>
      </c>
      <c r="B2414" s="7" t="str">
        <f aca="false">HYPERLINK("https://twitter.com/DrAsifShahid","@DrAsifShahid")</f>
        <v>@DrAsifShahid</v>
      </c>
      <c r="C2414" s="8" t="s">
        <v>6164</v>
      </c>
      <c r="D2414" s="8" t="s">
        <v>6168</v>
      </c>
      <c r="E2414" s="9" t="str">
        <f aca="false">HYPERLINK("https://twitter.com/DrAsifShahid/status/922084619167653888","922084619167653888")</f>
        <v>922084619167653888</v>
      </c>
      <c r="F2414" s="10" t="s">
        <v>60</v>
      </c>
      <c r="G2414" s="10" t="n">
        <v>150</v>
      </c>
      <c r="H2414" s="10" t="n">
        <v>735</v>
      </c>
      <c r="I2414" s="10" t="n">
        <v>0</v>
      </c>
      <c r="J2414" s="10" t="n">
        <v>0</v>
      </c>
      <c r="K2414" s="10" t="s">
        <v>20</v>
      </c>
      <c r="L2414" s="11" t="n">
        <v>41070.4294560185</v>
      </c>
      <c r="M2414" s="12" t="s">
        <v>6166</v>
      </c>
      <c r="N2414" s="12" t="s">
        <v>6167</v>
      </c>
      <c r="O2414" s="9" t="str">
        <f aca="false">HYPERLINK("https://pbs.twimg.com/profile_images/764571135371608064/jXQc4b-D_normal.jpg","View")</f>
        <v>View</v>
      </c>
      <c r="P2414" s="10"/>
    </row>
    <row r="2415" customFormat="false" ht="15.75" hidden="false" customHeight="false" outlineLevel="0" collapsed="false">
      <c r="A2415" s="6" t="n">
        <v>43030.248599537</v>
      </c>
      <c r="B2415" s="7" t="str">
        <f aca="false">HYPERLINK("https://twitter.com/DrAsifShahid","@DrAsifShahid")</f>
        <v>@DrAsifShahid</v>
      </c>
      <c r="C2415" s="8" t="s">
        <v>6164</v>
      </c>
      <c r="D2415" s="8" t="s">
        <v>6169</v>
      </c>
      <c r="E2415" s="9" t="str">
        <f aca="false">HYPERLINK("https://twitter.com/DrAsifShahid/status/922084619952017409","922084619952017409")</f>
        <v>922084619952017409</v>
      </c>
      <c r="F2415" s="10" t="s">
        <v>60</v>
      </c>
      <c r="G2415" s="10" t="n">
        <v>150</v>
      </c>
      <c r="H2415" s="10" t="n">
        <v>735</v>
      </c>
      <c r="I2415" s="10" t="n">
        <v>0</v>
      </c>
      <c r="J2415" s="10" t="n">
        <v>0</v>
      </c>
      <c r="K2415" s="10" t="s">
        <v>20</v>
      </c>
      <c r="L2415" s="11" t="n">
        <v>41070.4294560185</v>
      </c>
      <c r="M2415" s="12" t="s">
        <v>6166</v>
      </c>
      <c r="N2415" s="12" t="s">
        <v>6167</v>
      </c>
      <c r="O2415" s="9" t="str">
        <f aca="false">HYPERLINK("https://pbs.twimg.com/profile_images/764571135371608064/jXQc4b-D_normal.jpg","View")</f>
        <v>View</v>
      </c>
      <c r="P2415" s="10"/>
    </row>
    <row r="2416" customFormat="false" ht="15.75" hidden="false" customHeight="false" outlineLevel="0" collapsed="false">
      <c r="A2416" s="6" t="n">
        <v>43030.2486921296</v>
      </c>
      <c r="B2416" s="7" t="str">
        <f aca="false">HYPERLINK("https://twitter.com/DrAsifShahid","@DrAsifShahid")</f>
        <v>@DrAsifShahid</v>
      </c>
      <c r="C2416" s="8" t="s">
        <v>6164</v>
      </c>
      <c r="D2416" s="8" t="s">
        <v>6170</v>
      </c>
      <c r="E2416" s="9" t="str">
        <f aca="false">HYPERLINK("https://twitter.com/DrAsifShahid/status/922084651266662400","922084651266662400")</f>
        <v>922084651266662400</v>
      </c>
      <c r="F2416" s="10" t="s">
        <v>47</v>
      </c>
      <c r="G2416" s="10" t="n">
        <v>150</v>
      </c>
      <c r="H2416" s="10" t="n">
        <v>735</v>
      </c>
      <c r="I2416" s="10" t="n">
        <v>0</v>
      </c>
      <c r="J2416" s="10" t="n">
        <v>0</v>
      </c>
      <c r="K2416" s="10" t="s">
        <v>20</v>
      </c>
      <c r="L2416" s="11" t="n">
        <v>41070.4294560185</v>
      </c>
      <c r="M2416" s="12" t="s">
        <v>6166</v>
      </c>
      <c r="N2416" s="12" t="s">
        <v>6167</v>
      </c>
      <c r="O2416" s="9" t="str">
        <f aca="false">HYPERLINK("https://pbs.twimg.com/profile_images/764571135371608064/jXQc4b-D_normal.jpg","View")</f>
        <v>View</v>
      </c>
      <c r="P2416" s="10"/>
    </row>
    <row r="2417" customFormat="false" ht="15.75" hidden="false" customHeight="false" outlineLevel="0" collapsed="false">
      <c r="A2417" s="6" t="n">
        <v>43030.2487384259</v>
      </c>
      <c r="B2417" s="7" t="str">
        <f aca="false">HYPERLINK("https://twitter.com/DrAsifShahid","@DrAsifShahid")</f>
        <v>@DrAsifShahid</v>
      </c>
      <c r="C2417" s="8" t="s">
        <v>6164</v>
      </c>
      <c r="D2417" s="8" t="s">
        <v>6171</v>
      </c>
      <c r="E2417" s="9" t="str">
        <f aca="false">HYPERLINK("https://twitter.com/DrAsifShahid/status/922084669562261504","922084669562261504")</f>
        <v>922084669562261504</v>
      </c>
      <c r="F2417" s="10" t="s">
        <v>47</v>
      </c>
      <c r="G2417" s="10" t="n">
        <v>150</v>
      </c>
      <c r="H2417" s="10" t="n">
        <v>735</v>
      </c>
      <c r="I2417" s="10" t="n">
        <v>0</v>
      </c>
      <c r="J2417" s="10" t="n">
        <v>0</v>
      </c>
      <c r="K2417" s="10" t="s">
        <v>20</v>
      </c>
      <c r="L2417" s="11" t="n">
        <v>41070.4294560185</v>
      </c>
      <c r="M2417" s="12" t="s">
        <v>6166</v>
      </c>
      <c r="N2417" s="12" t="s">
        <v>6167</v>
      </c>
      <c r="O2417" s="9" t="str">
        <f aca="false">HYPERLINK("https://pbs.twimg.com/profile_images/764571135371608064/jXQc4b-D_normal.jpg","View")</f>
        <v>View</v>
      </c>
      <c r="P2417" s="10"/>
    </row>
    <row r="2418" customFormat="false" ht="15.75" hidden="false" customHeight="false" outlineLevel="0" collapsed="false">
      <c r="A2418" s="6" t="n">
        <v>43030.24875</v>
      </c>
      <c r="B2418" s="7" t="str">
        <f aca="false">HYPERLINK("https://twitter.com/DrAsifShahid","@DrAsifShahid")</f>
        <v>@DrAsifShahid</v>
      </c>
      <c r="C2418" s="8" t="s">
        <v>6164</v>
      </c>
      <c r="D2418" s="8" t="s">
        <v>6172</v>
      </c>
      <c r="E2418" s="9" t="str">
        <f aca="false">HYPERLINK("https://twitter.com/DrAsifShahid/status/922084673991380992","922084673991380992")</f>
        <v>922084673991380992</v>
      </c>
      <c r="F2418" s="10" t="s">
        <v>47</v>
      </c>
      <c r="G2418" s="10" t="n">
        <v>150</v>
      </c>
      <c r="H2418" s="10" t="n">
        <v>735</v>
      </c>
      <c r="I2418" s="10" t="n">
        <v>0</v>
      </c>
      <c r="J2418" s="10" t="n">
        <v>0</v>
      </c>
      <c r="K2418" s="10" t="s">
        <v>20</v>
      </c>
      <c r="L2418" s="11" t="n">
        <v>41070.4294560185</v>
      </c>
      <c r="M2418" s="12" t="s">
        <v>6166</v>
      </c>
      <c r="N2418" s="12" t="s">
        <v>6167</v>
      </c>
      <c r="O2418" s="9" t="str">
        <f aca="false">HYPERLINK("https://pbs.twimg.com/profile_images/764571135371608064/jXQc4b-D_normal.jpg","View")</f>
        <v>View</v>
      </c>
      <c r="P2418" s="10"/>
    </row>
    <row r="2419" customFormat="false" ht="15.75" hidden="false" customHeight="false" outlineLevel="0" collapsed="false">
      <c r="A2419" s="6" t="n">
        <v>43030.2487731482</v>
      </c>
      <c r="B2419" s="7" t="str">
        <f aca="false">HYPERLINK("https://twitter.com/sgbroadcast","@sgbroadcast")</f>
        <v>@sgbroadcast</v>
      </c>
      <c r="C2419" s="8" t="s">
        <v>5421</v>
      </c>
      <c r="D2419" s="8" t="s">
        <v>3631</v>
      </c>
      <c r="E2419" s="9" t="str">
        <f aca="false">HYPERLINK("https://twitter.com/sgbroadcast/status/922084684250603520","922084684250603520")</f>
        <v>922084684250603520</v>
      </c>
      <c r="F2419" s="10" t="s">
        <v>39</v>
      </c>
      <c r="G2419" s="10" t="n">
        <v>22786</v>
      </c>
      <c r="H2419" s="10" t="n">
        <v>13950</v>
      </c>
      <c r="I2419" s="10" t="n">
        <v>16</v>
      </c>
      <c r="J2419" s="10" t="n">
        <v>0</v>
      </c>
      <c r="K2419" s="10" t="s">
        <v>20</v>
      </c>
      <c r="L2419" s="11" t="n">
        <v>40841.3564351852</v>
      </c>
      <c r="M2419" s="12" t="s">
        <v>186</v>
      </c>
      <c r="N2419" s="12" t="s">
        <v>5422</v>
      </c>
      <c r="O2419" s="9" t="str">
        <f aca="false">HYPERLINK("https://pbs.twimg.com/profile_images/1858131595/singapore-news_normal.jpg","View")</f>
        <v>View</v>
      </c>
      <c r="P2419" s="10"/>
    </row>
    <row r="2420" customFormat="false" ht="15.75" hidden="false" customHeight="false" outlineLevel="0" collapsed="false">
      <c r="A2420" s="6" t="n">
        <v>43030.2488425926</v>
      </c>
      <c r="B2420" s="7" t="str">
        <f aca="false">HYPERLINK("https://twitter.com/DrAsifShahid","@DrAsifShahid")</f>
        <v>@DrAsifShahid</v>
      </c>
      <c r="C2420" s="8" t="s">
        <v>6164</v>
      </c>
      <c r="D2420" s="8" t="s">
        <v>6173</v>
      </c>
      <c r="E2420" s="9" t="str">
        <f aca="false">HYPERLINK("https://twitter.com/DrAsifShahid/status/922084708820967424","922084708820967424")</f>
        <v>922084708820967424</v>
      </c>
      <c r="F2420" s="10" t="s">
        <v>39</v>
      </c>
      <c r="G2420" s="10" t="n">
        <v>150</v>
      </c>
      <c r="H2420" s="10" t="n">
        <v>735</v>
      </c>
      <c r="I2420" s="10" t="n">
        <v>1</v>
      </c>
      <c r="J2420" s="10" t="n">
        <v>1</v>
      </c>
      <c r="K2420" s="10" t="s">
        <v>20</v>
      </c>
      <c r="L2420" s="11" t="n">
        <v>41070.4294560185</v>
      </c>
      <c r="M2420" s="12" t="s">
        <v>6166</v>
      </c>
      <c r="N2420" s="12" t="s">
        <v>6167</v>
      </c>
      <c r="O2420" s="9" t="str">
        <f aca="false">HYPERLINK("https://pbs.twimg.com/profile_images/764571135371608064/jXQc4b-D_normal.jpg","View")</f>
        <v>View</v>
      </c>
      <c r="P2420" s="10"/>
    </row>
    <row r="2421" customFormat="false" ht="15.75" hidden="false" customHeight="false" outlineLevel="0" collapsed="false">
      <c r="A2421" s="6" t="n">
        <v>43030.2490046296</v>
      </c>
      <c r="B2421" s="7" t="str">
        <f aca="false">HYPERLINK("https://twitter.com/unbv21","@unbv21")</f>
        <v>@unbv21</v>
      </c>
      <c r="C2421" s="8" t="s">
        <v>6174</v>
      </c>
      <c r="D2421" s="8" t="s">
        <v>4984</v>
      </c>
      <c r="E2421" s="9" t="str">
        <f aca="false">HYPERLINK("https://twitter.com/unbv21/status/922084764571619328","922084764571619328")</f>
        <v>922084764571619328</v>
      </c>
      <c r="F2421" s="10" t="s">
        <v>39</v>
      </c>
      <c r="G2421" s="10" t="n">
        <v>367</v>
      </c>
      <c r="H2421" s="10" t="n">
        <v>438</v>
      </c>
      <c r="I2421" s="10" t="n">
        <v>187</v>
      </c>
      <c r="J2421" s="10" t="n">
        <v>0</v>
      </c>
      <c r="K2421" s="10" t="s">
        <v>20</v>
      </c>
      <c r="L2421" s="11" t="n">
        <v>42350.4824074074</v>
      </c>
      <c r="M2421" s="12" t="s">
        <v>221</v>
      </c>
      <c r="N2421" s="12" t="s">
        <v>6175</v>
      </c>
      <c r="O2421" s="9" t="str">
        <f aca="false">HYPERLINK("https://pbs.twimg.com/profile_images/702255550902489091/YV1xJK6O_normal.png","View")</f>
        <v>View</v>
      </c>
      <c r="P2421" s="10"/>
    </row>
    <row r="2422" customFormat="false" ht="15.75" hidden="false" customHeight="false" outlineLevel="0" collapsed="false">
      <c r="A2422" s="6" t="n">
        <v>43030.2490393519</v>
      </c>
      <c r="B2422" s="7" t="str">
        <f aca="false">HYPERLINK("https://twitter.com/Mondestuff","@Mondestuff")</f>
        <v>@Mondestuff</v>
      </c>
      <c r="C2422" s="8" t="s">
        <v>2975</v>
      </c>
      <c r="D2422" s="8" t="s">
        <v>6176</v>
      </c>
      <c r="E2422" s="9" t="str">
        <f aca="false">HYPERLINK("https://twitter.com/Mondestuff/status/922084777422925824","922084777422925824")</f>
        <v>922084777422925824</v>
      </c>
      <c r="F2422" s="10" t="s">
        <v>60</v>
      </c>
      <c r="G2422" s="10" t="n">
        <v>333</v>
      </c>
      <c r="H2422" s="10" t="n">
        <v>1780</v>
      </c>
      <c r="I2422" s="10" t="n">
        <v>0</v>
      </c>
      <c r="J2422" s="10" t="n">
        <v>0</v>
      </c>
      <c r="K2422" s="10" t="s">
        <v>20</v>
      </c>
      <c r="L2422" s="11" t="n">
        <v>42379.9227199074</v>
      </c>
      <c r="M2422" s="12"/>
      <c r="N2422" s="12"/>
      <c r="O2422" s="9" t="str">
        <f aca="false">HYPERLINK("https://pbs.twimg.com/profile_images/914202709212975104/aDTP0-5n_normal.jpg","View")</f>
        <v>View</v>
      </c>
      <c r="P2422" s="10"/>
    </row>
    <row r="2423" customFormat="false" ht="15.75" hidden="false" customHeight="false" outlineLevel="0" collapsed="false">
      <c r="A2423" s="6" t="n">
        <v>43030.2491435185</v>
      </c>
      <c r="B2423" s="7" t="str">
        <f aca="false">HYPERLINK("https://twitter.com/PolticsNewz","@PolticsNewz")</f>
        <v>@PolticsNewz</v>
      </c>
      <c r="C2423" s="8" t="s">
        <v>1121</v>
      </c>
      <c r="D2423" s="8" t="s">
        <v>6177</v>
      </c>
      <c r="E2423" s="9" t="str">
        <f aca="false">HYPERLINK("https://twitter.com/PolticsNewz/status/922084817486966786","922084817486966786")</f>
        <v>922084817486966786</v>
      </c>
      <c r="F2423" s="10" t="s">
        <v>1123</v>
      </c>
      <c r="G2423" s="10" t="n">
        <v>26441</v>
      </c>
      <c r="H2423" s="10" t="n">
        <v>23998</v>
      </c>
      <c r="I2423" s="10" t="n">
        <v>1</v>
      </c>
      <c r="J2423" s="10" t="n">
        <v>1</v>
      </c>
      <c r="K2423" s="10" t="s">
        <v>20</v>
      </c>
      <c r="L2423" s="11" t="n">
        <v>42509.1547569445</v>
      </c>
      <c r="M2423" s="12" t="s">
        <v>230</v>
      </c>
      <c r="N2423" s="12" t="s">
        <v>1124</v>
      </c>
      <c r="O2423" s="9" t="str">
        <f aca="false">HYPERLINK("https://pbs.twimg.com/profile_images/733247246314131456/M6u2U4GO_normal.jpg","View")</f>
        <v>View</v>
      </c>
      <c r="P2423" s="10"/>
    </row>
    <row r="2424" customFormat="false" ht="15.75" hidden="false" customHeight="false" outlineLevel="0" collapsed="false">
      <c r="A2424" s="6" t="n">
        <v>43030.2492361111</v>
      </c>
      <c r="B2424" s="7" t="str">
        <f aca="false">HYPERLINK("https://twitter.com/seydoukiaga","@seydoukiaga")</f>
        <v>@seydoukiaga</v>
      </c>
      <c r="C2424" s="8" t="s">
        <v>6178</v>
      </c>
      <c r="D2424" s="8" t="s">
        <v>4984</v>
      </c>
      <c r="E2424" s="9" t="str">
        <f aca="false">HYPERLINK("https://twitter.com/seydoukiaga/status/922084850735177730","922084850735177730")</f>
        <v>922084850735177730</v>
      </c>
      <c r="F2424" s="10" t="s">
        <v>25</v>
      </c>
      <c r="G2424" s="10" t="n">
        <v>165</v>
      </c>
      <c r="H2424" s="10" t="n">
        <v>426</v>
      </c>
      <c r="I2424" s="10" t="n">
        <v>187</v>
      </c>
      <c r="J2424" s="10" t="n">
        <v>0</v>
      </c>
      <c r="K2424" s="10" t="s">
        <v>20</v>
      </c>
      <c r="L2424" s="11" t="n">
        <v>41718.422025463</v>
      </c>
      <c r="M2424" s="12"/>
      <c r="N2424" s="12"/>
      <c r="O2424" s="9" t="str">
        <f aca="false">HYPERLINK("https://pbs.twimg.com/profile_images/446721487190646784/HyKDd1Im_normal.jpeg","View")</f>
        <v>View</v>
      </c>
      <c r="P2424" s="10"/>
    </row>
    <row r="2425" customFormat="false" ht="15.75" hidden="false" customHeight="false" outlineLevel="0" collapsed="false">
      <c r="A2425" s="6" t="n">
        <v>43030.2493634259</v>
      </c>
      <c r="B2425" s="7" t="str">
        <f aca="false">HYPERLINK("https://twitter.com/DavidARader","@DavidARader")</f>
        <v>@DavidARader</v>
      </c>
      <c r="C2425" s="8" t="s">
        <v>6179</v>
      </c>
      <c r="D2425" s="8" t="s">
        <v>3514</v>
      </c>
      <c r="E2425" s="9" t="str">
        <f aca="false">HYPERLINK("https://twitter.com/DavidARader/status/922084898348982272","922084898348982272")</f>
        <v>922084898348982272</v>
      </c>
      <c r="F2425" s="10" t="s">
        <v>39</v>
      </c>
      <c r="G2425" s="10" t="n">
        <v>490</v>
      </c>
      <c r="H2425" s="10" t="n">
        <v>1555</v>
      </c>
      <c r="I2425" s="10" t="n">
        <v>19</v>
      </c>
      <c r="J2425" s="10" t="n">
        <v>0</v>
      </c>
      <c r="K2425" s="10" t="s">
        <v>20</v>
      </c>
      <c r="L2425" s="11" t="n">
        <v>39918.9610648148</v>
      </c>
      <c r="M2425" s="12" t="s">
        <v>6180</v>
      </c>
      <c r="N2425" s="12" t="s">
        <v>6181</v>
      </c>
      <c r="O2425" s="9" t="str">
        <f aca="false">HYPERLINK("https://pbs.twimg.com/profile_images/378800000314786050/c09ad14a084f78fbc782a075688d8c8c_normal.jpeg","View")</f>
        <v>View</v>
      </c>
      <c r="P2425" s="10"/>
    </row>
    <row r="2426" customFormat="false" ht="15.75" hidden="false" customHeight="false" outlineLevel="0" collapsed="false">
      <c r="A2426" s="6" t="n">
        <v>43030.2494097222</v>
      </c>
      <c r="B2426" s="7" t="str">
        <f aca="false">HYPERLINK("https://twitter.com/davemasters","@davemasters")</f>
        <v>@davemasters</v>
      </c>
      <c r="C2426" s="8" t="s">
        <v>3881</v>
      </c>
      <c r="D2426" s="8" t="s">
        <v>4984</v>
      </c>
      <c r="E2426" s="9" t="str">
        <f aca="false">HYPERLINK("https://twitter.com/davemasters/status/922084911221161984","922084911221161984")</f>
        <v>922084911221161984</v>
      </c>
      <c r="F2426" s="9" t="s">
        <v>1147</v>
      </c>
      <c r="G2426" s="10" t="n">
        <v>17589</v>
      </c>
      <c r="H2426" s="10" t="n">
        <v>11766</v>
      </c>
      <c r="I2426" s="10" t="n">
        <v>187</v>
      </c>
      <c r="J2426" s="10" t="n">
        <v>0</v>
      </c>
      <c r="K2426" s="10" t="s">
        <v>20</v>
      </c>
      <c r="L2426" s="11" t="n">
        <v>39899.2738888889</v>
      </c>
      <c r="M2426" s="12" t="s">
        <v>3883</v>
      </c>
      <c r="N2426" s="12" t="s">
        <v>3884</v>
      </c>
      <c r="O2426" s="9" t="str">
        <f aca="false">HYPERLINK("https://pbs.twimg.com/profile_images/778544636834873344/KGDBrRMY_normal.jpg","View")</f>
        <v>View</v>
      </c>
      <c r="P2426" s="10"/>
    </row>
    <row r="2427" customFormat="false" ht="15.75" hidden="false" customHeight="false" outlineLevel="0" collapsed="false">
      <c r="A2427" s="6" t="n">
        <v>43030.2495601852</v>
      </c>
      <c r="B2427" s="7" t="str">
        <f aca="false">HYPERLINK("https://twitter.com/PoliticsNewz","@PoliticsNewz")</f>
        <v>@PoliticsNewz</v>
      </c>
      <c r="C2427" s="8" t="s">
        <v>1132</v>
      </c>
      <c r="D2427" s="8" t="s">
        <v>6182</v>
      </c>
      <c r="E2427" s="9" t="str">
        <f aca="false">HYPERLINK("https://twitter.com/PoliticsNewz/status/922084966779023360","922084966779023360")</f>
        <v>922084966779023360</v>
      </c>
      <c r="F2427" s="10" t="s">
        <v>1134</v>
      </c>
      <c r="G2427" s="10" t="n">
        <v>56467</v>
      </c>
      <c r="H2427" s="10" t="n">
        <v>48950</v>
      </c>
      <c r="I2427" s="10" t="n">
        <v>0</v>
      </c>
      <c r="J2427" s="10" t="n">
        <v>0</v>
      </c>
      <c r="K2427" s="10" t="s">
        <v>20</v>
      </c>
      <c r="L2427" s="11" t="n">
        <v>40980.5404976852</v>
      </c>
      <c r="M2427" s="12" t="s">
        <v>230</v>
      </c>
      <c r="N2427" s="12" t="s">
        <v>1124</v>
      </c>
      <c r="O2427" s="9" t="str">
        <f aca="false">HYPERLINK("https://pbs.twimg.com/profile_images/1892022292/logo-politicnewz_normal.jpg","View")</f>
        <v>View</v>
      </c>
      <c r="P2427" s="10"/>
    </row>
    <row r="2428" customFormat="false" ht="15.75" hidden="false" customHeight="false" outlineLevel="0" collapsed="false">
      <c r="A2428" s="6" t="n">
        <v>43030.2499884259</v>
      </c>
      <c r="B2428" s="7" t="str">
        <f aca="false">HYPERLINK("https://twitter.com/MintaroOba","@MintaroOba")</f>
        <v>@MintaroOba</v>
      </c>
      <c r="C2428" s="8" t="s">
        <v>6183</v>
      </c>
      <c r="D2428" s="8" t="s">
        <v>3991</v>
      </c>
      <c r="E2428" s="9" t="str">
        <f aca="false">HYPERLINK("https://twitter.com/MintaroOba/status/922085124396724224","922085124396724224")</f>
        <v>922085124396724224</v>
      </c>
      <c r="F2428" s="10" t="s">
        <v>39</v>
      </c>
      <c r="G2428" s="10" t="n">
        <v>803</v>
      </c>
      <c r="H2428" s="10" t="n">
        <v>1170</v>
      </c>
      <c r="I2428" s="10" t="n">
        <v>17</v>
      </c>
      <c r="J2428" s="10" t="n">
        <v>0</v>
      </c>
      <c r="K2428" s="10" t="s">
        <v>20</v>
      </c>
      <c r="L2428" s="11" t="n">
        <v>41000.9480787037</v>
      </c>
      <c r="M2428" s="12" t="s">
        <v>723</v>
      </c>
      <c r="N2428" s="12" t="s">
        <v>6184</v>
      </c>
      <c r="O2428" s="9" t="str">
        <f aca="false">HYPERLINK("https://pbs.twimg.com/profile_images/877363804174114818/8iK6aHqr_normal.jpg","View")</f>
        <v>View</v>
      </c>
      <c r="P2428" s="10"/>
    </row>
    <row r="2429" customFormat="false" ht="15.75" hidden="false" customHeight="false" outlineLevel="0" collapsed="false">
      <c r="A2429" s="6" t="n">
        <v>43030.2501273148</v>
      </c>
      <c r="B2429" s="7" t="str">
        <f aca="false">HYPERLINK("https://twitter.com/Pres_SEIU_FPSU","@Pres_SEIU_FPSU")</f>
        <v>@Pres_SEIU_FPSU</v>
      </c>
      <c r="C2429" s="8" t="s">
        <v>6185</v>
      </c>
      <c r="D2429" s="8" t="s">
        <v>6186</v>
      </c>
      <c r="E2429" s="9" t="str">
        <f aca="false">HYPERLINK("https://twitter.com/Pres_SEIU_FPSU/status/922085174279581696","922085174279581696")</f>
        <v>922085174279581696</v>
      </c>
      <c r="F2429" s="10" t="s">
        <v>51</v>
      </c>
      <c r="G2429" s="10" t="n">
        <v>4179</v>
      </c>
      <c r="H2429" s="10" t="n">
        <v>4979</v>
      </c>
      <c r="I2429" s="10" t="n">
        <v>0</v>
      </c>
      <c r="J2429" s="10" t="n">
        <v>0</v>
      </c>
      <c r="K2429" s="10" t="s">
        <v>20</v>
      </c>
      <c r="L2429" s="11" t="n">
        <v>40404.2660069444</v>
      </c>
      <c r="M2429" s="12" t="s">
        <v>6187</v>
      </c>
      <c r="N2429" s="12" t="s">
        <v>6188</v>
      </c>
      <c r="O2429" s="9" t="str">
        <f aca="false">HYPERLINK("https://pbs.twimg.com/profile_images/1105005954/3_fpsu-logo-purple_2_.yellow_normal.jpg","View")</f>
        <v>View</v>
      </c>
      <c r="P2429" s="10"/>
    </row>
    <row r="2430" customFormat="false" ht="15.75" hidden="false" customHeight="false" outlineLevel="0" collapsed="false">
      <c r="A2430" s="6" t="n">
        <v>43030.2502199074</v>
      </c>
      <c r="B2430" s="7" t="str">
        <f aca="false">HYPERLINK("https://twitter.com/Social_Media_e2","@Social_Media_e2")</f>
        <v>@Social_Media_e2</v>
      </c>
      <c r="C2430" s="8" t="s">
        <v>314</v>
      </c>
      <c r="D2430" s="8" t="s">
        <v>6189</v>
      </c>
      <c r="E2430" s="9" t="str">
        <f aca="false">HYPERLINK("https://twitter.com/Social_Media_e2/status/922085205304905729","922085205304905729")</f>
        <v>922085205304905729</v>
      </c>
      <c r="F2430" s="10" t="s">
        <v>110</v>
      </c>
      <c r="G2430" s="10" t="n">
        <v>12207</v>
      </c>
      <c r="H2430" s="10" t="n">
        <v>12187</v>
      </c>
      <c r="I2430" s="10" t="n">
        <v>0</v>
      </c>
      <c r="J2430" s="10" t="n">
        <v>0</v>
      </c>
      <c r="K2430" s="10" t="s">
        <v>20</v>
      </c>
      <c r="L2430" s="11" t="n">
        <v>42266.1521990741</v>
      </c>
      <c r="M2430" s="12"/>
      <c r="N2430" s="12" t="s">
        <v>316</v>
      </c>
      <c r="O2430" s="9" t="str">
        <f aca="false">HYPERLINK("https://pbs.twimg.com/profile_images/871163230529376256/ApYuBcyU_normal.jpg","View")</f>
        <v>View</v>
      </c>
      <c r="P2430" s="10"/>
    </row>
    <row r="2431" customFormat="false" ht="15.75" hidden="false" customHeight="false" outlineLevel="0" collapsed="false">
      <c r="A2431" s="6" t="n">
        <v>43030.2502662037</v>
      </c>
      <c r="B2431" s="7" t="str">
        <f aca="false">HYPERLINK("https://twitter.com/OnlBreakingNews","@OnlBreakingNews")</f>
        <v>@OnlBreakingNews</v>
      </c>
      <c r="C2431" s="8" t="s">
        <v>310</v>
      </c>
      <c r="D2431" s="8" t="s">
        <v>6190</v>
      </c>
      <c r="E2431" s="9" t="str">
        <f aca="false">HYPERLINK("https://twitter.com/OnlBreakingNews/status/922085222702813187","922085222702813187")</f>
        <v>922085222702813187</v>
      </c>
      <c r="F2431" s="10" t="s">
        <v>110</v>
      </c>
      <c r="G2431" s="10" t="n">
        <v>483</v>
      </c>
      <c r="H2431" s="10" t="n">
        <v>1593</v>
      </c>
      <c r="I2431" s="10" t="n">
        <v>0</v>
      </c>
      <c r="J2431" s="10" t="n">
        <v>0</v>
      </c>
      <c r="K2431" s="10" t="s">
        <v>20</v>
      </c>
      <c r="L2431" s="11" t="n">
        <v>42737.9799074074</v>
      </c>
      <c r="M2431" s="12" t="s">
        <v>312</v>
      </c>
      <c r="N2431" s="12" t="s">
        <v>313</v>
      </c>
      <c r="O2431" s="9" t="str">
        <f aca="false">HYPERLINK("https://pbs.twimg.com/profile_images/816193432410591232/Sjz4Kaqf_normal.jpg","View")</f>
        <v>View</v>
      </c>
      <c r="P2431" s="10"/>
    </row>
    <row r="2432" customFormat="false" ht="15.75" hidden="false" customHeight="false" outlineLevel="0" collapsed="false">
      <c r="A2432" s="6" t="n">
        <v>43030.2503240741</v>
      </c>
      <c r="B2432" s="7" t="str">
        <f aca="false">HYPERLINK("https://twitter.com/CaseyBillX","@CaseyBillX")</f>
        <v>@CaseyBillX</v>
      </c>
      <c r="C2432" s="8" t="s">
        <v>2159</v>
      </c>
      <c r="D2432" s="8" t="s">
        <v>4984</v>
      </c>
      <c r="E2432" s="9" t="str">
        <f aca="false">HYPERLINK("https://twitter.com/CaseyBillX/status/922085244638859264","922085244638859264")</f>
        <v>922085244638859264</v>
      </c>
      <c r="F2432" s="10" t="s">
        <v>2160</v>
      </c>
      <c r="G2432" s="10" t="n">
        <v>2484</v>
      </c>
      <c r="H2432" s="10" t="n">
        <v>5001</v>
      </c>
      <c r="I2432" s="10" t="n">
        <v>187</v>
      </c>
      <c r="J2432" s="10" t="n">
        <v>0</v>
      </c>
      <c r="K2432" s="10" t="s">
        <v>20</v>
      </c>
      <c r="L2432" s="11" t="n">
        <v>42997.1530208333</v>
      </c>
      <c r="M2432" s="12"/>
      <c r="N2432" s="12"/>
      <c r="O2432" s="9" t="str">
        <f aca="false">HYPERLINK("https://pbs.twimg.com/profile_images/910103474003525633/_kzNa9NX_normal.jpg","View")</f>
        <v>View</v>
      </c>
      <c r="P2432" s="10"/>
    </row>
    <row r="2433" customFormat="false" ht="15.75" hidden="false" customHeight="false" outlineLevel="0" collapsed="false">
      <c r="A2433" s="6" t="n">
        <v>43030.2503240741</v>
      </c>
      <c r="B2433" s="7" t="str">
        <f aca="false">HYPERLINK("https://twitter.com/BBGDistribution","@BBGDistribution")</f>
        <v>@BBGDistribution</v>
      </c>
      <c r="C2433" s="8" t="s">
        <v>6191</v>
      </c>
      <c r="D2433" s="8" t="s">
        <v>6192</v>
      </c>
      <c r="E2433" s="9" t="str">
        <f aca="false">HYPERLINK("https://twitter.com/BBGDistribution/status/922085245482098688","922085245482098688")</f>
        <v>922085245482098688</v>
      </c>
      <c r="F2433" s="10" t="s">
        <v>268</v>
      </c>
      <c r="G2433" s="10" t="n">
        <v>15034</v>
      </c>
      <c r="H2433" s="10" t="n">
        <v>349</v>
      </c>
      <c r="I2433" s="10" t="n">
        <v>0</v>
      </c>
      <c r="J2433" s="10" t="n">
        <v>1</v>
      </c>
      <c r="K2433" s="10" t="s">
        <v>20</v>
      </c>
      <c r="L2433" s="11" t="n">
        <v>41921.5667013889</v>
      </c>
      <c r="M2433" s="12" t="s">
        <v>199</v>
      </c>
      <c r="N2433" s="12" t="s">
        <v>6193</v>
      </c>
      <c r="O2433" s="9" t="str">
        <f aca="false">HYPERLINK("https://pbs.twimg.com/profile_images/756515161104613376/Q2x96xOC_normal.jpg","View")</f>
        <v>View</v>
      </c>
      <c r="P2433" s="10"/>
    </row>
    <row r="2434" customFormat="false" ht="15.75" hidden="false" customHeight="false" outlineLevel="0" collapsed="false">
      <c r="A2434" s="6" t="n">
        <v>43030.2503356482</v>
      </c>
      <c r="B2434" s="7" t="str">
        <f aca="false">HYPERLINK("https://twitter.com/ZyiteGadgets","@ZyiteGadgets")</f>
        <v>@ZyiteGadgets</v>
      </c>
      <c r="C2434" s="8" t="s">
        <v>171</v>
      </c>
      <c r="D2434" s="8" t="s">
        <v>6194</v>
      </c>
      <c r="E2434" s="9" t="str">
        <f aca="false">HYPERLINK("https://twitter.com/ZyiteGadgets/status/922085247621259264","922085247621259264")</f>
        <v>922085247621259264</v>
      </c>
      <c r="F2434" s="10" t="s">
        <v>110</v>
      </c>
      <c r="G2434" s="10" t="n">
        <v>3542</v>
      </c>
      <c r="H2434" s="10" t="n">
        <v>4844</v>
      </c>
      <c r="I2434" s="10" t="n">
        <v>0</v>
      </c>
      <c r="J2434" s="10" t="n">
        <v>0</v>
      </c>
      <c r="K2434" s="10" t="s">
        <v>20</v>
      </c>
      <c r="L2434" s="11" t="n">
        <v>41470.6147800926</v>
      </c>
      <c r="M2434" s="15" t="s">
        <v>173</v>
      </c>
      <c r="N2434" s="12" t="s">
        <v>174</v>
      </c>
      <c r="O2434" s="9" t="str">
        <f aca="false">HYPERLINK("https://pbs.twimg.com/profile_images/487701633489313793/pIxJHFt5_normal.jpeg","View")</f>
        <v>View</v>
      </c>
      <c r="P2434" s="10"/>
    </row>
    <row r="2435" customFormat="false" ht="15.75" hidden="false" customHeight="false" outlineLevel="0" collapsed="false">
      <c r="A2435" s="6" t="n">
        <v>43030.2504166667</v>
      </c>
      <c r="B2435" s="7" t="str">
        <f aca="false">HYPERLINK("https://twitter.com/jacremes","@jacremes")</f>
        <v>@jacremes</v>
      </c>
      <c r="C2435" s="8" t="s">
        <v>6195</v>
      </c>
      <c r="D2435" s="8" t="s">
        <v>6196</v>
      </c>
      <c r="E2435" s="9" t="str">
        <f aca="false">HYPERLINK("https://twitter.com/jacremes/status/922085278139015168","922085278139015168")</f>
        <v>922085278139015168</v>
      </c>
      <c r="F2435" s="10" t="s">
        <v>177</v>
      </c>
      <c r="G2435" s="10" t="n">
        <v>5823</v>
      </c>
      <c r="H2435" s="10" t="n">
        <v>1153</v>
      </c>
      <c r="I2435" s="10" t="n">
        <v>0</v>
      </c>
      <c r="J2435" s="10" t="n">
        <v>0</v>
      </c>
      <c r="K2435" s="10" t="s">
        <v>20</v>
      </c>
      <c r="L2435" s="11" t="n">
        <v>40604.2966666667</v>
      </c>
      <c r="M2435" s="12" t="s">
        <v>6197</v>
      </c>
      <c r="N2435" s="12" t="s">
        <v>6198</v>
      </c>
      <c r="O2435" s="9" t="str">
        <f aca="false">HYPERLINK("https://pbs.twimg.com/profile_images/2938354865/77b2ee2cf3372398061690b4686f33fe_normal.jpeg","View")</f>
        <v>View</v>
      </c>
      <c r="P2435" s="10"/>
    </row>
    <row r="2436" customFormat="false" ht="15.75" hidden="false" customHeight="false" outlineLevel="0" collapsed="false">
      <c r="A2436" s="6" t="n">
        <v>43030.2505439815</v>
      </c>
      <c r="B2436" s="7" t="str">
        <f aca="false">HYPERLINK("https://twitter.com/ZyiteGadgets","@ZyiteGadgets")</f>
        <v>@ZyiteGadgets</v>
      </c>
      <c r="C2436" s="8" t="s">
        <v>171</v>
      </c>
      <c r="D2436" s="8" t="s">
        <v>6199</v>
      </c>
      <c r="E2436" s="9" t="str">
        <f aca="false">HYPERLINK("https://twitter.com/ZyiteGadgets/status/922085326025383937","922085326025383937")</f>
        <v>922085326025383937</v>
      </c>
      <c r="F2436" s="10" t="s">
        <v>110</v>
      </c>
      <c r="G2436" s="10" t="n">
        <v>3542</v>
      </c>
      <c r="H2436" s="10" t="n">
        <v>4844</v>
      </c>
      <c r="I2436" s="10" t="n">
        <v>0</v>
      </c>
      <c r="J2436" s="10" t="n">
        <v>0</v>
      </c>
      <c r="K2436" s="10" t="s">
        <v>20</v>
      </c>
      <c r="L2436" s="11" t="n">
        <v>41470.6147800926</v>
      </c>
      <c r="M2436" s="15" t="s">
        <v>173</v>
      </c>
      <c r="N2436" s="12" t="s">
        <v>174</v>
      </c>
      <c r="O2436" s="9" t="str">
        <f aca="false">HYPERLINK("https://pbs.twimg.com/profile_images/487701633489313793/pIxJHFt5_normal.jpeg","View")</f>
        <v>View</v>
      </c>
      <c r="P2436" s="10"/>
    </row>
    <row r="2437" customFormat="false" ht="15.75" hidden="false" customHeight="false" outlineLevel="0" collapsed="false">
      <c r="A2437" s="6" t="n">
        <v>43030.2507638889</v>
      </c>
      <c r="B2437" s="7" t="str">
        <f aca="false">HYPERLINK("https://twitter.com/3tking","@3tking")</f>
        <v>@3tking</v>
      </c>
      <c r="C2437" s="8" t="s">
        <v>3984</v>
      </c>
      <c r="D2437" s="8" t="s">
        <v>6200</v>
      </c>
      <c r="E2437" s="9" t="str">
        <f aca="false">HYPERLINK("https://twitter.com/3tking/status/922085403938770944","922085403938770944")</f>
        <v>922085403938770944</v>
      </c>
      <c r="F2437" s="10" t="s">
        <v>55</v>
      </c>
      <c r="G2437" s="10" t="n">
        <v>740</v>
      </c>
      <c r="H2437" s="10" t="n">
        <v>301</v>
      </c>
      <c r="I2437" s="10" t="n">
        <v>0</v>
      </c>
      <c r="J2437" s="10" t="n">
        <v>0</v>
      </c>
      <c r="K2437" s="10" t="s">
        <v>20</v>
      </c>
      <c r="L2437" s="11" t="n">
        <v>41122.644837963</v>
      </c>
      <c r="M2437" s="12" t="s">
        <v>3986</v>
      </c>
      <c r="N2437" s="12" t="s">
        <v>3987</v>
      </c>
      <c r="O2437" s="9" t="str">
        <f aca="false">HYPERLINK("https://pbs.twimg.com/profile_images/899725666299650048/qM4z6WLI_normal.jpg","View")</f>
        <v>View</v>
      </c>
      <c r="P2437" s="10"/>
    </row>
    <row r="2438" customFormat="false" ht="15.75" hidden="false" customHeight="false" outlineLevel="0" collapsed="false">
      <c r="A2438" s="6" t="n">
        <v>43030.2508449074</v>
      </c>
      <c r="B2438" s="7" t="str">
        <f aca="false">HYPERLINK("https://twitter.com/NeerajK_","@NeerajK_")</f>
        <v>@NeerajK_</v>
      </c>
      <c r="C2438" s="8" t="s">
        <v>6201</v>
      </c>
      <c r="D2438" s="8" t="s">
        <v>4120</v>
      </c>
      <c r="E2438" s="9" t="str">
        <f aca="false">HYPERLINK("https://twitter.com/NeerajK_/status/922085433130889217","922085433130889217")</f>
        <v>922085433130889217</v>
      </c>
      <c r="F2438" s="10" t="s">
        <v>25</v>
      </c>
      <c r="G2438" s="10" t="n">
        <v>314</v>
      </c>
      <c r="H2438" s="10" t="n">
        <v>235</v>
      </c>
      <c r="I2438" s="10" t="n">
        <v>5</v>
      </c>
      <c r="J2438" s="10" t="n">
        <v>0</v>
      </c>
      <c r="K2438" s="10" t="s">
        <v>20</v>
      </c>
      <c r="L2438" s="11" t="n">
        <v>41736.4083101852</v>
      </c>
      <c r="M2438" s="12"/>
      <c r="N2438" s="12" t="s">
        <v>6202</v>
      </c>
      <c r="O2438" s="9" t="str">
        <f aca="false">HYPERLINK("https://pbs.twimg.com/profile_images/702301030474608640/PTULqLV6_normal.jpg","View")</f>
        <v>View</v>
      </c>
      <c r="P2438" s="10"/>
    </row>
    <row r="2439" customFormat="false" ht="15.75" hidden="false" customHeight="false" outlineLevel="0" collapsed="false">
      <c r="A2439" s="6" t="n">
        <v>43030.2509259259</v>
      </c>
      <c r="B2439" s="7" t="str">
        <f aca="false">HYPERLINK("https://twitter.com/PoliticsNewz","@PoliticsNewz")</f>
        <v>@PoliticsNewz</v>
      </c>
      <c r="C2439" s="8" t="s">
        <v>1132</v>
      </c>
      <c r="D2439" s="8" t="s">
        <v>6203</v>
      </c>
      <c r="E2439" s="9" t="str">
        <f aca="false">HYPERLINK("https://twitter.com/PoliticsNewz/status/922085460796682243","922085460796682243")</f>
        <v>922085460796682243</v>
      </c>
      <c r="F2439" s="10" t="s">
        <v>1134</v>
      </c>
      <c r="G2439" s="10" t="n">
        <v>56467</v>
      </c>
      <c r="H2439" s="10" t="n">
        <v>48950</v>
      </c>
      <c r="I2439" s="10" t="n">
        <v>0</v>
      </c>
      <c r="J2439" s="10" t="n">
        <v>1</v>
      </c>
      <c r="K2439" s="10" t="s">
        <v>20</v>
      </c>
      <c r="L2439" s="11" t="n">
        <v>40980.5404976852</v>
      </c>
      <c r="M2439" s="12" t="s">
        <v>230</v>
      </c>
      <c r="N2439" s="12" t="s">
        <v>1124</v>
      </c>
      <c r="O2439" s="9" t="str">
        <f aca="false">HYPERLINK("https://pbs.twimg.com/profile_images/1892022292/logo-politicnewz_normal.jpg","View")</f>
        <v>View</v>
      </c>
      <c r="P2439" s="10"/>
    </row>
    <row r="2440" customFormat="false" ht="15.75" hidden="false" customHeight="false" outlineLevel="0" collapsed="false">
      <c r="A2440" s="6" t="n">
        <v>43030.2509375</v>
      </c>
      <c r="B2440" s="7" t="str">
        <f aca="false">HYPERLINK("https://twitter.com/Chi312Chi","@Chi312Chi")</f>
        <v>@Chi312Chi</v>
      </c>
      <c r="C2440" s="8" t="s">
        <v>1359</v>
      </c>
      <c r="D2440" s="8" t="s">
        <v>4984</v>
      </c>
      <c r="E2440" s="9" t="str">
        <f aca="false">HYPERLINK("https://twitter.com/Chi312Chi/status/922085465037123585","922085465037123585")</f>
        <v>922085465037123585</v>
      </c>
      <c r="F2440" s="10" t="s">
        <v>4100</v>
      </c>
      <c r="G2440" s="10" t="n">
        <v>580</v>
      </c>
      <c r="H2440" s="10" t="n">
        <v>2786</v>
      </c>
      <c r="I2440" s="10" t="n">
        <v>187</v>
      </c>
      <c r="J2440" s="10" t="n">
        <v>0</v>
      </c>
      <c r="K2440" s="10" t="s">
        <v>20</v>
      </c>
      <c r="L2440" s="11" t="n">
        <v>41645.8166203704</v>
      </c>
      <c r="M2440" s="12"/>
      <c r="N2440" s="12"/>
      <c r="O2440" s="9" t="str">
        <f aca="false">HYPERLINK("https://pbs.twimg.com/profile_images/918940173085413376/0qeHPlF8_normal.jpg","View")</f>
        <v>View</v>
      </c>
      <c r="P2440" s="10"/>
    </row>
    <row r="2441" customFormat="false" ht="15.75" hidden="false" customHeight="false" outlineLevel="0" collapsed="false">
      <c r="A2441" s="6" t="n">
        <v>43030.251087963</v>
      </c>
      <c r="B2441" s="7" t="str">
        <f aca="false">HYPERLINK("https://twitter.com/proudmadheshi","@proudmadheshi")</f>
        <v>@proudmadheshi</v>
      </c>
      <c r="C2441" s="8" t="s">
        <v>6204</v>
      </c>
      <c r="D2441" s="8" t="s">
        <v>6205</v>
      </c>
      <c r="E2441" s="9" t="str">
        <f aca="false">HYPERLINK("https://twitter.com/proudmadheshi/status/922085521421082624","922085521421082624")</f>
        <v>922085521421082624</v>
      </c>
      <c r="F2441" s="9" t="s">
        <v>1147</v>
      </c>
      <c r="G2441" s="10" t="n">
        <v>94</v>
      </c>
      <c r="H2441" s="10" t="n">
        <v>85</v>
      </c>
      <c r="I2441" s="10" t="n">
        <v>0</v>
      </c>
      <c r="J2441" s="10" t="n">
        <v>0</v>
      </c>
      <c r="K2441" s="10" t="s">
        <v>20</v>
      </c>
      <c r="L2441" s="11" t="n">
        <v>42340.0439699074</v>
      </c>
      <c r="M2441" s="12" t="s">
        <v>6206</v>
      </c>
      <c r="N2441" s="12" t="s">
        <v>6207</v>
      </c>
      <c r="O2441" s="9" t="str">
        <f aca="false">HYPERLINK("https://pbs.twimg.com/profile_images/919123444112900096/nQk6pX1-_normal.jpg","View")</f>
        <v>View</v>
      </c>
      <c r="P2441" s="10"/>
    </row>
    <row r="2442" customFormat="false" ht="15.75" hidden="false" customHeight="false" outlineLevel="0" collapsed="false">
      <c r="A2442" s="6" t="n">
        <v>43030.251099537</v>
      </c>
      <c r="B2442" s="7" t="str">
        <f aca="false">HYPERLINK("https://twitter.com/takaochikubu","@takaochikubu")</f>
        <v>@takaochikubu</v>
      </c>
      <c r="C2442" s="8" t="s">
        <v>3823</v>
      </c>
      <c r="D2442" s="8" t="s">
        <v>6208</v>
      </c>
      <c r="E2442" s="9" t="str">
        <f aca="false">HYPERLINK("https://twitter.com/takaochikubu/status/922085524235485184","922085524235485184")</f>
        <v>922085524235485184</v>
      </c>
      <c r="F2442" s="10" t="s">
        <v>110</v>
      </c>
      <c r="G2442" s="10" t="n">
        <v>154</v>
      </c>
      <c r="H2442" s="10" t="n">
        <v>237</v>
      </c>
      <c r="I2442" s="10" t="n">
        <v>0</v>
      </c>
      <c r="J2442" s="10" t="n">
        <v>0</v>
      </c>
      <c r="K2442" s="10" t="s">
        <v>20</v>
      </c>
      <c r="L2442" s="11" t="n">
        <v>40173.2107638889</v>
      </c>
      <c r="M2442" s="12" t="s">
        <v>3825</v>
      </c>
      <c r="N2442" s="12" t="s">
        <v>3826</v>
      </c>
      <c r="O2442" s="9" t="str">
        <f aca="false">HYPERLINK("https://pbs.twimg.com/profile_images/826263560875499520/HXG9LEeh_normal.jpg","View")</f>
        <v>View</v>
      </c>
      <c r="P2442" s="10"/>
    </row>
    <row r="2443" customFormat="false" ht="15.75" hidden="false" customHeight="false" outlineLevel="0" collapsed="false">
      <c r="A2443" s="6" t="n">
        <v>43030.2515856481</v>
      </c>
      <c r="B2443" s="7" t="str">
        <f aca="false">HYPERLINK("https://twitter.com/jmattos2001","@jmattos2001")</f>
        <v>@jmattos2001</v>
      </c>
      <c r="C2443" s="8" t="s">
        <v>6209</v>
      </c>
      <c r="D2443" s="8" t="s">
        <v>6210</v>
      </c>
      <c r="E2443" s="9" t="str">
        <f aca="false">HYPERLINK("https://twitter.com/jmattos2001/status/922085702015356928","922085702015356928")</f>
        <v>922085702015356928</v>
      </c>
      <c r="F2443" s="10" t="s">
        <v>1194</v>
      </c>
      <c r="G2443" s="10" t="n">
        <v>804</v>
      </c>
      <c r="H2443" s="10" t="n">
        <v>1645</v>
      </c>
      <c r="I2443" s="10" t="n">
        <v>0</v>
      </c>
      <c r="J2443" s="10" t="n">
        <v>0</v>
      </c>
      <c r="K2443" s="10" t="s">
        <v>20</v>
      </c>
      <c r="L2443" s="11" t="n">
        <v>39896.6231481482</v>
      </c>
      <c r="M2443" s="12" t="s">
        <v>6211</v>
      </c>
      <c r="N2443" s="12" t="s">
        <v>6212</v>
      </c>
      <c r="O2443" s="9" t="str">
        <f aca="false">HYPERLINK("https://pbs.twimg.com/profile_images/705211044973699072/QHJN1NNP_normal.jpg","View")</f>
        <v>View</v>
      </c>
      <c r="P2443" s="10"/>
    </row>
    <row r="2444" customFormat="false" ht="15.75" hidden="false" customHeight="false" outlineLevel="0" collapsed="false">
      <c r="A2444" s="6" t="n">
        <v>43030.2518055556</v>
      </c>
      <c r="B2444" s="7" t="str">
        <f aca="false">HYPERLINK("https://twitter.com/isaacstonefish","@isaacstonefish")</f>
        <v>@isaacstonefish</v>
      </c>
      <c r="C2444" s="8" t="s">
        <v>6213</v>
      </c>
      <c r="D2444" s="8" t="s">
        <v>6214</v>
      </c>
      <c r="E2444" s="9" t="str">
        <f aca="false">HYPERLINK("https://twitter.com/isaacstonefish/status/922085780008337408","922085780008337408")</f>
        <v>922085780008337408</v>
      </c>
      <c r="F2444" s="10" t="s">
        <v>51</v>
      </c>
      <c r="G2444" s="10" t="n">
        <v>18813</v>
      </c>
      <c r="H2444" s="10" t="n">
        <v>2327</v>
      </c>
      <c r="I2444" s="10" t="n">
        <v>3</v>
      </c>
      <c r="J2444" s="10" t="n">
        <v>2</v>
      </c>
      <c r="K2444" s="10" t="s">
        <v>20</v>
      </c>
      <c r="L2444" s="11" t="n">
        <v>40056.7280439815</v>
      </c>
      <c r="M2444" s="12" t="s">
        <v>6215</v>
      </c>
      <c r="N2444" s="12" t="s">
        <v>6216</v>
      </c>
      <c r="O2444" s="9" t="str">
        <f aca="false">HYPERLINK("https://pbs.twimg.com/profile_images/722091972165382145/yjaZzWwc_normal.jpg","View")</f>
        <v>View</v>
      </c>
      <c r="P2444" s="10"/>
    </row>
    <row r="2445" customFormat="false" ht="15.75" hidden="false" customHeight="false" outlineLevel="0" collapsed="false">
      <c r="A2445" s="6" t="n">
        <v>43030.2518634259</v>
      </c>
      <c r="B2445" s="7" t="str">
        <f aca="false">HYPERLINK("https://twitter.com/MintaroOba","@MintaroOba")</f>
        <v>@MintaroOba</v>
      </c>
      <c r="C2445" s="8" t="s">
        <v>6183</v>
      </c>
      <c r="D2445" s="8" t="s">
        <v>6217</v>
      </c>
      <c r="E2445" s="9" t="str">
        <f aca="false">HYPERLINK("https://twitter.com/MintaroOba/status/922085802087272448","922085802087272448")</f>
        <v>922085802087272448</v>
      </c>
      <c r="F2445" s="10" t="s">
        <v>39</v>
      </c>
      <c r="G2445" s="10" t="n">
        <v>803</v>
      </c>
      <c r="H2445" s="10" t="n">
        <v>1170</v>
      </c>
      <c r="I2445" s="10" t="n">
        <v>1</v>
      </c>
      <c r="J2445" s="10" t="n">
        <v>3</v>
      </c>
      <c r="K2445" s="10" t="s">
        <v>20</v>
      </c>
      <c r="L2445" s="11" t="n">
        <v>41000.9480787037</v>
      </c>
      <c r="M2445" s="12" t="s">
        <v>723</v>
      </c>
      <c r="N2445" s="12" t="s">
        <v>6184</v>
      </c>
      <c r="O2445" s="9" t="str">
        <f aca="false">HYPERLINK("https://pbs.twimg.com/profile_images/877363804174114818/8iK6aHqr_normal.jpg","View")</f>
        <v>View</v>
      </c>
      <c r="P2445" s="10"/>
    </row>
    <row r="2446" customFormat="false" ht="15.75" hidden="false" customHeight="false" outlineLevel="0" collapsed="false">
      <c r="A2446" s="6" t="n">
        <v>43030.2518865741</v>
      </c>
      <c r="B2446" s="7" t="str">
        <f aca="false">HYPERLINK("https://twitter.com/kabarberita","@kabarberita")</f>
        <v>@kabarberita</v>
      </c>
      <c r="C2446" s="8" t="s">
        <v>6218</v>
      </c>
      <c r="D2446" s="8" t="s">
        <v>6219</v>
      </c>
      <c r="E2446" s="9" t="str">
        <f aca="false">HYPERLINK("https://twitter.com/kabarberita/status/922085810568159232","922085810568159232")</f>
        <v>922085810568159232</v>
      </c>
      <c r="F2446" s="10" t="s">
        <v>55</v>
      </c>
      <c r="G2446" s="10" t="n">
        <v>2729</v>
      </c>
      <c r="H2446" s="10" t="n">
        <v>111</v>
      </c>
      <c r="I2446" s="10" t="n">
        <v>0</v>
      </c>
      <c r="J2446" s="10" t="n">
        <v>0</v>
      </c>
      <c r="K2446" s="10" t="s">
        <v>20</v>
      </c>
      <c r="L2446" s="11" t="n">
        <v>40259.2492592593</v>
      </c>
      <c r="M2446" s="12" t="s">
        <v>6220</v>
      </c>
      <c r="N2446" s="12" t="s">
        <v>6221</v>
      </c>
      <c r="O2446" s="9" t="str">
        <f aca="false">HYPERLINK("https://pbs.twimg.com/profile_images/1496838853/download_normal.jpg","View")</f>
        <v>View</v>
      </c>
      <c r="P2446" s="10"/>
    </row>
    <row r="2447" customFormat="false" ht="15.75" hidden="false" customHeight="false" outlineLevel="0" collapsed="false">
      <c r="A2447" s="6" t="n">
        <v>43030.2522337963</v>
      </c>
      <c r="B2447" s="7" t="str">
        <f aca="false">HYPERLINK("https://twitter.com/supra1Bqteam","@supra1Bqteam")</f>
        <v>@supra1Bqteam</v>
      </c>
      <c r="C2447" s="8" t="s">
        <v>1092</v>
      </c>
      <c r="D2447" s="8" t="s">
        <v>6222</v>
      </c>
      <c r="E2447" s="9" t="str">
        <f aca="false">HYPERLINK("https://twitter.com/supra1Bqteam/status/922085934891446275","922085934891446275")</f>
        <v>922085934891446275</v>
      </c>
      <c r="F2447" s="10" t="s">
        <v>60</v>
      </c>
      <c r="G2447" s="10" t="n">
        <v>29111</v>
      </c>
      <c r="H2447" s="10" t="n">
        <v>27568</v>
      </c>
      <c r="I2447" s="10" t="n">
        <v>0</v>
      </c>
      <c r="J2447" s="10" t="n">
        <v>0</v>
      </c>
      <c r="K2447" s="10" t="s">
        <v>20</v>
      </c>
      <c r="L2447" s="11" t="n">
        <v>40930.4692824074</v>
      </c>
      <c r="M2447" s="12" t="s">
        <v>1094</v>
      </c>
      <c r="N2447" s="12" t="s">
        <v>1095</v>
      </c>
      <c r="O2447" s="9" t="str">
        <f aca="false">HYPERLINK("https://pbs.twimg.com/profile_images/752065571068444672/dkKCTbsg_normal.jpg","View")</f>
        <v>View</v>
      </c>
      <c r="P2447" s="10"/>
    </row>
    <row r="2448" customFormat="false" ht="15.75" hidden="false" customHeight="false" outlineLevel="0" collapsed="false">
      <c r="A2448" s="6" t="n">
        <v>43030.2522569444</v>
      </c>
      <c r="B2448" s="7" t="str">
        <f aca="false">HYPERLINK("https://twitter.com/kayodebuky","@kayodebuky")</f>
        <v>@kayodebuky</v>
      </c>
      <c r="C2448" s="8" t="s">
        <v>6223</v>
      </c>
      <c r="D2448" s="8" t="s">
        <v>6224</v>
      </c>
      <c r="E2448" s="9" t="str">
        <f aca="false">HYPERLINK("https://twitter.com/kayodebuky/status/922085945838571520","922085945838571520")</f>
        <v>922085945838571520</v>
      </c>
      <c r="F2448" s="10" t="s">
        <v>55</v>
      </c>
      <c r="G2448" s="10" t="n">
        <v>1565</v>
      </c>
      <c r="H2448" s="10" t="n">
        <v>1465</v>
      </c>
      <c r="I2448" s="10" t="n">
        <v>0</v>
      </c>
      <c r="J2448" s="10" t="n">
        <v>0</v>
      </c>
      <c r="K2448" s="10" t="s">
        <v>20</v>
      </c>
      <c r="L2448" s="11" t="n">
        <v>41484.0880092593</v>
      </c>
      <c r="M2448" s="12" t="s">
        <v>3474</v>
      </c>
      <c r="N2448" s="12" t="s">
        <v>6225</v>
      </c>
      <c r="O2448" s="9" t="str">
        <f aca="false">HYPERLINK("https://pbs.twimg.com/profile_images/854280110391922688/-RstNP0o_normal.jpg","View")</f>
        <v>View</v>
      </c>
      <c r="P2448" s="10"/>
    </row>
    <row r="2449" customFormat="false" ht="15.75" hidden="false" customHeight="false" outlineLevel="0" collapsed="false">
      <c r="A2449" s="6" t="n">
        <v>43030.2523611111</v>
      </c>
      <c r="B2449" s="7" t="str">
        <f aca="false">HYPERLINK("https://twitter.com/DrAsifShahid","@DrAsifShahid")</f>
        <v>@DrAsifShahid</v>
      </c>
      <c r="C2449" s="8" t="s">
        <v>6164</v>
      </c>
      <c r="D2449" s="8" t="s">
        <v>6226</v>
      </c>
      <c r="E2449" s="9" t="str">
        <f aca="false">HYPERLINK("https://twitter.com/DrAsifShahid/status/922085981465047041","922085981465047041")</f>
        <v>922085981465047041</v>
      </c>
      <c r="F2449" s="10" t="s">
        <v>47</v>
      </c>
      <c r="G2449" s="10" t="n">
        <v>150</v>
      </c>
      <c r="H2449" s="10" t="n">
        <v>735</v>
      </c>
      <c r="I2449" s="10" t="n">
        <v>0</v>
      </c>
      <c r="J2449" s="10" t="n">
        <v>0</v>
      </c>
      <c r="K2449" s="10" t="s">
        <v>20</v>
      </c>
      <c r="L2449" s="11" t="n">
        <v>41070.4294560185</v>
      </c>
      <c r="M2449" s="12" t="s">
        <v>6166</v>
      </c>
      <c r="N2449" s="12" t="s">
        <v>6167</v>
      </c>
      <c r="O2449" s="9" t="str">
        <f aca="false">HYPERLINK("https://pbs.twimg.com/profile_images/764571135371608064/jXQc4b-D_normal.jpg","View")</f>
        <v>View</v>
      </c>
      <c r="P2449" s="10"/>
    </row>
    <row r="2450" customFormat="false" ht="15.75" hidden="false" customHeight="false" outlineLevel="0" collapsed="false">
      <c r="A2450" s="6" t="n">
        <v>43030.2527893519</v>
      </c>
      <c r="B2450" s="7" t="str">
        <f aca="false">HYPERLINK("https://twitter.com/mathtimms2","@mathtimms2")</f>
        <v>@mathtimms2</v>
      </c>
      <c r="C2450" s="8" t="s">
        <v>6227</v>
      </c>
      <c r="D2450" s="8" t="s">
        <v>6228</v>
      </c>
      <c r="E2450" s="9" t="str">
        <f aca="false">HYPERLINK("https://twitter.com/mathtimms2/status/922086136230699009","922086136230699009")</f>
        <v>922086136230699009</v>
      </c>
      <c r="F2450" s="10" t="s">
        <v>39</v>
      </c>
      <c r="G2450" s="10" t="n">
        <v>244</v>
      </c>
      <c r="H2450" s="10" t="n">
        <v>1988</v>
      </c>
      <c r="I2450" s="10" t="n">
        <v>0</v>
      </c>
      <c r="J2450" s="10" t="n">
        <v>0</v>
      </c>
      <c r="K2450" s="10" t="s">
        <v>20</v>
      </c>
      <c r="L2450" s="11" t="n">
        <v>42038.3983101852</v>
      </c>
      <c r="M2450" s="12" t="s">
        <v>6229</v>
      </c>
      <c r="N2450" s="12" t="s">
        <v>6230</v>
      </c>
      <c r="O2450" s="9" t="str">
        <f aca="false">HYPERLINK("https://pbs.twimg.com/profile_images/903841630121283584/1JZqvBVf_normal.jpg","View")</f>
        <v>View</v>
      </c>
      <c r="P2450" s="10"/>
    </row>
    <row r="2451" customFormat="false" ht="15.75" hidden="false" customHeight="false" outlineLevel="0" collapsed="false">
      <c r="A2451" s="6" t="n">
        <v>43030.2528125</v>
      </c>
      <c r="B2451" s="7" t="str">
        <f aca="false">HYPERLINK("https://twitter.com/DrAsifShahid","@DrAsifShahid")</f>
        <v>@DrAsifShahid</v>
      </c>
      <c r="C2451" s="8" t="s">
        <v>6164</v>
      </c>
      <c r="D2451" s="8" t="s">
        <v>6231</v>
      </c>
      <c r="E2451" s="9" t="str">
        <f aca="false">HYPERLINK("https://twitter.com/DrAsifShahid/status/922086145487462400","922086145487462400")</f>
        <v>922086145487462400</v>
      </c>
      <c r="F2451" s="10" t="s">
        <v>47</v>
      </c>
      <c r="G2451" s="10" t="n">
        <v>150</v>
      </c>
      <c r="H2451" s="10" t="n">
        <v>735</v>
      </c>
      <c r="I2451" s="10" t="n">
        <v>0</v>
      </c>
      <c r="J2451" s="10" t="n">
        <v>0</v>
      </c>
      <c r="K2451" s="10" t="s">
        <v>20</v>
      </c>
      <c r="L2451" s="11" t="n">
        <v>41070.4294560185</v>
      </c>
      <c r="M2451" s="12" t="s">
        <v>6166</v>
      </c>
      <c r="N2451" s="12" t="s">
        <v>6167</v>
      </c>
      <c r="O2451" s="9" t="str">
        <f aca="false">HYPERLINK("https://pbs.twimg.com/profile_images/764571135371608064/jXQc4b-D_normal.jpg","View")</f>
        <v>View</v>
      </c>
      <c r="P2451" s="10"/>
    </row>
    <row r="2452" customFormat="false" ht="15.75" hidden="false" customHeight="false" outlineLevel="0" collapsed="false">
      <c r="A2452" s="6" t="n">
        <v>43030.2528587963</v>
      </c>
      <c r="B2452" s="7" t="str">
        <f aca="false">HYPERLINK("https://twitter.com/jmh0709","@jmh0709")</f>
        <v>@jmh0709</v>
      </c>
      <c r="C2452" s="8" t="s">
        <v>6232</v>
      </c>
      <c r="D2452" s="8" t="s">
        <v>6233</v>
      </c>
      <c r="E2452" s="9" t="str">
        <f aca="false">HYPERLINK("https://twitter.com/jmh0709/status/922086163816505347","922086163816505347")</f>
        <v>922086163816505347</v>
      </c>
      <c r="F2452" s="10" t="s">
        <v>51</v>
      </c>
      <c r="G2452" s="10" t="n">
        <v>690</v>
      </c>
      <c r="H2452" s="10" t="n">
        <v>256</v>
      </c>
      <c r="I2452" s="10" t="n">
        <v>0</v>
      </c>
      <c r="J2452" s="10" t="n">
        <v>0</v>
      </c>
      <c r="K2452" s="10" t="s">
        <v>20</v>
      </c>
      <c r="L2452" s="11" t="n">
        <v>41819.8040393519</v>
      </c>
      <c r="M2452" s="12" t="s">
        <v>6234</v>
      </c>
      <c r="N2452" s="12" t="s">
        <v>6235</v>
      </c>
      <c r="O2452" s="9" t="str">
        <f aca="false">HYPERLINK("https://pbs.twimg.com/profile_images/877988850848550912/JRQoVD2F_normal.jpg","View")</f>
        <v>View</v>
      </c>
      <c r="P2452" s="10"/>
    </row>
    <row r="2453" customFormat="false" ht="15.75" hidden="false" customHeight="false" outlineLevel="0" collapsed="false">
      <c r="A2453" s="6" t="n">
        <v>43030.2532638889</v>
      </c>
      <c r="B2453" s="7" t="str">
        <f aca="false">HYPERLINK("https://twitter.com/44cstark","@44cstark")</f>
        <v>@44cstark</v>
      </c>
      <c r="C2453" s="8" t="s">
        <v>912</v>
      </c>
      <c r="D2453" s="8" t="s">
        <v>4984</v>
      </c>
      <c r="E2453" s="9" t="str">
        <f aca="false">HYPERLINK("https://twitter.com/44cstark/status/922086309824487425","922086309824487425")</f>
        <v>922086309824487425</v>
      </c>
      <c r="F2453" s="10" t="s">
        <v>25</v>
      </c>
      <c r="G2453" s="10" t="n">
        <v>1359</v>
      </c>
      <c r="H2453" s="10" t="n">
        <v>1997</v>
      </c>
      <c r="I2453" s="10" t="n">
        <v>187</v>
      </c>
      <c r="J2453" s="10" t="n">
        <v>0</v>
      </c>
      <c r="K2453" s="10" t="s">
        <v>20</v>
      </c>
      <c r="L2453" s="11" t="n">
        <v>41754.9561111111</v>
      </c>
      <c r="M2453" s="12" t="s">
        <v>913</v>
      </c>
      <c r="N2453" s="12" t="s">
        <v>914</v>
      </c>
      <c r="O2453" s="9" t="str">
        <f aca="false">HYPERLINK("https://abs.twimg.com/sticky/default_profile_images/default_profile_normal.png","View")</f>
        <v>View</v>
      </c>
      <c r="P2453" s="10"/>
    </row>
    <row r="2454" customFormat="false" ht="15.75" hidden="false" customHeight="false" outlineLevel="0" collapsed="false">
      <c r="A2454" s="6" t="n">
        <v>43030.2535069444</v>
      </c>
      <c r="B2454" s="7" t="str">
        <f aca="false">HYPERLINK("https://twitter.com/HirokoTabuchi","@HirokoTabuchi")</f>
        <v>@HirokoTabuchi</v>
      </c>
      <c r="C2454" s="8" t="s">
        <v>6236</v>
      </c>
      <c r="D2454" s="8" t="s">
        <v>4984</v>
      </c>
      <c r="E2454" s="9" t="str">
        <f aca="false">HYPERLINK("https://twitter.com/HirokoTabuchi/status/922086396642365440","922086396642365440")</f>
        <v>922086396642365440</v>
      </c>
      <c r="F2454" s="10" t="s">
        <v>51</v>
      </c>
      <c r="G2454" s="10" t="n">
        <v>103975</v>
      </c>
      <c r="H2454" s="10" t="n">
        <v>10063</v>
      </c>
      <c r="I2454" s="10" t="n">
        <v>187</v>
      </c>
      <c r="J2454" s="10" t="n">
        <v>0</v>
      </c>
      <c r="K2454" s="10" t="s">
        <v>20</v>
      </c>
      <c r="L2454" s="11" t="n">
        <v>39320.3452546296</v>
      </c>
      <c r="M2454" s="12" t="s">
        <v>319</v>
      </c>
      <c r="N2454" s="12" t="s">
        <v>6237</v>
      </c>
      <c r="O2454" s="9" t="str">
        <f aca="false">HYPERLINK("https://pbs.twimg.com/profile_images/3653996497/4e0a4cdc66345410396a3956455984da_normal.jpeg","View")</f>
        <v>View</v>
      </c>
      <c r="P2454" s="10"/>
    </row>
    <row r="2455" customFormat="false" ht="15.75" hidden="false" customHeight="false" outlineLevel="0" collapsed="false">
      <c r="A2455" s="6" t="n">
        <v>43030.2535532407</v>
      </c>
      <c r="B2455" s="7" t="str">
        <f aca="false">HYPERLINK("https://twitter.com/saravindraj","@saravindraj")</f>
        <v>@saravindraj</v>
      </c>
      <c r="C2455" s="8" t="s">
        <v>6238</v>
      </c>
      <c r="D2455" s="8" t="s">
        <v>6239</v>
      </c>
      <c r="E2455" s="9" t="str">
        <f aca="false">HYPERLINK("https://twitter.com/saravindraj/status/922086413876846592","922086413876846592")</f>
        <v>922086413876846592</v>
      </c>
      <c r="F2455" s="10" t="s">
        <v>98</v>
      </c>
      <c r="G2455" s="10" t="n">
        <v>39</v>
      </c>
      <c r="H2455" s="10" t="n">
        <v>92</v>
      </c>
      <c r="I2455" s="10" t="n">
        <v>1</v>
      </c>
      <c r="J2455" s="10" t="n">
        <v>0</v>
      </c>
      <c r="K2455" s="10" t="s">
        <v>20</v>
      </c>
      <c r="L2455" s="11" t="n">
        <v>40667.8307523148</v>
      </c>
      <c r="M2455" s="12" t="s">
        <v>6240</v>
      </c>
      <c r="N2455" s="12" t="s">
        <v>6241</v>
      </c>
      <c r="O2455" s="9" t="str">
        <f aca="false">HYPERLINK("https://pbs.twimg.com/profile_images/847630153098305537/0z3-Ym9W_normal.jpg","View")</f>
        <v>View</v>
      </c>
      <c r="P2455" s="10"/>
    </row>
    <row r="2456" customFormat="false" ht="15.75" hidden="false" customHeight="false" outlineLevel="0" collapsed="false">
      <c r="A2456" s="6" t="n">
        <v>43030.2540046296</v>
      </c>
      <c r="B2456" s="7" t="str">
        <f aca="false">HYPERLINK("https://twitter.com/KyleHarrietha","@KyleHarrietha")</f>
        <v>@KyleHarrietha</v>
      </c>
      <c r="C2456" s="8" t="s">
        <v>6242</v>
      </c>
      <c r="D2456" s="8" t="s">
        <v>5135</v>
      </c>
      <c r="E2456" s="9" t="str">
        <f aca="false">HYPERLINK("https://twitter.com/KyleHarrietha/status/922086580352794624","922086580352794624")</f>
        <v>922086580352794624</v>
      </c>
      <c r="F2456" s="10" t="s">
        <v>2620</v>
      </c>
      <c r="G2456" s="10" t="n">
        <v>4779</v>
      </c>
      <c r="H2456" s="10" t="n">
        <v>2051</v>
      </c>
      <c r="I2456" s="10" t="n">
        <v>18</v>
      </c>
      <c r="J2456" s="10" t="n">
        <v>0</v>
      </c>
      <c r="K2456" s="10" t="s">
        <v>20</v>
      </c>
      <c r="L2456" s="11" t="n">
        <v>39727.5706018519</v>
      </c>
      <c r="M2456" s="12" t="s">
        <v>6243</v>
      </c>
      <c r="N2456" s="12" t="s">
        <v>6244</v>
      </c>
      <c r="O2456" s="9" t="str">
        <f aca="false">HYPERLINK("https://pbs.twimg.com/profile_images/811609459214733313/0OVLVvgX_normal.jpg","View")</f>
        <v>View</v>
      </c>
      <c r="P2456" s="10"/>
    </row>
    <row r="2457" customFormat="false" ht="15.75" hidden="false" customHeight="false" outlineLevel="0" collapsed="false">
      <c r="A2457" s="6" t="n">
        <v>43030.2541087963</v>
      </c>
      <c r="B2457" s="7" t="str">
        <f aca="false">HYPERLINK("https://twitter.com/GloriatibiTri","@GloriatibiTri")</f>
        <v>@GloriatibiTri</v>
      </c>
      <c r="C2457" s="14" t="s">
        <v>6245</v>
      </c>
      <c r="D2457" s="8" t="s">
        <v>4984</v>
      </c>
      <c r="E2457" s="9" t="str">
        <f aca="false">HYPERLINK("https://twitter.com/GloriatibiTri/status/922086617950470146","922086617950470146")</f>
        <v>922086617950470146</v>
      </c>
      <c r="F2457" s="10" t="s">
        <v>51</v>
      </c>
      <c r="G2457" s="10" t="n">
        <v>1641</v>
      </c>
      <c r="H2457" s="10" t="n">
        <v>2197</v>
      </c>
      <c r="I2457" s="10" t="n">
        <v>187</v>
      </c>
      <c r="J2457" s="10" t="n">
        <v>0</v>
      </c>
      <c r="K2457" s="10" t="s">
        <v>20</v>
      </c>
      <c r="L2457" s="11" t="n">
        <v>40745.028587963</v>
      </c>
      <c r="M2457" s="12" t="s">
        <v>6246</v>
      </c>
      <c r="N2457" s="13" t="s">
        <v>6247</v>
      </c>
      <c r="O2457" s="9" t="str">
        <f aca="false">HYPERLINK("https://pbs.twimg.com/profile_images/906910757622706177/z8Ecdhuf_normal.jpg","View")</f>
        <v>View</v>
      </c>
      <c r="P2457" s="10"/>
    </row>
    <row r="2458" customFormat="false" ht="15.75" hidden="false" customHeight="false" outlineLevel="0" collapsed="false">
      <c r="A2458" s="6" t="n">
        <v>43030.2542476852</v>
      </c>
      <c r="B2458" s="7" t="str">
        <f aca="false">HYPERLINK("https://twitter.com/olawong","@olawong")</f>
        <v>@olawong</v>
      </c>
      <c r="C2458" s="8" t="s">
        <v>6248</v>
      </c>
      <c r="D2458" s="8" t="s">
        <v>6249</v>
      </c>
      <c r="E2458" s="9" t="str">
        <f aca="false">HYPERLINK("https://twitter.com/olawong/status/922086667141468160","922086667141468160")</f>
        <v>922086667141468160</v>
      </c>
      <c r="F2458" s="10" t="s">
        <v>39</v>
      </c>
      <c r="G2458" s="10" t="n">
        <v>2862</v>
      </c>
      <c r="H2458" s="10" t="n">
        <v>337</v>
      </c>
      <c r="I2458" s="10" t="n">
        <v>0</v>
      </c>
      <c r="J2458" s="10" t="n">
        <v>0</v>
      </c>
      <c r="K2458" s="10" t="s">
        <v>20</v>
      </c>
      <c r="L2458" s="11" t="n">
        <v>40105.3412731482</v>
      </c>
      <c r="M2458" s="12" t="s">
        <v>6250</v>
      </c>
      <c r="N2458" s="12" t="s">
        <v>6251</v>
      </c>
      <c r="O2458" s="9" t="str">
        <f aca="false">HYPERLINK("https://pbs.twimg.com/profile_images/481161108/ola_wong_normal.jpg","View")</f>
        <v>View</v>
      </c>
      <c r="P2458" s="10"/>
    </row>
    <row r="2459" customFormat="false" ht="15.75" hidden="false" customHeight="false" outlineLevel="0" collapsed="false">
      <c r="A2459" s="6" t="n">
        <v>43030.2542708333</v>
      </c>
      <c r="B2459" s="7" t="str">
        <f aca="false">HYPERLINK("https://twitter.com/mohanguruswamy","@mohanguruswamy")</f>
        <v>@mohanguruswamy</v>
      </c>
      <c r="C2459" s="8" t="s">
        <v>6252</v>
      </c>
      <c r="D2459" s="8" t="s">
        <v>6253</v>
      </c>
      <c r="E2459" s="9" t="str">
        <f aca="false">HYPERLINK("https://twitter.com/mohanguruswamy/status/922086673055281153","922086673055281153")</f>
        <v>922086673055281153</v>
      </c>
      <c r="F2459" s="10" t="s">
        <v>47</v>
      </c>
      <c r="G2459" s="10" t="n">
        <v>2236</v>
      </c>
      <c r="H2459" s="10" t="n">
        <v>51</v>
      </c>
      <c r="I2459" s="10" t="n">
        <v>5</v>
      </c>
      <c r="J2459" s="10" t="n">
        <v>3</v>
      </c>
      <c r="K2459" s="10" t="s">
        <v>20</v>
      </c>
      <c r="L2459" s="11" t="n">
        <v>40623.1530671296</v>
      </c>
      <c r="M2459" s="12"/>
      <c r="N2459" s="12"/>
      <c r="O2459" s="9" t="str">
        <f aca="false">HYPERLINK("https://pbs.twimg.com/profile_images/498329632681107456/TVUvY6XS_normal.jpeg","View")</f>
        <v>View</v>
      </c>
      <c r="P2459" s="10"/>
    </row>
    <row r="2460" customFormat="false" ht="15.75" hidden="false" customHeight="false" outlineLevel="0" collapsed="false">
      <c r="A2460" s="6" t="n">
        <v>43030.2542708333</v>
      </c>
      <c r="B2460" s="7" t="str">
        <f aca="false">HYPERLINK("https://twitter.com/olawong","@olawong")</f>
        <v>@olawong</v>
      </c>
      <c r="C2460" s="8" t="s">
        <v>6248</v>
      </c>
      <c r="D2460" s="8" t="s">
        <v>6254</v>
      </c>
      <c r="E2460" s="9" t="str">
        <f aca="false">HYPERLINK("https://twitter.com/olawong/status/922086674904920065","922086674904920065")</f>
        <v>922086674904920065</v>
      </c>
      <c r="F2460" s="10" t="s">
        <v>39</v>
      </c>
      <c r="G2460" s="10" t="n">
        <v>2862</v>
      </c>
      <c r="H2460" s="10" t="n">
        <v>337</v>
      </c>
      <c r="I2460" s="10" t="n">
        <v>0</v>
      </c>
      <c r="J2460" s="10" t="n">
        <v>0</v>
      </c>
      <c r="K2460" s="10" t="s">
        <v>20</v>
      </c>
      <c r="L2460" s="11" t="n">
        <v>40105.3412731482</v>
      </c>
      <c r="M2460" s="12" t="s">
        <v>6250</v>
      </c>
      <c r="N2460" s="12" t="s">
        <v>6251</v>
      </c>
      <c r="O2460" s="9" t="str">
        <f aca="false">HYPERLINK("https://pbs.twimg.com/profile_images/481161108/ola_wong_normal.jpg","View")</f>
        <v>View</v>
      </c>
      <c r="P2460" s="10"/>
    </row>
    <row r="2461" customFormat="false" ht="15.75" hidden="false" customHeight="false" outlineLevel="0" collapsed="false">
      <c r="A2461" s="6" t="n">
        <v>43030.2551967593</v>
      </c>
      <c r="B2461" s="7" t="str">
        <f aca="false">HYPERLINK("https://twitter.com/RamananadSwami1","@RamananadSwami1")</f>
        <v>@RamananadSwami1</v>
      </c>
      <c r="C2461" s="8" t="s">
        <v>6255</v>
      </c>
      <c r="D2461" s="8" t="s">
        <v>6256</v>
      </c>
      <c r="E2461" s="9" t="str">
        <f aca="false">HYPERLINK("https://twitter.com/RamananadSwami1/status/922087011699212291","922087011699212291")</f>
        <v>922087011699212291</v>
      </c>
      <c r="F2461" s="10" t="s">
        <v>25</v>
      </c>
      <c r="G2461" s="10" t="n">
        <v>4</v>
      </c>
      <c r="H2461" s="10" t="n">
        <v>0</v>
      </c>
      <c r="I2461" s="10" t="n">
        <v>0</v>
      </c>
      <c r="J2461" s="10" t="n">
        <v>1</v>
      </c>
      <c r="K2461" s="10" t="s">
        <v>20</v>
      </c>
      <c r="L2461" s="11" t="n">
        <v>42849.1747337963</v>
      </c>
      <c r="M2461" s="12"/>
      <c r="N2461" s="12"/>
      <c r="O2461" s="9" t="str">
        <f aca="false">HYPERLINK("https://pbs.twimg.com/profile_images/894801748145065984/eZPfm62b_normal.jpg","View")</f>
        <v>View</v>
      </c>
      <c r="P2461" s="10"/>
    </row>
    <row r="2462" customFormat="false" ht="15.75" hidden="false" customHeight="false" outlineLevel="0" collapsed="false">
      <c r="A2462" s="6" t="n">
        <v>43030.2552083333</v>
      </c>
      <c r="B2462" s="7" t="str">
        <f aca="false">HYPERLINK("https://twitter.com/RamjankiA","@RamjankiA")</f>
        <v>@RamjankiA</v>
      </c>
      <c r="C2462" s="8" t="s">
        <v>2231</v>
      </c>
      <c r="D2462" s="8" t="s">
        <v>6257</v>
      </c>
      <c r="E2462" s="9" t="str">
        <f aca="false">HYPERLINK("https://twitter.com/RamjankiA/status/922087014228312064","922087014228312064")</f>
        <v>922087014228312064</v>
      </c>
      <c r="F2462" s="10" t="s">
        <v>25</v>
      </c>
      <c r="G2462" s="10" t="n">
        <v>15</v>
      </c>
      <c r="H2462" s="10" t="n">
        <v>3</v>
      </c>
      <c r="I2462" s="10" t="n">
        <v>0</v>
      </c>
      <c r="J2462" s="10" t="n">
        <v>1</v>
      </c>
      <c r="K2462" s="10" t="s">
        <v>20</v>
      </c>
      <c r="L2462" s="11" t="n">
        <v>42294.9131597222</v>
      </c>
      <c r="M2462" s="12"/>
      <c r="N2462" s="12"/>
      <c r="O2462" s="9" t="str">
        <f aca="false">HYPERLINK("https://pbs.twimg.com/profile_images/891982096205438977/84x30Lf-_normal.jpg","View")</f>
        <v>View</v>
      </c>
      <c r="P2462" s="10"/>
    </row>
    <row r="2463" customFormat="false" ht="15.75" hidden="false" customHeight="false" outlineLevel="0" collapsed="false">
      <c r="A2463" s="6" t="n">
        <v>43030.2554166667</v>
      </c>
      <c r="B2463" s="7" t="str">
        <f aca="false">HYPERLINK("https://twitter.com/fuzzyguest","@fuzzyguest")</f>
        <v>@fuzzyguest</v>
      </c>
      <c r="C2463" s="8" t="s">
        <v>6258</v>
      </c>
      <c r="D2463" s="8" t="s">
        <v>4984</v>
      </c>
      <c r="E2463" s="9" t="str">
        <f aca="false">HYPERLINK("https://twitter.com/fuzzyguest/status/922087090824687617","922087090824687617")</f>
        <v>922087090824687617</v>
      </c>
      <c r="F2463" s="10" t="s">
        <v>39</v>
      </c>
      <c r="G2463" s="10" t="n">
        <v>56</v>
      </c>
      <c r="H2463" s="10" t="n">
        <v>815</v>
      </c>
      <c r="I2463" s="10" t="n">
        <v>187</v>
      </c>
      <c r="J2463" s="10" t="n">
        <v>0</v>
      </c>
      <c r="K2463" s="10" t="s">
        <v>20</v>
      </c>
      <c r="L2463" s="11" t="n">
        <v>41335.8183333333</v>
      </c>
      <c r="M2463" s="12" t="s">
        <v>574</v>
      </c>
      <c r="N2463" s="12"/>
      <c r="O2463" s="9" t="str">
        <f aca="false">HYPERLINK("https://pbs.twimg.com/profile_images/378800000310251208/39e3ef268e83d4457361db41b199ea80_normal.jpeg","View")</f>
        <v>View</v>
      </c>
      <c r="P2463" s="10"/>
    </row>
    <row r="2464" customFormat="false" ht="15.75" hidden="false" customHeight="false" outlineLevel="0" collapsed="false">
      <c r="A2464" s="6" t="n">
        <v>43030.2554398148</v>
      </c>
      <c r="B2464" s="7" t="str">
        <f aca="false">HYPERLINK("https://twitter.com/Matimba_Roux","@Matimba_Roux")</f>
        <v>@Matimba_Roux</v>
      </c>
      <c r="C2464" s="8" t="s">
        <v>6259</v>
      </c>
      <c r="D2464" s="8" t="s">
        <v>4124</v>
      </c>
      <c r="E2464" s="9" t="str">
        <f aca="false">HYPERLINK("https://twitter.com/Matimba_Roux/status/922087098882101249","922087098882101249")</f>
        <v>922087098882101249</v>
      </c>
      <c r="F2464" s="10" t="s">
        <v>51</v>
      </c>
      <c r="G2464" s="10" t="n">
        <v>230</v>
      </c>
      <c r="H2464" s="10" t="n">
        <v>242</v>
      </c>
      <c r="I2464" s="10" t="n">
        <v>111</v>
      </c>
      <c r="J2464" s="10" t="n">
        <v>0</v>
      </c>
      <c r="K2464" s="10" t="s">
        <v>20</v>
      </c>
      <c r="L2464" s="11" t="n">
        <v>39968.1374074074</v>
      </c>
      <c r="M2464" s="12" t="s">
        <v>6260</v>
      </c>
      <c r="N2464" s="12" t="s">
        <v>6261</v>
      </c>
      <c r="O2464" s="9" t="str">
        <f aca="false">HYPERLINK("https://pbs.twimg.com/profile_images/901537003384295424/medTueQ8_normal.jpg","View")</f>
        <v>View</v>
      </c>
      <c r="P2464" s="10"/>
    </row>
    <row r="2465" customFormat="false" ht="15.75" hidden="false" customHeight="false" outlineLevel="0" collapsed="false">
      <c r="A2465" s="6" t="n">
        <v>43030.2558449074</v>
      </c>
      <c r="B2465" s="7" t="str">
        <f aca="false">HYPERLINK("https://twitter.com/Eye_on_Pakistan","@Eye_on_Pakistan")</f>
        <v>@Eye_on_Pakistan</v>
      </c>
      <c r="C2465" s="8" t="s">
        <v>6262</v>
      </c>
      <c r="D2465" s="8" t="s">
        <v>6263</v>
      </c>
      <c r="E2465" s="9" t="str">
        <f aca="false">HYPERLINK("https://twitter.com/Eye_on_Pakistan/status/922087245330501633","922087245330501633")</f>
        <v>922087245330501633</v>
      </c>
      <c r="F2465" s="10" t="s">
        <v>60</v>
      </c>
      <c r="G2465" s="10" t="n">
        <v>588</v>
      </c>
      <c r="H2465" s="10" t="n">
        <v>498</v>
      </c>
      <c r="I2465" s="10" t="n">
        <v>0</v>
      </c>
      <c r="J2465" s="10" t="n">
        <v>0</v>
      </c>
      <c r="K2465" s="10" t="s">
        <v>20</v>
      </c>
      <c r="L2465" s="11" t="n">
        <v>42228.4194560185</v>
      </c>
      <c r="M2465" s="12" t="s">
        <v>6264</v>
      </c>
      <c r="N2465" s="12" t="s">
        <v>6265</v>
      </c>
      <c r="O2465" s="9" t="str">
        <f aca="false">HYPERLINK("https://pbs.twimg.com/profile_images/886146651328577537/KeaearDo_normal.jpg","View")</f>
        <v>View</v>
      </c>
      <c r="P2465" s="10"/>
    </row>
    <row r="2466" customFormat="false" ht="15.75" hidden="false" customHeight="false" outlineLevel="0" collapsed="false">
      <c r="A2466" s="6" t="n">
        <v>43030.2559490741</v>
      </c>
      <c r="B2466" s="7" t="str">
        <f aca="false">HYPERLINK("https://twitter.com/americandailys","@americandailys")</f>
        <v>@americandailys</v>
      </c>
      <c r="C2466" s="8" t="s">
        <v>332</v>
      </c>
      <c r="D2466" s="8" t="s">
        <v>6266</v>
      </c>
      <c r="E2466" s="9" t="str">
        <f aca="false">HYPERLINK("https://twitter.com/americandailys/status/922087284261949441","922087284261949441")</f>
        <v>922087284261949441</v>
      </c>
      <c r="F2466" s="10" t="s">
        <v>55</v>
      </c>
      <c r="G2466" s="10" t="n">
        <v>955</v>
      </c>
      <c r="H2466" s="10" t="n">
        <v>602</v>
      </c>
      <c r="I2466" s="10" t="n">
        <v>0</v>
      </c>
      <c r="J2466" s="10" t="n">
        <v>0</v>
      </c>
      <c r="K2466" s="10" t="s">
        <v>20</v>
      </c>
      <c r="L2466" s="11" t="n">
        <v>42462.4198842593</v>
      </c>
      <c r="M2466" s="12" t="s">
        <v>312</v>
      </c>
      <c r="N2466" s="12" t="s">
        <v>334</v>
      </c>
      <c r="O2466" s="9" t="str">
        <f aca="false">HYPERLINK("https://pbs.twimg.com/profile_images/907048422347300864/ncTZr8Oz_normal.jpg","View")</f>
        <v>View</v>
      </c>
      <c r="P2466" s="10"/>
    </row>
    <row r="2467" customFormat="false" ht="15.75" hidden="false" customHeight="false" outlineLevel="0" collapsed="false">
      <c r="A2467" s="6" t="n">
        <v>43030.2559953704</v>
      </c>
      <c r="B2467" s="7" t="str">
        <f aca="false">HYPERLINK("https://twitter.com/kleytoncooper","@kleytoncooper")</f>
        <v>@kleytoncooper</v>
      </c>
      <c r="C2467" s="8" t="s">
        <v>6267</v>
      </c>
      <c r="D2467" s="8" t="s">
        <v>6268</v>
      </c>
      <c r="E2467" s="9" t="str">
        <f aca="false">HYPERLINK("https://twitter.com/kleytoncooper/status/922087300951166976","922087300951166976")</f>
        <v>922087300951166976</v>
      </c>
      <c r="F2467" s="10" t="s">
        <v>39</v>
      </c>
      <c r="G2467" s="10" t="n">
        <v>2386</v>
      </c>
      <c r="H2467" s="10" t="n">
        <v>2006</v>
      </c>
      <c r="I2467" s="10" t="n">
        <v>1</v>
      </c>
      <c r="J2467" s="10" t="n">
        <v>0</v>
      </c>
      <c r="K2467" s="10" t="s">
        <v>20</v>
      </c>
      <c r="L2467" s="11" t="n">
        <v>39794.535162037</v>
      </c>
      <c r="M2467" s="12" t="s">
        <v>6269</v>
      </c>
      <c r="N2467" s="12" t="s">
        <v>6270</v>
      </c>
      <c r="O2467" s="9" t="str">
        <f aca="false">HYPERLINK("https://pbs.twimg.com/profile_images/822670257458397185/M1lfx1wC_normal.jpg","View")</f>
        <v>View</v>
      </c>
      <c r="P2467" s="10"/>
    </row>
    <row r="2468" customFormat="false" ht="15.75" hidden="false" customHeight="false" outlineLevel="0" collapsed="false">
      <c r="A2468" s="6" t="n">
        <v>43030.256087963</v>
      </c>
      <c r="B2468" s="7" t="str">
        <f aca="false">HYPERLINK("https://twitter.com/offishall_Maak","@offishall_Maak")</f>
        <v>@offishall_Maak</v>
      </c>
      <c r="C2468" s="8" t="s">
        <v>6271</v>
      </c>
      <c r="D2468" s="8" t="s">
        <v>6272</v>
      </c>
      <c r="E2468" s="9" t="str">
        <f aca="false">HYPERLINK("https://twitter.com/offishall_Maak/status/922087333163421697","922087333163421697")</f>
        <v>922087333163421697</v>
      </c>
      <c r="F2468" s="10" t="s">
        <v>55</v>
      </c>
      <c r="G2468" s="10" t="n">
        <v>829</v>
      </c>
      <c r="H2468" s="10" t="n">
        <v>105</v>
      </c>
      <c r="I2468" s="10" t="n">
        <v>0</v>
      </c>
      <c r="J2468" s="10" t="n">
        <v>0</v>
      </c>
      <c r="K2468" s="10" t="s">
        <v>20</v>
      </c>
      <c r="L2468" s="11" t="n">
        <v>41464.2481597222</v>
      </c>
      <c r="M2468" s="12" t="s">
        <v>6273</v>
      </c>
      <c r="N2468" s="12" t="s">
        <v>6274</v>
      </c>
      <c r="O2468" s="9" t="str">
        <f aca="false">HYPERLINK("https://pbs.twimg.com/profile_images/790652557672714240/FG4X5s_x_normal.jpg","View")</f>
        <v>View</v>
      </c>
      <c r="P2468" s="10"/>
    </row>
    <row r="2469" customFormat="false" ht="15.75" hidden="false" customHeight="false" outlineLevel="0" collapsed="false">
      <c r="A2469" s="6" t="n">
        <v>43030.2562037037</v>
      </c>
      <c r="B2469" s="7" t="str">
        <f aca="false">HYPERLINK("https://twitter.com/suhailski","@suhailski")</f>
        <v>@suhailski</v>
      </c>
      <c r="C2469" s="8" t="s">
        <v>6275</v>
      </c>
      <c r="D2469" s="8" t="s">
        <v>4984</v>
      </c>
      <c r="E2469" s="9" t="str">
        <f aca="false">HYPERLINK("https://twitter.com/suhailski/status/922087376113061889","922087376113061889")</f>
        <v>922087376113061889</v>
      </c>
      <c r="F2469" s="10" t="s">
        <v>98</v>
      </c>
      <c r="G2469" s="10" t="n">
        <v>412</v>
      </c>
      <c r="H2469" s="10" t="n">
        <v>388</v>
      </c>
      <c r="I2469" s="10" t="n">
        <v>187</v>
      </c>
      <c r="J2469" s="10" t="n">
        <v>0</v>
      </c>
      <c r="K2469" s="10" t="s">
        <v>20</v>
      </c>
      <c r="L2469" s="11" t="n">
        <v>39907.4852662037</v>
      </c>
      <c r="M2469" s="12" t="s">
        <v>6276</v>
      </c>
      <c r="N2469" s="12" t="s">
        <v>6277</v>
      </c>
      <c r="O2469" s="9" t="str">
        <f aca="false">HYPERLINK("https://pbs.twimg.com/profile_images/876694917384458240/NmoRBB8k_normal.jpg","View")</f>
        <v>View</v>
      </c>
      <c r="P2469" s="10"/>
    </row>
    <row r="2470" customFormat="false" ht="15.75" hidden="false" customHeight="false" outlineLevel="0" collapsed="false">
      <c r="A2470" s="6" t="n">
        <v>43030.2565393519</v>
      </c>
      <c r="B2470" s="7" t="str">
        <f aca="false">HYPERLINK("https://twitter.com/mineteruri","@mineteruri")</f>
        <v>@mineteruri</v>
      </c>
      <c r="C2470" s="14" t="s">
        <v>6278</v>
      </c>
      <c r="D2470" s="8" t="s">
        <v>6279</v>
      </c>
      <c r="E2470" s="9" t="str">
        <f aca="false">HYPERLINK("https://twitter.com/mineteruri/status/922087494941753345","922087494941753345")</f>
        <v>922087494941753345</v>
      </c>
      <c r="F2470" s="10" t="s">
        <v>6280</v>
      </c>
      <c r="G2470" s="10" t="n">
        <v>112</v>
      </c>
      <c r="H2470" s="10" t="n">
        <v>58</v>
      </c>
      <c r="I2470" s="10" t="n">
        <v>0</v>
      </c>
      <c r="J2470" s="10" t="n">
        <v>0</v>
      </c>
      <c r="K2470" s="10" t="s">
        <v>20</v>
      </c>
      <c r="L2470" s="11" t="n">
        <v>41320.2750115741</v>
      </c>
      <c r="M2470" s="12"/>
      <c r="N2470" s="13" t="s">
        <v>6281</v>
      </c>
      <c r="O2470" s="9" t="str">
        <f aca="false">HYPERLINK("https://pbs.twimg.com/profile_images/3505121269/1928c5ef9f67aa603fcce01d6ac07240_normal.jpeg","View")</f>
        <v>View</v>
      </c>
      <c r="P2470" s="10"/>
    </row>
    <row r="2471" customFormat="false" ht="15.75" hidden="false" customHeight="false" outlineLevel="0" collapsed="false">
      <c r="A2471" s="6" t="n">
        <v>43030.2567013889</v>
      </c>
      <c r="B2471" s="7" t="str">
        <f aca="false">HYPERLINK("https://twitter.com/deepaks1190","@deepaks1190")</f>
        <v>@deepaks1190</v>
      </c>
      <c r="C2471" s="8" t="s">
        <v>6282</v>
      </c>
      <c r="D2471" s="8" t="s">
        <v>6283</v>
      </c>
      <c r="E2471" s="9" t="str">
        <f aca="false">HYPERLINK("https://twitter.com/deepaks1190/status/922087554500911105","922087554500911105")</f>
        <v>922087554500911105</v>
      </c>
      <c r="F2471" s="9" t="s">
        <v>1147</v>
      </c>
      <c r="G2471" s="10" t="n">
        <v>7</v>
      </c>
      <c r="H2471" s="10" t="n">
        <v>135</v>
      </c>
      <c r="I2471" s="10" t="n">
        <v>0</v>
      </c>
      <c r="J2471" s="10" t="n">
        <v>0</v>
      </c>
      <c r="K2471" s="10" t="s">
        <v>20</v>
      </c>
      <c r="L2471" s="11" t="n">
        <v>42746.9578935185</v>
      </c>
      <c r="M2471" s="12"/>
      <c r="N2471" s="12"/>
      <c r="O2471" s="9" t="str">
        <f aca="false">HYPERLINK("https://pbs.twimg.com/profile_images/823168306802589698/nixCTQzi_normal.jpg","View")</f>
        <v>View</v>
      </c>
      <c r="P2471" s="10"/>
    </row>
    <row r="2472" customFormat="false" ht="15.75" hidden="false" customHeight="false" outlineLevel="0" collapsed="false">
      <c r="A2472" s="6" t="n">
        <v>43030.2570023148</v>
      </c>
      <c r="B2472" s="7" t="str">
        <f aca="false">HYPERLINK("https://twitter.com/Paragbhandari1","@Paragbhandari1")</f>
        <v>@Paragbhandari1</v>
      </c>
      <c r="C2472" s="8" t="s">
        <v>6284</v>
      </c>
      <c r="D2472" s="8" t="s">
        <v>3646</v>
      </c>
      <c r="E2472" s="9" t="str">
        <f aca="false">HYPERLINK("https://twitter.com/Paragbhandari1/status/922087663636586496","922087663636586496")</f>
        <v>922087663636586496</v>
      </c>
      <c r="F2472" s="10" t="s">
        <v>25</v>
      </c>
      <c r="G2472" s="10" t="n">
        <v>333</v>
      </c>
      <c r="H2472" s="10" t="n">
        <v>38</v>
      </c>
      <c r="I2472" s="10" t="n">
        <v>71</v>
      </c>
      <c r="J2472" s="10" t="n">
        <v>0</v>
      </c>
      <c r="K2472" s="10" t="s">
        <v>20</v>
      </c>
      <c r="L2472" s="11" t="n">
        <v>41112.4267013889</v>
      </c>
      <c r="M2472" s="12" t="s">
        <v>6285</v>
      </c>
      <c r="N2472" s="12" t="s">
        <v>6286</v>
      </c>
      <c r="O2472" s="9" t="str">
        <f aca="false">HYPERLINK("https://pbs.twimg.com/profile_images/922787792043704320/hW9ZsHl3_normal.jpg","View")</f>
        <v>View</v>
      </c>
      <c r="P2472" s="10"/>
    </row>
    <row r="2473" customFormat="false" ht="15.75" hidden="false" customHeight="false" outlineLevel="0" collapsed="false">
      <c r="A2473" s="6" t="n">
        <v>43030.2573148148</v>
      </c>
      <c r="B2473" s="7" t="str">
        <f aca="false">HYPERLINK("https://twitter.com/ecitygistoffic2","@ecitygistoffic2")</f>
        <v>@ecitygistoffic2</v>
      </c>
      <c r="C2473" s="8" t="s">
        <v>6287</v>
      </c>
      <c r="D2473" s="8" t="s">
        <v>6288</v>
      </c>
      <c r="E2473" s="9" t="str">
        <f aca="false">HYPERLINK("https://twitter.com/ecitygistoffic2/status/922087779793817601","922087779793817601")</f>
        <v>922087779793817601</v>
      </c>
      <c r="F2473" s="10" t="s">
        <v>60</v>
      </c>
      <c r="G2473" s="10" t="n">
        <v>314</v>
      </c>
      <c r="H2473" s="10" t="n">
        <v>441</v>
      </c>
      <c r="I2473" s="10" t="n">
        <v>0</v>
      </c>
      <c r="J2473" s="10" t="n">
        <v>0</v>
      </c>
      <c r="K2473" s="10" t="s">
        <v>20</v>
      </c>
      <c r="L2473" s="11" t="n">
        <v>42372.1729282407</v>
      </c>
      <c r="M2473" s="12" t="s">
        <v>6289</v>
      </c>
      <c r="N2473" s="12" t="s">
        <v>6290</v>
      </c>
      <c r="O2473" s="9" t="str">
        <f aca="false">HYPERLINK("https://pbs.twimg.com/profile_images/683873359474593794/hroiejNY_normal.png","View")</f>
        <v>View</v>
      </c>
      <c r="P2473" s="10"/>
    </row>
    <row r="2474" customFormat="false" ht="15.75" hidden="false" customHeight="false" outlineLevel="0" collapsed="false">
      <c r="A2474" s="6" t="n">
        <v>43030.2576967593</v>
      </c>
      <c r="B2474" s="7" t="str">
        <f aca="false">HYPERLINK("https://twitter.com/Heihachiro8220","@Heihachiro8220")</f>
        <v>@Heihachiro8220</v>
      </c>
      <c r="C2474" s="14" t="s">
        <v>6291</v>
      </c>
      <c r="D2474" s="8" t="s">
        <v>4984</v>
      </c>
      <c r="E2474" s="9" t="str">
        <f aca="false">HYPERLINK("https://twitter.com/Heihachiro8220/status/922087918348288001","922087918348288001")</f>
        <v>922087918348288001</v>
      </c>
      <c r="F2474" s="10" t="s">
        <v>51</v>
      </c>
      <c r="G2474" s="10" t="n">
        <v>1099</v>
      </c>
      <c r="H2474" s="10" t="n">
        <v>3086</v>
      </c>
      <c r="I2474" s="10" t="n">
        <v>187</v>
      </c>
      <c r="J2474" s="10" t="n">
        <v>0</v>
      </c>
      <c r="K2474" s="10" t="s">
        <v>20</v>
      </c>
      <c r="L2474" s="11" t="n">
        <v>40285.9204050926</v>
      </c>
      <c r="M2474" s="13" t="s">
        <v>709</v>
      </c>
      <c r="N2474" s="12" t="s">
        <v>6292</v>
      </c>
      <c r="O2474" s="9" t="str">
        <f aca="false">HYPERLINK("https://pbs.twimg.com/profile_images/553824897403609089/MVUxwKnT_normal.jpeg","View")</f>
        <v>View</v>
      </c>
      <c r="P2474" s="10"/>
    </row>
    <row r="2475" customFormat="false" ht="15.75" hidden="false" customHeight="false" outlineLevel="0" collapsed="false">
      <c r="A2475" s="6" t="n">
        <v>43030.2580092593</v>
      </c>
      <c r="B2475" s="7" t="str">
        <f aca="false">HYPERLINK("https://twitter.com/saskjournalist","@saskjournalist")</f>
        <v>@saskjournalist</v>
      </c>
      <c r="C2475" s="8" t="s">
        <v>6293</v>
      </c>
      <c r="D2475" s="8" t="s">
        <v>6294</v>
      </c>
      <c r="E2475" s="9" t="str">
        <f aca="false">HYPERLINK("https://twitter.com/saskjournalist/status/922088031754088454","922088031754088454")</f>
        <v>922088031754088454</v>
      </c>
      <c r="F2475" s="10" t="s">
        <v>1194</v>
      </c>
      <c r="G2475" s="10" t="n">
        <v>810</v>
      </c>
      <c r="H2475" s="10" t="n">
        <v>1996</v>
      </c>
      <c r="I2475" s="10" t="n">
        <v>0</v>
      </c>
      <c r="J2475" s="10" t="n">
        <v>0</v>
      </c>
      <c r="K2475" s="10" t="s">
        <v>20</v>
      </c>
      <c r="L2475" s="11" t="n">
        <v>40271.0137268519</v>
      </c>
      <c r="M2475" s="12" t="s">
        <v>6295</v>
      </c>
      <c r="N2475" s="12" t="s">
        <v>6296</v>
      </c>
      <c r="O2475" s="9" t="str">
        <f aca="false">HYPERLINK("https://pbs.twimg.com/profile_images/433595878914289664/7fTTIpqm_normal.png","View")</f>
        <v>View</v>
      </c>
      <c r="P2475" s="10"/>
    </row>
    <row r="2476" customFormat="false" ht="15.75" hidden="false" customHeight="false" outlineLevel="0" collapsed="false">
      <c r="A2476" s="6" t="n">
        <v>43030.2582523148</v>
      </c>
      <c r="B2476" s="7" t="str">
        <f aca="false">HYPERLINK("https://twitter.com/kethily_b","@kethily_b")</f>
        <v>@kethily_b</v>
      </c>
      <c r="C2476" s="8" t="s">
        <v>6297</v>
      </c>
      <c r="D2476" s="8" t="s">
        <v>5846</v>
      </c>
      <c r="E2476" s="9" t="str">
        <f aca="false">HYPERLINK("https://twitter.com/kethily_b/status/922088119238909952","922088119238909952")</f>
        <v>922088119238909952</v>
      </c>
      <c r="F2476" s="10" t="s">
        <v>25</v>
      </c>
      <c r="G2476" s="10" t="n">
        <v>1612</v>
      </c>
      <c r="H2476" s="10" t="n">
        <v>0</v>
      </c>
      <c r="I2476" s="10" t="n">
        <v>16</v>
      </c>
      <c r="J2476" s="10" t="n">
        <v>0</v>
      </c>
      <c r="K2476" s="10" t="s">
        <v>20</v>
      </c>
      <c r="L2476" s="11" t="n">
        <v>43007.9694097222</v>
      </c>
      <c r="M2476" s="12" t="s">
        <v>4994</v>
      </c>
      <c r="N2476" s="12"/>
      <c r="O2476" s="9" t="str">
        <f aca="false">HYPERLINK("https://pbs.twimg.com/profile_images/921859703755460608/mrE_0krG_normal.jpg","View")</f>
        <v>View</v>
      </c>
      <c r="P2476" s="10"/>
    </row>
    <row r="2477" customFormat="false" ht="15.75" hidden="false" customHeight="false" outlineLevel="0" collapsed="false">
      <c r="A2477" s="6" t="n">
        <v>43030.2582638889</v>
      </c>
      <c r="B2477" s="7" t="str">
        <f aca="false">HYPERLINK("https://twitter.com/paoloigna1","@paoloigna1")</f>
        <v>@paoloigna1</v>
      </c>
      <c r="C2477" s="8" t="s">
        <v>6298</v>
      </c>
      <c r="D2477" s="8" t="s">
        <v>6299</v>
      </c>
      <c r="E2477" s="9" t="str">
        <f aca="false">HYPERLINK("https://twitter.com/paoloigna1/status/922088122883739649","922088122883739649")</f>
        <v>922088122883739649</v>
      </c>
      <c r="F2477" s="10" t="s">
        <v>25</v>
      </c>
      <c r="G2477" s="10" t="n">
        <v>79258</v>
      </c>
      <c r="H2477" s="10" t="n">
        <v>87044</v>
      </c>
      <c r="I2477" s="10" t="n">
        <v>0</v>
      </c>
      <c r="J2477" s="10" t="n">
        <v>0</v>
      </c>
      <c r="K2477" s="10" t="s">
        <v>20</v>
      </c>
      <c r="L2477" s="11" t="n">
        <v>41374.1037615741</v>
      </c>
      <c r="M2477" s="12"/>
      <c r="N2477" s="12" t="s">
        <v>6300</v>
      </c>
      <c r="O2477" s="9" t="str">
        <f aca="false">HYPERLINK("https://pbs.twimg.com/profile_images/418795472472383488/YQgyHWog_normal.jpeg","View")</f>
        <v>View</v>
      </c>
      <c r="P2477" s="10"/>
    </row>
    <row r="2478" customFormat="false" ht="15.75" hidden="false" customHeight="false" outlineLevel="0" collapsed="false">
      <c r="A2478" s="6" t="n">
        <v>43030.2584143518</v>
      </c>
      <c r="B2478" s="7" t="str">
        <f aca="false">HYPERLINK("https://twitter.com/NoDwnCarIns","@NoDwnCarIns")</f>
        <v>@NoDwnCarIns</v>
      </c>
      <c r="C2478" s="8" t="s">
        <v>6301</v>
      </c>
      <c r="D2478" s="8" t="s">
        <v>6302</v>
      </c>
      <c r="E2478" s="9" t="str">
        <f aca="false">HYPERLINK("https://twitter.com/NoDwnCarIns/status/922088176583368704","922088176583368704")</f>
        <v>922088176583368704</v>
      </c>
      <c r="F2478" s="10" t="s">
        <v>1194</v>
      </c>
      <c r="G2478" s="10" t="n">
        <v>121</v>
      </c>
      <c r="H2478" s="10" t="n">
        <v>635</v>
      </c>
      <c r="I2478" s="10" t="n">
        <v>0</v>
      </c>
      <c r="J2478" s="10" t="n">
        <v>0</v>
      </c>
      <c r="K2478" s="10" t="s">
        <v>20</v>
      </c>
      <c r="L2478" s="11" t="n">
        <v>42603.3723958333</v>
      </c>
      <c r="M2478" s="12" t="s">
        <v>752</v>
      </c>
      <c r="N2478" s="12" t="s">
        <v>6303</v>
      </c>
      <c r="O2478" s="9" t="str">
        <f aca="false">HYPERLINK("https://pbs.twimg.com/profile_images/767778142882717697/uBRjklJF_normal.jpg","View")</f>
        <v>View</v>
      </c>
      <c r="P2478" s="10"/>
    </row>
    <row r="2479" customFormat="false" ht="15.75" hidden="false" customHeight="false" outlineLevel="0" collapsed="false">
      <c r="A2479" s="6" t="n">
        <v>43030.2587268519</v>
      </c>
      <c r="B2479" s="7" t="str">
        <f aca="false">HYPERLINK("https://twitter.com/philippe_wen","@philippe_wen")</f>
        <v>@philippe_wen</v>
      </c>
      <c r="C2479" s="8" t="s">
        <v>6304</v>
      </c>
      <c r="D2479" s="8" t="s">
        <v>3514</v>
      </c>
      <c r="E2479" s="9" t="str">
        <f aca="false">HYPERLINK("https://twitter.com/philippe_wen/status/922088288793649152","922088288793649152")</f>
        <v>922088288793649152</v>
      </c>
      <c r="F2479" s="10" t="s">
        <v>25</v>
      </c>
      <c r="G2479" s="10" t="n">
        <v>726</v>
      </c>
      <c r="H2479" s="10" t="n">
        <v>753</v>
      </c>
      <c r="I2479" s="10" t="n">
        <v>19</v>
      </c>
      <c r="J2479" s="10" t="n">
        <v>0</v>
      </c>
      <c r="K2479" s="10" t="s">
        <v>20</v>
      </c>
      <c r="L2479" s="11" t="n">
        <v>40484.7057175926</v>
      </c>
      <c r="M2479" s="12"/>
      <c r="N2479" s="12" t="s">
        <v>6305</v>
      </c>
      <c r="O2479" s="9" t="str">
        <f aca="false">HYPERLINK("https://pbs.twimg.com/profile_images/875454345252401152/kIaXITyM_normal.jpg","View")</f>
        <v>View</v>
      </c>
      <c r="P2479" s="10"/>
    </row>
    <row r="2480" customFormat="false" ht="15.75" hidden="false" customHeight="false" outlineLevel="0" collapsed="false">
      <c r="A2480" s="6" t="n">
        <v>43030.2591319444</v>
      </c>
      <c r="B2480" s="7" t="str">
        <f aca="false">HYPERLINK("https://twitter.com/PnoyMigrantWrkr","@PnoyMigrantWrkr")</f>
        <v>@PnoyMigrantWrkr</v>
      </c>
      <c r="C2480" s="14" t="s">
        <v>6306</v>
      </c>
      <c r="D2480" s="8" t="s">
        <v>4984</v>
      </c>
      <c r="E2480" s="9" t="str">
        <f aca="false">HYPERLINK("https://twitter.com/PnoyMigrantWrkr/status/922088437204652032","922088437204652032")</f>
        <v>922088437204652032</v>
      </c>
      <c r="F2480" s="10" t="s">
        <v>51</v>
      </c>
      <c r="G2480" s="10" t="n">
        <v>360</v>
      </c>
      <c r="H2480" s="10" t="n">
        <v>864</v>
      </c>
      <c r="I2480" s="10" t="n">
        <v>187</v>
      </c>
      <c r="J2480" s="10" t="n">
        <v>0</v>
      </c>
      <c r="K2480" s="10" t="s">
        <v>20</v>
      </c>
      <c r="L2480" s="11" t="n">
        <v>40308.1936574074</v>
      </c>
      <c r="M2480" s="12" t="s">
        <v>6307</v>
      </c>
      <c r="N2480" s="12"/>
      <c r="O2480" s="9" t="str">
        <f aca="false">HYPERLINK("https://pbs.twimg.com/profile_images/810166701157470208/M_2Efvid_normal.jpg","View")</f>
        <v>View</v>
      </c>
      <c r="P2480" s="10"/>
    </row>
    <row r="2481" customFormat="false" ht="15.75" hidden="false" customHeight="false" outlineLevel="0" collapsed="false">
      <c r="A2481" s="6" t="n">
        <v>43030.2591435185</v>
      </c>
      <c r="B2481" s="7" t="str">
        <f aca="false">HYPERLINK("https://twitter.com/jlLegalery","@jlLegalery")</f>
        <v>@jlLegalery</v>
      </c>
      <c r="C2481" s="8" t="s">
        <v>6308</v>
      </c>
      <c r="D2481" s="8" t="s">
        <v>6309</v>
      </c>
      <c r="E2481" s="9" t="str">
        <f aca="false">HYPERLINK("https://twitter.com/jlLegalery/status/922088439754915842","922088439754915842")</f>
        <v>922088439754915842</v>
      </c>
      <c r="F2481" s="10" t="s">
        <v>39</v>
      </c>
      <c r="G2481" s="10" t="n">
        <v>795</v>
      </c>
      <c r="H2481" s="10" t="n">
        <v>730</v>
      </c>
      <c r="I2481" s="10" t="n">
        <v>0</v>
      </c>
      <c r="J2481" s="10" t="n">
        <v>0</v>
      </c>
      <c r="K2481" s="10" t="s">
        <v>20</v>
      </c>
      <c r="L2481" s="11" t="n">
        <v>42329.1996412037</v>
      </c>
      <c r="M2481" s="12"/>
      <c r="N2481" s="12" t="s">
        <v>6310</v>
      </c>
      <c r="O2481" s="9" t="str">
        <f aca="false">HYPERLINK("https://pbs.twimg.com/profile_images/914456646512005121/fqaL-Q4a_normal.jpg","View")</f>
        <v>View</v>
      </c>
      <c r="P2481" s="10"/>
    </row>
    <row r="2482" customFormat="false" ht="15.75" hidden="false" customHeight="false" outlineLevel="0" collapsed="false">
      <c r="A2482" s="6" t="n">
        <v>43030.2591782407</v>
      </c>
      <c r="B2482" s="7" t="str">
        <f aca="false">HYPERLINK("https://twitter.com/sohafari","@sohafari")</f>
        <v>@sohafari</v>
      </c>
      <c r="C2482" s="8" t="s">
        <v>6311</v>
      </c>
      <c r="D2482" s="8" t="s">
        <v>6312</v>
      </c>
      <c r="E2482" s="9" t="str">
        <f aca="false">HYPERLINK("https://twitter.com/sohafari/status/922088454002843648","922088454002843648")</f>
        <v>922088454002843648</v>
      </c>
      <c r="F2482" s="10" t="s">
        <v>47</v>
      </c>
      <c r="G2482" s="10" t="n">
        <v>250</v>
      </c>
      <c r="H2482" s="10" t="n">
        <v>45</v>
      </c>
      <c r="I2482" s="10" t="n">
        <v>1</v>
      </c>
      <c r="J2482" s="10" t="n">
        <v>0</v>
      </c>
      <c r="K2482" s="10" t="s">
        <v>20</v>
      </c>
      <c r="L2482" s="11" t="n">
        <v>40178.3461921296</v>
      </c>
      <c r="M2482" s="12" t="s">
        <v>6313</v>
      </c>
      <c r="N2482" s="12" t="s">
        <v>6314</v>
      </c>
      <c r="O2482" s="9" t="str">
        <f aca="false">HYPERLINK("https://pbs.twimg.com/profile_images/378800000225990997/7d113c0fb15edce87da09f3c0d690bc7_normal.jpeg","View")</f>
        <v>View</v>
      </c>
      <c r="P2482" s="10"/>
    </row>
    <row r="2483" customFormat="false" ht="15.75" hidden="false" customHeight="false" outlineLevel="0" collapsed="false">
      <c r="A2483" s="6" t="n">
        <v>43030.2592592593</v>
      </c>
      <c r="B2483" s="7" t="str">
        <f aca="false">HYPERLINK("https://twitter.com/AllanDwyer","@AllanDwyer")</f>
        <v>@AllanDwyer</v>
      </c>
      <c r="C2483" s="8" t="s">
        <v>6315</v>
      </c>
      <c r="D2483" s="8" t="s">
        <v>4984</v>
      </c>
      <c r="E2483" s="9" t="str">
        <f aca="false">HYPERLINK("https://twitter.com/AllanDwyer/status/922088484571029504","922088484571029504")</f>
        <v>922088484571029504</v>
      </c>
      <c r="F2483" s="10" t="s">
        <v>51</v>
      </c>
      <c r="G2483" s="10" t="n">
        <v>776</v>
      </c>
      <c r="H2483" s="10" t="n">
        <v>562</v>
      </c>
      <c r="I2483" s="10" t="n">
        <v>187</v>
      </c>
      <c r="J2483" s="10" t="n">
        <v>0</v>
      </c>
      <c r="K2483" s="10" t="s">
        <v>20</v>
      </c>
      <c r="L2483" s="11" t="n">
        <v>40574.3575925926</v>
      </c>
      <c r="M2483" s="12" t="s">
        <v>6316</v>
      </c>
      <c r="N2483" s="12" t="s">
        <v>6317</v>
      </c>
      <c r="O2483" s="9" t="str">
        <f aca="false">HYPERLINK("https://pbs.twimg.com/profile_images/922390972893237248/1r3g1HYO_normal.jpg","View")</f>
        <v>View</v>
      </c>
      <c r="P2483" s="10"/>
    </row>
    <row r="2484" customFormat="false" ht="15.75" hidden="false" customHeight="false" outlineLevel="0" collapsed="false">
      <c r="A2484" s="6" t="n">
        <v>43030.2593865741</v>
      </c>
      <c r="B2484" s="7" t="str">
        <f aca="false">HYPERLINK("https://twitter.com/zeeshan_shah_dc","@zeeshan_shah_dc")</f>
        <v>@zeeshan_shah_dc</v>
      </c>
      <c r="C2484" s="8" t="s">
        <v>6318</v>
      </c>
      <c r="D2484" s="8" t="s">
        <v>5135</v>
      </c>
      <c r="E2484" s="9" t="str">
        <f aca="false">HYPERLINK("https://twitter.com/zeeshan_shah_dc/status/922088528946909184","922088528946909184")</f>
        <v>922088528946909184</v>
      </c>
      <c r="F2484" s="10" t="s">
        <v>51</v>
      </c>
      <c r="G2484" s="10" t="n">
        <v>2076</v>
      </c>
      <c r="H2484" s="10" t="n">
        <v>278</v>
      </c>
      <c r="I2484" s="10" t="n">
        <v>18</v>
      </c>
      <c r="J2484" s="10" t="n">
        <v>0</v>
      </c>
      <c r="K2484" s="10" t="s">
        <v>20</v>
      </c>
      <c r="L2484" s="11" t="n">
        <v>41057.8802777778</v>
      </c>
      <c r="M2484" s="12" t="s">
        <v>723</v>
      </c>
      <c r="N2484" s="12" t="s">
        <v>6319</v>
      </c>
      <c r="O2484" s="9" t="str">
        <f aca="false">HYPERLINK("https://pbs.twimg.com/profile_images/915766155373170688/aHIu0lVW_normal.jpg","View")</f>
        <v>View</v>
      </c>
      <c r="P2484" s="10"/>
    </row>
    <row r="2485" customFormat="false" ht="15.75" hidden="false" customHeight="false" outlineLevel="0" collapsed="false">
      <c r="A2485" s="6" t="n">
        <v>43030.2594328704</v>
      </c>
      <c r="B2485" s="7" t="str">
        <f aca="false">HYPERLINK("https://twitter.com/tvThirdEyeB","@tvThirdEyeB")</f>
        <v>@tvThirdEyeB</v>
      </c>
      <c r="C2485" s="8" t="s">
        <v>2027</v>
      </c>
      <c r="D2485" s="8" t="s">
        <v>6320</v>
      </c>
      <c r="E2485" s="9" t="str">
        <f aca="false">HYPERLINK("https://twitter.com/tvThirdEyeB/status/922088545820405763","922088545820405763")</f>
        <v>922088545820405763</v>
      </c>
      <c r="F2485" s="10" t="s">
        <v>2029</v>
      </c>
      <c r="G2485" s="10" t="n">
        <v>31</v>
      </c>
      <c r="H2485" s="10" t="n">
        <v>0</v>
      </c>
      <c r="I2485" s="10" t="n">
        <v>0</v>
      </c>
      <c r="J2485" s="10" t="n">
        <v>0</v>
      </c>
      <c r="K2485" s="10" t="s">
        <v>20</v>
      </c>
      <c r="L2485" s="11" t="n">
        <v>42972.5932638889</v>
      </c>
      <c r="M2485" s="12" t="s">
        <v>588</v>
      </c>
      <c r="N2485" s="12" t="s">
        <v>2030</v>
      </c>
      <c r="O2485" s="9" t="str">
        <f aca="false">HYPERLINK("https://pbs.twimg.com/profile_images/910606884565950464/P-E5U0ei_normal.jpg","View")</f>
        <v>View</v>
      </c>
      <c r="P2485" s="10"/>
    </row>
    <row r="2486" customFormat="false" ht="15.75" hidden="false" customHeight="false" outlineLevel="0" collapsed="false">
      <c r="A2486" s="6" t="n">
        <v>43030.2598611111</v>
      </c>
      <c r="B2486" s="7" t="str">
        <f aca="false">HYPERLINK("https://twitter.com/MorLpreferred","@MorLpreferred")</f>
        <v>@MorLpreferred</v>
      </c>
      <c r="C2486" s="8" t="s">
        <v>6321</v>
      </c>
      <c r="D2486" s="8" t="s">
        <v>4984</v>
      </c>
      <c r="E2486" s="9" t="str">
        <f aca="false">HYPERLINK("https://twitter.com/MorLpreferred/status/922088699424149505","922088699424149505")</f>
        <v>922088699424149505</v>
      </c>
      <c r="F2486" s="10" t="s">
        <v>51</v>
      </c>
      <c r="G2486" s="10" t="n">
        <v>2</v>
      </c>
      <c r="H2486" s="10" t="n">
        <v>35</v>
      </c>
      <c r="I2486" s="10" t="n">
        <v>187</v>
      </c>
      <c r="J2486" s="10" t="n">
        <v>0</v>
      </c>
      <c r="K2486" s="10" t="s">
        <v>20</v>
      </c>
      <c r="L2486" s="11" t="n">
        <v>42572.2732175926</v>
      </c>
      <c r="M2486" s="12" t="s">
        <v>6322</v>
      </c>
      <c r="N2486" s="12" t="s">
        <v>6323</v>
      </c>
      <c r="O2486" s="9" t="str">
        <f aca="false">HYPERLINK("https://pbs.twimg.com/profile_images/756123155756756993/WVmIzB2x_normal.jpg","View")</f>
        <v>View</v>
      </c>
      <c r="P2486" s="10"/>
    </row>
    <row r="2487" customFormat="false" ht="15.75" hidden="false" customHeight="false" outlineLevel="0" collapsed="false">
      <c r="A2487" s="6" t="n">
        <v>43030.2601388889</v>
      </c>
      <c r="B2487" s="7" t="str">
        <f aca="false">HYPERLINK("https://twitter.com/pg1776","@pg1776")</f>
        <v>@pg1776</v>
      </c>
      <c r="C2487" s="8" t="s">
        <v>6324</v>
      </c>
      <c r="D2487" s="8" t="s">
        <v>6325</v>
      </c>
      <c r="E2487" s="9" t="str">
        <f aca="false">HYPERLINK("https://twitter.com/pg1776/status/922088799617687553","922088799617687553")</f>
        <v>922088799617687553</v>
      </c>
      <c r="F2487" s="10" t="s">
        <v>6326</v>
      </c>
      <c r="G2487" s="10" t="n">
        <v>1007</v>
      </c>
      <c r="H2487" s="10" t="n">
        <v>679</v>
      </c>
      <c r="I2487" s="10" t="n">
        <v>1</v>
      </c>
      <c r="J2487" s="10" t="n">
        <v>0</v>
      </c>
      <c r="K2487" s="10" t="s">
        <v>20</v>
      </c>
      <c r="L2487" s="11" t="n">
        <v>42653.5587731482</v>
      </c>
      <c r="M2487" s="12" t="s">
        <v>52</v>
      </c>
      <c r="N2487" s="12" t="s">
        <v>6327</v>
      </c>
      <c r="O2487" s="9" t="str">
        <f aca="false">HYPERLINK("https://pbs.twimg.com/profile_images/788813039348817920/u7L-epDe_normal.jpg","View")</f>
        <v>View</v>
      </c>
      <c r="P2487" s="10"/>
    </row>
    <row r="2488" customFormat="false" ht="15.75" hidden="false" customHeight="false" outlineLevel="0" collapsed="false">
      <c r="A2488" s="6" t="n">
        <v>43030.2601967593</v>
      </c>
      <c r="B2488" s="7" t="str">
        <f aca="false">HYPERLINK("https://twitter.com/tvThirdEyeB","@tvThirdEyeB")</f>
        <v>@tvThirdEyeB</v>
      </c>
      <c r="C2488" s="8" t="s">
        <v>2027</v>
      </c>
      <c r="D2488" s="8" t="s">
        <v>6328</v>
      </c>
      <c r="E2488" s="9" t="str">
        <f aca="false">HYPERLINK("https://twitter.com/tvThirdEyeB/status/922088823818829824","922088823818829824")</f>
        <v>922088823818829824</v>
      </c>
      <c r="F2488" s="10" t="s">
        <v>2029</v>
      </c>
      <c r="G2488" s="10" t="n">
        <v>31</v>
      </c>
      <c r="H2488" s="10" t="n">
        <v>0</v>
      </c>
      <c r="I2488" s="10" t="n">
        <v>0</v>
      </c>
      <c r="J2488" s="10" t="n">
        <v>0</v>
      </c>
      <c r="K2488" s="10" t="s">
        <v>20</v>
      </c>
      <c r="L2488" s="11" t="n">
        <v>42972.5932638889</v>
      </c>
      <c r="M2488" s="12" t="s">
        <v>588</v>
      </c>
      <c r="N2488" s="12" t="s">
        <v>2030</v>
      </c>
      <c r="O2488" s="9" t="str">
        <f aca="false">HYPERLINK("https://pbs.twimg.com/profile_images/910606884565950464/P-E5U0ei_normal.jpg","View")</f>
        <v>View</v>
      </c>
      <c r="P2488" s="10"/>
    </row>
    <row r="2489" customFormat="false" ht="15.75" hidden="false" customHeight="false" outlineLevel="0" collapsed="false">
      <c r="A2489" s="6" t="n">
        <v>43030.2602199074</v>
      </c>
      <c r="B2489" s="7" t="str">
        <f aca="false">HYPERLINK("https://twitter.com/kethily_b","@kethily_b")</f>
        <v>@kethily_b</v>
      </c>
      <c r="C2489" s="8" t="s">
        <v>6297</v>
      </c>
      <c r="D2489" s="8" t="s">
        <v>5135</v>
      </c>
      <c r="E2489" s="9" t="str">
        <f aca="false">HYPERLINK("https://twitter.com/kethily_b/status/922088831553294337","922088831553294337")</f>
        <v>922088831553294337</v>
      </c>
      <c r="F2489" s="10" t="s">
        <v>25</v>
      </c>
      <c r="G2489" s="10" t="n">
        <v>1612</v>
      </c>
      <c r="H2489" s="10" t="n">
        <v>0</v>
      </c>
      <c r="I2489" s="10" t="n">
        <v>18</v>
      </c>
      <c r="J2489" s="10" t="n">
        <v>0</v>
      </c>
      <c r="K2489" s="10" t="s">
        <v>20</v>
      </c>
      <c r="L2489" s="11" t="n">
        <v>43007.9694097222</v>
      </c>
      <c r="M2489" s="12" t="s">
        <v>4994</v>
      </c>
      <c r="N2489" s="12"/>
      <c r="O2489" s="9" t="str">
        <f aca="false">HYPERLINK("https://pbs.twimg.com/profile_images/921859703755460608/mrE_0krG_normal.jpg","View")</f>
        <v>View</v>
      </c>
      <c r="P2489" s="10"/>
    </row>
    <row r="2490" customFormat="false" ht="15.75" hidden="false" customHeight="false" outlineLevel="0" collapsed="false">
      <c r="A2490" s="6" t="n">
        <v>43030.2602893519</v>
      </c>
      <c r="B2490" s="7" t="str">
        <f aca="false">HYPERLINK("https://twitter.com/AllRealNews","@AllRealNews")</f>
        <v>@AllRealNews</v>
      </c>
      <c r="C2490" s="8" t="s">
        <v>310</v>
      </c>
      <c r="D2490" s="8" t="s">
        <v>6329</v>
      </c>
      <c r="E2490" s="9" t="str">
        <f aca="false">HYPERLINK("https://twitter.com/AllRealNews/status/922088854877810691","922088854877810691")</f>
        <v>922088854877810691</v>
      </c>
      <c r="F2490" s="9" t="s">
        <v>6330</v>
      </c>
      <c r="G2490" s="10" t="n">
        <v>258</v>
      </c>
      <c r="H2490" s="10" t="n">
        <v>225</v>
      </c>
      <c r="I2490" s="10" t="n">
        <v>0</v>
      </c>
      <c r="J2490" s="10" t="n">
        <v>0</v>
      </c>
      <c r="K2490" s="10" t="s">
        <v>20</v>
      </c>
      <c r="L2490" s="11" t="n">
        <v>40650.331099537</v>
      </c>
      <c r="M2490" s="12" t="s">
        <v>370</v>
      </c>
      <c r="N2490" s="12" t="s">
        <v>6331</v>
      </c>
      <c r="O2490" s="9" t="str">
        <f aca="false">HYPERLINK("https://pbs.twimg.com/profile_images/825506079530422272/LRPIi8uS_normal.jpg","View")</f>
        <v>View</v>
      </c>
      <c r="P2490" s="10"/>
    </row>
    <row r="2491" customFormat="false" ht="15.75" hidden="false" customHeight="false" outlineLevel="0" collapsed="false">
      <c r="A2491" s="6" t="n">
        <v>43030.2605208333</v>
      </c>
      <c r="B2491" s="7" t="str">
        <f aca="false">HYPERLINK("https://twitter.com/weekendround","@weekendround")</f>
        <v>@weekendround</v>
      </c>
      <c r="C2491" s="8" t="s">
        <v>1767</v>
      </c>
      <c r="D2491" s="8" t="s">
        <v>6332</v>
      </c>
      <c r="E2491" s="9" t="str">
        <f aca="false">HYPERLINK("https://twitter.com/weekendround/status/922088940676550657","922088940676550657")</f>
        <v>922088940676550657</v>
      </c>
      <c r="F2491" s="10" t="s">
        <v>60</v>
      </c>
      <c r="G2491" s="10" t="n">
        <v>6540</v>
      </c>
      <c r="H2491" s="10" t="n">
        <v>6078</v>
      </c>
      <c r="I2491" s="10" t="n">
        <v>0</v>
      </c>
      <c r="J2491" s="10" t="n">
        <v>0</v>
      </c>
      <c r="K2491" s="10" t="s">
        <v>20</v>
      </c>
      <c r="L2491" s="11" t="n">
        <v>41593.6301041667</v>
      </c>
      <c r="M2491" s="12"/>
      <c r="N2491" s="12" t="s">
        <v>1769</v>
      </c>
      <c r="O2491" s="9" t="str">
        <f aca="false">HYPERLINK("https://pbs.twimg.com/profile_images/378800000744715106/86856bd4709b9effd110ed695c905efc_normal.jpeg","View")</f>
        <v>View</v>
      </c>
      <c r="P2491" s="10"/>
    </row>
    <row r="2492" customFormat="false" ht="15.75" hidden="false" customHeight="false" outlineLevel="0" collapsed="false">
      <c r="A2492" s="6" t="n">
        <v>43030.2606597222</v>
      </c>
      <c r="B2492" s="7" t="str">
        <f aca="false">HYPERLINK("https://twitter.com/dubvNOW","@dubvNOW")</f>
        <v>@dubvNOW</v>
      </c>
      <c r="C2492" s="8" t="s">
        <v>6333</v>
      </c>
      <c r="D2492" s="8" t="s">
        <v>6334</v>
      </c>
      <c r="E2492" s="9" t="str">
        <f aca="false">HYPERLINK("https://twitter.com/dubvNOW/status/922088990639042561","922088990639042561")</f>
        <v>922088990639042561</v>
      </c>
      <c r="F2492" s="10" t="s">
        <v>110</v>
      </c>
      <c r="G2492" s="10" t="n">
        <v>12052</v>
      </c>
      <c r="H2492" s="10" t="n">
        <v>13288</v>
      </c>
      <c r="I2492" s="10" t="n">
        <v>0</v>
      </c>
      <c r="J2492" s="10" t="n">
        <v>0</v>
      </c>
      <c r="K2492" s="10" t="s">
        <v>20</v>
      </c>
      <c r="L2492" s="11" t="n">
        <v>40986.7515740741</v>
      </c>
      <c r="M2492" s="12" t="s">
        <v>6335</v>
      </c>
      <c r="N2492" s="12" t="s">
        <v>6336</v>
      </c>
      <c r="O2492" s="9" t="str">
        <f aca="false">HYPERLINK("https://pbs.twimg.com/profile_images/2513196551/fs87b97sd7vcve4wrv50_normal.jpeg","View")</f>
        <v>View</v>
      </c>
      <c r="P2492" s="10"/>
    </row>
    <row r="2493" customFormat="false" ht="15.75" hidden="false" customHeight="false" outlineLevel="0" collapsed="false">
      <c r="A2493" s="6" t="n">
        <v>43030.2607523148</v>
      </c>
      <c r="B2493" s="7" t="str">
        <f aca="false">HYPERLINK("https://twitter.com/Social_Media_f1","@Social_Media_f1")</f>
        <v>@Social_Media_f1</v>
      </c>
      <c r="C2493" s="8" t="s">
        <v>306</v>
      </c>
      <c r="D2493" s="8" t="s">
        <v>6337</v>
      </c>
      <c r="E2493" s="9" t="str">
        <f aca="false">HYPERLINK("https://twitter.com/Social_Media_f1/status/922089022956163072","922089022956163072")</f>
        <v>922089022956163072</v>
      </c>
      <c r="F2493" s="10" t="s">
        <v>110</v>
      </c>
      <c r="G2493" s="10" t="n">
        <v>42910</v>
      </c>
      <c r="H2493" s="10" t="n">
        <v>35054</v>
      </c>
      <c r="I2493" s="10" t="n">
        <v>0</v>
      </c>
      <c r="J2493" s="10" t="n">
        <v>0</v>
      </c>
      <c r="K2493" s="10" t="s">
        <v>20</v>
      </c>
      <c r="L2493" s="11" t="n">
        <v>42089.5919328704</v>
      </c>
      <c r="M2493" s="12"/>
      <c r="N2493" s="12" t="s">
        <v>350</v>
      </c>
      <c r="O2493" s="9" t="str">
        <f aca="false">HYPERLINK("https://pbs.twimg.com/profile_images/894087992133918720/GFCST38M_normal.jpg","View")</f>
        <v>View</v>
      </c>
      <c r="P2493" s="10"/>
    </row>
    <row r="2494" customFormat="false" ht="15.75" hidden="false" customHeight="false" outlineLevel="0" collapsed="false">
      <c r="A2494" s="6" t="n">
        <v>43030.2607986111</v>
      </c>
      <c r="B2494" s="7" t="str">
        <f aca="false">HYPERLINK("https://twitter.com/CoachTrent","@CoachTrent")</f>
        <v>@CoachTrent</v>
      </c>
      <c r="C2494" s="8" t="s">
        <v>6338</v>
      </c>
      <c r="D2494" s="8" t="s">
        <v>6339</v>
      </c>
      <c r="E2494" s="9" t="str">
        <f aca="false">HYPERLINK("https://twitter.com/CoachTrent/status/922089041864085504","922089041864085504")</f>
        <v>922089041864085504</v>
      </c>
      <c r="F2494" s="10" t="s">
        <v>110</v>
      </c>
      <c r="G2494" s="10" t="n">
        <v>48301</v>
      </c>
      <c r="H2494" s="10" t="n">
        <v>37719</v>
      </c>
      <c r="I2494" s="10" t="n">
        <v>0</v>
      </c>
      <c r="J2494" s="10" t="n">
        <v>0</v>
      </c>
      <c r="K2494" s="10" t="s">
        <v>20</v>
      </c>
      <c r="L2494" s="11" t="n">
        <v>39743.4932175926</v>
      </c>
      <c r="M2494" s="12" t="s">
        <v>230</v>
      </c>
      <c r="N2494" s="12" t="s">
        <v>6340</v>
      </c>
      <c r="O2494" s="9" t="str">
        <f aca="false">HYPERLINK("https://pbs.twimg.com/profile_images/890245544165203972/UJJJRlbW_normal.jpg","View")</f>
        <v>View</v>
      </c>
      <c r="P2494" s="10"/>
    </row>
    <row r="2495" customFormat="false" ht="15.75" hidden="false" customHeight="false" outlineLevel="0" collapsed="false">
      <c r="A2495" s="6" t="n">
        <v>43030.2608449074</v>
      </c>
      <c r="B2495" s="7" t="str">
        <f aca="false">HYPERLINK("https://twitter.com/tvThirdEyeB","@tvThirdEyeB")</f>
        <v>@tvThirdEyeB</v>
      </c>
      <c r="C2495" s="8" t="s">
        <v>2027</v>
      </c>
      <c r="D2495" s="8" t="s">
        <v>6341</v>
      </c>
      <c r="E2495" s="9" t="str">
        <f aca="false">HYPERLINK("https://twitter.com/tvThirdEyeB/status/922089055268904960","922089055268904960")</f>
        <v>922089055268904960</v>
      </c>
      <c r="F2495" s="10" t="s">
        <v>2029</v>
      </c>
      <c r="G2495" s="10" t="n">
        <v>31</v>
      </c>
      <c r="H2495" s="10" t="n">
        <v>0</v>
      </c>
      <c r="I2495" s="10" t="n">
        <v>0</v>
      </c>
      <c r="J2495" s="10" t="n">
        <v>0</v>
      </c>
      <c r="K2495" s="10" t="s">
        <v>20</v>
      </c>
      <c r="L2495" s="11" t="n">
        <v>42972.5932638889</v>
      </c>
      <c r="M2495" s="12" t="s">
        <v>588</v>
      </c>
      <c r="N2495" s="12" t="s">
        <v>2030</v>
      </c>
      <c r="O2495" s="9" t="str">
        <f aca="false">HYPERLINK("https://pbs.twimg.com/profile_images/910606884565950464/P-E5U0ei_normal.jpg","View")</f>
        <v>View</v>
      </c>
      <c r="P2495" s="10"/>
    </row>
    <row r="2496" customFormat="false" ht="15.75" hidden="false" customHeight="false" outlineLevel="0" collapsed="false">
      <c r="A2496" s="6" t="n">
        <v>43030.2608796296</v>
      </c>
      <c r="B2496" s="7" t="str">
        <f aca="false">HYPERLINK("https://twitter.com/mantheyard","@mantheyard")</f>
        <v>@mantheyard</v>
      </c>
      <c r="C2496" s="14" t="s">
        <v>6342</v>
      </c>
      <c r="D2496" s="8" t="s">
        <v>4124</v>
      </c>
      <c r="E2496" s="9" t="str">
        <f aca="false">HYPERLINK("https://twitter.com/mantheyard/status/922089070246838272","922089070246838272")</f>
        <v>922089070246838272</v>
      </c>
      <c r="F2496" s="10" t="s">
        <v>1643</v>
      </c>
      <c r="G2496" s="10" t="n">
        <v>587</v>
      </c>
      <c r="H2496" s="10" t="n">
        <v>899</v>
      </c>
      <c r="I2496" s="10" t="n">
        <v>111</v>
      </c>
      <c r="J2496" s="10" t="n">
        <v>0</v>
      </c>
      <c r="K2496" s="10" t="s">
        <v>20</v>
      </c>
      <c r="L2496" s="11" t="n">
        <v>40119.2815972222</v>
      </c>
      <c r="M2496" s="13" t="s">
        <v>6343</v>
      </c>
      <c r="N2496" s="13" t="s">
        <v>6344</v>
      </c>
      <c r="O2496" s="9" t="str">
        <f aca="false">HYPERLINK("https://pbs.twimg.com/profile_images/815727410859474944/c1oWSRYb_normal.jpg","View")</f>
        <v>View</v>
      </c>
      <c r="P2496" s="10"/>
    </row>
    <row r="2497" customFormat="false" ht="15.75" hidden="false" customHeight="false" outlineLevel="0" collapsed="false">
      <c r="A2497" s="6" t="n">
        <v>43030.2608912037</v>
      </c>
      <c r="B2497" s="7" t="str">
        <f aca="false">HYPERLINK("https://twitter.com/StateOfNetwork","@StateOfNetwork")</f>
        <v>@StateOfNetwork</v>
      </c>
      <c r="C2497" s="8" t="s">
        <v>6093</v>
      </c>
      <c r="D2497" s="8" t="s">
        <v>6345</v>
      </c>
      <c r="E2497" s="9" t="str">
        <f aca="false">HYPERLINK("https://twitter.com/StateOfNetwork/status/922089075909292032","922089075909292032")</f>
        <v>922089075909292032</v>
      </c>
      <c r="F2497" s="10" t="s">
        <v>55</v>
      </c>
      <c r="G2497" s="10" t="n">
        <v>93</v>
      </c>
      <c r="H2497" s="10" t="n">
        <v>2</v>
      </c>
      <c r="I2497" s="10" t="n">
        <v>0</v>
      </c>
      <c r="J2497" s="10" t="n">
        <v>0</v>
      </c>
      <c r="K2497" s="10" t="s">
        <v>20</v>
      </c>
      <c r="L2497" s="11" t="n">
        <v>42591.6267476852</v>
      </c>
      <c r="M2497" s="12" t="s">
        <v>6095</v>
      </c>
      <c r="N2497" s="12" t="s">
        <v>6096</v>
      </c>
      <c r="O2497" s="9" t="str">
        <f aca="false">HYPERLINK("https://pbs.twimg.com/profile_images/857770319620263936/CpVum0Np_normal.jpg","View")</f>
        <v>View</v>
      </c>
      <c r="P2497" s="10"/>
    </row>
    <row r="2498" customFormat="false" ht="15.75" hidden="false" customHeight="false" outlineLevel="0" collapsed="false">
      <c r="A2498" s="6" t="n">
        <v>43030.2609375</v>
      </c>
      <c r="B2498" s="7" t="str">
        <f aca="false">HYPERLINK("https://twitter.com/ZyiteGadgets","@ZyiteGadgets")</f>
        <v>@ZyiteGadgets</v>
      </c>
      <c r="C2498" s="8" t="s">
        <v>171</v>
      </c>
      <c r="D2498" s="8" t="s">
        <v>6346</v>
      </c>
      <c r="E2498" s="9" t="str">
        <f aca="false">HYPERLINK("https://twitter.com/ZyiteGadgets/status/922089088773230592","922089088773230592")</f>
        <v>922089088773230592</v>
      </c>
      <c r="F2498" s="10" t="s">
        <v>110</v>
      </c>
      <c r="G2498" s="10" t="n">
        <v>3542</v>
      </c>
      <c r="H2498" s="10" t="n">
        <v>4844</v>
      </c>
      <c r="I2498" s="10" t="n">
        <v>0</v>
      </c>
      <c r="J2498" s="10" t="n">
        <v>0</v>
      </c>
      <c r="K2498" s="10" t="s">
        <v>20</v>
      </c>
      <c r="L2498" s="11" t="n">
        <v>41470.6147800926</v>
      </c>
      <c r="M2498" s="15" t="s">
        <v>173</v>
      </c>
      <c r="N2498" s="12" t="s">
        <v>174</v>
      </c>
      <c r="O2498" s="9" t="str">
        <f aca="false">HYPERLINK("https://pbs.twimg.com/profile_images/487701633489313793/pIxJHFt5_normal.jpeg","View")</f>
        <v>View</v>
      </c>
      <c r="P2498" s="10"/>
    </row>
    <row r="2499" customFormat="false" ht="15.75" hidden="false" customHeight="false" outlineLevel="0" collapsed="false">
      <c r="A2499" s="6" t="n">
        <v>43030.261087963</v>
      </c>
      <c r="B2499" s="7" t="str">
        <f aca="false">HYPERLINK("https://twitter.com/Brody_Salazar","@Brody_Salazar")</f>
        <v>@Brody_Salazar</v>
      </c>
      <c r="C2499" s="8" t="s">
        <v>6347</v>
      </c>
      <c r="D2499" s="8" t="s">
        <v>5135</v>
      </c>
      <c r="E2499" s="9" t="str">
        <f aca="false">HYPERLINK("https://twitter.com/Brody_Salazar/status/922089144989360129","922089144989360129")</f>
        <v>922089144989360129</v>
      </c>
      <c r="F2499" s="10" t="s">
        <v>25</v>
      </c>
      <c r="G2499" s="10" t="n">
        <v>43</v>
      </c>
      <c r="H2499" s="10" t="n">
        <v>109</v>
      </c>
      <c r="I2499" s="10" t="n">
        <v>18</v>
      </c>
      <c r="J2499" s="10" t="n">
        <v>0</v>
      </c>
      <c r="K2499" s="10" t="s">
        <v>20</v>
      </c>
      <c r="L2499" s="11" t="n">
        <v>42761.632025463</v>
      </c>
      <c r="M2499" s="12"/>
      <c r="N2499" s="12" t="s">
        <v>6348</v>
      </c>
      <c r="O2499" s="9" t="str">
        <f aca="false">HYPERLINK("https://pbs.twimg.com/profile_images/870854290084057089/VVwpDesk_normal.jpg","View")</f>
        <v>View</v>
      </c>
      <c r="P2499" s="10"/>
    </row>
    <row r="2500" customFormat="false" ht="15.75" hidden="false" customHeight="false" outlineLevel="0" collapsed="false">
      <c r="A2500" s="6" t="n">
        <v>43030.2611111111</v>
      </c>
      <c r="B2500" s="7" t="str">
        <f aca="false">HYPERLINK("https://twitter.com/Rocketnews1","@Rocketnews1")</f>
        <v>@Rocketnews1</v>
      </c>
      <c r="C2500" s="8" t="s">
        <v>1880</v>
      </c>
      <c r="D2500" s="8" t="s">
        <v>6349</v>
      </c>
      <c r="E2500" s="9" t="str">
        <f aca="false">HYPERLINK("https://twitter.com/Rocketnews1/status/922089154489528320","922089154489528320")</f>
        <v>922089154489528320</v>
      </c>
      <c r="F2500" s="10" t="s">
        <v>1882</v>
      </c>
      <c r="G2500" s="10" t="n">
        <v>181</v>
      </c>
      <c r="H2500" s="10" t="n">
        <v>15</v>
      </c>
      <c r="I2500" s="10" t="n">
        <v>0</v>
      </c>
      <c r="J2500" s="10" t="n">
        <v>0</v>
      </c>
      <c r="K2500" s="10" t="s">
        <v>20</v>
      </c>
      <c r="L2500" s="11" t="n">
        <v>41354.3074189815</v>
      </c>
      <c r="M2500" s="12"/>
      <c r="N2500" s="12" t="s">
        <v>1883</v>
      </c>
      <c r="O2500" s="9" t="str">
        <f aca="false">HYPERLINK("https://pbs.twimg.com/profile_images/3409516523/1b0e7afc97e354cf330487934ec5a462_normal.jpeg","View")</f>
        <v>View</v>
      </c>
      <c r="P2500" s="10"/>
    </row>
    <row r="2501" customFormat="false" ht="15.75" hidden="false" customHeight="false" outlineLevel="0" collapsed="false">
      <c r="A2501" s="6" t="n">
        <v>43030.261400463</v>
      </c>
      <c r="B2501" s="7" t="str">
        <f aca="false">HYPERLINK("https://twitter.com/rushdy_nizar","@rushdy_nizar")</f>
        <v>@rushdy_nizar</v>
      </c>
      <c r="C2501" s="8" t="s">
        <v>6350</v>
      </c>
      <c r="D2501" s="8" t="s">
        <v>5846</v>
      </c>
      <c r="E2501" s="9" t="str">
        <f aca="false">HYPERLINK("https://twitter.com/rushdy_nizar/status/922089258277654529","922089258277654529")</f>
        <v>922089258277654529</v>
      </c>
      <c r="F2501" s="10" t="s">
        <v>25</v>
      </c>
      <c r="G2501" s="10" t="n">
        <v>17</v>
      </c>
      <c r="H2501" s="10" t="n">
        <v>307</v>
      </c>
      <c r="I2501" s="10" t="n">
        <v>16</v>
      </c>
      <c r="J2501" s="10" t="n">
        <v>0</v>
      </c>
      <c r="K2501" s="10" t="s">
        <v>20</v>
      </c>
      <c r="L2501" s="11" t="n">
        <v>43021.4166550926</v>
      </c>
      <c r="M2501" s="12" t="s">
        <v>6351</v>
      </c>
      <c r="N2501" s="12" t="s">
        <v>6352</v>
      </c>
      <c r="O2501" s="9" t="str">
        <f aca="false">HYPERLINK("https://pbs.twimg.com/profile_images/921302721348583424/VPi_B327_normal.jpg","View")</f>
        <v>View</v>
      </c>
      <c r="P2501" s="10"/>
    </row>
    <row r="2502" customFormat="false" ht="15.75" hidden="false" customHeight="false" outlineLevel="0" collapsed="false">
      <c r="A2502" s="6" t="n">
        <v>43030.2614351852</v>
      </c>
      <c r="B2502" s="7" t="str">
        <f aca="false">HYPERLINK("https://twitter.com/pratseva","@pratseva")</f>
        <v>@pratseva</v>
      </c>
      <c r="C2502" s="8" t="s">
        <v>6353</v>
      </c>
      <c r="D2502" s="8" t="s">
        <v>6354</v>
      </c>
      <c r="E2502" s="9" t="str">
        <f aca="false">HYPERLINK("https://twitter.com/pratseva/status/922089270394916865","922089270394916865")</f>
        <v>922089270394916865</v>
      </c>
      <c r="F2502" s="10" t="s">
        <v>51</v>
      </c>
      <c r="G2502" s="10" t="n">
        <v>3756</v>
      </c>
      <c r="H2502" s="10" t="n">
        <v>666</v>
      </c>
      <c r="I2502" s="10" t="n">
        <v>1</v>
      </c>
      <c r="J2502" s="10" t="n">
        <v>0</v>
      </c>
      <c r="K2502" s="10" t="s">
        <v>20</v>
      </c>
      <c r="L2502" s="11" t="n">
        <v>40571.0708564815</v>
      </c>
      <c r="M2502" s="12" t="s">
        <v>6355</v>
      </c>
      <c r="N2502" s="12" t="s">
        <v>6356</v>
      </c>
      <c r="O2502" s="9" t="str">
        <f aca="false">HYPERLINK("https://pbs.twimg.com/profile_images/896041566447513601/mJDXUXWB_normal.jpg","View")</f>
        <v>View</v>
      </c>
      <c r="P2502" s="10"/>
    </row>
    <row r="2503" customFormat="false" ht="15.75" hidden="false" customHeight="false" outlineLevel="0" collapsed="false">
      <c r="A2503" s="6" t="n">
        <v>43030.2617939815</v>
      </c>
      <c r="B2503" s="7" t="str">
        <f aca="false">HYPERLINK("https://twitter.com/Stewart7146","@Stewart7146")</f>
        <v>@Stewart7146</v>
      </c>
      <c r="C2503" s="8" t="s">
        <v>6357</v>
      </c>
      <c r="D2503" s="8" t="s">
        <v>6358</v>
      </c>
      <c r="E2503" s="9" t="str">
        <f aca="false">HYPERLINK("https://twitter.com/Stewart7146/status/922089402666536960","922089402666536960")</f>
        <v>922089402666536960</v>
      </c>
      <c r="F2503" s="10" t="s">
        <v>25</v>
      </c>
      <c r="G2503" s="10" t="n">
        <v>212</v>
      </c>
      <c r="H2503" s="10" t="n">
        <v>731</v>
      </c>
      <c r="I2503" s="10" t="n">
        <v>0</v>
      </c>
      <c r="J2503" s="10" t="n">
        <v>0</v>
      </c>
      <c r="K2503" s="10" t="s">
        <v>20</v>
      </c>
      <c r="L2503" s="11" t="n">
        <v>42883.5848958333</v>
      </c>
      <c r="M2503" s="12" t="s">
        <v>1843</v>
      </c>
      <c r="N2503" s="12" t="s">
        <v>6359</v>
      </c>
      <c r="O2503" s="9" t="str">
        <f aca="false">HYPERLINK("https://pbs.twimg.com/profile_images/923861094027988992/_OY2oH0D_normal.jpg","View")</f>
        <v>View</v>
      </c>
      <c r="P2503" s="10"/>
    </row>
    <row r="2504" customFormat="false" ht="15.75" hidden="false" customHeight="false" outlineLevel="0" collapsed="false">
      <c r="A2504" s="6" t="n">
        <v>43030.2619560185</v>
      </c>
      <c r="B2504" s="7" t="str">
        <f aca="false">HYPERLINK("https://twitter.com/shikinami","@shikinami")</f>
        <v>@shikinami</v>
      </c>
      <c r="C2504" s="8" t="s">
        <v>6360</v>
      </c>
      <c r="D2504" s="8" t="s">
        <v>4984</v>
      </c>
      <c r="E2504" s="9" t="str">
        <f aca="false">HYPERLINK("https://twitter.com/shikinami/status/922089460069576705","922089460069576705")</f>
        <v>922089460069576705</v>
      </c>
      <c r="F2504" s="10" t="s">
        <v>51</v>
      </c>
      <c r="G2504" s="10" t="n">
        <v>248</v>
      </c>
      <c r="H2504" s="10" t="n">
        <v>238</v>
      </c>
      <c r="I2504" s="10" t="n">
        <v>187</v>
      </c>
      <c r="J2504" s="10" t="n">
        <v>0</v>
      </c>
      <c r="K2504" s="10" t="s">
        <v>20</v>
      </c>
      <c r="L2504" s="11" t="n">
        <v>40015.3396412037</v>
      </c>
      <c r="M2504" s="12" t="s">
        <v>1529</v>
      </c>
      <c r="N2504" s="12" t="s">
        <v>6361</v>
      </c>
      <c r="O2504" s="9" t="str">
        <f aca="false">HYPERLINK("https://pbs.twimg.com/profile_images/818973842097905664/eXRQEAs2_normal.jpg","View")</f>
        <v>View</v>
      </c>
      <c r="P2504" s="10"/>
    </row>
    <row r="2505" customFormat="false" ht="15.75" hidden="false" customHeight="false" outlineLevel="0" collapsed="false">
      <c r="A2505" s="6" t="n">
        <v>43030.262025463</v>
      </c>
      <c r="B2505" s="7" t="str">
        <f aca="false">HYPERLINK("https://twitter.com/Ohtanitanya","@Ohtanitanya")</f>
        <v>@Ohtanitanya</v>
      </c>
      <c r="C2505" s="8" t="s">
        <v>6362</v>
      </c>
      <c r="D2505" s="8" t="s">
        <v>3971</v>
      </c>
      <c r="E2505" s="9" t="str">
        <f aca="false">HYPERLINK("https://twitter.com/Ohtanitanya/status/922089486313328640","922089486313328640")</f>
        <v>922089486313328640</v>
      </c>
      <c r="F2505" s="10" t="s">
        <v>98</v>
      </c>
      <c r="G2505" s="10" t="n">
        <v>184</v>
      </c>
      <c r="H2505" s="10" t="n">
        <v>131</v>
      </c>
      <c r="I2505" s="10" t="n">
        <v>24</v>
      </c>
      <c r="J2505" s="10" t="n">
        <v>0</v>
      </c>
      <c r="K2505" s="10" t="s">
        <v>20</v>
      </c>
      <c r="L2505" s="11" t="n">
        <v>40199.8294444445</v>
      </c>
      <c r="M2505" s="12"/>
      <c r="N2505" s="12" t="s">
        <v>6363</v>
      </c>
      <c r="O2505" s="9" t="str">
        <f aca="false">HYPERLINK("https://pbs.twimg.com/profile_images/679504906/__iso-2022-jp_B_GyRCJVUlISUkJWsbKEIwMDA0LmpwZw_____normal","View")</f>
        <v>View</v>
      </c>
      <c r="P2505" s="10"/>
    </row>
    <row r="2506" customFormat="false" ht="15.75" hidden="false" customHeight="false" outlineLevel="0" collapsed="false">
      <c r="A2506" s="6" t="n">
        <v>43030.2621412037</v>
      </c>
      <c r="B2506" s="7" t="str">
        <f aca="false">HYPERLINK("https://twitter.com/wirenews4","@wirenews4")</f>
        <v>@wirenews4</v>
      </c>
      <c r="C2506" s="8" t="s">
        <v>6364</v>
      </c>
      <c r="D2506" s="8" t="s">
        <v>6365</v>
      </c>
      <c r="E2506" s="9" t="str">
        <f aca="false">HYPERLINK("https://twitter.com/wirenews4/status/922089526465613824","922089526465613824")</f>
        <v>922089526465613824</v>
      </c>
      <c r="F2506" s="10" t="s">
        <v>60</v>
      </c>
      <c r="G2506" s="10" t="n">
        <v>4</v>
      </c>
      <c r="H2506" s="10" t="n">
        <v>99</v>
      </c>
      <c r="I2506" s="10" t="n">
        <v>0</v>
      </c>
      <c r="J2506" s="10" t="n">
        <v>0</v>
      </c>
      <c r="K2506" s="10" t="s">
        <v>20</v>
      </c>
      <c r="L2506" s="11" t="n">
        <v>43016.5175694444</v>
      </c>
      <c r="M2506" s="12" t="s">
        <v>312</v>
      </c>
      <c r="N2506" s="12"/>
      <c r="O2506" s="9" t="str">
        <f aca="false">HYPERLINK("https://pbs.twimg.com/profile_images/917109294146969601/FFtlJpB__normal.jpg","View")</f>
        <v>View</v>
      </c>
      <c r="P2506" s="10"/>
    </row>
    <row r="2507" customFormat="false" ht="15.75" hidden="false" customHeight="false" outlineLevel="0" collapsed="false">
      <c r="A2507" s="6" t="n">
        <v>43030.2624768519</v>
      </c>
      <c r="B2507" s="7" t="str">
        <f aca="false">HYPERLINK("https://twitter.com/matrix____","@matrix____")</f>
        <v>@matrix____</v>
      </c>
      <c r="C2507" s="8" t="s">
        <v>3429</v>
      </c>
      <c r="D2507" s="8" t="s">
        <v>4124</v>
      </c>
      <c r="E2507" s="9" t="str">
        <f aca="false">HYPERLINK("https://twitter.com/matrix____/status/922089649492733953","922089649492733953")</f>
        <v>922089649492733953</v>
      </c>
      <c r="F2507" s="10" t="s">
        <v>25</v>
      </c>
      <c r="G2507" s="10" t="n">
        <v>3025</v>
      </c>
      <c r="H2507" s="10" t="n">
        <v>99</v>
      </c>
      <c r="I2507" s="10" t="n">
        <v>111</v>
      </c>
      <c r="J2507" s="10" t="n">
        <v>0</v>
      </c>
      <c r="K2507" s="10" t="s">
        <v>20</v>
      </c>
      <c r="L2507" s="11" t="n">
        <v>40899.4175231482</v>
      </c>
      <c r="M2507" s="12"/>
      <c r="N2507" s="12" t="s">
        <v>3430</v>
      </c>
      <c r="O2507" s="9" t="str">
        <f aca="false">HYPERLINK("https://pbs.twimg.com/profile_images/2562735424/xehron89ogped2vk6umj_normal.jpeg","View")</f>
        <v>View</v>
      </c>
      <c r="P2507" s="10"/>
    </row>
    <row r="2508" customFormat="false" ht="15.75" hidden="false" customHeight="false" outlineLevel="0" collapsed="false">
      <c r="A2508" s="6" t="n">
        <v>43030.2625</v>
      </c>
      <c r="B2508" s="7" t="str">
        <f aca="false">HYPERLINK("https://twitter.com/giannetti_marco","@giannetti_marco")</f>
        <v>@giannetti_marco</v>
      </c>
      <c r="C2508" s="8" t="s">
        <v>6366</v>
      </c>
      <c r="D2508" s="8" t="s">
        <v>4068</v>
      </c>
      <c r="E2508" s="9" t="str">
        <f aca="false">HYPERLINK("https://twitter.com/giannetti_marco/status/922089656421965824","922089656421965824")</f>
        <v>922089656421965824</v>
      </c>
      <c r="F2508" s="10" t="s">
        <v>25</v>
      </c>
      <c r="G2508" s="10" t="n">
        <v>435</v>
      </c>
      <c r="H2508" s="10" t="n">
        <v>117</v>
      </c>
      <c r="I2508" s="10" t="n">
        <v>50</v>
      </c>
      <c r="J2508" s="10" t="n">
        <v>0</v>
      </c>
      <c r="K2508" s="10" t="s">
        <v>20</v>
      </c>
      <c r="L2508" s="11" t="n">
        <v>40771.2386226852</v>
      </c>
      <c r="M2508" s="12"/>
      <c r="N2508" s="12" t="s">
        <v>6367</v>
      </c>
      <c r="O2508" s="9" t="str">
        <f aca="false">HYPERLINK("https://pbs.twimg.com/profile_images/921325887869652992/nKAtRK5O_normal.jpg","View")</f>
        <v>View</v>
      </c>
      <c r="P2508" s="10"/>
    </row>
    <row r="2509" customFormat="false" ht="15.75" hidden="false" customHeight="false" outlineLevel="0" collapsed="false">
      <c r="A2509" s="6" t="n">
        <v>43030.2625810185</v>
      </c>
      <c r="B2509" s="7" t="str">
        <f aca="false">HYPERLINK("https://twitter.com/seemasirohi","@seemasirohi")</f>
        <v>@seemasirohi</v>
      </c>
      <c r="C2509" s="8" t="s">
        <v>6368</v>
      </c>
      <c r="D2509" s="8" t="s">
        <v>6369</v>
      </c>
      <c r="E2509" s="9" t="str">
        <f aca="false">HYPERLINK("https://twitter.com/seemasirohi/status/922089688042819584","922089688042819584")</f>
        <v>922089688042819584</v>
      </c>
      <c r="F2509" s="10" t="s">
        <v>51</v>
      </c>
      <c r="G2509" s="10" t="n">
        <v>9703</v>
      </c>
      <c r="H2509" s="10" t="n">
        <v>450</v>
      </c>
      <c r="I2509" s="10" t="n">
        <v>5</v>
      </c>
      <c r="J2509" s="10" t="n">
        <v>0</v>
      </c>
      <c r="K2509" s="10" t="s">
        <v>20</v>
      </c>
      <c r="L2509" s="11" t="n">
        <v>39967.4022569444</v>
      </c>
      <c r="M2509" s="12" t="s">
        <v>6370</v>
      </c>
      <c r="N2509" s="12" t="s">
        <v>6371</v>
      </c>
      <c r="O2509" s="9" t="str">
        <f aca="false">HYPERLINK("https://pbs.twimg.com/profile_images/615270483760549888/llhDoqGx_normal.jpg","View")</f>
        <v>View</v>
      </c>
      <c r="P2509" s="10"/>
    </row>
    <row r="2510" customFormat="false" ht="15.75" hidden="false" customHeight="false" outlineLevel="0" collapsed="false">
      <c r="A2510" s="6" t="n">
        <v>43030.2632291667</v>
      </c>
      <c r="B2510" s="7" t="str">
        <f aca="false">HYPERLINK("https://twitter.com/CLM_net","@CLM_net")</f>
        <v>@CLM_net</v>
      </c>
      <c r="C2510" s="8" t="s">
        <v>5746</v>
      </c>
      <c r="D2510" s="8" t="s">
        <v>6372</v>
      </c>
      <c r="E2510" s="9" t="str">
        <f aca="false">HYPERLINK("https://twitter.com/CLM_net/status/922089921053167622","922089921053167622")</f>
        <v>922089921053167622</v>
      </c>
      <c r="F2510" s="10" t="s">
        <v>55</v>
      </c>
      <c r="G2510" s="10" t="n">
        <v>1530</v>
      </c>
      <c r="H2510" s="10" t="n">
        <v>0</v>
      </c>
      <c r="I2510" s="10" t="n">
        <v>0</v>
      </c>
      <c r="J2510" s="10" t="n">
        <v>0</v>
      </c>
      <c r="K2510" s="10" t="s">
        <v>20</v>
      </c>
      <c r="L2510" s="11" t="n">
        <v>41134.1074421296</v>
      </c>
      <c r="M2510" s="12" t="s">
        <v>230</v>
      </c>
      <c r="N2510" s="12" t="s">
        <v>5748</v>
      </c>
      <c r="O2510" s="9" t="str">
        <f aca="false">HYPERLINK("https://pbs.twimg.com/profile_images/823517749821509632/wURcbkRj_normal.jpg","View")</f>
        <v>View</v>
      </c>
      <c r="P2510" s="10"/>
    </row>
    <row r="2511" customFormat="false" ht="15.75" hidden="false" customHeight="false" outlineLevel="0" collapsed="false">
      <c r="A2511" s="6" t="n">
        <v>43030.2635069444</v>
      </c>
      <c r="B2511" s="7" t="str">
        <f aca="false">HYPERLINK("https://twitter.com/bostonnewslocal","@bostonnewslocal")</f>
        <v>@bostonnewslocal</v>
      </c>
      <c r="C2511" s="8" t="s">
        <v>6373</v>
      </c>
      <c r="D2511" s="8" t="s">
        <v>6374</v>
      </c>
      <c r="E2511" s="9" t="str">
        <f aca="false">HYPERLINK("https://twitter.com/bostonnewslocal/status/922090022257520641","922090022257520641")</f>
        <v>922090022257520641</v>
      </c>
      <c r="F2511" s="10" t="s">
        <v>6375</v>
      </c>
      <c r="G2511" s="10" t="n">
        <v>2025</v>
      </c>
      <c r="H2511" s="10" t="n">
        <v>34</v>
      </c>
      <c r="I2511" s="10" t="n">
        <v>1</v>
      </c>
      <c r="J2511" s="10" t="n">
        <v>0</v>
      </c>
      <c r="K2511" s="10" t="s">
        <v>20</v>
      </c>
      <c r="L2511" s="11" t="n">
        <v>42503.3890277778</v>
      </c>
      <c r="M2511" s="12" t="s">
        <v>1404</v>
      </c>
      <c r="N2511" s="12" t="s">
        <v>6376</v>
      </c>
      <c r="O2511" s="9" t="str">
        <f aca="false">HYPERLINK("https://pbs.twimg.com/profile_images/774074783130488832/kQ3JMvAF_normal.jpg","View")</f>
        <v>View</v>
      </c>
      <c r="P2511" s="10"/>
    </row>
    <row r="2512" customFormat="false" ht="15.75" hidden="false" customHeight="false" outlineLevel="0" collapsed="false">
      <c r="A2512" s="6" t="n">
        <v>43030.263587963</v>
      </c>
      <c r="B2512" s="7" t="str">
        <f aca="false">HYPERLINK("https://twitter.com/_joanneling","@_joanneling")</f>
        <v>@_joanneling</v>
      </c>
      <c r="C2512" s="14" t="s">
        <v>6377</v>
      </c>
      <c r="D2512" s="8" t="s">
        <v>3631</v>
      </c>
      <c r="E2512" s="9" t="str">
        <f aca="false">HYPERLINK("https://twitter.com/_joanneling/status/922090050745090048","922090050745090048")</f>
        <v>922090050745090048</v>
      </c>
      <c r="F2512" s="10" t="s">
        <v>39</v>
      </c>
      <c r="G2512" s="10" t="n">
        <v>186</v>
      </c>
      <c r="H2512" s="10" t="n">
        <v>182</v>
      </c>
      <c r="I2512" s="10" t="n">
        <v>16</v>
      </c>
      <c r="J2512" s="10" t="n">
        <v>0</v>
      </c>
      <c r="K2512" s="10" t="s">
        <v>20</v>
      </c>
      <c r="L2512" s="11" t="n">
        <v>40364.1684027778</v>
      </c>
      <c r="M2512" s="12" t="s">
        <v>6378</v>
      </c>
      <c r="N2512" s="12" t="s">
        <v>6379</v>
      </c>
      <c r="O2512" s="9" t="str">
        <f aca="false">HYPERLINK("https://pbs.twimg.com/profile_images/886813595249418241/kAZW3AKw_normal.jpg","View")</f>
        <v>View</v>
      </c>
      <c r="P2512" s="10"/>
    </row>
    <row r="2513" customFormat="false" ht="15.75" hidden="false" customHeight="false" outlineLevel="0" collapsed="false">
      <c r="A2513" s="6" t="n">
        <v>43030.264224537</v>
      </c>
      <c r="B2513" s="7" t="str">
        <f aca="false">HYPERLINK("https://twitter.com/Melcaba","@Melcaba")</f>
        <v>@Melcaba</v>
      </c>
      <c r="C2513" s="8" t="s">
        <v>6380</v>
      </c>
      <c r="D2513" s="8" t="s">
        <v>4124</v>
      </c>
      <c r="E2513" s="9" t="str">
        <f aca="false">HYPERLINK("https://twitter.com/Melcaba/status/922090281670819843","922090281670819843")</f>
        <v>922090281670819843</v>
      </c>
      <c r="F2513" s="10" t="s">
        <v>39</v>
      </c>
      <c r="G2513" s="10" t="n">
        <v>487</v>
      </c>
      <c r="H2513" s="10" t="n">
        <v>743</v>
      </c>
      <c r="I2513" s="10" t="n">
        <v>111</v>
      </c>
      <c r="J2513" s="10" t="n">
        <v>0</v>
      </c>
      <c r="K2513" s="10" t="s">
        <v>20</v>
      </c>
      <c r="L2513" s="11" t="n">
        <v>40063.7230787037</v>
      </c>
      <c r="M2513" s="13" t="s">
        <v>709</v>
      </c>
      <c r="N2513" s="13" t="s">
        <v>6381</v>
      </c>
      <c r="O2513" s="9" t="str">
        <f aca="false">HYPERLINK("https://pbs.twimg.com/profile_images/1278519064/8737b66d_normal.jpg","View")</f>
        <v>View</v>
      </c>
      <c r="P2513" s="10"/>
    </row>
    <row r="2514" customFormat="false" ht="15.75" hidden="false" customHeight="false" outlineLevel="0" collapsed="false">
      <c r="A2514" s="6" t="n">
        <v>43030.2643402778</v>
      </c>
      <c r="B2514" s="7" t="str">
        <f aca="false">HYPERLINK("https://twitter.com/aryanengga","@aryanengga")</f>
        <v>@aryanengga</v>
      </c>
      <c r="C2514" s="8" t="s">
        <v>6382</v>
      </c>
      <c r="D2514" s="8" t="s">
        <v>4984</v>
      </c>
      <c r="E2514" s="9" t="str">
        <f aca="false">HYPERLINK("https://twitter.com/aryanengga/status/922090323727097857","922090323727097857")</f>
        <v>922090323727097857</v>
      </c>
      <c r="F2514" s="10" t="s">
        <v>51</v>
      </c>
      <c r="G2514" s="10" t="n">
        <v>608</v>
      </c>
      <c r="H2514" s="10" t="n">
        <v>499</v>
      </c>
      <c r="I2514" s="10" t="n">
        <v>187</v>
      </c>
      <c r="J2514" s="10" t="n">
        <v>0</v>
      </c>
      <c r="K2514" s="10" t="s">
        <v>20</v>
      </c>
      <c r="L2514" s="11" t="n">
        <v>40054.126875</v>
      </c>
      <c r="M2514" s="12" t="s">
        <v>6383</v>
      </c>
      <c r="N2514" s="12" t="s">
        <v>6384</v>
      </c>
      <c r="O2514" s="9" t="str">
        <f aca="false">HYPERLINK("https://pbs.twimg.com/profile_images/843401919930351616/l-8m7LJR_normal.jpg","View")</f>
        <v>View</v>
      </c>
      <c r="P2514" s="10"/>
    </row>
    <row r="2515" customFormat="false" ht="15.75" hidden="false" customHeight="false" outlineLevel="0" collapsed="false">
      <c r="A2515" s="6" t="n">
        <v>43030.2647685185</v>
      </c>
      <c r="B2515" s="7" t="str">
        <f aca="false">HYPERLINK("https://twitter.com/ChikuwaQ","@ChikuwaQ")</f>
        <v>@ChikuwaQ</v>
      </c>
      <c r="C2515" s="8" t="s">
        <v>6385</v>
      </c>
      <c r="D2515" s="8" t="s">
        <v>6386</v>
      </c>
      <c r="E2515" s="9" t="str">
        <f aca="false">HYPERLINK("https://twitter.com/ChikuwaQ/status/922090477461147648","922090477461147648")</f>
        <v>922090477461147648</v>
      </c>
      <c r="F2515" s="10" t="s">
        <v>1194</v>
      </c>
      <c r="G2515" s="10" t="n">
        <v>2454</v>
      </c>
      <c r="H2515" s="10" t="n">
        <v>2299</v>
      </c>
      <c r="I2515" s="10" t="n">
        <v>0</v>
      </c>
      <c r="J2515" s="10" t="n">
        <v>0</v>
      </c>
      <c r="K2515" s="10" t="s">
        <v>20</v>
      </c>
      <c r="L2515" s="11" t="n">
        <v>40107.3012615741</v>
      </c>
      <c r="M2515" s="12" t="s">
        <v>6387</v>
      </c>
      <c r="N2515" s="12" t="s">
        <v>6388</v>
      </c>
      <c r="O2515" s="9" t="str">
        <f aca="false">HYPERLINK("https://pbs.twimg.com/profile_images/1178393713/portrait_normal.jpg","View")</f>
        <v>View</v>
      </c>
      <c r="P2515" s="10"/>
    </row>
    <row r="2516" customFormat="false" ht="15.75" hidden="false" customHeight="false" outlineLevel="0" collapsed="false">
      <c r="A2516" s="6" t="n">
        <v>43030.2647916667</v>
      </c>
      <c r="B2516" s="7" t="str">
        <f aca="false">HYPERLINK("https://twitter.com/AsisTimermans","@AsisTimermans")</f>
        <v>@AsisTimermans</v>
      </c>
      <c r="C2516" s="8" t="s">
        <v>6389</v>
      </c>
      <c r="D2516" s="8" t="s">
        <v>6390</v>
      </c>
      <c r="E2516" s="9" t="str">
        <f aca="false">HYPERLINK("https://twitter.com/AsisTimermans/status/922090487972028416","922090487972028416")</f>
        <v>922090487972028416</v>
      </c>
      <c r="F2516" s="10" t="s">
        <v>25</v>
      </c>
      <c r="G2516" s="10" t="n">
        <v>7385</v>
      </c>
      <c r="H2516" s="10" t="n">
        <v>1000</v>
      </c>
      <c r="I2516" s="10" t="n">
        <v>1</v>
      </c>
      <c r="J2516" s="10" t="n">
        <v>0</v>
      </c>
      <c r="K2516" s="10" t="s">
        <v>20</v>
      </c>
      <c r="L2516" s="11" t="n">
        <v>40674.1615740741</v>
      </c>
      <c r="M2516" s="12" t="s">
        <v>3907</v>
      </c>
      <c r="N2516" s="12" t="s">
        <v>6391</v>
      </c>
      <c r="O2516" s="9" t="str">
        <f aca="false">HYPERLINK("https://pbs.twimg.com/profile_images/786477013011927040/XCbO77is_normal.jpg","View")</f>
        <v>View</v>
      </c>
      <c r="P2516" s="10"/>
    </row>
    <row r="2517" customFormat="false" ht="15.75" hidden="false" customHeight="false" outlineLevel="0" collapsed="false">
      <c r="A2517" s="6" t="n">
        <v>43030.2649074074</v>
      </c>
      <c r="B2517" s="7" t="str">
        <f aca="false">HYPERLINK("https://twitter.com/T_Prattz","@T_Prattz")</f>
        <v>@T_Prattz</v>
      </c>
      <c r="C2517" s="8" t="s">
        <v>6392</v>
      </c>
      <c r="D2517" s="8" t="s">
        <v>5135</v>
      </c>
      <c r="E2517" s="9" t="str">
        <f aca="false">HYPERLINK("https://twitter.com/T_Prattz/status/922090529084633088","922090529084633088")</f>
        <v>922090529084633088</v>
      </c>
      <c r="F2517" s="10" t="s">
        <v>25</v>
      </c>
      <c r="G2517" s="10" t="n">
        <v>324</v>
      </c>
      <c r="H2517" s="10" t="n">
        <v>295</v>
      </c>
      <c r="I2517" s="10" t="n">
        <v>18</v>
      </c>
      <c r="J2517" s="10" t="n">
        <v>0</v>
      </c>
      <c r="K2517" s="10" t="s">
        <v>20</v>
      </c>
      <c r="L2517" s="11" t="n">
        <v>40366.5595601852</v>
      </c>
      <c r="M2517" s="12" t="s">
        <v>182</v>
      </c>
      <c r="N2517" s="12" t="s">
        <v>6393</v>
      </c>
      <c r="O2517" s="9" t="str">
        <f aca="false">HYPERLINK("https://pbs.twimg.com/profile_images/378800000094766437/d5e993574d615e3a6fb413b979ea6345_normal.jpeg","View")</f>
        <v>View</v>
      </c>
      <c r="P2517" s="10"/>
    </row>
    <row r="2518" customFormat="false" ht="15.75" hidden="false" customHeight="false" outlineLevel="0" collapsed="false">
      <c r="A2518" s="6" t="n">
        <v>43030.2650115741</v>
      </c>
      <c r="B2518" s="7" t="str">
        <f aca="false">HYPERLINK("https://twitter.com/YogarajahSgy","@YogarajahSgy")</f>
        <v>@YogarajahSgy</v>
      </c>
      <c r="C2518" s="8" t="s">
        <v>6394</v>
      </c>
      <c r="D2518" s="8" t="s">
        <v>6395</v>
      </c>
      <c r="E2518" s="9" t="str">
        <f aca="false">HYPERLINK("https://twitter.com/YogarajahSgy/status/922090566912966656","922090566912966656")</f>
        <v>922090566912966656</v>
      </c>
      <c r="F2518" s="10" t="s">
        <v>25</v>
      </c>
      <c r="G2518" s="10" t="n">
        <v>40</v>
      </c>
      <c r="H2518" s="10" t="n">
        <v>481</v>
      </c>
      <c r="I2518" s="10" t="n">
        <v>1</v>
      </c>
      <c r="J2518" s="10" t="n">
        <v>0</v>
      </c>
      <c r="K2518" s="10" t="s">
        <v>20</v>
      </c>
      <c r="L2518" s="11" t="n">
        <v>42993.3417476852</v>
      </c>
      <c r="M2518" s="12"/>
      <c r="N2518" s="12"/>
      <c r="O2518" s="9" t="str">
        <f aca="false">HYPERLINK("https://abs.twimg.com/sticky/default_profile_images/default_profile_normal.png","View")</f>
        <v>View</v>
      </c>
      <c r="P2518" s="10"/>
    </row>
    <row r="2519" customFormat="false" ht="15.75" hidden="false" customHeight="false" outlineLevel="0" collapsed="false">
      <c r="A2519" s="6" t="n">
        <v>43030.2650810185</v>
      </c>
      <c r="B2519" s="7" t="str">
        <f aca="false">HYPERLINK("https://twitter.com/javiergoody","@javiergoody")</f>
        <v>@javiergoody</v>
      </c>
      <c r="C2519" s="8" t="s">
        <v>6396</v>
      </c>
      <c r="D2519" s="8" t="s">
        <v>6397</v>
      </c>
      <c r="E2519" s="9" t="str">
        <f aca="false">HYPERLINK("https://twitter.com/javiergoody/status/922090593102258182","922090593102258182")</f>
        <v>922090593102258182</v>
      </c>
      <c r="F2519" s="10" t="s">
        <v>55</v>
      </c>
      <c r="G2519" s="10" t="n">
        <v>850</v>
      </c>
      <c r="H2519" s="10" t="n">
        <v>1809</v>
      </c>
      <c r="I2519" s="10" t="n">
        <v>0</v>
      </c>
      <c r="J2519" s="10" t="n">
        <v>0</v>
      </c>
      <c r="K2519" s="10" t="s">
        <v>20</v>
      </c>
      <c r="L2519" s="11" t="n">
        <v>40482.646412037</v>
      </c>
      <c r="M2519" s="12"/>
      <c r="N2519" s="12"/>
      <c r="O2519" s="9" t="str">
        <f aca="false">HYPERLINK("https://pbs.twimg.com/profile_images/1166234605/miperfil_normal.jpg","View")</f>
        <v>View</v>
      </c>
      <c r="P2519" s="10"/>
    </row>
    <row r="2520" customFormat="false" ht="15.75" hidden="false" customHeight="false" outlineLevel="0" collapsed="false">
      <c r="A2520" s="6" t="n">
        <v>43030.2653703704</v>
      </c>
      <c r="B2520" s="7" t="str">
        <f aca="false">HYPERLINK("https://twitter.com/NTKRNow","@NTKRNow")</f>
        <v>@NTKRNow</v>
      </c>
      <c r="C2520" s="8" t="s">
        <v>829</v>
      </c>
      <c r="D2520" s="8" t="s">
        <v>6398</v>
      </c>
      <c r="E2520" s="9" t="str">
        <f aca="false">HYPERLINK("https://twitter.com/NTKRNow/status/922090699306209280","922090699306209280")</f>
        <v>922090699306209280</v>
      </c>
      <c r="F2520" s="10" t="s">
        <v>60</v>
      </c>
      <c r="G2520" s="10" t="n">
        <v>610</v>
      </c>
      <c r="H2520" s="10" t="n">
        <v>4</v>
      </c>
      <c r="I2520" s="10" t="n">
        <v>0</v>
      </c>
      <c r="J2520" s="10" t="n">
        <v>0</v>
      </c>
      <c r="K2520" s="10" t="s">
        <v>20</v>
      </c>
      <c r="L2520" s="11" t="n">
        <v>42402.810625</v>
      </c>
      <c r="M2520" s="12"/>
      <c r="N2520" s="12"/>
      <c r="O2520" s="9" t="str">
        <f aca="false">HYPERLINK("https://abs.twimg.com/sticky/default_profile_images/default_profile_normal.png","View")</f>
        <v>View</v>
      </c>
      <c r="P2520" s="10"/>
    </row>
    <row r="2521" customFormat="false" ht="15.75" hidden="false" customHeight="false" outlineLevel="0" collapsed="false">
      <c r="A2521" s="6" t="n">
        <v>43030.2654050926</v>
      </c>
      <c r="B2521" s="7" t="str">
        <f aca="false">HYPERLINK("https://twitter.com/sdut","@sdut")</f>
        <v>@sdut</v>
      </c>
      <c r="C2521" s="8" t="s">
        <v>6399</v>
      </c>
      <c r="D2521" s="8" t="s">
        <v>6400</v>
      </c>
      <c r="E2521" s="9" t="str">
        <f aca="false">HYPERLINK("https://twitter.com/sdut/status/922090708600786945","922090708600786945")</f>
        <v>922090708600786945</v>
      </c>
      <c r="F2521" s="10" t="s">
        <v>6401</v>
      </c>
      <c r="G2521" s="10" t="n">
        <v>161126</v>
      </c>
      <c r="H2521" s="10" t="n">
        <v>220</v>
      </c>
      <c r="I2521" s="10" t="n">
        <v>1</v>
      </c>
      <c r="J2521" s="10" t="n">
        <v>2</v>
      </c>
      <c r="K2521" s="10" t="s">
        <v>20</v>
      </c>
      <c r="L2521" s="11" t="n">
        <v>39521.5201851852</v>
      </c>
      <c r="M2521" s="12" t="s">
        <v>227</v>
      </c>
      <c r="N2521" s="12" t="s">
        <v>6402</v>
      </c>
      <c r="O2521" s="9" t="str">
        <f aca="false">HYPERLINK("https://pbs.twimg.com/profile_images/602110406581047296/tAfHSiVz_normal.jpg","View")</f>
        <v>View</v>
      </c>
      <c r="P2521" s="10"/>
    </row>
    <row r="2522" customFormat="false" ht="15.75" hidden="false" customHeight="false" outlineLevel="0" collapsed="false">
      <c r="A2522" s="6" t="n">
        <v>43030.2654282407</v>
      </c>
      <c r="B2522" s="7" t="str">
        <f aca="false">HYPERLINK("https://twitter.com/LuisCampos_ST","@LuisCampos_ST")</f>
        <v>@LuisCampos_ST</v>
      </c>
      <c r="C2522" s="8" t="s">
        <v>6117</v>
      </c>
      <c r="D2522" s="8" t="s">
        <v>6403</v>
      </c>
      <c r="E2522" s="9" t="str">
        <f aca="false">HYPERLINK("https://twitter.com/LuisCampos_ST/status/922090718528761856","922090718528761856")</f>
        <v>922090718528761856</v>
      </c>
      <c r="F2522" s="10" t="s">
        <v>60</v>
      </c>
      <c r="G2522" s="10" t="n">
        <v>664</v>
      </c>
      <c r="H2522" s="10" t="n">
        <v>90</v>
      </c>
      <c r="I2522" s="10" t="n">
        <v>0</v>
      </c>
      <c r="J2522" s="10" t="n">
        <v>0</v>
      </c>
      <c r="K2522" s="10" t="s">
        <v>20</v>
      </c>
      <c r="L2522" s="11" t="n">
        <v>42022.2927314815</v>
      </c>
      <c r="M2522" s="12"/>
      <c r="N2522" s="12" t="s">
        <v>6119</v>
      </c>
      <c r="O2522" s="9" t="str">
        <f aca="false">HYPERLINK("https://pbs.twimg.com/profile_images/556830187967348737/vOlwsVCe_normal.png","View")</f>
        <v>View</v>
      </c>
      <c r="P2522" s="10"/>
    </row>
    <row r="2523" customFormat="false" ht="15.75" hidden="false" customHeight="false" outlineLevel="0" collapsed="false">
      <c r="A2523" s="6" t="n">
        <v>43030.2655555556</v>
      </c>
      <c r="B2523" s="7" t="str">
        <f aca="false">HYPERLINK("https://twitter.com/AskKashmir","@AskKashmir")</f>
        <v>@AskKashmir</v>
      </c>
      <c r="C2523" s="8" t="s">
        <v>6404</v>
      </c>
      <c r="D2523" s="8" t="s">
        <v>6405</v>
      </c>
      <c r="E2523" s="9" t="str">
        <f aca="false">HYPERLINK("https://twitter.com/AskKashmir/status/922090764288577536","922090764288577536")</f>
        <v>922090764288577536</v>
      </c>
      <c r="F2523" s="10" t="s">
        <v>55</v>
      </c>
      <c r="G2523" s="10" t="n">
        <v>7778</v>
      </c>
      <c r="H2523" s="10" t="n">
        <v>4844</v>
      </c>
      <c r="I2523" s="10" t="n">
        <v>0</v>
      </c>
      <c r="J2523" s="10" t="n">
        <v>0</v>
      </c>
      <c r="K2523" s="10" t="s">
        <v>20</v>
      </c>
      <c r="L2523" s="11" t="n">
        <v>40593.3715393519</v>
      </c>
      <c r="M2523" s="12" t="s">
        <v>6406</v>
      </c>
      <c r="N2523" s="12" t="s">
        <v>6407</v>
      </c>
      <c r="O2523" s="9" t="str">
        <f aca="false">HYPERLINK("https://pbs.twimg.com/profile_images/915128587715579906/xQtIVo6J_normal.jpg","View")</f>
        <v>View</v>
      </c>
      <c r="P2523" s="10"/>
    </row>
    <row r="2524" customFormat="false" ht="15.75" hidden="false" customHeight="false" outlineLevel="0" collapsed="false">
      <c r="A2524" s="6" t="n">
        <v>43030.2655902778</v>
      </c>
      <c r="B2524" s="7" t="str">
        <f aca="false">HYPERLINK("https://twitter.com/YogarajahSgy","@YogarajahSgy")</f>
        <v>@YogarajahSgy</v>
      </c>
      <c r="C2524" s="8" t="s">
        <v>6394</v>
      </c>
      <c r="D2524" s="8" t="s">
        <v>6408</v>
      </c>
      <c r="E2524" s="9" t="str">
        <f aca="false">HYPERLINK("https://twitter.com/YogarajahSgy/status/922090777727074304","922090777727074304")</f>
        <v>922090777727074304</v>
      </c>
      <c r="F2524" s="10" t="s">
        <v>25</v>
      </c>
      <c r="G2524" s="10" t="n">
        <v>40</v>
      </c>
      <c r="H2524" s="10" t="n">
        <v>481</v>
      </c>
      <c r="I2524" s="10" t="n">
        <v>2</v>
      </c>
      <c r="J2524" s="10" t="n">
        <v>0</v>
      </c>
      <c r="K2524" s="10" t="s">
        <v>20</v>
      </c>
      <c r="L2524" s="11" t="n">
        <v>42993.3417476852</v>
      </c>
      <c r="M2524" s="12"/>
      <c r="N2524" s="12"/>
      <c r="O2524" s="9" t="str">
        <f aca="false">HYPERLINK("https://abs.twimg.com/sticky/default_profile_images/default_profile_normal.png","View")</f>
        <v>View</v>
      </c>
      <c r="P2524" s="10"/>
    </row>
    <row r="2525" customFormat="false" ht="15.75" hidden="false" customHeight="false" outlineLevel="0" collapsed="false">
      <c r="A2525" s="6" t="n">
        <v>43030.2656828704</v>
      </c>
      <c r="B2525" s="7" t="str">
        <f aca="false">HYPERLINK("https://twitter.com/JCOS_CARRINGTON","@JCOS_CARRINGTON")</f>
        <v>@JCOS_CARRINGTON</v>
      </c>
      <c r="C2525" s="8" t="s">
        <v>1660</v>
      </c>
      <c r="D2525" s="8" t="s">
        <v>6409</v>
      </c>
      <c r="E2525" s="9" t="str">
        <f aca="false">HYPERLINK("https://twitter.com/JCOS_CARRINGTON/status/922090811910602752","922090811910602752")</f>
        <v>922090811910602752</v>
      </c>
      <c r="F2525" s="10" t="s">
        <v>1024</v>
      </c>
      <c r="G2525" s="10" t="n">
        <v>2441</v>
      </c>
      <c r="H2525" s="10" t="n">
        <v>4999</v>
      </c>
      <c r="I2525" s="10" t="n">
        <v>0</v>
      </c>
      <c r="J2525" s="10" t="n">
        <v>0</v>
      </c>
      <c r="K2525" s="10" t="s">
        <v>20</v>
      </c>
      <c r="L2525" s="11" t="n">
        <v>39967.9728125</v>
      </c>
      <c r="M2525" s="12" t="s">
        <v>1662</v>
      </c>
      <c r="N2525" s="12" t="s">
        <v>1663</v>
      </c>
      <c r="O2525" s="9" t="str">
        <f aca="false">HYPERLINK("https://pbs.twimg.com/profile_images/914792710170542081/BVZ8JGlE_normal.jpg","View")</f>
        <v>View</v>
      </c>
      <c r="P2525" s="10"/>
    </row>
    <row r="2526" customFormat="false" ht="15.75" hidden="false" customHeight="false" outlineLevel="0" collapsed="false">
      <c r="A2526" s="6" t="n">
        <v>43030.2660069444</v>
      </c>
      <c r="B2526" s="7" t="str">
        <f aca="false">HYPERLINK("https://twitter.com/newsparktamil","@newsparktamil")</f>
        <v>@newsparktamil</v>
      </c>
      <c r="C2526" s="8" t="s">
        <v>6410</v>
      </c>
      <c r="D2526" s="8" t="s">
        <v>6411</v>
      </c>
      <c r="E2526" s="9" t="str">
        <f aca="false">HYPERLINK("https://twitter.com/newsparktamil/status/922090926008406017","922090926008406017")</f>
        <v>922090926008406017</v>
      </c>
      <c r="F2526" s="10" t="s">
        <v>39</v>
      </c>
      <c r="G2526" s="10" t="n">
        <v>84</v>
      </c>
      <c r="H2526" s="10" t="n">
        <v>670</v>
      </c>
      <c r="I2526" s="10" t="n">
        <v>0</v>
      </c>
      <c r="J2526" s="10" t="n">
        <v>0</v>
      </c>
      <c r="K2526" s="10" t="s">
        <v>20</v>
      </c>
      <c r="L2526" s="11" t="n">
        <v>42918.2850462963</v>
      </c>
      <c r="M2526" s="12" t="s">
        <v>3588</v>
      </c>
      <c r="N2526" s="12" t="s">
        <v>6412</v>
      </c>
      <c r="O2526" s="9" t="str">
        <f aca="false">HYPERLINK("https://pbs.twimg.com/profile_images/890099208543510529/P8red2Gr_normal.jpg","View")</f>
        <v>View</v>
      </c>
      <c r="P2526" s="10"/>
    </row>
    <row r="2527" customFormat="false" ht="15.75" hidden="false" customHeight="false" outlineLevel="0" collapsed="false">
      <c r="A2527" s="6" t="n">
        <v>43030.2660532407</v>
      </c>
      <c r="B2527" s="7" t="str">
        <f aca="false">HYPERLINK("https://twitter.com/worldwideRSS","@worldwideRSS")</f>
        <v>@worldwideRSS</v>
      </c>
      <c r="C2527" s="8" t="s">
        <v>6413</v>
      </c>
      <c r="D2527" s="8" t="s">
        <v>6414</v>
      </c>
      <c r="E2527" s="9" t="str">
        <f aca="false">HYPERLINK("https://twitter.com/worldwideRSS/status/922090943905271809","922090943905271809")</f>
        <v>922090943905271809</v>
      </c>
      <c r="F2527" s="9" t="s">
        <v>1147</v>
      </c>
      <c r="G2527" s="10" t="n">
        <v>942</v>
      </c>
      <c r="H2527" s="10" t="n">
        <v>9</v>
      </c>
      <c r="I2527" s="10" t="n">
        <v>0</v>
      </c>
      <c r="J2527" s="10" t="n">
        <v>0</v>
      </c>
      <c r="K2527" s="10" t="s">
        <v>20</v>
      </c>
      <c r="L2527" s="11" t="n">
        <v>41081.6460185185</v>
      </c>
      <c r="M2527" s="12"/>
      <c r="N2527" s="12" t="s">
        <v>5115</v>
      </c>
      <c r="O2527" s="9" t="str">
        <f aca="false">HYPERLINK("https://pbs.twimg.com/profile_images/3056248800/e4464225db37bb1fb2c03167b2d5634d_normal.png","View")</f>
        <v>View</v>
      </c>
      <c r="P2527" s="10"/>
    </row>
    <row r="2528" customFormat="false" ht="15.75" hidden="false" customHeight="false" outlineLevel="0" collapsed="false">
      <c r="A2528" s="6" t="n">
        <v>43030.266087963</v>
      </c>
      <c r="B2528" s="7" t="str">
        <f aca="false">HYPERLINK("https://twitter.com/FathomsOne","@FathomsOne")</f>
        <v>@FathomsOne</v>
      </c>
      <c r="C2528" s="8" t="s">
        <v>6415</v>
      </c>
      <c r="D2528" s="8" t="s">
        <v>6369</v>
      </c>
      <c r="E2528" s="9" t="str">
        <f aca="false">HYPERLINK("https://twitter.com/FathomsOne/status/922090955594907649","922090955594907649")</f>
        <v>922090955594907649</v>
      </c>
      <c r="F2528" s="10" t="s">
        <v>51</v>
      </c>
      <c r="G2528" s="10" t="n">
        <v>149</v>
      </c>
      <c r="H2528" s="10" t="n">
        <v>120</v>
      </c>
      <c r="I2528" s="10" t="n">
        <v>5</v>
      </c>
      <c r="J2528" s="10" t="n">
        <v>0</v>
      </c>
      <c r="K2528" s="10" t="s">
        <v>20</v>
      </c>
      <c r="L2528" s="11" t="n">
        <v>40179.8667013889</v>
      </c>
      <c r="M2528" s="12" t="s">
        <v>64</v>
      </c>
      <c r="N2528" s="12" t="s">
        <v>6416</v>
      </c>
      <c r="O2528" s="9" t="str">
        <f aca="false">HYPERLINK("https://pbs.twimg.com/profile_images/799485974954864640/GTLjGP9z_normal.jpg","View")</f>
        <v>View</v>
      </c>
      <c r="P2528" s="10"/>
    </row>
    <row r="2529" customFormat="false" ht="15.75" hidden="false" customHeight="false" outlineLevel="0" collapsed="false">
      <c r="A2529" s="6" t="n">
        <v>43030.2661342593</v>
      </c>
      <c r="B2529" s="7" t="str">
        <f aca="false">HYPERLINK("https://twitter.com/YogarajahSgy","@YogarajahSgy")</f>
        <v>@YogarajahSgy</v>
      </c>
      <c r="C2529" s="8" t="s">
        <v>6394</v>
      </c>
      <c r="D2529" s="8" t="s">
        <v>6417</v>
      </c>
      <c r="E2529" s="9" t="str">
        <f aca="false">HYPERLINK("https://twitter.com/YogarajahSgy/status/922090973534064642","922090973534064642")</f>
        <v>922090973534064642</v>
      </c>
      <c r="F2529" s="10" t="s">
        <v>25</v>
      </c>
      <c r="G2529" s="10" t="n">
        <v>40</v>
      </c>
      <c r="H2529" s="10" t="n">
        <v>481</v>
      </c>
      <c r="I2529" s="10" t="n">
        <v>1</v>
      </c>
      <c r="J2529" s="10" t="n">
        <v>0</v>
      </c>
      <c r="K2529" s="10" t="s">
        <v>20</v>
      </c>
      <c r="L2529" s="11" t="n">
        <v>42993.3417476852</v>
      </c>
      <c r="M2529" s="12"/>
      <c r="N2529" s="12"/>
      <c r="O2529" s="9" t="str">
        <f aca="false">HYPERLINK("https://abs.twimg.com/sticky/default_profile_images/default_profile_normal.png","View")</f>
        <v>View</v>
      </c>
      <c r="P2529" s="10"/>
    </row>
    <row r="2530" customFormat="false" ht="15.75" hidden="false" customHeight="false" outlineLevel="0" collapsed="false">
      <c r="A2530" s="6" t="n">
        <v>43030.2665856482</v>
      </c>
      <c r="B2530" s="7" t="str">
        <f aca="false">HYPERLINK("https://twitter.com/easyeasylife","@easyeasylife")</f>
        <v>@easyeasylife</v>
      </c>
      <c r="C2530" s="8" t="s">
        <v>6418</v>
      </c>
      <c r="D2530" s="8" t="s">
        <v>4068</v>
      </c>
      <c r="E2530" s="9" t="str">
        <f aca="false">HYPERLINK("https://twitter.com/easyeasylife/status/922091138332246016","922091138332246016")</f>
        <v>922091138332246016</v>
      </c>
      <c r="F2530" s="10" t="s">
        <v>51</v>
      </c>
      <c r="G2530" s="10" t="n">
        <v>261</v>
      </c>
      <c r="H2530" s="10" t="n">
        <v>202</v>
      </c>
      <c r="I2530" s="10" t="n">
        <v>50</v>
      </c>
      <c r="J2530" s="10" t="n">
        <v>0</v>
      </c>
      <c r="K2530" s="10" t="s">
        <v>20</v>
      </c>
      <c r="L2530" s="11" t="n">
        <v>40456.3181712963</v>
      </c>
      <c r="M2530" s="12"/>
      <c r="N2530" s="12"/>
      <c r="O2530" s="9" t="str">
        <f aca="false">HYPERLINK("https://pbs.twimg.com/profile_images/880680843735425024/R6Rl4ix0_normal.jpg","View")</f>
        <v>View</v>
      </c>
      <c r="P2530" s="10"/>
    </row>
    <row r="2531" customFormat="false" ht="15.75" hidden="false" customHeight="false" outlineLevel="0" collapsed="false">
      <c r="A2531" s="6" t="n">
        <v>43030.2667476852</v>
      </c>
      <c r="B2531" s="7" t="str">
        <f aca="false">HYPERLINK("https://twitter.com/lucaa1298","@lucaa1298")</f>
        <v>@lucaa1298</v>
      </c>
      <c r="C2531" s="8" t="s">
        <v>6419</v>
      </c>
      <c r="D2531" s="8" t="s">
        <v>6420</v>
      </c>
      <c r="E2531" s="9" t="str">
        <f aca="false">HYPERLINK("https://twitter.com/lucaa1298/status/922091197706964992","922091197706964992")</f>
        <v>922091197706964992</v>
      </c>
      <c r="F2531" s="10" t="s">
        <v>25</v>
      </c>
      <c r="G2531" s="10" t="n">
        <v>79</v>
      </c>
      <c r="H2531" s="10" t="n">
        <v>163</v>
      </c>
      <c r="I2531" s="10" t="n">
        <v>0</v>
      </c>
      <c r="J2531" s="10" t="n">
        <v>0</v>
      </c>
      <c r="K2531" s="10" t="s">
        <v>20</v>
      </c>
      <c r="L2531" s="11" t="n">
        <v>41843.4766550926</v>
      </c>
      <c r="M2531" s="12" t="s">
        <v>6421</v>
      </c>
      <c r="N2531" s="12" t="s">
        <v>6422</v>
      </c>
      <c r="O2531" s="9" t="str">
        <f aca="false">HYPERLINK("https://pbs.twimg.com/profile_images/920748334570196993/cKG7Caa5_normal.jpg","View")</f>
        <v>View</v>
      </c>
      <c r="P2531" s="10"/>
    </row>
    <row r="2532" customFormat="false" ht="15.75" hidden="false" customHeight="false" outlineLevel="0" collapsed="false">
      <c r="A2532" s="6" t="n">
        <v>43030.2668634259</v>
      </c>
      <c r="B2532" s="7" t="str">
        <f aca="false">HYPERLINK("https://twitter.com/YogarajahSgy","@YogarajahSgy")</f>
        <v>@YogarajahSgy</v>
      </c>
      <c r="C2532" s="8" t="s">
        <v>6394</v>
      </c>
      <c r="D2532" s="8" t="s">
        <v>3551</v>
      </c>
      <c r="E2532" s="9" t="str">
        <f aca="false">HYPERLINK("https://twitter.com/YogarajahSgy/status/922091239121543169","922091239121543169")</f>
        <v>922091239121543169</v>
      </c>
      <c r="F2532" s="10" t="s">
        <v>25</v>
      </c>
      <c r="G2532" s="10" t="n">
        <v>40</v>
      </c>
      <c r="H2532" s="10" t="n">
        <v>481</v>
      </c>
      <c r="I2532" s="10" t="n">
        <v>2</v>
      </c>
      <c r="J2532" s="10" t="n">
        <v>0</v>
      </c>
      <c r="K2532" s="10" t="s">
        <v>20</v>
      </c>
      <c r="L2532" s="11" t="n">
        <v>42993.3417476852</v>
      </c>
      <c r="M2532" s="12"/>
      <c r="N2532" s="12"/>
      <c r="O2532" s="9" t="str">
        <f aca="false">HYPERLINK("https://abs.twimg.com/sticky/default_profile_images/default_profile_normal.png","View")</f>
        <v>View</v>
      </c>
      <c r="P2532" s="10"/>
    </row>
    <row r="2533" customFormat="false" ht="15.75" hidden="false" customHeight="false" outlineLevel="0" collapsed="false">
      <c r="A2533" s="6" t="n">
        <v>43030.2670486111</v>
      </c>
      <c r="B2533" s="7" t="str">
        <f aca="false">HYPERLINK("https://twitter.com/elcajonnews","@elcajonnews")</f>
        <v>@elcajonnews</v>
      </c>
      <c r="C2533" s="8" t="s">
        <v>6423</v>
      </c>
      <c r="D2533" s="8" t="s">
        <v>6424</v>
      </c>
      <c r="E2533" s="9" t="str">
        <f aca="false">HYPERLINK("https://twitter.com/elcajonnews/status/922091304175185920","922091304175185920")</f>
        <v>922091304175185920</v>
      </c>
      <c r="F2533" s="10" t="s">
        <v>60</v>
      </c>
      <c r="G2533" s="10" t="n">
        <v>331</v>
      </c>
      <c r="H2533" s="10" t="n">
        <v>517</v>
      </c>
      <c r="I2533" s="10" t="n">
        <v>0</v>
      </c>
      <c r="J2533" s="10" t="n">
        <v>0</v>
      </c>
      <c r="K2533" s="10" t="s">
        <v>20</v>
      </c>
      <c r="L2533" s="11" t="n">
        <v>41830.6834722222</v>
      </c>
      <c r="M2533" s="12" t="s">
        <v>6425</v>
      </c>
      <c r="N2533" s="12" t="s">
        <v>6426</v>
      </c>
      <c r="O2533" s="9" t="str">
        <f aca="false">HYPERLINK("https://pbs.twimg.com/profile_images/487402790340136960/S7p-L3WX_normal.jpeg","View")</f>
        <v>View</v>
      </c>
      <c r="P2533" s="10"/>
    </row>
    <row r="2534" customFormat="false" ht="15.75" hidden="false" customHeight="false" outlineLevel="0" collapsed="false">
      <c r="A2534" s="6" t="n">
        <v>43030.2678125</v>
      </c>
      <c r="B2534" s="7" t="str">
        <f aca="false">HYPERLINK("https://twitter.com/Fayyaz1Malik1","@Fayyaz1Malik1")</f>
        <v>@Fayyaz1Malik1</v>
      </c>
      <c r="C2534" s="8" t="s">
        <v>6427</v>
      </c>
      <c r="D2534" s="8" t="s">
        <v>6428</v>
      </c>
      <c r="E2534" s="9" t="str">
        <f aca="false">HYPERLINK("https://twitter.com/Fayyaz1Malik1/status/922091581456506885","922091581456506885")</f>
        <v>922091581456506885</v>
      </c>
      <c r="F2534" s="10" t="s">
        <v>60</v>
      </c>
      <c r="G2534" s="10" t="n">
        <v>3</v>
      </c>
      <c r="H2534" s="10" t="n">
        <v>55</v>
      </c>
      <c r="I2534" s="10" t="n">
        <v>0</v>
      </c>
      <c r="J2534" s="10" t="n">
        <v>0</v>
      </c>
      <c r="K2534" s="10" t="s">
        <v>20</v>
      </c>
      <c r="L2534" s="11" t="n">
        <v>43025.4370023148</v>
      </c>
      <c r="M2534" s="12" t="s">
        <v>230</v>
      </c>
      <c r="N2534" s="12"/>
      <c r="O2534" s="9" t="str">
        <f aca="false">HYPERLINK("https://pbs.twimg.com/profile_images/920714474306375694/WddxFcLN_normal.jpg","View")</f>
        <v>View</v>
      </c>
      <c r="P2534" s="10"/>
    </row>
    <row r="2535" customFormat="false" ht="15.75" hidden="false" customHeight="false" outlineLevel="0" collapsed="false">
      <c r="A2535" s="6" t="n">
        <v>43030.2678356482</v>
      </c>
      <c r="B2535" s="7" t="str">
        <f aca="false">HYPERLINK("https://twitter.com/joybouquet","@joybouquet")</f>
        <v>@joybouquet</v>
      </c>
      <c r="C2535" s="8" t="s">
        <v>6429</v>
      </c>
      <c r="D2535" s="8" t="s">
        <v>6430</v>
      </c>
      <c r="E2535" s="9" t="str">
        <f aca="false">HYPERLINK("https://twitter.com/joybouquet/status/922091591287955457","922091591287955457")</f>
        <v>922091591287955457</v>
      </c>
      <c r="F2535" s="10" t="s">
        <v>60</v>
      </c>
      <c r="G2535" s="10" t="n">
        <v>136</v>
      </c>
      <c r="H2535" s="10" t="n">
        <v>244</v>
      </c>
      <c r="I2535" s="10" t="n">
        <v>0</v>
      </c>
      <c r="J2535" s="10" t="n">
        <v>0</v>
      </c>
      <c r="K2535" s="10" t="s">
        <v>20</v>
      </c>
      <c r="L2535" s="11" t="n">
        <v>42689.7331828704</v>
      </c>
      <c r="M2535" s="12" t="s">
        <v>230</v>
      </c>
      <c r="N2535" s="12" t="s">
        <v>6431</v>
      </c>
      <c r="O2535" s="9" t="str">
        <f aca="false">HYPERLINK("https://pbs.twimg.com/profile_images/801371644514029568/aeyQVzLW_normal.jpg","View")</f>
        <v>View</v>
      </c>
      <c r="P2535" s="10"/>
    </row>
    <row r="2536" customFormat="false" ht="15.75" hidden="false" customHeight="false" outlineLevel="0" collapsed="false">
      <c r="A2536" s="6" t="n">
        <v>43030.2685185185</v>
      </c>
      <c r="B2536" s="7" t="str">
        <f aca="false">HYPERLINK("https://twitter.com/BorisTouc","@BorisTouc")</f>
        <v>@BorisTouc</v>
      </c>
      <c r="C2536" s="8" t="s">
        <v>6432</v>
      </c>
      <c r="D2536" s="8" t="s">
        <v>6433</v>
      </c>
      <c r="E2536" s="9" t="str">
        <f aca="false">HYPERLINK("https://twitter.com/BorisTouc/status/922091838185590784","922091838185590784")</f>
        <v>922091838185590784</v>
      </c>
      <c r="F2536" s="10" t="s">
        <v>25</v>
      </c>
      <c r="G2536" s="10" t="n">
        <v>624</v>
      </c>
      <c r="H2536" s="10" t="n">
        <v>561</v>
      </c>
      <c r="I2536" s="10" t="n">
        <v>2</v>
      </c>
      <c r="J2536" s="10" t="n">
        <v>0</v>
      </c>
      <c r="K2536" s="10" t="s">
        <v>20</v>
      </c>
      <c r="L2536" s="11" t="n">
        <v>40888.6320023148</v>
      </c>
      <c r="M2536" s="12" t="s">
        <v>723</v>
      </c>
      <c r="N2536" s="12" t="s">
        <v>6434</v>
      </c>
      <c r="O2536" s="9" t="str">
        <f aca="false">HYPERLINK("https://pbs.twimg.com/profile_images/775791485979619328/kmoHcmPb_normal.jpg","View")</f>
        <v>View</v>
      </c>
      <c r="P2536" s="10"/>
    </row>
    <row r="2537" customFormat="false" ht="15.75" hidden="false" customHeight="false" outlineLevel="0" collapsed="false">
      <c r="A2537" s="6" t="n">
        <v>43030.2686458333</v>
      </c>
      <c r="B2537" s="7" t="str">
        <f aca="false">HYPERLINK("https://twitter.com/mahanthanut","@mahanthanut")</f>
        <v>@mahanthanut</v>
      </c>
      <c r="C2537" s="8" t="s">
        <v>4083</v>
      </c>
      <c r="D2537" s="8" t="s">
        <v>5846</v>
      </c>
      <c r="E2537" s="9" t="str">
        <f aca="false">HYPERLINK("https://twitter.com/mahanthanut/status/922091883186176001","922091883186176001")</f>
        <v>922091883186176001</v>
      </c>
      <c r="F2537" s="10" t="s">
        <v>51</v>
      </c>
      <c r="G2537" s="10" t="n">
        <v>755</v>
      </c>
      <c r="H2537" s="10" t="n">
        <v>1972</v>
      </c>
      <c r="I2537" s="10" t="n">
        <v>16</v>
      </c>
      <c r="J2537" s="10" t="n">
        <v>0</v>
      </c>
      <c r="K2537" s="10" t="s">
        <v>20</v>
      </c>
      <c r="L2537" s="11" t="n">
        <v>42066.3065046296</v>
      </c>
      <c r="M2537" s="12"/>
      <c r="N2537" s="12"/>
      <c r="O2537" s="9" t="str">
        <f aca="false">HYPERLINK("https://pbs.twimg.com/profile_images/602460467231985666/I5K3SbBA_normal.jpg","View")</f>
        <v>View</v>
      </c>
      <c r="P2537" s="10"/>
    </row>
    <row r="2538" customFormat="false" ht="15.75" hidden="false" customHeight="false" outlineLevel="0" collapsed="false">
      <c r="A2538" s="6" t="n">
        <v>43030.2687152778</v>
      </c>
      <c r="B2538" s="7" t="str">
        <f aca="false">HYPERLINK("https://twitter.com/pg1776","@pg1776")</f>
        <v>@pg1776</v>
      </c>
      <c r="C2538" s="8" t="s">
        <v>6324</v>
      </c>
      <c r="D2538" s="8" t="s">
        <v>6435</v>
      </c>
      <c r="E2538" s="9" t="str">
        <f aca="false">HYPERLINK("https://twitter.com/pg1776/status/922091911103385601","922091911103385601")</f>
        <v>922091911103385601</v>
      </c>
      <c r="F2538" s="10" t="s">
        <v>6326</v>
      </c>
      <c r="G2538" s="10" t="n">
        <v>1007</v>
      </c>
      <c r="H2538" s="10" t="n">
        <v>679</v>
      </c>
      <c r="I2538" s="10" t="n">
        <v>1</v>
      </c>
      <c r="J2538" s="10" t="n">
        <v>0</v>
      </c>
      <c r="K2538" s="10" t="s">
        <v>20</v>
      </c>
      <c r="L2538" s="11" t="n">
        <v>42653.5587731482</v>
      </c>
      <c r="M2538" s="12" t="s">
        <v>52</v>
      </c>
      <c r="N2538" s="12" t="s">
        <v>6327</v>
      </c>
      <c r="O2538" s="9" t="str">
        <f aca="false">HYPERLINK("https://pbs.twimg.com/profile_images/788813039348817920/u7L-epDe_normal.jpg","View")</f>
        <v>View</v>
      </c>
      <c r="P2538" s="10"/>
    </row>
    <row r="2539" customFormat="false" ht="15.75" hidden="false" customHeight="false" outlineLevel="0" collapsed="false">
      <c r="A2539" s="6" t="n">
        <v>43030.2689351852</v>
      </c>
      <c r="B2539" s="7" t="str">
        <f aca="false">HYPERLINK("https://twitter.com/DrAsifShahid","@DrAsifShahid")</f>
        <v>@DrAsifShahid</v>
      </c>
      <c r="C2539" s="8" t="s">
        <v>6164</v>
      </c>
      <c r="D2539" s="8" t="s">
        <v>6436</v>
      </c>
      <c r="E2539" s="9" t="str">
        <f aca="false">HYPERLINK("https://twitter.com/DrAsifShahid/status/922091990946320385","922091990946320385")</f>
        <v>922091990946320385</v>
      </c>
      <c r="F2539" s="10" t="s">
        <v>39</v>
      </c>
      <c r="G2539" s="10" t="n">
        <v>150</v>
      </c>
      <c r="H2539" s="10" t="n">
        <v>735</v>
      </c>
      <c r="I2539" s="10" t="n">
        <v>1</v>
      </c>
      <c r="J2539" s="10" t="n">
        <v>0</v>
      </c>
      <c r="K2539" s="10" t="s">
        <v>20</v>
      </c>
      <c r="L2539" s="11" t="n">
        <v>41070.4294560185</v>
      </c>
      <c r="M2539" s="12" t="s">
        <v>6166</v>
      </c>
      <c r="N2539" s="12" t="s">
        <v>6167</v>
      </c>
      <c r="O2539" s="9" t="str">
        <f aca="false">HYPERLINK("https://pbs.twimg.com/profile_images/764571135371608064/jXQc4b-D_normal.jpg","View")</f>
        <v>View</v>
      </c>
      <c r="P2539" s="10"/>
    </row>
    <row r="2540" customFormat="false" ht="15.75" hidden="false" customHeight="false" outlineLevel="0" collapsed="false">
      <c r="A2540" s="6" t="n">
        <v>43030.2689814815</v>
      </c>
      <c r="B2540" s="7" t="str">
        <f aca="false">HYPERLINK("https://twitter.com/DrAsifShahid","@DrAsifShahid")</f>
        <v>@DrAsifShahid</v>
      </c>
      <c r="C2540" s="8" t="s">
        <v>6164</v>
      </c>
      <c r="D2540" s="8" t="s">
        <v>6437</v>
      </c>
      <c r="E2540" s="9" t="str">
        <f aca="false">HYPERLINK("https://twitter.com/DrAsifShahid/status/922092006779904000","922092006779904000")</f>
        <v>922092006779904000</v>
      </c>
      <c r="F2540" s="10" t="s">
        <v>47</v>
      </c>
      <c r="G2540" s="10" t="n">
        <v>150</v>
      </c>
      <c r="H2540" s="10" t="n">
        <v>735</v>
      </c>
      <c r="I2540" s="10" t="n">
        <v>0</v>
      </c>
      <c r="J2540" s="10" t="n">
        <v>0</v>
      </c>
      <c r="K2540" s="10" t="s">
        <v>20</v>
      </c>
      <c r="L2540" s="11" t="n">
        <v>41070.4294560185</v>
      </c>
      <c r="M2540" s="12" t="s">
        <v>6166</v>
      </c>
      <c r="N2540" s="12" t="s">
        <v>6167</v>
      </c>
      <c r="O2540" s="9" t="str">
        <f aca="false">HYPERLINK("https://pbs.twimg.com/profile_images/764571135371608064/jXQc4b-D_normal.jpg","View")</f>
        <v>View</v>
      </c>
      <c r="P2540" s="10"/>
    </row>
    <row r="2541" customFormat="false" ht="15.75" hidden="false" customHeight="false" outlineLevel="0" collapsed="false">
      <c r="A2541" s="6" t="n">
        <v>43030.2692939815</v>
      </c>
      <c r="B2541" s="7" t="str">
        <f aca="false">HYPERLINK("https://twitter.com/DrAsifShahid","@DrAsifShahid")</f>
        <v>@DrAsifShahid</v>
      </c>
      <c r="C2541" s="8" t="s">
        <v>6164</v>
      </c>
      <c r="D2541" s="8" t="s">
        <v>6438</v>
      </c>
      <c r="E2541" s="9" t="str">
        <f aca="false">HYPERLINK("https://twitter.com/DrAsifShahid/status/922092120218984451","922092120218984451")</f>
        <v>922092120218984451</v>
      </c>
      <c r="F2541" s="10" t="s">
        <v>39</v>
      </c>
      <c r="G2541" s="10" t="n">
        <v>150</v>
      </c>
      <c r="H2541" s="10" t="n">
        <v>735</v>
      </c>
      <c r="I2541" s="10" t="n">
        <v>1</v>
      </c>
      <c r="J2541" s="10" t="n">
        <v>0</v>
      </c>
      <c r="K2541" s="10" t="s">
        <v>20</v>
      </c>
      <c r="L2541" s="11" t="n">
        <v>41070.4294560185</v>
      </c>
      <c r="M2541" s="12" t="s">
        <v>6166</v>
      </c>
      <c r="N2541" s="12" t="s">
        <v>6167</v>
      </c>
      <c r="O2541" s="9" t="str">
        <f aca="false">HYPERLINK("https://pbs.twimg.com/profile_images/764571135371608064/jXQc4b-D_normal.jpg","View")</f>
        <v>View</v>
      </c>
      <c r="P2541" s="10"/>
    </row>
    <row r="2542" customFormat="false" ht="15.75" hidden="false" customHeight="false" outlineLevel="0" collapsed="false">
      <c r="A2542" s="6" t="n">
        <v>43030.2693518519</v>
      </c>
      <c r="B2542" s="7" t="str">
        <f aca="false">HYPERLINK("https://twitter.com/DrAsifShahid","@DrAsifShahid")</f>
        <v>@DrAsifShahid</v>
      </c>
      <c r="C2542" s="8" t="s">
        <v>6164</v>
      </c>
      <c r="D2542" s="8" t="s">
        <v>6439</v>
      </c>
      <c r="E2542" s="9" t="str">
        <f aca="false">HYPERLINK("https://twitter.com/DrAsifShahid/status/922092138699030528","922092138699030528")</f>
        <v>922092138699030528</v>
      </c>
      <c r="F2542" s="10" t="s">
        <v>47</v>
      </c>
      <c r="G2542" s="10" t="n">
        <v>150</v>
      </c>
      <c r="H2542" s="10" t="n">
        <v>735</v>
      </c>
      <c r="I2542" s="10" t="n">
        <v>0</v>
      </c>
      <c r="J2542" s="10" t="n">
        <v>0</v>
      </c>
      <c r="K2542" s="10" t="s">
        <v>20</v>
      </c>
      <c r="L2542" s="11" t="n">
        <v>41070.4294560185</v>
      </c>
      <c r="M2542" s="12" t="s">
        <v>6166</v>
      </c>
      <c r="N2542" s="12" t="s">
        <v>6167</v>
      </c>
      <c r="O2542" s="9" t="str">
        <f aca="false">HYPERLINK("https://pbs.twimg.com/profile_images/764571135371608064/jXQc4b-D_normal.jpg","View")</f>
        <v>View</v>
      </c>
      <c r="P2542" s="10"/>
    </row>
    <row r="2543" customFormat="false" ht="15.75" hidden="false" customHeight="false" outlineLevel="0" collapsed="false">
      <c r="A2543" s="6" t="n">
        <v>43030.2695717593</v>
      </c>
      <c r="B2543" s="7" t="str">
        <f aca="false">HYPERLINK("https://twitter.com/shankargallery","@shankargallery")</f>
        <v>@shankargallery</v>
      </c>
      <c r="C2543" s="8" t="s">
        <v>2072</v>
      </c>
      <c r="D2543" s="8" t="s">
        <v>6440</v>
      </c>
      <c r="E2543" s="9" t="str">
        <f aca="false">HYPERLINK("https://twitter.com/shankargallery/status/922092219099516929","922092219099516929")</f>
        <v>922092219099516929</v>
      </c>
      <c r="F2543" s="10" t="s">
        <v>39</v>
      </c>
      <c r="G2543" s="10" t="n">
        <v>8532</v>
      </c>
      <c r="H2543" s="10" t="n">
        <v>8156</v>
      </c>
      <c r="I2543" s="10" t="n">
        <v>0</v>
      </c>
      <c r="J2543" s="10" t="n">
        <v>0</v>
      </c>
      <c r="K2543" s="10" t="s">
        <v>20</v>
      </c>
      <c r="L2543" s="11" t="n">
        <v>39213.5175925926</v>
      </c>
      <c r="M2543" s="12" t="s">
        <v>2075</v>
      </c>
      <c r="N2543" s="15" t="s">
        <v>2076</v>
      </c>
      <c r="O2543" s="9" t="str">
        <f aca="false">HYPERLINK("https://pbs.twimg.com/profile_images/476104395847790592/nQaMS96N_normal.jpeg","View")</f>
        <v>View</v>
      </c>
      <c r="P2543" s="10"/>
    </row>
    <row r="2544" customFormat="false" ht="15.75" hidden="false" customHeight="false" outlineLevel="0" collapsed="false">
      <c r="A2544" s="6" t="n">
        <v>43030.2696875</v>
      </c>
      <c r="B2544" s="7" t="str">
        <f aca="false">HYPERLINK("https://twitter.com/astewartPhD","@astewartPhD")</f>
        <v>@astewartPhD</v>
      </c>
      <c r="C2544" s="8" t="s">
        <v>6441</v>
      </c>
      <c r="D2544" s="8" t="s">
        <v>6442</v>
      </c>
      <c r="E2544" s="9" t="str">
        <f aca="false">HYPERLINK("https://twitter.com/astewartPhD/status/922092261705437184","922092261705437184")</f>
        <v>922092261705437184</v>
      </c>
      <c r="F2544" s="10" t="s">
        <v>1643</v>
      </c>
      <c r="G2544" s="10" t="n">
        <v>146</v>
      </c>
      <c r="H2544" s="10" t="n">
        <v>187</v>
      </c>
      <c r="I2544" s="10" t="n">
        <v>0</v>
      </c>
      <c r="J2544" s="10" t="n">
        <v>0</v>
      </c>
      <c r="K2544" s="10" t="s">
        <v>20</v>
      </c>
      <c r="L2544" s="11" t="n">
        <v>40601.5979166667</v>
      </c>
      <c r="M2544" s="12" t="s">
        <v>6443</v>
      </c>
      <c r="N2544" s="12" t="s">
        <v>6444</v>
      </c>
      <c r="O2544" s="9" t="str">
        <f aca="false">HYPERLINK("https://pbs.twimg.com/profile_images/533396557287391232/us_t1MTU_normal.jpeg","View")</f>
        <v>View</v>
      </c>
      <c r="P2544" s="10"/>
    </row>
    <row r="2545" customFormat="false" ht="15.75" hidden="false" customHeight="false" outlineLevel="0" collapsed="false">
      <c r="A2545" s="6" t="n">
        <v>43030.2699768519</v>
      </c>
      <c r="B2545" s="7" t="str">
        <f aca="false">HYPERLINK("https://twitter.com/newsRetweeter17","@newsRetweeter17")</f>
        <v>@newsRetweeter17</v>
      </c>
      <c r="C2545" s="8" t="s">
        <v>6445</v>
      </c>
      <c r="D2545" s="8" t="s">
        <v>4984</v>
      </c>
      <c r="E2545" s="9" t="str">
        <f aca="false">HYPERLINK("https://twitter.com/newsRetweeter17/status/922092365074051072","922092365074051072")</f>
        <v>922092365074051072</v>
      </c>
      <c r="F2545" s="10" t="s">
        <v>6446</v>
      </c>
      <c r="G2545" s="10" t="n">
        <v>704</v>
      </c>
      <c r="H2545" s="10" t="n">
        <v>1235</v>
      </c>
      <c r="I2545" s="10" t="n">
        <v>187</v>
      </c>
      <c r="J2545" s="10" t="n">
        <v>0</v>
      </c>
      <c r="K2545" s="10" t="s">
        <v>20</v>
      </c>
      <c r="L2545" s="11" t="n">
        <v>42910.8180555556</v>
      </c>
      <c r="M2545" s="12" t="s">
        <v>6447</v>
      </c>
      <c r="N2545" s="12" t="s">
        <v>6448</v>
      </c>
      <c r="O2545" s="9" t="str">
        <f aca="false">HYPERLINK("https://pbs.twimg.com/profile_images/881904263567364102/uReXZqrp_normal.jpg","View")</f>
        <v>View</v>
      </c>
      <c r="P2545" s="10"/>
    </row>
    <row r="2546" customFormat="false" ht="15.75" hidden="false" customHeight="false" outlineLevel="0" collapsed="false">
      <c r="A2546" s="6" t="n">
        <v>43030.2700694444</v>
      </c>
      <c r="B2546" s="7" t="str">
        <f aca="false">HYPERLINK("https://twitter.com/JoKhvmucPBLEOv3","@JoKhvmucPBLEOv3")</f>
        <v>@JoKhvmucPBLEOv3</v>
      </c>
      <c r="C2546" s="14" t="s">
        <v>6449</v>
      </c>
      <c r="D2546" s="8" t="s">
        <v>3646</v>
      </c>
      <c r="E2546" s="9" t="str">
        <f aca="false">HYPERLINK("https://twitter.com/JoKhvmucPBLEOv3/status/922092401644077056","922092401644077056")</f>
        <v>922092401644077056</v>
      </c>
      <c r="F2546" s="10" t="s">
        <v>25</v>
      </c>
      <c r="G2546" s="10" t="n">
        <v>54</v>
      </c>
      <c r="H2546" s="10" t="n">
        <v>450</v>
      </c>
      <c r="I2546" s="10" t="n">
        <v>71</v>
      </c>
      <c r="J2546" s="10" t="n">
        <v>0</v>
      </c>
      <c r="K2546" s="10" t="s">
        <v>20</v>
      </c>
      <c r="L2546" s="11" t="n">
        <v>42947.0981481481</v>
      </c>
      <c r="M2546" s="12"/>
      <c r="N2546" s="13" t="s">
        <v>6450</v>
      </c>
      <c r="O2546" s="9" t="str">
        <f aca="false">HYPERLINK("https://pbs.twimg.com/profile_images/915826190685954049/2jsP8XVF_normal.jpg","View")</f>
        <v>View</v>
      </c>
      <c r="P2546" s="10"/>
    </row>
    <row r="2547" customFormat="false" ht="15.75" hidden="false" customHeight="false" outlineLevel="0" collapsed="false">
      <c r="A2547" s="6" t="n">
        <v>43030.2702546296</v>
      </c>
      <c r="B2547" s="7" t="str">
        <f aca="false">HYPERLINK("https://twitter.com/sachinpatiltex","@sachinpatiltex")</f>
        <v>@sachinpatiltex</v>
      </c>
      <c r="C2547" s="8" t="s">
        <v>6451</v>
      </c>
      <c r="D2547" s="8" t="s">
        <v>6369</v>
      </c>
      <c r="E2547" s="9" t="str">
        <f aca="false">HYPERLINK("https://twitter.com/sachinpatiltex/status/922092467498885122","922092467498885122")</f>
        <v>922092467498885122</v>
      </c>
      <c r="F2547" s="10" t="s">
        <v>25</v>
      </c>
      <c r="G2547" s="10" t="n">
        <v>94</v>
      </c>
      <c r="H2547" s="10" t="n">
        <v>252</v>
      </c>
      <c r="I2547" s="10" t="n">
        <v>5</v>
      </c>
      <c r="J2547" s="10" t="n">
        <v>0</v>
      </c>
      <c r="K2547" s="10" t="s">
        <v>20</v>
      </c>
      <c r="L2547" s="11" t="n">
        <v>40699.1996990741</v>
      </c>
      <c r="M2547" s="12" t="s">
        <v>6452</v>
      </c>
      <c r="N2547" s="12" t="s">
        <v>6453</v>
      </c>
      <c r="O2547" s="9" t="str">
        <f aca="false">HYPERLINK("https://pbs.twimg.com/profile_images/844565016573595650/O2SVT65m_normal.jpg","View")</f>
        <v>View</v>
      </c>
      <c r="P2547" s="10"/>
    </row>
    <row r="2548" customFormat="false" ht="15.75" hidden="false" customHeight="false" outlineLevel="0" collapsed="false">
      <c r="A2548" s="6" t="n">
        <v>43030.2703587963</v>
      </c>
      <c r="B2548" s="7" t="str">
        <f aca="false">HYPERLINK("https://twitter.com/IngeniumAdvisor","@IngeniumAdvisor")</f>
        <v>@IngeniumAdvisor</v>
      </c>
      <c r="C2548" s="8" t="s">
        <v>6454</v>
      </c>
      <c r="D2548" s="8" t="s">
        <v>6455</v>
      </c>
      <c r="E2548" s="9" t="str">
        <f aca="false">HYPERLINK("https://twitter.com/IngeniumAdvisor/status/922092504371027974","922092504371027974")</f>
        <v>922092504371027974</v>
      </c>
      <c r="F2548" s="10" t="s">
        <v>25</v>
      </c>
      <c r="G2548" s="10" t="n">
        <v>61</v>
      </c>
      <c r="H2548" s="10" t="n">
        <v>48</v>
      </c>
      <c r="I2548" s="10" t="n">
        <v>0</v>
      </c>
      <c r="J2548" s="10" t="n">
        <v>0</v>
      </c>
      <c r="K2548" s="10" t="s">
        <v>20</v>
      </c>
      <c r="L2548" s="11" t="n">
        <v>42153.1253356481</v>
      </c>
      <c r="M2548" s="12" t="s">
        <v>5788</v>
      </c>
      <c r="N2548" s="12" t="s">
        <v>6456</v>
      </c>
      <c r="O2548" s="9" t="str">
        <f aca="false">HYPERLINK("https://pbs.twimg.com/profile_images/604563778781331457/3qw5TcB9_normal.jpg","View")</f>
        <v>View</v>
      </c>
      <c r="P2548" s="10"/>
    </row>
    <row r="2549" customFormat="false" ht="15.75" hidden="false" customHeight="false" outlineLevel="0" collapsed="false">
      <c r="A2549" s="6" t="n">
        <v>43030.2708912037</v>
      </c>
      <c r="B2549" s="7" t="str">
        <f aca="false">HYPERLINK("https://twitter.com/N24English","@N24English")</f>
        <v>@N24English</v>
      </c>
      <c r="C2549" s="8" t="s">
        <v>6457</v>
      </c>
      <c r="D2549" s="8" t="s">
        <v>6458</v>
      </c>
      <c r="E2549" s="9" t="str">
        <f aca="false">HYPERLINK("https://twitter.com/N24English/status/922092699292798976","922092699292798976")</f>
        <v>922092699292798976</v>
      </c>
      <c r="F2549" s="10" t="s">
        <v>47</v>
      </c>
      <c r="G2549" s="10" t="n">
        <v>570</v>
      </c>
      <c r="H2549" s="10" t="n">
        <v>76</v>
      </c>
      <c r="I2549" s="10" t="n">
        <v>0</v>
      </c>
      <c r="J2549" s="10" t="n">
        <v>0</v>
      </c>
      <c r="K2549" s="10" t="s">
        <v>20</v>
      </c>
      <c r="L2549" s="11" t="n">
        <v>41766.021400463</v>
      </c>
      <c r="M2549" s="12" t="s">
        <v>574</v>
      </c>
      <c r="N2549" s="12" t="s">
        <v>6459</v>
      </c>
      <c r="O2549" s="9" t="str">
        <f aca="false">HYPERLINK("https://pbs.twimg.com/profile_images/527744726397485056/2PUCvxdv_normal.png","View")</f>
        <v>View</v>
      </c>
      <c r="P2549" s="10"/>
    </row>
    <row r="2550" customFormat="false" ht="15.75" hidden="false" customHeight="false" outlineLevel="0" collapsed="false">
      <c r="A2550" s="6" t="n">
        <v>43030.2710300926</v>
      </c>
      <c r="B2550" s="7" t="str">
        <f aca="false">HYPERLINK("https://twitter.com/IdaHerd","@IdaHerd")</f>
        <v>@IdaHerd</v>
      </c>
      <c r="C2550" s="8" t="s">
        <v>6460</v>
      </c>
      <c r="D2550" s="8" t="s">
        <v>5135</v>
      </c>
      <c r="E2550" s="9" t="str">
        <f aca="false">HYPERLINK("https://twitter.com/IdaHerd/status/922092749461118979","922092749461118979")</f>
        <v>922092749461118979</v>
      </c>
      <c r="F2550" s="10" t="s">
        <v>3790</v>
      </c>
      <c r="G2550" s="10" t="n">
        <v>1660</v>
      </c>
      <c r="H2550" s="10" t="n">
        <v>3242</v>
      </c>
      <c r="I2550" s="10" t="n">
        <v>18</v>
      </c>
      <c r="J2550" s="10" t="n">
        <v>0</v>
      </c>
      <c r="K2550" s="10" t="s">
        <v>20</v>
      </c>
      <c r="L2550" s="11" t="n">
        <v>41404.7871527778</v>
      </c>
      <c r="M2550" s="12" t="s">
        <v>6461</v>
      </c>
      <c r="N2550" s="12" t="s">
        <v>6462</v>
      </c>
      <c r="O2550" s="9" t="str">
        <f aca="false">HYPERLINK("https://pbs.twimg.com/profile_images/661413240296120320/n_8V0H55_normal.jpg","View")</f>
        <v>View</v>
      </c>
      <c r="P2550" s="10"/>
    </row>
    <row r="2551" customFormat="false" ht="15.75" hidden="false" customHeight="false" outlineLevel="0" collapsed="false">
      <c r="A2551" s="6" t="n">
        <v>43030.2714699074</v>
      </c>
      <c r="B2551" s="7" t="str">
        <f aca="false">HYPERLINK("https://twitter.com/RealTimeHack","@RealTimeHack")</f>
        <v>@RealTimeHack</v>
      </c>
      <c r="C2551" s="8" t="s">
        <v>2422</v>
      </c>
      <c r="D2551" s="8" t="s">
        <v>6463</v>
      </c>
      <c r="E2551" s="9" t="str">
        <f aca="false">HYPERLINK("https://twitter.com/RealTimeHack/status/922092909633122305","922092909633122305")</f>
        <v>922092909633122305</v>
      </c>
      <c r="F2551" s="10" t="s">
        <v>60</v>
      </c>
      <c r="G2551" s="10" t="n">
        <v>2184</v>
      </c>
      <c r="H2551" s="10" t="n">
        <v>1282</v>
      </c>
      <c r="I2551" s="10" t="n">
        <v>0</v>
      </c>
      <c r="J2551" s="10" t="n">
        <v>0</v>
      </c>
      <c r="K2551" s="10" t="s">
        <v>20</v>
      </c>
      <c r="L2551" s="11" t="n">
        <v>40641.3992013889</v>
      </c>
      <c r="M2551" s="12" t="s">
        <v>2424</v>
      </c>
      <c r="N2551" s="12" t="s">
        <v>2425</v>
      </c>
      <c r="O2551" s="9" t="str">
        <f aca="false">HYPERLINK("https://pbs.twimg.com/profile_images/1304602852/Nuke_Egg_normal.gif","View")</f>
        <v>View</v>
      </c>
      <c r="P2551" s="10"/>
    </row>
    <row r="2552" customFormat="false" ht="15.75" hidden="false" customHeight="false" outlineLevel="0" collapsed="false">
      <c r="A2552" s="6" t="n">
        <v>43030.2716087963</v>
      </c>
      <c r="B2552" s="7" t="str">
        <f aca="false">HYPERLINK("https://twitter.com/Marocconnected","@Marocconnected")</f>
        <v>@Marocconnected</v>
      </c>
      <c r="C2552" s="8" t="s">
        <v>6464</v>
      </c>
      <c r="D2552" s="8" t="s">
        <v>6465</v>
      </c>
      <c r="E2552" s="9" t="str">
        <f aca="false">HYPERLINK("https://twitter.com/Marocconnected/status/922092957678952448","922092957678952448")</f>
        <v>922092957678952448</v>
      </c>
      <c r="F2552" s="10" t="s">
        <v>3042</v>
      </c>
      <c r="G2552" s="10" t="n">
        <v>369</v>
      </c>
      <c r="H2552" s="10" t="n">
        <v>179</v>
      </c>
      <c r="I2552" s="10" t="n">
        <v>0</v>
      </c>
      <c r="J2552" s="10" t="n">
        <v>0</v>
      </c>
      <c r="K2552" s="10" t="s">
        <v>20</v>
      </c>
      <c r="L2552" s="11" t="n">
        <v>40287.2379513889</v>
      </c>
      <c r="M2552" s="12" t="s">
        <v>6466</v>
      </c>
      <c r="N2552" s="12" t="s">
        <v>6467</v>
      </c>
      <c r="O2552" s="9" t="str">
        <f aca="false">HYPERLINK("https://pbs.twimg.com/profile_images/1032757964/1588369121_1ccfb08d07_normal.jpg","View")</f>
        <v>View</v>
      </c>
      <c r="P2552" s="10"/>
    </row>
    <row r="2553" customFormat="false" ht="15.75" hidden="false" customHeight="false" outlineLevel="0" collapsed="false">
      <c r="A2553" s="6" t="n">
        <v>43030.2716550926</v>
      </c>
      <c r="B2553" s="7" t="str">
        <f aca="false">HYPERLINK("https://twitter.com/marvellous997","@marvellous997")</f>
        <v>@marvellous997</v>
      </c>
      <c r="C2553" s="8" t="s">
        <v>1788</v>
      </c>
      <c r="D2553" s="8" t="s">
        <v>6468</v>
      </c>
      <c r="E2553" s="9" t="str">
        <f aca="false">HYPERLINK("https://twitter.com/marvellous997/status/922092975089479680","922092975089479680")</f>
        <v>922092975089479680</v>
      </c>
      <c r="F2553" s="10" t="s">
        <v>55</v>
      </c>
      <c r="G2553" s="10" t="n">
        <v>792</v>
      </c>
      <c r="H2553" s="10" t="n">
        <v>59</v>
      </c>
      <c r="I2553" s="10" t="n">
        <v>0</v>
      </c>
      <c r="J2553" s="10" t="n">
        <v>0</v>
      </c>
      <c r="K2553" s="10" t="s">
        <v>20</v>
      </c>
      <c r="L2553" s="11" t="n">
        <v>41334.1588078704</v>
      </c>
      <c r="M2553" s="12" t="s">
        <v>1790</v>
      </c>
      <c r="N2553" s="12" t="s">
        <v>1791</v>
      </c>
      <c r="O2553" s="9" t="str">
        <f aca="false">HYPERLINK("https://pbs.twimg.com/profile_images/765082261150720000/AKwZsJGh_normal.jpg","View")</f>
        <v>View</v>
      </c>
      <c r="P2553" s="10"/>
    </row>
    <row r="2554" customFormat="false" ht="15.75" hidden="false" customHeight="false" outlineLevel="0" collapsed="false">
      <c r="A2554" s="6" t="n">
        <v>43030.2718634259</v>
      </c>
      <c r="B2554" s="7" t="str">
        <f aca="false">HYPERLINK("https://twitter.com/PTalkShows","@PTalkShows")</f>
        <v>@PTalkShows</v>
      </c>
      <c r="C2554" s="8" t="s">
        <v>6469</v>
      </c>
      <c r="D2554" s="8" t="s">
        <v>6470</v>
      </c>
      <c r="E2554" s="9" t="str">
        <f aca="false">HYPERLINK("https://twitter.com/PTalkShows/status/922093050293186561","922093050293186561")</f>
        <v>922093050293186561</v>
      </c>
      <c r="F2554" s="10" t="s">
        <v>47</v>
      </c>
      <c r="G2554" s="10" t="n">
        <v>223</v>
      </c>
      <c r="H2554" s="10" t="n">
        <v>124</v>
      </c>
      <c r="I2554" s="10" t="n">
        <v>0</v>
      </c>
      <c r="J2554" s="10" t="n">
        <v>0</v>
      </c>
      <c r="K2554" s="10" t="s">
        <v>20</v>
      </c>
      <c r="L2554" s="11" t="n">
        <v>42646.7912731482</v>
      </c>
      <c r="M2554" s="12" t="s">
        <v>6471</v>
      </c>
      <c r="N2554" s="12"/>
      <c r="O2554" s="9" t="str">
        <f aca="false">HYPERLINK("https://pbs.twimg.com/profile_images/804896874822041601/v1Q_DvW6_normal.jpg","View")</f>
        <v>View</v>
      </c>
      <c r="P2554" s="10"/>
    </row>
    <row r="2555" customFormat="false" ht="15.75" hidden="false" customHeight="false" outlineLevel="0" collapsed="false">
      <c r="A2555" s="6" t="n">
        <v>43030.2722222222</v>
      </c>
      <c r="B2555" s="7" t="str">
        <f aca="false">HYPERLINK("https://twitter.com/suezeecue","@suezeecue")</f>
        <v>@suezeecue</v>
      </c>
      <c r="C2555" s="8" t="s">
        <v>5217</v>
      </c>
      <c r="D2555" s="8" t="s">
        <v>3646</v>
      </c>
      <c r="E2555" s="9" t="str">
        <f aca="false">HYPERLINK("https://twitter.com/suezeecue/status/922093182216699908","922093182216699908")</f>
        <v>922093182216699908</v>
      </c>
      <c r="F2555" s="10" t="s">
        <v>39</v>
      </c>
      <c r="G2555" s="10" t="n">
        <v>3920</v>
      </c>
      <c r="H2555" s="10" t="n">
        <v>2322</v>
      </c>
      <c r="I2555" s="10" t="n">
        <v>71</v>
      </c>
      <c r="J2555" s="10" t="n">
        <v>0</v>
      </c>
      <c r="K2555" s="10" t="s">
        <v>20</v>
      </c>
      <c r="L2555" s="11" t="n">
        <v>40900.4119675926</v>
      </c>
      <c r="M2555" s="12"/>
      <c r="N2555" s="12" t="s">
        <v>5218</v>
      </c>
      <c r="O2555" s="9" t="str">
        <f aca="false">HYPERLINK("https://pbs.twimg.com/profile_images/682985084161372160/dXOfw4sA_normal.jpg","View")</f>
        <v>View</v>
      </c>
      <c r="P2555" s="10"/>
    </row>
    <row r="2556" customFormat="false" ht="15.75" hidden="false" customHeight="false" outlineLevel="0" collapsed="false">
      <c r="A2556" s="6" t="n">
        <v>43030.2726041667</v>
      </c>
      <c r="B2556" s="7" t="str">
        <f aca="false">HYPERLINK("https://twitter.com/sobersobersober","@sobersobersober")</f>
        <v>@sobersobersober</v>
      </c>
      <c r="C2556" s="8" t="s">
        <v>6472</v>
      </c>
      <c r="D2556" s="8" t="s">
        <v>6473</v>
      </c>
      <c r="E2556" s="9" t="str">
        <f aca="false">HYPERLINK("https://twitter.com/sobersobersober/status/922093320570003456","922093320570003456")</f>
        <v>922093320570003456</v>
      </c>
      <c r="F2556" s="10" t="s">
        <v>25</v>
      </c>
      <c r="G2556" s="10" t="n">
        <v>519</v>
      </c>
      <c r="H2556" s="10" t="n">
        <v>385</v>
      </c>
      <c r="I2556" s="10" t="n">
        <v>0</v>
      </c>
      <c r="J2556" s="10" t="n">
        <v>0</v>
      </c>
      <c r="K2556" s="10" t="s">
        <v>20</v>
      </c>
      <c r="L2556" s="11" t="n">
        <v>40354.8052083333</v>
      </c>
      <c r="M2556" s="12" t="s">
        <v>1529</v>
      </c>
      <c r="N2556" s="13" t="s">
        <v>6474</v>
      </c>
      <c r="O2556" s="9" t="str">
        <f aca="false">HYPERLINK("https://pbs.twimg.com/profile_images/436544466774523904/eQt7pCc2_normal.png","View")</f>
        <v>View</v>
      </c>
      <c r="P2556" s="10"/>
    </row>
    <row r="2557" customFormat="false" ht="15.75" hidden="false" customHeight="false" outlineLevel="0" collapsed="false">
      <c r="A2557" s="6" t="n">
        <v>43030.2727199074</v>
      </c>
      <c r="B2557" s="7" t="str">
        <f aca="false">HYPERLINK("https://twitter.com/oguray","@oguray")</f>
        <v>@oguray</v>
      </c>
      <c r="C2557" s="14" t="s">
        <v>4220</v>
      </c>
      <c r="D2557" s="8" t="s">
        <v>4984</v>
      </c>
      <c r="E2557" s="9" t="str">
        <f aca="false">HYPERLINK("https://twitter.com/oguray/status/922093362441699328","922093362441699328")</f>
        <v>922093362441699328</v>
      </c>
      <c r="F2557" s="10" t="s">
        <v>51</v>
      </c>
      <c r="G2557" s="10" t="n">
        <v>1239</v>
      </c>
      <c r="H2557" s="10" t="n">
        <v>529</v>
      </c>
      <c r="I2557" s="10" t="n">
        <v>187</v>
      </c>
      <c r="J2557" s="10" t="n">
        <v>0</v>
      </c>
      <c r="K2557" s="10" t="s">
        <v>20</v>
      </c>
      <c r="L2557" s="11" t="n">
        <v>39964.8114699074</v>
      </c>
      <c r="M2557" s="13" t="s">
        <v>4221</v>
      </c>
      <c r="N2557" s="12" t="s">
        <v>4222</v>
      </c>
      <c r="O2557" s="9" t="str">
        <f aca="false">HYPERLINK("https://pbs.twimg.com/profile_images/868510836007903232/6ek8hf4I_normal.jpg","View")</f>
        <v>View</v>
      </c>
      <c r="P2557" s="10"/>
    </row>
    <row r="2558" customFormat="false" ht="15.75" hidden="false" customHeight="false" outlineLevel="0" collapsed="false">
      <c r="A2558" s="6" t="n">
        <v>43030.2727314815</v>
      </c>
      <c r="B2558" s="7" t="str">
        <f aca="false">HYPERLINK("https://twitter.com/KhanUlugbek","@KhanUlugbek")</f>
        <v>@KhanUlugbek</v>
      </c>
      <c r="C2558" s="8" t="s">
        <v>6475</v>
      </c>
      <c r="D2558" s="8" t="s">
        <v>5846</v>
      </c>
      <c r="E2558" s="9" t="str">
        <f aca="false">HYPERLINK("https://twitter.com/KhanUlugbek/status/922093365092642818","922093365092642818")</f>
        <v>922093365092642818</v>
      </c>
      <c r="F2558" s="10" t="s">
        <v>25</v>
      </c>
      <c r="G2558" s="10" t="n">
        <v>2056</v>
      </c>
      <c r="H2558" s="10" t="n">
        <v>1098</v>
      </c>
      <c r="I2558" s="10" t="n">
        <v>16</v>
      </c>
      <c r="J2558" s="10" t="n">
        <v>0</v>
      </c>
      <c r="K2558" s="10" t="s">
        <v>20</v>
      </c>
      <c r="L2558" s="11" t="n">
        <v>40189.1787037037</v>
      </c>
      <c r="M2558" s="12" t="s">
        <v>6476</v>
      </c>
      <c r="N2558" s="12" t="s">
        <v>6477</v>
      </c>
      <c r="O2558" s="9" t="str">
        <f aca="false">HYPERLINK("https://pbs.twimg.com/profile_images/914513469566783488/Q8or2miX_normal.jpg","View")</f>
        <v>View</v>
      </c>
      <c r="P2558" s="10"/>
    </row>
    <row r="2559" customFormat="false" ht="15.75" hidden="false" customHeight="false" outlineLevel="0" collapsed="false">
      <c r="A2559" s="6" t="n">
        <v>43030.2729282407</v>
      </c>
      <c r="B2559" s="7" t="str">
        <f aca="false">HYPERLINK("https://twitter.com/B_ELRUFAI","@B_ELRUFAI")</f>
        <v>@B_ELRUFAI</v>
      </c>
      <c r="C2559" s="8" t="s">
        <v>6478</v>
      </c>
      <c r="D2559" s="8" t="s">
        <v>6479</v>
      </c>
      <c r="E2559" s="9" t="str">
        <f aca="false">HYPERLINK("https://twitter.com/B_ELRUFAI/status/922093435087187968","922093435087187968")</f>
        <v>922093435087187968</v>
      </c>
      <c r="F2559" s="10" t="s">
        <v>51</v>
      </c>
      <c r="G2559" s="10" t="n">
        <v>47980</v>
      </c>
      <c r="H2559" s="10" t="n">
        <v>132</v>
      </c>
      <c r="I2559" s="10" t="n">
        <v>2</v>
      </c>
      <c r="J2559" s="10" t="n">
        <v>0</v>
      </c>
      <c r="K2559" s="10" t="s">
        <v>20</v>
      </c>
      <c r="L2559" s="11" t="n">
        <v>40547.8528356482</v>
      </c>
      <c r="M2559" s="12"/>
      <c r="N2559" s="12" t="s">
        <v>6480</v>
      </c>
      <c r="O2559" s="9" t="str">
        <f aca="false">HYPERLINK("https://pbs.twimg.com/profile_images/922392886695677952/P8Hssbbg_normal.jpg","View")</f>
        <v>View</v>
      </c>
      <c r="P2559" s="10"/>
    </row>
    <row r="2560" customFormat="false" ht="15.75" hidden="false" customHeight="false" outlineLevel="0" collapsed="false">
      <c r="A2560" s="6" t="n">
        <v>43030.272962963</v>
      </c>
      <c r="B2560" s="7" t="str">
        <f aca="false">HYPERLINK("https://twitter.com/uk_worldnews","@uk_worldnews")</f>
        <v>@uk_worldnews</v>
      </c>
      <c r="C2560" s="8" t="s">
        <v>6481</v>
      </c>
      <c r="D2560" s="8" t="s">
        <v>6482</v>
      </c>
      <c r="E2560" s="9" t="str">
        <f aca="false">HYPERLINK("https://twitter.com/uk_worldnews/status/922093447317721089","922093447317721089")</f>
        <v>922093447317721089</v>
      </c>
      <c r="F2560" s="10" t="s">
        <v>3042</v>
      </c>
      <c r="G2560" s="10" t="n">
        <v>1140</v>
      </c>
      <c r="H2560" s="10" t="n">
        <v>886</v>
      </c>
      <c r="I2560" s="10" t="n">
        <v>0</v>
      </c>
      <c r="J2560" s="10" t="n">
        <v>0</v>
      </c>
      <c r="K2560" s="10" t="s">
        <v>20</v>
      </c>
      <c r="L2560" s="11" t="n">
        <v>41691.4903819444</v>
      </c>
      <c r="M2560" s="12"/>
      <c r="N2560" s="12" t="s">
        <v>6483</v>
      </c>
      <c r="O2560" s="9" t="str">
        <f aca="false">HYPERLINK("https://pbs.twimg.com/profile_images/436950530964070400/VO-NlZAO_normal.png","View")</f>
        <v>View</v>
      </c>
      <c r="P2560" s="10"/>
    </row>
    <row r="2561" customFormat="false" ht="15.75" hidden="false" customHeight="false" outlineLevel="0" collapsed="false">
      <c r="A2561" s="6" t="n">
        <v>43030.2731597222</v>
      </c>
      <c r="B2561" s="7" t="str">
        <f aca="false">HYPERLINK("https://twitter.com/paranunca","@paranunca")</f>
        <v>@paranunca</v>
      </c>
      <c r="C2561" s="8" t="s">
        <v>6484</v>
      </c>
      <c r="D2561" s="8" t="s">
        <v>4984</v>
      </c>
      <c r="E2561" s="9" t="str">
        <f aca="false">HYPERLINK("https://twitter.com/paranunca/status/922093519187136513","922093519187136513")</f>
        <v>922093519187136513</v>
      </c>
      <c r="F2561" s="10" t="s">
        <v>98</v>
      </c>
      <c r="G2561" s="10" t="n">
        <v>23</v>
      </c>
      <c r="H2561" s="10" t="n">
        <v>97</v>
      </c>
      <c r="I2561" s="10" t="n">
        <v>187</v>
      </c>
      <c r="J2561" s="10" t="n">
        <v>0</v>
      </c>
      <c r="K2561" s="10" t="s">
        <v>20</v>
      </c>
      <c r="L2561" s="11" t="n">
        <v>40760.7536574074</v>
      </c>
      <c r="M2561" s="12" t="s">
        <v>353</v>
      </c>
      <c r="N2561" s="12"/>
      <c r="O2561" s="9" t="str">
        <f aca="false">HYPERLINK("https://pbs.twimg.com/profile_images/849715964736307200/Pw4D2dVr_normal.jpg","View")</f>
        <v>View</v>
      </c>
      <c r="P2561" s="10"/>
    </row>
    <row r="2562" customFormat="false" ht="15.75" hidden="false" customHeight="false" outlineLevel="0" collapsed="false">
      <c r="A2562" s="6" t="n">
        <v>43030.2734490741</v>
      </c>
      <c r="B2562" s="7" t="str">
        <f aca="false">HYPERLINK("https://twitter.com/eileen_tweets","@eileen_tweets")</f>
        <v>@eileen_tweets</v>
      </c>
      <c r="C2562" s="8" t="s">
        <v>6485</v>
      </c>
      <c r="D2562" s="8" t="s">
        <v>4984</v>
      </c>
      <c r="E2562" s="9" t="str">
        <f aca="false">HYPERLINK("https://twitter.com/eileen_tweets/status/922093625391177731","922093625391177731")</f>
        <v>922093625391177731</v>
      </c>
      <c r="F2562" s="10" t="s">
        <v>39</v>
      </c>
      <c r="G2562" s="10" t="n">
        <v>197</v>
      </c>
      <c r="H2562" s="10" t="n">
        <v>959</v>
      </c>
      <c r="I2562" s="10" t="n">
        <v>187</v>
      </c>
      <c r="J2562" s="10" t="n">
        <v>0</v>
      </c>
      <c r="K2562" s="10" t="s">
        <v>20</v>
      </c>
      <c r="L2562" s="11" t="n">
        <v>39919.3408333333</v>
      </c>
      <c r="M2562" s="12"/>
      <c r="N2562" s="12"/>
      <c r="O2562" s="9" t="str">
        <f aca="false">HYPERLINK("https://pbs.twimg.com/profile_images/755160362853535748/Z2k3jax5_normal.jpg","View")</f>
        <v>View</v>
      </c>
      <c r="P2562" s="10"/>
    </row>
    <row r="2563" customFormat="false" ht="15.75" hidden="false" customHeight="false" outlineLevel="0" collapsed="false">
      <c r="A2563" s="6" t="n">
        <v>43030.273599537</v>
      </c>
      <c r="B2563" s="7" t="str">
        <f aca="false">HYPERLINK("https://twitter.com/thcrpntrs","@thcrpntrs")</f>
        <v>@thcrpntrs</v>
      </c>
      <c r="C2563" s="8" t="s">
        <v>6486</v>
      </c>
      <c r="D2563" s="8" t="s">
        <v>4984</v>
      </c>
      <c r="E2563" s="9" t="str">
        <f aca="false">HYPERLINK("https://twitter.com/thcrpntrs/status/922093680793669632","922093680793669632")</f>
        <v>922093680793669632</v>
      </c>
      <c r="F2563" s="10" t="s">
        <v>25</v>
      </c>
      <c r="G2563" s="10" t="n">
        <v>170</v>
      </c>
      <c r="H2563" s="10" t="n">
        <v>149</v>
      </c>
      <c r="I2563" s="10" t="n">
        <v>187</v>
      </c>
      <c r="J2563" s="10" t="n">
        <v>0</v>
      </c>
      <c r="K2563" s="10" t="s">
        <v>20</v>
      </c>
      <c r="L2563" s="11" t="n">
        <v>40237.1616203704</v>
      </c>
      <c r="M2563" s="12"/>
      <c r="N2563" s="12"/>
      <c r="O2563" s="9" t="str">
        <f aca="false">HYPERLINK("https://pbs.twimg.com/profile_images/3219591613/0955565add8e4922ab979a2f8a7803c5_normal.jpeg","View")</f>
        <v>View</v>
      </c>
      <c r="P2563" s="10"/>
    </row>
    <row r="2564" customFormat="false" ht="15.75" hidden="false" customHeight="false" outlineLevel="0" collapsed="false">
      <c r="A2564" s="6" t="n">
        <v>43030.2736805556</v>
      </c>
      <c r="B2564" s="7" t="str">
        <f aca="false">HYPERLINK("https://twitter.com/Q8FIuBa1yXO9Aw2","@Q8FIuBa1yXO9Aw2")</f>
        <v>@Q8FIuBa1yXO9Aw2</v>
      </c>
      <c r="C2564" s="8" t="s">
        <v>6487</v>
      </c>
      <c r="D2564" s="8" t="s">
        <v>6488</v>
      </c>
      <c r="E2564" s="9" t="str">
        <f aca="false">HYPERLINK("https://twitter.com/Q8FIuBa1yXO9Aw2/status/922093710128615424","922093710128615424")</f>
        <v>922093710128615424</v>
      </c>
      <c r="F2564" s="10" t="s">
        <v>25</v>
      </c>
      <c r="G2564" s="10" t="n">
        <v>15</v>
      </c>
      <c r="H2564" s="10" t="n">
        <v>167</v>
      </c>
      <c r="I2564" s="10" t="n">
        <v>0</v>
      </c>
      <c r="J2564" s="10" t="n">
        <v>0</v>
      </c>
      <c r="K2564" s="10" t="s">
        <v>20</v>
      </c>
      <c r="L2564" s="11" t="n">
        <v>42422.5256018519</v>
      </c>
      <c r="M2564" s="12"/>
      <c r="N2564" s="12"/>
      <c r="O2564" s="9" t="str">
        <f aca="false">HYPERLINK("https://abs.twimg.com/sticky/default_profile_images/default_profile_normal.png","View")</f>
        <v>View</v>
      </c>
      <c r="P2564" s="10"/>
    </row>
    <row r="2565" customFormat="false" ht="15.75" hidden="false" customHeight="false" outlineLevel="0" collapsed="false">
      <c r="A2565" s="6" t="n">
        <v>43030.2741550926</v>
      </c>
      <c r="B2565" s="7" t="str">
        <f aca="false">HYPERLINK("https://twitter.com/AlexandraMulder","@AlexandraMulder")</f>
        <v>@AlexandraMulder</v>
      </c>
      <c r="C2565" s="8" t="s">
        <v>6489</v>
      </c>
      <c r="D2565" s="8" t="s">
        <v>4984</v>
      </c>
      <c r="E2565" s="9" t="str">
        <f aca="false">HYPERLINK("https://twitter.com/AlexandraMulder/status/922093882430623744","922093882430623744")</f>
        <v>922093882430623744</v>
      </c>
      <c r="F2565" s="10" t="s">
        <v>39</v>
      </c>
      <c r="G2565" s="10" t="n">
        <v>117</v>
      </c>
      <c r="H2565" s="10" t="n">
        <v>204</v>
      </c>
      <c r="I2565" s="10" t="n">
        <v>187</v>
      </c>
      <c r="J2565" s="10" t="n">
        <v>0</v>
      </c>
      <c r="K2565" s="10" t="s">
        <v>20</v>
      </c>
      <c r="L2565" s="11" t="n">
        <v>39902.1529861111</v>
      </c>
      <c r="M2565" s="12" t="s">
        <v>4097</v>
      </c>
      <c r="N2565" s="12" t="s">
        <v>6490</v>
      </c>
      <c r="O2565" s="9" t="str">
        <f aca="false">HYPERLINK("https://pbs.twimg.com/profile_images/741936325/34eb8f3ee5974a0f_m_normal.jpg","View")</f>
        <v>View</v>
      </c>
      <c r="P2565" s="10"/>
    </row>
    <row r="2566" customFormat="false" ht="15.75" hidden="false" customHeight="false" outlineLevel="0" collapsed="false">
      <c r="A2566" s="6" t="n">
        <v>43030.2746412037</v>
      </c>
      <c r="B2566" s="7" t="str">
        <f aca="false">HYPERLINK("https://twitter.com/thedailybeast","@thedailybeast")</f>
        <v>@thedailybeast</v>
      </c>
      <c r="C2566" s="8" t="s">
        <v>6491</v>
      </c>
      <c r="D2566" s="8" t="s">
        <v>6492</v>
      </c>
      <c r="E2566" s="9" t="str">
        <f aca="false">HYPERLINK("https://twitter.com/thedailybeast/status/922094056603308032","922094056603308032")</f>
        <v>922094056603308032</v>
      </c>
      <c r="F2566" s="10" t="s">
        <v>268</v>
      </c>
      <c r="G2566" s="10" t="n">
        <v>1111397</v>
      </c>
      <c r="H2566" s="10" t="n">
        <v>913</v>
      </c>
      <c r="I2566" s="10" t="n">
        <v>15</v>
      </c>
      <c r="J2566" s="10" t="n">
        <v>29</v>
      </c>
      <c r="K2566" s="10" t="s">
        <v>20</v>
      </c>
      <c r="L2566" s="11" t="n">
        <v>39687.3500231481</v>
      </c>
      <c r="M2566" s="12"/>
      <c r="N2566" s="12" t="s">
        <v>6493</v>
      </c>
      <c r="O2566" s="9" t="str">
        <f aca="false">HYPERLINK("https://pbs.twimg.com/profile_images/862673271212441600/u_DNSQ_Q_normal.jpg","View")</f>
        <v>View</v>
      </c>
      <c r="P2566" s="10"/>
    </row>
    <row r="2567" customFormat="false" ht="15.75" hidden="false" customHeight="false" outlineLevel="0" collapsed="false">
      <c r="A2567" s="6" t="n">
        <v>43030.2749305556</v>
      </c>
      <c r="B2567" s="7" t="str">
        <f aca="false">HYPERLINK("https://twitter.com/ngohcarol","@ngohcarol")</f>
        <v>@ngohcarol</v>
      </c>
      <c r="C2567" s="8" t="s">
        <v>6494</v>
      </c>
      <c r="D2567" s="8" t="s">
        <v>6495</v>
      </c>
      <c r="E2567" s="9" t="str">
        <f aca="false">HYPERLINK("https://twitter.com/ngohcarol/status/922094163142856704","922094163142856704")</f>
        <v>922094163142856704</v>
      </c>
      <c r="F2567" s="10" t="s">
        <v>51</v>
      </c>
      <c r="G2567" s="10" t="n">
        <v>40</v>
      </c>
      <c r="H2567" s="10" t="n">
        <v>272</v>
      </c>
      <c r="I2567" s="10" t="n">
        <v>15</v>
      </c>
      <c r="J2567" s="10" t="n">
        <v>0</v>
      </c>
      <c r="K2567" s="10" t="s">
        <v>20</v>
      </c>
      <c r="L2567" s="11" t="n">
        <v>42551.3123148148</v>
      </c>
      <c r="M2567" s="12"/>
      <c r="N2567" s="12"/>
      <c r="O2567" s="9" t="str">
        <f aca="false">HYPERLINK("https://pbs.twimg.com/profile_images/922302789585391617/zu2c5deR_normal.jpg","View")</f>
        <v>View</v>
      </c>
      <c r="P2567" s="10"/>
    </row>
    <row r="2568" customFormat="false" ht="15.75" hidden="false" customHeight="false" outlineLevel="0" collapsed="false">
      <c r="A2568" s="6" t="n">
        <v>43030.2750462963</v>
      </c>
      <c r="B2568" s="7" t="str">
        <f aca="false">HYPERLINK("https://twitter.com/BriegaliaAm","@BriegaliaAm")</f>
        <v>@BriegaliaAm</v>
      </c>
      <c r="C2568" s="8" t="s">
        <v>6496</v>
      </c>
      <c r="D2568" s="8" t="s">
        <v>6497</v>
      </c>
      <c r="E2568" s="9" t="str">
        <f aca="false">HYPERLINK("https://twitter.com/BriegaliaAm/status/922094203160608775","922094203160608775")</f>
        <v>922094203160608775</v>
      </c>
      <c r="F2568" s="9" t="s">
        <v>1147</v>
      </c>
      <c r="G2568" s="10" t="n">
        <v>77</v>
      </c>
      <c r="H2568" s="10" t="n">
        <v>408</v>
      </c>
      <c r="I2568" s="10" t="n">
        <v>0</v>
      </c>
      <c r="J2568" s="10" t="n">
        <v>0</v>
      </c>
      <c r="K2568" s="10" t="s">
        <v>20</v>
      </c>
      <c r="L2568" s="11" t="n">
        <v>42669.4299768519</v>
      </c>
      <c r="M2568" s="12" t="s">
        <v>491</v>
      </c>
      <c r="N2568" s="12" t="s">
        <v>6498</v>
      </c>
      <c r="O2568" s="9" t="str">
        <f aca="false">HYPERLINK("https://pbs.twimg.com/profile_images/822846200613322754/0EY8noFF_normal.jpg","View")</f>
        <v>View</v>
      </c>
      <c r="P2568" s="10"/>
    </row>
    <row r="2569" customFormat="false" ht="15.75" hidden="false" customHeight="false" outlineLevel="0" collapsed="false">
      <c r="A2569" s="6" t="n">
        <v>43030.275462963</v>
      </c>
      <c r="B2569" s="7" t="str">
        <f aca="false">HYPERLINK("https://twitter.com/rosti_rastelli","@rosti_rastelli")</f>
        <v>@rosti_rastelli</v>
      </c>
      <c r="C2569" s="8" t="s">
        <v>6499</v>
      </c>
      <c r="D2569" s="8" t="s">
        <v>6500</v>
      </c>
      <c r="E2569" s="9" t="str">
        <f aca="false">HYPERLINK("https://twitter.com/rosti_rastelli/status/922094353815916544","922094353815916544")</f>
        <v>922094353815916544</v>
      </c>
      <c r="F2569" s="10" t="s">
        <v>39</v>
      </c>
      <c r="G2569" s="10" t="n">
        <v>53</v>
      </c>
      <c r="H2569" s="10" t="n">
        <v>143</v>
      </c>
      <c r="I2569" s="10" t="n">
        <v>0</v>
      </c>
      <c r="J2569" s="10" t="n">
        <v>0</v>
      </c>
      <c r="K2569" s="10" t="s">
        <v>20</v>
      </c>
      <c r="L2569" s="11" t="n">
        <v>40065.427337963</v>
      </c>
      <c r="M2569" s="12"/>
      <c r="N2569" s="12"/>
      <c r="O2569" s="9" t="str">
        <f aca="false">HYPERLINK("https://pbs.twimg.com/profile_images/875433579752423425/N85KeX3K_normal.jpg","View")</f>
        <v>View</v>
      </c>
      <c r="P2569" s="10"/>
    </row>
    <row r="2570" customFormat="false" ht="15.75" hidden="false" customHeight="false" outlineLevel="0" collapsed="false">
      <c r="A2570" s="6" t="n">
        <v>43030.2755902778</v>
      </c>
      <c r="B2570" s="7" t="str">
        <f aca="false">HYPERLINK("https://twitter.com/DeepBro2","@DeepBro2")</f>
        <v>@DeepBro2</v>
      </c>
      <c r="C2570" s="8" t="s">
        <v>6501</v>
      </c>
      <c r="D2570" s="8" t="s">
        <v>3971</v>
      </c>
      <c r="E2570" s="9" t="str">
        <f aca="false">HYPERLINK("https://twitter.com/DeepBro2/status/922094402486657025","922094402486657025")</f>
        <v>922094402486657025</v>
      </c>
      <c r="F2570" s="10" t="s">
        <v>39</v>
      </c>
      <c r="G2570" s="10" t="n">
        <v>64</v>
      </c>
      <c r="H2570" s="10" t="n">
        <v>176</v>
      </c>
      <c r="I2570" s="10" t="n">
        <v>24</v>
      </c>
      <c r="J2570" s="10" t="n">
        <v>0</v>
      </c>
      <c r="K2570" s="10" t="s">
        <v>20</v>
      </c>
      <c r="L2570" s="11" t="n">
        <v>42950.8578240741</v>
      </c>
      <c r="M2570" s="12" t="s">
        <v>6502</v>
      </c>
      <c r="N2570" s="12" t="s">
        <v>6503</v>
      </c>
      <c r="O2570" s="9" t="str">
        <f aca="false">HYPERLINK("https://pbs.twimg.com/profile_images/912474324627607552/hg44my_s_normal.jpg","View")</f>
        <v>View</v>
      </c>
      <c r="P2570" s="10"/>
    </row>
    <row r="2571" customFormat="false" ht="15.75" hidden="false" customHeight="false" outlineLevel="0" collapsed="false">
      <c r="A2571" s="6" t="n">
        <v>43030.2756712963</v>
      </c>
      <c r="B2571" s="7" t="str">
        <f aca="false">HYPERLINK("https://twitter.com/JerryPolitex","@JerryPolitex")</f>
        <v>@JerryPolitex</v>
      </c>
      <c r="C2571" s="8" t="s">
        <v>6504</v>
      </c>
      <c r="D2571" s="8" t="s">
        <v>6495</v>
      </c>
      <c r="E2571" s="9" t="str">
        <f aca="false">HYPERLINK("https://twitter.com/JerryPolitex/status/922094431704113152","922094431704113152")</f>
        <v>922094431704113152</v>
      </c>
      <c r="F2571" s="10" t="s">
        <v>177</v>
      </c>
      <c r="G2571" s="10" t="n">
        <v>200</v>
      </c>
      <c r="H2571" s="10" t="n">
        <v>155</v>
      </c>
      <c r="I2571" s="10" t="n">
        <v>15</v>
      </c>
      <c r="J2571" s="10" t="n">
        <v>0</v>
      </c>
      <c r="K2571" s="10" t="s">
        <v>20</v>
      </c>
      <c r="L2571" s="11" t="n">
        <v>41084.3838888889</v>
      </c>
      <c r="M2571" s="12" t="s">
        <v>6505</v>
      </c>
      <c r="N2571" s="12" t="s">
        <v>6506</v>
      </c>
      <c r="O2571" s="9" t="str">
        <f aca="false">HYPERLINK("https://pbs.twimg.com/profile_images/2344723299/image_normal.jpg","View")</f>
        <v>View</v>
      </c>
      <c r="P2571" s="10"/>
    </row>
    <row r="2572" customFormat="false" ht="15.75" hidden="false" customHeight="false" outlineLevel="0" collapsed="false">
      <c r="A2572" s="6" t="n">
        <v>43030.2759027778</v>
      </c>
      <c r="B2572" s="7" t="str">
        <f aca="false">HYPERLINK("https://twitter.com/Fausto_Enrique","@Fausto_Enrique")</f>
        <v>@Fausto_Enrique</v>
      </c>
      <c r="C2572" s="8" t="s">
        <v>489</v>
      </c>
      <c r="D2572" s="8" t="s">
        <v>6507</v>
      </c>
      <c r="E2572" s="9" t="str">
        <f aca="false">HYPERLINK("https://twitter.com/Fausto_Enrique/status/922094513157533696","922094513157533696")</f>
        <v>922094513157533696</v>
      </c>
      <c r="F2572" s="10" t="s">
        <v>55</v>
      </c>
      <c r="G2572" s="10" t="n">
        <v>1077</v>
      </c>
      <c r="H2572" s="10" t="n">
        <v>536</v>
      </c>
      <c r="I2572" s="10" t="n">
        <v>0</v>
      </c>
      <c r="J2572" s="10" t="n">
        <v>0</v>
      </c>
      <c r="K2572" s="10" t="s">
        <v>20</v>
      </c>
      <c r="L2572" s="11" t="n">
        <v>39895.4433217593</v>
      </c>
      <c r="M2572" s="12" t="s">
        <v>491</v>
      </c>
      <c r="N2572" s="12" t="s">
        <v>492</v>
      </c>
      <c r="O2572" s="9" t="str">
        <f aca="false">HYPERLINK("https://pbs.twimg.com/profile_images/674424083304554496/istA5ef6_normal.jpg","View")</f>
        <v>View</v>
      </c>
      <c r="P2572" s="10"/>
    </row>
    <row r="2573" customFormat="false" ht="15.75" hidden="false" customHeight="false" outlineLevel="0" collapsed="false">
      <c r="A2573" s="6" t="n">
        <v>43030.2765046296</v>
      </c>
      <c r="B2573" s="7" t="str">
        <f aca="false">HYPERLINK("https://twitter.com/supra1Bqteam","@supra1Bqteam")</f>
        <v>@supra1Bqteam</v>
      </c>
      <c r="C2573" s="8" t="s">
        <v>1092</v>
      </c>
      <c r="D2573" s="8" t="s">
        <v>6508</v>
      </c>
      <c r="E2573" s="9" t="str">
        <f aca="false">HYPERLINK("https://twitter.com/supra1Bqteam/status/922094733979201536","922094733979201536")</f>
        <v>922094733979201536</v>
      </c>
      <c r="F2573" s="10" t="s">
        <v>60</v>
      </c>
      <c r="G2573" s="10" t="n">
        <v>29111</v>
      </c>
      <c r="H2573" s="10" t="n">
        <v>27568</v>
      </c>
      <c r="I2573" s="10" t="n">
        <v>0</v>
      </c>
      <c r="J2573" s="10" t="n">
        <v>0</v>
      </c>
      <c r="K2573" s="10" t="s">
        <v>20</v>
      </c>
      <c r="L2573" s="11" t="n">
        <v>40930.4692824074</v>
      </c>
      <c r="M2573" s="12" t="s">
        <v>1094</v>
      </c>
      <c r="N2573" s="12" t="s">
        <v>1095</v>
      </c>
      <c r="O2573" s="9" t="str">
        <f aca="false">HYPERLINK("https://pbs.twimg.com/profile_images/752065571068444672/dkKCTbsg_normal.jpg","View")</f>
        <v>View</v>
      </c>
      <c r="P2573" s="10"/>
    </row>
    <row r="2574" customFormat="false" ht="15.75" hidden="false" customHeight="false" outlineLevel="0" collapsed="false">
      <c r="A2574" s="6" t="n">
        <v>43030.2765856482</v>
      </c>
      <c r="B2574" s="7" t="str">
        <f aca="false">HYPERLINK("https://twitter.com/popokialoha","@popokialoha")</f>
        <v>@popokialoha</v>
      </c>
      <c r="C2574" s="8" t="s">
        <v>6509</v>
      </c>
      <c r="D2574" s="8" t="s">
        <v>6495</v>
      </c>
      <c r="E2574" s="9" t="str">
        <f aca="false">HYPERLINK("https://twitter.com/popokialoha/status/922094759962923008","922094759962923008")</f>
        <v>922094759962923008</v>
      </c>
      <c r="F2574" s="10" t="s">
        <v>177</v>
      </c>
      <c r="G2574" s="10" t="n">
        <v>174</v>
      </c>
      <c r="H2574" s="10" t="n">
        <v>64</v>
      </c>
      <c r="I2574" s="10" t="n">
        <v>15</v>
      </c>
      <c r="J2574" s="10" t="n">
        <v>0</v>
      </c>
      <c r="K2574" s="10" t="s">
        <v>20</v>
      </c>
      <c r="L2574" s="11" t="n">
        <v>41983.8601273148</v>
      </c>
      <c r="M2574" s="12"/>
      <c r="N2574" s="12"/>
      <c r="O2574" s="9" t="str">
        <f aca="false">HYPERLINK("https://pbs.twimg.com/profile_images/554872288596619264/T1HsxCOQ_normal.jpeg","View")</f>
        <v>View</v>
      </c>
      <c r="P2574" s="10"/>
    </row>
    <row r="2575" customFormat="false" ht="15.75" hidden="false" customHeight="false" outlineLevel="0" collapsed="false">
      <c r="A2575" s="6" t="n">
        <v>43030.2768634259</v>
      </c>
      <c r="B2575" s="7" t="str">
        <f aca="false">HYPERLINK("https://twitter.com/Eye_on_Pakistan","@Eye_on_Pakistan")</f>
        <v>@Eye_on_Pakistan</v>
      </c>
      <c r="C2575" s="8" t="s">
        <v>6262</v>
      </c>
      <c r="D2575" s="8" t="s">
        <v>6510</v>
      </c>
      <c r="E2575" s="9" t="str">
        <f aca="false">HYPERLINK("https://twitter.com/Eye_on_Pakistan/status/922094864237555713","922094864237555713")</f>
        <v>922094864237555713</v>
      </c>
      <c r="F2575" s="10" t="s">
        <v>60</v>
      </c>
      <c r="G2575" s="10" t="n">
        <v>588</v>
      </c>
      <c r="H2575" s="10" t="n">
        <v>498</v>
      </c>
      <c r="I2575" s="10" t="n">
        <v>0</v>
      </c>
      <c r="J2575" s="10" t="n">
        <v>0</v>
      </c>
      <c r="K2575" s="10" t="s">
        <v>20</v>
      </c>
      <c r="L2575" s="11" t="n">
        <v>42228.4194560185</v>
      </c>
      <c r="M2575" s="12" t="s">
        <v>6264</v>
      </c>
      <c r="N2575" s="12" t="s">
        <v>6265</v>
      </c>
      <c r="O2575" s="9" t="str">
        <f aca="false">HYPERLINK("https://pbs.twimg.com/profile_images/886146651328577537/KeaearDo_normal.jpg","View")</f>
        <v>View</v>
      </c>
      <c r="P2575" s="10"/>
    </row>
    <row r="2576" customFormat="false" ht="15.75" hidden="false" customHeight="false" outlineLevel="0" collapsed="false">
      <c r="A2576" s="6" t="n">
        <v>43030.2769097222</v>
      </c>
      <c r="B2576" s="7" t="str">
        <f aca="false">HYPERLINK("https://twitter.com/jackson_cox","@jackson_cox")</f>
        <v>@jackson_cox</v>
      </c>
      <c r="C2576" s="8" t="s">
        <v>6511</v>
      </c>
      <c r="D2576" s="8" t="s">
        <v>6512</v>
      </c>
      <c r="E2576" s="9" t="str">
        <f aca="false">HYPERLINK("https://twitter.com/jackson_cox/status/922094880951746560","922094880951746560")</f>
        <v>922094880951746560</v>
      </c>
      <c r="F2576" s="10" t="s">
        <v>177</v>
      </c>
      <c r="G2576" s="10" t="n">
        <v>176</v>
      </c>
      <c r="H2576" s="10" t="n">
        <v>153</v>
      </c>
      <c r="I2576" s="10" t="n">
        <v>0</v>
      </c>
      <c r="J2576" s="10" t="n">
        <v>0</v>
      </c>
      <c r="K2576" s="10" t="s">
        <v>20</v>
      </c>
      <c r="L2576" s="11" t="n">
        <v>39919.3231828704</v>
      </c>
      <c r="M2576" s="12" t="s">
        <v>4557</v>
      </c>
      <c r="N2576" s="12" t="s">
        <v>6513</v>
      </c>
      <c r="O2576" s="9" t="str">
        <f aca="false">HYPERLINK("https://pbs.twimg.com/profile_images/723554623450030080/H9VnragE_normal.jpg","View")</f>
        <v>View</v>
      </c>
      <c r="P2576" s="10"/>
    </row>
    <row r="2577" customFormat="false" ht="15.75" hidden="false" customHeight="false" outlineLevel="0" collapsed="false">
      <c r="A2577" s="6" t="n">
        <v>43030.2770486111</v>
      </c>
      <c r="B2577" s="7" t="str">
        <f aca="false">HYPERLINK("https://twitter.com/BettySp28857542","@BettySp28857542")</f>
        <v>@BettySp28857542</v>
      </c>
      <c r="C2577" s="8" t="s">
        <v>6514</v>
      </c>
      <c r="D2577" s="8" t="s">
        <v>6495</v>
      </c>
      <c r="E2577" s="9" t="str">
        <f aca="false">HYPERLINK("https://twitter.com/BettySp28857542/status/922094930121707520","922094930121707520")</f>
        <v>922094930121707520</v>
      </c>
      <c r="F2577" s="10" t="s">
        <v>51</v>
      </c>
      <c r="G2577" s="10" t="n">
        <v>140</v>
      </c>
      <c r="H2577" s="10" t="n">
        <v>499</v>
      </c>
      <c r="I2577" s="10" t="n">
        <v>15</v>
      </c>
      <c r="J2577" s="10" t="n">
        <v>0</v>
      </c>
      <c r="K2577" s="10" t="s">
        <v>20</v>
      </c>
      <c r="L2577" s="11" t="n">
        <v>42677.3596759259</v>
      </c>
      <c r="M2577" s="12" t="s">
        <v>6162</v>
      </c>
      <c r="N2577" s="12" t="s">
        <v>6515</v>
      </c>
      <c r="O2577" s="9" t="str">
        <f aca="false">HYPERLINK("https://pbs.twimg.com/profile_images/922155727644487681/JwC4vvmC_normal.jpg","View")</f>
        <v>View</v>
      </c>
      <c r="P2577" s="10"/>
    </row>
    <row r="2578" customFormat="false" ht="15.75" hidden="false" customHeight="false" outlineLevel="0" collapsed="false">
      <c r="A2578" s="6" t="n">
        <v>43030.2771759259</v>
      </c>
      <c r="B2578" s="7" t="str">
        <f aca="false">HYPERLINK("https://twitter.com/newsjsNA","@newsjsNA")</f>
        <v>@newsjsNA</v>
      </c>
      <c r="C2578" s="8" t="s">
        <v>6516</v>
      </c>
      <c r="D2578" s="8" t="s">
        <v>6517</v>
      </c>
      <c r="E2578" s="9" t="str">
        <f aca="false">HYPERLINK("https://twitter.com/newsjsNA/status/922094973561925637","922094973561925637")</f>
        <v>922094973561925637</v>
      </c>
      <c r="F2578" s="9" t="s">
        <v>1147</v>
      </c>
      <c r="G2578" s="10" t="n">
        <v>152</v>
      </c>
      <c r="H2578" s="10" t="n">
        <v>1058</v>
      </c>
      <c r="I2578" s="10" t="n">
        <v>0</v>
      </c>
      <c r="J2578" s="10" t="n">
        <v>0</v>
      </c>
      <c r="K2578" s="10" t="s">
        <v>20</v>
      </c>
      <c r="L2578" s="11" t="n">
        <v>41964.6505787037</v>
      </c>
      <c r="M2578" s="12" t="s">
        <v>6518</v>
      </c>
      <c r="N2578" s="12" t="s">
        <v>6519</v>
      </c>
      <c r="O2578" s="9" t="str">
        <f aca="false">HYPERLINK("https://pbs.twimg.com/profile_images/787715217241366528/TUwC5gqa_normal.jpg","View")</f>
        <v>View</v>
      </c>
      <c r="P2578" s="10"/>
    </row>
    <row r="2579" customFormat="false" ht="15.75" hidden="false" customHeight="false" outlineLevel="0" collapsed="false">
      <c r="A2579" s="6" t="n">
        <v>43030.2772800926</v>
      </c>
      <c r="B2579" s="7" t="str">
        <f aca="false">HYPERLINK("https://twitter.com/shankargallery","@shankargallery")</f>
        <v>@shankargallery</v>
      </c>
      <c r="C2579" s="8" t="s">
        <v>2072</v>
      </c>
      <c r="D2579" s="8" t="s">
        <v>6520</v>
      </c>
      <c r="E2579" s="9" t="str">
        <f aca="false">HYPERLINK("https://twitter.com/shankargallery/status/922095012720074753","922095012720074753")</f>
        <v>922095012720074753</v>
      </c>
      <c r="F2579" s="10" t="s">
        <v>2074</v>
      </c>
      <c r="G2579" s="10" t="n">
        <v>8532</v>
      </c>
      <c r="H2579" s="10" t="n">
        <v>8156</v>
      </c>
      <c r="I2579" s="10" t="n">
        <v>0</v>
      </c>
      <c r="J2579" s="10" t="n">
        <v>0</v>
      </c>
      <c r="K2579" s="10" t="s">
        <v>20</v>
      </c>
      <c r="L2579" s="11" t="n">
        <v>39213.5175925926</v>
      </c>
      <c r="M2579" s="12" t="s">
        <v>2075</v>
      </c>
      <c r="N2579" s="15" t="s">
        <v>2076</v>
      </c>
      <c r="O2579" s="9" t="str">
        <f aca="false">HYPERLINK("https://pbs.twimg.com/profile_images/476104395847790592/nQaMS96N_normal.jpeg","View")</f>
        <v>View</v>
      </c>
      <c r="P2579" s="10"/>
    </row>
    <row r="2580" customFormat="false" ht="15.75" hidden="false" customHeight="false" outlineLevel="0" collapsed="false">
      <c r="A2580" s="6" t="n">
        <v>43030.2778935185</v>
      </c>
      <c r="B2580" s="7" t="str">
        <f aca="false">HYPERLINK("https://twitter.com/hameln004","@hameln004")</f>
        <v>@hameln004</v>
      </c>
      <c r="C2580" s="8" t="s">
        <v>6521</v>
      </c>
      <c r="D2580" s="8" t="s">
        <v>6522</v>
      </c>
      <c r="E2580" s="9" t="str">
        <f aca="false">HYPERLINK("https://twitter.com/hameln004/status/922095235802337281","922095235802337281")</f>
        <v>922095235802337281</v>
      </c>
      <c r="F2580" s="10" t="s">
        <v>51</v>
      </c>
      <c r="G2580" s="10" t="n">
        <v>808</v>
      </c>
      <c r="H2580" s="10" t="n">
        <v>557</v>
      </c>
      <c r="I2580" s="10" t="n">
        <v>0</v>
      </c>
      <c r="J2580" s="10" t="n">
        <v>0</v>
      </c>
      <c r="K2580" s="10" t="s">
        <v>20</v>
      </c>
      <c r="L2580" s="11" t="n">
        <v>40295.9511921296</v>
      </c>
      <c r="M2580" s="12" t="s">
        <v>6523</v>
      </c>
      <c r="N2580" s="12" t="s">
        <v>6524</v>
      </c>
      <c r="O2580" s="9" t="str">
        <f aca="false">HYPERLINK("https://pbs.twimg.com/profile_images/853070422077657088/juCcx8Ky_normal.jpg","View")</f>
        <v>View</v>
      </c>
      <c r="P2580" s="10"/>
    </row>
    <row r="2581" customFormat="false" ht="15.75" hidden="false" customHeight="false" outlineLevel="0" collapsed="false">
      <c r="A2581" s="6" t="n">
        <v>43030.2779976852</v>
      </c>
      <c r="B2581" s="7" t="str">
        <f aca="false">HYPERLINK("https://twitter.com/danwibg","@danwibg")</f>
        <v>@danwibg</v>
      </c>
      <c r="C2581" s="8" t="s">
        <v>6525</v>
      </c>
      <c r="D2581" s="8" t="s">
        <v>6526</v>
      </c>
      <c r="E2581" s="9" t="str">
        <f aca="false">HYPERLINK("https://twitter.com/danwibg/status/922095273882652672","922095273882652672")</f>
        <v>922095273882652672</v>
      </c>
      <c r="F2581" s="10" t="s">
        <v>39</v>
      </c>
      <c r="G2581" s="10" t="n">
        <v>2642</v>
      </c>
      <c r="H2581" s="10" t="n">
        <v>1735</v>
      </c>
      <c r="I2581" s="10" t="n">
        <v>0</v>
      </c>
      <c r="J2581" s="10" t="n">
        <v>0</v>
      </c>
      <c r="K2581" s="10" t="s">
        <v>20</v>
      </c>
      <c r="L2581" s="11" t="n">
        <v>40007.3493287037</v>
      </c>
      <c r="M2581" s="12" t="s">
        <v>6527</v>
      </c>
      <c r="N2581" s="12" t="s">
        <v>6528</v>
      </c>
      <c r="O2581" s="9" t="str">
        <f aca="false">HYPERLINK("https://pbs.twimg.com/profile_images/734801644836249600/azsNv75c_normal.jpg","View")</f>
        <v>View</v>
      </c>
      <c r="P2581" s="10"/>
    </row>
    <row r="2582" customFormat="false" ht="15.75" hidden="false" customHeight="false" outlineLevel="0" collapsed="false">
      <c r="A2582" s="6" t="n">
        <v>43030.2784027778</v>
      </c>
      <c r="B2582" s="7" t="str">
        <f aca="false">HYPERLINK("https://twitter.com/isumitksinha","@isumitksinha")</f>
        <v>@isumitksinha</v>
      </c>
      <c r="C2582" s="8" t="s">
        <v>855</v>
      </c>
      <c r="D2582" s="8" t="s">
        <v>6529</v>
      </c>
      <c r="E2582" s="9" t="str">
        <f aca="false">HYPERLINK("https://twitter.com/isumitksinha/status/922095420855193600","922095420855193600")</f>
        <v>922095420855193600</v>
      </c>
      <c r="F2582" s="10" t="s">
        <v>55</v>
      </c>
      <c r="G2582" s="10" t="n">
        <v>821</v>
      </c>
      <c r="H2582" s="10" t="n">
        <v>110</v>
      </c>
      <c r="I2582" s="10" t="n">
        <v>0</v>
      </c>
      <c r="J2582" s="10" t="n">
        <v>0</v>
      </c>
      <c r="K2582" s="10" t="s">
        <v>20</v>
      </c>
      <c r="L2582" s="11" t="n">
        <v>40211.2578125</v>
      </c>
      <c r="M2582" s="12" t="s">
        <v>857</v>
      </c>
      <c r="N2582" s="12" t="s">
        <v>858</v>
      </c>
      <c r="O2582" s="9" t="str">
        <f aca="false">HYPERLINK("https://pbs.twimg.com/profile_images/662292972654870528/N3kLvWAZ_normal.jpg","View")</f>
        <v>View</v>
      </c>
      <c r="P2582" s="10"/>
    </row>
    <row r="2583" customFormat="false" ht="15.75" hidden="false" customHeight="false" outlineLevel="0" collapsed="false">
      <c r="A2583" s="6" t="n">
        <v>43030.2794791667</v>
      </c>
      <c r="B2583" s="7" t="str">
        <f aca="false">HYPERLINK("https://twitter.com/angeleyes0013","@angeleyes0013")</f>
        <v>@angeleyes0013</v>
      </c>
      <c r="C2583" s="8" t="s">
        <v>6530</v>
      </c>
      <c r="D2583" s="8" t="s">
        <v>6495</v>
      </c>
      <c r="E2583" s="9" t="str">
        <f aca="false">HYPERLINK("https://twitter.com/angeleyes0013/status/922095808069042176","922095808069042176")</f>
        <v>922095808069042176</v>
      </c>
      <c r="F2583" s="10" t="s">
        <v>25</v>
      </c>
      <c r="G2583" s="10" t="n">
        <v>794</v>
      </c>
      <c r="H2583" s="10" t="n">
        <v>3415</v>
      </c>
      <c r="I2583" s="10" t="n">
        <v>15</v>
      </c>
      <c r="J2583" s="10" t="n">
        <v>0</v>
      </c>
      <c r="K2583" s="10" t="s">
        <v>20</v>
      </c>
      <c r="L2583" s="11" t="n">
        <v>40623.3687847222</v>
      </c>
      <c r="M2583" s="12" t="s">
        <v>6531</v>
      </c>
      <c r="N2583" s="12"/>
      <c r="O2583" s="9" t="str">
        <f aca="false">HYPERLINK("https://pbs.twimg.com/profile_images/796052095728136192/b0xo82y2_normal.jpg","View")</f>
        <v>View</v>
      </c>
      <c r="P2583" s="10"/>
    </row>
    <row r="2584" customFormat="false" ht="15.75" hidden="false" customHeight="false" outlineLevel="0" collapsed="false">
      <c r="A2584" s="6" t="n">
        <v>43030.279837963</v>
      </c>
      <c r="B2584" s="7" t="str">
        <f aca="false">HYPERLINK("https://twitter.com/Gatsby75","@Gatsby75")</f>
        <v>@Gatsby75</v>
      </c>
      <c r="C2584" s="8" t="s">
        <v>6532</v>
      </c>
      <c r="D2584" s="8" t="s">
        <v>6495</v>
      </c>
      <c r="E2584" s="9" t="str">
        <f aca="false">HYPERLINK("https://twitter.com/Gatsby75/status/922095938293952545","922095938293952545")</f>
        <v>922095938293952545</v>
      </c>
      <c r="F2584" s="10" t="s">
        <v>1017</v>
      </c>
      <c r="G2584" s="10" t="n">
        <v>292</v>
      </c>
      <c r="H2584" s="10" t="n">
        <v>951</v>
      </c>
      <c r="I2584" s="10" t="n">
        <v>15</v>
      </c>
      <c r="J2584" s="10" t="n">
        <v>0</v>
      </c>
      <c r="K2584" s="10" t="s">
        <v>20</v>
      </c>
      <c r="L2584" s="11" t="n">
        <v>39994.4310532407</v>
      </c>
      <c r="M2584" s="12" t="s">
        <v>1964</v>
      </c>
      <c r="N2584" s="12" t="s">
        <v>6533</v>
      </c>
      <c r="O2584" s="9" t="str">
        <f aca="false">HYPERLINK("https://pbs.twimg.com/profile_images/515540173967196161/MybbTQUF_normal.jpeg","View")</f>
        <v>View</v>
      </c>
      <c r="P2584" s="10"/>
    </row>
    <row r="2585" customFormat="false" ht="15.75" hidden="false" customHeight="false" outlineLevel="0" collapsed="false">
      <c r="A2585" s="6" t="n">
        <v>43030.280150463</v>
      </c>
      <c r="B2585" s="7" t="str">
        <f aca="false">HYPERLINK("https://twitter.com/shalin5960","@shalin5960")</f>
        <v>@shalin5960</v>
      </c>
      <c r="C2585" s="8" t="s">
        <v>812</v>
      </c>
      <c r="D2585" s="8" t="s">
        <v>6534</v>
      </c>
      <c r="E2585" s="9" t="str">
        <f aca="false">HYPERLINK("https://twitter.com/shalin5960/status/922096054232809472","922096054232809472")</f>
        <v>922096054232809472</v>
      </c>
      <c r="F2585" s="10" t="s">
        <v>60</v>
      </c>
      <c r="G2585" s="10" t="n">
        <v>235</v>
      </c>
      <c r="H2585" s="10" t="n">
        <v>167</v>
      </c>
      <c r="I2585" s="10" t="n">
        <v>0</v>
      </c>
      <c r="J2585" s="10" t="n">
        <v>0</v>
      </c>
      <c r="K2585" s="10" t="s">
        <v>20</v>
      </c>
      <c r="L2585" s="11" t="n">
        <v>40276.4158564815</v>
      </c>
      <c r="M2585" s="12" t="s">
        <v>814</v>
      </c>
      <c r="N2585" s="12" t="s">
        <v>815</v>
      </c>
      <c r="O2585" s="9" t="str">
        <f aca="false">HYPERLINK("https://pbs.twimg.com/profile_images/883907510070935552/d2p-brHu_normal.jpg","View")</f>
        <v>View</v>
      </c>
      <c r="P2585" s="10"/>
    </row>
    <row r="2586" customFormat="false" ht="15.75" hidden="false" customHeight="false" outlineLevel="0" collapsed="false">
      <c r="A2586" s="6" t="n">
        <v>43030.2806134259</v>
      </c>
      <c r="B2586" s="7" t="str">
        <f aca="false">HYPERLINK("https://twitter.com/danwibg","@danwibg")</f>
        <v>@danwibg</v>
      </c>
      <c r="C2586" s="8" t="s">
        <v>6525</v>
      </c>
      <c r="D2586" s="8" t="s">
        <v>6535</v>
      </c>
      <c r="E2586" s="9" t="str">
        <f aca="false">HYPERLINK("https://twitter.com/danwibg/status/922096220360888321","922096220360888321")</f>
        <v>922096220360888321</v>
      </c>
      <c r="F2586" s="10" t="s">
        <v>39</v>
      </c>
      <c r="G2586" s="10" t="n">
        <v>2642</v>
      </c>
      <c r="H2586" s="10" t="n">
        <v>1735</v>
      </c>
      <c r="I2586" s="10" t="n">
        <v>0</v>
      </c>
      <c r="J2586" s="10" t="n">
        <v>0</v>
      </c>
      <c r="K2586" s="10" t="s">
        <v>20</v>
      </c>
      <c r="L2586" s="11" t="n">
        <v>40007.3493287037</v>
      </c>
      <c r="M2586" s="12" t="s">
        <v>6527</v>
      </c>
      <c r="N2586" s="12" t="s">
        <v>6528</v>
      </c>
      <c r="O2586" s="9" t="str">
        <f aca="false">HYPERLINK("https://pbs.twimg.com/profile_images/734801644836249600/azsNv75c_normal.jpg","View")</f>
        <v>View</v>
      </c>
      <c r="P2586" s="10"/>
    </row>
    <row r="2587" customFormat="false" ht="15.75" hidden="false" customHeight="false" outlineLevel="0" collapsed="false">
      <c r="A2587" s="6" t="n">
        <v>43030.2808217593</v>
      </c>
      <c r="B2587" s="7" t="str">
        <f aca="false">HYPERLINK("https://twitter.com/lucidezbr","@lucidezbr")</f>
        <v>@lucidezbr</v>
      </c>
      <c r="C2587" s="8" t="s">
        <v>2050</v>
      </c>
      <c r="D2587" s="8" t="s">
        <v>6536</v>
      </c>
      <c r="E2587" s="9" t="str">
        <f aca="false">HYPERLINK("https://twitter.com/lucidezbr/status/922096296755855366","922096296755855366")</f>
        <v>922096296755855366</v>
      </c>
      <c r="F2587" s="10" t="s">
        <v>39</v>
      </c>
      <c r="G2587" s="10" t="n">
        <v>572</v>
      </c>
      <c r="H2587" s="10" t="n">
        <v>2694</v>
      </c>
      <c r="I2587" s="10" t="n">
        <v>0</v>
      </c>
      <c r="J2587" s="10" t="n">
        <v>0</v>
      </c>
      <c r="K2587" s="10" t="s">
        <v>20</v>
      </c>
      <c r="L2587" s="11" t="n">
        <v>41297.39375</v>
      </c>
      <c r="M2587" s="12" t="s">
        <v>2052</v>
      </c>
      <c r="N2587" s="12" t="s">
        <v>2053</v>
      </c>
      <c r="O2587" s="9" t="str">
        <f aca="false">HYPERLINK("https://pbs.twimg.com/profile_images/840126790349684736/6dibuOvr_normal.jpg","View")</f>
        <v>View</v>
      </c>
      <c r="P2587" s="10"/>
    </row>
    <row r="2588" customFormat="false" ht="15.75" hidden="false" customHeight="false" outlineLevel="0" collapsed="false">
      <c r="A2588" s="6" t="n">
        <v>43030.2808680556</v>
      </c>
      <c r="B2588" s="7" t="str">
        <f aca="false">HYPERLINK("https://twitter.com/TheAllRadar","@TheAllRadar")</f>
        <v>@TheAllRadar</v>
      </c>
      <c r="C2588" s="8" t="s">
        <v>4979</v>
      </c>
      <c r="D2588" s="8" t="s">
        <v>6537</v>
      </c>
      <c r="E2588" s="9" t="str">
        <f aca="false">HYPERLINK("https://twitter.com/TheAllRadar/status/922096315361845249","922096315361845249")</f>
        <v>922096315361845249</v>
      </c>
      <c r="F2588" s="10" t="s">
        <v>55</v>
      </c>
      <c r="G2588" s="10" t="n">
        <v>430</v>
      </c>
      <c r="H2588" s="10" t="n">
        <v>175</v>
      </c>
      <c r="I2588" s="10" t="n">
        <v>0</v>
      </c>
      <c r="J2588" s="10" t="n">
        <v>0</v>
      </c>
      <c r="K2588" s="10" t="s">
        <v>20</v>
      </c>
      <c r="L2588" s="11" t="n">
        <v>40604.2396990741</v>
      </c>
      <c r="M2588" s="12" t="s">
        <v>4981</v>
      </c>
      <c r="N2588" s="12" t="s">
        <v>4982</v>
      </c>
      <c r="O2588" s="9" t="str">
        <f aca="false">HYPERLINK("https://pbs.twimg.com/profile_images/2138389350/MBF_Twitter_Prof_normal.jpg","View")</f>
        <v>View</v>
      </c>
      <c r="P2588" s="10"/>
    </row>
    <row r="2589" customFormat="false" ht="15.75" hidden="false" customHeight="false" outlineLevel="0" collapsed="false">
      <c r="A2589" s="6" t="n">
        <v>43030.2808912037</v>
      </c>
      <c r="B2589" s="7" t="str">
        <f aca="false">HYPERLINK("https://twitter.com/swarnsaurabh","@swarnsaurabh")</f>
        <v>@swarnsaurabh</v>
      </c>
      <c r="C2589" s="8" t="s">
        <v>6538</v>
      </c>
      <c r="D2589" s="8" t="s">
        <v>6539</v>
      </c>
      <c r="E2589" s="9" t="str">
        <f aca="false">HYPERLINK("https://twitter.com/swarnsaurabh/status/922096322114568192","922096322114568192")</f>
        <v>922096322114568192</v>
      </c>
      <c r="F2589" s="10" t="s">
        <v>39</v>
      </c>
      <c r="G2589" s="10" t="n">
        <v>8</v>
      </c>
      <c r="H2589" s="10" t="n">
        <v>306</v>
      </c>
      <c r="I2589" s="10" t="n">
        <v>0</v>
      </c>
      <c r="J2589" s="10" t="n">
        <v>0</v>
      </c>
      <c r="K2589" s="10" t="s">
        <v>20</v>
      </c>
      <c r="L2589" s="11" t="n">
        <v>41972.9335185185</v>
      </c>
      <c r="M2589" s="12"/>
      <c r="N2589" s="12"/>
      <c r="O2589" s="9" t="str">
        <f aca="false">HYPERLINK("https://abs.twimg.com/sticky/default_profile_images/default_profile_normal.png","View")</f>
        <v>View</v>
      </c>
      <c r="P2589" s="10"/>
    </row>
    <row r="2590" customFormat="false" ht="15.75" hidden="false" customHeight="false" outlineLevel="0" collapsed="false">
      <c r="A2590" s="6" t="n">
        <v>43030.2811805556</v>
      </c>
      <c r="B2590" s="7" t="str">
        <f aca="false">HYPERLINK("https://twitter.com/Knjshiraishi","@Knjshiraishi")</f>
        <v>@Knjshiraishi</v>
      </c>
      <c r="C2590" s="8" t="s">
        <v>6540</v>
      </c>
      <c r="D2590" s="8" t="s">
        <v>4984</v>
      </c>
      <c r="E2590" s="9" t="str">
        <f aca="false">HYPERLINK("https://twitter.com/Knjshiraishi/status/922096425424449537","922096425424449537")</f>
        <v>922096425424449537</v>
      </c>
      <c r="F2590" s="10" t="s">
        <v>98</v>
      </c>
      <c r="G2590" s="10" t="n">
        <v>3435</v>
      </c>
      <c r="H2590" s="10" t="n">
        <v>129</v>
      </c>
      <c r="I2590" s="10" t="n">
        <v>187</v>
      </c>
      <c r="J2590" s="10" t="n">
        <v>0</v>
      </c>
      <c r="K2590" s="10" t="s">
        <v>20</v>
      </c>
      <c r="L2590" s="11" t="n">
        <v>42061.7466550926</v>
      </c>
      <c r="M2590" s="12" t="s">
        <v>295</v>
      </c>
      <c r="N2590" s="12" t="s">
        <v>6541</v>
      </c>
      <c r="O2590" s="9" t="str">
        <f aca="false">HYPERLINK("https://pbs.twimg.com/profile_images/571127046584029184/tK4TQmxc_normal.jpeg","View")</f>
        <v>View</v>
      </c>
      <c r="P2590" s="10"/>
    </row>
    <row r="2591" customFormat="false" ht="15.75" hidden="false" customHeight="false" outlineLevel="0" collapsed="false">
      <c r="A2591" s="6" t="n">
        <v>43030.2815393519</v>
      </c>
      <c r="B2591" s="7" t="str">
        <f aca="false">HYPERLINK("https://twitter.com/socialskill714","@socialskill714")</f>
        <v>@socialskill714</v>
      </c>
      <c r="C2591" s="8" t="s">
        <v>6542</v>
      </c>
      <c r="D2591" s="8" t="s">
        <v>4984</v>
      </c>
      <c r="E2591" s="9" t="str">
        <f aca="false">HYPERLINK("https://twitter.com/socialskill714/status/922096557926768640","922096557926768640")</f>
        <v>922096557926768640</v>
      </c>
      <c r="F2591" s="10" t="s">
        <v>25</v>
      </c>
      <c r="G2591" s="10" t="n">
        <v>92</v>
      </c>
      <c r="H2591" s="10" t="n">
        <v>252</v>
      </c>
      <c r="I2591" s="10" t="n">
        <v>187</v>
      </c>
      <c r="J2591" s="10" t="n">
        <v>0</v>
      </c>
      <c r="K2591" s="10" t="s">
        <v>20</v>
      </c>
      <c r="L2591" s="11" t="n">
        <v>42651.9181828704</v>
      </c>
      <c r="M2591" s="13" t="s">
        <v>6543</v>
      </c>
      <c r="N2591" s="13" t="s">
        <v>6544</v>
      </c>
      <c r="O2591" s="9" t="str">
        <f aca="false">HYPERLINK("https://pbs.twimg.com/profile_images/882438367140392960/ySU9A2fk_normal.jpg","View")</f>
        <v>View</v>
      </c>
      <c r="P2591" s="10"/>
    </row>
    <row r="2592" customFormat="false" ht="15.75" hidden="false" customHeight="false" outlineLevel="0" collapsed="false">
      <c r="A2592" s="6" t="n">
        <v>43030.2823263889</v>
      </c>
      <c r="B2592" s="7" t="str">
        <f aca="false">HYPERLINK("https://twitter.com/livemint","@livemint")</f>
        <v>@livemint</v>
      </c>
      <c r="C2592" s="8" t="s">
        <v>816</v>
      </c>
      <c r="D2592" s="8" t="s">
        <v>6545</v>
      </c>
      <c r="E2592" s="9" t="str">
        <f aca="false">HYPERLINK("https://twitter.com/livemint/status/922096842682327040","922096842682327040")</f>
        <v>922096842682327040</v>
      </c>
      <c r="F2592" s="10" t="s">
        <v>60</v>
      </c>
      <c r="G2592" s="10" t="n">
        <v>1692767</v>
      </c>
      <c r="H2592" s="10" t="n">
        <v>352</v>
      </c>
      <c r="I2592" s="10" t="n">
        <v>65</v>
      </c>
      <c r="J2592" s="10" t="n">
        <v>167</v>
      </c>
      <c r="K2592" s="10" t="s">
        <v>20</v>
      </c>
      <c r="L2592" s="11" t="n">
        <v>39779.0469675926</v>
      </c>
      <c r="M2592" s="12" t="s">
        <v>72</v>
      </c>
      <c r="N2592" s="12" t="s">
        <v>818</v>
      </c>
      <c r="O2592" s="9" t="str">
        <f aca="false">HYPERLINK("https://pbs.twimg.com/profile_images/786768566280458240/10bMmNvU_normal.jpg","View")</f>
        <v>View</v>
      </c>
      <c r="P2592" s="10"/>
    </row>
    <row r="2593" customFormat="false" ht="15.75" hidden="false" customHeight="false" outlineLevel="0" collapsed="false">
      <c r="A2593" s="6" t="n">
        <v>43030.2823958333</v>
      </c>
      <c r="B2593" s="7" t="str">
        <f aca="false">HYPERLINK("https://twitter.com/AhmadAlharami","@AhmadAlharami")</f>
        <v>@AhmadAlharami</v>
      </c>
      <c r="C2593" s="8" t="s">
        <v>6546</v>
      </c>
      <c r="D2593" s="8" t="s">
        <v>4124</v>
      </c>
      <c r="E2593" s="9" t="str">
        <f aca="false">HYPERLINK("https://twitter.com/AhmadAlharami/status/922096868443787264","922096868443787264")</f>
        <v>922096868443787264</v>
      </c>
      <c r="F2593" s="10" t="s">
        <v>25</v>
      </c>
      <c r="G2593" s="10" t="n">
        <v>0</v>
      </c>
      <c r="H2593" s="10" t="n">
        <v>35</v>
      </c>
      <c r="I2593" s="10" t="n">
        <v>111</v>
      </c>
      <c r="J2593" s="10" t="n">
        <v>0</v>
      </c>
      <c r="K2593" s="10" t="s">
        <v>20</v>
      </c>
      <c r="L2593" s="11" t="n">
        <v>42878.3209837963</v>
      </c>
      <c r="M2593" s="12" t="s">
        <v>6547</v>
      </c>
      <c r="N2593" s="12"/>
      <c r="O2593" s="9" t="str">
        <f aca="false">HYPERLINK("https://pbs.twimg.com/profile_images/867028820787900417/M_bLg7E8_normal.jpg","View")</f>
        <v>View</v>
      </c>
      <c r="P2593" s="10"/>
    </row>
    <row r="2594" customFormat="false" ht="15.75" hidden="false" customHeight="false" outlineLevel="0" collapsed="false">
      <c r="A2594" s="6" t="n">
        <v>43030.2823958333</v>
      </c>
      <c r="B2594" s="7" t="str">
        <f aca="false">HYPERLINK("https://twitter.com/Shopall3","@Shopall3")</f>
        <v>@Shopall3</v>
      </c>
      <c r="C2594" s="8" t="s">
        <v>2814</v>
      </c>
      <c r="D2594" s="8" t="s">
        <v>6548</v>
      </c>
      <c r="E2594" s="9" t="str">
        <f aca="false">HYPERLINK("https://twitter.com/Shopall3/status/922096868728897539","922096868728897539")</f>
        <v>922096868728897539</v>
      </c>
      <c r="F2594" s="10" t="s">
        <v>2816</v>
      </c>
      <c r="G2594" s="10" t="n">
        <v>735</v>
      </c>
      <c r="H2594" s="10" t="n">
        <v>17</v>
      </c>
      <c r="I2594" s="10" t="n">
        <v>0</v>
      </c>
      <c r="J2594" s="10" t="n">
        <v>0</v>
      </c>
      <c r="K2594" s="10" t="s">
        <v>20</v>
      </c>
      <c r="L2594" s="11" t="n">
        <v>42299.6523032407</v>
      </c>
      <c r="M2594" s="12"/>
      <c r="N2594" s="12"/>
      <c r="O2594" s="9" t="str">
        <f aca="false">HYPERLINK("https://pbs.twimg.com/profile_images/663617884665618432/D9P9B9pu_normal.png","View")</f>
        <v>View</v>
      </c>
      <c r="P2594" s="10"/>
    </row>
    <row r="2595" customFormat="false" ht="15.75" hidden="false" customHeight="false" outlineLevel="0" collapsed="false">
      <c r="A2595" s="6" t="n">
        <v>43030.2824652778</v>
      </c>
      <c r="B2595" s="7" t="str">
        <f aca="false">HYPERLINK("https://twitter.com/IAS_Gurukul","@IAS_Gurukul")</f>
        <v>@IAS_Gurukul</v>
      </c>
      <c r="C2595" s="8" t="s">
        <v>838</v>
      </c>
      <c r="D2595" s="8" t="s">
        <v>6549</v>
      </c>
      <c r="E2595" s="9" t="str">
        <f aca="false">HYPERLINK("https://twitter.com/IAS_Gurukul/status/922096891160129537","922096891160129537")</f>
        <v>922096891160129537</v>
      </c>
      <c r="F2595" s="10" t="s">
        <v>60</v>
      </c>
      <c r="G2595" s="10" t="n">
        <v>165</v>
      </c>
      <c r="H2595" s="10" t="n">
        <v>70</v>
      </c>
      <c r="I2595" s="10" t="n">
        <v>0</v>
      </c>
      <c r="J2595" s="10" t="n">
        <v>0</v>
      </c>
      <c r="K2595" s="10" t="s">
        <v>20</v>
      </c>
      <c r="L2595" s="11" t="n">
        <v>42635.8370486111</v>
      </c>
      <c r="M2595" s="12" t="s">
        <v>64</v>
      </c>
      <c r="N2595" s="12" t="s">
        <v>840</v>
      </c>
      <c r="O2595" s="9" t="str">
        <f aca="false">HYPERLINK("https://pbs.twimg.com/profile_images/898138063557214209/uxDcvkn3_normal.jpg","View")</f>
        <v>View</v>
      </c>
      <c r="P2595" s="10"/>
    </row>
    <row r="2596" customFormat="false" ht="15.75" hidden="false" customHeight="false" outlineLevel="0" collapsed="false">
      <c r="A2596" s="6" t="n">
        <v>43030.2825462963</v>
      </c>
      <c r="B2596" s="7" t="str">
        <f aca="false">HYPERLINK("https://twitter.com/q_o_one","@q_o_one")</f>
        <v>@q_o_one</v>
      </c>
      <c r="C2596" s="14" t="s">
        <v>6550</v>
      </c>
      <c r="D2596" s="8" t="s">
        <v>3646</v>
      </c>
      <c r="E2596" s="9" t="str">
        <f aca="false">HYPERLINK("https://twitter.com/q_o_one/status/922096919966388225","922096919966388225")</f>
        <v>922096919966388225</v>
      </c>
      <c r="F2596" s="10" t="s">
        <v>98</v>
      </c>
      <c r="G2596" s="10" t="n">
        <v>168</v>
      </c>
      <c r="H2596" s="10" t="n">
        <v>5</v>
      </c>
      <c r="I2596" s="10" t="n">
        <v>71</v>
      </c>
      <c r="J2596" s="10" t="n">
        <v>0</v>
      </c>
      <c r="K2596" s="10" t="s">
        <v>20</v>
      </c>
      <c r="L2596" s="11" t="n">
        <v>41352.3508333333</v>
      </c>
      <c r="M2596" s="13" t="s">
        <v>6551</v>
      </c>
      <c r="N2596" s="13" t="s">
        <v>6552</v>
      </c>
      <c r="O2596" s="9" t="str">
        <f aca="false">HYPERLINK("https://pbs.twimg.com/profile_images/754890641511809025/Va1XOENI_normal.jpg","View")</f>
        <v>View</v>
      </c>
      <c r="P2596" s="10"/>
    </row>
    <row r="2597" customFormat="false" ht="15.75" hidden="false" customHeight="false" outlineLevel="0" collapsed="false">
      <c r="A2597" s="6" t="n">
        <v>43030.2826388889</v>
      </c>
      <c r="B2597" s="7" t="str">
        <f aca="false">HYPERLINK("https://twitter.com/Mondestuff","@Mondestuff")</f>
        <v>@Mondestuff</v>
      </c>
      <c r="C2597" s="8" t="s">
        <v>2975</v>
      </c>
      <c r="D2597" s="8" t="s">
        <v>6553</v>
      </c>
      <c r="E2597" s="9" t="str">
        <f aca="false">HYPERLINK("https://twitter.com/Mondestuff/status/922096953235791873","922096953235791873")</f>
        <v>922096953235791873</v>
      </c>
      <c r="F2597" s="10" t="s">
        <v>60</v>
      </c>
      <c r="G2597" s="10" t="n">
        <v>333</v>
      </c>
      <c r="H2597" s="10" t="n">
        <v>1780</v>
      </c>
      <c r="I2597" s="10" t="n">
        <v>0</v>
      </c>
      <c r="J2597" s="10" t="n">
        <v>0</v>
      </c>
      <c r="K2597" s="10" t="s">
        <v>20</v>
      </c>
      <c r="L2597" s="11" t="n">
        <v>42379.9227199074</v>
      </c>
      <c r="M2597" s="12"/>
      <c r="N2597" s="12"/>
      <c r="O2597" s="9" t="str">
        <f aca="false">HYPERLINK("https://pbs.twimg.com/profile_images/914202709212975104/aDTP0-5n_normal.jpg","View")</f>
        <v>View</v>
      </c>
      <c r="P2597" s="10"/>
    </row>
    <row r="2598" customFormat="false" ht="15.75" hidden="false" customHeight="false" outlineLevel="0" collapsed="false">
      <c r="A2598" s="6" t="n">
        <v>43030.282662037</v>
      </c>
      <c r="B2598" s="7" t="str">
        <f aca="false">HYPERLINK("https://twitter.com/n00bki11er","@n00bki11er")</f>
        <v>@n00bki11er</v>
      </c>
      <c r="C2598" s="14" t="s">
        <v>6554</v>
      </c>
      <c r="D2598" s="8" t="s">
        <v>4984</v>
      </c>
      <c r="E2598" s="9" t="str">
        <f aca="false">HYPERLINK("https://twitter.com/n00bki11er/status/922096964166082560","922096964166082560")</f>
        <v>922096964166082560</v>
      </c>
      <c r="F2598" s="10" t="s">
        <v>39</v>
      </c>
      <c r="G2598" s="10" t="n">
        <v>33</v>
      </c>
      <c r="H2598" s="10" t="n">
        <v>313</v>
      </c>
      <c r="I2598" s="10" t="n">
        <v>187</v>
      </c>
      <c r="J2598" s="10" t="n">
        <v>0</v>
      </c>
      <c r="K2598" s="10" t="s">
        <v>20</v>
      </c>
      <c r="L2598" s="11" t="n">
        <v>40591.0392708333</v>
      </c>
      <c r="M2598" s="12" t="s">
        <v>6555</v>
      </c>
      <c r="N2598" s="13" t="s">
        <v>6556</v>
      </c>
      <c r="O2598" s="9" t="str">
        <f aca="false">HYPERLINK("https://pbs.twimg.com/profile_images/847878873228259329/orXyBxqI_normal.jpg","View")</f>
        <v>View</v>
      </c>
      <c r="P2598" s="10"/>
    </row>
    <row r="2599" customFormat="false" ht="15.75" hidden="false" customHeight="false" outlineLevel="0" collapsed="false">
      <c r="A2599" s="6" t="n">
        <v>43030.2826736111</v>
      </c>
      <c r="B2599" s="7" t="str">
        <f aca="false">HYPERLINK("https://twitter.com/arjundm","@arjundm")</f>
        <v>@arjundm</v>
      </c>
      <c r="C2599" s="8" t="s">
        <v>6557</v>
      </c>
      <c r="D2599" s="8" t="s">
        <v>6558</v>
      </c>
      <c r="E2599" s="9" t="str">
        <f aca="false">HYPERLINK("https://twitter.com/arjundm/status/922096965999046656","922096965999046656")</f>
        <v>922096965999046656</v>
      </c>
      <c r="F2599" s="10" t="s">
        <v>25</v>
      </c>
      <c r="G2599" s="10" t="n">
        <v>485</v>
      </c>
      <c r="H2599" s="10" t="n">
        <v>380</v>
      </c>
      <c r="I2599" s="10" t="n">
        <v>65</v>
      </c>
      <c r="J2599" s="10" t="n">
        <v>0</v>
      </c>
      <c r="K2599" s="10" t="s">
        <v>20</v>
      </c>
      <c r="L2599" s="11" t="n">
        <v>40154.0788425926</v>
      </c>
      <c r="M2599" s="12"/>
      <c r="N2599" s="12" t="s">
        <v>6559</v>
      </c>
      <c r="O2599" s="9" t="str">
        <f aca="false">HYPERLINK("https://pbs.twimg.com/profile_images/922481120750571522/BjUivS8I_normal.jpg","View")</f>
        <v>View</v>
      </c>
      <c r="P2599" s="10"/>
    </row>
    <row r="2600" customFormat="false" ht="15.75" hidden="false" customHeight="false" outlineLevel="0" collapsed="false">
      <c r="A2600" s="6" t="n">
        <v>43030.2826967593</v>
      </c>
      <c r="B2600" s="7" t="str">
        <f aca="false">HYPERLINK("https://twitter.com/telaforbinmola","@telaforbinmola")</f>
        <v>@telaforbinmola</v>
      </c>
      <c r="C2600" s="8" t="s">
        <v>6560</v>
      </c>
      <c r="D2600" s="8" t="s">
        <v>4984</v>
      </c>
      <c r="E2600" s="9" t="str">
        <f aca="false">HYPERLINK("https://twitter.com/telaforbinmola/status/922096977189523456","922096977189523456")</f>
        <v>922096977189523456</v>
      </c>
      <c r="F2600" s="10" t="s">
        <v>51</v>
      </c>
      <c r="G2600" s="10" t="n">
        <v>52</v>
      </c>
      <c r="H2600" s="10" t="n">
        <v>25</v>
      </c>
      <c r="I2600" s="10" t="n">
        <v>187</v>
      </c>
      <c r="J2600" s="10" t="n">
        <v>0</v>
      </c>
      <c r="K2600" s="10" t="s">
        <v>20</v>
      </c>
      <c r="L2600" s="11" t="n">
        <v>41711.7928240741</v>
      </c>
      <c r="M2600" s="12"/>
      <c r="N2600" s="12" t="s">
        <v>6561</v>
      </c>
      <c r="O2600" s="9" t="str">
        <f aca="false">HYPERLINK("https://pbs.twimg.com/profile_images/799063075261468672/sC4DRlYM_normal.jpg","View")</f>
        <v>View</v>
      </c>
      <c r="P2600" s="10"/>
    </row>
    <row r="2601" customFormat="false" ht="15.75" hidden="false" customHeight="false" outlineLevel="0" collapsed="false">
      <c r="A2601" s="6" t="n">
        <v>43030.2828356481</v>
      </c>
      <c r="B2601" s="7" t="str">
        <f aca="false">HYPERLINK("https://twitter.com/AficionadoYash","@AficionadoYash")</f>
        <v>@AficionadoYash</v>
      </c>
      <c r="C2601" s="8" t="s">
        <v>819</v>
      </c>
      <c r="D2601" s="8" t="s">
        <v>6562</v>
      </c>
      <c r="E2601" s="9" t="str">
        <f aca="false">HYPERLINK("https://twitter.com/AficionadoYash/status/922097025793056768","922097025793056768")</f>
        <v>922097025793056768</v>
      </c>
      <c r="F2601" s="10" t="s">
        <v>60</v>
      </c>
      <c r="G2601" s="10" t="n">
        <v>2582</v>
      </c>
      <c r="H2601" s="10" t="n">
        <v>948</v>
      </c>
      <c r="I2601" s="10" t="n">
        <v>0</v>
      </c>
      <c r="J2601" s="10" t="n">
        <v>0</v>
      </c>
      <c r="K2601" s="10" t="s">
        <v>20</v>
      </c>
      <c r="L2601" s="11" t="n">
        <v>40905.1268287037</v>
      </c>
      <c r="M2601" s="12" t="s">
        <v>72</v>
      </c>
      <c r="N2601" s="12" t="s">
        <v>821</v>
      </c>
      <c r="O2601" s="9" t="str">
        <f aca="false">HYPERLINK("https://pbs.twimg.com/profile_images/731065154129928192/gauLWTlp_normal.jpg","View")</f>
        <v>View</v>
      </c>
      <c r="P2601" s="10"/>
    </row>
    <row r="2602" customFormat="false" ht="15.75" hidden="false" customHeight="false" outlineLevel="0" collapsed="false">
      <c r="A2602" s="6" t="n">
        <v>43030.2830092593</v>
      </c>
      <c r="B2602" s="7" t="str">
        <f aca="false">HYPERLINK("https://twitter.com/XaniaNews_com","@XaniaNews_com")</f>
        <v>@XaniaNews_com</v>
      </c>
      <c r="C2602" s="8" t="s">
        <v>6563</v>
      </c>
      <c r="D2602" s="8" t="s">
        <v>6564</v>
      </c>
      <c r="E2602" s="9" t="str">
        <f aca="false">HYPERLINK("https://twitter.com/XaniaNews_com/status/922097091274358784","922097091274358784")</f>
        <v>922097091274358784</v>
      </c>
      <c r="F2602" s="10" t="s">
        <v>6565</v>
      </c>
      <c r="G2602" s="10" t="n">
        <v>2649</v>
      </c>
      <c r="H2602" s="10" t="n">
        <v>2463</v>
      </c>
      <c r="I2602" s="10" t="n">
        <v>0</v>
      </c>
      <c r="J2602" s="10" t="n">
        <v>0</v>
      </c>
      <c r="K2602" s="10" t="s">
        <v>20</v>
      </c>
      <c r="L2602" s="11" t="n">
        <v>42490.2499652778</v>
      </c>
      <c r="M2602" s="12"/>
      <c r="N2602" s="12" t="s">
        <v>6566</v>
      </c>
      <c r="O2602" s="9" t="str">
        <f aca="false">HYPERLINK("https://pbs.twimg.com/profile_images/875616308653457408/nOYrQgE7_normal.jpg","View")</f>
        <v>View</v>
      </c>
      <c r="P2602" s="10"/>
    </row>
    <row r="2603" customFormat="false" ht="15.75" hidden="false" customHeight="false" outlineLevel="0" collapsed="false">
      <c r="A2603" s="6" t="n">
        <v>43030.2831944444</v>
      </c>
      <c r="B2603" s="7" t="str">
        <f aca="false">HYPERLINK("https://twitter.com/rvsharma2008","@rvsharma2008")</f>
        <v>@rvsharma2008</v>
      </c>
      <c r="C2603" s="8" t="s">
        <v>6567</v>
      </c>
      <c r="D2603" s="8" t="s">
        <v>6558</v>
      </c>
      <c r="E2603" s="9" t="str">
        <f aca="false">HYPERLINK("https://twitter.com/rvsharma2008/status/922097155317354496","922097155317354496")</f>
        <v>922097155317354496</v>
      </c>
      <c r="F2603" s="10" t="s">
        <v>51</v>
      </c>
      <c r="G2603" s="10" t="n">
        <v>624</v>
      </c>
      <c r="H2603" s="10" t="n">
        <v>4150</v>
      </c>
      <c r="I2603" s="10" t="n">
        <v>65</v>
      </c>
      <c r="J2603" s="10" t="n">
        <v>0</v>
      </c>
      <c r="K2603" s="10" t="s">
        <v>20</v>
      </c>
      <c r="L2603" s="11" t="n">
        <v>41920.1830439815</v>
      </c>
      <c r="M2603" s="12" t="s">
        <v>2340</v>
      </c>
      <c r="N2603" s="12"/>
      <c r="O2603" s="9" t="str">
        <f aca="false">HYPERLINK("https://pbs.twimg.com/profile_images/519844605827624960/la5iqD1I_normal.jpeg","View")</f>
        <v>View</v>
      </c>
      <c r="P2603" s="10"/>
    </row>
    <row r="2604" customFormat="false" ht="15.75" hidden="false" customHeight="false" outlineLevel="0" collapsed="false">
      <c r="A2604" s="6" t="n">
        <v>43030.2839236111</v>
      </c>
      <c r="B2604" s="7" t="str">
        <f aca="false">HYPERLINK("https://twitter.com/k_barua","@k_barua")</f>
        <v>@k_barua</v>
      </c>
      <c r="C2604" s="8" t="s">
        <v>6568</v>
      </c>
      <c r="D2604" s="8" t="s">
        <v>6558</v>
      </c>
      <c r="E2604" s="9" t="str">
        <f aca="false">HYPERLINK("https://twitter.com/k_barua/status/922097419881390080","922097419881390080")</f>
        <v>922097419881390080</v>
      </c>
      <c r="F2604" s="10" t="s">
        <v>25</v>
      </c>
      <c r="G2604" s="10" t="n">
        <v>500</v>
      </c>
      <c r="H2604" s="10" t="n">
        <v>758</v>
      </c>
      <c r="I2604" s="10" t="n">
        <v>65</v>
      </c>
      <c r="J2604" s="10" t="n">
        <v>0</v>
      </c>
      <c r="K2604" s="10" t="s">
        <v>20</v>
      </c>
      <c r="L2604" s="11" t="n">
        <v>40431.0144675926</v>
      </c>
      <c r="M2604" s="12" t="s">
        <v>253</v>
      </c>
      <c r="N2604" s="12" t="s">
        <v>6569</v>
      </c>
      <c r="O2604" s="9" t="str">
        <f aca="false">HYPERLINK("https://pbs.twimg.com/profile_images/828155070839611398/qOzYhuKF_normal.jpg","View")</f>
        <v>View</v>
      </c>
      <c r="P2604" s="10"/>
    </row>
    <row r="2605" customFormat="false" ht="15.75" hidden="false" customHeight="false" outlineLevel="0" collapsed="false">
      <c r="A2605" s="6" t="n">
        <v>43030.2839236111</v>
      </c>
      <c r="B2605" s="7" t="str">
        <f aca="false">HYPERLINK("https://twitter.com/T0mRead","@T0mRead")</f>
        <v>@T0mRead</v>
      </c>
      <c r="C2605" s="8" t="s">
        <v>6570</v>
      </c>
      <c r="D2605" s="8" t="s">
        <v>4984</v>
      </c>
      <c r="E2605" s="9" t="str">
        <f aca="false">HYPERLINK("https://twitter.com/T0mRead/status/922097420695203840","922097420695203840")</f>
        <v>922097420695203840</v>
      </c>
      <c r="F2605" s="10" t="s">
        <v>6570</v>
      </c>
      <c r="G2605" s="10" t="n">
        <v>568</v>
      </c>
      <c r="H2605" s="10" t="n">
        <v>32</v>
      </c>
      <c r="I2605" s="10" t="n">
        <v>187</v>
      </c>
      <c r="J2605" s="10" t="n">
        <v>0</v>
      </c>
      <c r="K2605" s="10" t="s">
        <v>20</v>
      </c>
      <c r="L2605" s="11" t="n">
        <v>42277.6678935185</v>
      </c>
      <c r="M2605" s="12"/>
      <c r="N2605" s="12"/>
      <c r="O2605" s="9" t="str">
        <f aca="false">HYPERLINK("https://pbs.twimg.com/profile_images/649359105447067648/Om_7zDHJ_normal.jpg","View")</f>
        <v>View</v>
      </c>
      <c r="P2605" s="10"/>
    </row>
    <row r="2606" customFormat="false" ht="15.75" hidden="false" customHeight="false" outlineLevel="0" collapsed="false">
      <c r="A2606" s="6" t="n">
        <v>43030.2839351852</v>
      </c>
      <c r="B2606" s="7" t="str">
        <f aca="false">HYPERLINK("https://twitter.com/allstartupsin","@allstartupsin")</f>
        <v>@allstartupsin</v>
      </c>
      <c r="C2606" s="7" t="s">
        <v>831</v>
      </c>
      <c r="D2606" s="8" t="s">
        <v>6571</v>
      </c>
      <c r="E2606" s="9" t="str">
        <f aca="false">HYPERLINK("https://twitter.com/allstartupsin/status/922097426240036865","922097426240036865")</f>
        <v>922097426240036865</v>
      </c>
      <c r="F2606" s="10" t="s">
        <v>60</v>
      </c>
      <c r="G2606" s="10" t="n">
        <v>1605</v>
      </c>
      <c r="H2606" s="10" t="n">
        <v>1993</v>
      </c>
      <c r="I2606" s="10" t="n">
        <v>0</v>
      </c>
      <c r="J2606" s="10" t="n">
        <v>0</v>
      </c>
      <c r="K2606" s="10" t="s">
        <v>20</v>
      </c>
      <c r="L2606" s="11" t="n">
        <v>41453.3700462963</v>
      </c>
      <c r="M2606" s="12" t="s">
        <v>72</v>
      </c>
      <c r="N2606" s="12" t="s">
        <v>833</v>
      </c>
      <c r="O2606" s="9" t="str">
        <f aca="false">HYPERLINK("https://pbs.twimg.com/profile_images/770675004446941184/DgZiAFjn_normal.jpg","View")</f>
        <v>View</v>
      </c>
      <c r="P2606" s="10"/>
    </row>
    <row r="2607" customFormat="false" ht="15.75" hidden="false" customHeight="false" outlineLevel="0" collapsed="false">
      <c r="A2607" s="6" t="n">
        <v>43030.2840740741</v>
      </c>
      <c r="B2607" s="7" t="str">
        <f aca="false">HYPERLINK("https://twitter.com/ChuckHammerFNC","@ChuckHammerFNC")</f>
        <v>@ChuckHammerFNC</v>
      </c>
      <c r="C2607" s="8" t="s">
        <v>6572</v>
      </c>
      <c r="D2607" s="8" t="s">
        <v>6573</v>
      </c>
      <c r="E2607" s="9" t="str">
        <f aca="false">HYPERLINK("https://twitter.com/ChuckHammerFNC/status/922097475921633283","922097475921633283")</f>
        <v>922097475921633283</v>
      </c>
      <c r="F2607" s="10" t="s">
        <v>39</v>
      </c>
      <c r="G2607" s="10" t="n">
        <v>18</v>
      </c>
      <c r="H2607" s="10" t="n">
        <v>13</v>
      </c>
      <c r="I2607" s="10" t="n">
        <v>1</v>
      </c>
      <c r="J2607" s="10" t="n">
        <v>1</v>
      </c>
      <c r="K2607" s="10" t="s">
        <v>20</v>
      </c>
      <c r="L2607" s="11" t="n">
        <v>43028.2554166667</v>
      </c>
      <c r="M2607" s="12" t="s">
        <v>182</v>
      </c>
      <c r="N2607" s="12" t="s">
        <v>6574</v>
      </c>
      <c r="O2607" s="9" t="str">
        <f aca="false">HYPERLINK("https://pbs.twimg.com/profile_images/921368175069057024/j4IlSD0J_normal.jpg","View")</f>
        <v>View</v>
      </c>
      <c r="P2607" s="10"/>
    </row>
    <row r="2608" customFormat="false" ht="15.75" hidden="false" customHeight="false" outlineLevel="0" collapsed="false">
      <c r="A2608" s="6" t="n">
        <v>43030.2841898148</v>
      </c>
      <c r="B2608" s="7" t="str">
        <f aca="false">HYPERLINK("https://twitter.com/SIGROUPSAL","@SIGROUPSAL")</f>
        <v>@SIGROUPSAL</v>
      </c>
      <c r="C2608" s="8" t="s">
        <v>6575</v>
      </c>
      <c r="D2608" s="8" t="s">
        <v>6576</v>
      </c>
      <c r="E2608" s="9" t="str">
        <f aca="false">HYPERLINK("https://twitter.com/SIGROUPSAL/status/922097517696880642","922097517696880642")</f>
        <v>922097517696880642</v>
      </c>
      <c r="F2608" s="10" t="s">
        <v>51</v>
      </c>
      <c r="G2608" s="10" t="n">
        <v>4035</v>
      </c>
      <c r="H2608" s="10" t="n">
        <v>280</v>
      </c>
      <c r="I2608" s="10" t="n">
        <v>0</v>
      </c>
      <c r="J2608" s="10" t="n">
        <v>0</v>
      </c>
      <c r="K2608" s="10" t="s">
        <v>20</v>
      </c>
      <c r="L2608" s="11" t="n">
        <v>41714.7952083333</v>
      </c>
      <c r="M2608" s="12" t="s">
        <v>4050</v>
      </c>
      <c r="N2608" s="12" t="s">
        <v>6577</v>
      </c>
      <c r="O2608" s="9" t="str">
        <f aca="false">HYPERLINK("https://pbs.twimg.com/profile_images/911755313086390272/c1aPq56B_normal.jpg","View")</f>
        <v>View</v>
      </c>
      <c r="P2608" s="10"/>
    </row>
    <row r="2609" customFormat="false" ht="15.75" hidden="false" customHeight="false" outlineLevel="0" collapsed="false">
      <c r="A2609" s="6" t="n">
        <v>43030.2843402778</v>
      </c>
      <c r="B2609" s="7" t="str">
        <f aca="false">HYPERLINK("https://twitter.com/TinegreW","@TinegreW")</f>
        <v>@TinegreW</v>
      </c>
      <c r="C2609" s="8" t="s">
        <v>6578</v>
      </c>
      <c r="D2609" s="8" t="s">
        <v>6579</v>
      </c>
      <c r="E2609" s="9" t="str">
        <f aca="false">HYPERLINK("https://twitter.com/TinegreW/status/922097570813444103","922097570813444103")</f>
        <v>922097570813444103</v>
      </c>
      <c r="F2609" s="10" t="s">
        <v>39</v>
      </c>
      <c r="G2609" s="10" t="n">
        <v>292</v>
      </c>
      <c r="H2609" s="10" t="n">
        <v>1355</v>
      </c>
      <c r="I2609" s="10" t="n">
        <v>0</v>
      </c>
      <c r="J2609" s="10" t="n">
        <v>0</v>
      </c>
      <c r="K2609" s="10" t="s">
        <v>20</v>
      </c>
      <c r="L2609" s="11" t="n">
        <v>41575.5314236111</v>
      </c>
      <c r="M2609" s="12" t="s">
        <v>6580</v>
      </c>
      <c r="N2609" s="12" t="s">
        <v>6581</v>
      </c>
      <c r="O2609" s="9" t="str">
        <f aca="false">HYPERLINK("https://pbs.twimg.com/profile_images/459565232675778561/1DLE9YLN_normal.jpeg","View")</f>
        <v>View</v>
      </c>
      <c r="P2609" s="10"/>
    </row>
    <row r="2610" customFormat="false" ht="15.75" hidden="false" customHeight="false" outlineLevel="0" collapsed="false">
      <c r="A2610" s="6" t="n">
        <v>43030.2843981482</v>
      </c>
      <c r="B2610" s="7" t="str">
        <f aca="false">HYPERLINK("https://twitter.com/BarusArus","@BarusArus")</f>
        <v>@BarusArus</v>
      </c>
      <c r="C2610" s="8" t="s">
        <v>4253</v>
      </c>
      <c r="D2610" s="8" t="s">
        <v>6495</v>
      </c>
      <c r="E2610" s="9" t="str">
        <f aca="false">HYPERLINK("https://twitter.com/BarusArus/status/922097592657424385","922097592657424385")</f>
        <v>922097592657424385</v>
      </c>
      <c r="F2610" s="10" t="s">
        <v>39</v>
      </c>
      <c r="G2610" s="10" t="n">
        <v>2607</v>
      </c>
      <c r="H2610" s="10" t="n">
        <v>4556</v>
      </c>
      <c r="I2610" s="10" t="n">
        <v>15</v>
      </c>
      <c r="J2610" s="10" t="n">
        <v>0</v>
      </c>
      <c r="K2610" s="10" t="s">
        <v>20</v>
      </c>
      <c r="L2610" s="11" t="n">
        <v>42392.3561574074</v>
      </c>
      <c r="M2610" s="12" t="s">
        <v>319</v>
      </c>
      <c r="N2610" s="12" t="s">
        <v>4254</v>
      </c>
      <c r="O2610" s="9" t="str">
        <f aca="false">HYPERLINK("https://pbs.twimg.com/profile_images/918907533649154048/gvzY1nAB_normal.jpg","View")</f>
        <v>View</v>
      </c>
      <c r="P2610" s="10"/>
    </row>
    <row r="2611" customFormat="false" ht="15.75" hidden="false" customHeight="false" outlineLevel="0" collapsed="false">
      <c r="A2611" s="6" t="n">
        <v>43030.2844212963</v>
      </c>
      <c r="B2611" s="7" t="str">
        <f aca="false">HYPERLINK("https://twitter.com/ajypodar","@ajypodar")</f>
        <v>@ajypodar</v>
      </c>
      <c r="C2611" s="8" t="s">
        <v>6582</v>
      </c>
      <c r="D2611" s="8" t="s">
        <v>6558</v>
      </c>
      <c r="E2611" s="9" t="str">
        <f aca="false">HYPERLINK("https://twitter.com/ajypodar/status/922097601020698627","922097601020698627")</f>
        <v>922097601020698627</v>
      </c>
      <c r="F2611" s="10" t="s">
        <v>25</v>
      </c>
      <c r="G2611" s="10" t="n">
        <v>41</v>
      </c>
      <c r="H2611" s="10" t="n">
        <v>420</v>
      </c>
      <c r="I2611" s="10" t="n">
        <v>65</v>
      </c>
      <c r="J2611" s="10" t="n">
        <v>0</v>
      </c>
      <c r="K2611" s="10" t="s">
        <v>20</v>
      </c>
      <c r="L2611" s="11" t="n">
        <v>41288.0903819444</v>
      </c>
      <c r="M2611" s="12" t="s">
        <v>6583</v>
      </c>
      <c r="N2611" s="12"/>
      <c r="O2611" s="9" t="str">
        <f aca="false">HYPERLINK("https://pbs.twimg.com/profile_images/765230268508667904/3PC-lH62_normal.jpg","View")</f>
        <v>View</v>
      </c>
      <c r="P2611" s="10"/>
    </row>
    <row r="2612" customFormat="false" ht="15.75" hidden="false" customHeight="false" outlineLevel="0" collapsed="false">
      <c r="A2612" s="6" t="n">
        <v>43030.2846412037</v>
      </c>
      <c r="B2612" s="7" t="str">
        <f aca="false">HYPERLINK("https://twitter.com/skeetara","@skeetara")</f>
        <v>@skeetara</v>
      </c>
      <c r="C2612" s="8" t="s">
        <v>6584</v>
      </c>
      <c r="D2612" s="8" t="s">
        <v>6495</v>
      </c>
      <c r="E2612" s="9" t="str">
        <f aca="false">HYPERLINK("https://twitter.com/skeetara/status/922097681211604992","922097681211604992")</f>
        <v>922097681211604992</v>
      </c>
      <c r="F2612" s="10" t="s">
        <v>177</v>
      </c>
      <c r="G2612" s="10" t="n">
        <v>1750</v>
      </c>
      <c r="H2612" s="10" t="n">
        <v>2690</v>
      </c>
      <c r="I2612" s="10" t="n">
        <v>15</v>
      </c>
      <c r="J2612" s="10" t="n">
        <v>0</v>
      </c>
      <c r="K2612" s="10" t="s">
        <v>20</v>
      </c>
      <c r="L2612" s="11" t="n">
        <v>39968.4210532407</v>
      </c>
      <c r="M2612" s="12"/>
      <c r="N2612" s="12" t="s">
        <v>6585</v>
      </c>
      <c r="O2612" s="9" t="str">
        <f aca="false">HYPERLINK("https://pbs.twimg.com/profile_images/1122334900/DSC02674_normal.JPG","View")</f>
        <v>View</v>
      </c>
      <c r="P2612" s="10"/>
    </row>
    <row r="2613" customFormat="false" ht="15.75" hidden="false" customHeight="false" outlineLevel="0" collapsed="false">
      <c r="A2613" s="6" t="n">
        <v>43030.2847337963</v>
      </c>
      <c r="B2613" s="7" t="str">
        <f aca="false">HYPERLINK("https://twitter.com/Kizheppat","@Kizheppat")</f>
        <v>@Kizheppat</v>
      </c>
      <c r="C2613" s="8" t="s">
        <v>6586</v>
      </c>
      <c r="D2613" s="8" t="s">
        <v>6587</v>
      </c>
      <c r="E2613" s="9" t="str">
        <f aca="false">HYPERLINK("https://twitter.com/Kizheppat/status/922097712765403136","922097712765403136")</f>
        <v>922097712765403136</v>
      </c>
      <c r="F2613" s="10" t="s">
        <v>51</v>
      </c>
      <c r="G2613" s="10" t="n">
        <v>1782</v>
      </c>
      <c r="H2613" s="10" t="n">
        <v>803</v>
      </c>
      <c r="I2613" s="10" t="n">
        <v>0</v>
      </c>
      <c r="J2613" s="10" t="n">
        <v>0</v>
      </c>
      <c r="K2613" s="10" t="s">
        <v>20</v>
      </c>
      <c r="L2613" s="11" t="n">
        <v>40155.1565856482</v>
      </c>
      <c r="M2613" s="12" t="s">
        <v>72</v>
      </c>
      <c r="N2613" s="12" t="s">
        <v>6588</v>
      </c>
      <c r="O2613" s="9" t="str">
        <f aca="false">HYPERLINK("https://pbs.twimg.com/profile_images/885162689441406976/t5s4FUTf_normal.jpg","View")</f>
        <v>View</v>
      </c>
      <c r="P2613" s="10"/>
    </row>
    <row r="2614" customFormat="false" ht="15.75" hidden="false" customHeight="false" outlineLevel="0" collapsed="false">
      <c r="A2614" s="6" t="n">
        <v>43030.2850578704</v>
      </c>
      <c r="B2614" s="7" t="str">
        <f aca="false">HYPERLINK("https://twitter.com/_eqwal","@_eqwal")</f>
        <v>@_eqwal</v>
      </c>
      <c r="C2614" s="8" t="s">
        <v>6589</v>
      </c>
      <c r="D2614" s="8" t="s">
        <v>3631</v>
      </c>
      <c r="E2614" s="9" t="str">
        <f aca="false">HYPERLINK("https://twitter.com/_eqwal/status/922097831502073856","922097831502073856")</f>
        <v>922097831502073856</v>
      </c>
      <c r="F2614" s="10" t="s">
        <v>25</v>
      </c>
      <c r="G2614" s="10" t="n">
        <v>471</v>
      </c>
      <c r="H2614" s="10" t="n">
        <v>998</v>
      </c>
      <c r="I2614" s="10" t="n">
        <v>16</v>
      </c>
      <c r="J2614" s="10" t="n">
        <v>0</v>
      </c>
      <c r="K2614" s="10" t="s">
        <v>20</v>
      </c>
      <c r="L2614" s="11" t="n">
        <v>42822.2770023148</v>
      </c>
      <c r="M2614" s="12"/>
      <c r="N2614" s="12" t="s">
        <v>6590</v>
      </c>
      <c r="O2614" s="9" t="str">
        <f aca="false">HYPERLINK("https://pbs.twimg.com/profile_images/846719170175815680/Remmy5py_normal.jpg","View")</f>
        <v>View</v>
      </c>
      <c r="P2614" s="10"/>
    </row>
    <row r="2615" customFormat="false" ht="15.75" hidden="false" customHeight="false" outlineLevel="0" collapsed="false">
      <c r="A2615" s="6" t="n">
        <v>43030.2850694445</v>
      </c>
      <c r="B2615" s="7" t="str">
        <f aca="false">HYPERLINK("https://twitter.com/RealTimeHack","@RealTimeHack")</f>
        <v>@RealTimeHack</v>
      </c>
      <c r="C2615" s="8" t="s">
        <v>2422</v>
      </c>
      <c r="D2615" s="8" t="s">
        <v>6591</v>
      </c>
      <c r="E2615" s="9" t="str">
        <f aca="false">HYPERLINK("https://twitter.com/RealTimeHack/status/922097836400967681","922097836400967681")</f>
        <v>922097836400967681</v>
      </c>
      <c r="F2615" s="10" t="s">
        <v>60</v>
      </c>
      <c r="G2615" s="10" t="n">
        <v>2184</v>
      </c>
      <c r="H2615" s="10" t="n">
        <v>1282</v>
      </c>
      <c r="I2615" s="10" t="n">
        <v>0</v>
      </c>
      <c r="J2615" s="10" t="n">
        <v>0</v>
      </c>
      <c r="K2615" s="10" t="s">
        <v>20</v>
      </c>
      <c r="L2615" s="11" t="n">
        <v>40641.3992013889</v>
      </c>
      <c r="M2615" s="12" t="s">
        <v>2424</v>
      </c>
      <c r="N2615" s="12" t="s">
        <v>2425</v>
      </c>
      <c r="O2615" s="9" t="str">
        <f aca="false">HYPERLINK("https://pbs.twimg.com/profile_images/1304602852/Nuke_Egg_normal.gif","View")</f>
        <v>View</v>
      </c>
      <c r="P2615" s="10"/>
    </row>
    <row r="2616" customFormat="false" ht="15.75" hidden="false" customHeight="false" outlineLevel="0" collapsed="false">
      <c r="A2616" s="6" t="n">
        <v>43030.2857060185</v>
      </c>
      <c r="B2616" s="7" t="str">
        <f aca="false">HYPERLINK("https://twitter.com/payne_tammi","@payne_tammi")</f>
        <v>@payne_tammi</v>
      </c>
      <c r="C2616" s="8" t="s">
        <v>6592</v>
      </c>
      <c r="D2616" s="8" t="s">
        <v>6495</v>
      </c>
      <c r="E2616" s="9" t="str">
        <f aca="false">HYPERLINK("https://twitter.com/payne_tammi/status/922098065313583105","922098065313583105")</f>
        <v>922098065313583105</v>
      </c>
      <c r="F2616" s="10" t="s">
        <v>51</v>
      </c>
      <c r="G2616" s="10" t="n">
        <v>2602</v>
      </c>
      <c r="H2616" s="10" t="n">
        <v>3881</v>
      </c>
      <c r="I2616" s="10" t="n">
        <v>15</v>
      </c>
      <c r="J2616" s="10" t="n">
        <v>0</v>
      </c>
      <c r="K2616" s="10" t="s">
        <v>20</v>
      </c>
      <c r="L2616" s="11" t="n">
        <v>41237.7646064815</v>
      </c>
      <c r="M2616" s="12" t="s">
        <v>6593</v>
      </c>
      <c r="N2616" s="12" t="s">
        <v>6594</v>
      </c>
      <c r="O2616" s="9" t="str">
        <f aca="false">HYPERLINK("https://pbs.twimg.com/profile_images/864617734289489920/-FJTKOMg_normal.jpg","View")</f>
        <v>View</v>
      </c>
      <c r="P2616" s="10"/>
    </row>
    <row r="2617" customFormat="false" ht="15.75" hidden="false" customHeight="false" outlineLevel="0" collapsed="false">
      <c r="A2617" s="6" t="n">
        <v>43030.2857175926</v>
      </c>
      <c r="B2617" s="7" t="str">
        <f aca="false">HYPERLINK("https://twitter.com/hanmireddy","@hanmireddy")</f>
        <v>@hanmireddy</v>
      </c>
      <c r="C2617" s="8" t="s">
        <v>6595</v>
      </c>
      <c r="D2617" s="8" t="s">
        <v>6558</v>
      </c>
      <c r="E2617" s="9" t="str">
        <f aca="false">HYPERLINK("https://twitter.com/hanmireddy/status/922098072821293056","922098072821293056")</f>
        <v>922098072821293056</v>
      </c>
      <c r="F2617" s="10" t="s">
        <v>25</v>
      </c>
      <c r="G2617" s="10" t="n">
        <v>3883</v>
      </c>
      <c r="H2617" s="10" t="n">
        <v>3456</v>
      </c>
      <c r="I2617" s="10" t="n">
        <v>65</v>
      </c>
      <c r="J2617" s="10" t="n">
        <v>0</v>
      </c>
      <c r="K2617" s="10" t="s">
        <v>20</v>
      </c>
      <c r="L2617" s="11" t="n">
        <v>39537.4063888889</v>
      </c>
      <c r="M2617" s="12" t="s">
        <v>6596</v>
      </c>
      <c r="N2617" s="12" t="s">
        <v>6597</v>
      </c>
      <c r="O2617" s="9" t="str">
        <f aca="false">HYPERLINK("https://pbs.twimg.com/profile_images/913269707498676224/QL6SYEcC_normal.jpg","View")</f>
        <v>View</v>
      </c>
      <c r="P2617" s="10"/>
    </row>
    <row r="2618" customFormat="false" ht="15.75" hidden="false" customHeight="false" outlineLevel="0" collapsed="false">
      <c r="A2618" s="6" t="n">
        <v>43030.2859722222</v>
      </c>
      <c r="B2618" s="7" t="str">
        <f aca="false">HYPERLINK("https://twitter.com/bright1404","@bright1404")</f>
        <v>@bright1404</v>
      </c>
      <c r="C2618" s="8" t="s">
        <v>6598</v>
      </c>
      <c r="D2618" s="8" t="s">
        <v>6599</v>
      </c>
      <c r="E2618" s="9" t="str">
        <f aca="false">HYPERLINK("https://twitter.com/bright1404/status/922098162805936131","922098162805936131")</f>
        <v>922098162805936131</v>
      </c>
      <c r="F2618" s="10" t="s">
        <v>60</v>
      </c>
      <c r="G2618" s="10" t="n">
        <v>217</v>
      </c>
      <c r="H2618" s="10" t="n">
        <v>0</v>
      </c>
      <c r="I2618" s="10" t="n">
        <v>0</v>
      </c>
      <c r="J2618" s="10" t="n">
        <v>0</v>
      </c>
      <c r="K2618" s="10" t="s">
        <v>20</v>
      </c>
      <c r="L2618" s="11" t="n">
        <v>41151.0103587963</v>
      </c>
      <c r="M2618" s="12" t="s">
        <v>6600</v>
      </c>
      <c r="N2618" s="12" t="s">
        <v>6601</v>
      </c>
      <c r="O2618" s="9" t="str">
        <f aca="false">HYPERLINK("https://pbs.twimg.com/profile_images/584459402339602432/nun0q6ti_normal.jpg","View")</f>
        <v>View</v>
      </c>
      <c r="P2618" s="10"/>
    </row>
    <row r="2619" customFormat="false" ht="15.75" hidden="false" customHeight="false" outlineLevel="0" collapsed="false">
      <c r="A2619" s="6" t="n">
        <v>43030.2861342593</v>
      </c>
      <c r="B2619" s="7" t="str">
        <f aca="false">HYPERLINK("https://twitter.com/Haryourdehjii","@Haryourdehjii")</f>
        <v>@Haryourdehjii</v>
      </c>
      <c r="C2619" s="8" t="s">
        <v>6602</v>
      </c>
      <c r="D2619" s="8" t="s">
        <v>3971</v>
      </c>
      <c r="E2619" s="9" t="str">
        <f aca="false">HYPERLINK("https://twitter.com/Haryourdehjii/status/922098223753449473","922098223753449473")</f>
        <v>922098223753449473</v>
      </c>
      <c r="F2619" s="10" t="s">
        <v>25</v>
      </c>
      <c r="G2619" s="10" t="n">
        <v>692</v>
      </c>
      <c r="H2619" s="10" t="n">
        <v>175</v>
      </c>
      <c r="I2619" s="10" t="n">
        <v>24</v>
      </c>
      <c r="J2619" s="10" t="n">
        <v>0</v>
      </c>
      <c r="K2619" s="10" t="s">
        <v>20</v>
      </c>
      <c r="L2619" s="11" t="n">
        <v>41240.6621064815</v>
      </c>
      <c r="M2619" s="12" t="s">
        <v>6603</v>
      </c>
      <c r="N2619" s="12" t="s">
        <v>6604</v>
      </c>
      <c r="O2619" s="9" t="str">
        <f aca="false">HYPERLINK("https://pbs.twimg.com/profile_images/912454114189217792/v0x2hsb5_normal.jpg","View")</f>
        <v>View</v>
      </c>
      <c r="P2619" s="10"/>
    </row>
    <row r="2620" customFormat="false" ht="15.75" hidden="false" customHeight="false" outlineLevel="0" collapsed="false">
      <c r="A2620" s="6" t="n">
        <v>43030.2863078704</v>
      </c>
      <c r="B2620" s="7" t="str">
        <f aca="false">HYPERLINK("https://twitter.com/bostonnewslocal","@bostonnewslocal")</f>
        <v>@bostonnewslocal</v>
      </c>
      <c r="C2620" s="8" t="s">
        <v>6373</v>
      </c>
      <c r="D2620" s="8" t="s">
        <v>6605</v>
      </c>
      <c r="E2620" s="9" t="str">
        <f aca="false">HYPERLINK("https://twitter.com/bostonnewslocal/status/922098284478517249","922098284478517249")</f>
        <v>922098284478517249</v>
      </c>
      <c r="F2620" s="10" t="s">
        <v>6375</v>
      </c>
      <c r="G2620" s="10" t="n">
        <v>2025</v>
      </c>
      <c r="H2620" s="10" t="n">
        <v>34</v>
      </c>
      <c r="I2620" s="10" t="n">
        <v>1</v>
      </c>
      <c r="J2620" s="10" t="n">
        <v>0</v>
      </c>
      <c r="K2620" s="10" t="s">
        <v>20</v>
      </c>
      <c r="L2620" s="11" t="n">
        <v>42503.3890277778</v>
      </c>
      <c r="M2620" s="12" t="s">
        <v>1404</v>
      </c>
      <c r="N2620" s="12" t="s">
        <v>6376</v>
      </c>
      <c r="O2620" s="9" t="str">
        <f aca="false">HYPERLINK("https://pbs.twimg.com/profile_images/774074783130488832/kQ3JMvAF_normal.jpg","View")</f>
        <v>View</v>
      </c>
      <c r="P2620" s="10"/>
    </row>
    <row r="2621" customFormat="false" ht="15.75" hidden="false" customHeight="false" outlineLevel="0" collapsed="false">
      <c r="A2621" s="6" t="n">
        <v>43030.2863773148</v>
      </c>
      <c r="B2621" s="7" t="str">
        <f aca="false">HYPERLINK("https://twitter.com/Chintan_Joshi","@Chintan_Joshi")</f>
        <v>@Chintan_Joshi</v>
      </c>
      <c r="C2621" s="8" t="s">
        <v>6606</v>
      </c>
      <c r="D2621" s="8" t="s">
        <v>6558</v>
      </c>
      <c r="E2621" s="9" t="str">
        <f aca="false">HYPERLINK("https://twitter.com/Chintan_Joshi/status/922098308591611905","922098308591611905")</f>
        <v>922098308591611905</v>
      </c>
      <c r="F2621" s="10" t="s">
        <v>25</v>
      </c>
      <c r="G2621" s="10" t="n">
        <v>814</v>
      </c>
      <c r="H2621" s="10" t="n">
        <v>1136</v>
      </c>
      <c r="I2621" s="10" t="n">
        <v>65</v>
      </c>
      <c r="J2621" s="10" t="n">
        <v>0</v>
      </c>
      <c r="K2621" s="10" t="s">
        <v>20</v>
      </c>
      <c r="L2621" s="11" t="n">
        <v>39960.0573726852</v>
      </c>
      <c r="M2621" s="12" t="s">
        <v>860</v>
      </c>
      <c r="N2621" s="12" t="s">
        <v>6607</v>
      </c>
      <c r="O2621" s="9" t="str">
        <f aca="false">HYPERLINK("https://pbs.twimg.com/profile_images/830796482018234370/7XbMDjB__normal.jpg","View")</f>
        <v>View</v>
      </c>
      <c r="P2621" s="10"/>
    </row>
    <row r="2622" customFormat="false" ht="15.75" hidden="false" customHeight="false" outlineLevel="0" collapsed="false">
      <c r="A2622" s="6" t="n">
        <v>43030.2864699074</v>
      </c>
      <c r="B2622" s="7" t="str">
        <f aca="false">HYPERLINK("https://twitter.com/Haysmart","@Haysmart")</f>
        <v>@Haysmart</v>
      </c>
      <c r="C2622" s="8" t="s">
        <v>6608</v>
      </c>
      <c r="D2622" s="8" t="s">
        <v>6609</v>
      </c>
      <c r="E2622" s="9" t="str">
        <f aca="false">HYPERLINK("https://twitter.com/Haysmart/status/922098341596549121","922098341596549121")</f>
        <v>922098341596549121</v>
      </c>
      <c r="F2622" s="10" t="s">
        <v>55</v>
      </c>
      <c r="G2622" s="10" t="n">
        <v>1435</v>
      </c>
      <c r="H2622" s="10" t="n">
        <v>482</v>
      </c>
      <c r="I2622" s="10" t="n">
        <v>0</v>
      </c>
      <c r="J2622" s="10" t="n">
        <v>0</v>
      </c>
      <c r="K2622" s="10" t="s">
        <v>20</v>
      </c>
      <c r="L2622" s="11" t="n">
        <v>40372.6747106481</v>
      </c>
      <c r="M2622" s="12" t="s">
        <v>6610</v>
      </c>
      <c r="N2622" s="12" t="s">
        <v>6611</v>
      </c>
      <c r="O2622" s="9" t="str">
        <f aca="false">HYPERLINK("https://pbs.twimg.com/profile_images/908838535087747072/uwqVX6Ce_normal.jpg","View")</f>
        <v>View</v>
      </c>
      <c r="P2622" s="10"/>
    </row>
    <row r="2623" customFormat="false" ht="15.75" hidden="false" customHeight="false" outlineLevel="0" collapsed="false">
      <c r="A2623" s="6" t="n">
        <v>43030.2864930556</v>
      </c>
      <c r="B2623" s="7" t="str">
        <f aca="false">HYPERLINK("https://twitter.com/NTKRNow","@NTKRNow")</f>
        <v>@NTKRNow</v>
      </c>
      <c r="C2623" s="8" t="s">
        <v>829</v>
      </c>
      <c r="D2623" s="8" t="s">
        <v>6612</v>
      </c>
      <c r="E2623" s="9" t="str">
        <f aca="false">HYPERLINK("https://twitter.com/NTKRNow/status/922098351163703297","922098351163703297")</f>
        <v>922098351163703297</v>
      </c>
      <c r="F2623" s="10" t="s">
        <v>60</v>
      </c>
      <c r="G2623" s="10" t="n">
        <v>610</v>
      </c>
      <c r="H2623" s="10" t="n">
        <v>4</v>
      </c>
      <c r="I2623" s="10" t="n">
        <v>0</v>
      </c>
      <c r="J2623" s="10" t="n">
        <v>0</v>
      </c>
      <c r="K2623" s="10" t="s">
        <v>20</v>
      </c>
      <c r="L2623" s="11" t="n">
        <v>42402.810625</v>
      </c>
      <c r="M2623" s="12"/>
      <c r="N2623" s="12"/>
      <c r="O2623" s="9" t="str">
        <f aca="false">HYPERLINK("https://abs.twimg.com/sticky/default_profile_images/default_profile_normal.png","View")</f>
        <v>View</v>
      </c>
      <c r="P2623" s="10"/>
    </row>
    <row r="2624" customFormat="false" ht="15.75" hidden="false" customHeight="false" outlineLevel="0" collapsed="false">
      <c r="A2624" s="6" t="n">
        <v>43030.2869907407</v>
      </c>
      <c r="B2624" s="7" t="str">
        <f aca="false">HYPERLINK("https://twitter.com/NewsStoryIndia","@NewsStoryIndia")</f>
        <v>@NewsStoryIndia</v>
      </c>
      <c r="C2624" s="8" t="s">
        <v>2842</v>
      </c>
      <c r="D2624" s="8" t="s">
        <v>6613</v>
      </c>
      <c r="E2624" s="9" t="str">
        <f aca="false">HYPERLINK("https://twitter.com/NewsStoryIndia/status/922098532865249280","922098532865249280")</f>
        <v>922098532865249280</v>
      </c>
      <c r="F2624" s="10" t="s">
        <v>60</v>
      </c>
      <c r="G2624" s="10" t="n">
        <v>4574</v>
      </c>
      <c r="H2624" s="10" t="n">
        <v>28</v>
      </c>
      <c r="I2624" s="10" t="n">
        <v>0</v>
      </c>
      <c r="J2624" s="10" t="n">
        <v>0</v>
      </c>
      <c r="K2624" s="10" t="s">
        <v>20</v>
      </c>
      <c r="L2624" s="11" t="n">
        <v>40404.7906944444</v>
      </c>
      <c r="M2624" s="12" t="s">
        <v>72</v>
      </c>
      <c r="N2624" s="12" t="s">
        <v>2844</v>
      </c>
      <c r="O2624" s="9" t="str">
        <f aca="false">HYPERLINK("https://pbs.twimg.com/profile_images/829323773769818113/0Z6sbzum_normal.jpg","View")</f>
        <v>View</v>
      </c>
      <c r="P2624" s="10"/>
    </row>
    <row r="2625" customFormat="false" ht="15.75" hidden="false" customHeight="false" outlineLevel="0" collapsed="false">
      <c r="A2625" s="6" t="n">
        <v>43030.287037037</v>
      </c>
      <c r="B2625" s="7" t="str">
        <f aca="false">HYPERLINK("https://twitter.com/SanDiegoCP","@SanDiegoCP")</f>
        <v>@SanDiegoCP</v>
      </c>
      <c r="C2625" s="8" t="s">
        <v>6614</v>
      </c>
      <c r="D2625" s="8" t="s">
        <v>6615</v>
      </c>
      <c r="E2625" s="9" t="str">
        <f aca="false">HYPERLINK("https://twitter.com/SanDiegoCP/status/922098550217101313","922098550217101313")</f>
        <v>922098550217101313</v>
      </c>
      <c r="F2625" s="10" t="s">
        <v>6614</v>
      </c>
      <c r="G2625" s="10" t="n">
        <v>4170</v>
      </c>
      <c r="H2625" s="10" t="n">
        <v>20</v>
      </c>
      <c r="I2625" s="10" t="n">
        <v>0</v>
      </c>
      <c r="J2625" s="10" t="n">
        <v>0</v>
      </c>
      <c r="K2625" s="10" t="s">
        <v>20</v>
      </c>
      <c r="L2625" s="11" t="n">
        <v>40019.4748842593</v>
      </c>
      <c r="M2625" s="12" t="s">
        <v>227</v>
      </c>
      <c r="N2625" s="12" t="s">
        <v>6616</v>
      </c>
      <c r="O2625" s="9" t="str">
        <f aca="false">HYPERLINK("https://pbs.twimg.com/profile_images/854660173402705921/KE6wZYS6_normal.jpg","View")</f>
        <v>View</v>
      </c>
      <c r="P2625" s="10"/>
    </row>
    <row r="2626" customFormat="false" ht="15.75" hidden="false" customHeight="false" outlineLevel="0" collapsed="false">
      <c r="A2626" s="6" t="n">
        <v>43030.2871412037</v>
      </c>
      <c r="B2626" s="7" t="str">
        <f aca="false">HYPERLINK("https://twitter.com/iVoteForBest","@iVoteForBest")</f>
        <v>@iVoteForBest</v>
      </c>
      <c r="C2626" s="8" t="s">
        <v>58</v>
      </c>
      <c r="D2626" s="8" t="s">
        <v>6617</v>
      </c>
      <c r="E2626" s="9" t="str">
        <f aca="false">HYPERLINK("https://twitter.com/iVoteForBest/status/922098584727715841","922098584727715841")</f>
        <v>922098584727715841</v>
      </c>
      <c r="F2626" s="10" t="s">
        <v>60</v>
      </c>
      <c r="G2626" s="10" t="n">
        <v>4529</v>
      </c>
      <c r="H2626" s="10" t="n">
        <v>0</v>
      </c>
      <c r="I2626" s="10" t="n">
        <v>2</v>
      </c>
      <c r="J2626" s="10" t="n">
        <v>3</v>
      </c>
      <c r="K2626" s="10" t="s">
        <v>20</v>
      </c>
      <c r="L2626" s="11" t="n">
        <v>41732.0494444444</v>
      </c>
      <c r="M2626" s="12"/>
      <c r="N2626" s="12" t="s">
        <v>61</v>
      </c>
      <c r="O2626" s="9" t="str">
        <f aca="false">HYPERLINK("https://pbs.twimg.com/profile_images/858421579960639488/4Z7CW4j__normal.jpg","View")</f>
        <v>View</v>
      </c>
      <c r="P2626" s="10"/>
    </row>
    <row r="2627" customFormat="false" ht="15.75" hidden="false" customHeight="false" outlineLevel="0" collapsed="false">
      <c r="A2627" s="6" t="n">
        <v>43030.2872453704</v>
      </c>
      <c r="B2627" s="7" t="str">
        <f aca="false">HYPERLINK("https://twitter.com/rohit_l","@rohit_l")</f>
        <v>@rohit_l</v>
      </c>
      <c r="C2627" s="8" t="s">
        <v>6618</v>
      </c>
      <c r="D2627" s="8" t="s">
        <v>6619</v>
      </c>
      <c r="E2627" s="9" t="str">
        <f aca="false">HYPERLINK("https://twitter.com/rohit_l/status/922098623344775168","922098623344775168")</f>
        <v>922098623344775168</v>
      </c>
      <c r="F2627" s="10" t="s">
        <v>51</v>
      </c>
      <c r="G2627" s="10" t="n">
        <v>1036</v>
      </c>
      <c r="H2627" s="10" t="n">
        <v>474</v>
      </c>
      <c r="I2627" s="10" t="n">
        <v>0</v>
      </c>
      <c r="J2627" s="10" t="n">
        <v>0</v>
      </c>
      <c r="K2627" s="10" t="s">
        <v>20</v>
      </c>
      <c r="L2627" s="11" t="n">
        <v>40108.5971643519</v>
      </c>
      <c r="M2627" s="12"/>
      <c r="N2627" s="12" t="s">
        <v>6620</v>
      </c>
      <c r="O2627" s="9" t="str">
        <f aca="false">HYPERLINK("https://pbs.twimg.com/profile_images/378800000770550731/ebaf194cb83bb04885eb4e25344cea8d_normal.jpeg","View")</f>
        <v>View</v>
      </c>
      <c r="P2627" s="10"/>
    </row>
    <row r="2628" customFormat="false" ht="15.75" hidden="false" customHeight="false" outlineLevel="0" collapsed="false">
      <c r="A2628" s="6" t="n">
        <v>43030.2878472222</v>
      </c>
      <c r="B2628" s="7" t="str">
        <f aca="false">HYPERLINK("https://twitter.com/rvp","@rvp")</f>
        <v>@rvp</v>
      </c>
      <c r="C2628" s="8" t="s">
        <v>835</v>
      </c>
      <c r="D2628" s="8" t="s">
        <v>6621</v>
      </c>
      <c r="E2628" s="9" t="str">
        <f aca="false">HYPERLINK("https://twitter.com/rvp/status/922098842400681984","922098842400681984")</f>
        <v>922098842400681984</v>
      </c>
      <c r="F2628" s="10" t="s">
        <v>60</v>
      </c>
      <c r="G2628" s="10" t="n">
        <v>3594</v>
      </c>
      <c r="H2628" s="10" t="n">
        <v>4993</v>
      </c>
      <c r="I2628" s="10" t="n">
        <v>0</v>
      </c>
      <c r="J2628" s="10" t="n">
        <v>0</v>
      </c>
      <c r="K2628" s="10" t="s">
        <v>20</v>
      </c>
      <c r="L2628" s="11" t="n">
        <v>39495.2358912037</v>
      </c>
      <c r="M2628" s="12" t="s">
        <v>64</v>
      </c>
      <c r="N2628" s="12" t="s">
        <v>837</v>
      </c>
      <c r="O2628" s="9" t="str">
        <f aca="false">HYPERLINK("https://pbs.twimg.com/profile_images/49607902/ravi-vs-prasad_normal.jpg","View")</f>
        <v>View</v>
      </c>
      <c r="P2628" s="10"/>
    </row>
    <row r="2629" customFormat="false" ht="15.75" hidden="false" customHeight="false" outlineLevel="0" collapsed="false">
      <c r="A2629" s="6" t="n">
        <v>43030.2878472222</v>
      </c>
      <c r="B2629" s="7" t="str">
        <f aca="false">HYPERLINK("https://twitter.com/Moertopo_","@Moertopo_")</f>
        <v>@Moertopo_</v>
      </c>
      <c r="C2629" s="8" t="s">
        <v>6622</v>
      </c>
      <c r="D2629" s="8" t="s">
        <v>4984</v>
      </c>
      <c r="E2629" s="9" t="str">
        <f aca="false">HYPERLINK("https://twitter.com/Moertopo_/status/922098843411390464","922098843411390464")</f>
        <v>922098843411390464</v>
      </c>
      <c r="F2629" s="10" t="s">
        <v>51</v>
      </c>
      <c r="G2629" s="10" t="n">
        <v>59</v>
      </c>
      <c r="H2629" s="10" t="n">
        <v>347</v>
      </c>
      <c r="I2629" s="10" t="n">
        <v>187</v>
      </c>
      <c r="J2629" s="10" t="n">
        <v>0</v>
      </c>
      <c r="K2629" s="10" t="s">
        <v>20</v>
      </c>
      <c r="L2629" s="11" t="n">
        <v>42994.482037037</v>
      </c>
      <c r="M2629" s="12"/>
      <c r="N2629" s="12"/>
      <c r="O2629" s="9" t="str">
        <f aca="false">HYPERLINK("https://pbs.twimg.com/profile_images/917161886419787776/KFPVFj3a_normal.jpg","View")</f>
        <v>View</v>
      </c>
      <c r="P2629" s="10"/>
    </row>
    <row r="2630" customFormat="false" ht="15.75" hidden="false" customHeight="false" outlineLevel="0" collapsed="false">
      <c r="A2630" s="6" t="n">
        <v>43030.2880902778</v>
      </c>
      <c r="B2630" s="7" t="str">
        <f aca="false">HYPERLINK("https://twitter.com/isumitksinha","@isumitksinha")</f>
        <v>@isumitksinha</v>
      </c>
      <c r="C2630" s="8" t="s">
        <v>855</v>
      </c>
      <c r="D2630" s="8" t="s">
        <v>6623</v>
      </c>
      <c r="E2630" s="9" t="str">
        <f aca="false">HYPERLINK("https://twitter.com/isumitksinha/status/922098929746968578","922098929746968578")</f>
        <v>922098929746968578</v>
      </c>
      <c r="F2630" s="10" t="s">
        <v>55</v>
      </c>
      <c r="G2630" s="10" t="n">
        <v>821</v>
      </c>
      <c r="H2630" s="10" t="n">
        <v>110</v>
      </c>
      <c r="I2630" s="10" t="n">
        <v>0</v>
      </c>
      <c r="J2630" s="10" t="n">
        <v>0</v>
      </c>
      <c r="K2630" s="10" t="s">
        <v>20</v>
      </c>
      <c r="L2630" s="11" t="n">
        <v>40211.2578125</v>
      </c>
      <c r="M2630" s="12" t="s">
        <v>857</v>
      </c>
      <c r="N2630" s="12" t="s">
        <v>858</v>
      </c>
      <c r="O2630" s="9" t="str">
        <f aca="false">HYPERLINK("https://pbs.twimg.com/profile_images/662292972654870528/N3kLvWAZ_normal.jpg","View")</f>
        <v>View</v>
      </c>
      <c r="P2630" s="10"/>
    </row>
    <row r="2631" customFormat="false" ht="15.75" hidden="false" customHeight="false" outlineLevel="0" collapsed="false">
      <c r="A2631" s="6" t="n">
        <v>43030.2881828704</v>
      </c>
      <c r="B2631" s="7" t="str">
        <f aca="false">HYPERLINK("https://twitter.com/PolticsNewz","@PolticsNewz")</f>
        <v>@PolticsNewz</v>
      </c>
      <c r="C2631" s="8" t="s">
        <v>1121</v>
      </c>
      <c r="D2631" s="8" t="s">
        <v>6624</v>
      </c>
      <c r="E2631" s="9" t="str">
        <f aca="false">HYPERLINK("https://twitter.com/PolticsNewz/status/922098965805445121","922098965805445121")</f>
        <v>922098965805445121</v>
      </c>
      <c r="F2631" s="10" t="s">
        <v>1123</v>
      </c>
      <c r="G2631" s="10" t="n">
        <v>26441</v>
      </c>
      <c r="H2631" s="10" t="n">
        <v>23998</v>
      </c>
      <c r="I2631" s="10" t="n">
        <v>0</v>
      </c>
      <c r="J2631" s="10" t="n">
        <v>0</v>
      </c>
      <c r="K2631" s="10" t="s">
        <v>20</v>
      </c>
      <c r="L2631" s="11" t="n">
        <v>42509.1547569445</v>
      </c>
      <c r="M2631" s="12" t="s">
        <v>230</v>
      </c>
      <c r="N2631" s="12" t="s">
        <v>1124</v>
      </c>
      <c r="O2631" s="9" t="str">
        <f aca="false">HYPERLINK("https://pbs.twimg.com/profile_images/733247246314131456/M6u2U4GO_normal.jpg","View")</f>
        <v>View</v>
      </c>
      <c r="P2631" s="10"/>
    </row>
    <row r="2632" customFormat="false" ht="15.75" hidden="false" customHeight="false" outlineLevel="0" collapsed="false">
      <c r="A2632" s="6" t="n">
        <v>43030.2882523148</v>
      </c>
      <c r="B2632" s="7" t="str">
        <f aca="false">HYPERLINK("https://twitter.com/nytimesworld","@nytimesworld")</f>
        <v>@nytimesworld</v>
      </c>
      <c r="C2632" s="8" t="s">
        <v>621</v>
      </c>
      <c r="D2632" s="8" t="s">
        <v>3991</v>
      </c>
      <c r="E2632" s="9" t="str">
        <f aca="false">HYPERLINK("https://twitter.com/nytimesworld/status/922098989406867456","922098989406867456")</f>
        <v>922098989406867456</v>
      </c>
      <c r="F2632" s="10" t="s">
        <v>51</v>
      </c>
      <c r="G2632" s="10" t="n">
        <v>1873870</v>
      </c>
      <c r="H2632" s="10" t="n">
        <v>465</v>
      </c>
      <c r="I2632" s="10" t="n">
        <v>17</v>
      </c>
      <c r="J2632" s="10" t="n">
        <v>0</v>
      </c>
      <c r="K2632" s="10" t="s">
        <v>20</v>
      </c>
      <c r="L2632" s="11" t="n">
        <v>39163.2915393518</v>
      </c>
      <c r="M2632" s="12" t="s">
        <v>491</v>
      </c>
      <c r="N2632" s="12" t="s">
        <v>623</v>
      </c>
      <c r="O2632" s="9" t="str">
        <f aca="false">HYPERLINK("https://pbs.twimg.com/profile_images/2045337639/NYT_Twitter_world_normal.png","View")</f>
        <v>View</v>
      </c>
      <c r="P2632" s="10"/>
    </row>
    <row r="2633" customFormat="false" ht="15.75" hidden="false" customHeight="false" outlineLevel="0" collapsed="false">
      <c r="A2633" s="6" t="n">
        <v>43030.2884490741</v>
      </c>
      <c r="B2633" s="7" t="str">
        <f aca="false">HYPERLINK("https://twitter.com/mtaalamu","@mtaalamu")</f>
        <v>@mtaalamu</v>
      </c>
      <c r="C2633" s="8" t="s">
        <v>6625</v>
      </c>
      <c r="D2633" s="8" t="s">
        <v>4984</v>
      </c>
      <c r="E2633" s="9" t="str">
        <f aca="false">HYPERLINK("https://twitter.com/mtaalamu/status/922099060051361793","922099060051361793")</f>
        <v>922099060051361793</v>
      </c>
      <c r="F2633" s="10" t="s">
        <v>177</v>
      </c>
      <c r="G2633" s="10" t="n">
        <v>43</v>
      </c>
      <c r="H2633" s="10" t="n">
        <v>208</v>
      </c>
      <c r="I2633" s="10" t="n">
        <v>187</v>
      </c>
      <c r="J2633" s="10" t="n">
        <v>0</v>
      </c>
      <c r="K2633" s="10" t="s">
        <v>20</v>
      </c>
      <c r="L2633" s="11" t="n">
        <v>39972.8539467593</v>
      </c>
      <c r="M2633" s="12" t="s">
        <v>6626</v>
      </c>
      <c r="N2633" s="12" t="s">
        <v>6627</v>
      </c>
      <c r="O2633" s="9" t="str">
        <f aca="false">HYPERLINK("https://abs.twimg.com/sticky/default_profile_images/default_profile_normal.png","View")</f>
        <v>View</v>
      </c>
      <c r="P2633" s="10"/>
    </row>
    <row r="2634" customFormat="false" ht="15.75" hidden="false" customHeight="false" outlineLevel="0" collapsed="false">
      <c r="A2634" s="6" t="n">
        <v>43030.2887268519</v>
      </c>
      <c r="B2634" s="7" t="str">
        <f aca="false">HYPERLINK("https://twitter.com/YourAnonRevolt","@YourAnonRevolt")</f>
        <v>@YourAnonRevolt</v>
      </c>
      <c r="C2634" s="8" t="s">
        <v>2284</v>
      </c>
      <c r="D2634" s="8" t="s">
        <v>6628</v>
      </c>
      <c r="E2634" s="9" t="str">
        <f aca="false">HYPERLINK("https://twitter.com/YourAnonRevolt/status/922099161935224833","922099161935224833")</f>
        <v>922099161935224833</v>
      </c>
      <c r="F2634" s="10" t="s">
        <v>39</v>
      </c>
      <c r="G2634" s="10" t="n">
        <v>11183</v>
      </c>
      <c r="H2634" s="10" t="n">
        <v>4106</v>
      </c>
      <c r="I2634" s="10" t="n">
        <v>1</v>
      </c>
      <c r="J2634" s="10" t="n">
        <v>0</v>
      </c>
      <c r="K2634" s="10" t="s">
        <v>20</v>
      </c>
      <c r="L2634" s="11" t="n">
        <v>42478.1002199074</v>
      </c>
      <c r="M2634" s="12" t="s">
        <v>2285</v>
      </c>
      <c r="N2634" s="12" t="s">
        <v>2286</v>
      </c>
      <c r="O2634" s="9" t="str">
        <f aca="false">HYPERLINK("https://pbs.twimg.com/profile_images/881398153030713344/FN9uhI_M_normal.jpg","View")</f>
        <v>View</v>
      </c>
      <c r="P2634" s="10"/>
    </row>
    <row r="2635" customFormat="false" ht="15.75" hidden="false" customHeight="false" outlineLevel="0" collapsed="false">
      <c r="A2635" s="6" t="n">
        <v>43030.288912037</v>
      </c>
      <c r="B2635" s="7" t="str">
        <f aca="false">HYPERLINK("https://twitter.com/hamaramagnews","@hamaramagnews")</f>
        <v>@hamaramagnews</v>
      </c>
      <c r="C2635" s="8" t="s">
        <v>6629</v>
      </c>
      <c r="D2635" s="8" t="s">
        <v>6312</v>
      </c>
      <c r="E2635" s="9" t="str">
        <f aca="false">HYPERLINK("https://twitter.com/hamaramagnews/status/922099228112863237","922099228112863237")</f>
        <v>922099228112863237</v>
      </c>
      <c r="F2635" s="9" t="s">
        <v>1147</v>
      </c>
      <c r="G2635" s="10" t="n">
        <v>209</v>
      </c>
      <c r="H2635" s="10" t="n">
        <v>93</v>
      </c>
      <c r="I2635" s="10" t="n">
        <v>0</v>
      </c>
      <c r="J2635" s="10" t="n">
        <v>0</v>
      </c>
      <c r="K2635" s="10" t="s">
        <v>20</v>
      </c>
      <c r="L2635" s="11" t="n">
        <v>41546.0762037037</v>
      </c>
      <c r="M2635" s="12"/>
      <c r="N2635" s="12" t="s">
        <v>6630</v>
      </c>
      <c r="O2635" s="9" t="str">
        <f aca="false">HYPERLINK("https://pbs.twimg.com/profile_images/378800000659522456/13d3adac379bc0f25787b7fd4e51c143_normal.png","View")</f>
        <v>View</v>
      </c>
      <c r="P2635" s="10"/>
    </row>
    <row r="2636" customFormat="false" ht="15.75" hidden="false" customHeight="false" outlineLevel="0" collapsed="false">
      <c r="A2636" s="6" t="n">
        <v>43030.2889930556</v>
      </c>
      <c r="B2636" s="7" t="str">
        <f aca="false">HYPERLINK("https://twitter.com/jt_rebelo","@jt_rebelo")</f>
        <v>@jt_rebelo</v>
      </c>
      <c r="C2636" s="8" t="s">
        <v>6631</v>
      </c>
      <c r="D2636" s="8" t="s">
        <v>3991</v>
      </c>
      <c r="E2636" s="9" t="str">
        <f aca="false">HYPERLINK("https://twitter.com/jt_rebelo/status/922099255954862081","922099255954862081")</f>
        <v>922099255954862081</v>
      </c>
      <c r="F2636" s="10" t="s">
        <v>1017</v>
      </c>
      <c r="G2636" s="10" t="n">
        <v>268</v>
      </c>
      <c r="H2636" s="10" t="n">
        <v>931</v>
      </c>
      <c r="I2636" s="10" t="n">
        <v>17</v>
      </c>
      <c r="J2636" s="10" t="n">
        <v>0</v>
      </c>
      <c r="K2636" s="10" t="s">
        <v>20</v>
      </c>
      <c r="L2636" s="11" t="n">
        <v>40177.1950231481</v>
      </c>
      <c r="M2636" s="12" t="s">
        <v>6632</v>
      </c>
      <c r="N2636" s="12" t="s">
        <v>6633</v>
      </c>
      <c r="O2636" s="9" t="str">
        <f aca="false">HYPERLINK("https://pbs.twimg.com/profile_images/921697895111311361/YHbzg_t7_normal.jpg","View")</f>
        <v>View</v>
      </c>
      <c r="P2636" s="10"/>
    </row>
    <row r="2637" customFormat="false" ht="15.75" hidden="false" customHeight="false" outlineLevel="0" collapsed="false">
      <c r="A2637" s="6" t="n">
        <v>43030.2889930556</v>
      </c>
      <c r="B2637" s="7" t="str">
        <f aca="false">HYPERLINK("https://twitter.com/PushpendraVerma","@PushpendraVerma")</f>
        <v>@PushpendraVerma</v>
      </c>
      <c r="C2637" s="8" t="s">
        <v>6634</v>
      </c>
      <c r="D2637" s="8" t="s">
        <v>4984</v>
      </c>
      <c r="E2637" s="9" t="str">
        <f aca="false">HYPERLINK("https://twitter.com/PushpendraVerma/status/922099259520012288","922099259520012288")</f>
        <v>922099259520012288</v>
      </c>
      <c r="F2637" s="10" t="s">
        <v>25</v>
      </c>
      <c r="G2637" s="10" t="n">
        <v>1273</v>
      </c>
      <c r="H2637" s="10" t="n">
        <v>112</v>
      </c>
      <c r="I2637" s="10" t="n">
        <v>187</v>
      </c>
      <c r="J2637" s="10" t="n">
        <v>0</v>
      </c>
      <c r="K2637" s="10" t="s">
        <v>20</v>
      </c>
      <c r="L2637" s="11" t="n">
        <v>40255.0324537037</v>
      </c>
      <c r="M2637" s="12" t="s">
        <v>6635</v>
      </c>
      <c r="N2637" s="12" t="s">
        <v>6636</v>
      </c>
      <c r="O2637" s="9" t="str">
        <f aca="false">HYPERLINK("https://pbs.twimg.com/profile_images/509784787280609281/0RoOXrgz_normal.jpeg","View")</f>
        <v>View</v>
      </c>
      <c r="P2637" s="10"/>
    </row>
    <row r="2638" customFormat="false" ht="15.75" hidden="false" customHeight="false" outlineLevel="0" collapsed="false">
      <c r="A2638" s="6" t="n">
        <v>43030.2896875</v>
      </c>
      <c r="B2638" s="7" t="str">
        <f aca="false">HYPERLINK("https://twitter.com/pras4net","@pras4net")</f>
        <v>@pras4net</v>
      </c>
      <c r="C2638" s="8" t="s">
        <v>6637</v>
      </c>
      <c r="D2638" s="8" t="s">
        <v>6558</v>
      </c>
      <c r="E2638" s="9" t="str">
        <f aca="false">HYPERLINK("https://twitter.com/pras4net/status/922099507415969792","922099507415969792")</f>
        <v>922099507415969792</v>
      </c>
      <c r="F2638" s="10" t="s">
        <v>51</v>
      </c>
      <c r="G2638" s="10" t="n">
        <v>346</v>
      </c>
      <c r="H2638" s="10" t="n">
        <v>657</v>
      </c>
      <c r="I2638" s="10" t="n">
        <v>65</v>
      </c>
      <c r="J2638" s="10" t="n">
        <v>0</v>
      </c>
      <c r="K2638" s="10" t="s">
        <v>20</v>
      </c>
      <c r="L2638" s="11" t="n">
        <v>40011.0871643518</v>
      </c>
      <c r="M2638" s="12" t="s">
        <v>6638</v>
      </c>
      <c r="N2638" s="12" t="s">
        <v>6639</v>
      </c>
      <c r="O2638" s="9" t="str">
        <f aca="false">HYPERLINK("https://pbs.twimg.com/profile_images/883240371974569984/3t-381WY_normal.jpg","View")</f>
        <v>View</v>
      </c>
      <c r="P2638" s="10"/>
    </row>
    <row r="2639" customFormat="false" ht="15.75" hidden="false" customHeight="false" outlineLevel="0" collapsed="false">
      <c r="A2639" s="6" t="n">
        <v>43030.2900810185</v>
      </c>
      <c r="B2639" s="7" t="str">
        <f aca="false">HYPERLINK("https://twitter.com/neuroparamedic","@neuroparamedic")</f>
        <v>@neuroparamedic</v>
      </c>
      <c r="C2639" s="8" t="s">
        <v>6640</v>
      </c>
      <c r="D2639" s="8" t="s">
        <v>3991</v>
      </c>
      <c r="E2639" s="9" t="str">
        <f aca="false">HYPERLINK("https://twitter.com/neuroparamedic/status/922099652945694720","922099652945694720")</f>
        <v>922099652945694720</v>
      </c>
      <c r="F2639" s="10" t="s">
        <v>1643</v>
      </c>
      <c r="G2639" s="10" t="n">
        <v>555</v>
      </c>
      <c r="H2639" s="10" t="n">
        <v>285</v>
      </c>
      <c r="I2639" s="10" t="n">
        <v>17</v>
      </c>
      <c r="J2639" s="10" t="n">
        <v>0</v>
      </c>
      <c r="K2639" s="10" t="s">
        <v>20</v>
      </c>
      <c r="L2639" s="11" t="n">
        <v>40545.5244097222</v>
      </c>
      <c r="M2639" s="12" t="s">
        <v>4050</v>
      </c>
      <c r="N2639" s="12" t="s">
        <v>6641</v>
      </c>
      <c r="O2639" s="9" t="str">
        <f aca="false">HYPERLINK("https://pbs.twimg.com/profile_images/919230841267589120/E8edk71d_normal.jpg","View")</f>
        <v>View</v>
      </c>
      <c r="P2639" s="10"/>
    </row>
    <row r="2640" customFormat="false" ht="15.75" hidden="false" customHeight="false" outlineLevel="0" collapsed="false">
      <c r="A2640" s="6" t="n">
        <v>43030.2901273148</v>
      </c>
      <c r="B2640" s="7" t="str">
        <f aca="false">HYPERLINK("https://twitter.com/arrobin0077","@arrobin0077")</f>
        <v>@arrobin0077</v>
      </c>
      <c r="C2640" s="8" t="s">
        <v>631</v>
      </c>
      <c r="D2640" s="8" t="s">
        <v>6642</v>
      </c>
      <c r="E2640" s="9" t="str">
        <f aca="false">HYPERLINK("https://twitter.com/arrobin0077/status/922099669403971586","922099669403971586")</f>
        <v>922099669403971586</v>
      </c>
      <c r="F2640" s="10" t="s">
        <v>60</v>
      </c>
      <c r="G2640" s="10" t="n">
        <v>7479</v>
      </c>
      <c r="H2640" s="10" t="n">
        <v>7442</v>
      </c>
      <c r="I2640" s="10" t="n">
        <v>0</v>
      </c>
      <c r="J2640" s="10" t="n">
        <v>0</v>
      </c>
      <c r="K2640" s="10" t="s">
        <v>20</v>
      </c>
      <c r="L2640" s="11" t="n">
        <v>42218.4780671296</v>
      </c>
      <c r="M2640" s="12" t="s">
        <v>230</v>
      </c>
      <c r="N2640" s="12" t="s">
        <v>633</v>
      </c>
      <c r="O2640" s="9" t="str">
        <f aca="false">HYPERLINK("https://pbs.twimg.com/profile_images/627909948698050560/Lz1QBK8N_normal.jpg","View")</f>
        <v>View</v>
      </c>
      <c r="P2640" s="10"/>
    </row>
    <row r="2641" customFormat="false" ht="15.75" hidden="false" customHeight="false" outlineLevel="0" collapsed="false">
      <c r="A2641" s="6" t="n">
        <v>43030.2902083333</v>
      </c>
      <c r="B2641" s="7" t="str">
        <f aca="false">HYPERLINK("https://twitter.com/amartyakm","@amartyakm")</f>
        <v>@amartyakm</v>
      </c>
      <c r="C2641" s="8" t="s">
        <v>6643</v>
      </c>
      <c r="D2641" s="8" t="s">
        <v>6558</v>
      </c>
      <c r="E2641" s="9" t="str">
        <f aca="false">HYPERLINK("https://twitter.com/amartyakm/status/922099698118176768","922099698118176768")</f>
        <v>922099698118176768</v>
      </c>
      <c r="F2641" s="10" t="s">
        <v>25</v>
      </c>
      <c r="G2641" s="10" t="n">
        <v>24</v>
      </c>
      <c r="H2641" s="10" t="n">
        <v>85</v>
      </c>
      <c r="I2641" s="10" t="n">
        <v>65</v>
      </c>
      <c r="J2641" s="10" t="n">
        <v>0</v>
      </c>
      <c r="K2641" s="10" t="s">
        <v>20</v>
      </c>
      <c r="L2641" s="11" t="n">
        <v>42894.9395949074</v>
      </c>
      <c r="M2641" s="12" t="s">
        <v>72</v>
      </c>
      <c r="N2641" s="12"/>
      <c r="O2641" s="9" t="str">
        <f aca="false">HYPERLINK("https://pbs.twimg.com/profile_images/920217191118618625/XfieE-rT_normal.jpg","View")</f>
        <v>View</v>
      </c>
      <c r="P2641" s="10"/>
    </row>
    <row r="2642" customFormat="false" ht="15.75" hidden="false" customHeight="false" outlineLevel="0" collapsed="false">
      <c r="A2642" s="6" t="n">
        <v>43030.2903703704</v>
      </c>
      <c r="B2642" s="7" t="str">
        <f aca="false">HYPERLINK("https://twitter.com/IsraelNewsLinks","@IsraelNewsLinks")</f>
        <v>@IsraelNewsLinks</v>
      </c>
      <c r="C2642" s="8" t="s">
        <v>6644</v>
      </c>
      <c r="D2642" s="8" t="s">
        <v>6645</v>
      </c>
      <c r="E2642" s="9" t="str">
        <f aca="false">HYPERLINK("https://twitter.com/IsraelNewsLinks/status/922099755009720320","922099755009720320")</f>
        <v>922099755009720320</v>
      </c>
      <c r="F2642" s="9" t="s">
        <v>1147</v>
      </c>
      <c r="G2642" s="10" t="n">
        <v>21572</v>
      </c>
      <c r="H2642" s="10" t="n">
        <v>820</v>
      </c>
      <c r="I2642" s="10" t="n">
        <v>0</v>
      </c>
      <c r="J2642" s="10" t="n">
        <v>0</v>
      </c>
      <c r="K2642" s="10" t="s">
        <v>20</v>
      </c>
      <c r="L2642" s="11" t="n">
        <v>39836.873287037</v>
      </c>
      <c r="M2642" s="12" t="s">
        <v>230</v>
      </c>
      <c r="N2642" s="12" t="s">
        <v>6646</v>
      </c>
      <c r="O2642" s="9" t="str">
        <f aca="false">HYPERLINK("https://pbs.twimg.com/profile_images/727667199368822785/TyVwMyft_normal.jpg","View")</f>
        <v>View</v>
      </c>
      <c r="P2642" s="10"/>
    </row>
    <row r="2643" customFormat="false" ht="15.75" hidden="false" customHeight="false" outlineLevel="0" collapsed="false">
      <c r="A2643" s="6" t="n">
        <v>43030.2906018519</v>
      </c>
      <c r="B2643" s="7" t="str">
        <f aca="false">HYPERLINK("https://twitter.com/alikiaj","@alikiaj")</f>
        <v>@alikiaj</v>
      </c>
      <c r="C2643" s="8" t="s">
        <v>6647</v>
      </c>
      <c r="D2643" s="8" t="s">
        <v>3991</v>
      </c>
      <c r="E2643" s="9" t="str">
        <f aca="false">HYPERLINK("https://twitter.com/alikiaj/status/922099841689374720","922099841689374720")</f>
        <v>922099841689374720</v>
      </c>
      <c r="F2643" s="10" t="s">
        <v>25</v>
      </c>
      <c r="G2643" s="10" t="n">
        <v>2208</v>
      </c>
      <c r="H2643" s="10" t="n">
        <v>1678</v>
      </c>
      <c r="I2643" s="10" t="n">
        <v>17</v>
      </c>
      <c r="J2643" s="10" t="n">
        <v>0</v>
      </c>
      <c r="K2643" s="10" t="s">
        <v>20</v>
      </c>
      <c r="L2643" s="11" t="n">
        <v>40746.4675694444</v>
      </c>
      <c r="M2643" s="12" t="s">
        <v>6648</v>
      </c>
      <c r="N2643" s="12" t="s">
        <v>6649</v>
      </c>
      <c r="O2643" s="9" t="str">
        <f aca="false">HYPERLINK("https://pbs.twimg.com/profile_images/543096769383370752/bGLNSxsE_normal.jpeg","View")</f>
        <v>View</v>
      </c>
      <c r="P2643" s="10"/>
    </row>
    <row r="2644" customFormat="false" ht="15.75" hidden="false" customHeight="false" outlineLevel="0" collapsed="false">
      <c r="A2644" s="6" t="n">
        <v>43030.2907291667</v>
      </c>
      <c r="B2644" s="7" t="str">
        <f aca="false">HYPERLINK("https://twitter.com/tezuma75","@tezuma75")</f>
        <v>@tezuma75</v>
      </c>
      <c r="C2644" s="8" t="s">
        <v>6650</v>
      </c>
      <c r="D2644" s="8" t="s">
        <v>6651</v>
      </c>
      <c r="E2644" s="9" t="str">
        <f aca="false">HYPERLINK("https://twitter.com/tezuma75/status/922099885217800193","922099885217800193")</f>
        <v>922099885217800193</v>
      </c>
      <c r="F2644" s="10" t="s">
        <v>6652</v>
      </c>
      <c r="G2644" s="10" t="n">
        <v>364</v>
      </c>
      <c r="H2644" s="10" t="n">
        <v>1614</v>
      </c>
      <c r="I2644" s="10" t="n">
        <v>0</v>
      </c>
      <c r="J2644" s="10" t="n">
        <v>0</v>
      </c>
      <c r="K2644" s="10" t="s">
        <v>20</v>
      </c>
      <c r="L2644" s="11" t="n">
        <v>40796.2496759259</v>
      </c>
      <c r="M2644" s="12" t="s">
        <v>6653</v>
      </c>
      <c r="N2644" s="12" t="s">
        <v>6654</v>
      </c>
      <c r="O2644" s="9" t="str">
        <f aca="false">HYPERLINK("https://pbs.twimg.com/profile_images/883089556379017217/YmqNlQsU_normal.jpg","View")</f>
        <v>View</v>
      </c>
      <c r="P2644" s="10"/>
    </row>
    <row r="2645" customFormat="false" ht="15.75" hidden="false" customHeight="false" outlineLevel="0" collapsed="false">
      <c r="A2645" s="6" t="n">
        <v>43030.2908217593</v>
      </c>
      <c r="B2645" s="7" t="str">
        <f aca="false">HYPERLINK("https://twitter.com/recgogo","@recgogo")</f>
        <v>@recgogo</v>
      </c>
      <c r="C2645" s="14" t="s">
        <v>6655</v>
      </c>
      <c r="D2645" s="8" t="s">
        <v>6656</v>
      </c>
      <c r="E2645" s="9" t="str">
        <f aca="false">HYPERLINK("https://twitter.com/recgogo/status/922099922207326211","922099922207326211")</f>
        <v>922099922207326211</v>
      </c>
      <c r="F2645" s="10" t="s">
        <v>1017</v>
      </c>
      <c r="G2645" s="10" t="n">
        <v>773</v>
      </c>
      <c r="H2645" s="10" t="n">
        <v>1867</v>
      </c>
      <c r="I2645" s="10" t="n">
        <v>2</v>
      </c>
      <c r="J2645" s="10" t="n">
        <v>0</v>
      </c>
      <c r="K2645" s="10" t="s">
        <v>20</v>
      </c>
      <c r="L2645" s="11" t="n">
        <v>42912.2501388889</v>
      </c>
      <c r="M2645" s="13" t="s">
        <v>152</v>
      </c>
      <c r="N2645" s="13" t="s">
        <v>6657</v>
      </c>
      <c r="O2645" s="9" t="str">
        <f aca="false">HYPERLINK("https://pbs.twimg.com/profile_images/882267481561116672/1hyF2rkt_normal.jpg","View")</f>
        <v>View</v>
      </c>
      <c r="P2645" s="10"/>
    </row>
    <row r="2646" customFormat="false" ht="15.75" hidden="false" customHeight="false" outlineLevel="0" collapsed="false">
      <c r="A2646" s="6" t="n">
        <v>43030.2908912037</v>
      </c>
      <c r="B2646" s="7" t="str">
        <f aca="false">HYPERLINK("https://twitter.com/newyorkcityinfo","@newyorkcityinfo")</f>
        <v>@newyorkcityinfo</v>
      </c>
      <c r="C2646" s="8" t="s">
        <v>6658</v>
      </c>
      <c r="D2646" s="8" t="s">
        <v>6659</v>
      </c>
      <c r="E2646" s="9" t="str">
        <f aca="false">HYPERLINK("https://twitter.com/newyorkcityinfo/status/922099947260055552","922099947260055552")</f>
        <v>922099947260055552</v>
      </c>
      <c r="F2646" s="9" t="s">
        <v>979</v>
      </c>
      <c r="G2646" s="10" t="n">
        <v>1120</v>
      </c>
      <c r="H2646" s="10" t="n">
        <v>31</v>
      </c>
      <c r="I2646" s="10" t="n">
        <v>0</v>
      </c>
      <c r="J2646" s="10" t="n">
        <v>0</v>
      </c>
      <c r="K2646" s="10" t="s">
        <v>20</v>
      </c>
      <c r="L2646" s="11" t="n">
        <v>40062.0721180556</v>
      </c>
      <c r="M2646" s="12" t="s">
        <v>697</v>
      </c>
      <c r="N2646" s="12" t="s">
        <v>6660</v>
      </c>
      <c r="O2646" s="9" t="str">
        <f aca="false">HYPERLINK("https://pbs.twimg.com/profile_images/1079155086/United-States_normal.gif","View")</f>
        <v>View</v>
      </c>
      <c r="P2646" s="10"/>
    </row>
    <row r="2647" customFormat="false" ht="15.75" hidden="false" customHeight="false" outlineLevel="0" collapsed="false">
      <c r="A2647" s="6" t="n">
        <v>43030.2911689815</v>
      </c>
      <c r="B2647" s="7" t="str">
        <f aca="false">HYPERLINK("https://twitter.com/drpatfarrell","@drpatfarrell")</f>
        <v>@drpatfarrell</v>
      </c>
      <c r="C2647" s="8" t="s">
        <v>6661</v>
      </c>
      <c r="D2647" s="8" t="s">
        <v>6495</v>
      </c>
      <c r="E2647" s="9" t="str">
        <f aca="false">HYPERLINK("https://twitter.com/drpatfarrell/status/922100046484705280","922100046484705280")</f>
        <v>922100046484705280</v>
      </c>
      <c r="F2647" s="10" t="s">
        <v>39</v>
      </c>
      <c r="G2647" s="10" t="n">
        <v>6894</v>
      </c>
      <c r="H2647" s="10" t="n">
        <v>3925</v>
      </c>
      <c r="I2647" s="10" t="n">
        <v>15</v>
      </c>
      <c r="J2647" s="10" t="n">
        <v>0</v>
      </c>
      <c r="K2647" s="10" t="s">
        <v>20</v>
      </c>
      <c r="L2647" s="11" t="n">
        <v>39959.3989814815</v>
      </c>
      <c r="M2647" s="12" t="s">
        <v>230</v>
      </c>
      <c r="N2647" s="12" t="s">
        <v>6662</v>
      </c>
      <c r="O2647" s="9" t="str">
        <f aca="false">HYPERLINK("https://pbs.twimg.com/profile_images/887116390808911872/mnwYiZyU_normal.jpg","View")</f>
        <v>View</v>
      </c>
      <c r="P2647" s="10"/>
    </row>
    <row r="2648" customFormat="false" ht="15.75" hidden="false" customHeight="false" outlineLevel="0" collapsed="false">
      <c r="A2648" s="6" t="n">
        <v>43030.2912962963</v>
      </c>
      <c r="B2648" s="7" t="str">
        <f aca="false">HYPERLINK("https://twitter.com/IBTimesUK","@IBTimesUK")</f>
        <v>@IBTimesUK</v>
      </c>
      <c r="C2648" s="8" t="s">
        <v>3202</v>
      </c>
      <c r="D2648" s="8" t="s">
        <v>6663</v>
      </c>
      <c r="E2648" s="9" t="str">
        <f aca="false">HYPERLINK("https://twitter.com/IBTimesUK/status/922100093259583489","922100093259583489")</f>
        <v>922100093259583489</v>
      </c>
      <c r="F2648" s="10" t="s">
        <v>268</v>
      </c>
      <c r="G2648" s="10" t="n">
        <v>32277</v>
      </c>
      <c r="H2648" s="10" t="n">
        <v>1068</v>
      </c>
      <c r="I2648" s="10" t="n">
        <v>1</v>
      </c>
      <c r="J2648" s="10" t="n">
        <v>1</v>
      </c>
      <c r="K2648" s="10" t="s">
        <v>20</v>
      </c>
      <c r="L2648" s="11" t="n">
        <v>39981.1365740741</v>
      </c>
      <c r="M2648" s="12" t="s">
        <v>893</v>
      </c>
      <c r="N2648" s="12" t="s">
        <v>3204</v>
      </c>
      <c r="O2648" s="9" t="str">
        <f aca="false">HYPERLINK("https://pbs.twimg.com/profile_images/856922877018468362/O1xt2dpN_normal.jpg","View")</f>
        <v>View</v>
      </c>
      <c r="P2648" s="10"/>
    </row>
    <row r="2649" customFormat="false" ht="15.75" hidden="false" customHeight="false" outlineLevel="0" collapsed="false">
      <c r="A2649" s="6" t="n">
        <v>43030.2916550926</v>
      </c>
      <c r="B2649" s="7" t="str">
        <f aca="false">HYPERLINK("https://twitter.com/varunvd","@varunvd")</f>
        <v>@varunvd</v>
      </c>
      <c r="C2649" s="8" t="s">
        <v>4119</v>
      </c>
      <c r="D2649" s="8" t="s">
        <v>6558</v>
      </c>
      <c r="E2649" s="9" t="str">
        <f aca="false">HYPERLINK("https://twitter.com/varunvd/status/922100221630406656","922100221630406656")</f>
        <v>922100221630406656</v>
      </c>
      <c r="F2649" s="10" t="s">
        <v>25</v>
      </c>
      <c r="G2649" s="10" t="n">
        <v>1473</v>
      </c>
      <c r="H2649" s="10" t="n">
        <v>5001</v>
      </c>
      <c r="I2649" s="10" t="n">
        <v>65</v>
      </c>
      <c r="J2649" s="10" t="n">
        <v>0</v>
      </c>
      <c r="K2649" s="10" t="s">
        <v>20</v>
      </c>
      <c r="L2649" s="11" t="n">
        <v>40059.147662037</v>
      </c>
      <c r="M2649" s="12" t="s">
        <v>4121</v>
      </c>
      <c r="N2649" s="12" t="s">
        <v>4122</v>
      </c>
      <c r="O2649" s="9" t="str">
        <f aca="false">HYPERLINK("https://pbs.twimg.com/profile_images/921410394958082049/7lSsVbzm_normal.jpg","View")</f>
        <v>View</v>
      </c>
      <c r="P2649" s="10"/>
    </row>
    <row r="2650" customFormat="false" ht="15.75" hidden="false" customHeight="false" outlineLevel="0" collapsed="false">
      <c r="A2650" s="6" t="n">
        <v>43030.2921759259</v>
      </c>
      <c r="B2650" s="7" t="str">
        <f aca="false">HYPERLINK("https://twitter.com/sureensys","@sureensys")</f>
        <v>@sureensys</v>
      </c>
      <c r="C2650" s="8" t="s">
        <v>6664</v>
      </c>
      <c r="D2650" s="8" t="s">
        <v>6665</v>
      </c>
      <c r="E2650" s="9" t="str">
        <f aca="false">HYPERLINK("https://twitter.com/sureensys/status/922100409770143744","922100409770143744")</f>
        <v>922100409770143744</v>
      </c>
      <c r="F2650" s="10" t="s">
        <v>110</v>
      </c>
      <c r="G2650" s="10" t="n">
        <v>1007</v>
      </c>
      <c r="H2650" s="10" t="n">
        <v>1936</v>
      </c>
      <c r="I2650" s="10" t="n">
        <v>0</v>
      </c>
      <c r="J2650" s="10" t="n">
        <v>0</v>
      </c>
      <c r="K2650" s="10" t="s">
        <v>20</v>
      </c>
      <c r="L2650" s="11" t="n">
        <v>39912.7586342593</v>
      </c>
      <c r="M2650" s="12"/>
      <c r="N2650" s="12" t="s">
        <v>6666</v>
      </c>
      <c r="O2650" s="9" t="str">
        <f aca="false">HYPERLINK("https://pbs.twimg.com/profile_images/656269576980660224/tDgmYGyI_normal.png","View")</f>
        <v>View</v>
      </c>
      <c r="P2650" s="10"/>
    </row>
    <row r="2651" customFormat="false" ht="15.75" hidden="false" customHeight="false" outlineLevel="0" collapsed="false">
      <c r="A2651" s="6" t="n">
        <v>43030.2921759259</v>
      </c>
      <c r="B2651" s="7" t="str">
        <f aca="false">HYPERLINK("https://twitter.com/adamfwalsh","@adamfwalsh")</f>
        <v>@adamfwalsh</v>
      </c>
      <c r="C2651" s="8" t="s">
        <v>6667</v>
      </c>
      <c r="D2651" s="8" t="s">
        <v>3991</v>
      </c>
      <c r="E2651" s="9" t="str">
        <f aca="false">HYPERLINK("https://twitter.com/adamfwalsh/status/922100412248875009","922100412248875009")</f>
        <v>922100412248875009</v>
      </c>
      <c r="F2651" s="10" t="s">
        <v>51</v>
      </c>
      <c r="G2651" s="10" t="n">
        <v>8743</v>
      </c>
      <c r="H2651" s="10" t="n">
        <v>5902</v>
      </c>
      <c r="I2651" s="10" t="n">
        <v>17</v>
      </c>
      <c r="J2651" s="10" t="n">
        <v>0</v>
      </c>
      <c r="K2651" s="10" t="s">
        <v>20</v>
      </c>
      <c r="L2651" s="11" t="n">
        <v>40639.7314814815</v>
      </c>
      <c r="M2651" s="12" t="s">
        <v>1529</v>
      </c>
      <c r="N2651" s="12" t="s">
        <v>6668</v>
      </c>
      <c r="O2651" s="9" t="str">
        <f aca="false">HYPERLINK("https://pbs.twimg.com/profile_images/664459266783387648/hVHHF38B_normal.jpg","View")</f>
        <v>View</v>
      </c>
      <c r="P2651" s="10"/>
    </row>
    <row r="2652" customFormat="false" ht="15.75" hidden="false" customHeight="false" outlineLevel="0" collapsed="false">
      <c r="A2652" s="6" t="n">
        <v>43030.2922222222</v>
      </c>
      <c r="B2652" s="7" t="str">
        <f aca="false">HYPERLINK("https://twitter.com/bigtime1957","@bigtime1957")</f>
        <v>@bigtime1957</v>
      </c>
      <c r="C2652" s="8" t="s">
        <v>6669</v>
      </c>
      <c r="D2652" s="8" t="s">
        <v>6670</v>
      </c>
      <c r="E2652" s="9" t="str">
        <f aca="false">HYPERLINK("https://twitter.com/bigtime1957/status/922100426924810243","922100426924810243")</f>
        <v>922100426924810243</v>
      </c>
      <c r="F2652" s="10" t="s">
        <v>110</v>
      </c>
      <c r="G2652" s="10" t="n">
        <v>7450</v>
      </c>
      <c r="H2652" s="10" t="n">
        <v>7149</v>
      </c>
      <c r="I2652" s="10" t="n">
        <v>1</v>
      </c>
      <c r="J2652" s="10" t="n">
        <v>0</v>
      </c>
      <c r="K2652" s="10" t="s">
        <v>20</v>
      </c>
      <c r="L2652" s="11" t="n">
        <v>39869.7378356482</v>
      </c>
      <c r="M2652" s="12" t="s">
        <v>3207</v>
      </c>
      <c r="N2652" s="12" t="s">
        <v>6671</v>
      </c>
      <c r="O2652" s="9" t="str">
        <f aca="false">HYPERLINK("https://pbs.twimg.com/profile_images/789203655354306560/2q17fc1u_normal.jpg","View")</f>
        <v>View</v>
      </c>
      <c r="P2652" s="10"/>
    </row>
    <row r="2653" customFormat="false" ht="15.75" hidden="false" customHeight="false" outlineLevel="0" collapsed="false">
      <c r="A2653" s="6" t="n">
        <v>43030.2922453704</v>
      </c>
      <c r="B2653" s="7" t="str">
        <f aca="false">HYPERLINK("https://twitter.com/meteorflower30","@meteorflower30")</f>
        <v>@meteorflower30</v>
      </c>
      <c r="C2653" s="8" t="s">
        <v>6672</v>
      </c>
      <c r="D2653" s="8" t="s">
        <v>3991</v>
      </c>
      <c r="E2653" s="9" t="str">
        <f aca="false">HYPERLINK("https://twitter.com/meteorflower30/status/922100438106652672","922100438106652672")</f>
        <v>922100438106652672</v>
      </c>
      <c r="F2653" s="10" t="s">
        <v>51</v>
      </c>
      <c r="G2653" s="10" t="n">
        <v>5521</v>
      </c>
      <c r="H2653" s="10" t="n">
        <v>3761</v>
      </c>
      <c r="I2653" s="10" t="n">
        <v>17</v>
      </c>
      <c r="J2653" s="10" t="n">
        <v>0</v>
      </c>
      <c r="K2653" s="10" t="s">
        <v>20</v>
      </c>
      <c r="L2653" s="11" t="n">
        <v>40197.311724537</v>
      </c>
      <c r="M2653" s="12"/>
      <c r="N2653" s="12" t="s">
        <v>6673</v>
      </c>
      <c r="O2653" s="9" t="str">
        <f aca="false">HYPERLINK("https://pbs.twimg.com/profile_images/756434580714905601/9lNuo5zD_normal.jpg","View")</f>
        <v>View</v>
      </c>
      <c r="P2653" s="10"/>
    </row>
    <row r="2654" customFormat="false" ht="15.75" hidden="false" customHeight="false" outlineLevel="0" collapsed="false">
      <c r="A2654" s="6" t="n">
        <v>43030.2923263889</v>
      </c>
      <c r="B2654" s="7" t="str">
        <f aca="false">HYPERLINK("https://twitter.com/bogmate","@bogmate")</f>
        <v>@bogmate</v>
      </c>
      <c r="C2654" s="8" t="s">
        <v>6674</v>
      </c>
      <c r="D2654" s="8" t="s">
        <v>6675</v>
      </c>
      <c r="E2654" s="9" t="str">
        <f aca="false">HYPERLINK("https://twitter.com/bogmate/status/922100464937816064","922100464937816064")</f>
        <v>922100464937816064</v>
      </c>
      <c r="F2654" s="10" t="s">
        <v>60</v>
      </c>
      <c r="G2654" s="10" t="n">
        <v>19</v>
      </c>
      <c r="H2654" s="10" t="n">
        <v>393</v>
      </c>
      <c r="I2654" s="10" t="n">
        <v>0</v>
      </c>
      <c r="J2654" s="10" t="n">
        <v>0</v>
      </c>
      <c r="K2654" s="10" t="s">
        <v>20</v>
      </c>
      <c r="L2654" s="11" t="n">
        <v>42230.8846412037</v>
      </c>
      <c r="M2654" s="12"/>
      <c r="N2654" s="12"/>
      <c r="O2654" s="9" t="str">
        <f aca="false">HYPERLINK("https://abs.twimg.com/sticky/default_profile_images/default_profile_normal.png","View")</f>
        <v>View</v>
      </c>
      <c r="P2654" s="10"/>
    </row>
    <row r="2655" customFormat="false" ht="15.75" hidden="false" customHeight="false" outlineLevel="0" collapsed="false">
      <c r="A2655" s="6" t="n">
        <v>43030.2926041667</v>
      </c>
      <c r="B2655" s="7" t="str">
        <f aca="false">HYPERLINK("https://twitter.com/nochebur","@nochebur")</f>
        <v>@nochebur</v>
      </c>
      <c r="C2655" s="8" t="s">
        <v>3569</v>
      </c>
      <c r="D2655" s="8" t="s">
        <v>6676</v>
      </c>
      <c r="E2655" s="9" t="str">
        <f aca="false">HYPERLINK("https://twitter.com/nochebur/status/922100566670508032","922100566670508032")</f>
        <v>922100566670508032</v>
      </c>
      <c r="F2655" s="10" t="s">
        <v>3571</v>
      </c>
      <c r="G2655" s="10" t="n">
        <v>142</v>
      </c>
      <c r="H2655" s="10" t="n">
        <v>368</v>
      </c>
      <c r="I2655" s="10" t="n">
        <v>0</v>
      </c>
      <c r="J2655" s="10" t="n">
        <v>0</v>
      </c>
      <c r="K2655" s="10" t="s">
        <v>20</v>
      </c>
      <c r="L2655" s="11" t="n">
        <v>40029.5442708333</v>
      </c>
      <c r="M2655" s="12" t="s">
        <v>1436</v>
      </c>
      <c r="N2655" s="12" t="s">
        <v>3572</v>
      </c>
      <c r="O2655" s="9" t="str">
        <f aca="false">HYPERLINK("https://pbs.twimg.com/profile_images/834538403706314752/YVVqcKjW_normal.jpg","View")</f>
        <v>View</v>
      </c>
      <c r="P2655" s="10"/>
    </row>
    <row r="2656" customFormat="false" ht="15.75" hidden="false" customHeight="false" outlineLevel="0" collapsed="false">
      <c r="A2656" s="6" t="n">
        <v>43030.2928356482</v>
      </c>
      <c r="B2656" s="7" t="str">
        <f aca="false">HYPERLINK("https://twitter.com/Tretayug","@Tretayug")</f>
        <v>@Tretayug</v>
      </c>
      <c r="C2656" s="8" t="s">
        <v>6677</v>
      </c>
      <c r="D2656" s="8" t="s">
        <v>6678</v>
      </c>
      <c r="E2656" s="9" t="str">
        <f aca="false">HYPERLINK("https://twitter.com/Tretayug/status/922100649642332160","922100649642332160")</f>
        <v>922100649642332160</v>
      </c>
      <c r="F2656" s="10" t="s">
        <v>39</v>
      </c>
      <c r="G2656" s="10" t="n">
        <v>420</v>
      </c>
      <c r="H2656" s="10" t="n">
        <v>1471</v>
      </c>
      <c r="I2656" s="10" t="n">
        <v>0</v>
      </c>
      <c r="J2656" s="10" t="n">
        <v>0</v>
      </c>
      <c r="K2656" s="10" t="s">
        <v>20</v>
      </c>
      <c r="L2656" s="11" t="n">
        <v>42013.1465625</v>
      </c>
      <c r="M2656" s="12" t="s">
        <v>72</v>
      </c>
      <c r="N2656" s="12" t="s">
        <v>6679</v>
      </c>
      <c r="O2656" s="9" t="str">
        <f aca="false">HYPERLINK("https://pbs.twimg.com/profile_images/921976959390928896/YbOouC6v_normal.jpg","View")</f>
        <v>View</v>
      </c>
      <c r="P2656" s="10"/>
    </row>
    <row r="2657" customFormat="false" ht="15.75" hidden="false" customHeight="false" outlineLevel="0" collapsed="false">
      <c r="A2657" s="6" t="n">
        <v>43030.292974537</v>
      </c>
      <c r="B2657" s="7" t="str">
        <f aca="false">HYPERLINK("https://twitter.com/amitj3","@amitj3")</f>
        <v>@amitj3</v>
      </c>
      <c r="C2657" s="8" t="s">
        <v>6680</v>
      </c>
      <c r="D2657" s="8" t="s">
        <v>6558</v>
      </c>
      <c r="E2657" s="9" t="str">
        <f aca="false">HYPERLINK("https://twitter.com/amitj3/status/922100700275810305","922100700275810305")</f>
        <v>922100700275810305</v>
      </c>
      <c r="F2657" s="10" t="s">
        <v>25</v>
      </c>
      <c r="G2657" s="10" t="n">
        <v>532</v>
      </c>
      <c r="H2657" s="10" t="n">
        <v>899</v>
      </c>
      <c r="I2657" s="10" t="n">
        <v>65</v>
      </c>
      <c r="J2657" s="10" t="n">
        <v>0</v>
      </c>
      <c r="K2657" s="10" t="s">
        <v>20</v>
      </c>
      <c r="L2657" s="11" t="n">
        <v>40539.8352083333</v>
      </c>
      <c r="M2657" s="12" t="s">
        <v>6681</v>
      </c>
      <c r="N2657" s="12" t="s">
        <v>6682</v>
      </c>
      <c r="O2657" s="9" t="str">
        <f aca="false">HYPERLINK("https://abs.twimg.com/sticky/default_profile_images/default_profile_normal.png","View")</f>
        <v>View</v>
      </c>
      <c r="P2657" s="10"/>
    </row>
    <row r="2658" customFormat="false" ht="15.75" hidden="false" customHeight="false" outlineLevel="0" collapsed="false">
      <c r="A2658" s="6" t="n">
        <v>43030.2930787037</v>
      </c>
      <c r="B2658" s="7" t="str">
        <f aca="false">HYPERLINK("https://twitter.com/mstifosi","@mstifosi")</f>
        <v>@mstifosi</v>
      </c>
      <c r="C2658" s="8" t="s">
        <v>6683</v>
      </c>
      <c r="D2658" s="8" t="s">
        <v>6684</v>
      </c>
      <c r="E2658" s="9" t="str">
        <f aca="false">HYPERLINK("https://twitter.com/mstifosi/status/922100737160515585","922100737160515585")</f>
        <v>922100737160515585</v>
      </c>
      <c r="F2658" s="10" t="s">
        <v>39</v>
      </c>
      <c r="G2658" s="10" t="n">
        <v>179</v>
      </c>
      <c r="H2658" s="10" t="n">
        <v>151</v>
      </c>
      <c r="I2658" s="10" t="n">
        <v>0</v>
      </c>
      <c r="J2658" s="10" t="n">
        <v>0</v>
      </c>
      <c r="K2658" s="10" t="s">
        <v>20</v>
      </c>
      <c r="L2658" s="11" t="n">
        <v>39675.6888425926</v>
      </c>
      <c r="M2658" s="12" t="s">
        <v>6685</v>
      </c>
      <c r="N2658" s="12" t="s">
        <v>6686</v>
      </c>
      <c r="O2658" s="9" t="str">
        <f aca="false">HYPERLINK("https://pbs.twimg.com/profile_images/739375809903788032/PD5OnlTj_normal.jpg","View")</f>
        <v>View</v>
      </c>
      <c r="P2658" s="10"/>
    </row>
    <row r="2659" customFormat="false" ht="15.75" hidden="false" customHeight="false" outlineLevel="0" collapsed="false">
      <c r="A2659" s="6" t="n">
        <v>43030.293125</v>
      </c>
      <c r="B2659" s="7" t="str">
        <f aca="false">HYPERLINK("https://twitter.com/jaffarspatafore","@jaffarspatafore")</f>
        <v>@jaffarspatafore</v>
      </c>
      <c r="C2659" s="8" t="s">
        <v>6687</v>
      </c>
      <c r="D2659" s="8" t="s">
        <v>6495</v>
      </c>
      <c r="E2659" s="9" t="str">
        <f aca="false">HYPERLINK("https://twitter.com/jaffarspatafore/status/922100753111572480","922100753111572480")</f>
        <v>922100753111572480</v>
      </c>
      <c r="F2659" s="10" t="s">
        <v>51</v>
      </c>
      <c r="G2659" s="10" t="n">
        <v>115</v>
      </c>
      <c r="H2659" s="10" t="n">
        <v>224</v>
      </c>
      <c r="I2659" s="10" t="n">
        <v>15</v>
      </c>
      <c r="J2659" s="10" t="n">
        <v>0</v>
      </c>
      <c r="K2659" s="10" t="s">
        <v>20</v>
      </c>
      <c r="L2659" s="11" t="n">
        <v>41189.1343518519</v>
      </c>
      <c r="M2659" s="12"/>
      <c r="N2659" s="12"/>
      <c r="O2659" s="9" t="str">
        <f aca="false">HYPERLINK("https://pbs.twimg.com/profile_images/641174069136613376/tGC6hUc__normal.jpg","View")</f>
        <v>View</v>
      </c>
      <c r="P2659" s="10"/>
    </row>
    <row r="2660" customFormat="false" ht="15.75" hidden="false" customHeight="false" outlineLevel="0" collapsed="false">
      <c r="A2660" s="6" t="n">
        <v>43030.2932986111</v>
      </c>
      <c r="B2660" s="7" t="str">
        <f aca="false">HYPERLINK("https://twitter.com/SerendipitySays","@SerendipitySays")</f>
        <v>@SerendipitySays</v>
      </c>
      <c r="C2660" s="8" t="s">
        <v>6688</v>
      </c>
      <c r="D2660" s="8" t="s">
        <v>3295</v>
      </c>
      <c r="E2660" s="9" t="str">
        <f aca="false">HYPERLINK("https://twitter.com/SerendipitySays/status/922100818815471616","922100818815471616")</f>
        <v>922100818815471616</v>
      </c>
      <c r="F2660" s="10" t="s">
        <v>25</v>
      </c>
      <c r="G2660" s="10" t="n">
        <v>1239</v>
      </c>
      <c r="H2660" s="10" t="n">
        <v>320</v>
      </c>
      <c r="I2660" s="10" t="n">
        <v>71</v>
      </c>
      <c r="J2660" s="10" t="n">
        <v>0</v>
      </c>
      <c r="K2660" s="10" t="s">
        <v>20</v>
      </c>
      <c r="L2660" s="11" t="n">
        <v>40265.478275463</v>
      </c>
      <c r="M2660" s="12" t="s">
        <v>6689</v>
      </c>
      <c r="N2660" s="12" t="s">
        <v>6690</v>
      </c>
      <c r="O2660" s="9" t="str">
        <f aca="false">HYPERLINK("https://pbs.twimg.com/profile_images/806047860/Cropped_Portrait_Sketch_by_Azerisii_v.2_normal.jpg","View")</f>
        <v>View</v>
      </c>
      <c r="P2660" s="10"/>
    </row>
    <row r="2661" customFormat="false" ht="15.75" hidden="false" customHeight="false" outlineLevel="0" collapsed="false">
      <c r="A2661" s="6" t="n">
        <v>43030.2934606481</v>
      </c>
      <c r="B2661" s="7" t="str">
        <f aca="false">HYPERLINK("https://twitter.com/mbwManzoni","@mbwManzoni")</f>
        <v>@mbwManzoni</v>
      </c>
      <c r="C2661" s="8" t="s">
        <v>45</v>
      </c>
      <c r="D2661" s="8" t="s">
        <v>6691</v>
      </c>
      <c r="E2661" s="9" t="str">
        <f aca="false">HYPERLINK("https://twitter.com/mbwManzoni/status/922100878013796352","922100878013796352")</f>
        <v>922100878013796352</v>
      </c>
      <c r="F2661" s="10" t="s">
        <v>47</v>
      </c>
      <c r="G2661" s="10" t="n">
        <v>503</v>
      </c>
      <c r="H2661" s="10" t="n">
        <v>1161</v>
      </c>
      <c r="I2661" s="10" t="n">
        <v>0</v>
      </c>
      <c r="J2661" s="10" t="n">
        <v>0</v>
      </c>
      <c r="K2661" s="10" t="s">
        <v>20</v>
      </c>
      <c r="L2661" s="11" t="n">
        <v>40440.4984259259</v>
      </c>
      <c r="M2661" s="12" t="s">
        <v>48</v>
      </c>
      <c r="N2661" s="12" t="s">
        <v>49</v>
      </c>
      <c r="O2661" s="9" t="str">
        <f aca="false">HYPERLINK("https://pbs.twimg.com/profile_images/876267141082861569/P5HrOcEH_normal.jpg","View")</f>
        <v>View</v>
      </c>
      <c r="P2661" s="10"/>
    </row>
    <row r="2662" customFormat="false" ht="15.75" hidden="false" customHeight="false" outlineLevel="0" collapsed="false">
      <c r="A2662" s="6" t="n">
        <v>43030.2935185185</v>
      </c>
      <c r="B2662" s="7" t="str">
        <f aca="false">HYPERLINK("https://twitter.com/NTKRNow","@NTKRNow")</f>
        <v>@NTKRNow</v>
      </c>
      <c r="C2662" s="8" t="s">
        <v>829</v>
      </c>
      <c r="D2662" s="8" t="s">
        <v>6692</v>
      </c>
      <c r="E2662" s="9" t="str">
        <f aca="false">HYPERLINK("https://twitter.com/NTKRNow/status/922100896355508225","922100896355508225")</f>
        <v>922100896355508225</v>
      </c>
      <c r="F2662" s="10" t="s">
        <v>60</v>
      </c>
      <c r="G2662" s="10" t="n">
        <v>610</v>
      </c>
      <c r="H2662" s="10" t="n">
        <v>4</v>
      </c>
      <c r="I2662" s="10" t="n">
        <v>0</v>
      </c>
      <c r="J2662" s="10" t="n">
        <v>0</v>
      </c>
      <c r="K2662" s="10" t="s">
        <v>20</v>
      </c>
      <c r="L2662" s="11" t="n">
        <v>42402.810625</v>
      </c>
      <c r="M2662" s="12"/>
      <c r="N2662" s="12"/>
      <c r="O2662" s="9" t="str">
        <f aca="false">HYPERLINK("https://abs.twimg.com/sticky/default_profile_images/default_profile_normal.png","View")</f>
        <v>View</v>
      </c>
      <c r="P2662" s="10"/>
    </row>
    <row r="2663" customFormat="false" ht="15.75" hidden="false" customHeight="false" outlineLevel="0" collapsed="false">
      <c r="A2663" s="6" t="n">
        <v>43030.2937731482</v>
      </c>
      <c r="B2663" s="7" t="str">
        <f aca="false">HYPERLINK("https://twitter.com/sanjai2july","@sanjai2july")</f>
        <v>@sanjai2july</v>
      </c>
      <c r="C2663" s="8" t="s">
        <v>6693</v>
      </c>
      <c r="D2663" s="8" t="s">
        <v>4984</v>
      </c>
      <c r="E2663" s="9" t="str">
        <f aca="false">HYPERLINK("https://twitter.com/sanjai2july/status/922100992153235463","922100992153235463")</f>
        <v>922100992153235463</v>
      </c>
      <c r="F2663" s="10" t="s">
        <v>25</v>
      </c>
      <c r="G2663" s="10" t="n">
        <v>1591</v>
      </c>
      <c r="H2663" s="10" t="n">
        <v>1124</v>
      </c>
      <c r="I2663" s="10" t="n">
        <v>187</v>
      </c>
      <c r="J2663" s="10" t="n">
        <v>0</v>
      </c>
      <c r="K2663" s="10" t="s">
        <v>20</v>
      </c>
      <c r="L2663" s="11" t="n">
        <v>41643.9699537037</v>
      </c>
      <c r="M2663" s="12" t="s">
        <v>6694</v>
      </c>
      <c r="N2663" s="12" t="s">
        <v>6695</v>
      </c>
      <c r="O2663" s="9" t="str">
        <f aca="false">HYPERLINK("https://pbs.twimg.com/profile_images/896633717904429056/xqxE72kb_normal.jpg","View")</f>
        <v>View</v>
      </c>
      <c r="P2663" s="10"/>
    </row>
    <row r="2664" customFormat="false" ht="15.75" hidden="false" customHeight="false" outlineLevel="0" collapsed="false">
      <c r="A2664" s="6" t="n">
        <v>43030.2938194444</v>
      </c>
      <c r="B2664" s="7" t="str">
        <f aca="false">HYPERLINK("https://twitter.com/c_aashish","@c_aashish")</f>
        <v>@c_aashish</v>
      </c>
      <c r="C2664" s="8" t="s">
        <v>6696</v>
      </c>
      <c r="D2664" s="8" t="s">
        <v>6697</v>
      </c>
      <c r="E2664" s="9" t="str">
        <f aca="false">HYPERLINK("https://twitter.com/c_aashish/status/922101008729227264","922101008729227264")</f>
        <v>922101008729227264</v>
      </c>
      <c r="F2664" s="10" t="s">
        <v>25</v>
      </c>
      <c r="G2664" s="10" t="n">
        <v>17061</v>
      </c>
      <c r="H2664" s="10" t="n">
        <v>60</v>
      </c>
      <c r="I2664" s="10" t="n">
        <v>6</v>
      </c>
      <c r="J2664" s="10" t="n">
        <v>6</v>
      </c>
      <c r="K2664" s="10" t="s">
        <v>20</v>
      </c>
      <c r="L2664" s="11" t="n">
        <v>40103.4506134259</v>
      </c>
      <c r="M2664" s="12" t="s">
        <v>1522</v>
      </c>
      <c r="N2664" s="12" t="s">
        <v>6698</v>
      </c>
      <c r="O2664" s="9" t="str">
        <f aca="false">HYPERLINK("https://pbs.twimg.com/profile_images/861609542072717312/hL4yefH6_normal.jpg","View")</f>
        <v>View</v>
      </c>
      <c r="P2664" s="10"/>
    </row>
    <row r="2665" customFormat="false" ht="15.75" hidden="false" customHeight="false" outlineLevel="0" collapsed="false">
      <c r="A2665" s="6" t="n">
        <v>43030.2940625</v>
      </c>
      <c r="B2665" s="7" t="str">
        <f aca="false">HYPERLINK("https://twitter.com/mirakamdar","@mirakamdar")</f>
        <v>@mirakamdar</v>
      </c>
      <c r="C2665" s="8" t="s">
        <v>6699</v>
      </c>
      <c r="D2665" s="8" t="s">
        <v>6369</v>
      </c>
      <c r="E2665" s="9" t="str">
        <f aca="false">HYPERLINK("https://twitter.com/mirakamdar/status/922101092976156672","922101092976156672")</f>
        <v>922101092976156672</v>
      </c>
      <c r="F2665" s="10" t="s">
        <v>39</v>
      </c>
      <c r="G2665" s="10" t="n">
        <v>6150</v>
      </c>
      <c r="H2665" s="10" t="n">
        <v>550</v>
      </c>
      <c r="I2665" s="10" t="n">
        <v>5</v>
      </c>
      <c r="J2665" s="10" t="n">
        <v>0</v>
      </c>
      <c r="K2665" s="10" t="s">
        <v>20</v>
      </c>
      <c r="L2665" s="11" t="n">
        <v>40089.6048032407</v>
      </c>
      <c r="M2665" s="12" t="s">
        <v>6700</v>
      </c>
      <c r="N2665" s="12" t="s">
        <v>6701</v>
      </c>
      <c r="O2665" s="9" t="str">
        <f aca="false">HYPERLINK("https://pbs.twimg.com/profile_images/2100516003/Portrait_Twitter_normal.jpg","View")</f>
        <v>View</v>
      </c>
      <c r="P2665" s="10"/>
    </row>
    <row r="2666" customFormat="false" ht="15.75" hidden="false" customHeight="false" outlineLevel="0" collapsed="false">
      <c r="A2666" s="6" t="n">
        <v>43030.2941203704</v>
      </c>
      <c r="B2666" s="7" t="str">
        <f aca="false">HYPERLINK("https://twitter.com/firstpost","@firstpost")</f>
        <v>@firstpost</v>
      </c>
      <c r="C2666" s="8" t="s">
        <v>2287</v>
      </c>
      <c r="D2666" s="8" t="s">
        <v>6702</v>
      </c>
      <c r="E2666" s="9" t="str">
        <f aca="false">HYPERLINK("https://twitter.com/firstpost/status/922101114278785026","922101114278785026")</f>
        <v>922101114278785026</v>
      </c>
      <c r="F2666" s="10" t="s">
        <v>39</v>
      </c>
      <c r="G2666" s="10" t="n">
        <v>1872020</v>
      </c>
      <c r="H2666" s="10" t="n">
        <v>1000</v>
      </c>
      <c r="I2666" s="10" t="n">
        <v>97</v>
      </c>
      <c r="J2666" s="10" t="n">
        <v>144</v>
      </c>
      <c r="K2666" s="10" t="s">
        <v>20</v>
      </c>
      <c r="L2666" s="11" t="n">
        <v>40597.214837963</v>
      </c>
      <c r="M2666" s="12" t="s">
        <v>253</v>
      </c>
      <c r="N2666" s="12" t="s">
        <v>2289</v>
      </c>
      <c r="O2666" s="9" t="str">
        <f aca="false">HYPERLINK("https://pbs.twimg.com/profile_images/696601463322075137/svSxRGyn_normal.jpg","View")</f>
        <v>View</v>
      </c>
      <c r="P2666" s="10"/>
    </row>
    <row r="2667" customFormat="false" ht="15.75" hidden="false" customHeight="false" outlineLevel="0" collapsed="false">
      <c r="A2667" s="6" t="n">
        <v>43030.2941782407</v>
      </c>
      <c r="B2667" s="7" t="str">
        <f aca="false">HYPERLINK("https://twitter.com/6R1pJeQQuH7DgV3","@6R1pJeQQuH7DgV3")</f>
        <v>@6R1pJeQQuH7DgV3</v>
      </c>
      <c r="C2667" s="14" t="s">
        <v>6703</v>
      </c>
      <c r="D2667" s="8" t="s">
        <v>6704</v>
      </c>
      <c r="E2667" s="9" t="str">
        <f aca="false">HYPERLINK("https://twitter.com/6R1pJeQQuH7DgV3/status/922101138446434304","922101138446434304")</f>
        <v>922101138446434304</v>
      </c>
      <c r="F2667" s="10" t="s">
        <v>39</v>
      </c>
      <c r="G2667" s="10" t="n">
        <v>12</v>
      </c>
      <c r="H2667" s="10" t="n">
        <v>7</v>
      </c>
      <c r="I2667" s="10" t="n">
        <v>0</v>
      </c>
      <c r="J2667" s="10" t="n">
        <v>0</v>
      </c>
      <c r="K2667" s="10" t="s">
        <v>20</v>
      </c>
      <c r="L2667" s="11" t="n">
        <v>42802.1886805556</v>
      </c>
      <c r="M2667" s="12"/>
      <c r="N2667" s="12"/>
      <c r="O2667" s="9" t="str">
        <f aca="false">HYPERLINK("https://abs.twimg.com/sticky/default_profile_images/default_profile_normal.png","View")</f>
        <v>View</v>
      </c>
      <c r="P2667" s="10"/>
    </row>
    <row r="2668" customFormat="false" ht="15.75" hidden="false" customHeight="false" outlineLevel="0" collapsed="false">
      <c r="A2668" s="6" t="n">
        <v>43030.294212963</v>
      </c>
      <c r="B2668" s="7" t="str">
        <f aca="false">HYPERLINK("https://twitter.com/Guyadim","@Guyadim")</f>
        <v>@Guyadim</v>
      </c>
      <c r="C2668" s="8" t="s">
        <v>2570</v>
      </c>
      <c r="D2668" s="8" t="s">
        <v>6705</v>
      </c>
      <c r="E2668" s="9" t="str">
        <f aca="false">HYPERLINK("https://twitter.com/Guyadim/status/922101147418050560","922101147418050560")</f>
        <v>922101147418050560</v>
      </c>
      <c r="F2668" s="9" t="s">
        <v>1147</v>
      </c>
      <c r="G2668" s="10" t="n">
        <v>347</v>
      </c>
      <c r="H2668" s="10" t="n">
        <v>17</v>
      </c>
      <c r="I2668" s="10" t="n">
        <v>0</v>
      </c>
      <c r="J2668" s="10" t="n">
        <v>0</v>
      </c>
      <c r="K2668" s="10" t="s">
        <v>20</v>
      </c>
      <c r="L2668" s="11" t="n">
        <v>40292.1427893519</v>
      </c>
      <c r="M2668" s="12"/>
      <c r="N2668" s="12" t="s">
        <v>2572</v>
      </c>
      <c r="O2668" s="9" t="str">
        <f aca="false">HYPERLINK("https://pbs.twimg.com/profile_images/850958718/paintball_normal.jpg","View")</f>
        <v>View</v>
      </c>
      <c r="P2668" s="10"/>
    </row>
    <row r="2669" customFormat="false" ht="15.75" hidden="false" customHeight="false" outlineLevel="0" collapsed="false">
      <c r="A2669" s="6" t="n">
        <v>43030.2943055556</v>
      </c>
      <c r="B2669" s="7" t="str">
        <f aca="false">HYPERLINK("https://twitter.com/pakirasu","@pakirasu")</f>
        <v>@pakirasu</v>
      </c>
      <c r="C2669" s="8" t="s">
        <v>6706</v>
      </c>
      <c r="D2669" s="8" t="s">
        <v>6707</v>
      </c>
      <c r="E2669" s="9" t="str">
        <f aca="false">HYPERLINK("https://twitter.com/pakirasu/status/922101182830489600","922101182830489600")</f>
        <v>922101182830489600</v>
      </c>
      <c r="F2669" s="16" t="s">
        <v>6708</v>
      </c>
      <c r="G2669" s="10" t="n">
        <v>648</v>
      </c>
      <c r="H2669" s="10" t="n">
        <v>1308</v>
      </c>
      <c r="I2669" s="10" t="n">
        <v>97</v>
      </c>
      <c r="J2669" s="10" t="n">
        <v>0</v>
      </c>
      <c r="K2669" s="10" t="s">
        <v>20</v>
      </c>
      <c r="L2669" s="11" t="n">
        <v>40202.1785532407</v>
      </c>
      <c r="M2669" s="13" t="s">
        <v>6709</v>
      </c>
      <c r="N2669" s="13" t="s">
        <v>6710</v>
      </c>
      <c r="O2669" s="9" t="str">
        <f aca="false">HYPERLINK("https://pbs.twimg.com/profile_images/923066457121943552/-cYm4-jV_normal.jpg","View")</f>
        <v>View</v>
      </c>
      <c r="P2669" s="10"/>
    </row>
    <row r="2670" customFormat="false" ht="15.75" hidden="false" customHeight="false" outlineLevel="0" collapsed="false">
      <c r="A2670" s="6" t="n">
        <v>43030.2943402778</v>
      </c>
      <c r="B2670" s="7" t="str">
        <f aca="false">HYPERLINK("https://twitter.com/AmitAlphy","@AmitAlphy")</f>
        <v>@AmitAlphy</v>
      </c>
      <c r="C2670" s="8" t="s">
        <v>6711</v>
      </c>
      <c r="D2670" s="8" t="s">
        <v>6712</v>
      </c>
      <c r="E2670" s="9" t="str">
        <f aca="false">HYPERLINK("https://twitter.com/AmitAlphy/status/922101195640070144","922101195640070144")</f>
        <v>922101195640070144</v>
      </c>
      <c r="F2670" s="10" t="s">
        <v>39</v>
      </c>
      <c r="G2670" s="10" t="n">
        <v>136</v>
      </c>
      <c r="H2670" s="10" t="n">
        <v>268</v>
      </c>
      <c r="I2670" s="10" t="n">
        <v>0</v>
      </c>
      <c r="J2670" s="10" t="n">
        <v>0</v>
      </c>
      <c r="K2670" s="10" t="s">
        <v>20</v>
      </c>
      <c r="L2670" s="11" t="n">
        <v>41492.5377777778</v>
      </c>
      <c r="M2670" s="12" t="s">
        <v>6713</v>
      </c>
      <c r="N2670" s="12"/>
      <c r="O2670" s="9" t="str">
        <f aca="false">HYPERLINK("https://pbs.twimg.com/profile_images/378800000705746914/c7263ac6478d78fcde6d584f137c5da5_normal.jpeg","View")</f>
        <v>View</v>
      </c>
      <c r="P2670" s="10"/>
    </row>
    <row r="2671" customFormat="false" ht="15.75" hidden="false" customHeight="false" outlineLevel="0" collapsed="false">
      <c r="A2671" s="6" t="n">
        <v>43030.2943402778</v>
      </c>
      <c r="B2671" s="7" t="str">
        <f aca="false">HYPERLINK("https://twitter.com/PoliticsNewz","@PoliticsNewz")</f>
        <v>@PoliticsNewz</v>
      </c>
      <c r="C2671" s="8" t="s">
        <v>1132</v>
      </c>
      <c r="D2671" s="8" t="s">
        <v>6714</v>
      </c>
      <c r="E2671" s="9" t="str">
        <f aca="false">HYPERLINK("https://twitter.com/PoliticsNewz/status/922101196508352518","922101196508352518")</f>
        <v>922101196508352518</v>
      </c>
      <c r="F2671" s="10" t="s">
        <v>1134</v>
      </c>
      <c r="G2671" s="10" t="n">
        <v>56467</v>
      </c>
      <c r="H2671" s="10" t="n">
        <v>48950</v>
      </c>
      <c r="I2671" s="10" t="n">
        <v>0</v>
      </c>
      <c r="J2671" s="10" t="n">
        <v>3</v>
      </c>
      <c r="K2671" s="10" t="s">
        <v>20</v>
      </c>
      <c r="L2671" s="11" t="n">
        <v>40980.5404976852</v>
      </c>
      <c r="M2671" s="12" t="s">
        <v>230</v>
      </c>
      <c r="N2671" s="12" t="s">
        <v>1124</v>
      </c>
      <c r="O2671" s="9" t="str">
        <f aca="false">HYPERLINK("https://pbs.twimg.com/profile_images/1892022292/logo-politicnewz_normal.jpg","View")</f>
        <v>View</v>
      </c>
      <c r="P2671" s="10"/>
    </row>
    <row r="2672" customFormat="false" ht="15.75" hidden="false" customHeight="false" outlineLevel="0" collapsed="false">
      <c r="A2672" s="6" t="n">
        <v>43030.2943981482</v>
      </c>
      <c r="B2672" s="7" t="str">
        <f aca="false">HYPERLINK("https://twitter.com/MortonJ","@MortonJ")</f>
        <v>@MortonJ</v>
      </c>
      <c r="C2672" s="8" t="s">
        <v>6715</v>
      </c>
      <c r="D2672" s="8" t="s">
        <v>3991</v>
      </c>
      <c r="E2672" s="9" t="str">
        <f aca="false">HYPERLINK("https://twitter.com/MortonJ/status/922101217421070336","922101217421070336")</f>
        <v>922101217421070336</v>
      </c>
      <c r="F2672" s="10" t="s">
        <v>51</v>
      </c>
      <c r="G2672" s="10" t="n">
        <v>728</v>
      </c>
      <c r="H2672" s="10" t="n">
        <v>693</v>
      </c>
      <c r="I2672" s="10" t="n">
        <v>17</v>
      </c>
      <c r="J2672" s="10" t="n">
        <v>0</v>
      </c>
      <c r="K2672" s="10" t="s">
        <v>20</v>
      </c>
      <c r="L2672" s="11" t="n">
        <v>40645.7445486111</v>
      </c>
      <c r="M2672" s="12" t="s">
        <v>6716</v>
      </c>
      <c r="N2672" s="12" t="s">
        <v>6717</v>
      </c>
      <c r="O2672" s="9" t="str">
        <f aca="false">HYPERLINK("https://pbs.twimg.com/profile_images/780041587535581184/oAS6AFSQ_normal.jpg","View")</f>
        <v>View</v>
      </c>
      <c r="P2672" s="10"/>
    </row>
    <row r="2673" customFormat="false" ht="15.75" hidden="false" customHeight="false" outlineLevel="0" collapsed="false">
      <c r="A2673" s="6" t="n">
        <v>43030.2944328704</v>
      </c>
      <c r="B2673" s="7" t="str">
        <f aca="false">HYPERLINK("https://twitter.com/talk_anderson","@talk_anderson")</f>
        <v>@talk_anderson</v>
      </c>
      <c r="C2673" s="8" t="s">
        <v>6718</v>
      </c>
      <c r="D2673" s="8" t="s">
        <v>6707</v>
      </c>
      <c r="E2673" s="9" t="str">
        <f aca="false">HYPERLINK("https://twitter.com/talk_anderson/status/922101229878046721","922101229878046721")</f>
        <v>922101229878046721</v>
      </c>
      <c r="F2673" s="10" t="s">
        <v>1024</v>
      </c>
      <c r="G2673" s="10" t="n">
        <v>1696</v>
      </c>
      <c r="H2673" s="10" t="n">
        <v>5000</v>
      </c>
      <c r="I2673" s="10" t="n">
        <v>97</v>
      </c>
      <c r="J2673" s="10" t="n">
        <v>0</v>
      </c>
      <c r="K2673" s="10" t="s">
        <v>20</v>
      </c>
      <c r="L2673" s="11" t="n">
        <v>40249.0070717593</v>
      </c>
      <c r="M2673" s="12" t="s">
        <v>6719</v>
      </c>
      <c r="N2673" s="12" t="s">
        <v>6720</v>
      </c>
      <c r="O2673" s="9" t="str">
        <f aca="false">HYPERLINK("https://pbs.twimg.com/profile_images/870751350233063424/bPi4WsCB_normal.jpg","View")</f>
        <v>View</v>
      </c>
      <c r="P2673" s="10"/>
    </row>
    <row r="2674" customFormat="false" ht="15.75" hidden="false" customHeight="false" outlineLevel="0" collapsed="false">
      <c r="A2674" s="6" t="n">
        <v>43030.2944328704</v>
      </c>
      <c r="B2674" s="7" t="str">
        <f aca="false">HYPERLINK("https://twitter.com/NamVietNetwork","@NamVietNetwork")</f>
        <v>@NamVietNetwork</v>
      </c>
      <c r="C2674" s="8" t="s">
        <v>2489</v>
      </c>
      <c r="D2674" s="8" t="s">
        <v>6721</v>
      </c>
      <c r="E2674" s="9" t="str">
        <f aca="false">HYPERLINK("https://twitter.com/NamVietNetwork/status/922101231157379072","922101231157379072")</f>
        <v>922101231157379072</v>
      </c>
      <c r="F2674" s="10" t="s">
        <v>55</v>
      </c>
      <c r="G2674" s="10" t="n">
        <v>1540</v>
      </c>
      <c r="H2674" s="10" t="n">
        <v>147</v>
      </c>
      <c r="I2674" s="10" t="n">
        <v>0</v>
      </c>
      <c r="J2674" s="10" t="n">
        <v>0</v>
      </c>
      <c r="K2674" s="10" t="s">
        <v>20</v>
      </c>
      <c r="L2674" s="11" t="n">
        <v>40189.0717476852</v>
      </c>
      <c r="M2674" s="12" t="s">
        <v>2491</v>
      </c>
      <c r="N2674" s="12" t="s">
        <v>2492</v>
      </c>
      <c r="O2674" s="9" t="str">
        <f aca="false">HYPERLINK("https://pbs.twimg.com/profile_images/2509866256/6fjgs8rtts7014kqe70t_normal.jpeg","View")</f>
        <v>View</v>
      </c>
      <c r="P2674" s="10"/>
    </row>
    <row r="2675" customFormat="false" ht="15.75" hidden="false" customHeight="false" outlineLevel="0" collapsed="false">
      <c r="A2675" s="6" t="n">
        <v>43030.2944444444</v>
      </c>
      <c r="B2675" s="7" t="str">
        <f aca="false">HYPERLINK("https://twitter.com/NamVietNetwork","@NamVietNetwork")</f>
        <v>@NamVietNetwork</v>
      </c>
      <c r="C2675" s="8" t="s">
        <v>2489</v>
      </c>
      <c r="D2675" s="8" t="s">
        <v>6722</v>
      </c>
      <c r="E2675" s="9" t="str">
        <f aca="false">HYPERLINK("https://twitter.com/NamVietNetwork/status/922101231924989952","922101231924989952")</f>
        <v>922101231924989952</v>
      </c>
      <c r="F2675" s="10" t="s">
        <v>55</v>
      </c>
      <c r="G2675" s="10" t="n">
        <v>1540</v>
      </c>
      <c r="H2675" s="10" t="n">
        <v>147</v>
      </c>
      <c r="I2675" s="10" t="n">
        <v>0</v>
      </c>
      <c r="J2675" s="10" t="n">
        <v>0</v>
      </c>
      <c r="K2675" s="10" t="s">
        <v>20</v>
      </c>
      <c r="L2675" s="11" t="n">
        <v>40189.0717476852</v>
      </c>
      <c r="M2675" s="12" t="s">
        <v>2491</v>
      </c>
      <c r="N2675" s="12" t="s">
        <v>2492</v>
      </c>
      <c r="O2675" s="9" t="str">
        <f aca="false">HYPERLINK("https://pbs.twimg.com/profile_images/2509866256/6fjgs8rtts7014kqe70t_normal.jpeg","View")</f>
        <v>View</v>
      </c>
      <c r="P2675" s="10"/>
    </row>
    <row r="2676" customFormat="false" ht="15.75" hidden="false" customHeight="false" outlineLevel="0" collapsed="false">
      <c r="A2676" s="6" t="n">
        <v>43030.2945486111</v>
      </c>
      <c r="B2676" s="7" t="str">
        <f aca="false">HYPERLINK("https://twitter.com/75_joker_v","@75_joker_v")</f>
        <v>@75_joker_v</v>
      </c>
      <c r="C2676" s="8" t="s">
        <v>6723</v>
      </c>
      <c r="D2676" s="8" t="s">
        <v>6724</v>
      </c>
      <c r="E2676" s="9" t="str">
        <f aca="false">HYPERLINK("https://twitter.com/75_joker_v/status/922101270466277378","922101270466277378")</f>
        <v>922101270466277378</v>
      </c>
      <c r="F2676" s="10" t="s">
        <v>39</v>
      </c>
      <c r="G2676" s="10" t="n">
        <v>215</v>
      </c>
      <c r="H2676" s="10" t="n">
        <v>1972</v>
      </c>
      <c r="I2676" s="10" t="n">
        <v>0</v>
      </c>
      <c r="J2676" s="10" t="n">
        <v>0</v>
      </c>
      <c r="K2676" s="10" t="s">
        <v>20</v>
      </c>
      <c r="L2676" s="11" t="n">
        <v>40437.4527430556</v>
      </c>
      <c r="M2676" s="12" t="s">
        <v>6725</v>
      </c>
      <c r="N2676" s="12" t="s">
        <v>6726</v>
      </c>
      <c r="O2676" s="9" t="str">
        <f aca="false">HYPERLINK("https://pbs.twimg.com/profile_images/749912516847951876/OifR89hQ_normal.jpg","View")</f>
        <v>View</v>
      </c>
      <c r="P2676" s="10"/>
    </row>
    <row r="2677" customFormat="false" ht="15.75" hidden="false" customHeight="false" outlineLevel="0" collapsed="false">
      <c r="A2677" s="6" t="n">
        <v>43030.2946990741</v>
      </c>
      <c r="B2677" s="7" t="str">
        <f aca="false">HYPERLINK("https://twitter.com/AcheDinAaneWale","@AcheDinAaneWale")</f>
        <v>@AcheDinAaneWale</v>
      </c>
      <c r="C2677" s="8" t="s">
        <v>62</v>
      </c>
      <c r="D2677" s="8" t="s">
        <v>6727</v>
      </c>
      <c r="E2677" s="9" t="str">
        <f aca="false">HYPERLINK("https://twitter.com/AcheDinAaneWale/status/922101327399997443","922101327399997443")</f>
        <v>922101327399997443</v>
      </c>
      <c r="F2677" s="10" t="s">
        <v>60</v>
      </c>
      <c r="G2677" s="10" t="n">
        <v>5272</v>
      </c>
      <c r="H2677" s="10" t="n">
        <v>1963</v>
      </c>
      <c r="I2677" s="10" t="n">
        <v>0</v>
      </c>
      <c r="J2677" s="10" t="n">
        <v>0</v>
      </c>
      <c r="K2677" s="10" t="s">
        <v>20</v>
      </c>
      <c r="L2677" s="11" t="n">
        <v>41780.2063310185</v>
      </c>
      <c r="M2677" s="12" t="s">
        <v>64</v>
      </c>
      <c r="N2677" s="12" t="s">
        <v>65</v>
      </c>
      <c r="O2677" s="9" t="str">
        <f aca="false">HYPERLINK("https://pbs.twimg.com/profile_images/469240254461796352/nzfPG2gy_normal.jpeg","View")</f>
        <v>View</v>
      </c>
      <c r="P2677" s="10"/>
    </row>
    <row r="2678" customFormat="false" ht="15.75" hidden="false" customHeight="false" outlineLevel="0" collapsed="false">
      <c r="A2678" s="6" t="n">
        <v>43030.2947337963</v>
      </c>
      <c r="B2678" s="7" t="str">
        <f aca="false">HYPERLINK("https://twitter.com/euronews","@euronews")</f>
        <v>@euronews</v>
      </c>
      <c r="C2678" s="8" t="s">
        <v>6728</v>
      </c>
      <c r="D2678" s="8" t="s">
        <v>6729</v>
      </c>
      <c r="E2678" s="9" t="str">
        <f aca="false">HYPERLINK("https://twitter.com/euronews/status/922101336589598720","922101336589598720")</f>
        <v>922101336589598720</v>
      </c>
      <c r="F2678" s="10" t="s">
        <v>2506</v>
      </c>
      <c r="G2678" s="10" t="n">
        <v>272109</v>
      </c>
      <c r="H2678" s="10" t="n">
        <v>785</v>
      </c>
      <c r="I2678" s="10" t="n">
        <v>13</v>
      </c>
      <c r="J2678" s="10" t="n">
        <v>5</v>
      </c>
      <c r="K2678" s="10" t="s">
        <v>20</v>
      </c>
      <c r="L2678" s="11" t="n">
        <v>39890.2480439815</v>
      </c>
      <c r="M2678" s="12" t="s">
        <v>1635</v>
      </c>
      <c r="N2678" s="12" t="s">
        <v>6730</v>
      </c>
      <c r="O2678" s="9" t="str">
        <f aca="false">HYPERLINK("https://pbs.twimg.com/profile_images/732665354242150400/tZsCnjuh_normal.jpg","View")</f>
        <v>View</v>
      </c>
      <c r="P2678" s="10"/>
    </row>
    <row r="2679" customFormat="false" ht="15.75" hidden="false" customHeight="false" outlineLevel="0" collapsed="false">
      <c r="A2679" s="6" t="n">
        <v>43030.2949884259</v>
      </c>
      <c r="B2679" s="7" t="str">
        <f aca="false">HYPERLINK("https://twitter.com/mukmook","@mukmook")</f>
        <v>@mukmook</v>
      </c>
      <c r="C2679" s="8" t="s">
        <v>3440</v>
      </c>
      <c r="D2679" s="8" t="s">
        <v>6731</v>
      </c>
      <c r="E2679" s="9" t="str">
        <f aca="false">HYPERLINK("https://twitter.com/mukmook/status/922101430474883072","922101430474883072")</f>
        <v>922101430474883072</v>
      </c>
      <c r="F2679" s="10" t="s">
        <v>276</v>
      </c>
      <c r="G2679" s="10" t="n">
        <v>3130</v>
      </c>
      <c r="H2679" s="10" t="n">
        <v>1184</v>
      </c>
      <c r="I2679" s="10" t="n">
        <v>13</v>
      </c>
      <c r="J2679" s="10" t="n">
        <v>0</v>
      </c>
      <c r="K2679" s="10" t="s">
        <v>20</v>
      </c>
      <c r="L2679" s="11" t="n">
        <v>39975.9523958333</v>
      </c>
      <c r="M2679" s="12" t="s">
        <v>3441</v>
      </c>
      <c r="N2679" s="12" t="s">
        <v>3442</v>
      </c>
      <c r="O2679" s="9" t="str">
        <f aca="false">HYPERLINK("https://pbs.twimg.com/profile_images/893090107451777025/hbaGmOe1_normal.jpg","View")</f>
        <v>View</v>
      </c>
      <c r="P2679" s="10"/>
    </row>
    <row r="2680" customFormat="false" ht="15.75" hidden="false" customHeight="false" outlineLevel="0" collapsed="false">
      <c r="A2680" s="6" t="n">
        <v>43030.2951388889</v>
      </c>
      <c r="B2680" s="7" t="str">
        <f aca="false">HYPERLINK("https://twitter.com/keller_lind","@keller_lind")</f>
        <v>@keller_lind</v>
      </c>
      <c r="C2680" s="8" t="s">
        <v>6732</v>
      </c>
      <c r="D2680" s="8" t="s">
        <v>6731</v>
      </c>
      <c r="E2680" s="9" t="str">
        <f aca="false">HYPERLINK("https://twitter.com/keller_lind/status/922101485848186880","922101485848186880")</f>
        <v>922101485848186880</v>
      </c>
      <c r="F2680" s="10" t="s">
        <v>39</v>
      </c>
      <c r="G2680" s="10" t="n">
        <v>839</v>
      </c>
      <c r="H2680" s="10" t="n">
        <v>667</v>
      </c>
      <c r="I2680" s="10" t="n">
        <v>13</v>
      </c>
      <c r="J2680" s="10" t="n">
        <v>0</v>
      </c>
      <c r="K2680" s="10" t="s">
        <v>20</v>
      </c>
      <c r="L2680" s="11" t="n">
        <v>40998.3497453704</v>
      </c>
      <c r="M2680" s="12"/>
      <c r="N2680" s="12" t="s">
        <v>6733</v>
      </c>
      <c r="O2680" s="9" t="str">
        <f aca="false">HYPERLINK("https://pbs.twimg.com/profile_images/856500294854823936/HJmL8ezz_normal.jpg","View")</f>
        <v>View</v>
      </c>
      <c r="P2680" s="10"/>
    </row>
    <row r="2681" customFormat="false" ht="15.75" hidden="false" customHeight="false" outlineLevel="0" collapsed="false">
      <c r="A2681" s="6" t="n">
        <v>43030.2955092593</v>
      </c>
      <c r="B2681" s="7" t="str">
        <f aca="false">HYPERLINK("https://twitter.com/Sonu01021990","@Sonu01021990")</f>
        <v>@Sonu01021990</v>
      </c>
      <c r="C2681" s="8" t="s">
        <v>6734</v>
      </c>
      <c r="D2681" s="8" t="s">
        <v>6707</v>
      </c>
      <c r="E2681" s="9" t="str">
        <f aca="false">HYPERLINK("https://twitter.com/Sonu01021990/status/922101620942311424","922101620942311424")</f>
        <v>922101620942311424</v>
      </c>
      <c r="F2681" s="10" t="s">
        <v>25</v>
      </c>
      <c r="G2681" s="10" t="n">
        <v>36</v>
      </c>
      <c r="H2681" s="10" t="n">
        <v>105</v>
      </c>
      <c r="I2681" s="10" t="n">
        <v>97</v>
      </c>
      <c r="J2681" s="10" t="n">
        <v>0</v>
      </c>
      <c r="K2681" s="10" t="s">
        <v>20</v>
      </c>
      <c r="L2681" s="11" t="n">
        <v>40231.9134143519</v>
      </c>
      <c r="M2681" s="12" t="s">
        <v>6735</v>
      </c>
      <c r="N2681" s="12"/>
      <c r="O2681" s="9" t="str">
        <f aca="false">HYPERLINK("https://pbs.twimg.com/profile_images/921044916641284098/7jmJCt22_normal.jpg","View")</f>
        <v>View</v>
      </c>
      <c r="P2681" s="10"/>
    </row>
    <row r="2682" customFormat="false" ht="15.75" hidden="false" customHeight="false" outlineLevel="0" collapsed="false">
      <c r="A2682" s="6" t="n">
        <v>43030.2955324074</v>
      </c>
      <c r="B2682" s="7" t="str">
        <f aca="false">HYPERLINK("https://twitter.com/nidhis510","@nidhis510")</f>
        <v>@nidhis510</v>
      </c>
      <c r="C2682" s="8" t="s">
        <v>6736</v>
      </c>
      <c r="D2682" s="8" t="s">
        <v>6707</v>
      </c>
      <c r="E2682" s="9" t="str">
        <f aca="false">HYPERLINK("https://twitter.com/nidhis510/status/922101626134970369","922101626134970369")</f>
        <v>922101626134970369</v>
      </c>
      <c r="F2682" s="10" t="s">
        <v>25</v>
      </c>
      <c r="G2682" s="10" t="n">
        <v>85</v>
      </c>
      <c r="H2682" s="10" t="n">
        <v>429</v>
      </c>
      <c r="I2682" s="10" t="n">
        <v>97</v>
      </c>
      <c r="J2682" s="10" t="n">
        <v>0</v>
      </c>
      <c r="K2682" s="10" t="s">
        <v>20</v>
      </c>
      <c r="L2682" s="11" t="n">
        <v>41652.3625462963</v>
      </c>
      <c r="M2682" s="12"/>
      <c r="N2682" s="12" t="s">
        <v>6737</v>
      </c>
      <c r="O2682" s="9" t="str">
        <f aca="false">HYPERLINK("https://pbs.twimg.com/profile_images/865142897938542593/-xh8rDjm_normal.jpg","View")</f>
        <v>View</v>
      </c>
      <c r="P2682" s="10"/>
    </row>
    <row r="2683" customFormat="false" ht="15.75" hidden="false" customHeight="false" outlineLevel="0" collapsed="false">
      <c r="A2683" s="6" t="n">
        <v>43030.2955902778</v>
      </c>
      <c r="B2683" s="7" t="str">
        <f aca="false">HYPERLINK("https://twitter.com/armand532","@armand532")</f>
        <v>@armand532</v>
      </c>
      <c r="C2683" s="8" t="s">
        <v>6738</v>
      </c>
      <c r="D2683" s="8" t="s">
        <v>6739</v>
      </c>
      <c r="E2683" s="9" t="str">
        <f aca="false">HYPERLINK("https://twitter.com/armand532/status/922101648134205441","922101648134205441")</f>
        <v>922101648134205441</v>
      </c>
      <c r="F2683" s="10" t="s">
        <v>25</v>
      </c>
      <c r="G2683" s="10" t="n">
        <v>570</v>
      </c>
      <c r="H2683" s="10" t="n">
        <v>2048</v>
      </c>
      <c r="I2683" s="10" t="n">
        <v>0</v>
      </c>
      <c r="J2683" s="10" t="n">
        <v>0</v>
      </c>
      <c r="K2683" s="10" t="s">
        <v>20</v>
      </c>
      <c r="L2683" s="11" t="n">
        <v>40721.6112384259</v>
      </c>
      <c r="M2683" s="12" t="s">
        <v>6740</v>
      </c>
      <c r="N2683" s="12" t="s">
        <v>6741</v>
      </c>
      <c r="O2683" s="9" t="str">
        <f aca="false">HYPERLINK("https://pbs.twimg.com/profile_images/888085837098909699/_BYgf4LF_normal.jpg","View")</f>
        <v>View</v>
      </c>
      <c r="P2683" s="10"/>
    </row>
    <row r="2684" customFormat="false" ht="15.75" hidden="false" customHeight="false" outlineLevel="0" collapsed="false">
      <c r="A2684" s="6" t="n">
        <v>43030.2956134259</v>
      </c>
      <c r="B2684" s="7" t="str">
        <f aca="false">HYPERLINK("https://twitter.com/tantra341","@tantra341")</f>
        <v>@tantra341</v>
      </c>
      <c r="C2684" s="8" t="s">
        <v>6742</v>
      </c>
      <c r="D2684" s="8" t="s">
        <v>6707</v>
      </c>
      <c r="E2684" s="9" t="str">
        <f aca="false">HYPERLINK("https://twitter.com/tantra341/status/922101656447107072","922101656447107072")</f>
        <v>922101656447107072</v>
      </c>
      <c r="F2684" s="10" t="s">
        <v>25</v>
      </c>
      <c r="G2684" s="10" t="n">
        <v>401</v>
      </c>
      <c r="H2684" s="10" t="n">
        <v>1566</v>
      </c>
      <c r="I2684" s="10" t="n">
        <v>97</v>
      </c>
      <c r="J2684" s="10" t="n">
        <v>0</v>
      </c>
      <c r="K2684" s="10" t="s">
        <v>20</v>
      </c>
      <c r="L2684" s="11" t="n">
        <v>41787.4134490741</v>
      </c>
      <c r="M2684" s="12"/>
      <c r="N2684" s="12" t="s">
        <v>6743</v>
      </c>
      <c r="O2684" s="9" t="str">
        <f aca="false">HYPERLINK("https://pbs.twimg.com/profile_images/900389967335051264/L1pUqQfs_normal.jpg","View")</f>
        <v>View</v>
      </c>
      <c r="P2684" s="10"/>
    </row>
    <row r="2685" customFormat="false" ht="15.75" hidden="false" customHeight="false" outlineLevel="0" collapsed="false">
      <c r="A2685" s="6" t="n">
        <v>43030.2960532408</v>
      </c>
      <c r="B2685" s="7" t="str">
        <f aca="false">HYPERLINK("https://twitter.com/neerjanni2000","@neerjanni2000")</f>
        <v>@neerjanni2000</v>
      </c>
      <c r="C2685" s="8" t="s">
        <v>6744</v>
      </c>
      <c r="D2685" s="8" t="s">
        <v>6707</v>
      </c>
      <c r="E2685" s="9" t="str">
        <f aca="false">HYPERLINK("https://twitter.com/neerjanni2000/status/922101817856659456","922101817856659456")</f>
        <v>922101817856659456</v>
      </c>
      <c r="F2685" s="10" t="s">
        <v>25</v>
      </c>
      <c r="G2685" s="10" t="n">
        <v>360</v>
      </c>
      <c r="H2685" s="10" t="n">
        <v>563</v>
      </c>
      <c r="I2685" s="10" t="n">
        <v>97</v>
      </c>
      <c r="J2685" s="10" t="n">
        <v>0</v>
      </c>
      <c r="K2685" s="10" t="s">
        <v>20</v>
      </c>
      <c r="L2685" s="11" t="n">
        <v>40073.0961226852</v>
      </c>
      <c r="M2685" s="12" t="s">
        <v>72</v>
      </c>
      <c r="N2685" s="12" t="s">
        <v>6745</v>
      </c>
      <c r="O2685" s="9" t="str">
        <f aca="false">HYPERLINK("https://pbs.twimg.com/profile_images/794753004784275456/gksK2SJb_normal.jpg","View")</f>
        <v>View</v>
      </c>
      <c r="P2685" s="10"/>
    </row>
    <row r="2686" customFormat="false" ht="15.75" hidden="false" customHeight="false" outlineLevel="0" collapsed="false">
      <c r="A2686" s="6" t="n">
        <v>43030.2962615741</v>
      </c>
      <c r="B2686" s="7" t="str">
        <f aca="false">HYPERLINK("https://twitter.com/AVT470BUG","@AVT470BUG")</f>
        <v>@AVT470BUG</v>
      </c>
      <c r="C2686" s="8" t="s">
        <v>6746</v>
      </c>
      <c r="D2686" s="8" t="s">
        <v>6731</v>
      </c>
      <c r="E2686" s="9" t="str">
        <f aca="false">HYPERLINK("https://twitter.com/AVT470BUG/status/922101892238446593","922101892238446593")</f>
        <v>922101892238446593</v>
      </c>
      <c r="F2686" s="10" t="s">
        <v>39</v>
      </c>
      <c r="G2686" s="10" t="n">
        <v>157</v>
      </c>
      <c r="H2686" s="10" t="n">
        <v>171</v>
      </c>
      <c r="I2686" s="10" t="n">
        <v>13</v>
      </c>
      <c r="J2686" s="10" t="n">
        <v>0</v>
      </c>
      <c r="K2686" s="10" t="s">
        <v>20</v>
      </c>
      <c r="L2686" s="11" t="n">
        <v>41421.6803240741</v>
      </c>
      <c r="M2686" s="12" t="s">
        <v>6747</v>
      </c>
      <c r="N2686" s="12" t="s">
        <v>6748</v>
      </c>
      <c r="O2686" s="9" t="str">
        <f aca="false">HYPERLINK("https://pbs.twimg.com/profile_images/862892790073765888/99_Tg4WT_normal.jpg","View")</f>
        <v>View</v>
      </c>
      <c r="P2686" s="10"/>
    </row>
    <row r="2687" customFormat="false" ht="15.75" hidden="false" customHeight="false" outlineLevel="0" collapsed="false">
      <c r="A2687" s="6" t="n">
        <v>43030.2963773148</v>
      </c>
      <c r="B2687" s="7" t="str">
        <f aca="false">HYPERLINK("https://twitter.com/wxyzjpn","@wxyzjpn")</f>
        <v>@wxyzjpn</v>
      </c>
      <c r="C2687" s="14" t="s">
        <v>6749</v>
      </c>
      <c r="D2687" s="8" t="s">
        <v>6656</v>
      </c>
      <c r="E2687" s="9" t="str">
        <f aca="false">HYPERLINK("https://twitter.com/wxyzjpn/status/922101934105837571","922101934105837571")</f>
        <v>922101934105837571</v>
      </c>
      <c r="F2687" s="10" t="s">
        <v>51</v>
      </c>
      <c r="G2687" s="10" t="n">
        <v>232</v>
      </c>
      <c r="H2687" s="10" t="n">
        <v>253</v>
      </c>
      <c r="I2687" s="10" t="n">
        <v>2</v>
      </c>
      <c r="J2687" s="10" t="n">
        <v>0</v>
      </c>
      <c r="K2687" s="10" t="s">
        <v>20</v>
      </c>
      <c r="L2687" s="11" t="n">
        <v>41494.6771064815</v>
      </c>
      <c r="M2687" s="12"/>
      <c r="N2687" s="13" t="s">
        <v>6750</v>
      </c>
      <c r="O2687" s="9" t="str">
        <f aca="false">HYPERLINK("https://pbs.twimg.com/profile_images/730413925443899397/Ce07gHOO_normal.jpg","View")</f>
        <v>View</v>
      </c>
      <c r="P2687" s="10"/>
    </row>
    <row r="2688" customFormat="false" ht="15.75" hidden="false" customHeight="false" outlineLevel="0" collapsed="false">
      <c r="A2688" s="6" t="n">
        <v>43030.2963888889</v>
      </c>
      <c r="B2688" s="7" t="str">
        <f aca="false">HYPERLINK("https://twitter.com/ksvijayabaskar","@ksvijayabaskar")</f>
        <v>@ksvijayabaskar</v>
      </c>
      <c r="C2688" s="8" t="s">
        <v>6751</v>
      </c>
      <c r="D2688" s="8" t="s">
        <v>6707</v>
      </c>
      <c r="E2688" s="9" t="str">
        <f aca="false">HYPERLINK("https://twitter.com/ksvijayabaskar/status/922101936031014913","922101936031014913")</f>
        <v>922101936031014913</v>
      </c>
      <c r="F2688" s="10" t="s">
        <v>25</v>
      </c>
      <c r="G2688" s="10" t="n">
        <v>171</v>
      </c>
      <c r="H2688" s="10" t="n">
        <v>269</v>
      </c>
      <c r="I2688" s="10" t="n">
        <v>97</v>
      </c>
      <c r="J2688" s="10" t="n">
        <v>0</v>
      </c>
      <c r="K2688" s="10" t="s">
        <v>20</v>
      </c>
      <c r="L2688" s="11" t="n">
        <v>39730.9902314815</v>
      </c>
      <c r="M2688" s="12" t="s">
        <v>1104</v>
      </c>
      <c r="N2688" s="12" t="s">
        <v>6752</v>
      </c>
      <c r="O2688" s="9" t="str">
        <f aca="false">HYPERLINK("https://pbs.twimg.com/profile_images/916321031521845248/q5VcxOaD_normal.jpg","View")</f>
        <v>View</v>
      </c>
      <c r="P2688" s="10"/>
    </row>
    <row r="2689" customFormat="false" ht="15.75" hidden="false" customHeight="false" outlineLevel="0" collapsed="false">
      <c r="A2689" s="6" t="n">
        <v>43030.2964583333</v>
      </c>
      <c r="B2689" s="7" t="str">
        <f aca="false">HYPERLINK("https://twitter.com/MBTwomey","@MBTwomey")</f>
        <v>@MBTwomey</v>
      </c>
      <c r="C2689" s="8" t="s">
        <v>6753</v>
      </c>
      <c r="D2689" s="8" t="s">
        <v>6754</v>
      </c>
      <c r="E2689" s="9" t="str">
        <f aca="false">HYPERLINK("https://twitter.com/MBTwomey/status/922101965223612417","922101965223612417")</f>
        <v>922101965223612417</v>
      </c>
      <c r="F2689" s="10" t="s">
        <v>25</v>
      </c>
      <c r="G2689" s="10" t="n">
        <v>479</v>
      </c>
      <c r="H2689" s="10" t="n">
        <v>869</v>
      </c>
      <c r="I2689" s="10" t="n">
        <v>0</v>
      </c>
      <c r="J2689" s="10" t="n">
        <v>0</v>
      </c>
      <c r="K2689" s="10" t="s">
        <v>20</v>
      </c>
      <c r="L2689" s="11" t="n">
        <v>39969.135150463</v>
      </c>
      <c r="M2689" s="12" t="s">
        <v>6755</v>
      </c>
      <c r="N2689" s="12" t="s">
        <v>6756</v>
      </c>
      <c r="O2689" s="9" t="str">
        <f aca="false">HYPERLINK("https://pbs.twimg.com/profile_images/922917887672713217/N9F7_taB_normal.jpg","View")</f>
        <v>View</v>
      </c>
      <c r="P2689" s="10"/>
    </row>
    <row r="2690" customFormat="false" ht="15.75" hidden="false" customHeight="false" outlineLevel="0" collapsed="false">
      <c r="A2690" s="6" t="n">
        <v>43030.2967708333</v>
      </c>
      <c r="B2690" s="7" t="str">
        <f aca="false">HYPERLINK("https://twitter.com/RpG_89","@RpG_89")</f>
        <v>@RpG_89</v>
      </c>
      <c r="C2690" s="8" t="s">
        <v>6757</v>
      </c>
      <c r="D2690" s="8" t="s">
        <v>6707</v>
      </c>
      <c r="E2690" s="9" t="str">
        <f aca="false">HYPERLINK("https://twitter.com/RpG_89/status/922102076863234048","922102076863234048")</f>
        <v>922102076863234048</v>
      </c>
      <c r="F2690" s="10" t="s">
        <v>25</v>
      </c>
      <c r="G2690" s="10" t="n">
        <v>7159</v>
      </c>
      <c r="H2690" s="10" t="n">
        <v>866</v>
      </c>
      <c r="I2690" s="10" t="n">
        <v>97</v>
      </c>
      <c r="J2690" s="10" t="n">
        <v>0</v>
      </c>
      <c r="K2690" s="10" t="s">
        <v>20</v>
      </c>
      <c r="L2690" s="11" t="n">
        <v>41594.6503472222</v>
      </c>
      <c r="M2690" s="12"/>
      <c r="N2690" s="12" t="s">
        <v>6758</v>
      </c>
      <c r="O2690" s="9" t="str">
        <f aca="false">HYPERLINK("https://pbs.twimg.com/profile_images/853652457678929926/ah_blqRZ_normal.jpg","View")</f>
        <v>View</v>
      </c>
      <c r="P2690" s="10"/>
    </row>
    <row r="2691" customFormat="false" ht="15.75" hidden="false" customHeight="false" outlineLevel="0" collapsed="false">
      <c r="A2691" s="6" t="n">
        <v>43030.2968287037</v>
      </c>
      <c r="B2691" s="7" t="str">
        <f aca="false">HYPERLINK("https://twitter.com/srlcakeys","@srlcakeys")</f>
        <v>@srlcakeys</v>
      </c>
      <c r="C2691" s="14" t="s">
        <v>6759</v>
      </c>
      <c r="D2691" s="8" t="s">
        <v>6760</v>
      </c>
      <c r="E2691" s="9" t="str">
        <f aca="false">HYPERLINK("https://twitter.com/srlcakeys/status/922102095603425280","922102095603425280")</f>
        <v>922102095603425280</v>
      </c>
      <c r="F2691" s="10" t="s">
        <v>51</v>
      </c>
      <c r="G2691" s="10" t="n">
        <v>1230</v>
      </c>
      <c r="H2691" s="10" t="n">
        <v>1247</v>
      </c>
      <c r="I2691" s="10" t="n">
        <v>0</v>
      </c>
      <c r="J2691" s="10" t="n">
        <v>0</v>
      </c>
      <c r="K2691" s="10" t="s">
        <v>20</v>
      </c>
      <c r="L2691" s="11" t="n">
        <v>41561.9902314815</v>
      </c>
      <c r="M2691" s="13" t="s">
        <v>6761</v>
      </c>
      <c r="N2691" s="13" t="s">
        <v>6762</v>
      </c>
      <c r="O2691" s="9" t="str">
        <f aca="false">HYPERLINK("https://pbs.twimg.com/profile_images/562259364275179521/lppuXRFU_normal.jpeg","View")</f>
        <v>View</v>
      </c>
      <c r="P2691" s="10"/>
    </row>
    <row r="2692" customFormat="false" ht="15.75" hidden="false" customHeight="false" outlineLevel="0" collapsed="false">
      <c r="A2692" s="6" t="n">
        <v>43030.2971064815</v>
      </c>
      <c r="B2692" s="7" t="str">
        <f aca="false">HYPERLINK("https://twitter.com/YanniKouts","@YanniKouts")</f>
        <v>@YanniKouts</v>
      </c>
      <c r="C2692" s="8" t="s">
        <v>6763</v>
      </c>
      <c r="D2692" s="8" t="s">
        <v>6764</v>
      </c>
      <c r="E2692" s="9" t="str">
        <f aca="false">HYPERLINK("https://twitter.com/YanniKouts/status/922102198091370496","922102198091370496")</f>
        <v>922102198091370496</v>
      </c>
      <c r="F2692" s="10" t="s">
        <v>39</v>
      </c>
      <c r="G2692" s="10" t="n">
        <v>65552</v>
      </c>
      <c r="H2692" s="10" t="n">
        <v>24221</v>
      </c>
      <c r="I2692" s="10" t="n">
        <v>4</v>
      </c>
      <c r="J2692" s="10" t="n">
        <v>4</v>
      </c>
      <c r="K2692" s="10" t="s">
        <v>20</v>
      </c>
      <c r="L2692" s="11" t="n">
        <v>40082.4427314815</v>
      </c>
      <c r="M2692" s="12" t="s">
        <v>6765</v>
      </c>
      <c r="N2692" s="12" t="s">
        <v>6766</v>
      </c>
      <c r="O2692" s="9" t="str">
        <f aca="false">HYPERLINK("https://pbs.twimg.com/profile_images/845901590448029696/_-UP1KPH_normal.jpg","View")</f>
        <v>View</v>
      </c>
      <c r="P2692" s="10"/>
    </row>
    <row r="2693" customFormat="false" ht="15.75" hidden="false" customHeight="false" outlineLevel="0" collapsed="false">
      <c r="A2693" s="6" t="n">
        <v>43030.2971412037</v>
      </c>
      <c r="B2693" s="7" t="str">
        <f aca="false">HYPERLINK("https://twitter.com/satish_skm","@satish_skm")</f>
        <v>@satish_skm</v>
      </c>
      <c r="C2693" s="8" t="s">
        <v>6767</v>
      </c>
      <c r="D2693" s="8" t="s">
        <v>6707</v>
      </c>
      <c r="E2693" s="9" t="str">
        <f aca="false">HYPERLINK("https://twitter.com/satish_skm/status/922102210644926465","922102210644926465")</f>
        <v>922102210644926465</v>
      </c>
      <c r="F2693" s="10" t="s">
        <v>25</v>
      </c>
      <c r="G2693" s="10" t="n">
        <v>162</v>
      </c>
      <c r="H2693" s="10" t="n">
        <v>503</v>
      </c>
      <c r="I2693" s="10" t="n">
        <v>97</v>
      </c>
      <c r="J2693" s="10" t="n">
        <v>0</v>
      </c>
      <c r="K2693" s="10" t="s">
        <v>20</v>
      </c>
      <c r="L2693" s="11" t="n">
        <v>41737.0800462963</v>
      </c>
      <c r="M2693" s="12"/>
      <c r="N2693" s="12"/>
      <c r="O2693" s="9" t="str">
        <f aca="false">HYPERLINK("https://pbs.twimg.com/profile_images/453460157016440832/HgA_Ox2m_normal.jpeg","View")</f>
        <v>View</v>
      </c>
      <c r="P2693" s="10"/>
    </row>
    <row r="2694" customFormat="false" ht="15.75" hidden="false" customHeight="false" outlineLevel="0" collapsed="false">
      <c r="A2694" s="6" t="n">
        <v>43030.2973032407</v>
      </c>
      <c r="B2694" s="7" t="str">
        <f aca="false">HYPERLINK("https://twitter.com/3NovicesJapan","@3NovicesJapan")</f>
        <v>@3NovicesJapan</v>
      </c>
      <c r="C2694" s="8" t="s">
        <v>6768</v>
      </c>
      <c r="D2694" s="8" t="s">
        <v>6769</v>
      </c>
      <c r="E2694" s="9" t="str">
        <f aca="false">HYPERLINK("https://twitter.com/3NovicesJapan/status/922102270334038018","922102270334038018")</f>
        <v>922102270334038018</v>
      </c>
      <c r="F2694" s="10" t="s">
        <v>60</v>
      </c>
      <c r="G2694" s="10" t="n">
        <v>324</v>
      </c>
      <c r="H2694" s="10" t="n">
        <v>425</v>
      </c>
      <c r="I2694" s="10" t="n">
        <v>0</v>
      </c>
      <c r="J2694" s="10" t="n">
        <v>0</v>
      </c>
      <c r="K2694" s="10" t="s">
        <v>20</v>
      </c>
      <c r="L2694" s="11" t="n">
        <v>42040.9097685185</v>
      </c>
      <c r="M2694" s="12" t="s">
        <v>6770</v>
      </c>
      <c r="N2694" s="12" t="s">
        <v>2786</v>
      </c>
      <c r="O2694" s="9" t="str">
        <f aca="false">HYPERLINK("https://pbs.twimg.com/profile_images/563575884653682688/aSGn7bqz_normal.jpeg","View")</f>
        <v>View</v>
      </c>
      <c r="P2694" s="10"/>
    </row>
    <row r="2695" customFormat="false" ht="15.75" hidden="false" customHeight="false" outlineLevel="0" collapsed="false">
      <c r="A2695" s="6" t="n">
        <v>43030.2975231481</v>
      </c>
      <c r="B2695" s="7" t="str">
        <f aca="false">HYPERLINK("https://twitter.com/i__Global","@i__Global")</f>
        <v>@i__Global</v>
      </c>
      <c r="C2695" s="8" t="s">
        <v>6771</v>
      </c>
      <c r="D2695" s="8" t="s">
        <v>6772</v>
      </c>
      <c r="E2695" s="9" t="str">
        <f aca="false">HYPERLINK("https://twitter.com/i__Global/status/922102348721328129","922102348721328129")</f>
        <v>922102348721328129</v>
      </c>
      <c r="F2695" s="10" t="s">
        <v>60</v>
      </c>
      <c r="G2695" s="10" t="n">
        <v>317</v>
      </c>
      <c r="H2695" s="10" t="n">
        <v>541</v>
      </c>
      <c r="I2695" s="10" t="n">
        <v>0</v>
      </c>
      <c r="J2695" s="10" t="n">
        <v>0</v>
      </c>
      <c r="K2695" s="10" t="s">
        <v>20</v>
      </c>
      <c r="L2695" s="11" t="n">
        <v>41975.4296412037</v>
      </c>
      <c r="M2695" s="12" t="s">
        <v>1143</v>
      </c>
      <c r="N2695" s="12"/>
      <c r="O2695" s="9" t="str">
        <f aca="false">HYPERLINK("https://pbs.twimg.com/profile_images/539846499421532160/RQ0XgLb__normal.png","View")</f>
        <v>View</v>
      </c>
      <c r="P2695" s="10"/>
    </row>
    <row r="2696" customFormat="false" ht="15.75" hidden="false" customHeight="false" outlineLevel="0" collapsed="false">
      <c r="A2696" s="6" t="n">
        <v>43030.2976041667</v>
      </c>
      <c r="B2696" s="7" t="str">
        <f aca="false">HYPERLINK("https://twitter.com/JaelCorbin","@JaelCorbin")</f>
        <v>@JaelCorbin</v>
      </c>
      <c r="C2696" s="8" t="s">
        <v>6773</v>
      </c>
      <c r="D2696" s="8" t="s">
        <v>6774</v>
      </c>
      <c r="E2696" s="9" t="str">
        <f aca="false">HYPERLINK("https://twitter.com/JaelCorbin/status/922102378349854720","922102378349854720")</f>
        <v>922102378349854720</v>
      </c>
      <c r="F2696" s="9" t="s">
        <v>2138</v>
      </c>
      <c r="G2696" s="10" t="n">
        <v>57</v>
      </c>
      <c r="H2696" s="10" t="n">
        <v>158</v>
      </c>
      <c r="I2696" s="10" t="n">
        <v>0</v>
      </c>
      <c r="J2696" s="10" t="n">
        <v>1</v>
      </c>
      <c r="K2696" s="10" t="s">
        <v>20</v>
      </c>
      <c r="L2696" s="11" t="n">
        <v>42476.6888425926</v>
      </c>
      <c r="M2696" s="12" t="s">
        <v>752</v>
      </c>
      <c r="N2696" s="12" t="s">
        <v>6775</v>
      </c>
      <c r="O2696" s="9" t="str">
        <f aca="false">HYPERLINK("https://pbs.twimg.com/profile_images/721481742150840320/Gfy9Dtim_normal.jpg","View")</f>
        <v>View</v>
      </c>
      <c r="P2696" s="10"/>
    </row>
    <row r="2697" customFormat="false" ht="15.75" hidden="false" customHeight="false" outlineLevel="0" collapsed="false">
      <c r="A2697" s="6" t="n">
        <v>43030.2976736111</v>
      </c>
      <c r="B2697" s="7" t="str">
        <f aca="false">HYPERLINK("https://twitter.com/lukeuser","@lukeuser")</f>
        <v>@lukeuser</v>
      </c>
      <c r="C2697" s="8" t="s">
        <v>6776</v>
      </c>
      <c r="D2697" s="8" t="s">
        <v>6777</v>
      </c>
      <c r="E2697" s="9" t="str">
        <f aca="false">HYPERLINK("https://twitter.com/lukeuser/status/922102404081963009","922102404081963009")</f>
        <v>922102404081963009</v>
      </c>
      <c r="F2697" s="10" t="s">
        <v>39</v>
      </c>
      <c r="G2697" s="10" t="n">
        <v>229</v>
      </c>
      <c r="H2697" s="10" t="n">
        <v>786</v>
      </c>
      <c r="I2697" s="10" t="n">
        <v>0</v>
      </c>
      <c r="J2697" s="10" t="n">
        <v>0</v>
      </c>
      <c r="K2697" s="10" t="s">
        <v>20</v>
      </c>
      <c r="L2697" s="11" t="n">
        <v>40485.7327314815</v>
      </c>
      <c r="M2697" s="12" t="s">
        <v>6778</v>
      </c>
      <c r="N2697" s="12"/>
      <c r="O2697" s="9" t="str">
        <f aca="false">HYPERLINK("https://pbs.twimg.com/profile_images/906129946317377537/senmLG_2_normal.jpg","View")</f>
        <v>View</v>
      </c>
      <c r="P2697" s="10"/>
    </row>
    <row r="2698" customFormat="false" ht="15.75" hidden="false" customHeight="false" outlineLevel="0" collapsed="false">
      <c r="A2698" s="6" t="n">
        <v>43030.2977199074</v>
      </c>
      <c r="B2698" s="7" t="str">
        <f aca="false">HYPERLINK("https://twitter.com/Sukhoi004","@Sukhoi004")</f>
        <v>@Sukhoi004</v>
      </c>
      <c r="C2698" s="8" t="s">
        <v>6779</v>
      </c>
      <c r="D2698" s="8" t="s">
        <v>6707</v>
      </c>
      <c r="E2698" s="9" t="str">
        <f aca="false">HYPERLINK("https://twitter.com/Sukhoi004/status/922102419034554368","922102419034554368")</f>
        <v>922102419034554368</v>
      </c>
      <c r="F2698" s="10" t="s">
        <v>98</v>
      </c>
      <c r="G2698" s="10" t="n">
        <v>454</v>
      </c>
      <c r="H2698" s="10" t="n">
        <v>238</v>
      </c>
      <c r="I2698" s="10" t="n">
        <v>97</v>
      </c>
      <c r="J2698" s="10" t="n">
        <v>0</v>
      </c>
      <c r="K2698" s="10" t="s">
        <v>20</v>
      </c>
      <c r="L2698" s="11" t="n">
        <v>41739.0465046296</v>
      </c>
      <c r="M2698" s="12"/>
      <c r="N2698" s="12"/>
      <c r="O2698" s="9" t="str">
        <f aca="false">HYPERLINK("https://pbs.twimg.com/profile_images/578523524727336961/zS7aUkRA_normal.jpeg","View")</f>
        <v>View</v>
      </c>
      <c r="P2698" s="10"/>
    </row>
    <row r="2699" customFormat="false" ht="15.75" hidden="false" customHeight="false" outlineLevel="0" collapsed="false">
      <c r="A2699" s="6" t="n">
        <v>43030.2977199074</v>
      </c>
      <c r="B2699" s="7" t="str">
        <f aca="false">HYPERLINK("https://twitter.com/josephapril1997","@josephapril1997")</f>
        <v>@josephapril1997</v>
      </c>
      <c r="C2699" s="8" t="s">
        <v>6780</v>
      </c>
      <c r="D2699" s="8" t="s">
        <v>6707</v>
      </c>
      <c r="E2699" s="9" t="str">
        <f aca="false">HYPERLINK("https://twitter.com/josephapril1997/status/922102420116836352","922102420116836352")</f>
        <v>922102420116836352</v>
      </c>
      <c r="F2699" s="10" t="s">
        <v>51</v>
      </c>
      <c r="G2699" s="10" t="n">
        <v>149</v>
      </c>
      <c r="H2699" s="10" t="n">
        <v>372</v>
      </c>
      <c r="I2699" s="10" t="n">
        <v>97</v>
      </c>
      <c r="J2699" s="10" t="n">
        <v>0</v>
      </c>
      <c r="K2699" s="10" t="s">
        <v>20</v>
      </c>
      <c r="L2699" s="11" t="n">
        <v>42627.2632638889</v>
      </c>
      <c r="M2699" s="12" t="s">
        <v>64</v>
      </c>
      <c r="N2699" s="12" t="s">
        <v>6781</v>
      </c>
      <c r="O2699" s="9" t="str">
        <f aca="false">HYPERLINK("https://pbs.twimg.com/profile_images/906328331817172992/WTp1Dp4Z_normal.jpg","View")</f>
        <v>View</v>
      </c>
      <c r="P2699" s="10"/>
    </row>
    <row r="2700" customFormat="false" ht="15.75" hidden="false" customHeight="false" outlineLevel="0" collapsed="false">
      <c r="A2700" s="6" t="n">
        <v>43030.2980092593</v>
      </c>
      <c r="B2700" s="7" t="str">
        <f aca="false">HYPERLINK("https://twitter.com/RanjanKM","@RanjanKM")</f>
        <v>@RanjanKM</v>
      </c>
      <c r="C2700" s="8" t="s">
        <v>6782</v>
      </c>
      <c r="D2700" s="8" t="s">
        <v>6558</v>
      </c>
      <c r="E2700" s="9" t="str">
        <f aca="false">HYPERLINK("https://twitter.com/RanjanKM/status/922102526853259280","922102526853259280")</f>
        <v>922102526853259280</v>
      </c>
      <c r="F2700" s="10" t="s">
        <v>25</v>
      </c>
      <c r="G2700" s="10" t="n">
        <v>23</v>
      </c>
      <c r="H2700" s="10" t="n">
        <v>179</v>
      </c>
      <c r="I2700" s="10" t="n">
        <v>65</v>
      </c>
      <c r="J2700" s="10" t="n">
        <v>0</v>
      </c>
      <c r="K2700" s="10" t="s">
        <v>20</v>
      </c>
      <c r="L2700" s="11" t="n">
        <v>42847.3542708333</v>
      </c>
      <c r="M2700" s="12"/>
      <c r="N2700" s="12" t="s">
        <v>6783</v>
      </c>
      <c r="O2700" s="9" t="str">
        <f aca="false">HYPERLINK("https://pbs.twimg.com/profile_images/894901568662781952/6myAHu2v_normal.jpg","View")</f>
        <v>View</v>
      </c>
      <c r="P2700" s="10"/>
    </row>
    <row r="2701" customFormat="false" ht="15.75" hidden="false" customHeight="false" outlineLevel="0" collapsed="false">
      <c r="A2701" s="6" t="n">
        <v>43030.2980208333</v>
      </c>
      <c r="B2701" s="7" t="str">
        <f aca="false">HYPERLINK("https://twitter.com/TokyoJapanRR","@TokyoJapanRR")</f>
        <v>@TokyoJapanRR</v>
      </c>
      <c r="C2701" s="8" t="s">
        <v>194</v>
      </c>
      <c r="D2701" s="8" t="s">
        <v>6784</v>
      </c>
      <c r="E2701" s="9" t="str">
        <f aca="false">HYPERLINK("https://twitter.com/TokyoJapanRR/status/922102528313102336","922102528313102336")</f>
        <v>922102528313102336</v>
      </c>
      <c r="F2701" s="10" t="s">
        <v>6103</v>
      </c>
      <c r="G2701" s="10" t="n">
        <v>5679</v>
      </c>
      <c r="H2701" s="10" t="n">
        <v>3792</v>
      </c>
      <c r="I2701" s="10" t="n">
        <v>0</v>
      </c>
      <c r="J2701" s="10" t="n">
        <v>0</v>
      </c>
      <c r="K2701" s="10" t="s">
        <v>20</v>
      </c>
      <c r="L2701" s="11" t="n">
        <v>41987.4019675926</v>
      </c>
      <c r="M2701" s="12" t="s">
        <v>1473</v>
      </c>
      <c r="N2701" s="12" t="s">
        <v>6104</v>
      </c>
      <c r="O2701" s="9" t="str">
        <f aca="false">HYPERLINK("https://pbs.twimg.com/profile_images/748168856208801792/JuAdcS6X_normal.jpg","View")</f>
        <v>View</v>
      </c>
      <c r="P2701" s="10"/>
    </row>
    <row r="2702" customFormat="false" ht="15.75" hidden="false" customHeight="false" outlineLevel="0" collapsed="false">
      <c r="A2702" s="6" t="n">
        <v>43030.2980439815</v>
      </c>
      <c r="B2702" s="7" t="str">
        <f aca="false">HYPERLINK("https://twitter.com/nean","@nean")</f>
        <v>@nean</v>
      </c>
      <c r="C2702" s="8" t="s">
        <v>6785</v>
      </c>
      <c r="D2702" s="8" t="s">
        <v>6786</v>
      </c>
      <c r="E2702" s="9" t="str">
        <f aca="false">HYPERLINK("https://twitter.com/nean/status/922102537213186048","922102537213186048")</f>
        <v>922102537213186048</v>
      </c>
      <c r="F2702" s="10" t="s">
        <v>873</v>
      </c>
      <c r="G2702" s="10" t="n">
        <v>3062</v>
      </c>
      <c r="H2702" s="10" t="n">
        <v>3224</v>
      </c>
      <c r="I2702" s="10" t="n">
        <v>0</v>
      </c>
      <c r="J2702" s="10" t="n">
        <v>0</v>
      </c>
      <c r="K2702" s="10" t="s">
        <v>20</v>
      </c>
      <c r="L2702" s="11" t="n">
        <v>39188.6379976852</v>
      </c>
      <c r="M2702" s="13" t="s">
        <v>6787</v>
      </c>
      <c r="N2702" s="12" t="s">
        <v>6788</v>
      </c>
      <c r="O2702" s="9" t="str">
        <f aca="false">HYPERLINK("https://pbs.twimg.com/profile_images/459304022373965825/o8_1ccgo_normal.jpeg","View")</f>
        <v>View</v>
      </c>
      <c r="P2702" s="10"/>
    </row>
    <row r="2703" customFormat="false" ht="15.75" hidden="false" customHeight="false" outlineLevel="0" collapsed="false">
      <c r="A2703" s="6" t="n">
        <v>43030.2981018519</v>
      </c>
      <c r="B2703" s="7" t="str">
        <f aca="false">HYPERLINK("https://twitter.com/muralikumarje","@muralikumarje")</f>
        <v>@muralikumarje</v>
      </c>
      <c r="C2703" s="8" t="s">
        <v>841</v>
      </c>
      <c r="D2703" s="8" t="s">
        <v>6707</v>
      </c>
      <c r="E2703" s="9" t="str">
        <f aca="false">HYPERLINK("https://twitter.com/muralikumarje/status/922102557480067072","922102557480067072")</f>
        <v>922102557480067072</v>
      </c>
      <c r="F2703" s="10" t="s">
        <v>25</v>
      </c>
      <c r="G2703" s="10" t="n">
        <v>103</v>
      </c>
      <c r="H2703" s="10" t="n">
        <v>85</v>
      </c>
      <c r="I2703" s="10" t="n">
        <v>97</v>
      </c>
      <c r="J2703" s="10" t="n">
        <v>0</v>
      </c>
      <c r="K2703" s="10" t="s">
        <v>20</v>
      </c>
      <c r="L2703" s="11" t="n">
        <v>41033.2837152778</v>
      </c>
      <c r="M2703" s="12" t="s">
        <v>843</v>
      </c>
      <c r="N2703" s="12" t="s">
        <v>844</v>
      </c>
      <c r="O2703" s="9" t="str">
        <f aca="false">HYPERLINK("https://pbs.twimg.com/profile_images/544861659328569345/Q-vIkusJ_normal.jpeg","View")</f>
        <v>View</v>
      </c>
      <c r="P2703" s="10"/>
    </row>
    <row r="2704" customFormat="false" ht="15.75" hidden="false" customHeight="false" outlineLevel="0" collapsed="false">
      <c r="A2704" s="6" t="n">
        <v>43030.2981597222</v>
      </c>
      <c r="B2704" s="7" t="str">
        <f aca="false">HYPERLINK("https://twitter.com/molarcannine","@molarcannine")</f>
        <v>@molarcannine</v>
      </c>
      <c r="C2704" s="8" t="s">
        <v>6789</v>
      </c>
      <c r="D2704" s="8" t="s">
        <v>6790</v>
      </c>
      <c r="E2704" s="9" t="str">
        <f aca="false">HYPERLINK("https://twitter.com/molarcannine/status/922102580783616001","922102580783616001")</f>
        <v>922102580783616001</v>
      </c>
      <c r="F2704" s="10" t="s">
        <v>25</v>
      </c>
      <c r="G2704" s="10" t="n">
        <v>480</v>
      </c>
      <c r="H2704" s="10" t="n">
        <v>1643</v>
      </c>
      <c r="I2704" s="10" t="n">
        <v>6</v>
      </c>
      <c r="J2704" s="10" t="n">
        <v>0</v>
      </c>
      <c r="K2704" s="10" t="s">
        <v>20</v>
      </c>
      <c r="L2704" s="11" t="n">
        <v>40720.0696296296</v>
      </c>
      <c r="M2704" s="12" t="s">
        <v>6791</v>
      </c>
      <c r="N2704" s="12" t="s">
        <v>6792</v>
      </c>
      <c r="O2704" s="9" t="str">
        <f aca="false">HYPERLINK("https://pbs.twimg.com/profile_images/900958396878209024/sDq3UFft_normal.jpg","View")</f>
        <v>View</v>
      </c>
      <c r="P2704" s="10"/>
    </row>
    <row r="2705" customFormat="false" ht="15.75" hidden="false" customHeight="false" outlineLevel="0" collapsed="false">
      <c r="A2705" s="6" t="n">
        <v>43030.2983217593</v>
      </c>
      <c r="B2705" s="7" t="str">
        <f aca="false">HYPERLINK("https://twitter.com/tvThirdEyeB","@tvThirdEyeB")</f>
        <v>@tvThirdEyeB</v>
      </c>
      <c r="C2705" s="8" t="s">
        <v>2027</v>
      </c>
      <c r="D2705" s="8" t="s">
        <v>6793</v>
      </c>
      <c r="E2705" s="9" t="str">
        <f aca="false">HYPERLINK("https://twitter.com/tvThirdEyeB/status/922102639382347776","922102639382347776")</f>
        <v>922102639382347776</v>
      </c>
      <c r="F2705" s="10" t="s">
        <v>2029</v>
      </c>
      <c r="G2705" s="10" t="n">
        <v>31</v>
      </c>
      <c r="H2705" s="10" t="n">
        <v>0</v>
      </c>
      <c r="I2705" s="10" t="n">
        <v>0</v>
      </c>
      <c r="J2705" s="10" t="n">
        <v>0</v>
      </c>
      <c r="K2705" s="10" t="s">
        <v>20</v>
      </c>
      <c r="L2705" s="11" t="n">
        <v>42972.5932638889</v>
      </c>
      <c r="M2705" s="12" t="s">
        <v>588</v>
      </c>
      <c r="N2705" s="12" t="s">
        <v>2030</v>
      </c>
      <c r="O2705" s="9" t="str">
        <f aca="false">HYPERLINK("https://pbs.twimg.com/profile_images/910606884565950464/P-E5U0ei_normal.jpg","View")</f>
        <v>View</v>
      </c>
      <c r="P2705" s="10"/>
    </row>
    <row r="2706" customFormat="false" ht="15.75" hidden="false" customHeight="false" outlineLevel="0" collapsed="false">
      <c r="A2706" s="6" t="n">
        <v>43030.2984259259</v>
      </c>
      <c r="B2706" s="7" t="str">
        <f aca="false">HYPERLINK("https://twitter.com/lalashwa","@lalashwa")</f>
        <v>@lalashwa</v>
      </c>
      <c r="C2706" s="8" t="s">
        <v>6794</v>
      </c>
      <c r="D2706" s="8" t="s">
        <v>6790</v>
      </c>
      <c r="E2706" s="9" t="str">
        <f aca="false">HYPERLINK("https://twitter.com/lalashwa/status/922102677684699136","922102677684699136")</f>
        <v>922102677684699136</v>
      </c>
      <c r="F2706" s="10" t="s">
        <v>25</v>
      </c>
      <c r="G2706" s="10" t="n">
        <v>463</v>
      </c>
      <c r="H2706" s="10" t="n">
        <v>917</v>
      </c>
      <c r="I2706" s="10" t="n">
        <v>6</v>
      </c>
      <c r="J2706" s="10" t="n">
        <v>0</v>
      </c>
      <c r="K2706" s="10" t="s">
        <v>20</v>
      </c>
      <c r="L2706" s="11" t="n">
        <v>41988.9429166667</v>
      </c>
      <c r="M2706" s="12"/>
      <c r="N2706" s="12"/>
      <c r="O2706" s="9" t="str">
        <f aca="false">HYPERLINK("https://pbs.twimg.com/profile_images/753103187394097152/a5Hckg3t_normal.jpg","View")</f>
        <v>View</v>
      </c>
      <c r="P2706" s="10"/>
    </row>
    <row r="2707" customFormat="false" ht="15.75" hidden="false" customHeight="false" outlineLevel="0" collapsed="false">
      <c r="A2707" s="6" t="n">
        <v>43030.2986921296</v>
      </c>
      <c r="B2707" s="7" t="str">
        <f aca="false">HYPERLINK("https://twitter.com/rekuza2014mp","@rekuza2014mp")</f>
        <v>@rekuza2014mp</v>
      </c>
      <c r="C2707" s="14" t="s">
        <v>3313</v>
      </c>
      <c r="D2707" s="8" t="s">
        <v>6731</v>
      </c>
      <c r="E2707" s="9" t="str">
        <f aca="false">HYPERLINK("https://twitter.com/rekuza2014mp/status/922102772467507201","922102772467507201")</f>
        <v>922102772467507201</v>
      </c>
      <c r="F2707" s="10" t="s">
        <v>39</v>
      </c>
      <c r="G2707" s="10" t="n">
        <v>1051</v>
      </c>
      <c r="H2707" s="10" t="n">
        <v>4124</v>
      </c>
      <c r="I2707" s="10" t="n">
        <v>13</v>
      </c>
      <c r="J2707" s="10" t="n">
        <v>0</v>
      </c>
      <c r="K2707" s="10" t="s">
        <v>20</v>
      </c>
      <c r="L2707" s="11" t="n">
        <v>41720.7288888889</v>
      </c>
      <c r="M2707" s="12"/>
      <c r="N2707" s="12" t="s">
        <v>3315</v>
      </c>
      <c r="O2707" s="9" t="str">
        <f aca="false">HYPERLINK("https://pbs.twimg.com/profile_images/455728477895806976/Luq8uT2t_normal.jpeg","View")</f>
        <v>View</v>
      </c>
      <c r="P2707" s="10"/>
    </row>
    <row r="2708" customFormat="false" ht="15.75" hidden="false" customHeight="false" outlineLevel="0" collapsed="false">
      <c r="A2708" s="6" t="n">
        <v>43030.2987731482</v>
      </c>
      <c r="B2708" s="7" t="str">
        <f aca="false">HYPERLINK("https://twitter.com/kristoferkawas","@kristoferkawas")</f>
        <v>@kristoferkawas</v>
      </c>
      <c r="C2708" s="8" t="s">
        <v>2132</v>
      </c>
      <c r="D2708" s="8" t="s">
        <v>6795</v>
      </c>
      <c r="E2708" s="9" t="str">
        <f aca="false">HYPERLINK("https://twitter.com/kristoferkawas/status/922102800783499265","922102800783499265")</f>
        <v>922102800783499265</v>
      </c>
      <c r="F2708" s="10" t="s">
        <v>60</v>
      </c>
      <c r="G2708" s="10" t="n">
        <v>3074</v>
      </c>
      <c r="H2708" s="10" t="n">
        <v>14</v>
      </c>
      <c r="I2708" s="10" t="n">
        <v>0</v>
      </c>
      <c r="J2708" s="10" t="n">
        <v>0</v>
      </c>
      <c r="K2708" s="10" t="s">
        <v>20</v>
      </c>
      <c r="L2708" s="11" t="n">
        <v>40432.4156828704</v>
      </c>
      <c r="M2708" s="12" t="s">
        <v>2134</v>
      </c>
      <c r="N2708" s="12" t="s">
        <v>2135</v>
      </c>
      <c r="O2708" s="9" t="str">
        <f aca="false">HYPERLINK("https://pbs.twimg.com/profile_images/662564447542636544/LvMoxlK3_normal.jpg","View")</f>
        <v>View</v>
      </c>
      <c r="P2708" s="10"/>
    </row>
    <row r="2709" customFormat="false" ht="15.75" hidden="false" customHeight="false" outlineLevel="0" collapsed="false">
      <c r="A2709" s="6" t="n">
        <v>43030.2989236111</v>
      </c>
      <c r="B2709" s="7" t="str">
        <f aca="false">HYPERLINK("https://twitter.com/Sto_kra2","@Sto_kra2")</f>
        <v>@Sto_kra2</v>
      </c>
      <c r="C2709" s="14" t="s">
        <v>6796</v>
      </c>
      <c r="D2709" s="8" t="s">
        <v>6797</v>
      </c>
      <c r="E2709" s="9" t="str">
        <f aca="false">HYPERLINK("https://twitter.com/Sto_kra2/status/922102857364414464","922102857364414464")</f>
        <v>922102857364414464</v>
      </c>
      <c r="F2709" s="10" t="s">
        <v>25</v>
      </c>
      <c r="G2709" s="10" t="n">
        <v>1768</v>
      </c>
      <c r="H2709" s="10" t="n">
        <v>2419</v>
      </c>
      <c r="I2709" s="10" t="n">
        <v>4</v>
      </c>
      <c r="J2709" s="10" t="n">
        <v>0</v>
      </c>
      <c r="K2709" s="10" t="s">
        <v>20</v>
      </c>
      <c r="L2709" s="11" t="n">
        <v>42591.6861342593</v>
      </c>
      <c r="M2709" s="12"/>
      <c r="N2709" s="13" t="s">
        <v>6798</v>
      </c>
      <c r="O2709" s="9" t="str">
        <f aca="false">HYPERLINK("https://pbs.twimg.com/profile_images/875353978778734592/s8_TT_gf_normal.jpg","View")</f>
        <v>View</v>
      </c>
      <c r="P2709" s="10"/>
    </row>
    <row r="2710" customFormat="false" ht="15.75" hidden="false" customHeight="false" outlineLevel="0" collapsed="false">
      <c r="A2710" s="6" t="n">
        <v>43030.2990740741</v>
      </c>
      <c r="B2710" s="7" t="str">
        <f aca="false">HYPERLINK("https://twitter.com/tvThirdEyeB","@tvThirdEyeB")</f>
        <v>@tvThirdEyeB</v>
      </c>
      <c r="C2710" s="8" t="s">
        <v>2027</v>
      </c>
      <c r="D2710" s="8" t="s">
        <v>6799</v>
      </c>
      <c r="E2710" s="9" t="str">
        <f aca="false">HYPERLINK("https://twitter.com/tvThirdEyeB/status/922102911449968641","922102911449968641")</f>
        <v>922102911449968641</v>
      </c>
      <c r="F2710" s="10" t="s">
        <v>2029</v>
      </c>
      <c r="G2710" s="10" t="n">
        <v>31</v>
      </c>
      <c r="H2710" s="10" t="n">
        <v>0</v>
      </c>
      <c r="I2710" s="10" t="n">
        <v>0</v>
      </c>
      <c r="J2710" s="10" t="n">
        <v>0</v>
      </c>
      <c r="K2710" s="10" t="s">
        <v>20</v>
      </c>
      <c r="L2710" s="11" t="n">
        <v>42972.5932638889</v>
      </c>
      <c r="M2710" s="12" t="s">
        <v>588</v>
      </c>
      <c r="N2710" s="12" t="s">
        <v>2030</v>
      </c>
      <c r="O2710" s="9" t="str">
        <f aca="false">HYPERLINK("https://pbs.twimg.com/profile_images/910606884565950464/P-E5U0ei_normal.jpg","View")</f>
        <v>View</v>
      </c>
      <c r="P2710" s="10"/>
    </row>
    <row r="2711" customFormat="false" ht="15.75" hidden="false" customHeight="false" outlineLevel="0" collapsed="false">
      <c r="A2711" s="6" t="n">
        <v>43030.2991898148</v>
      </c>
      <c r="B2711" s="7" t="str">
        <f aca="false">HYPERLINK("https://twitter.com/kenta0220","@kenta0220")</f>
        <v>@kenta0220</v>
      </c>
      <c r="C2711" s="8" t="s">
        <v>6800</v>
      </c>
      <c r="D2711" s="8" t="s">
        <v>4984</v>
      </c>
      <c r="E2711" s="9" t="str">
        <f aca="false">HYPERLINK("https://twitter.com/kenta0220/status/922102954957537280","922102954957537280")</f>
        <v>922102954957537280</v>
      </c>
      <c r="F2711" s="10" t="s">
        <v>51</v>
      </c>
      <c r="G2711" s="10" t="n">
        <v>285</v>
      </c>
      <c r="H2711" s="10" t="n">
        <v>494</v>
      </c>
      <c r="I2711" s="10" t="n">
        <v>187</v>
      </c>
      <c r="J2711" s="10" t="n">
        <v>0</v>
      </c>
      <c r="K2711" s="10" t="s">
        <v>20</v>
      </c>
      <c r="L2711" s="11" t="n">
        <v>40229.3201273148</v>
      </c>
      <c r="M2711" s="13" t="s">
        <v>6801</v>
      </c>
      <c r="N2711" s="13" t="s">
        <v>6802</v>
      </c>
      <c r="O2711" s="9" t="str">
        <f aca="false">HYPERLINK("https://pbs.twimg.com/profile_images/546169006206373888/UJb2stzc_normal.jpeg","View")</f>
        <v>View</v>
      </c>
      <c r="P2711" s="10"/>
    </row>
    <row r="2712" customFormat="false" ht="15.75" hidden="false" customHeight="false" outlineLevel="0" collapsed="false">
      <c r="A2712" s="6" t="n">
        <v>43030.2992708333</v>
      </c>
      <c r="B2712" s="7" t="str">
        <f aca="false">HYPERLINK("https://twitter.com/TimesGoogle","@TimesGoogle")</f>
        <v>@TimesGoogle</v>
      </c>
      <c r="C2712" s="8" t="s">
        <v>6803</v>
      </c>
      <c r="D2712" s="8" t="s">
        <v>6804</v>
      </c>
      <c r="E2712" s="9" t="str">
        <f aca="false">HYPERLINK("https://twitter.com/TimesGoogle/status/922102980651859969","922102980651859969")</f>
        <v>922102980651859969</v>
      </c>
      <c r="F2712" s="9" t="s">
        <v>1147</v>
      </c>
      <c r="G2712" s="10" t="n">
        <v>583</v>
      </c>
      <c r="H2712" s="10" t="n">
        <v>3</v>
      </c>
      <c r="I2712" s="10" t="n">
        <v>0</v>
      </c>
      <c r="J2712" s="10" t="n">
        <v>0</v>
      </c>
      <c r="K2712" s="10" t="s">
        <v>20</v>
      </c>
      <c r="L2712" s="11" t="n">
        <v>41744.0879861111</v>
      </c>
      <c r="M2712" s="12" t="s">
        <v>1670</v>
      </c>
      <c r="N2712" s="12" t="s">
        <v>6805</v>
      </c>
      <c r="O2712" s="9" t="str">
        <f aca="false">HYPERLINK("https://pbs.twimg.com/profile_images/456668922536673280/B1NV6QE7_normal.jpeg","View")</f>
        <v>View</v>
      </c>
      <c r="P2712" s="10"/>
    </row>
    <row r="2713" customFormat="false" ht="15.75" hidden="false" customHeight="false" outlineLevel="0" collapsed="false">
      <c r="A2713" s="6" t="n">
        <v>43030.2994907407</v>
      </c>
      <c r="B2713" s="7" t="str">
        <f aca="false">HYPERLINK("https://twitter.com/ArturLozano","@ArturLozano")</f>
        <v>@ArturLozano</v>
      </c>
      <c r="C2713" s="8" t="s">
        <v>6806</v>
      </c>
      <c r="D2713" s="8" t="s">
        <v>4984</v>
      </c>
      <c r="E2713" s="9" t="str">
        <f aca="false">HYPERLINK("https://twitter.com/ArturLozano/status/922103062348599296","922103062348599296")</f>
        <v>922103062348599296</v>
      </c>
      <c r="F2713" s="10" t="s">
        <v>1576</v>
      </c>
      <c r="G2713" s="10" t="n">
        <v>316</v>
      </c>
      <c r="H2713" s="10" t="n">
        <v>178</v>
      </c>
      <c r="I2713" s="10" t="n">
        <v>187</v>
      </c>
      <c r="J2713" s="10" t="n">
        <v>0</v>
      </c>
      <c r="K2713" s="10" t="s">
        <v>20</v>
      </c>
      <c r="L2713" s="11" t="n">
        <v>40561.0706597222</v>
      </c>
      <c r="M2713" s="12" t="s">
        <v>4232</v>
      </c>
      <c r="N2713" s="12" t="s">
        <v>6807</v>
      </c>
      <c r="O2713" s="9" t="str">
        <f aca="false">HYPERLINK("https://pbs.twimg.com/profile_images/701514407399006208/rggoU1xO_normal.jpg","View")</f>
        <v>View</v>
      </c>
      <c r="P2713" s="10"/>
    </row>
    <row r="2714" customFormat="false" ht="15.75" hidden="false" customHeight="false" outlineLevel="0" collapsed="false">
      <c r="A2714" s="6" t="n">
        <v>43030.2995138889</v>
      </c>
      <c r="B2714" s="7" t="str">
        <f aca="false">HYPERLINK("https://twitter.com/NewsFromJapanEU","@NewsFromJapanEU")</f>
        <v>@NewsFromJapanEU</v>
      </c>
      <c r="C2714" s="8" t="s">
        <v>6808</v>
      </c>
      <c r="D2714" s="8" t="s">
        <v>6809</v>
      </c>
      <c r="E2714" s="9" t="str">
        <f aca="false">HYPERLINK("https://twitter.com/NewsFromJapanEU/status/922103069025824774","922103069025824774")</f>
        <v>922103069025824774</v>
      </c>
      <c r="F2714" s="10" t="s">
        <v>25</v>
      </c>
      <c r="G2714" s="10" t="n">
        <v>5084</v>
      </c>
      <c r="H2714" s="10" t="n">
        <v>5098</v>
      </c>
      <c r="I2714" s="10" t="n">
        <v>0</v>
      </c>
      <c r="J2714" s="10" t="n">
        <v>0</v>
      </c>
      <c r="K2714" s="10" t="s">
        <v>20</v>
      </c>
      <c r="L2714" s="11" t="n">
        <v>40238.8259259259</v>
      </c>
      <c r="M2714" s="12" t="s">
        <v>102</v>
      </c>
      <c r="N2714" s="12" t="s">
        <v>6810</v>
      </c>
      <c r="O2714" s="9" t="str">
        <f aca="false">HYPERLINK("https://pbs.twimg.com/profile_images/861197640196702209/TFbrjJRj_normal.jpg","View")</f>
        <v>View</v>
      </c>
      <c r="P2714" s="10"/>
    </row>
    <row r="2715" customFormat="false" ht="15.75" hidden="false" customHeight="false" outlineLevel="0" collapsed="false">
      <c r="A2715" s="6" t="n">
        <v>43030.299537037</v>
      </c>
      <c r="B2715" s="7" t="str">
        <f aca="false">HYPERLINK("https://twitter.com/sangeetasingh77","@sangeetasingh77")</f>
        <v>@sangeetasingh77</v>
      </c>
      <c r="C2715" s="8" t="s">
        <v>6811</v>
      </c>
      <c r="D2715" s="8" t="s">
        <v>6790</v>
      </c>
      <c r="E2715" s="9" t="str">
        <f aca="false">HYPERLINK("https://twitter.com/sangeetasingh77/status/922103080128098306","922103080128098306")</f>
        <v>922103080128098306</v>
      </c>
      <c r="F2715" s="10" t="s">
        <v>25</v>
      </c>
      <c r="G2715" s="10" t="n">
        <v>1252</v>
      </c>
      <c r="H2715" s="10" t="n">
        <v>502</v>
      </c>
      <c r="I2715" s="10" t="n">
        <v>6</v>
      </c>
      <c r="J2715" s="10" t="n">
        <v>0</v>
      </c>
      <c r="K2715" s="10" t="s">
        <v>20</v>
      </c>
      <c r="L2715" s="11" t="n">
        <v>42145.1496180556</v>
      </c>
      <c r="M2715" s="12"/>
      <c r="N2715" s="12" t="s">
        <v>6812</v>
      </c>
      <c r="O2715" s="9" t="str">
        <f aca="false">HYPERLINK("https://pbs.twimg.com/profile_images/894429442268733441/psqCELCF_normal.jpg","View")</f>
        <v>View</v>
      </c>
      <c r="P2715" s="10"/>
    </row>
    <row r="2716" customFormat="false" ht="15.75" hidden="false" customHeight="false" outlineLevel="0" collapsed="false">
      <c r="A2716" s="6" t="n">
        <v>43030.2996064815</v>
      </c>
      <c r="B2716" s="7" t="str">
        <f aca="false">HYPERLINK("https://twitter.com/Njcyclops01","@Njcyclops01")</f>
        <v>@Njcyclops01</v>
      </c>
      <c r="C2716" s="14" t="s">
        <v>6813</v>
      </c>
      <c r="D2716" s="8" t="s">
        <v>3138</v>
      </c>
      <c r="E2716" s="9" t="str">
        <f aca="false">HYPERLINK("https://twitter.com/Njcyclops01/status/922103103662387201","922103103662387201")</f>
        <v>922103103662387201</v>
      </c>
      <c r="F2716" s="10" t="s">
        <v>51</v>
      </c>
      <c r="G2716" s="10" t="n">
        <v>447</v>
      </c>
      <c r="H2716" s="10" t="n">
        <v>673</v>
      </c>
      <c r="I2716" s="10" t="n">
        <v>31</v>
      </c>
      <c r="J2716" s="10" t="n">
        <v>0</v>
      </c>
      <c r="K2716" s="10" t="s">
        <v>20</v>
      </c>
      <c r="L2716" s="11" t="n">
        <v>42831.1958217593</v>
      </c>
      <c r="M2716" s="12"/>
      <c r="N2716" s="13" t="s">
        <v>6814</v>
      </c>
      <c r="O2716" s="9" t="str">
        <f aca="false">HYPERLINK("https://abs.twimg.com/sticky/default_profile_images/default_profile_normal.png","View")</f>
        <v>View</v>
      </c>
      <c r="P2716" s="10"/>
    </row>
    <row r="2717" customFormat="false" ht="15.75" hidden="false" customHeight="false" outlineLevel="0" collapsed="false">
      <c r="A2717" s="6" t="n">
        <v>43030.2998148148</v>
      </c>
      <c r="B2717" s="7" t="str">
        <f aca="false">HYPERLINK("https://twitter.com/tvThirdEyeB","@tvThirdEyeB")</f>
        <v>@tvThirdEyeB</v>
      </c>
      <c r="C2717" s="8" t="s">
        <v>2027</v>
      </c>
      <c r="D2717" s="8" t="s">
        <v>6815</v>
      </c>
      <c r="E2717" s="9" t="str">
        <f aca="false">HYPERLINK("https://twitter.com/tvThirdEyeB/status/922103178438492161","922103178438492161")</f>
        <v>922103178438492161</v>
      </c>
      <c r="F2717" s="10" t="s">
        <v>2029</v>
      </c>
      <c r="G2717" s="10" t="n">
        <v>31</v>
      </c>
      <c r="H2717" s="10" t="n">
        <v>0</v>
      </c>
      <c r="I2717" s="10" t="n">
        <v>0</v>
      </c>
      <c r="J2717" s="10" t="n">
        <v>0</v>
      </c>
      <c r="K2717" s="10" t="s">
        <v>20</v>
      </c>
      <c r="L2717" s="11" t="n">
        <v>42972.5932638889</v>
      </c>
      <c r="M2717" s="12" t="s">
        <v>588</v>
      </c>
      <c r="N2717" s="12" t="s">
        <v>2030</v>
      </c>
      <c r="O2717" s="9" t="str">
        <f aca="false">HYPERLINK("https://pbs.twimg.com/profile_images/910606884565950464/P-E5U0ei_normal.jpg","View")</f>
        <v>View</v>
      </c>
      <c r="P2717" s="10"/>
    </row>
    <row r="2718" customFormat="false" ht="15.75" hidden="false" customHeight="false" outlineLevel="0" collapsed="false">
      <c r="A2718" s="6" t="n">
        <v>43030.3002083333</v>
      </c>
      <c r="B2718" s="7" t="str">
        <f aca="false">HYPERLINK("https://twitter.com/ExMuslimNoori","@ExMuslimNoori")</f>
        <v>@ExMuslimNoori</v>
      </c>
      <c r="C2718" s="8" t="s">
        <v>6816</v>
      </c>
      <c r="D2718" s="8" t="s">
        <v>6707</v>
      </c>
      <c r="E2718" s="9" t="str">
        <f aca="false">HYPERLINK("https://twitter.com/ExMuslimNoori/status/922103324165283841","922103324165283841")</f>
        <v>922103324165283841</v>
      </c>
      <c r="F2718" s="10" t="s">
        <v>39</v>
      </c>
      <c r="G2718" s="10" t="n">
        <v>1251</v>
      </c>
      <c r="H2718" s="10" t="n">
        <v>1536</v>
      </c>
      <c r="I2718" s="10" t="n">
        <v>97</v>
      </c>
      <c r="J2718" s="10" t="n">
        <v>0</v>
      </c>
      <c r="K2718" s="10" t="s">
        <v>20</v>
      </c>
      <c r="L2718" s="11" t="n">
        <v>42993.0968287037</v>
      </c>
      <c r="M2718" s="12" t="s">
        <v>253</v>
      </c>
      <c r="N2718" s="12" t="s">
        <v>6817</v>
      </c>
      <c r="O2718" s="9" t="str">
        <f aca="false">HYPERLINK("https://pbs.twimg.com/profile_images/922837868401197056/YRrEMihJ_normal.jpg","View")</f>
        <v>View</v>
      </c>
      <c r="P2718" s="10"/>
    </row>
    <row r="2719" customFormat="false" ht="15.75" hidden="false" customHeight="false" outlineLevel="0" collapsed="false">
      <c r="A2719" s="6" t="n">
        <v>43030.3002199074</v>
      </c>
      <c r="B2719" s="7" t="str">
        <f aca="false">HYPERLINK("https://twitter.com/BenCasey101","@BenCasey101")</f>
        <v>@BenCasey101</v>
      </c>
      <c r="C2719" s="8" t="s">
        <v>6818</v>
      </c>
      <c r="D2719" s="8" t="s">
        <v>4984</v>
      </c>
      <c r="E2719" s="9" t="str">
        <f aca="false">HYPERLINK("https://twitter.com/BenCasey101/status/922103325214035974","922103325214035974")</f>
        <v>922103325214035974</v>
      </c>
      <c r="F2719" s="10" t="s">
        <v>51</v>
      </c>
      <c r="G2719" s="10" t="n">
        <v>1091</v>
      </c>
      <c r="H2719" s="10" t="n">
        <v>3102</v>
      </c>
      <c r="I2719" s="10" t="n">
        <v>187</v>
      </c>
      <c r="J2719" s="10" t="n">
        <v>0</v>
      </c>
      <c r="K2719" s="10" t="s">
        <v>20</v>
      </c>
      <c r="L2719" s="11" t="n">
        <v>41914.362349537</v>
      </c>
      <c r="M2719" s="12" t="s">
        <v>3779</v>
      </c>
      <c r="N2719" s="12" t="s">
        <v>6819</v>
      </c>
      <c r="O2719" s="9" t="str">
        <f aca="false">HYPERLINK("https://pbs.twimg.com/profile_images/612565429123297281/lh1DWVlN_normal.jpg","View")</f>
        <v>View</v>
      </c>
      <c r="P2719" s="10"/>
    </row>
    <row r="2720" customFormat="false" ht="15.75" hidden="false" customHeight="false" outlineLevel="0" collapsed="false">
      <c r="A2720" s="6" t="n">
        <v>43030.3002662037</v>
      </c>
      <c r="B2720" s="7" t="str">
        <f aca="false">HYPERLINK("https://twitter.com/johnnytak68","@johnnytak68")</f>
        <v>@johnnytak68</v>
      </c>
      <c r="C2720" s="8" t="s">
        <v>6820</v>
      </c>
      <c r="D2720" s="8" t="s">
        <v>4124</v>
      </c>
      <c r="E2720" s="9" t="str">
        <f aca="false">HYPERLINK("https://twitter.com/johnnytak68/status/922103343425634305","922103343425634305")</f>
        <v>922103343425634305</v>
      </c>
      <c r="F2720" s="10" t="s">
        <v>25</v>
      </c>
      <c r="G2720" s="10" t="n">
        <v>148</v>
      </c>
      <c r="H2720" s="10" t="n">
        <v>238</v>
      </c>
      <c r="I2720" s="10" t="n">
        <v>111</v>
      </c>
      <c r="J2720" s="10" t="n">
        <v>0</v>
      </c>
      <c r="K2720" s="10" t="s">
        <v>20</v>
      </c>
      <c r="L2720" s="11" t="n">
        <v>42226.0417939815</v>
      </c>
      <c r="M2720" s="12"/>
      <c r="N2720" s="12" t="s">
        <v>6821</v>
      </c>
      <c r="O2720" s="9" t="str">
        <f aca="false">HYPERLINK("https://pbs.twimg.com/profile_images/903096352241885184/T-9HrtIQ_normal.jpg","View")</f>
        <v>View</v>
      </c>
      <c r="P2720" s="10"/>
    </row>
    <row r="2721" customFormat="false" ht="15.75" hidden="false" customHeight="false" outlineLevel="0" collapsed="false">
      <c r="A2721" s="6" t="n">
        <v>43030.3005208333</v>
      </c>
      <c r="B2721" s="7" t="str">
        <f aca="false">HYPERLINK("https://twitter.com/Anjana_Putran","@Anjana_Putran")</f>
        <v>@Anjana_Putran</v>
      </c>
      <c r="C2721" s="8" t="s">
        <v>6822</v>
      </c>
      <c r="D2721" s="8" t="s">
        <v>3295</v>
      </c>
      <c r="E2721" s="9" t="str">
        <f aca="false">HYPERLINK("https://twitter.com/Anjana_Putran/status/922103435700211712","922103435700211712")</f>
        <v>922103435700211712</v>
      </c>
      <c r="F2721" s="10" t="s">
        <v>39</v>
      </c>
      <c r="G2721" s="10" t="n">
        <v>216</v>
      </c>
      <c r="H2721" s="10" t="n">
        <v>323</v>
      </c>
      <c r="I2721" s="10" t="n">
        <v>71</v>
      </c>
      <c r="J2721" s="10" t="n">
        <v>0</v>
      </c>
      <c r="K2721" s="10" t="s">
        <v>20</v>
      </c>
      <c r="L2721" s="11" t="n">
        <v>41412.1724421296</v>
      </c>
      <c r="M2721" s="12" t="s">
        <v>6823</v>
      </c>
      <c r="N2721" s="12" t="s">
        <v>6824</v>
      </c>
      <c r="O2721" s="9" t="str">
        <f aca="false">HYPERLINK("https://pbs.twimg.com/profile_images/907235594903855107/rS9iAsbx_normal.jpg","View")</f>
        <v>View</v>
      </c>
      <c r="P2721" s="10"/>
    </row>
    <row r="2722" customFormat="false" ht="15.75" hidden="false" customHeight="false" outlineLevel="0" collapsed="false">
      <c r="A2722" s="6" t="n">
        <v>43030.3010416667</v>
      </c>
      <c r="B2722" s="7" t="str">
        <f aca="false">HYPERLINK("https://twitter.com/presyar","@presyar")</f>
        <v>@presyar</v>
      </c>
      <c r="C2722" s="8" t="s">
        <v>6825</v>
      </c>
      <c r="D2722" s="8" t="s">
        <v>3438</v>
      </c>
      <c r="E2722" s="9" t="str">
        <f aca="false">HYPERLINK("https://twitter.com/presyar/status/922103623978336256","922103623978336256")</f>
        <v>922103623978336256</v>
      </c>
      <c r="F2722" s="10" t="s">
        <v>51</v>
      </c>
      <c r="G2722" s="10" t="n">
        <v>495</v>
      </c>
      <c r="H2722" s="10" t="n">
        <v>1494</v>
      </c>
      <c r="I2722" s="10" t="n">
        <v>15</v>
      </c>
      <c r="J2722" s="10" t="n">
        <v>0</v>
      </c>
      <c r="K2722" s="10" t="s">
        <v>20</v>
      </c>
      <c r="L2722" s="11" t="n">
        <v>40634.3419097222</v>
      </c>
      <c r="M2722" s="12"/>
      <c r="N2722" s="12" t="s">
        <v>6826</v>
      </c>
      <c r="O2722" s="9" t="str">
        <f aca="false">HYPERLINK("https://pbs.twimg.com/profile_images/923082736507633664/hxuwfvQ2_normal.jpg","View")</f>
        <v>View</v>
      </c>
      <c r="P2722" s="10"/>
    </row>
    <row r="2723" customFormat="false" ht="15.75" hidden="false" customHeight="false" outlineLevel="0" collapsed="false">
      <c r="A2723" s="6" t="n">
        <v>43030.3014467593</v>
      </c>
      <c r="B2723" s="7" t="str">
        <f aca="false">HYPERLINK("https://twitter.com/GOmasumi1","@GOmasumi1")</f>
        <v>@GOmasumi1</v>
      </c>
      <c r="C2723" s="8" t="s">
        <v>6827</v>
      </c>
      <c r="D2723" s="8" t="s">
        <v>4984</v>
      </c>
      <c r="E2723" s="9" t="str">
        <f aca="false">HYPERLINK("https://twitter.com/GOmasumi1/status/922103771387150336","922103771387150336")</f>
        <v>922103771387150336</v>
      </c>
      <c r="F2723" s="10" t="s">
        <v>25</v>
      </c>
      <c r="G2723" s="10" t="n">
        <v>238</v>
      </c>
      <c r="H2723" s="10" t="n">
        <v>261</v>
      </c>
      <c r="I2723" s="10" t="n">
        <v>187</v>
      </c>
      <c r="J2723" s="10" t="n">
        <v>0</v>
      </c>
      <c r="K2723" s="10" t="s">
        <v>20</v>
      </c>
      <c r="L2723" s="11" t="n">
        <v>41075.9577430556</v>
      </c>
      <c r="M2723" s="13" t="s">
        <v>6828</v>
      </c>
      <c r="N2723" s="13" t="s">
        <v>6829</v>
      </c>
      <c r="O2723" s="9" t="str">
        <f aca="false">HYPERLINK("https://pbs.twimg.com/profile_images/638437224132947968/mwkWgV5i_normal.jpg","View")</f>
        <v>View</v>
      </c>
      <c r="P2723" s="10"/>
    </row>
    <row r="2724" customFormat="false" ht="15.75" hidden="false" customHeight="false" outlineLevel="0" collapsed="false">
      <c r="A2724" s="6" t="n">
        <v>43030.3015046296</v>
      </c>
      <c r="B2724" s="7" t="str">
        <f aca="false">HYPERLINK("https://twitter.com/newslock_uknews","@newslock_uknews")</f>
        <v>@newslock_uknews</v>
      </c>
      <c r="C2724" s="8" t="s">
        <v>3116</v>
      </c>
      <c r="D2724" s="8" t="s">
        <v>6830</v>
      </c>
      <c r="E2724" s="9" t="str">
        <f aca="false">HYPERLINK("https://twitter.com/newslock_uknews/status/922103791251591170","922103791251591170")</f>
        <v>922103791251591170</v>
      </c>
      <c r="F2724" s="10" t="s">
        <v>3042</v>
      </c>
      <c r="G2724" s="10" t="n">
        <v>1842</v>
      </c>
      <c r="H2724" s="10" t="n">
        <v>2080</v>
      </c>
      <c r="I2724" s="10" t="n">
        <v>0</v>
      </c>
      <c r="J2724" s="10" t="n">
        <v>0</v>
      </c>
      <c r="K2724" s="10" t="s">
        <v>20</v>
      </c>
      <c r="L2724" s="11" t="n">
        <v>40929.4348842593</v>
      </c>
      <c r="M2724" s="12"/>
      <c r="N2724" s="12" t="s">
        <v>3118</v>
      </c>
      <c r="O2724" s="9" t="str">
        <f aca="false">HYPERLINK("https://pbs.twimg.com/profile_images/1771571881/Afbeelding_35_normal.png","View")</f>
        <v>View</v>
      </c>
      <c r="P2724" s="10"/>
    </row>
    <row r="2725" customFormat="false" ht="15.75" hidden="false" customHeight="false" outlineLevel="0" collapsed="false">
      <c r="A2725" s="6" t="n">
        <v>43030.3016203704</v>
      </c>
      <c r="B2725" s="7" t="str">
        <f aca="false">HYPERLINK("https://twitter.com/jai_Bharatvarsh","@jai_Bharatvarsh")</f>
        <v>@jai_Bharatvarsh</v>
      </c>
      <c r="C2725" s="8" t="s">
        <v>6831</v>
      </c>
      <c r="D2725" s="8" t="s">
        <v>6707</v>
      </c>
      <c r="E2725" s="9" t="str">
        <f aca="false">HYPERLINK("https://twitter.com/jai_Bharatvarsh/status/922103832506540032","922103832506540032")</f>
        <v>922103832506540032</v>
      </c>
      <c r="F2725" s="10" t="s">
        <v>25</v>
      </c>
      <c r="G2725" s="10" t="n">
        <v>1163</v>
      </c>
      <c r="H2725" s="10" t="n">
        <v>3115</v>
      </c>
      <c r="I2725" s="10" t="n">
        <v>97</v>
      </c>
      <c r="J2725" s="10" t="n">
        <v>0</v>
      </c>
      <c r="K2725" s="10" t="s">
        <v>20</v>
      </c>
      <c r="L2725" s="11" t="n">
        <v>40186.8617013889</v>
      </c>
      <c r="M2725" s="12" t="s">
        <v>64</v>
      </c>
      <c r="N2725" s="12" t="s">
        <v>6832</v>
      </c>
      <c r="O2725" s="9" t="str">
        <f aca="false">HYPERLINK("https://pbs.twimg.com/profile_images/923428941351723008/O9w2QBpm_normal.jpg","View")</f>
        <v>View</v>
      </c>
      <c r="P2725" s="10"/>
    </row>
    <row r="2726" customFormat="false" ht="15.75" hidden="false" customHeight="false" outlineLevel="0" collapsed="false">
      <c r="A2726" s="6" t="n">
        <v>43030.3018634259</v>
      </c>
      <c r="B2726" s="7" t="str">
        <f aca="false">HYPERLINK("https://twitter.com/all_newsonline1","@all_newsonline1")</f>
        <v>@all_newsonline1</v>
      </c>
      <c r="C2726" s="8" t="s">
        <v>1232</v>
      </c>
      <c r="D2726" s="8" t="s">
        <v>6833</v>
      </c>
      <c r="E2726" s="9" t="str">
        <f aca="false">HYPERLINK("https://twitter.com/all_newsonline1/status/922103922768179201","922103922768179201")</f>
        <v>922103922768179201</v>
      </c>
      <c r="F2726" s="10" t="s">
        <v>60</v>
      </c>
      <c r="G2726" s="10" t="n">
        <v>888</v>
      </c>
      <c r="H2726" s="10" t="n">
        <v>590</v>
      </c>
      <c r="I2726" s="10" t="n">
        <v>0</v>
      </c>
      <c r="J2726" s="10" t="n">
        <v>0</v>
      </c>
      <c r="K2726" s="10" t="s">
        <v>20</v>
      </c>
      <c r="L2726" s="11" t="n">
        <v>42724.3415740741</v>
      </c>
      <c r="M2726" s="12"/>
      <c r="N2726" s="12" t="s">
        <v>1234</v>
      </c>
      <c r="O2726" s="9" t="str">
        <f aca="false">HYPERLINK("https://pbs.twimg.com/profile_images/811251050716004352/I8BfZXTc_normal.jpg","View")</f>
        <v>View</v>
      </c>
      <c r="P2726" s="10"/>
    </row>
    <row r="2727" customFormat="false" ht="15.75" hidden="false" customHeight="false" outlineLevel="0" collapsed="false">
      <c r="A2727" s="6" t="n">
        <v>43030.3018981481</v>
      </c>
      <c r="B2727" s="7" t="str">
        <f aca="false">HYPERLINK("https://twitter.com/Bikuengr","@Bikuengr")</f>
        <v>@Bikuengr</v>
      </c>
      <c r="C2727" s="8" t="s">
        <v>6834</v>
      </c>
      <c r="D2727" s="8" t="s">
        <v>6707</v>
      </c>
      <c r="E2727" s="9" t="str">
        <f aca="false">HYPERLINK("https://twitter.com/Bikuengr/status/922103936227590144","922103936227590144")</f>
        <v>922103936227590144</v>
      </c>
      <c r="F2727" s="10" t="s">
        <v>25</v>
      </c>
      <c r="G2727" s="10" t="n">
        <v>170</v>
      </c>
      <c r="H2727" s="10" t="n">
        <v>201</v>
      </c>
      <c r="I2727" s="10" t="n">
        <v>97</v>
      </c>
      <c r="J2727" s="10" t="n">
        <v>0</v>
      </c>
      <c r="K2727" s="10" t="s">
        <v>20</v>
      </c>
      <c r="L2727" s="11" t="n">
        <v>40601.0603819444</v>
      </c>
      <c r="M2727" s="12" t="s">
        <v>6835</v>
      </c>
      <c r="N2727" s="12" t="s">
        <v>6836</v>
      </c>
      <c r="O2727" s="9" t="str">
        <f aca="false">HYPERLINK("https://pbs.twimg.com/profile_images/896255032969969665/FJLn7eoT_normal.jpg","View")</f>
        <v>View</v>
      </c>
      <c r="P2727" s="10"/>
    </row>
    <row r="2728" customFormat="false" ht="15.75" hidden="false" customHeight="false" outlineLevel="0" collapsed="false">
      <c r="A2728" s="6" t="n">
        <v>43030.3019097222</v>
      </c>
      <c r="B2728" s="7" t="str">
        <f aca="false">HYPERLINK("https://twitter.com/xpablodaniel","@xpablodaniel")</f>
        <v>@xpablodaniel</v>
      </c>
      <c r="C2728" s="8" t="s">
        <v>6837</v>
      </c>
      <c r="D2728" s="8" t="s">
        <v>6731</v>
      </c>
      <c r="E2728" s="9" t="str">
        <f aca="false">HYPERLINK("https://twitter.com/xpablodaniel/status/922103937427214338","922103937427214338")</f>
        <v>922103937427214338</v>
      </c>
      <c r="F2728" s="10" t="s">
        <v>25</v>
      </c>
      <c r="G2728" s="10" t="n">
        <v>80</v>
      </c>
      <c r="H2728" s="10" t="n">
        <v>336</v>
      </c>
      <c r="I2728" s="10" t="n">
        <v>13</v>
      </c>
      <c r="J2728" s="10" t="n">
        <v>0</v>
      </c>
      <c r="K2728" s="10" t="s">
        <v>20</v>
      </c>
      <c r="L2728" s="11" t="n">
        <v>40394.6806018519</v>
      </c>
      <c r="M2728" s="12" t="s">
        <v>6838</v>
      </c>
      <c r="N2728" s="12" t="s">
        <v>6839</v>
      </c>
      <c r="O2728" s="9" t="str">
        <f aca="false">HYPERLINK("https://pbs.twimg.com/profile_images/694421417887162368/ZkLovw1i_normal.jpg","View")</f>
        <v>View</v>
      </c>
      <c r="P2728" s="10"/>
    </row>
    <row r="2729" customFormat="false" ht="15.75" hidden="false" customHeight="false" outlineLevel="0" collapsed="false">
      <c r="A2729" s="6" t="n">
        <v>43030.3019328704</v>
      </c>
      <c r="B2729" s="7" t="str">
        <f aca="false">HYPERLINK("https://twitter.com/PenaJeimi","@PenaJeimi")</f>
        <v>@PenaJeimi</v>
      </c>
      <c r="C2729" s="8" t="s">
        <v>6840</v>
      </c>
      <c r="D2729" s="8" t="s">
        <v>4984</v>
      </c>
      <c r="E2729" s="9" t="str">
        <f aca="false">HYPERLINK("https://twitter.com/PenaJeimi/status/922103947694936064","922103947694936064")</f>
        <v>922103947694936064</v>
      </c>
      <c r="F2729" s="10" t="s">
        <v>25</v>
      </c>
      <c r="G2729" s="10" t="n">
        <v>18</v>
      </c>
      <c r="H2729" s="10" t="n">
        <v>116</v>
      </c>
      <c r="I2729" s="10" t="n">
        <v>187</v>
      </c>
      <c r="J2729" s="10" t="n">
        <v>0</v>
      </c>
      <c r="K2729" s="10" t="s">
        <v>20</v>
      </c>
      <c r="L2729" s="11" t="n">
        <v>43009.3225578704</v>
      </c>
      <c r="M2729" s="12" t="s">
        <v>6841</v>
      </c>
      <c r="N2729" s="12"/>
      <c r="O2729" s="9" t="str">
        <f aca="false">HYPERLINK("https://pbs.twimg.com/profile_images/914507204644007936/hJBIxiw-_normal.jpg","View")</f>
        <v>View</v>
      </c>
      <c r="P2729" s="10"/>
    </row>
    <row r="2730" customFormat="false" ht="15.75" hidden="false" customHeight="false" outlineLevel="0" collapsed="false">
      <c r="A2730" s="6" t="n">
        <v>43030.3021412037</v>
      </c>
      <c r="B2730" s="7" t="str">
        <f aca="false">HYPERLINK("https://twitter.com/mirakamdar","@mirakamdar")</f>
        <v>@mirakamdar</v>
      </c>
      <c r="C2730" s="8" t="s">
        <v>6699</v>
      </c>
      <c r="D2730" s="8" t="s">
        <v>3991</v>
      </c>
      <c r="E2730" s="9" t="str">
        <f aca="false">HYPERLINK("https://twitter.com/mirakamdar/status/922104022848409601","922104022848409601")</f>
        <v>922104022848409601</v>
      </c>
      <c r="F2730" s="10" t="s">
        <v>39</v>
      </c>
      <c r="G2730" s="10" t="n">
        <v>6150</v>
      </c>
      <c r="H2730" s="10" t="n">
        <v>550</v>
      </c>
      <c r="I2730" s="10" t="n">
        <v>17</v>
      </c>
      <c r="J2730" s="10" t="n">
        <v>0</v>
      </c>
      <c r="K2730" s="10" t="s">
        <v>20</v>
      </c>
      <c r="L2730" s="11" t="n">
        <v>40089.6048032407</v>
      </c>
      <c r="M2730" s="12" t="s">
        <v>6700</v>
      </c>
      <c r="N2730" s="12" t="s">
        <v>6701</v>
      </c>
      <c r="O2730" s="9" t="str">
        <f aca="false">HYPERLINK("https://pbs.twimg.com/profile_images/2100516003/Portrait_Twitter_normal.jpg","View")</f>
        <v>View</v>
      </c>
      <c r="P2730" s="10"/>
    </row>
    <row r="2731" customFormat="false" ht="15.75" hidden="false" customHeight="false" outlineLevel="0" collapsed="false">
      <c r="A2731" s="6" t="n">
        <v>43030.3021527778</v>
      </c>
      <c r="B2731" s="7" t="str">
        <f aca="false">HYPERLINK("https://twitter.com/jimmyhoshi","@jimmyhoshi")</f>
        <v>@jimmyhoshi</v>
      </c>
      <c r="C2731" s="8" t="s">
        <v>1651</v>
      </c>
      <c r="D2731" s="8" t="s">
        <v>6842</v>
      </c>
      <c r="E2731" s="9" t="str">
        <f aca="false">HYPERLINK("https://twitter.com/jimmyhoshi/status/922104028141461504","922104028141461504")</f>
        <v>922104028141461504</v>
      </c>
      <c r="F2731" s="10" t="s">
        <v>1653</v>
      </c>
      <c r="G2731" s="10" t="n">
        <v>8715</v>
      </c>
      <c r="H2731" s="10" t="n">
        <v>8482</v>
      </c>
      <c r="I2731" s="10" t="n">
        <v>0</v>
      </c>
      <c r="J2731" s="10" t="n">
        <v>0</v>
      </c>
      <c r="K2731" s="10" t="s">
        <v>20</v>
      </c>
      <c r="L2731" s="11" t="n">
        <v>41922.7041087963</v>
      </c>
      <c r="M2731" s="12" t="s">
        <v>1654</v>
      </c>
      <c r="N2731" s="12" t="s">
        <v>1655</v>
      </c>
      <c r="O2731" s="9" t="str">
        <f aca="false">HYPERLINK("https://pbs.twimg.com/profile_images/525551979565555712/q1hl0v2W_normal.png","View")</f>
        <v>View</v>
      </c>
      <c r="P2731" s="10"/>
    </row>
    <row r="2732" customFormat="false" ht="15.75" hidden="false" customHeight="false" outlineLevel="0" collapsed="false">
      <c r="A2732" s="6" t="n">
        <v>43030.3021875</v>
      </c>
      <c r="B2732" s="7" t="str">
        <f aca="false">HYPERLINK("https://twitter.com/14AbhishekAnand","@14AbhishekAnand")</f>
        <v>@14AbhishekAnand</v>
      </c>
      <c r="C2732" s="8" t="s">
        <v>6843</v>
      </c>
      <c r="D2732" s="8" t="s">
        <v>6707</v>
      </c>
      <c r="E2732" s="9" t="str">
        <f aca="false">HYPERLINK("https://twitter.com/14AbhishekAnand/status/922104040892268545","922104040892268545")</f>
        <v>922104040892268545</v>
      </c>
      <c r="F2732" s="10" t="s">
        <v>98</v>
      </c>
      <c r="G2732" s="10" t="n">
        <v>25</v>
      </c>
      <c r="H2732" s="10" t="n">
        <v>162</v>
      </c>
      <c r="I2732" s="10" t="n">
        <v>97</v>
      </c>
      <c r="J2732" s="10" t="n">
        <v>0</v>
      </c>
      <c r="K2732" s="10" t="s">
        <v>20</v>
      </c>
      <c r="L2732" s="11" t="n">
        <v>41776.8480324074</v>
      </c>
      <c r="M2732" s="12" t="s">
        <v>87</v>
      </c>
      <c r="N2732" s="12"/>
      <c r="O2732" s="9" t="str">
        <f aca="false">HYPERLINK("https://pbs.twimg.com/profile_images/467869153341087744/6mYzd5zH_normal.jpeg","View")</f>
        <v>View</v>
      </c>
      <c r="P2732" s="10"/>
    </row>
    <row r="2733" customFormat="false" ht="15.75" hidden="false" customHeight="false" outlineLevel="0" collapsed="false">
      <c r="A2733" s="6" t="n">
        <v>43030.3023148148</v>
      </c>
      <c r="B2733" s="7" t="str">
        <f aca="false">HYPERLINK("https://twitter.com/vasavramidis","@vasavramidis")</f>
        <v>@vasavramidis</v>
      </c>
      <c r="C2733" s="8" t="s">
        <v>6844</v>
      </c>
      <c r="D2733" s="8" t="s">
        <v>6797</v>
      </c>
      <c r="E2733" s="9" t="str">
        <f aca="false">HYPERLINK("https://twitter.com/vasavramidis/status/922104086350192640","922104086350192640")</f>
        <v>922104086350192640</v>
      </c>
      <c r="F2733" s="10" t="s">
        <v>51</v>
      </c>
      <c r="G2733" s="10" t="n">
        <v>1629</v>
      </c>
      <c r="H2733" s="10" t="n">
        <v>2243</v>
      </c>
      <c r="I2733" s="10" t="n">
        <v>4</v>
      </c>
      <c r="J2733" s="10" t="n">
        <v>0</v>
      </c>
      <c r="K2733" s="10" t="s">
        <v>20</v>
      </c>
      <c r="L2733" s="11" t="n">
        <v>39906.3881365741</v>
      </c>
      <c r="M2733" s="12" t="s">
        <v>6845</v>
      </c>
      <c r="N2733" s="12"/>
      <c r="O2733" s="9" t="str">
        <f aca="false">HYPERLINK("https://pbs.twimg.com/profile_images/1353615953/image_normal.jpg","View")</f>
        <v>View</v>
      </c>
      <c r="P2733" s="10"/>
    </row>
    <row r="2734" customFormat="false" ht="15.75" hidden="false" customHeight="false" outlineLevel="0" collapsed="false">
      <c r="A2734" s="6" t="n">
        <v>43030.302349537</v>
      </c>
      <c r="B2734" s="7" t="str">
        <f aca="false">HYPERLINK("https://twitter.com/BlackWhite_","@BlackWhite_")</f>
        <v>@BlackWhite_</v>
      </c>
      <c r="C2734" s="8" t="s">
        <v>6846</v>
      </c>
      <c r="D2734" s="8" t="s">
        <v>6847</v>
      </c>
      <c r="E2734" s="9" t="str">
        <f aca="false">HYPERLINK("https://twitter.com/BlackWhite_/status/922104097553166336","922104097553166336")</f>
        <v>922104097553166336</v>
      </c>
      <c r="F2734" s="10" t="s">
        <v>110</v>
      </c>
      <c r="G2734" s="10" t="n">
        <v>141</v>
      </c>
      <c r="H2734" s="10" t="n">
        <v>99</v>
      </c>
      <c r="I2734" s="10" t="n">
        <v>0</v>
      </c>
      <c r="J2734" s="10" t="n">
        <v>1</v>
      </c>
      <c r="K2734" s="10" t="s">
        <v>20</v>
      </c>
      <c r="L2734" s="11" t="n">
        <v>40282.280474537</v>
      </c>
      <c r="M2734" s="12" t="s">
        <v>72</v>
      </c>
      <c r="N2734" s="12" t="s">
        <v>6848</v>
      </c>
      <c r="O2734" s="9" t="str">
        <f aca="false">HYPERLINK("https://pbs.twimg.com/profile_images/1435129032/robot_normal.jpg","View")</f>
        <v>View</v>
      </c>
      <c r="P2734" s="10"/>
    </row>
    <row r="2735" customFormat="false" ht="15.75" hidden="false" customHeight="false" outlineLevel="0" collapsed="false">
      <c r="A2735" s="6" t="n">
        <v>43030.3024074074</v>
      </c>
      <c r="B2735" s="7" t="str">
        <f aca="false">HYPERLINK("https://twitter.com/stepupjapanese","@stepupjapanese")</f>
        <v>@stepupjapanese</v>
      </c>
      <c r="C2735" s="8" t="s">
        <v>6849</v>
      </c>
      <c r="D2735" s="8" t="s">
        <v>6850</v>
      </c>
      <c r="E2735" s="9" t="str">
        <f aca="false">HYPERLINK("https://twitter.com/stepupjapanese/status/922104117891387392","922104117891387392")</f>
        <v>922104117891387392</v>
      </c>
      <c r="F2735" s="10" t="s">
        <v>51</v>
      </c>
      <c r="G2735" s="10" t="n">
        <v>2483</v>
      </c>
      <c r="H2735" s="10" t="n">
        <v>4949</v>
      </c>
      <c r="I2735" s="10" t="n">
        <v>1</v>
      </c>
      <c r="J2735" s="10" t="n">
        <v>1</v>
      </c>
      <c r="K2735" s="10" t="s">
        <v>20</v>
      </c>
      <c r="L2735" s="11" t="n">
        <v>42254.3825462963</v>
      </c>
      <c r="M2735" s="12" t="s">
        <v>6851</v>
      </c>
      <c r="N2735" s="12" t="s">
        <v>6852</v>
      </c>
      <c r="O2735" s="9" t="str">
        <f aca="false">HYPERLINK("https://pbs.twimg.com/profile_images/644514431800602625/w3vwHi19_normal.jpg","View")</f>
        <v>View</v>
      </c>
      <c r="P2735" s="10"/>
    </row>
    <row r="2736" customFormat="false" ht="15.75" hidden="false" customHeight="false" outlineLevel="0" collapsed="false">
      <c r="A2736" s="6" t="n">
        <v>43030.3025231481</v>
      </c>
      <c r="B2736" s="7" t="str">
        <f aca="false">HYPERLINK("https://twitter.com/newsfakenews","@newsfakenews")</f>
        <v>@newsfakenews</v>
      </c>
      <c r="C2736" s="8" t="s">
        <v>6853</v>
      </c>
      <c r="D2736" s="8" t="s">
        <v>6854</v>
      </c>
      <c r="E2736" s="9" t="str">
        <f aca="false">HYPERLINK("https://twitter.com/newsfakenews/status/922104160299995137","922104160299995137")</f>
        <v>922104160299995137</v>
      </c>
      <c r="F2736" s="10" t="s">
        <v>110</v>
      </c>
      <c r="G2736" s="10" t="n">
        <v>5481</v>
      </c>
      <c r="H2736" s="10" t="n">
        <v>5552</v>
      </c>
      <c r="I2736" s="10" t="n">
        <v>1</v>
      </c>
      <c r="J2736" s="10" t="n">
        <v>0</v>
      </c>
      <c r="K2736" s="10" t="s">
        <v>20</v>
      </c>
      <c r="L2736" s="11" t="n">
        <v>42734.5569097222</v>
      </c>
      <c r="M2736" s="12" t="s">
        <v>230</v>
      </c>
      <c r="N2736" s="12" t="s">
        <v>6855</v>
      </c>
      <c r="O2736" s="9" t="str">
        <f aca="false">HYPERLINK("https://pbs.twimg.com/profile_images/814946394930868228/feUNvqSr_normal.jpg","View")</f>
        <v>View</v>
      </c>
      <c r="P2736" s="10"/>
    </row>
    <row r="2737" customFormat="false" ht="15.75" hidden="false" customHeight="false" outlineLevel="0" collapsed="false">
      <c r="A2737" s="6" t="n">
        <v>43030.3025925926</v>
      </c>
      <c r="B2737" s="7" t="str">
        <f aca="false">HYPERLINK("https://twitter.com/ZyiteGadgets","@ZyiteGadgets")</f>
        <v>@ZyiteGadgets</v>
      </c>
      <c r="C2737" s="8" t="s">
        <v>171</v>
      </c>
      <c r="D2737" s="8" t="s">
        <v>6856</v>
      </c>
      <c r="E2737" s="9" t="str">
        <f aca="false">HYPERLINK("https://twitter.com/ZyiteGadgets/status/922104188154400769","922104188154400769")</f>
        <v>922104188154400769</v>
      </c>
      <c r="F2737" s="10" t="s">
        <v>110</v>
      </c>
      <c r="G2737" s="10" t="n">
        <v>3542</v>
      </c>
      <c r="H2737" s="10" t="n">
        <v>4844</v>
      </c>
      <c r="I2737" s="10" t="n">
        <v>0</v>
      </c>
      <c r="J2737" s="10" t="n">
        <v>0</v>
      </c>
      <c r="K2737" s="10" t="s">
        <v>20</v>
      </c>
      <c r="L2737" s="11" t="n">
        <v>41470.6147800926</v>
      </c>
      <c r="M2737" s="15" t="s">
        <v>173</v>
      </c>
      <c r="N2737" s="12" t="s">
        <v>174</v>
      </c>
      <c r="O2737" s="9" t="str">
        <f aca="false">HYPERLINK("https://pbs.twimg.com/profile_images/487701633489313793/pIxJHFt5_normal.jpeg","View")</f>
        <v>View</v>
      </c>
      <c r="P2737" s="10"/>
    </row>
    <row r="2738" customFormat="false" ht="15.75" hidden="false" customHeight="false" outlineLevel="0" collapsed="false">
      <c r="A2738" s="6" t="n">
        <v>43030.3028125</v>
      </c>
      <c r="B2738" s="7" t="str">
        <f aca="false">HYPERLINK("https://twitter.com/shankargallery","@shankargallery")</f>
        <v>@shankargallery</v>
      </c>
      <c r="C2738" s="8" t="s">
        <v>2072</v>
      </c>
      <c r="D2738" s="8" t="s">
        <v>6731</v>
      </c>
      <c r="E2738" s="9" t="str">
        <f aca="false">HYPERLINK("https://twitter.com/shankargallery/status/922104266998800384","922104266998800384")</f>
        <v>922104266998800384</v>
      </c>
      <c r="F2738" s="10" t="s">
        <v>39</v>
      </c>
      <c r="G2738" s="10" t="n">
        <v>8532</v>
      </c>
      <c r="H2738" s="10" t="n">
        <v>8156</v>
      </c>
      <c r="I2738" s="10" t="n">
        <v>13</v>
      </c>
      <c r="J2738" s="10" t="n">
        <v>0</v>
      </c>
      <c r="K2738" s="10" t="s">
        <v>20</v>
      </c>
      <c r="L2738" s="11" t="n">
        <v>39213.5175925926</v>
      </c>
      <c r="M2738" s="12" t="s">
        <v>2075</v>
      </c>
      <c r="N2738" s="15" t="s">
        <v>2076</v>
      </c>
      <c r="O2738" s="9" t="str">
        <f aca="false">HYPERLINK("https://pbs.twimg.com/profile_images/476104395847790592/nQaMS96N_normal.jpeg","View")</f>
        <v>View</v>
      </c>
      <c r="P2738" s="10"/>
    </row>
    <row r="2739" customFormat="false" ht="15.75" hidden="false" customHeight="false" outlineLevel="0" collapsed="false">
      <c r="A2739" s="6" t="n">
        <v>43030.302962963</v>
      </c>
      <c r="B2739" s="7" t="str">
        <f aca="false">HYPERLINK("https://twitter.com/marieann66","@marieann66")</f>
        <v>@marieann66</v>
      </c>
      <c r="C2739" s="8" t="s">
        <v>6857</v>
      </c>
      <c r="D2739" s="8" t="s">
        <v>6858</v>
      </c>
      <c r="E2739" s="9" t="str">
        <f aca="false">HYPERLINK("https://twitter.com/marieann66/status/922104322216943617","922104322216943617")</f>
        <v>922104322216943617</v>
      </c>
      <c r="F2739" s="10" t="s">
        <v>25</v>
      </c>
      <c r="G2739" s="10" t="n">
        <v>6969</v>
      </c>
      <c r="H2739" s="10" t="n">
        <v>7494</v>
      </c>
      <c r="I2739" s="10" t="n">
        <v>1</v>
      </c>
      <c r="J2739" s="10" t="n">
        <v>0</v>
      </c>
      <c r="K2739" s="10" t="s">
        <v>20</v>
      </c>
      <c r="L2739" s="11" t="n">
        <v>41161.1955092593</v>
      </c>
      <c r="M2739" s="12" t="s">
        <v>6859</v>
      </c>
      <c r="N2739" s="12" t="s">
        <v>6860</v>
      </c>
      <c r="O2739" s="9" t="str">
        <f aca="false">HYPERLINK("https://pbs.twimg.com/profile_images/529456798390972417/y4IkPuUk_normal.jpeg","View")</f>
        <v>View</v>
      </c>
      <c r="P2739" s="10"/>
    </row>
    <row r="2740" customFormat="false" ht="15.75" hidden="false" customHeight="false" outlineLevel="0" collapsed="false">
      <c r="A2740" s="6" t="n">
        <v>43030.3030439815</v>
      </c>
      <c r="B2740" s="7" t="str">
        <f aca="false">HYPERLINK("https://twitter.com/DrHimanshuParm2","@DrHimanshuParm2")</f>
        <v>@DrHimanshuParm2</v>
      </c>
      <c r="C2740" s="8" t="s">
        <v>6861</v>
      </c>
      <c r="D2740" s="8" t="s">
        <v>6707</v>
      </c>
      <c r="E2740" s="9" t="str">
        <f aca="false">HYPERLINK("https://twitter.com/DrHimanshuParm2/status/922104350838685696","922104350838685696")</f>
        <v>922104350838685696</v>
      </c>
      <c r="F2740" s="10" t="s">
        <v>98</v>
      </c>
      <c r="G2740" s="10" t="n">
        <v>50</v>
      </c>
      <c r="H2740" s="10" t="n">
        <v>705</v>
      </c>
      <c r="I2740" s="10" t="n">
        <v>97</v>
      </c>
      <c r="J2740" s="10" t="n">
        <v>0</v>
      </c>
      <c r="K2740" s="10" t="s">
        <v>20</v>
      </c>
      <c r="L2740" s="11" t="n">
        <v>42352.2011111111</v>
      </c>
      <c r="M2740" s="12"/>
      <c r="N2740" s="12"/>
      <c r="O2740" s="9" t="str">
        <f aca="false">HYPERLINK("https://abs.twimg.com/sticky/default_profile_images/default_profile_normal.png","View")</f>
        <v>View</v>
      </c>
      <c r="P2740" s="10"/>
    </row>
    <row r="2741" customFormat="false" ht="15.75" hidden="false" customHeight="false" outlineLevel="0" collapsed="false">
      <c r="A2741" s="6" t="n">
        <v>43030.3034143519</v>
      </c>
      <c r="B2741" s="7" t="str">
        <f aca="false">HYPERLINK("https://twitter.com/Deecee110Gmail","@Deecee110Gmail")</f>
        <v>@Deecee110Gmail</v>
      </c>
      <c r="C2741" s="8" t="s">
        <v>6862</v>
      </c>
      <c r="D2741" s="8" t="s">
        <v>6863</v>
      </c>
      <c r="E2741" s="9" t="str">
        <f aca="false">HYPERLINK("https://twitter.com/Deecee110Gmail/status/922104484553220096","922104484553220096")</f>
        <v>922104484553220096</v>
      </c>
      <c r="F2741" s="10" t="s">
        <v>25</v>
      </c>
      <c r="G2741" s="10" t="n">
        <v>1382</v>
      </c>
      <c r="H2741" s="10" t="n">
        <v>2285</v>
      </c>
      <c r="I2741" s="10" t="n">
        <v>1</v>
      </c>
      <c r="J2741" s="10" t="n">
        <v>0</v>
      </c>
      <c r="K2741" s="10" t="s">
        <v>20</v>
      </c>
      <c r="L2741" s="11" t="n">
        <v>41966.2707175926</v>
      </c>
      <c r="M2741" s="12"/>
      <c r="N2741" s="12" t="s">
        <v>6864</v>
      </c>
      <c r="O2741" s="9" t="str">
        <f aca="false">HYPERLINK("https://pbs.twimg.com/profile_images/543153608498216960/gIr80o7a_normal.png","View")</f>
        <v>View</v>
      </c>
      <c r="P2741" s="10"/>
    </row>
    <row r="2742" customFormat="false" ht="15.75" hidden="false" customHeight="false" outlineLevel="0" collapsed="false">
      <c r="A2742" s="6" t="n">
        <v>43030.3036458333</v>
      </c>
      <c r="B2742" s="7" t="str">
        <f aca="false">HYPERLINK("https://twitter.com/CornithFd3","@CornithFd3")</f>
        <v>@CornithFd3</v>
      </c>
      <c r="C2742" s="8" t="s">
        <v>6865</v>
      </c>
      <c r="D2742" s="8" t="s">
        <v>6866</v>
      </c>
      <c r="E2742" s="9" t="str">
        <f aca="false">HYPERLINK("https://twitter.com/CornithFd3/status/922104569173299200","922104569173299200")</f>
        <v>922104569173299200</v>
      </c>
      <c r="F2742" s="10" t="s">
        <v>25</v>
      </c>
      <c r="G2742" s="10" t="n">
        <v>37</v>
      </c>
      <c r="H2742" s="10" t="n">
        <v>1601</v>
      </c>
      <c r="I2742" s="10" t="n">
        <v>1</v>
      </c>
      <c r="J2742" s="10" t="n">
        <v>0</v>
      </c>
      <c r="K2742" s="10" t="s">
        <v>20</v>
      </c>
      <c r="L2742" s="11" t="n">
        <v>41080.146087963</v>
      </c>
      <c r="M2742" s="12" t="s">
        <v>6867</v>
      </c>
      <c r="N2742" s="12" t="s">
        <v>6868</v>
      </c>
      <c r="O2742" s="9" t="str">
        <f aca="false">HYPERLINK("https://pbs.twimg.com/profile_images/770336496431861760/iY_cJmzK_normal.jpg","View")</f>
        <v>View</v>
      </c>
      <c r="P2742" s="10"/>
    </row>
    <row r="2743" customFormat="false" ht="15.75" hidden="false" customHeight="false" outlineLevel="0" collapsed="false">
      <c r="A2743" s="6" t="n">
        <v>43030.3038078704</v>
      </c>
      <c r="B2743" s="7" t="str">
        <f aca="false">HYPERLINK("https://twitter.com/atiquemohammed","@atiquemohammed")</f>
        <v>@atiquemohammed</v>
      </c>
      <c r="C2743" s="8" t="s">
        <v>6869</v>
      </c>
      <c r="D2743" s="8" t="s">
        <v>6558</v>
      </c>
      <c r="E2743" s="9" t="str">
        <f aca="false">HYPERLINK("https://twitter.com/atiquemohammed/status/922104626136133634","922104626136133634")</f>
        <v>922104626136133634</v>
      </c>
      <c r="F2743" s="10" t="s">
        <v>25</v>
      </c>
      <c r="G2743" s="10" t="n">
        <v>235</v>
      </c>
      <c r="H2743" s="10" t="n">
        <v>2195</v>
      </c>
      <c r="I2743" s="10" t="n">
        <v>65</v>
      </c>
      <c r="J2743" s="10" t="n">
        <v>0</v>
      </c>
      <c r="K2743" s="10" t="s">
        <v>20</v>
      </c>
      <c r="L2743" s="11" t="n">
        <v>40453.1943287037</v>
      </c>
      <c r="M2743" s="12" t="s">
        <v>6870</v>
      </c>
      <c r="N2743" s="12" t="s">
        <v>6871</v>
      </c>
      <c r="O2743" s="9" t="str">
        <f aca="false">HYPERLINK("https://pbs.twimg.com/profile_images/862051542823731200/0X8eogKZ_normal.jpg","View")</f>
        <v>View</v>
      </c>
      <c r="P2743" s="10"/>
    </row>
    <row r="2744" customFormat="false" ht="15.75" hidden="false" customHeight="false" outlineLevel="0" collapsed="false">
      <c r="A2744" s="6" t="n">
        <v>43030.3040509259</v>
      </c>
      <c r="B2744" s="7" t="str">
        <f aca="false">HYPERLINK("https://twitter.com/ukbizz","@ukbizz")</f>
        <v>@ukbizz</v>
      </c>
      <c r="C2744" s="8" t="s">
        <v>6872</v>
      </c>
      <c r="D2744" s="8" t="s">
        <v>6873</v>
      </c>
      <c r="E2744" s="9" t="str">
        <f aca="false">HYPERLINK("https://twitter.com/ukbizz/status/922104713381806080","922104713381806080")</f>
        <v>922104713381806080</v>
      </c>
      <c r="F2744" s="10" t="s">
        <v>6874</v>
      </c>
      <c r="G2744" s="10" t="n">
        <v>18697</v>
      </c>
      <c r="H2744" s="10" t="n">
        <v>17992</v>
      </c>
      <c r="I2744" s="10" t="n">
        <v>0</v>
      </c>
      <c r="J2744" s="10" t="n">
        <v>0</v>
      </c>
      <c r="K2744" s="10" t="s">
        <v>20</v>
      </c>
      <c r="L2744" s="11" t="n">
        <v>41176.392650463</v>
      </c>
      <c r="M2744" s="12" t="s">
        <v>1466</v>
      </c>
      <c r="N2744" s="12" t="s">
        <v>6875</v>
      </c>
      <c r="O2744" s="9" t="str">
        <f aca="false">HYPERLINK("https://pbs.twimg.com/profile_images/889499523541762049/GpJjrAbK_normal.jpg","View")</f>
        <v>View</v>
      </c>
      <c r="P2744" s="10"/>
    </row>
    <row r="2745" customFormat="false" ht="15.75" hidden="false" customHeight="false" outlineLevel="0" collapsed="false">
      <c r="A2745" s="6" t="n">
        <v>43030.3040972222</v>
      </c>
      <c r="B2745" s="7" t="str">
        <f aca="false">HYPERLINK("https://twitter.com/pankajm1963","@pankajm1963")</f>
        <v>@pankajm1963</v>
      </c>
      <c r="C2745" s="8" t="s">
        <v>6876</v>
      </c>
      <c r="D2745" s="8" t="s">
        <v>6558</v>
      </c>
      <c r="E2745" s="9" t="str">
        <f aca="false">HYPERLINK("https://twitter.com/pankajm1963/status/922104730125451269","922104730125451269")</f>
        <v>922104730125451269</v>
      </c>
      <c r="F2745" s="10" t="s">
        <v>51</v>
      </c>
      <c r="G2745" s="10" t="n">
        <v>62</v>
      </c>
      <c r="H2745" s="10" t="n">
        <v>57</v>
      </c>
      <c r="I2745" s="10" t="n">
        <v>65</v>
      </c>
      <c r="J2745" s="10" t="n">
        <v>0</v>
      </c>
      <c r="K2745" s="10" t="s">
        <v>20</v>
      </c>
      <c r="L2745" s="11" t="n">
        <v>40896.1069907407</v>
      </c>
      <c r="M2745" s="12"/>
      <c r="N2745" s="12" t="s">
        <v>6877</v>
      </c>
      <c r="O2745" s="9" t="str">
        <f aca="false">HYPERLINK("https://pbs.twimg.com/profile_images/907606775527907328/bPInU3w__normal.jpg","View")</f>
        <v>View</v>
      </c>
      <c r="P2745" s="10"/>
    </row>
    <row r="2746" customFormat="false" ht="15.75" hidden="false" customHeight="false" outlineLevel="0" collapsed="false">
      <c r="A2746" s="6" t="n">
        <v>43030.3044328704</v>
      </c>
      <c r="B2746" s="7" t="str">
        <f aca="false">HYPERLINK("https://twitter.com/cyber_shadow55","@cyber_shadow55")</f>
        <v>@cyber_shadow55</v>
      </c>
      <c r="C2746" s="8" t="s">
        <v>6878</v>
      </c>
      <c r="D2746" s="8" t="s">
        <v>6879</v>
      </c>
      <c r="E2746" s="9" t="str">
        <f aca="false">HYPERLINK("https://twitter.com/cyber_shadow55/status/922104854973222912","922104854973222912")</f>
        <v>922104854973222912</v>
      </c>
      <c r="F2746" s="10" t="s">
        <v>51</v>
      </c>
      <c r="G2746" s="10" t="n">
        <v>45</v>
      </c>
      <c r="H2746" s="10" t="n">
        <v>226</v>
      </c>
      <c r="I2746" s="10" t="n">
        <v>0</v>
      </c>
      <c r="J2746" s="10" t="n">
        <v>0</v>
      </c>
      <c r="K2746" s="10" t="s">
        <v>20</v>
      </c>
      <c r="L2746" s="11" t="n">
        <v>43012.1929398148</v>
      </c>
      <c r="M2746" s="12" t="s">
        <v>6880</v>
      </c>
      <c r="N2746" s="12"/>
      <c r="O2746" s="9" t="str">
        <f aca="false">HYPERLINK("https://pbs.twimg.com/profile_images/915721681230008320/72Rek3eB_normal.jpg","View")</f>
        <v>View</v>
      </c>
      <c r="P2746" s="10"/>
    </row>
    <row r="2747" customFormat="false" ht="15.75" hidden="false" customHeight="false" outlineLevel="0" collapsed="false">
      <c r="A2747" s="6" t="n">
        <v>43030.3052199074</v>
      </c>
      <c r="B2747" s="7" t="str">
        <f aca="false">HYPERLINK("https://twitter.com/brotherhebrew","@brotherhebrew")</f>
        <v>@brotherhebrew</v>
      </c>
      <c r="C2747" s="8" t="s">
        <v>6881</v>
      </c>
      <c r="D2747" s="8" t="s">
        <v>6731</v>
      </c>
      <c r="E2747" s="9" t="str">
        <f aca="false">HYPERLINK("https://twitter.com/brotherhebrew/status/922105138088685568","922105138088685568")</f>
        <v>922105138088685568</v>
      </c>
      <c r="F2747" s="10" t="s">
        <v>25</v>
      </c>
      <c r="G2747" s="10" t="n">
        <v>1574</v>
      </c>
      <c r="H2747" s="10" t="n">
        <v>4808</v>
      </c>
      <c r="I2747" s="10" t="n">
        <v>13</v>
      </c>
      <c r="J2747" s="10" t="n">
        <v>0</v>
      </c>
      <c r="K2747" s="10" t="s">
        <v>20</v>
      </c>
      <c r="L2747" s="11" t="n">
        <v>39793.5654166667</v>
      </c>
      <c r="M2747" s="12" t="s">
        <v>6882</v>
      </c>
      <c r="N2747" s="12" t="s">
        <v>6883</v>
      </c>
      <c r="O2747" s="9" t="str">
        <f aca="false">HYPERLINK("https://pbs.twimg.com/profile_images/67170138/my_pic_normal.jpeg","View")</f>
        <v>View</v>
      </c>
      <c r="P2747" s="10"/>
    </row>
    <row r="2748" customFormat="false" ht="15.75" hidden="false" customHeight="false" outlineLevel="0" collapsed="false">
      <c r="A2748" s="6" t="n">
        <v>43030.3052893519</v>
      </c>
      <c r="B2748" s="7" t="str">
        <f aca="false">HYPERLINK("https://twitter.com/wakichisyou","@wakichisyou")</f>
        <v>@wakichisyou</v>
      </c>
      <c r="C2748" s="8" t="s">
        <v>6884</v>
      </c>
      <c r="D2748" s="8" t="s">
        <v>6797</v>
      </c>
      <c r="E2748" s="9" t="str">
        <f aca="false">HYPERLINK("https://twitter.com/wakichisyou/status/922105161732026368","922105161732026368")</f>
        <v>922105161732026368</v>
      </c>
      <c r="F2748" s="10" t="s">
        <v>39</v>
      </c>
      <c r="G2748" s="10" t="n">
        <v>475</v>
      </c>
      <c r="H2748" s="10" t="n">
        <v>756</v>
      </c>
      <c r="I2748" s="10" t="n">
        <v>4</v>
      </c>
      <c r="J2748" s="10" t="n">
        <v>0</v>
      </c>
      <c r="K2748" s="10" t="s">
        <v>20</v>
      </c>
      <c r="L2748" s="11" t="n">
        <v>40291.1990046296</v>
      </c>
      <c r="M2748" s="12" t="s">
        <v>6885</v>
      </c>
      <c r="N2748" s="12" t="s">
        <v>6886</v>
      </c>
      <c r="O2748" s="9" t="str">
        <f aca="false">HYPERLINK("https://pbs.twimg.com/profile_images/894790701468221440/kpoz8Gfg_normal.jpg","View")</f>
        <v>View</v>
      </c>
      <c r="P2748" s="10"/>
    </row>
    <row r="2749" customFormat="false" ht="15.75" hidden="false" customHeight="false" outlineLevel="0" collapsed="false">
      <c r="A2749" s="6" t="n">
        <v>43030.3054398148</v>
      </c>
      <c r="B2749" s="7" t="str">
        <f aca="false">HYPERLINK("https://twitter.com/Geethaputhra","@Geethaputhra")</f>
        <v>@Geethaputhra</v>
      </c>
      <c r="C2749" s="8" t="s">
        <v>6887</v>
      </c>
      <c r="D2749" s="8" t="s">
        <v>6558</v>
      </c>
      <c r="E2749" s="9" t="str">
        <f aca="false">HYPERLINK("https://twitter.com/Geethaputhra/status/922105217167982592","922105217167982592")</f>
        <v>922105217167982592</v>
      </c>
      <c r="F2749" s="10" t="s">
        <v>25</v>
      </c>
      <c r="G2749" s="10" t="n">
        <v>77</v>
      </c>
      <c r="H2749" s="10" t="n">
        <v>438</v>
      </c>
      <c r="I2749" s="10" t="n">
        <v>65</v>
      </c>
      <c r="J2749" s="10" t="n">
        <v>0</v>
      </c>
      <c r="K2749" s="10" t="s">
        <v>20</v>
      </c>
      <c r="L2749" s="11" t="n">
        <v>42345.6816203704</v>
      </c>
      <c r="M2749" s="12" t="s">
        <v>6888</v>
      </c>
      <c r="N2749" s="12" t="s">
        <v>6889</v>
      </c>
      <c r="O2749" s="9" t="str">
        <f aca="false">HYPERLINK("https://pbs.twimg.com/profile_images/852034465001906177/A4SX4eH0_normal.jpg","View")</f>
        <v>View</v>
      </c>
      <c r="P2749" s="10"/>
    </row>
    <row r="2750" customFormat="false" ht="15.75" hidden="false" customHeight="false" outlineLevel="0" collapsed="false">
      <c r="A2750" s="6" t="n">
        <v>43030.3058217593</v>
      </c>
      <c r="B2750" s="7" t="str">
        <f aca="false">HYPERLINK("https://twitter.com/Blenchalnews","@Blenchalnews")</f>
        <v>@Blenchalnews</v>
      </c>
      <c r="C2750" s="8" t="s">
        <v>6890</v>
      </c>
      <c r="D2750" s="8" t="s">
        <v>6891</v>
      </c>
      <c r="E2750" s="9" t="str">
        <f aca="false">HYPERLINK("https://twitter.com/Blenchalnews/status/922105354686787591","922105354686787591")</f>
        <v>922105354686787591</v>
      </c>
      <c r="F2750" s="10" t="s">
        <v>60</v>
      </c>
      <c r="G2750" s="10" t="n">
        <v>14</v>
      </c>
      <c r="H2750" s="10" t="n">
        <v>0</v>
      </c>
      <c r="I2750" s="10" t="n">
        <v>0</v>
      </c>
      <c r="J2750" s="10" t="n">
        <v>0</v>
      </c>
      <c r="K2750" s="10" t="s">
        <v>20</v>
      </c>
      <c r="L2750" s="11" t="n">
        <v>42871.0883333333</v>
      </c>
      <c r="M2750" s="12"/>
      <c r="N2750" s="12"/>
      <c r="O2750" s="9" t="str">
        <f aca="false">HYPERLINK("https://abs.twimg.com/sticky/default_profile_images/default_profile_normal.png","View")</f>
        <v>View</v>
      </c>
      <c r="P2750" s="10"/>
    </row>
    <row r="2751" customFormat="false" ht="15.75" hidden="false" customHeight="false" outlineLevel="0" collapsed="false">
      <c r="A2751" s="6" t="n">
        <v>43030.3058680556</v>
      </c>
      <c r="B2751" s="7" t="str">
        <f aca="false">HYPERLINK("https://twitter.com/gpeamie","@gpeamie")</f>
        <v>@gpeamie</v>
      </c>
      <c r="C2751" s="8" t="s">
        <v>6892</v>
      </c>
      <c r="D2751" s="8" t="s">
        <v>4068</v>
      </c>
      <c r="E2751" s="9" t="str">
        <f aca="false">HYPERLINK("https://twitter.com/gpeamie/status/922105374160846848","922105374160846848")</f>
        <v>922105374160846848</v>
      </c>
      <c r="F2751" s="10" t="s">
        <v>25</v>
      </c>
      <c r="G2751" s="10" t="n">
        <v>319</v>
      </c>
      <c r="H2751" s="10" t="n">
        <v>254</v>
      </c>
      <c r="I2751" s="10" t="n">
        <v>50</v>
      </c>
      <c r="J2751" s="10" t="n">
        <v>0</v>
      </c>
      <c r="K2751" s="10" t="s">
        <v>20</v>
      </c>
      <c r="L2751" s="11" t="n">
        <v>39865.8587268519</v>
      </c>
      <c r="M2751" s="12" t="s">
        <v>900</v>
      </c>
      <c r="N2751" s="12" t="s">
        <v>6893</v>
      </c>
      <c r="O2751" s="9" t="str">
        <f aca="false">HYPERLINK("https://pbs.twimg.com/profile_images/666852608556961792/j3BVtKVa_normal.jpg","View")</f>
        <v>View</v>
      </c>
      <c r="P2751" s="10"/>
    </row>
    <row r="2752" customFormat="false" ht="15.75" hidden="false" customHeight="false" outlineLevel="0" collapsed="false">
      <c r="A2752" s="6" t="n">
        <v>43030.3063541667</v>
      </c>
      <c r="B2752" s="7" t="str">
        <f aca="false">HYPERLINK("https://twitter.com/yuuji_K1","@yuuji_K1")</f>
        <v>@yuuji_K1</v>
      </c>
      <c r="C2752" s="8" t="s">
        <v>1490</v>
      </c>
      <c r="D2752" s="8" t="s">
        <v>4124</v>
      </c>
      <c r="E2752" s="9" t="str">
        <f aca="false">HYPERLINK("https://twitter.com/yuuji_K1/status/922105551252635648","922105551252635648")</f>
        <v>922105551252635648</v>
      </c>
      <c r="F2752" s="10" t="s">
        <v>51</v>
      </c>
      <c r="G2752" s="10" t="n">
        <v>2337</v>
      </c>
      <c r="H2752" s="10" t="n">
        <v>2256</v>
      </c>
      <c r="I2752" s="10" t="n">
        <v>111</v>
      </c>
      <c r="J2752" s="10" t="n">
        <v>0</v>
      </c>
      <c r="K2752" s="10" t="s">
        <v>20</v>
      </c>
      <c r="L2752" s="11" t="n">
        <v>41720.1160069445</v>
      </c>
      <c r="M2752" s="12"/>
      <c r="N2752" s="12" t="s">
        <v>1491</v>
      </c>
      <c r="O2752" s="9" t="str">
        <f aca="false">HYPERLINK("https://pbs.twimg.com/profile_images/447319649642770432/l3MsVwx__normal.jpeg","View")</f>
        <v>View</v>
      </c>
      <c r="P2752" s="10"/>
    </row>
    <row r="2753" customFormat="false" ht="15.75" hidden="false" customHeight="false" outlineLevel="0" collapsed="false">
      <c r="A2753" s="6" t="n">
        <v>43030.3064467593</v>
      </c>
      <c r="B2753" s="7" t="str">
        <f aca="false">HYPERLINK("https://twitter.com/kshincho","@kshincho")</f>
        <v>@kshincho</v>
      </c>
      <c r="C2753" s="8" t="s">
        <v>6894</v>
      </c>
      <c r="D2753" s="8" t="s">
        <v>6895</v>
      </c>
      <c r="E2753" s="9" t="str">
        <f aca="false">HYPERLINK("https://twitter.com/kshincho/status/922105581472595968","922105581472595968")</f>
        <v>922105581472595968</v>
      </c>
      <c r="F2753" s="10" t="s">
        <v>39</v>
      </c>
      <c r="G2753" s="10" t="n">
        <v>140</v>
      </c>
      <c r="H2753" s="10" t="n">
        <v>99</v>
      </c>
      <c r="I2753" s="10" t="n">
        <v>0</v>
      </c>
      <c r="J2753" s="10" t="n">
        <v>0</v>
      </c>
      <c r="K2753" s="10" t="s">
        <v>20</v>
      </c>
      <c r="L2753" s="11" t="n">
        <v>40180.942337963</v>
      </c>
      <c r="M2753" s="12"/>
      <c r="N2753" s="13" t="s">
        <v>6896</v>
      </c>
      <c r="O2753" s="9" t="str">
        <f aca="false">HYPERLINK("https://pbs.twimg.com/profile_images/647970451/DSCN0075_normal.JPG","View")</f>
        <v>View</v>
      </c>
      <c r="P2753" s="10"/>
    </row>
    <row r="2754" customFormat="false" ht="15.75" hidden="false" customHeight="false" outlineLevel="0" collapsed="false">
      <c r="A2754" s="6" t="n">
        <v>43030.3065277778</v>
      </c>
      <c r="B2754" s="7" t="str">
        <f aca="false">HYPERLINK("https://twitter.com/raja1260","@raja1260")</f>
        <v>@raja1260</v>
      </c>
      <c r="C2754" s="8" t="s">
        <v>6897</v>
      </c>
      <c r="D2754" s="8" t="s">
        <v>6790</v>
      </c>
      <c r="E2754" s="9" t="str">
        <f aca="false">HYPERLINK("https://twitter.com/raja1260/status/922105610635698176","922105610635698176")</f>
        <v>922105610635698176</v>
      </c>
      <c r="F2754" s="10" t="s">
        <v>25</v>
      </c>
      <c r="G2754" s="10" t="n">
        <v>1095</v>
      </c>
      <c r="H2754" s="10" t="n">
        <v>1005</v>
      </c>
      <c r="I2754" s="10" t="n">
        <v>6</v>
      </c>
      <c r="J2754" s="10" t="n">
        <v>0</v>
      </c>
      <c r="K2754" s="10" t="s">
        <v>20</v>
      </c>
      <c r="L2754" s="11" t="n">
        <v>40649.3482986111</v>
      </c>
      <c r="M2754" s="12" t="s">
        <v>6898</v>
      </c>
      <c r="N2754" s="12" t="s">
        <v>6899</v>
      </c>
      <c r="O2754" s="9" t="str">
        <f aca="false">HYPERLINK("https://pbs.twimg.com/profile_images/840582002394841089/wN3i_DEt_normal.jpg","View")</f>
        <v>View</v>
      </c>
      <c r="P2754" s="10"/>
    </row>
    <row r="2755" customFormat="false" ht="15.75" hidden="false" customHeight="false" outlineLevel="0" collapsed="false">
      <c r="A2755" s="6" t="n">
        <v>43030.3066898148</v>
      </c>
      <c r="B2755" s="7" t="str">
        <f aca="false">HYPERLINK("https://twitter.com/jd_blo","@jd_blo")</f>
        <v>@jd_blo</v>
      </c>
      <c r="C2755" s="8" t="s">
        <v>6900</v>
      </c>
      <c r="D2755" s="8" t="s">
        <v>4984</v>
      </c>
      <c r="E2755" s="9" t="str">
        <f aca="false">HYPERLINK("https://twitter.com/jd_blo/status/922105672191434752","922105672191434752")</f>
        <v>922105672191434752</v>
      </c>
      <c r="F2755" s="10" t="s">
        <v>51</v>
      </c>
      <c r="G2755" s="10" t="n">
        <v>168</v>
      </c>
      <c r="H2755" s="10" t="n">
        <v>114</v>
      </c>
      <c r="I2755" s="10" t="n">
        <v>187</v>
      </c>
      <c r="J2755" s="10" t="n">
        <v>0</v>
      </c>
      <c r="K2755" s="10" t="s">
        <v>20</v>
      </c>
      <c r="L2755" s="11" t="n">
        <v>42297.5708680556</v>
      </c>
      <c r="M2755" s="12" t="s">
        <v>6901</v>
      </c>
      <c r="N2755" s="12" t="s">
        <v>6902</v>
      </c>
      <c r="O2755" s="9" t="str">
        <f aca="false">HYPERLINK("https://pbs.twimg.com/profile_images/656573296864006144/verrWmR8_normal.jpg","View")</f>
        <v>View</v>
      </c>
      <c r="P2755" s="10"/>
    </row>
    <row r="2756" customFormat="false" ht="15.75" hidden="false" customHeight="false" outlineLevel="0" collapsed="false">
      <c r="A2756" s="6" t="n">
        <v>43030.3070138889</v>
      </c>
      <c r="B2756" s="7" t="str">
        <f aca="false">HYPERLINK("https://twitter.com/rachitst","@rachitst")</f>
        <v>@rachitst</v>
      </c>
      <c r="C2756" s="8" t="s">
        <v>6903</v>
      </c>
      <c r="D2756" s="8" t="s">
        <v>6707</v>
      </c>
      <c r="E2756" s="9" t="str">
        <f aca="false">HYPERLINK("https://twitter.com/rachitst/status/922105788159496193","922105788159496193")</f>
        <v>922105788159496193</v>
      </c>
      <c r="F2756" s="10" t="s">
        <v>25</v>
      </c>
      <c r="G2756" s="10" t="n">
        <v>660</v>
      </c>
      <c r="H2756" s="10" t="n">
        <v>632</v>
      </c>
      <c r="I2756" s="10" t="n">
        <v>97</v>
      </c>
      <c r="J2756" s="10" t="n">
        <v>0</v>
      </c>
      <c r="K2756" s="10" t="s">
        <v>20</v>
      </c>
      <c r="L2756" s="11" t="n">
        <v>40299.0678935185</v>
      </c>
      <c r="M2756" s="12" t="s">
        <v>6904</v>
      </c>
      <c r="N2756" s="12" t="s">
        <v>6905</v>
      </c>
      <c r="O2756" s="9" t="str">
        <f aca="false">HYPERLINK("https://pbs.twimg.com/profile_images/899730048927776768/WCMpLkcW_normal.jpg","View")</f>
        <v>View</v>
      </c>
      <c r="P2756" s="10"/>
    </row>
    <row r="2757" customFormat="false" ht="15.75" hidden="false" customHeight="false" outlineLevel="0" collapsed="false">
      <c r="A2757" s="6" t="n">
        <v>43030.307037037</v>
      </c>
      <c r="B2757" s="7" t="str">
        <f aca="false">HYPERLINK("https://twitter.com/monicasloves","@monicasloves")</f>
        <v>@monicasloves</v>
      </c>
      <c r="C2757" s="8" t="s">
        <v>6906</v>
      </c>
      <c r="D2757" s="8" t="s">
        <v>6907</v>
      </c>
      <c r="E2757" s="9" t="str">
        <f aca="false">HYPERLINK("https://twitter.com/monicasloves/status/922105795453571074","922105795453571074")</f>
        <v>922105795453571074</v>
      </c>
      <c r="F2757" s="10" t="s">
        <v>51</v>
      </c>
      <c r="G2757" s="10" t="n">
        <v>43015</v>
      </c>
      <c r="H2757" s="10" t="n">
        <v>24382</v>
      </c>
      <c r="I2757" s="10" t="n">
        <v>0</v>
      </c>
      <c r="J2757" s="10" t="n">
        <v>0</v>
      </c>
      <c r="K2757" s="10" t="s">
        <v>20</v>
      </c>
      <c r="L2757" s="11" t="n">
        <v>41422.7184259259</v>
      </c>
      <c r="M2757" s="12"/>
      <c r="N2757" s="12" t="s">
        <v>6908</v>
      </c>
      <c r="O2757" s="9" t="str">
        <f aca="false">HYPERLINK("https://pbs.twimg.com/profile_images/3725167389/58c6d3e44299480fdbe2474ac68d9311_normal.jpeg","View")</f>
        <v>View</v>
      </c>
      <c r="P2757" s="10"/>
    </row>
    <row r="2758" customFormat="false" ht="15.75" hidden="false" customHeight="false" outlineLevel="0" collapsed="false">
      <c r="A2758" s="6" t="n">
        <v>43030.3070717593</v>
      </c>
      <c r="B2758" s="7" t="str">
        <f aca="false">HYPERLINK("https://twitter.com/krunox123","@krunox123")</f>
        <v>@krunox123</v>
      </c>
      <c r="C2758" s="8" t="s">
        <v>1049</v>
      </c>
      <c r="D2758" s="8" t="s">
        <v>6909</v>
      </c>
      <c r="E2758" s="9" t="str">
        <f aca="false">HYPERLINK("https://twitter.com/krunox123/status/922105807457652738","922105807457652738")</f>
        <v>922105807457652738</v>
      </c>
      <c r="F2758" s="10" t="s">
        <v>60</v>
      </c>
      <c r="G2758" s="10" t="n">
        <v>10225</v>
      </c>
      <c r="H2758" s="10" t="n">
        <v>2</v>
      </c>
      <c r="I2758" s="10" t="n">
        <v>0</v>
      </c>
      <c r="J2758" s="10" t="n">
        <v>0</v>
      </c>
      <c r="K2758" s="10" t="s">
        <v>20</v>
      </c>
      <c r="L2758" s="11" t="n">
        <v>40938.2278935185</v>
      </c>
      <c r="M2758" s="12" t="s">
        <v>1051</v>
      </c>
      <c r="N2758" s="12" t="s">
        <v>1052</v>
      </c>
      <c r="O2758" s="9" t="str">
        <f aca="false">HYPERLINK("https://pbs.twimg.com/profile_images/824952382618349568/2SFIkM2x_normal.jpg","View")</f>
        <v>View</v>
      </c>
      <c r="P2758" s="10"/>
    </row>
    <row r="2759" customFormat="false" ht="15.75" hidden="false" customHeight="false" outlineLevel="0" collapsed="false">
      <c r="A2759" s="6" t="n">
        <v>43030.3072800926</v>
      </c>
      <c r="B2759" s="7" t="str">
        <f aca="false">HYPERLINK("https://twitter.com/padbor","@padbor")</f>
        <v>@padbor</v>
      </c>
      <c r="C2759" s="8" t="s">
        <v>6910</v>
      </c>
      <c r="D2759" s="8" t="s">
        <v>6911</v>
      </c>
      <c r="E2759" s="9" t="str">
        <f aca="false">HYPERLINK("https://twitter.com/padbor/status/922105886427971584","922105886427971584")</f>
        <v>922105886427971584</v>
      </c>
      <c r="F2759" s="10" t="s">
        <v>60</v>
      </c>
      <c r="G2759" s="10" t="n">
        <v>1780</v>
      </c>
      <c r="H2759" s="10" t="n">
        <v>2826</v>
      </c>
      <c r="I2759" s="10" t="n">
        <v>0</v>
      </c>
      <c r="J2759" s="10" t="n">
        <v>0</v>
      </c>
      <c r="K2759" s="10" t="s">
        <v>20</v>
      </c>
      <c r="L2759" s="11" t="n">
        <v>40154.2254166667</v>
      </c>
      <c r="M2759" s="12" t="s">
        <v>6912</v>
      </c>
      <c r="N2759" s="12" t="s">
        <v>6913</v>
      </c>
      <c r="O2759" s="9" t="str">
        <f aca="false">HYPERLINK("https://pbs.twimg.com/profile_images/866691381238124544/9p9-diVr_normal.jpg","View")</f>
        <v>View</v>
      </c>
      <c r="P2759" s="10"/>
    </row>
    <row r="2760" customFormat="false" ht="15.75" hidden="false" customHeight="false" outlineLevel="0" collapsed="false">
      <c r="A2760" s="6" t="n">
        <v>43030.307349537</v>
      </c>
      <c r="B2760" s="7" t="str">
        <f aca="false">HYPERLINK("https://twitter.com/NamVietNetwork","@NamVietNetwork")</f>
        <v>@NamVietNetwork</v>
      </c>
      <c r="C2760" s="8" t="s">
        <v>2489</v>
      </c>
      <c r="D2760" s="8" t="s">
        <v>6914</v>
      </c>
      <c r="E2760" s="9" t="str">
        <f aca="false">HYPERLINK("https://twitter.com/NamVietNetwork/status/922105910889254912","922105910889254912")</f>
        <v>922105910889254912</v>
      </c>
      <c r="F2760" s="10" t="s">
        <v>55</v>
      </c>
      <c r="G2760" s="10" t="n">
        <v>1540</v>
      </c>
      <c r="H2760" s="10" t="n">
        <v>147</v>
      </c>
      <c r="I2760" s="10" t="n">
        <v>0</v>
      </c>
      <c r="J2760" s="10" t="n">
        <v>0</v>
      </c>
      <c r="K2760" s="10" t="s">
        <v>20</v>
      </c>
      <c r="L2760" s="11" t="n">
        <v>40189.0717476852</v>
      </c>
      <c r="M2760" s="12" t="s">
        <v>2491</v>
      </c>
      <c r="N2760" s="12" t="s">
        <v>2492</v>
      </c>
      <c r="O2760" s="9" t="str">
        <f aca="false">HYPERLINK("https://pbs.twimg.com/profile_images/2509866256/6fjgs8rtts7014kqe70t_normal.jpeg","View")</f>
        <v>View</v>
      </c>
      <c r="P2760" s="10"/>
    </row>
    <row r="2761" customFormat="false" ht="15.75" hidden="false" customHeight="false" outlineLevel="0" collapsed="false">
      <c r="A2761" s="6" t="n">
        <v>43030.3075925926</v>
      </c>
      <c r="B2761" s="7" t="str">
        <f aca="false">HYPERLINK("https://twitter.com/qz","@qz")</f>
        <v>@qz</v>
      </c>
      <c r="C2761" s="8" t="s">
        <v>6915</v>
      </c>
      <c r="D2761" s="8" t="s">
        <v>6916</v>
      </c>
      <c r="E2761" s="9" t="str">
        <f aca="false">HYPERLINK("https://twitter.com/qz/status/922105996583096322","922105996583096322")</f>
        <v>922105996583096322</v>
      </c>
      <c r="F2761" s="10" t="s">
        <v>268</v>
      </c>
      <c r="G2761" s="10" t="n">
        <v>323182</v>
      </c>
      <c r="H2761" s="10" t="n">
        <v>177</v>
      </c>
      <c r="I2761" s="10" t="n">
        <v>7</v>
      </c>
      <c r="J2761" s="10" t="n">
        <v>6</v>
      </c>
      <c r="K2761" s="10" t="s">
        <v>20</v>
      </c>
      <c r="L2761" s="11" t="n">
        <v>41036.537037037</v>
      </c>
      <c r="M2761" s="12" t="s">
        <v>6917</v>
      </c>
      <c r="N2761" s="12" t="s">
        <v>6918</v>
      </c>
      <c r="O2761" s="9" t="str">
        <f aca="false">HYPERLINK("https://pbs.twimg.com/profile_images/615280495958495232/nX0-Mypb_normal.png","View")</f>
        <v>View</v>
      </c>
      <c r="P2761" s="10"/>
    </row>
    <row r="2762" customFormat="false" ht="15.75" hidden="false" customHeight="false" outlineLevel="0" collapsed="false">
      <c r="A2762" s="6" t="n">
        <v>43030.3077199074</v>
      </c>
      <c r="B2762" s="7" t="str">
        <f aca="false">HYPERLINK("https://twitter.com/NamVietNetwork","@NamVietNetwork")</f>
        <v>@NamVietNetwork</v>
      </c>
      <c r="C2762" s="8" t="s">
        <v>2489</v>
      </c>
      <c r="D2762" s="8" t="s">
        <v>6919</v>
      </c>
      <c r="E2762" s="9" t="str">
        <f aca="false">HYPERLINK("https://twitter.com/NamVietNetwork/status/922106042510700549","922106042510700549")</f>
        <v>922106042510700549</v>
      </c>
      <c r="F2762" s="10" t="s">
        <v>55</v>
      </c>
      <c r="G2762" s="10" t="n">
        <v>1540</v>
      </c>
      <c r="H2762" s="10" t="n">
        <v>147</v>
      </c>
      <c r="I2762" s="10" t="n">
        <v>0</v>
      </c>
      <c r="J2762" s="10" t="n">
        <v>0</v>
      </c>
      <c r="K2762" s="10" t="s">
        <v>20</v>
      </c>
      <c r="L2762" s="11" t="n">
        <v>40189.0717476852</v>
      </c>
      <c r="M2762" s="12" t="s">
        <v>2491</v>
      </c>
      <c r="N2762" s="12" t="s">
        <v>2492</v>
      </c>
      <c r="O2762" s="9" t="str">
        <f aca="false">HYPERLINK("https://pbs.twimg.com/profile_images/2509866256/6fjgs8rtts7014kqe70t_normal.jpeg","View")</f>
        <v>View</v>
      </c>
      <c r="P2762" s="10"/>
    </row>
    <row r="2763" customFormat="false" ht="15.75" hidden="false" customHeight="false" outlineLevel="0" collapsed="false">
      <c r="A2763" s="6" t="n">
        <v>43030.3078240741</v>
      </c>
      <c r="B2763" s="7" t="str">
        <f aca="false">HYPERLINK("https://twitter.com/realrobotnews","@realrobotnews")</f>
        <v>@realrobotnews</v>
      </c>
      <c r="C2763" s="8" t="s">
        <v>6920</v>
      </c>
      <c r="D2763" s="8" t="s">
        <v>6921</v>
      </c>
      <c r="E2763" s="9" t="str">
        <f aca="false">HYPERLINK("https://twitter.com/realrobotnews/status/922106082876624898","922106082876624898")</f>
        <v>922106082876624898</v>
      </c>
      <c r="F2763" s="10" t="s">
        <v>60</v>
      </c>
      <c r="G2763" s="10" t="n">
        <v>7</v>
      </c>
      <c r="H2763" s="10" t="n">
        <v>0</v>
      </c>
      <c r="I2763" s="10" t="n">
        <v>0</v>
      </c>
      <c r="J2763" s="10" t="n">
        <v>0</v>
      </c>
      <c r="K2763" s="10" t="s">
        <v>20</v>
      </c>
      <c r="L2763" s="11" t="n">
        <v>42994.3548842593</v>
      </c>
      <c r="M2763" s="12"/>
      <c r="N2763" s="12" t="s">
        <v>6922</v>
      </c>
      <c r="O2763" s="9" t="str">
        <f aca="false">HYPERLINK("https://pbs.twimg.com/profile_images/909080561938964480/9DGgVL-6_normal.jpg","View")</f>
        <v>View</v>
      </c>
      <c r="P2763" s="10"/>
    </row>
    <row r="2764" customFormat="false" ht="15.75" hidden="false" customHeight="false" outlineLevel="0" collapsed="false">
      <c r="A2764" s="6" t="n">
        <v>43030.3079398148</v>
      </c>
      <c r="B2764" s="7" t="str">
        <f aca="false">HYPERLINK("https://twitter.com/NamVietNetwork","@NamVietNetwork")</f>
        <v>@NamVietNetwork</v>
      </c>
      <c r="C2764" s="8" t="s">
        <v>2489</v>
      </c>
      <c r="D2764" s="8" t="s">
        <v>6923</v>
      </c>
      <c r="E2764" s="9" t="str">
        <f aca="false">HYPERLINK("https://twitter.com/NamVietNetwork/status/922106123242614785","922106123242614785")</f>
        <v>922106123242614785</v>
      </c>
      <c r="F2764" s="10" t="s">
        <v>55</v>
      </c>
      <c r="G2764" s="10" t="n">
        <v>1540</v>
      </c>
      <c r="H2764" s="10" t="n">
        <v>147</v>
      </c>
      <c r="I2764" s="10" t="n">
        <v>0</v>
      </c>
      <c r="J2764" s="10" t="n">
        <v>0</v>
      </c>
      <c r="K2764" s="10" t="s">
        <v>20</v>
      </c>
      <c r="L2764" s="11" t="n">
        <v>40189.0717476852</v>
      </c>
      <c r="M2764" s="12" t="s">
        <v>2491</v>
      </c>
      <c r="N2764" s="12" t="s">
        <v>2492</v>
      </c>
      <c r="O2764" s="9" t="str">
        <f aca="false">HYPERLINK("https://pbs.twimg.com/profile_images/2509866256/6fjgs8rtts7014kqe70t_normal.jpeg","View")</f>
        <v>View</v>
      </c>
      <c r="P2764" s="10"/>
    </row>
    <row r="2765" customFormat="false" ht="15.75" hidden="false" customHeight="false" outlineLevel="0" collapsed="false">
      <c r="A2765" s="6" t="n">
        <v>43030.3081365741</v>
      </c>
      <c r="B2765" s="7" t="str">
        <f aca="false">HYPERLINK("https://twitter.com/BSAFunds","@BSAFunds")</f>
        <v>@BSAFunds</v>
      </c>
      <c r="C2765" s="8" t="s">
        <v>924</v>
      </c>
      <c r="D2765" s="8" t="s">
        <v>6924</v>
      </c>
      <c r="E2765" s="9" t="str">
        <f aca="false">HYPERLINK("https://twitter.com/BSAFunds/status/922106197112696832","922106197112696832")</f>
        <v>922106197112696832</v>
      </c>
      <c r="F2765" s="10" t="s">
        <v>60</v>
      </c>
      <c r="G2765" s="10" t="n">
        <v>20871</v>
      </c>
      <c r="H2765" s="10" t="n">
        <v>8926</v>
      </c>
      <c r="I2765" s="10" t="n">
        <v>0</v>
      </c>
      <c r="J2765" s="10" t="n">
        <v>0</v>
      </c>
      <c r="K2765" s="10" t="s">
        <v>20</v>
      </c>
      <c r="L2765" s="11" t="n">
        <v>42601.9481828704</v>
      </c>
      <c r="M2765" s="12" t="s">
        <v>312</v>
      </c>
      <c r="N2765" s="12" t="s">
        <v>926</v>
      </c>
      <c r="O2765" s="9" t="str">
        <f aca="false">HYPERLINK("https://pbs.twimg.com/profile_images/912769166960033792/N4LAmrTs_normal.jpg","View")</f>
        <v>View</v>
      </c>
      <c r="P2765" s="10"/>
    </row>
    <row r="2766" customFormat="false" ht="15.75" hidden="false" customHeight="false" outlineLevel="0" collapsed="false">
      <c r="A2766" s="6" t="n">
        <v>43030.3083333333</v>
      </c>
      <c r="B2766" s="7" t="str">
        <f aca="false">HYPERLINK("https://twitter.com/aahannya","@aahannya")</f>
        <v>@aahannya</v>
      </c>
      <c r="C2766" s="8" t="s">
        <v>6925</v>
      </c>
      <c r="D2766" s="8" t="s">
        <v>6558</v>
      </c>
      <c r="E2766" s="9" t="str">
        <f aca="false">HYPERLINK("https://twitter.com/aahannya/status/922106268503883777","922106268503883777")</f>
        <v>922106268503883777</v>
      </c>
      <c r="F2766" s="10" t="s">
        <v>25</v>
      </c>
      <c r="G2766" s="10" t="n">
        <v>769</v>
      </c>
      <c r="H2766" s="10" t="n">
        <v>544</v>
      </c>
      <c r="I2766" s="10" t="n">
        <v>65</v>
      </c>
      <c r="J2766" s="10" t="n">
        <v>0</v>
      </c>
      <c r="K2766" s="10" t="s">
        <v>20</v>
      </c>
      <c r="L2766" s="11" t="n">
        <v>40388.3016782407</v>
      </c>
      <c r="M2766" s="12" t="s">
        <v>6926</v>
      </c>
      <c r="N2766" s="12" t="s">
        <v>6927</v>
      </c>
      <c r="O2766" s="9" t="str">
        <f aca="false">HYPERLINK("https://pbs.twimg.com/profile_images/856188602308481024/1iaiFbfl_normal.jpg","View")</f>
        <v>View</v>
      </c>
      <c r="P2766" s="10"/>
    </row>
    <row r="2767" customFormat="false" ht="15.75" hidden="false" customHeight="false" outlineLevel="0" collapsed="false">
      <c r="A2767" s="6" t="n">
        <v>43030.3084027778</v>
      </c>
      <c r="B2767" s="7" t="str">
        <f aca="false">HYPERLINK("https://twitter.com/Teram323Tere","@Teram323Tere")</f>
        <v>@Teram323Tere</v>
      </c>
      <c r="C2767" s="8" t="s">
        <v>6928</v>
      </c>
      <c r="D2767" s="8" t="s">
        <v>6495</v>
      </c>
      <c r="E2767" s="9" t="str">
        <f aca="false">HYPERLINK("https://twitter.com/Teram323Tere/status/922106291249541120","922106291249541120")</f>
        <v>922106291249541120</v>
      </c>
      <c r="F2767" s="10" t="s">
        <v>51</v>
      </c>
      <c r="G2767" s="10" t="n">
        <v>151</v>
      </c>
      <c r="H2767" s="10" t="n">
        <v>153</v>
      </c>
      <c r="I2767" s="10" t="n">
        <v>15</v>
      </c>
      <c r="J2767" s="10" t="n">
        <v>0</v>
      </c>
      <c r="K2767" s="10" t="s">
        <v>20</v>
      </c>
      <c r="L2767" s="11" t="n">
        <v>42829.8115509259</v>
      </c>
      <c r="M2767" s="12" t="s">
        <v>230</v>
      </c>
      <c r="N2767" s="12"/>
      <c r="O2767" s="9" t="str">
        <f aca="false">HYPERLINK("https://abs.twimg.com/sticky/default_profile_images/default_profile_normal.png","View")</f>
        <v>View</v>
      </c>
      <c r="P2767" s="10"/>
    </row>
    <row r="2768" customFormat="false" ht="15.75" hidden="false" customHeight="false" outlineLevel="0" collapsed="false">
      <c r="A2768" s="6" t="n">
        <v>43030.3084953704</v>
      </c>
      <c r="B2768" s="7" t="str">
        <f aca="false">HYPERLINK("https://twitter.com/newsoneplace","@newsoneplace")</f>
        <v>@newsoneplace</v>
      </c>
      <c r="C2768" s="7" t="s">
        <v>3248</v>
      </c>
      <c r="D2768" s="8" t="s">
        <v>6929</v>
      </c>
      <c r="E2768" s="9" t="str">
        <f aca="false">HYPERLINK("https://twitter.com/newsoneplace/status/922106326548975616","922106326548975616")</f>
        <v>922106326548975616</v>
      </c>
      <c r="F2768" s="10" t="s">
        <v>3250</v>
      </c>
      <c r="G2768" s="10" t="n">
        <v>1002</v>
      </c>
      <c r="H2768" s="10" t="n">
        <v>108</v>
      </c>
      <c r="I2768" s="10" t="n">
        <v>0</v>
      </c>
      <c r="J2768" s="10" t="n">
        <v>0</v>
      </c>
      <c r="K2768" s="10" t="s">
        <v>20</v>
      </c>
      <c r="L2768" s="11" t="n">
        <v>42250.2606712963</v>
      </c>
      <c r="M2768" s="12"/>
      <c r="N2768" s="12" t="s">
        <v>3251</v>
      </c>
      <c r="O2768" s="9" t="str">
        <f aca="false">HYPERLINK("https://pbs.twimg.com/profile_images/743969278483963904/25yd5Un3_normal.jpg","View")</f>
        <v>View</v>
      </c>
      <c r="P2768" s="10"/>
    </row>
    <row r="2769" customFormat="false" ht="15.75" hidden="false" customHeight="false" outlineLevel="0" collapsed="false">
      <c r="A2769" s="6" t="n">
        <v>43030.308599537</v>
      </c>
      <c r="B2769" s="7" t="str">
        <f aca="false">HYPERLINK("https://twitter.com/AlexWYW","@AlexWYW")</f>
        <v>@AlexWYW</v>
      </c>
      <c r="C2769" s="8" t="s">
        <v>2191</v>
      </c>
      <c r="D2769" s="8" t="s">
        <v>6930</v>
      </c>
      <c r="E2769" s="9" t="str">
        <f aca="false">HYPERLINK("https://twitter.com/AlexWYW/status/922106364788445187","922106364788445187")</f>
        <v>922106364788445187</v>
      </c>
      <c r="F2769" s="10" t="s">
        <v>60</v>
      </c>
      <c r="G2769" s="10" t="n">
        <v>1308</v>
      </c>
      <c r="H2769" s="10" t="n">
        <v>1110</v>
      </c>
      <c r="I2769" s="10" t="n">
        <v>0</v>
      </c>
      <c r="J2769" s="10" t="n">
        <v>0</v>
      </c>
      <c r="K2769" s="10" t="s">
        <v>20</v>
      </c>
      <c r="L2769" s="11" t="n">
        <v>40745.9677083333</v>
      </c>
      <c r="M2769" s="12"/>
      <c r="N2769" s="12" t="s">
        <v>6931</v>
      </c>
      <c r="O2769" s="9" t="str">
        <f aca="false">HYPERLINK("https://pbs.twimg.com/profile_images/923804068337696769/v3W5ZeW-_normal.jpg","View")</f>
        <v>View</v>
      </c>
      <c r="P2769" s="10"/>
    </row>
    <row r="2770" customFormat="false" ht="15.75" hidden="false" customHeight="false" outlineLevel="0" collapsed="false">
      <c r="A2770" s="6" t="n">
        <v>43030.3087615741</v>
      </c>
      <c r="B2770" s="7" t="str">
        <f aca="false">HYPERLINK("https://twitter.com/Cliffleetaylor","@Cliffleetaylor")</f>
        <v>@Cliffleetaylor</v>
      </c>
      <c r="C2770" s="8" t="s">
        <v>6932</v>
      </c>
      <c r="D2770" s="8" t="s">
        <v>6933</v>
      </c>
      <c r="E2770" s="9" t="str">
        <f aca="false">HYPERLINK("https://twitter.com/Cliffleetaylor/status/922106422934081537","922106422934081537")</f>
        <v>922106422934081537</v>
      </c>
      <c r="F2770" s="10" t="s">
        <v>25</v>
      </c>
      <c r="G2770" s="10" t="n">
        <v>43</v>
      </c>
      <c r="H2770" s="10" t="n">
        <v>152</v>
      </c>
      <c r="I2770" s="10" t="n">
        <v>0</v>
      </c>
      <c r="J2770" s="10" t="n">
        <v>0</v>
      </c>
      <c r="K2770" s="10" t="s">
        <v>20</v>
      </c>
      <c r="L2770" s="11" t="n">
        <v>42091.8092592593</v>
      </c>
      <c r="M2770" s="12" t="s">
        <v>1466</v>
      </c>
      <c r="N2770" s="12" t="s">
        <v>6934</v>
      </c>
      <c r="O2770" s="9" t="str">
        <f aca="false">HYPERLINK("https://pbs.twimg.com/profile_images/921862103241281537/7iIPlcyH_normal.jpg","View")</f>
        <v>View</v>
      </c>
      <c r="P2770" s="10"/>
    </row>
    <row r="2771" customFormat="false" ht="15.75" hidden="false" customHeight="false" outlineLevel="0" collapsed="false">
      <c r="A2771" s="6" t="n">
        <v>43030.3097569444</v>
      </c>
      <c r="B2771" s="7" t="str">
        <f aca="false">HYPERLINK("https://twitter.com/fearoffreedom","@fearoffreedom")</f>
        <v>@fearoffreedom</v>
      </c>
      <c r="C2771" s="8" t="s">
        <v>6935</v>
      </c>
      <c r="D2771" s="8" t="s">
        <v>4984</v>
      </c>
      <c r="E2771" s="9" t="str">
        <f aca="false">HYPERLINK("https://twitter.com/fearoffreedom/status/922106783648190464","922106783648190464")</f>
        <v>922106783648190464</v>
      </c>
      <c r="F2771" s="10" t="s">
        <v>39</v>
      </c>
      <c r="G2771" s="10" t="n">
        <v>4172</v>
      </c>
      <c r="H2771" s="10" t="n">
        <v>625</v>
      </c>
      <c r="I2771" s="10" t="n">
        <v>187</v>
      </c>
      <c r="J2771" s="10" t="n">
        <v>0</v>
      </c>
      <c r="K2771" s="10" t="s">
        <v>20</v>
      </c>
      <c r="L2771" s="11" t="n">
        <v>40052.1796296296</v>
      </c>
      <c r="M2771" s="12" t="s">
        <v>6936</v>
      </c>
      <c r="N2771" s="12" t="s">
        <v>6937</v>
      </c>
      <c r="O2771" s="9" t="str">
        <f aca="false">HYPERLINK("https://pbs.twimg.com/profile_images/914122043095867393/fK59SeMa_normal.jpg","View")</f>
        <v>View</v>
      </c>
      <c r="P2771" s="10"/>
    </row>
    <row r="2772" customFormat="false" ht="15.75" hidden="false" customHeight="false" outlineLevel="0" collapsed="false">
      <c r="A2772" s="6" t="n">
        <v>43030.3098148148</v>
      </c>
      <c r="B2772" s="7" t="str">
        <f aca="false">HYPERLINK("https://twitter.com/Igor_Marinovsky","@Igor_Marinovsky")</f>
        <v>@Igor_Marinovsky</v>
      </c>
      <c r="C2772" s="8" t="s">
        <v>4237</v>
      </c>
      <c r="D2772" s="8" t="s">
        <v>6938</v>
      </c>
      <c r="E2772" s="9" t="str">
        <f aca="false">HYPERLINK("https://twitter.com/Igor_Marinovsky/status/922106805014224897","922106805014224897")</f>
        <v>922106805014224897</v>
      </c>
      <c r="F2772" s="10" t="s">
        <v>60</v>
      </c>
      <c r="G2772" s="10" t="n">
        <v>658</v>
      </c>
      <c r="H2772" s="10" t="n">
        <v>104</v>
      </c>
      <c r="I2772" s="10" t="n">
        <v>0</v>
      </c>
      <c r="J2772" s="10" t="n">
        <v>0</v>
      </c>
      <c r="K2772" s="10" t="s">
        <v>20</v>
      </c>
      <c r="L2772" s="11" t="n">
        <v>40719.4572222222</v>
      </c>
      <c r="M2772" s="12"/>
      <c r="N2772" s="12" t="s">
        <v>4239</v>
      </c>
      <c r="O2772" s="9" t="str">
        <f aca="false">HYPERLINK("https://pbs.twimg.com/profile_images/577905752838279169/Zq2cQUPh_normal.jpeg","View")</f>
        <v>View</v>
      </c>
      <c r="P2772" s="10"/>
    </row>
    <row r="2773" customFormat="false" ht="15.75" hidden="false" customHeight="false" outlineLevel="0" collapsed="false">
      <c r="A2773" s="6" t="n">
        <v>43030.3098958333</v>
      </c>
      <c r="B2773" s="7" t="str">
        <f aca="false">HYPERLINK("https://twitter.com/business","@business")</f>
        <v>@business</v>
      </c>
      <c r="C2773" s="8" t="s">
        <v>196</v>
      </c>
      <c r="D2773" s="8" t="s">
        <v>6939</v>
      </c>
      <c r="E2773" s="9" t="str">
        <f aca="false">HYPERLINK("https://twitter.com/business/status/922106830872104960","922106830872104960")</f>
        <v>922106830872104960</v>
      </c>
      <c r="F2773" s="10" t="s">
        <v>268</v>
      </c>
      <c r="G2773" s="10" t="n">
        <v>4344212</v>
      </c>
      <c r="H2773" s="10" t="n">
        <v>1088</v>
      </c>
      <c r="I2773" s="10" t="n">
        <v>22</v>
      </c>
      <c r="J2773" s="10" t="n">
        <v>32</v>
      </c>
      <c r="K2773" s="10" t="s">
        <v>20</v>
      </c>
      <c r="L2773" s="11" t="n">
        <v>39926.5453356481</v>
      </c>
      <c r="M2773" s="12" t="s">
        <v>199</v>
      </c>
      <c r="N2773" s="12" t="s">
        <v>200</v>
      </c>
      <c r="O2773" s="9" t="str">
        <f aca="false">HYPERLINK("https://pbs.twimg.com/profile_images/714946924105883648/4fgNVF4H_normal.jpg","View")</f>
        <v>View</v>
      </c>
      <c r="P2773" s="10"/>
    </row>
    <row r="2774" customFormat="false" ht="15.75" hidden="false" customHeight="false" outlineLevel="0" collapsed="false">
      <c r="A2774" s="6" t="n">
        <v>43030.3098958333</v>
      </c>
      <c r="B2774" s="7" t="str">
        <f aca="false">HYPERLINK("https://twitter.com/BloombergTV","@BloombergTV")</f>
        <v>@BloombergTV</v>
      </c>
      <c r="C2774" s="8" t="s">
        <v>317</v>
      </c>
      <c r="D2774" s="8" t="s">
        <v>6940</v>
      </c>
      <c r="E2774" s="9" t="str">
        <f aca="false">HYPERLINK("https://twitter.com/BloombergTV/status/922106831408893952","922106831408893952")</f>
        <v>922106831408893952</v>
      </c>
      <c r="F2774" s="10" t="s">
        <v>268</v>
      </c>
      <c r="G2774" s="10" t="n">
        <v>452918</v>
      </c>
      <c r="H2774" s="10" t="n">
        <v>458</v>
      </c>
      <c r="I2774" s="10" t="n">
        <v>1</v>
      </c>
      <c r="J2774" s="10" t="n">
        <v>3</v>
      </c>
      <c r="K2774" s="10" t="s">
        <v>20</v>
      </c>
      <c r="L2774" s="11" t="n">
        <v>39927.4899768519</v>
      </c>
      <c r="M2774" s="12" t="s">
        <v>319</v>
      </c>
      <c r="N2774" s="12" t="s">
        <v>320</v>
      </c>
      <c r="O2774" s="9" t="str">
        <f aca="false">HYPERLINK("https://pbs.twimg.com/profile_images/714801760632770560/7My2hMBt_normal.jpg","View")</f>
        <v>View</v>
      </c>
      <c r="P2774" s="10"/>
    </row>
    <row r="2775" customFormat="false" ht="15.75" hidden="false" customHeight="false" outlineLevel="0" collapsed="false">
      <c r="A2775" s="6" t="n">
        <v>43030.3098958333</v>
      </c>
      <c r="B2775" s="7" t="str">
        <f aca="false">HYPERLINK("https://twitter.com/bpolitics","@bpolitics")</f>
        <v>@bpolitics</v>
      </c>
      <c r="C2775" s="8" t="s">
        <v>266</v>
      </c>
      <c r="D2775" s="8" t="s">
        <v>6941</v>
      </c>
      <c r="E2775" s="9" t="str">
        <f aca="false">HYPERLINK("https://twitter.com/bpolitics/status/922106831413104640","922106831413104640")</f>
        <v>922106831413104640</v>
      </c>
      <c r="F2775" s="10" t="s">
        <v>268</v>
      </c>
      <c r="G2775" s="10" t="n">
        <v>221392</v>
      </c>
      <c r="H2775" s="10" t="n">
        <v>868</v>
      </c>
      <c r="I2775" s="10" t="n">
        <v>2</v>
      </c>
      <c r="J2775" s="10" t="n">
        <v>1</v>
      </c>
      <c r="K2775" s="10" t="s">
        <v>20</v>
      </c>
      <c r="L2775" s="11" t="n">
        <v>41025.576400463</v>
      </c>
      <c r="M2775" s="12"/>
      <c r="N2775" s="12" t="s">
        <v>269</v>
      </c>
      <c r="O2775" s="9" t="str">
        <f aca="false">HYPERLINK("https://pbs.twimg.com/profile_images/714804098890133504/cUO4gD1A_normal.jpg","View")</f>
        <v>View</v>
      </c>
      <c r="P2775" s="10"/>
    </row>
    <row r="2776" customFormat="false" ht="15.75" hidden="false" customHeight="false" outlineLevel="0" collapsed="false">
      <c r="A2776" s="6" t="n">
        <v>43030.3098958333</v>
      </c>
      <c r="B2776" s="7" t="str">
        <f aca="false">HYPERLINK("https://twitter.com/BloombergAsia","@BloombergAsia")</f>
        <v>@BloombergAsia</v>
      </c>
      <c r="C2776" s="8" t="s">
        <v>1399</v>
      </c>
      <c r="D2776" s="8" t="s">
        <v>6942</v>
      </c>
      <c r="E2776" s="9" t="str">
        <f aca="false">HYPERLINK("https://twitter.com/BloombergAsia/status/922106831719280640","922106831719280640")</f>
        <v>922106831719280640</v>
      </c>
      <c r="F2776" s="10" t="s">
        <v>268</v>
      </c>
      <c r="G2776" s="10" t="n">
        <v>28824</v>
      </c>
      <c r="H2776" s="10" t="n">
        <v>97</v>
      </c>
      <c r="I2776" s="10" t="n">
        <v>3</v>
      </c>
      <c r="J2776" s="10" t="n">
        <v>2</v>
      </c>
      <c r="K2776" s="10" t="s">
        <v>20</v>
      </c>
      <c r="L2776" s="11" t="n">
        <v>41052.2384837963</v>
      </c>
      <c r="M2776" s="12"/>
      <c r="N2776" s="12" t="s">
        <v>1401</v>
      </c>
      <c r="O2776" s="9" t="str">
        <f aca="false">HYPERLINK("https://pbs.twimg.com/profile_images/778129630284902401/gXjFkqGM_normal.jpg","View")</f>
        <v>View</v>
      </c>
      <c r="P2776" s="10"/>
    </row>
    <row r="2777" customFormat="false" ht="15.75" hidden="false" customHeight="false" outlineLevel="0" collapsed="false">
      <c r="A2777" s="6" t="n">
        <v>43030.3099189815</v>
      </c>
      <c r="B2777" s="7" t="str">
        <f aca="false">HYPERLINK("https://twitter.com/fearoffreedom","@fearoffreedom")</f>
        <v>@fearoffreedom</v>
      </c>
      <c r="C2777" s="8" t="s">
        <v>6935</v>
      </c>
      <c r="D2777" s="8" t="s">
        <v>4124</v>
      </c>
      <c r="E2777" s="9" t="str">
        <f aca="false">HYPERLINK("https://twitter.com/fearoffreedom/status/922106842053935105","922106842053935105")</f>
        <v>922106842053935105</v>
      </c>
      <c r="F2777" s="10" t="s">
        <v>39</v>
      </c>
      <c r="G2777" s="10" t="n">
        <v>4172</v>
      </c>
      <c r="H2777" s="10" t="n">
        <v>625</v>
      </c>
      <c r="I2777" s="10" t="n">
        <v>111</v>
      </c>
      <c r="J2777" s="10" t="n">
        <v>0</v>
      </c>
      <c r="K2777" s="10" t="s">
        <v>20</v>
      </c>
      <c r="L2777" s="11" t="n">
        <v>40052.1796296296</v>
      </c>
      <c r="M2777" s="12" t="s">
        <v>6936</v>
      </c>
      <c r="N2777" s="12" t="s">
        <v>6937</v>
      </c>
      <c r="O2777" s="9" t="str">
        <f aca="false">HYPERLINK("https://pbs.twimg.com/profile_images/914122043095867393/fK59SeMa_normal.jpg","View")</f>
        <v>View</v>
      </c>
      <c r="P2777" s="10"/>
    </row>
    <row r="2778" customFormat="false" ht="15.75" hidden="false" customHeight="false" outlineLevel="0" collapsed="false">
      <c r="A2778" s="6" t="n">
        <v>43030.3099537037</v>
      </c>
      <c r="B2778" s="7" t="str">
        <f aca="false">HYPERLINK("https://twitter.com/serge_poznanski","@serge_poznanski")</f>
        <v>@serge_poznanski</v>
      </c>
      <c r="C2778" s="8" t="s">
        <v>212</v>
      </c>
      <c r="D2778" s="8" t="s">
        <v>6943</v>
      </c>
      <c r="E2778" s="9" t="str">
        <f aca="false">HYPERLINK("https://twitter.com/serge_poznanski/status/922106854154612736","922106854154612736")</f>
        <v>922106854154612736</v>
      </c>
      <c r="F2778" s="10" t="s">
        <v>60</v>
      </c>
      <c r="G2778" s="10" t="n">
        <v>1426</v>
      </c>
      <c r="H2778" s="10" t="n">
        <v>2136</v>
      </c>
      <c r="I2778" s="10" t="n">
        <v>0</v>
      </c>
      <c r="J2778" s="10" t="n">
        <v>0</v>
      </c>
      <c r="K2778" s="10" t="s">
        <v>20</v>
      </c>
      <c r="L2778" s="11" t="n">
        <v>42271.4744560185</v>
      </c>
      <c r="M2778" s="12"/>
      <c r="N2778" s="12"/>
      <c r="O2778" s="9" t="str">
        <f aca="false">HYPERLINK("https://pbs.twimg.com/profile_images/647277253240291328/3GezjFCJ_normal.jpg","View")</f>
        <v>View</v>
      </c>
      <c r="P2778" s="10"/>
    </row>
    <row r="2779" customFormat="false" ht="15.75" hidden="false" customHeight="false" outlineLevel="0" collapsed="false">
      <c r="A2779" s="6" t="n">
        <v>43030.3100231482</v>
      </c>
      <c r="B2779" s="7" t="str">
        <f aca="false">HYPERLINK("https://twitter.com/ektrit","@ektrit")</f>
        <v>@ektrit</v>
      </c>
      <c r="C2779" s="8" t="s">
        <v>6944</v>
      </c>
      <c r="D2779" s="8" t="s">
        <v>6945</v>
      </c>
      <c r="E2779" s="9" t="str">
        <f aca="false">HYPERLINK("https://twitter.com/ektrit/status/922106878066331657","922106878066331657")</f>
        <v>922106878066331657</v>
      </c>
      <c r="F2779" s="10" t="s">
        <v>276</v>
      </c>
      <c r="G2779" s="10" t="n">
        <v>3178</v>
      </c>
      <c r="H2779" s="10" t="n">
        <v>555</v>
      </c>
      <c r="I2779" s="10" t="n">
        <v>22</v>
      </c>
      <c r="J2779" s="10" t="n">
        <v>0</v>
      </c>
      <c r="K2779" s="10" t="s">
        <v>20</v>
      </c>
      <c r="L2779" s="11" t="n">
        <v>40802.6552893519</v>
      </c>
      <c r="M2779" s="12" t="s">
        <v>6946</v>
      </c>
      <c r="N2779" s="12" t="s">
        <v>6947</v>
      </c>
      <c r="O2779" s="9" t="str">
        <f aca="false">HYPERLINK("https://pbs.twimg.com/profile_images/881453781581541376/vST3rDN1_normal.jpg","View")</f>
        <v>View</v>
      </c>
      <c r="P2779" s="10"/>
    </row>
    <row r="2780" customFormat="false" ht="15.75" hidden="false" customHeight="false" outlineLevel="0" collapsed="false">
      <c r="A2780" s="6" t="n">
        <v>43030.3100347222</v>
      </c>
      <c r="B2780" s="7" t="str">
        <f aca="false">HYPERLINK("https://twitter.com/CurtisSChin","@CurtisSChin")</f>
        <v>@CurtisSChin</v>
      </c>
      <c r="C2780" s="8" t="s">
        <v>6948</v>
      </c>
      <c r="D2780" s="8" t="s">
        <v>6949</v>
      </c>
      <c r="E2780" s="9" t="str">
        <f aca="false">HYPERLINK("https://twitter.com/CurtisSChin/status/922106881170055168","922106881170055168")</f>
        <v>922106881170055168</v>
      </c>
      <c r="F2780" s="10" t="s">
        <v>51</v>
      </c>
      <c r="G2780" s="10" t="n">
        <v>6973</v>
      </c>
      <c r="H2780" s="10" t="n">
        <v>188</v>
      </c>
      <c r="I2780" s="10" t="n">
        <v>1</v>
      </c>
      <c r="J2780" s="10" t="n">
        <v>1</v>
      </c>
      <c r="K2780" s="10" t="s">
        <v>20</v>
      </c>
      <c r="L2780" s="11" t="n">
        <v>41637.5943634259</v>
      </c>
      <c r="M2780" s="12" t="s">
        <v>6950</v>
      </c>
      <c r="N2780" s="12" t="s">
        <v>6951</v>
      </c>
      <c r="O2780" s="9" t="str">
        <f aca="false">HYPERLINK("https://pbs.twimg.com/profile_images/417423106785804288/P83on0JH_normal.jpeg","View")</f>
        <v>View</v>
      </c>
      <c r="P2780" s="10"/>
    </row>
    <row r="2781" customFormat="false" ht="15.75" hidden="false" customHeight="false" outlineLevel="0" collapsed="false">
      <c r="A2781" s="6" t="n">
        <v>43030.3100578704</v>
      </c>
      <c r="B2781" s="7" t="str">
        <f aca="false">HYPERLINK("https://twitter.com/HimikoinYamatai","@HimikoinYamatai")</f>
        <v>@HimikoinYamatai</v>
      </c>
      <c r="C2781" s="8" t="s">
        <v>6952</v>
      </c>
      <c r="D2781" s="8" t="s">
        <v>3422</v>
      </c>
      <c r="E2781" s="9" t="str">
        <f aca="false">HYPERLINK("https://twitter.com/HimikoinYamatai/status/922106893081886722","922106893081886722")</f>
        <v>922106893081886722</v>
      </c>
      <c r="F2781" s="10" t="s">
        <v>39</v>
      </c>
      <c r="G2781" s="10" t="n">
        <v>27</v>
      </c>
      <c r="H2781" s="10" t="n">
        <v>197</v>
      </c>
      <c r="I2781" s="10" t="n">
        <v>27</v>
      </c>
      <c r="J2781" s="10" t="n">
        <v>0</v>
      </c>
      <c r="K2781" s="10" t="s">
        <v>20</v>
      </c>
      <c r="L2781" s="11" t="n">
        <v>42103.2234259259</v>
      </c>
      <c r="M2781" s="12"/>
      <c r="N2781" s="12"/>
      <c r="O2781" s="9" t="str">
        <f aca="false">HYPERLINK("https://abs.twimg.com/sticky/default_profile_images/default_profile_normal.png","View")</f>
        <v>View</v>
      </c>
      <c r="P2781" s="10"/>
    </row>
    <row r="2782" customFormat="false" ht="15.75" hidden="false" customHeight="false" outlineLevel="0" collapsed="false">
      <c r="A2782" s="6" t="n">
        <v>43030.3100694444</v>
      </c>
      <c r="B2782" s="7" t="str">
        <f aca="false">HYPERLINK("https://twitter.com/shailendra_nair","@shailendra_nair")</f>
        <v>@shailendra_nair</v>
      </c>
      <c r="C2782" s="8" t="s">
        <v>251</v>
      </c>
      <c r="D2782" s="8" t="s">
        <v>6953</v>
      </c>
      <c r="E2782" s="9" t="str">
        <f aca="false">HYPERLINK("https://twitter.com/shailendra_nair/status/922106894877184000","922106894877184000")</f>
        <v>922106894877184000</v>
      </c>
      <c r="F2782" s="10" t="s">
        <v>60</v>
      </c>
      <c r="G2782" s="10" t="n">
        <v>3987</v>
      </c>
      <c r="H2782" s="10" t="n">
        <v>1042</v>
      </c>
      <c r="I2782" s="10" t="n">
        <v>0</v>
      </c>
      <c r="J2782" s="10" t="n">
        <v>0</v>
      </c>
      <c r="K2782" s="10" t="s">
        <v>20</v>
      </c>
      <c r="L2782" s="11" t="n">
        <v>40362.4379861111</v>
      </c>
      <c r="M2782" s="12" t="s">
        <v>253</v>
      </c>
      <c r="N2782" s="12" t="s">
        <v>254</v>
      </c>
      <c r="O2782" s="9" t="str">
        <f aca="false">HYPERLINK("https://pbs.twimg.com/profile_images/884758468879466497/M_w6UjD3_normal.jpg","View")</f>
        <v>View</v>
      </c>
      <c r="P2782" s="10"/>
    </row>
    <row r="2783" customFormat="false" ht="15.75" hidden="false" customHeight="false" outlineLevel="0" collapsed="false">
      <c r="A2783" s="6" t="n">
        <v>43030.3101967593</v>
      </c>
      <c r="B2783" s="7" t="str">
        <f aca="false">HYPERLINK("https://twitter.com/SaritaAgerman","@SaritaAgerman")</f>
        <v>@SaritaAgerman</v>
      </c>
      <c r="C2783" s="8" t="s">
        <v>6954</v>
      </c>
      <c r="D2783" s="8" t="s">
        <v>6955</v>
      </c>
      <c r="E2783" s="9" t="str">
        <f aca="false">HYPERLINK("https://twitter.com/SaritaAgerman/status/922106941945602051","922106941945602051")</f>
        <v>922106941945602051</v>
      </c>
      <c r="F2783" s="10" t="s">
        <v>39</v>
      </c>
      <c r="G2783" s="10" t="n">
        <v>6889</v>
      </c>
      <c r="H2783" s="10" t="n">
        <v>1742</v>
      </c>
      <c r="I2783" s="10" t="n">
        <v>0</v>
      </c>
      <c r="J2783" s="10" t="n">
        <v>0</v>
      </c>
      <c r="K2783" s="10" t="s">
        <v>20</v>
      </c>
      <c r="L2783" s="11" t="n">
        <v>39856.2946643518</v>
      </c>
      <c r="M2783" s="12" t="s">
        <v>6956</v>
      </c>
      <c r="N2783" s="12" t="s">
        <v>6957</v>
      </c>
      <c r="O2783" s="9" t="str">
        <f aca="false">HYPERLINK("https://pbs.twimg.com/profile_images/873018407708491776/X5Tpq59p_normal.jpg","View")</f>
        <v>View</v>
      </c>
      <c r="P2783" s="10"/>
    </row>
    <row r="2784" customFormat="false" ht="15.75" hidden="false" customHeight="false" outlineLevel="0" collapsed="false">
      <c r="A2784" s="6" t="n">
        <v>43030.3104166667</v>
      </c>
      <c r="B2784" s="7" t="str">
        <f aca="false">HYPERLINK("https://twitter.com/roripierpont1","@roripierpont1")</f>
        <v>@roripierpont1</v>
      </c>
      <c r="C2784" s="8" t="s">
        <v>773</v>
      </c>
      <c r="D2784" s="8" t="s">
        <v>6945</v>
      </c>
      <c r="E2784" s="9" t="str">
        <f aca="false">HYPERLINK("https://twitter.com/roripierpont1/status/922107021113032709","922107021113032709")</f>
        <v>922107021113032709</v>
      </c>
      <c r="F2784" s="10" t="s">
        <v>177</v>
      </c>
      <c r="G2784" s="10" t="n">
        <v>1332</v>
      </c>
      <c r="H2784" s="10" t="n">
        <v>1587</v>
      </c>
      <c r="I2784" s="10" t="n">
        <v>22</v>
      </c>
      <c r="J2784" s="10" t="n">
        <v>0</v>
      </c>
      <c r="K2784" s="10" t="s">
        <v>20</v>
      </c>
      <c r="L2784" s="11" t="n">
        <v>42439.3340393519</v>
      </c>
      <c r="M2784" s="12"/>
      <c r="N2784" s="12"/>
      <c r="O2784" s="9" t="str">
        <f aca="false">HYPERLINK("https://pbs.twimg.com/profile_images/707960856605302785/-nt7LTTB_normal.jpg","View")</f>
        <v>View</v>
      </c>
      <c r="P2784" s="10"/>
    </row>
    <row r="2785" customFormat="false" ht="15.75" hidden="false" customHeight="false" outlineLevel="0" collapsed="false">
      <c r="A2785" s="6" t="n">
        <v>43030.310462963</v>
      </c>
      <c r="B2785" s="7" t="str">
        <f aca="false">HYPERLINK("https://twitter.com/abhienigma","@abhienigma")</f>
        <v>@abhienigma</v>
      </c>
      <c r="C2785" s="8" t="s">
        <v>6958</v>
      </c>
      <c r="D2785" s="8" t="s">
        <v>6945</v>
      </c>
      <c r="E2785" s="9" t="str">
        <f aca="false">HYPERLINK("https://twitter.com/abhienigma/status/922107039408467968","922107039408467968")</f>
        <v>922107039408467968</v>
      </c>
      <c r="F2785" s="10" t="s">
        <v>39</v>
      </c>
      <c r="G2785" s="10" t="n">
        <v>548</v>
      </c>
      <c r="H2785" s="10" t="n">
        <v>669</v>
      </c>
      <c r="I2785" s="10" t="n">
        <v>22</v>
      </c>
      <c r="J2785" s="10" t="n">
        <v>0</v>
      </c>
      <c r="K2785" s="10" t="s">
        <v>20</v>
      </c>
      <c r="L2785" s="11" t="n">
        <v>40166.5946759259</v>
      </c>
      <c r="M2785" s="12" t="s">
        <v>72</v>
      </c>
      <c r="N2785" s="12" t="s">
        <v>6959</v>
      </c>
      <c r="O2785" s="9" t="str">
        <f aca="false">HYPERLINK("https://pbs.twimg.com/profile_images/810478586163384320/PWzzj1hm_normal.jpg","View")</f>
        <v>View</v>
      </c>
      <c r="P2785" s="10"/>
    </row>
    <row r="2786" customFormat="false" ht="15.75" hidden="false" customHeight="false" outlineLevel="0" collapsed="false">
      <c r="A2786" s="6" t="n">
        <v>43030.3105092593</v>
      </c>
      <c r="B2786" s="7" t="str">
        <f aca="false">HYPERLINK("https://twitter.com/nilbha18","@nilbha18")</f>
        <v>@nilbha18</v>
      </c>
      <c r="C2786" s="8" t="s">
        <v>6960</v>
      </c>
      <c r="D2786" s="8" t="s">
        <v>6945</v>
      </c>
      <c r="E2786" s="9" t="str">
        <f aca="false">HYPERLINK("https://twitter.com/nilbha18/status/922107053618991105","922107053618991105")</f>
        <v>922107053618991105</v>
      </c>
      <c r="F2786" s="10" t="s">
        <v>25</v>
      </c>
      <c r="G2786" s="10" t="n">
        <v>84</v>
      </c>
      <c r="H2786" s="10" t="n">
        <v>1162</v>
      </c>
      <c r="I2786" s="10" t="n">
        <v>22</v>
      </c>
      <c r="J2786" s="10" t="n">
        <v>0</v>
      </c>
      <c r="K2786" s="10" t="s">
        <v>20</v>
      </c>
      <c r="L2786" s="11" t="n">
        <v>41367.3797685185</v>
      </c>
      <c r="M2786" s="12" t="s">
        <v>6961</v>
      </c>
      <c r="N2786" s="12"/>
      <c r="O2786" s="9" t="str">
        <f aca="false">HYPERLINK("https://pbs.twimg.com/profile_images/434617785952370688/9OwacJg9_normal.jpeg","View")</f>
        <v>View</v>
      </c>
      <c r="P2786" s="10"/>
    </row>
    <row r="2787" customFormat="false" ht="15.75" hidden="false" customHeight="false" outlineLevel="0" collapsed="false">
      <c r="A2787" s="6" t="n">
        <v>43030.3106018519</v>
      </c>
      <c r="B2787" s="7" t="str">
        <f aca="false">HYPERLINK("https://twitter.com/cairowire","@cairowire")</f>
        <v>@cairowire</v>
      </c>
      <c r="C2787" s="8" t="s">
        <v>3324</v>
      </c>
      <c r="D2787" s="8" t="s">
        <v>6945</v>
      </c>
      <c r="E2787" s="9" t="str">
        <f aca="false">HYPERLINK("https://twitter.com/cairowire/status/922107087810891776","922107087810891776")</f>
        <v>922107087810891776</v>
      </c>
      <c r="F2787" s="10" t="s">
        <v>51</v>
      </c>
      <c r="G2787" s="10" t="n">
        <v>39793</v>
      </c>
      <c r="H2787" s="10" t="n">
        <v>702</v>
      </c>
      <c r="I2787" s="10" t="n">
        <v>22</v>
      </c>
      <c r="J2787" s="10" t="n">
        <v>0</v>
      </c>
      <c r="K2787" s="10" t="s">
        <v>20</v>
      </c>
      <c r="L2787" s="11" t="n">
        <v>40585.9821527778</v>
      </c>
      <c r="M2787" s="12" t="s">
        <v>3325</v>
      </c>
      <c r="N2787" s="12" t="s">
        <v>3326</v>
      </c>
      <c r="O2787" s="9" t="str">
        <f aca="false">HYPERLINK("https://pbs.twimg.com/profile_images/485002903053025280/KpkndYb0_normal.png","View")</f>
        <v>View</v>
      </c>
      <c r="P2787" s="10"/>
    </row>
    <row r="2788" customFormat="false" ht="15.75" hidden="false" customHeight="false" outlineLevel="0" collapsed="false">
      <c r="A2788" s="6" t="n">
        <v>43030.310625</v>
      </c>
      <c r="B2788" s="7" t="str">
        <f aca="false">HYPERLINK("https://twitter.com/nafi9918","@nafi9918")</f>
        <v>@nafi9918</v>
      </c>
      <c r="C2788" s="8" t="s">
        <v>6962</v>
      </c>
      <c r="D2788" s="8" t="s">
        <v>6963</v>
      </c>
      <c r="E2788" s="9" t="str">
        <f aca="false">HYPERLINK("https://twitter.com/nafi9918/status/922107095733846021","922107095733846021")</f>
        <v>922107095733846021</v>
      </c>
      <c r="F2788" s="10" t="s">
        <v>25</v>
      </c>
      <c r="G2788" s="10" t="n">
        <v>591</v>
      </c>
      <c r="H2788" s="10" t="n">
        <v>1613</v>
      </c>
      <c r="I2788" s="10" t="n">
        <v>3</v>
      </c>
      <c r="J2788" s="10" t="n">
        <v>0</v>
      </c>
      <c r="K2788" s="10" t="s">
        <v>20</v>
      </c>
      <c r="L2788" s="11" t="n">
        <v>41806.2089930556</v>
      </c>
      <c r="M2788" s="12"/>
      <c r="N2788" s="12"/>
      <c r="O2788" s="9" t="str">
        <f aca="false">HYPERLINK("https://pbs.twimg.com/profile_images/777840304963461121/yZs9jL5D_normal.jpg","View")</f>
        <v>View</v>
      </c>
      <c r="P2788" s="10"/>
    </row>
    <row r="2789" customFormat="false" ht="15.75" hidden="false" customHeight="false" outlineLevel="0" collapsed="false">
      <c r="A2789" s="6" t="n">
        <v>43030.3106944445</v>
      </c>
      <c r="B2789" s="7" t="str">
        <f aca="false">HYPERLINK("https://twitter.com/DianaLaneHR","@DianaLaneHR")</f>
        <v>@DianaLaneHR</v>
      </c>
      <c r="C2789" s="8" t="s">
        <v>6964</v>
      </c>
      <c r="D2789" s="8" t="s">
        <v>6945</v>
      </c>
      <c r="E2789" s="9" t="str">
        <f aca="false">HYPERLINK("https://twitter.com/DianaLaneHR/status/922107123798040576","922107123798040576")</f>
        <v>922107123798040576</v>
      </c>
      <c r="F2789" s="10" t="s">
        <v>39</v>
      </c>
      <c r="G2789" s="10" t="n">
        <v>267</v>
      </c>
      <c r="H2789" s="10" t="n">
        <v>223</v>
      </c>
      <c r="I2789" s="10" t="n">
        <v>22</v>
      </c>
      <c r="J2789" s="10" t="n">
        <v>0</v>
      </c>
      <c r="K2789" s="10" t="s">
        <v>20</v>
      </c>
      <c r="L2789" s="11" t="n">
        <v>41029.443912037</v>
      </c>
      <c r="M2789" s="12"/>
      <c r="N2789" s="12" t="s">
        <v>6965</v>
      </c>
      <c r="O2789" s="9" t="str">
        <f aca="false">HYPERLINK("https://pbs.twimg.com/profile_images/2179228206/diana_normal","View")</f>
        <v>View</v>
      </c>
      <c r="P2789" s="10"/>
    </row>
    <row r="2790" customFormat="false" ht="15.75" hidden="false" customHeight="false" outlineLevel="0" collapsed="false">
      <c r="A2790" s="6" t="n">
        <v>43030.3107523148</v>
      </c>
      <c r="B2790" s="7" t="str">
        <f aca="false">HYPERLINK("https://twitter.com/Bullish","@Bullish")</f>
        <v>@Bullish</v>
      </c>
      <c r="C2790" s="8" t="s">
        <v>223</v>
      </c>
      <c r="D2790" s="8" t="s">
        <v>6966</v>
      </c>
      <c r="E2790" s="9" t="str">
        <f aca="false">HYPERLINK("https://twitter.com/Bullish/status/922107142517264385","922107142517264385")</f>
        <v>922107142517264385</v>
      </c>
      <c r="F2790" s="10" t="s">
        <v>60</v>
      </c>
      <c r="G2790" s="10" t="n">
        <v>184</v>
      </c>
      <c r="H2790" s="10" t="n">
        <v>87</v>
      </c>
      <c r="I2790" s="10" t="n">
        <v>0</v>
      </c>
      <c r="J2790" s="10" t="n">
        <v>0</v>
      </c>
      <c r="K2790" s="10" t="s">
        <v>20</v>
      </c>
      <c r="L2790" s="11" t="n">
        <v>42618.7530439815</v>
      </c>
      <c r="M2790" s="12"/>
      <c r="N2790" s="12"/>
      <c r="O2790" s="9" t="str">
        <f aca="false">HYPERLINK("https://pbs.twimg.com/profile_images/798692093736599552/UikI9dNE_normal.jpg","View")</f>
        <v>View</v>
      </c>
      <c r="P2790" s="10"/>
    </row>
    <row r="2791" customFormat="false" ht="15.75" hidden="false" customHeight="false" outlineLevel="0" collapsed="false">
      <c r="A2791" s="6" t="n">
        <v>43030.3108796296</v>
      </c>
      <c r="B2791" s="7" t="str">
        <f aca="false">HYPERLINK("https://twitter.com/HimikoinYamatai","@HimikoinYamatai")</f>
        <v>@HimikoinYamatai</v>
      </c>
      <c r="C2791" s="8" t="s">
        <v>6952</v>
      </c>
      <c r="D2791" s="8" t="s">
        <v>5030</v>
      </c>
      <c r="E2791" s="9" t="str">
        <f aca="false">HYPERLINK("https://twitter.com/HimikoinYamatai/status/922107189887606786","922107189887606786")</f>
        <v>922107189887606786</v>
      </c>
      <c r="F2791" s="10" t="s">
        <v>39</v>
      </c>
      <c r="G2791" s="10" t="n">
        <v>27</v>
      </c>
      <c r="H2791" s="10" t="n">
        <v>197</v>
      </c>
      <c r="I2791" s="10" t="n">
        <v>22</v>
      </c>
      <c r="J2791" s="10" t="n">
        <v>0</v>
      </c>
      <c r="K2791" s="10" t="s">
        <v>20</v>
      </c>
      <c r="L2791" s="11" t="n">
        <v>42103.2234259259</v>
      </c>
      <c r="M2791" s="12"/>
      <c r="N2791" s="12"/>
      <c r="O2791" s="9" t="str">
        <f aca="false">HYPERLINK("https://abs.twimg.com/sticky/default_profile_images/default_profile_normal.png","View")</f>
        <v>View</v>
      </c>
      <c r="P2791" s="10"/>
    </row>
    <row r="2792" customFormat="false" ht="15.75" hidden="false" customHeight="false" outlineLevel="0" collapsed="false">
      <c r="A2792" s="6" t="n">
        <v>43030.3109953704</v>
      </c>
      <c r="B2792" s="7" t="str">
        <f aca="false">HYPERLINK("https://twitter.com/ghoshworld","@ghoshworld")</f>
        <v>@ghoshworld</v>
      </c>
      <c r="C2792" s="8" t="s">
        <v>6967</v>
      </c>
      <c r="D2792" s="8" t="s">
        <v>6968</v>
      </c>
      <c r="E2792" s="9" t="str">
        <f aca="false">HYPERLINK("https://twitter.com/ghoshworld/status/922107229242888193","922107229242888193")</f>
        <v>922107229242888193</v>
      </c>
      <c r="F2792" s="10" t="s">
        <v>51</v>
      </c>
      <c r="G2792" s="10" t="n">
        <v>27820</v>
      </c>
      <c r="H2792" s="10" t="n">
        <v>1097</v>
      </c>
      <c r="I2792" s="10" t="n">
        <v>7</v>
      </c>
      <c r="J2792" s="10" t="n">
        <v>0</v>
      </c>
      <c r="K2792" s="10" t="s">
        <v>20</v>
      </c>
      <c r="L2792" s="11" t="n">
        <v>40573.2841898148</v>
      </c>
      <c r="M2792" s="12" t="s">
        <v>64</v>
      </c>
      <c r="N2792" s="12" t="s">
        <v>6969</v>
      </c>
      <c r="O2792" s="9" t="str">
        <f aca="false">HYPERLINK("https://pbs.twimg.com/profile_images/857491790735093760/rz63ilRX_normal.jpg","View")</f>
        <v>View</v>
      </c>
      <c r="P2792" s="10"/>
    </row>
    <row r="2793" customFormat="false" ht="15.75" hidden="false" customHeight="false" outlineLevel="0" collapsed="false">
      <c r="A2793" s="6" t="n">
        <v>43030.3112152778</v>
      </c>
      <c r="B2793" s="7" t="str">
        <f aca="false">HYPERLINK("https://twitter.com/theoldcurrency","@theoldcurrency")</f>
        <v>@theoldcurrency</v>
      </c>
      <c r="C2793" s="8" t="s">
        <v>6970</v>
      </c>
      <c r="D2793" s="8" t="s">
        <v>6971</v>
      </c>
      <c r="E2793" s="9" t="str">
        <f aca="false">HYPERLINK("https://twitter.com/theoldcurrency/status/922107311476412418","922107311476412418")</f>
        <v>922107311476412418</v>
      </c>
      <c r="F2793" s="10" t="s">
        <v>51</v>
      </c>
      <c r="G2793" s="10" t="n">
        <v>36</v>
      </c>
      <c r="H2793" s="10" t="n">
        <v>48</v>
      </c>
      <c r="I2793" s="10" t="n">
        <v>2</v>
      </c>
      <c r="J2793" s="10" t="n">
        <v>0</v>
      </c>
      <c r="K2793" s="10" t="s">
        <v>20</v>
      </c>
      <c r="L2793" s="11" t="n">
        <v>42949.6649189815</v>
      </c>
      <c r="M2793" s="12"/>
      <c r="N2793" s="12" t="s">
        <v>6972</v>
      </c>
      <c r="O2793" s="9" t="str">
        <f aca="false">HYPERLINK("https://pbs.twimg.com/profile_images/892882433162452993/Rukq_fMH_normal.jpg","View")</f>
        <v>View</v>
      </c>
      <c r="P2793" s="10"/>
    </row>
    <row r="2794" customFormat="false" ht="15.75" hidden="false" customHeight="false" outlineLevel="0" collapsed="false">
      <c r="A2794" s="6" t="n">
        <v>43030.3113078704</v>
      </c>
      <c r="B2794" s="7" t="str">
        <f aca="false">HYPERLINK("https://twitter.com/kiwibangkok","@kiwibangkok")</f>
        <v>@kiwibangkok</v>
      </c>
      <c r="C2794" s="8" t="s">
        <v>6973</v>
      </c>
      <c r="D2794" s="8" t="s">
        <v>6974</v>
      </c>
      <c r="E2794" s="9" t="str">
        <f aca="false">HYPERLINK("https://twitter.com/kiwibangkok/status/922107346473574407","922107346473574407")</f>
        <v>922107346473574407</v>
      </c>
      <c r="F2794" s="10" t="s">
        <v>39</v>
      </c>
      <c r="G2794" s="10" t="n">
        <v>1318</v>
      </c>
      <c r="H2794" s="10" t="n">
        <v>2640</v>
      </c>
      <c r="I2794" s="10" t="n">
        <v>0</v>
      </c>
      <c r="J2794" s="10" t="n">
        <v>0</v>
      </c>
      <c r="K2794" s="10" t="s">
        <v>20</v>
      </c>
      <c r="L2794" s="11" t="n">
        <v>40470.2360763889</v>
      </c>
      <c r="M2794" s="12" t="s">
        <v>6975</v>
      </c>
      <c r="N2794" s="12" t="s">
        <v>6976</v>
      </c>
      <c r="O2794" s="9" t="str">
        <f aca="false">HYPERLINK("https://pbs.twimg.com/profile_images/592334817179500544/Karde5U4_normal.jpg","View")</f>
        <v>View</v>
      </c>
      <c r="P2794" s="10"/>
    </row>
    <row r="2795" customFormat="false" ht="15.75" hidden="false" customHeight="false" outlineLevel="0" collapsed="false">
      <c r="A2795" s="6" t="n">
        <v>43030.3113657407</v>
      </c>
      <c r="B2795" s="7" t="str">
        <f aca="false">HYPERLINK("https://twitter.com/vrai777","@vrai777")</f>
        <v>@vrai777</v>
      </c>
      <c r="C2795" s="8" t="s">
        <v>335</v>
      </c>
      <c r="D2795" s="8" t="s">
        <v>6977</v>
      </c>
      <c r="E2795" s="9" t="str">
        <f aca="false">HYPERLINK("https://twitter.com/vrai777/status/922107367482970114","922107367482970114")</f>
        <v>922107367482970114</v>
      </c>
      <c r="F2795" s="10" t="s">
        <v>60</v>
      </c>
      <c r="G2795" s="10" t="n">
        <v>7959</v>
      </c>
      <c r="H2795" s="10" t="n">
        <v>71</v>
      </c>
      <c r="I2795" s="10" t="n">
        <v>0</v>
      </c>
      <c r="J2795" s="10" t="n">
        <v>0</v>
      </c>
      <c r="K2795" s="10" t="s">
        <v>20</v>
      </c>
      <c r="L2795" s="11" t="n">
        <v>39878.7593287037</v>
      </c>
      <c r="M2795" s="12" t="s">
        <v>295</v>
      </c>
      <c r="N2795" s="12" t="s">
        <v>337</v>
      </c>
      <c r="O2795" s="9" t="str">
        <f aca="false">HYPERLINK("https://pbs.twimg.com/profile_images/688775800284266496/qhWTo08H_normal.png","View")</f>
        <v>View</v>
      </c>
      <c r="P2795" s="10"/>
    </row>
    <row r="2796" customFormat="false" ht="15.75" hidden="false" customHeight="false" outlineLevel="0" collapsed="false">
      <c r="A2796" s="6" t="n">
        <v>43030.3116666667</v>
      </c>
      <c r="B2796" s="7" t="str">
        <f aca="false">HYPERLINK("https://twitter.com/jaimeotero_","@jaimeotero_")</f>
        <v>@jaimeotero_</v>
      </c>
      <c r="C2796" s="8" t="s">
        <v>205</v>
      </c>
      <c r="D2796" s="8" t="s">
        <v>6978</v>
      </c>
      <c r="E2796" s="9" t="str">
        <f aca="false">HYPERLINK("https://twitter.com/jaimeotero_/status/922107475884761088","922107475884761088")</f>
        <v>922107475884761088</v>
      </c>
      <c r="F2796" s="10" t="s">
        <v>60</v>
      </c>
      <c r="G2796" s="10" t="n">
        <v>34492</v>
      </c>
      <c r="H2796" s="10" t="n">
        <v>31252</v>
      </c>
      <c r="I2796" s="10" t="n">
        <v>0</v>
      </c>
      <c r="J2796" s="10" t="n">
        <v>0</v>
      </c>
      <c r="K2796" s="10" t="s">
        <v>20</v>
      </c>
      <c r="L2796" s="11" t="n">
        <v>42531.0121990741</v>
      </c>
      <c r="M2796" s="12" t="s">
        <v>207</v>
      </c>
      <c r="N2796" s="12" t="s">
        <v>208</v>
      </c>
      <c r="O2796" s="9" t="str">
        <f aca="false">HYPERLINK("https://pbs.twimg.com/profile_images/849817561281818626/acAU04SD_normal.jpg","View")</f>
        <v>View</v>
      </c>
      <c r="P2796" s="10"/>
    </row>
    <row r="2797" customFormat="false" ht="15.75" hidden="false" customHeight="false" outlineLevel="0" collapsed="false">
      <c r="A2797" s="6" t="n">
        <v>43030.3117361111</v>
      </c>
      <c r="B2797" s="7" t="str">
        <f aca="false">HYPERLINK("https://twitter.com/aufondduciel","@aufondduciel")</f>
        <v>@aufondduciel</v>
      </c>
      <c r="C2797" s="14" t="s">
        <v>6979</v>
      </c>
      <c r="D2797" s="8" t="s">
        <v>6945</v>
      </c>
      <c r="E2797" s="9" t="str">
        <f aca="false">HYPERLINK("https://twitter.com/aufondduciel/status/922107497825034240","922107497825034240")</f>
        <v>922107497825034240</v>
      </c>
      <c r="F2797" s="10" t="s">
        <v>51</v>
      </c>
      <c r="G2797" s="10" t="n">
        <v>242</v>
      </c>
      <c r="H2797" s="10" t="n">
        <v>525</v>
      </c>
      <c r="I2797" s="10" t="n">
        <v>22</v>
      </c>
      <c r="J2797" s="10" t="n">
        <v>0</v>
      </c>
      <c r="K2797" s="10" t="s">
        <v>20</v>
      </c>
      <c r="L2797" s="11" t="n">
        <v>40386.1397569444</v>
      </c>
      <c r="M2797" s="13" t="s">
        <v>6980</v>
      </c>
      <c r="N2797" s="12"/>
      <c r="O2797" s="9" t="str">
        <f aca="false">HYPERLINK("https://pbs.twimg.com/profile_images/516605949109223425/F5UIopah_normal.jpeg","View")</f>
        <v>View</v>
      </c>
      <c r="P2797" s="10"/>
    </row>
    <row r="2798" customFormat="false" ht="15.75" hidden="false" customHeight="false" outlineLevel="0" collapsed="false">
      <c r="A2798" s="6" t="n">
        <v>43030.3117939815</v>
      </c>
      <c r="B2798" s="7" t="str">
        <f aca="false">HYPERLINK("https://twitter.com/truthtableJCT","@truthtableJCT")</f>
        <v>@truthtableJCT</v>
      </c>
      <c r="C2798" s="8" t="s">
        <v>6981</v>
      </c>
      <c r="D2798" s="8" t="s">
        <v>6982</v>
      </c>
      <c r="E2798" s="9" t="str">
        <f aca="false">HYPERLINK("https://twitter.com/truthtableJCT/status/922107520985972737","922107520985972737")</f>
        <v>922107520985972737</v>
      </c>
      <c r="F2798" s="10" t="s">
        <v>51</v>
      </c>
      <c r="G2798" s="10" t="n">
        <v>3354</v>
      </c>
      <c r="H2798" s="10" t="n">
        <v>4995</v>
      </c>
      <c r="I2798" s="10" t="n">
        <v>2</v>
      </c>
      <c r="J2798" s="10" t="n">
        <v>1</v>
      </c>
      <c r="K2798" s="10" t="s">
        <v>20</v>
      </c>
      <c r="L2798" s="11" t="n">
        <v>42215.3264699074</v>
      </c>
      <c r="M2798" s="12" t="s">
        <v>6983</v>
      </c>
      <c r="N2798" s="12" t="s">
        <v>6984</v>
      </c>
      <c r="O2798" s="9" t="str">
        <f aca="false">HYPERLINK("https://pbs.twimg.com/profile_images/626942569340141568/UfUK7zXc_normal.jpg","View")</f>
        <v>View</v>
      </c>
      <c r="P2798" s="10"/>
    </row>
    <row r="2799" customFormat="false" ht="15.75" hidden="false" customHeight="false" outlineLevel="0" collapsed="false">
      <c r="A2799" s="6" t="n">
        <v>43030.311875</v>
      </c>
      <c r="B2799" s="7" t="str">
        <f aca="false">HYPERLINK("https://twitter.com/EeeYua","@EeeYua")</f>
        <v>@EeeYua</v>
      </c>
      <c r="C2799" s="14" t="s">
        <v>6985</v>
      </c>
      <c r="D2799" s="8" t="s">
        <v>6986</v>
      </c>
      <c r="E2799" s="9" t="str">
        <f aca="false">HYPERLINK("https://twitter.com/EeeYua/status/922107550270554112","922107550270554112")</f>
        <v>922107550270554112</v>
      </c>
      <c r="F2799" s="9" t="s">
        <v>1147</v>
      </c>
      <c r="G2799" s="10" t="n">
        <v>60</v>
      </c>
      <c r="H2799" s="10" t="n">
        <v>64</v>
      </c>
      <c r="I2799" s="10" t="n">
        <v>0</v>
      </c>
      <c r="J2799" s="10" t="n">
        <v>0</v>
      </c>
      <c r="K2799" s="10" t="s">
        <v>20</v>
      </c>
      <c r="L2799" s="11" t="n">
        <v>42203.2671990741</v>
      </c>
      <c r="M2799" s="12" t="s">
        <v>2102</v>
      </c>
      <c r="N2799" s="13" t="s">
        <v>6987</v>
      </c>
      <c r="O2799" s="9" t="str">
        <f aca="false">HYPERLINK("https://pbs.twimg.com/profile_images/622397154871513088/JtTaP_S9_normal.png","View")</f>
        <v>View</v>
      </c>
      <c r="P2799" s="10"/>
    </row>
    <row r="2800" customFormat="false" ht="15.75" hidden="false" customHeight="false" outlineLevel="0" collapsed="false">
      <c r="A2800" s="6" t="n">
        <v>43030.311875</v>
      </c>
      <c r="B2800" s="7" t="str">
        <f aca="false">HYPERLINK("https://twitter.com/ponpocopon0","@ponpocopon0")</f>
        <v>@ponpocopon0</v>
      </c>
      <c r="C2800" s="8" t="s">
        <v>6988</v>
      </c>
      <c r="D2800" s="8" t="s">
        <v>6989</v>
      </c>
      <c r="E2800" s="9" t="str">
        <f aca="false">HYPERLINK("https://twitter.com/ponpocopon0/status/922107551235244032","922107551235244032")</f>
        <v>922107551235244032</v>
      </c>
      <c r="F2800" s="9" t="s">
        <v>1147</v>
      </c>
      <c r="G2800" s="10" t="n">
        <v>66</v>
      </c>
      <c r="H2800" s="10" t="n">
        <v>75</v>
      </c>
      <c r="I2800" s="10" t="n">
        <v>0</v>
      </c>
      <c r="J2800" s="10" t="n">
        <v>0</v>
      </c>
      <c r="K2800" s="10" t="s">
        <v>20</v>
      </c>
      <c r="L2800" s="11" t="n">
        <v>42203.2495023148</v>
      </c>
      <c r="M2800" s="12"/>
      <c r="N2800" s="13" t="s">
        <v>6990</v>
      </c>
      <c r="O2800" s="9" t="str">
        <f aca="false">HYPERLINK("https://pbs.twimg.com/profile_images/622390559265533954/wMaZXTPR_normal.png","View")</f>
        <v>View</v>
      </c>
      <c r="P2800" s="10"/>
    </row>
    <row r="2801" customFormat="false" ht="15.75" hidden="false" customHeight="false" outlineLevel="0" collapsed="false">
      <c r="A2801" s="6" t="n">
        <v>43030.3118865741</v>
      </c>
      <c r="B2801" s="7" t="str">
        <f aca="false">HYPERLINK("https://twitter.com/swissifg","@swissifg")</f>
        <v>@swissifg</v>
      </c>
      <c r="C2801" s="8" t="s">
        <v>247</v>
      </c>
      <c r="D2801" s="8" t="s">
        <v>6991</v>
      </c>
      <c r="E2801" s="9" t="str">
        <f aca="false">HYPERLINK("https://twitter.com/swissifg/status/922107553319923713","922107553319923713")</f>
        <v>922107553319923713</v>
      </c>
      <c r="F2801" s="10" t="s">
        <v>60</v>
      </c>
      <c r="G2801" s="10" t="n">
        <v>1202</v>
      </c>
      <c r="H2801" s="10" t="n">
        <v>670</v>
      </c>
      <c r="I2801" s="10" t="n">
        <v>0</v>
      </c>
      <c r="J2801" s="10" t="n">
        <v>0</v>
      </c>
      <c r="K2801" s="10" t="s">
        <v>20</v>
      </c>
      <c r="L2801" s="11" t="n">
        <v>42499.2341087963</v>
      </c>
      <c r="M2801" s="12" t="s">
        <v>249</v>
      </c>
      <c r="N2801" s="12" t="s">
        <v>250</v>
      </c>
      <c r="O2801" s="9" t="str">
        <f aca="false">HYPERLINK("https://pbs.twimg.com/profile_images/729681805088063489/N4ls5vb8_normal.jpg","View")</f>
        <v>View</v>
      </c>
      <c r="P2801" s="10"/>
    </row>
    <row r="2802" customFormat="false" ht="15.75" hidden="false" customHeight="false" outlineLevel="0" collapsed="false">
      <c r="A2802" s="6" t="n">
        <v>43030.3118865741</v>
      </c>
      <c r="B2802" s="7" t="str">
        <f aca="false">HYPERLINK("https://twitter.com/FromNazWithLove","@FromNazWithLove")</f>
        <v>@FromNazWithLove</v>
      </c>
      <c r="C2802" s="8" t="s">
        <v>6992</v>
      </c>
      <c r="D2802" s="8" t="s">
        <v>6968</v>
      </c>
      <c r="E2802" s="9" t="str">
        <f aca="false">HYPERLINK("https://twitter.com/FromNazWithLove/status/922107554599178243","922107554599178243")</f>
        <v>922107554599178243</v>
      </c>
      <c r="F2802" s="10" t="s">
        <v>51</v>
      </c>
      <c r="G2802" s="10" t="n">
        <v>2511</v>
      </c>
      <c r="H2802" s="10" t="n">
        <v>2230</v>
      </c>
      <c r="I2802" s="10" t="n">
        <v>7</v>
      </c>
      <c r="J2802" s="10" t="n">
        <v>0</v>
      </c>
      <c r="K2802" s="10" t="s">
        <v>20</v>
      </c>
      <c r="L2802" s="11" t="n">
        <v>39873.9537731481</v>
      </c>
      <c r="M2802" s="12" t="s">
        <v>6993</v>
      </c>
      <c r="N2802" s="12" t="s">
        <v>6994</v>
      </c>
      <c r="O2802" s="9" t="str">
        <f aca="false">HYPERLINK("https://pbs.twimg.com/profile_images/842273168437968896/YAUFl84t_normal.jpg","View")</f>
        <v>View</v>
      </c>
      <c r="P2802" s="10"/>
    </row>
    <row r="2803" customFormat="false" ht="15.75" hidden="false" customHeight="false" outlineLevel="0" collapsed="false">
      <c r="A2803" s="6" t="n">
        <v>43030.3118981482</v>
      </c>
      <c r="B2803" s="7" t="str">
        <f aca="false">HYPERLINK("https://twitter.com/TopFiveTraders","@TopFiveTraders")</f>
        <v>@TopFiveTraders</v>
      </c>
      <c r="C2803" s="8" t="s">
        <v>321</v>
      </c>
      <c r="D2803" s="8" t="s">
        <v>6995</v>
      </c>
      <c r="E2803" s="9" t="str">
        <f aca="false">HYPERLINK("https://twitter.com/TopFiveTraders/status/922107556868354049","922107556868354049")</f>
        <v>922107556868354049</v>
      </c>
      <c r="F2803" s="10" t="s">
        <v>60</v>
      </c>
      <c r="G2803" s="10" t="n">
        <v>8181</v>
      </c>
      <c r="H2803" s="10" t="n">
        <v>6774</v>
      </c>
      <c r="I2803" s="10" t="n">
        <v>0</v>
      </c>
      <c r="J2803" s="10" t="n">
        <v>0</v>
      </c>
      <c r="K2803" s="10" t="s">
        <v>20</v>
      </c>
      <c r="L2803" s="11" t="n">
        <v>41573.4842013889</v>
      </c>
      <c r="M2803" s="12" t="s">
        <v>323</v>
      </c>
      <c r="N2803" s="12" t="s">
        <v>324</v>
      </c>
      <c r="O2803" s="9" t="str">
        <f aca="false">HYPERLINK("https://pbs.twimg.com/profile_images/729113141444026370/hi202Ffp_normal.jpg","View")</f>
        <v>View</v>
      </c>
      <c r="P2803" s="10"/>
    </row>
    <row r="2804" customFormat="false" ht="15.75" hidden="false" customHeight="false" outlineLevel="0" collapsed="false">
      <c r="A2804" s="6" t="n">
        <v>43030.3119328704</v>
      </c>
      <c r="B2804" s="7" t="str">
        <f aca="false">HYPERLINK("https://twitter.com/TakapyonD","@TakapyonD")</f>
        <v>@TakapyonD</v>
      </c>
      <c r="C2804" s="8" t="s">
        <v>6996</v>
      </c>
      <c r="D2804" s="8" t="s">
        <v>6997</v>
      </c>
      <c r="E2804" s="9" t="str">
        <f aca="false">HYPERLINK("https://twitter.com/TakapyonD/status/922107570868830208","922107570868830208")</f>
        <v>922107570868830208</v>
      </c>
      <c r="F2804" s="9" t="s">
        <v>1147</v>
      </c>
      <c r="G2804" s="10" t="n">
        <v>100</v>
      </c>
      <c r="H2804" s="10" t="n">
        <v>59</v>
      </c>
      <c r="I2804" s="10" t="n">
        <v>0</v>
      </c>
      <c r="J2804" s="10" t="n">
        <v>0</v>
      </c>
      <c r="K2804" s="10" t="s">
        <v>20</v>
      </c>
      <c r="L2804" s="11" t="n">
        <v>42203.2581365741</v>
      </c>
      <c r="M2804" s="12"/>
      <c r="N2804" s="12" t="s">
        <v>6998</v>
      </c>
      <c r="O2804" s="9" t="str">
        <f aca="false">HYPERLINK("https://pbs.twimg.com/profile_images/622394037505372160/8wQPgFdS_normal.jpg","View")</f>
        <v>View</v>
      </c>
      <c r="P2804" s="10"/>
    </row>
    <row r="2805" customFormat="false" ht="15.75" hidden="false" customHeight="false" outlineLevel="0" collapsed="false">
      <c r="A2805" s="6" t="n">
        <v>43030.3119444444</v>
      </c>
      <c r="B2805" s="7" t="str">
        <f aca="false">HYPERLINK("https://twitter.com/Newsroom07","@Newsroom07")</f>
        <v>@Newsroom07</v>
      </c>
      <c r="C2805" s="8" t="s">
        <v>6999</v>
      </c>
      <c r="D2805" s="8" t="s">
        <v>6731</v>
      </c>
      <c r="E2805" s="9" t="str">
        <f aca="false">HYPERLINK("https://twitter.com/Newsroom07/status/922107577189715968","922107577189715968")</f>
        <v>922107577189715968</v>
      </c>
      <c r="F2805" s="10" t="s">
        <v>177</v>
      </c>
      <c r="G2805" s="10" t="n">
        <v>140</v>
      </c>
      <c r="H2805" s="10" t="n">
        <v>277</v>
      </c>
      <c r="I2805" s="10" t="n">
        <v>13</v>
      </c>
      <c r="J2805" s="10" t="n">
        <v>0</v>
      </c>
      <c r="K2805" s="10" t="s">
        <v>20</v>
      </c>
      <c r="L2805" s="11" t="n">
        <v>42388.2416203704</v>
      </c>
      <c r="M2805" s="12"/>
      <c r="N2805" s="12" t="s">
        <v>7000</v>
      </c>
      <c r="O2805" s="9" t="str">
        <f aca="false">HYPERLINK("https://pbs.twimg.com/profile_images/845479270893916160/TJslffd3_normal.jpg","View")</f>
        <v>View</v>
      </c>
      <c r="P2805" s="10"/>
    </row>
    <row r="2806" customFormat="false" ht="15.75" hidden="false" customHeight="false" outlineLevel="0" collapsed="false">
      <c r="A2806" s="6" t="n">
        <v>43030.3119907407</v>
      </c>
      <c r="B2806" s="7" t="str">
        <f aca="false">HYPERLINK("https://twitter.com/bdnews24","@bdnews24")</f>
        <v>@bdnews24</v>
      </c>
      <c r="C2806" s="8" t="s">
        <v>216</v>
      </c>
      <c r="D2806" s="8" t="s">
        <v>7001</v>
      </c>
      <c r="E2806" s="9" t="str">
        <f aca="false">HYPERLINK("https://twitter.com/bdnews24/status/922107589843877888","922107589843877888")</f>
        <v>922107589843877888</v>
      </c>
      <c r="F2806" s="10" t="s">
        <v>60</v>
      </c>
      <c r="G2806" s="10" t="n">
        <v>215604</v>
      </c>
      <c r="H2806" s="10" t="n">
        <v>67887</v>
      </c>
      <c r="I2806" s="10" t="n">
        <v>0</v>
      </c>
      <c r="J2806" s="10" t="n">
        <v>1</v>
      </c>
      <c r="K2806" s="10" t="s">
        <v>20</v>
      </c>
      <c r="L2806" s="11" t="n">
        <v>39844.4680439815</v>
      </c>
      <c r="M2806" s="12" t="s">
        <v>218</v>
      </c>
      <c r="N2806" s="12" t="s">
        <v>219</v>
      </c>
      <c r="O2806" s="9" t="str">
        <f aca="false">HYPERLINK("https://pbs.twimg.com/profile_images/718433521509994497/4iW9RC_r_normal.jpg","View")</f>
        <v>View</v>
      </c>
      <c r="P2806" s="10"/>
    </row>
    <row r="2807" customFormat="false" ht="15.75" hidden="false" customHeight="false" outlineLevel="0" collapsed="false">
      <c r="A2807" s="6" t="n">
        <v>43030.312025463</v>
      </c>
      <c r="B2807" s="7" t="str">
        <f aca="false">HYPERLINK("https://twitter.com/prepzilla","@prepzilla")</f>
        <v>@prepzilla</v>
      </c>
      <c r="C2807" s="8" t="s">
        <v>235</v>
      </c>
      <c r="D2807" s="8" t="s">
        <v>7002</v>
      </c>
      <c r="E2807" s="9" t="str">
        <f aca="false">HYPERLINK("https://twitter.com/prepzilla/status/922107604377186305","922107604377186305")</f>
        <v>922107604377186305</v>
      </c>
      <c r="F2807" s="10" t="s">
        <v>60</v>
      </c>
      <c r="G2807" s="10" t="n">
        <v>7686</v>
      </c>
      <c r="H2807" s="10" t="n">
        <v>477</v>
      </c>
      <c r="I2807" s="10" t="n">
        <v>0</v>
      </c>
      <c r="J2807" s="10" t="n">
        <v>0</v>
      </c>
      <c r="K2807" s="10" t="s">
        <v>20</v>
      </c>
      <c r="L2807" s="11" t="n">
        <v>41299.7417361111</v>
      </c>
      <c r="M2807" s="12" t="s">
        <v>237</v>
      </c>
      <c r="N2807" s="12" t="s">
        <v>238</v>
      </c>
      <c r="O2807" s="9" t="str">
        <f aca="false">HYPERLINK("https://pbs.twimg.com/profile_images/900797880516005888/1bWN5qbC_normal.jpg","View")</f>
        <v>View</v>
      </c>
      <c r="P2807" s="10"/>
    </row>
    <row r="2808" customFormat="false" ht="15.75" hidden="false" customHeight="false" outlineLevel="0" collapsed="false">
      <c r="A2808" s="6" t="n">
        <v>43030.3121180556</v>
      </c>
      <c r="B2808" s="7" t="str">
        <f aca="false">HYPERLINK("https://twitter.com/Andreab969","@Andreab969")</f>
        <v>@Andreab969</v>
      </c>
      <c r="C2808" s="8" t="s">
        <v>7003</v>
      </c>
      <c r="D2808" s="8" t="s">
        <v>7004</v>
      </c>
      <c r="E2808" s="9" t="str">
        <f aca="false">HYPERLINK("https://twitter.com/Andreab969/status/922107638107856896","922107638107856896")</f>
        <v>922107638107856896</v>
      </c>
      <c r="F2808" s="10" t="s">
        <v>51</v>
      </c>
      <c r="G2808" s="10" t="n">
        <v>1536</v>
      </c>
      <c r="H2808" s="10" t="n">
        <v>1535</v>
      </c>
      <c r="I2808" s="10" t="n">
        <v>1</v>
      </c>
      <c r="J2808" s="10" t="n">
        <v>0</v>
      </c>
      <c r="K2808" s="10" t="s">
        <v>20</v>
      </c>
      <c r="L2808" s="11" t="n">
        <v>39829.6229050926</v>
      </c>
      <c r="M2808" s="12" t="s">
        <v>6859</v>
      </c>
      <c r="N2808" s="12" t="s">
        <v>7005</v>
      </c>
      <c r="O2808" s="9" t="str">
        <f aca="false">HYPERLINK("https://pbs.twimg.com/profile_images/860218685545472000/cVuRBgqn_normal.jpg","View")</f>
        <v>View</v>
      </c>
      <c r="P2808" s="10"/>
    </row>
    <row r="2809" customFormat="false" ht="15.75" hidden="false" customHeight="false" outlineLevel="0" collapsed="false">
      <c r="A2809" s="6" t="n">
        <v>43030.3121643519</v>
      </c>
      <c r="B2809" s="7" t="str">
        <f aca="false">HYPERLINK("https://twitter.com/ianstonge1","@ianstonge1")</f>
        <v>@ianstonge1</v>
      </c>
      <c r="C2809" s="8" t="s">
        <v>7006</v>
      </c>
      <c r="D2809" s="8" t="s">
        <v>6945</v>
      </c>
      <c r="E2809" s="9" t="str">
        <f aca="false">HYPERLINK("https://twitter.com/ianstonge1/status/922107653647630336","922107653647630336")</f>
        <v>922107653647630336</v>
      </c>
      <c r="F2809" s="10" t="s">
        <v>39</v>
      </c>
      <c r="G2809" s="10" t="n">
        <v>367</v>
      </c>
      <c r="H2809" s="10" t="n">
        <v>775</v>
      </c>
      <c r="I2809" s="10" t="n">
        <v>22</v>
      </c>
      <c r="J2809" s="10" t="n">
        <v>0</v>
      </c>
      <c r="K2809" s="10" t="s">
        <v>20</v>
      </c>
      <c r="L2809" s="11" t="n">
        <v>41217.3047800926</v>
      </c>
      <c r="M2809" s="12" t="s">
        <v>7007</v>
      </c>
      <c r="N2809" s="12" t="s">
        <v>7008</v>
      </c>
      <c r="O2809" s="9" t="str">
        <f aca="false">HYPERLINK("https://pbs.twimg.com/profile_images/763939425566859265/SebgzZzE_normal.jpg","View")</f>
        <v>View</v>
      </c>
      <c r="P2809" s="10"/>
    </row>
    <row r="2810" customFormat="false" ht="15.75" hidden="false" customHeight="false" outlineLevel="0" collapsed="false">
      <c r="A2810" s="6" t="n">
        <v>43030.3124652778</v>
      </c>
      <c r="B2810" s="7" t="str">
        <f aca="false">HYPERLINK("https://twitter.com/ravsie","@ravsie")</f>
        <v>@ravsie</v>
      </c>
      <c r="C2810" s="8" t="s">
        <v>7009</v>
      </c>
      <c r="D2810" s="8" t="s">
        <v>6558</v>
      </c>
      <c r="E2810" s="9" t="str">
        <f aca="false">HYPERLINK("https://twitter.com/ravsie/status/922107765367042048","922107765367042048")</f>
        <v>922107765367042048</v>
      </c>
      <c r="F2810" s="10" t="s">
        <v>25</v>
      </c>
      <c r="G2810" s="10" t="n">
        <v>461</v>
      </c>
      <c r="H2810" s="10" t="n">
        <v>445</v>
      </c>
      <c r="I2810" s="10" t="n">
        <v>65</v>
      </c>
      <c r="J2810" s="10" t="n">
        <v>0</v>
      </c>
      <c r="K2810" s="10" t="s">
        <v>20</v>
      </c>
      <c r="L2810" s="11" t="n">
        <v>39947.937037037</v>
      </c>
      <c r="M2810" s="12" t="s">
        <v>868</v>
      </c>
      <c r="N2810" s="12" t="s">
        <v>7010</v>
      </c>
      <c r="O2810" s="9" t="str">
        <f aca="false">HYPERLINK("https://pbs.twimg.com/profile_images/908556705390239746/vASVPysj_normal.jpg","View")</f>
        <v>View</v>
      </c>
      <c r="P2810" s="10"/>
    </row>
    <row r="2811" customFormat="false" ht="15.75" hidden="false" customHeight="false" outlineLevel="0" collapsed="false">
      <c r="A2811" s="6" t="n">
        <v>43030.3125462963</v>
      </c>
      <c r="B2811" s="7" t="str">
        <f aca="false">HYPERLINK("https://twitter.com/HimikoinYamatai","@HimikoinYamatai")</f>
        <v>@HimikoinYamatai</v>
      </c>
      <c r="C2811" s="8" t="s">
        <v>6952</v>
      </c>
      <c r="D2811" s="8" t="s">
        <v>4984</v>
      </c>
      <c r="E2811" s="9" t="str">
        <f aca="false">HYPERLINK("https://twitter.com/HimikoinYamatai/status/922107794760785920","922107794760785920")</f>
        <v>922107794760785920</v>
      </c>
      <c r="F2811" s="10" t="s">
        <v>39</v>
      </c>
      <c r="G2811" s="10" t="n">
        <v>27</v>
      </c>
      <c r="H2811" s="10" t="n">
        <v>197</v>
      </c>
      <c r="I2811" s="10" t="n">
        <v>187</v>
      </c>
      <c r="J2811" s="10" t="n">
        <v>0</v>
      </c>
      <c r="K2811" s="10" t="s">
        <v>20</v>
      </c>
      <c r="L2811" s="11" t="n">
        <v>42103.2234259259</v>
      </c>
      <c r="M2811" s="12"/>
      <c r="N2811" s="12"/>
      <c r="O2811" s="9" t="str">
        <f aca="false">HYPERLINK("https://abs.twimg.com/sticky/default_profile_images/default_profile_normal.png","View")</f>
        <v>View</v>
      </c>
      <c r="P2811" s="10"/>
    </row>
    <row r="2812" customFormat="false" ht="15.75" hidden="false" customHeight="false" outlineLevel="0" collapsed="false">
      <c r="A2812" s="6" t="n">
        <v>43030.3126851852</v>
      </c>
      <c r="B2812" s="7" t="str">
        <f aca="false">HYPERLINK("https://twitter.com/MexicoNewsBot","@MexicoNewsBot")</f>
        <v>@MexicoNewsBot</v>
      </c>
      <c r="C2812" s="8" t="s">
        <v>53</v>
      </c>
      <c r="D2812" s="8" t="s">
        <v>7011</v>
      </c>
      <c r="E2812" s="9" t="str">
        <f aca="false">HYPERLINK("https://twitter.com/MexicoNewsBot/status/922107845310668801","922107845310668801")</f>
        <v>922107845310668801</v>
      </c>
      <c r="F2812" s="10" t="s">
        <v>55</v>
      </c>
      <c r="G2812" s="10" t="n">
        <v>474</v>
      </c>
      <c r="H2812" s="10" t="n">
        <v>183</v>
      </c>
      <c r="I2812" s="10" t="n">
        <v>0</v>
      </c>
      <c r="J2812" s="10" t="n">
        <v>0</v>
      </c>
      <c r="K2812" s="10" t="s">
        <v>20</v>
      </c>
      <c r="L2812" s="11" t="n">
        <v>41845.7457523148</v>
      </c>
      <c r="M2812" s="12"/>
      <c r="N2812" s="12"/>
      <c r="O2812" s="9" t="str">
        <f aca="false">HYPERLINK("https://pbs.twimg.com/profile_images/492864938445000704/QxvpQrRZ_normal.jpeg","View")</f>
        <v>View</v>
      </c>
      <c r="P2812" s="10"/>
    </row>
    <row r="2813" customFormat="false" ht="15.75" hidden="false" customHeight="false" outlineLevel="0" collapsed="false">
      <c r="A2813" s="6" t="n">
        <v>43030.312962963</v>
      </c>
      <c r="B2813" s="7" t="str">
        <f aca="false">HYPERLINK("https://twitter.com/TFTCS","@TFTCS")</f>
        <v>@TFTCS</v>
      </c>
      <c r="C2813" s="8" t="s">
        <v>338</v>
      </c>
      <c r="D2813" s="8" t="s">
        <v>7012</v>
      </c>
      <c r="E2813" s="9" t="str">
        <f aca="false">HYPERLINK("https://twitter.com/TFTCS/status/922107942928814081","922107942928814081")</f>
        <v>922107942928814081</v>
      </c>
      <c r="F2813" s="10" t="s">
        <v>60</v>
      </c>
      <c r="G2813" s="10" t="n">
        <v>4435</v>
      </c>
      <c r="H2813" s="10" t="n">
        <v>4613</v>
      </c>
      <c r="I2813" s="10" t="n">
        <v>0</v>
      </c>
      <c r="J2813" s="10" t="n">
        <v>0</v>
      </c>
      <c r="K2813" s="10" t="s">
        <v>20</v>
      </c>
      <c r="L2813" s="11" t="n">
        <v>41868.7681018518</v>
      </c>
      <c r="M2813" s="12" t="s">
        <v>340</v>
      </c>
      <c r="N2813" s="12" t="s">
        <v>341</v>
      </c>
      <c r="O2813" s="9" t="str">
        <f aca="false">HYPERLINK("https://pbs.twimg.com/profile_images/736027772800368640/DdLGgNNU_normal.jpg","View")</f>
        <v>View</v>
      </c>
      <c r="P2813" s="10"/>
    </row>
    <row r="2814" customFormat="false" ht="15.75" hidden="false" customHeight="false" outlineLevel="0" collapsed="false">
      <c r="A2814" s="6" t="n">
        <v>43030.3131712963</v>
      </c>
      <c r="B2814" s="7" t="str">
        <f aca="false">HYPERLINK("https://twitter.com/Tekki_VR","@Tekki_VR")</f>
        <v>@Tekki_VR</v>
      </c>
      <c r="C2814" s="8" t="s">
        <v>225</v>
      </c>
      <c r="D2814" s="8" t="s">
        <v>7013</v>
      </c>
      <c r="E2814" s="9" t="str">
        <f aca="false">HYPERLINK("https://twitter.com/Tekki_VR/status/922108019655274497","922108019655274497")</f>
        <v>922108019655274497</v>
      </c>
      <c r="F2814" s="10" t="s">
        <v>60</v>
      </c>
      <c r="G2814" s="10" t="n">
        <v>1895</v>
      </c>
      <c r="H2814" s="10" t="n">
        <v>2479</v>
      </c>
      <c r="I2814" s="10" t="n">
        <v>0</v>
      </c>
      <c r="J2814" s="10" t="n">
        <v>0</v>
      </c>
      <c r="K2814" s="10" t="s">
        <v>20</v>
      </c>
      <c r="L2814" s="11" t="n">
        <v>42263.5455324074</v>
      </c>
      <c r="M2814" s="12" t="s">
        <v>227</v>
      </c>
      <c r="N2814" s="12" t="s">
        <v>228</v>
      </c>
      <c r="O2814" s="9" t="str">
        <f aca="false">HYPERLINK("https://pbs.twimg.com/profile_images/760662770694098944/h1nSBfE8_normal.jpg","View")</f>
        <v>View</v>
      </c>
      <c r="P2814" s="10"/>
    </row>
    <row r="2815" customFormat="false" ht="15.75" hidden="false" customHeight="false" outlineLevel="0" collapsed="false">
      <c r="A2815" s="6" t="n">
        <v>43030.3131944445</v>
      </c>
      <c r="B2815" s="7" t="str">
        <f aca="false">HYPERLINK("https://twitter.com/nareshvenusint","@nareshvenusint")</f>
        <v>@nareshvenusint</v>
      </c>
      <c r="C2815" s="8" t="s">
        <v>7014</v>
      </c>
      <c r="D2815" s="8" t="s">
        <v>6945</v>
      </c>
      <c r="E2815" s="9" t="str">
        <f aca="false">HYPERLINK("https://twitter.com/nareshvenusint/status/922108029234905089","922108029234905089")</f>
        <v>922108029234905089</v>
      </c>
      <c r="F2815" s="10" t="s">
        <v>25</v>
      </c>
      <c r="G2815" s="10" t="n">
        <v>204</v>
      </c>
      <c r="H2815" s="10" t="n">
        <v>2082</v>
      </c>
      <c r="I2815" s="10" t="n">
        <v>22</v>
      </c>
      <c r="J2815" s="10" t="n">
        <v>0</v>
      </c>
      <c r="K2815" s="10" t="s">
        <v>20</v>
      </c>
      <c r="L2815" s="11" t="n">
        <v>40943.8903356481</v>
      </c>
      <c r="M2815" s="12"/>
      <c r="N2815" s="12"/>
      <c r="O2815" s="9" t="str">
        <f aca="false">HYPERLINK("https://abs.twimg.com/sticky/default_profile_images/default_profile_normal.png","View")</f>
        <v>View</v>
      </c>
      <c r="P2815" s="10"/>
    </row>
    <row r="2816" customFormat="false" ht="15.75" hidden="false" customHeight="false" outlineLevel="0" collapsed="false">
      <c r="A2816" s="6" t="n">
        <v>43030.3132291667</v>
      </c>
      <c r="B2816" s="7" t="str">
        <f aca="false">HYPERLINK("https://twitter.com/ShaluDhyani","@ShaluDhyani")</f>
        <v>@ShaluDhyani</v>
      </c>
      <c r="C2816" s="8" t="s">
        <v>7015</v>
      </c>
      <c r="D2816" s="8" t="s">
        <v>6707</v>
      </c>
      <c r="E2816" s="9" t="str">
        <f aca="false">HYPERLINK("https://twitter.com/ShaluDhyani/status/922108042614673409","922108042614673409")</f>
        <v>922108042614673409</v>
      </c>
      <c r="F2816" s="10" t="s">
        <v>25</v>
      </c>
      <c r="G2816" s="10" t="n">
        <v>1147</v>
      </c>
      <c r="H2816" s="10" t="n">
        <v>246</v>
      </c>
      <c r="I2816" s="10" t="n">
        <v>97</v>
      </c>
      <c r="J2816" s="10" t="n">
        <v>0</v>
      </c>
      <c r="K2816" s="10" t="s">
        <v>20</v>
      </c>
      <c r="L2816" s="11" t="n">
        <v>41726.4175462963</v>
      </c>
      <c r="M2816" s="12"/>
      <c r="N2816" s="12" t="s">
        <v>7016</v>
      </c>
      <c r="O2816" s="9" t="str">
        <f aca="false">HYPERLINK("https://pbs.twimg.com/profile_images/913889976021950464/1SK7dCej_normal.jpg","View")</f>
        <v>View</v>
      </c>
      <c r="P2816" s="10"/>
    </row>
    <row r="2817" customFormat="false" ht="15.75" hidden="false" customHeight="false" outlineLevel="0" collapsed="false">
      <c r="A2817" s="6" t="n">
        <v>43030.3135069444</v>
      </c>
      <c r="B2817" s="7" t="str">
        <f aca="false">HYPERLINK("https://twitter.com/BSAFunds","@BSAFunds")</f>
        <v>@BSAFunds</v>
      </c>
      <c r="C2817" s="8" t="s">
        <v>924</v>
      </c>
      <c r="D2817" s="8" t="s">
        <v>7017</v>
      </c>
      <c r="E2817" s="9" t="str">
        <f aca="false">HYPERLINK("https://twitter.com/BSAFunds/status/922108141231394816","922108141231394816")</f>
        <v>922108141231394816</v>
      </c>
      <c r="F2817" s="10" t="s">
        <v>60</v>
      </c>
      <c r="G2817" s="10" t="n">
        <v>20871</v>
      </c>
      <c r="H2817" s="10" t="n">
        <v>8926</v>
      </c>
      <c r="I2817" s="10" t="n">
        <v>0</v>
      </c>
      <c r="J2817" s="10" t="n">
        <v>0</v>
      </c>
      <c r="K2817" s="10" t="s">
        <v>20</v>
      </c>
      <c r="L2817" s="11" t="n">
        <v>42601.9481828704</v>
      </c>
      <c r="M2817" s="12" t="s">
        <v>312</v>
      </c>
      <c r="N2817" s="12" t="s">
        <v>926</v>
      </c>
      <c r="O2817" s="9" t="str">
        <f aca="false">HYPERLINK("https://pbs.twimg.com/profile_images/912769166960033792/N4LAmrTs_normal.jpg","View")</f>
        <v>View</v>
      </c>
      <c r="P2817" s="10"/>
    </row>
    <row r="2818" customFormat="false" ht="15.75" hidden="false" customHeight="false" outlineLevel="0" collapsed="false">
      <c r="A2818" s="6" t="n">
        <v>43030.3135416667</v>
      </c>
      <c r="B2818" s="7" t="str">
        <f aca="false">HYPERLINK("https://twitter.com/mlnangalama","@mlnangalama")</f>
        <v>@mlnangalama</v>
      </c>
      <c r="C2818" s="8" t="s">
        <v>255</v>
      </c>
      <c r="D2818" s="8" t="s">
        <v>7018</v>
      </c>
      <c r="E2818" s="9" t="str">
        <f aca="false">HYPERLINK("https://twitter.com/mlnangalama/status/922108154200150016","922108154200150016")</f>
        <v>922108154200150016</v>
      </c>
      <c r="F2818" s="10" t="s">
        <v>60</v>
      </c>
      <c r="G2818" s="10" t="n">
        <v>2370</v>
      </c>
      <c r="H2818" s="10" t="n">
        <v>1584</v>
      </c>
      <c r="I2818" s="10" t="n">
        <v>0</v>
      </c>
      <c r="J2818" s="10" t="n">
        <v>0</v>
      </c>
      <c r="K2818" s="10" t="s">
        <v>20</v>
      </c>
      <c r="L2818" s="11" t="n">
        <v>41041.5437847222</v>
      </c>
      <c r="M2818" s="12" t="s">
        <v>257</v>
      </c>
      <c r="N2818" s="12" t="s">
        <v>258</v>
      </c>
      <c r="O2818" s="9" t="str">
        <f aca="false">HYPERLINK("https://pbs.twimg.com/profile_images/900915882444173313/biUHzvpx_normal.jpg","View")</f>
        <v>View</v>
      </c>
      <c r="P2818" s="10"/>
    </row>
    <row r="2819" customFormat="false" ht="15.75" hidden="false" customHeight="false" outlineLevel="0" collapsed="false">
      <c r="A2819" s="6" t="n">
        <v>43030.3135648148</v>
      </c>
      <c r="B2819" s="7" t="str">
        <f aca="false">HYPERLINK("https://twitter.com/vivigc2","@vivigc2")</f>
        <v>@vivigc2</v>
      </c>
      <c r="C2819" s="8" t="s">
        <v>7019</v>
      </c>
      <c r="D2819" s="8" t="s">
        <v>7020</v>
      </c>
      <c r="E2819" s="9" t="str">
        <f aca="false">HYPERLINK("https://twitter.com/vivigc2/status/922108160399126529","922108160399126529")</f>
        <v>922108160399126529</v>
      </c>
      <c r="F2819" s="10" t="s">
        <v>177</v>
      </c>
      <c r="G2819" s="10" t="n">
        <v>540</v>
      </c>
      <c r="H2819" s="10" t="n">
        <v>1766</v>
      </c>
      <c r="I2819" s="10" t="n">
        <v>1</v>
      </c>
      <c r="J2819" s="10" t="n">
        <v>0</v>
      </c>
      <c r="K2819" s="10" t="s">
        <v>20</v>
      </c>
      <c r="L2819" s="11" t="n">
        <v>40549.3320486111</v>
      </c>
      <c r="M2819" s="12"/>
      <c r="N2819" s="12" t="s">
        <v>7021</v>
      </c>
      <c r="O2819" s="9" t="str">
        <f aca="false">HYPERLINK("https://pbs.twimg.com/profile_images/1229910601/ticket_canal_normal.jpg","View")</f>
        <v>View</v>
      </c>
      <c r="P2819" s="10"/>
    </row>
    <row r="2820" customFormat="false" ht="15.75" hidden="false" customHeight="false" outlineLevel="0" collapsed="false">
      <c r="A2820" s="6" t="n">
        <v>43030.31375</v>
      </c>
      <c r="B2820" s="7" t="str">
        <f aca="false">HYPERLINK("https://twitter.com/TheBFRoom","@TheBFRoom")</f>
        <v>@TheBFRoom</v>
      </c>
      <c r="C2820" s="8" t="s">
        <v>674</v>
      </c>
      <c r="D2820" s="8" t="s">
        <v>7022</v>
      </c>
      <c r="E2820" s="9" t="str">
        <f aca="false">HYPERLINK("https://twitter.com/TheBFRoom/status/922108228816850944","922108228816850944")</f>
        <v>922108228816850944</v>
      </c>
      <c r="F2820" s="10" t="s">
        <v>60</v>
      </c>
      <c r="G2820" s="10" t="n">
        <v>3259</v>
      </c>
      <c r="H2820" s="10" t="n">
        <v>3958</v>
      </c>
      <c r="I2820" s="10" t="n">
        <v>0</v>
      </c>
      <c r="J2820" s="10" t="n">
        <v>0</v>
      </c>
      <c r="K2820" s="10" t="s">
        <v>20</v>
      </c>
      <c r="L2820" s="11" t="n">
        <v>42761.325162037</v>
      </c>
      <c r="M2820" s="12" t="s">
        <v>230</v>
      </c>
      <c r="N2820" s="12" t="s">
        <v>676</v>
      </c>
      <c r="O2820" s="9" t="str">
        <f aca="false">HYPERLINK("https://pbs.twimg.com/profile_images/898379268778020864/0u1zlj_B_normal.jpg","View")</f>
        <v>View</v>
      </c>
      <c r="P2820" s="10"/>
    </row>
    <row r="2821" customFormat="false" ht="15.75" hidden="false" customHeight="false" outlineLevel="0" collapsed="false">
      <c r="A2821" s="6" t="n">
        <v>43030.3139699074</v>
      </c>
      <c r="B2821" s="7" t="str">
        <f aca="false">HYPERLINK("https://twitter.com/mahanthanut","@mahanthanut")</f>
        <v>@mahanthanut</v>
      </c>
      <c r="C2821" s="8" t="s">
        <v>4083</v>
      </c>
      <c r="D2821" s="8" t="s">
        <v>6945</v>
      </c>
      <c r="E2821" s="9" t="str">
        <f aca="false">HYPERLINK("https://twitter.com/mahanthanut/status/922108309238198272","922108309238198272")</f>
        <v>922108309238198272</v>
      </c>
      <c r="F2821" s="10" t="s">
        <v>51</v>
      </c>
      <c r="G2821" s="10" t="n">
        <v>755</v>
      </c>
      <c r="H2821" s="10" t="n">
        <v>1972</v>
      </c>
      <c r="I2821" s="10" t="n">
        <v>22</v>
      </c>
      <c r="J2821" s="10" t="n">
        <v>0</v>
      </c>
      <c r="K2821" s="10" t="s">
        <v>20</v>
      </c>
      <c r="L2821" s="11" t="n">
        <v>42066.3065046296</v>
      </c>
      <c r="M2821" s="12"/>
      <c r="N2821" s="12"/>
      <c r="O2821" s="9" t="str">
        <f aca="false">HYPERLINK("https://pbs.twimg.com/profile_images/602460467231985666/I5K3SbBA_normal.jpg","View")</f>
        <v>View</v>
      </c>
      <c r="P2821" s="10"/>
    </row>
    <row r="2822" customFormat="false" ht="15.75" hidden="false" customHeight="false" outlineLevel="0" collapsed="false">
      <c r="A2822" s="6" t="n">
        <v>43030.3140277778</v>
      </c>
      <c r="B2822" s="7" t="str">
        <f aca="false">HYPERLINK("https://twitter.com/Rick4312","@Rick4312")</f>
        <v>@Rick4312</v>
      </c>
      <c r="C2822" s="8" t="s">
        <v>279</v>
      </c>
      <c r="D2822" s="8" t="s">
        <v>6945</v>
      </c>
      <c r="E2822" s="9" t="str">
        <f aca="false">HYPERLINK("https://twitter.com/Rick4312/status/922108328439943169","922108328439943169")</f>
        <v>922108328439943169</v>
      </c>
      <c r="F2822" s="10" t="s">
        <v>25</v>
      </c>
      <c r="G2822" s="10" t="n">
        <v>353</v>
      </c>
      <c r="H2822" s="10" t="n">
        <v>342</v>
      </c>
      <c r="I2822" s="10" t="n">
        <v>22</v>
      </c>
      <c r="J2822" s="10" t="n">
        <v>0</v>
      </c>
      <c r="K2822" s="10" t="s">
        <v>20</v>
      </c>
      <c r="L2822" s="11" t="n">
        <v>39926.1991898148</v>
      </c>
      <c r="M2822" s="12"/>
      <c r="N2822" s="12" t="s">
        <v>280</v>
      </c>
      <c r="O2822" s="9" t="str">
        <f aca="false">HYPERLINK("https://pbs.twimg.com/profile_images/378800000606169554/baf9e73de18cf5538945e01f8656543c_normal.png","View")</f>
        <v>View</v>
      </c>
      <c r="P2822" s="10"/>
    </row>
    <row r="2823" customFormat="false" ht="15.75" hidden="false" customHeight="false" outlineLevel="0" collapsed="false">
      <c r="A2823" s="6" t="n">
        <v>43030.3140856482</v>
      </c>
      <c r="B2823" s="7" t="str">
        <f aca="false">HYPERLINK("https://twitter.com/CNBCTradersFan","@CNBCTradersFan")</f>
        <v>@CNBCTradersFan</v>
      </c>
      <c r="C2823" s="8" t="s">
        <v>325</v>
      </c>
      <c r="D2823" s="8" t="s">
        <v>7023</v>
      </c>
      <c r="E2823" s="9" t="str">
        <f aca="false">HYPERLINK("https://twitter.com/CNBCTradersFan/status/922108352938856448","922108352938856448")</f>
        <v>922108352938856448</v>
      </c>
      <c r="F2823" s="10" t="s">
        <v>60</v>
      </c>
      <c r="G2823" s="10" t="n">
        <v>17155</v>
      </c>
      <c r="H2823" s="10" t="n">
        <v>11641</v>
      </c>
      <c r="I2823" s="10" t="n">
        <v>0</v>
      </c>
      <c r="J2823" s="10" t="n">
        <v>0</v>
      </c>
      <c r="K2823" s="10" t="s">
        <v>20</v>
      </c>
      <c r="L2823" s="11" t="n">
        <v>40922.5054282407</v>
      </c>
      <c r="M2823" s="12" t="s">
        <v>327</v>
      </c>
      <c r="N2823" s="12" t="s">
        <v>328</v>
      </c>
      <c r="O2823" s="9" t="str">
        <f aca="false">HYPERLINK("https://pbs.twimg.com/profile_images/731870469318684672/Ckf7rDdJ_normal.jpg","View")</f>
        <v>View</v>
      </c>
      <c r="P2823" s="10"/>
    </row>
    <row r="2824" customFormat="false" ht="15.75" hidden="false" customHeight="false" outlineLevel="0" collapsed="false">
      <c r="A2824" s="6" t="n">
        <v>43030.3140972222</v>
      </c>
      <c r="B2824" s="7" t="str">
        <f aca="false">HYPERLINK("https://twitter.com/BigMoneyTraders","@BigMoneyTraders")</f>
        <v>@BigMoneyTraders</v>
      </c>
      <c r="C2824" s="8" t="s">
        <v>7024</v>
      </c>
      <c r="D2824" s="8" t="s">
        <v>7025</v>
      </c>
      <c r="E2824" s="9" t="str">
        <f aca="false">HYPERLINK("https://twitter.com/BigMoneyTraders/status/922108355606405121","922108355606405121")</f>
        <v>922108355606405121</v>
      </c>
      <c r="F2824" s="10" t="s">
        <v>60</v>
      </c>
      <c r="G2824" s="10" t="n">
        <v>5449</v>
      </c>
      <c r="H2824" s="10" t="n">
        <v>5747</v>
      </c>
      <c r="I2824" s="10" t="n">
        <v>0</v>
      </c>
      <c r="J2824" s="10" t="n">
        <v>0</v>
      </c>
      <c r="K2824" s="10" t="s">
        <v>20</v>
      </c>
      <c r="L2824" s="11" t="n">
        <v>41845.6802199074</v>
      </c>
      <c r="M2824" s="12" t="s">
        <v>7026</v>
      </c>
      <c r="N2824" s="12" t="s">
        <v>7027</v>
      </c>
      <c r="O2824" s="9" t="str">
        <f aca="false">HYPERLINK("https://pbs.twimg.com/profile_images/743984165763321856/nbpig-6O_normal.jpg","View")</f>
        <v>View</v>
      </c>
      <c r="P2824" s="10"/>
    </row>
    <row r="2825" customFormat="false" ht="15.75" hidden="false" customHeight="false" outlineLevel="0" collapsed="false">
      <c r="A2825" s="6" t="n">
        <v>43030.3141319444</v>
      </c>
      <c r="B2825" s="7" t="str">
        <f aca="false">HYPERLINK("https://twitter.com/earlekimel","@earlekimel")</f>
        <v>@earlekimel</v>
      </c>
      <c r="C2825" s="8" t="s">
        <v>7028</v>
      </c>
      <c r="D2825" s="8" t="s">
        <v>7029</v>
      </c>
      <c r="E2825" s="9" t="str">
        <f aca="false">HYPERLINK("https://twitter.com/earlekimel/status/922108368881438720","922108368881438720")</f>
        <v>922108368881438720</v>
      </c>
      <c r="F2825" s="10" t="s">
        <v>177</v>
      </c>
      <c r="G2825" s="10" t="n">
        <v>2098</v>
      </c>
      <c r="H2825" s="10" t="n">
        <v>2739</v>
      </c>
      <c r="I2825" s="10" t="n">
        <v>0</v>
      </c>
      <c r="J2825" s="10" t="n">
        <v>0</v>
      </c>
      <c r="K2825" s="10" t="s">
        <v>20</v>
      </c>
      <c r="L2825" s="11" t="n">
        <v>41354.4372569444</v>
      </c>
      <c r="M2825" s="12" t="s">
        <v>7030</v>
      </c>
      <c r="N2825" s="12" t="s">
        <v>7031</v>
      </c>
      <c r="O2825" s="9" t="str">
        <f aca="false">HYPERLINK("https://pbs.twimg.com/profile_images/3410211491/4190d0438c9858dfc3826be4ed365e4b_normal.jpeg","View")</f>
        <v>View</v>
      </c>
      <c r="P2825" s="10"/>
    </row>
    <row r="2826" customFormat="false" ht="15.75" hidden="false" customHeight="false" outlineLevel="0" collapsed="false">
      <c r="A2826" s="6" t="n">
        <v>43030.3141435185</v>
      </c>
      <c r="B2826" s="7" t="str">
        <f aca="false">HYPERLINK("https://twitter.com/CNBCTradersFan","@CNBCTradersFan")</f>
        <v>@CNBCTradersFan</v>
      </c>
      <c r="C2826" s="8" t="s">
        <v>325</v>
      </c>
      <c r="D2826" s="8" t="s">
        <v>7032</v>
      </c>
      <c r="E2826" s="9" t="str">
        <f aca="false">HYPERLINK("https://twitter.com/CNBCTradersFan/status/922108370387197953","922108370387197953")</f>
        <v>922108370387197953</v>
      </c>
      <c r="F2826" s="10" t="s">
        <v>60</v>
      </c>
      <c r="G2826" s="10" t="n">
        <v>17155</v>
      </c>
      <c r="H2826" s="10" t="n">
        <v>11641</v>
      </c>
      <c r="I2826" s="10" t="n">
        <v>0</v>
      </c>
      <c r="J2826" s="10" t="n">
        <v>0</v>
      </c>
      <c r="K2826" s="10" t="s">
        <v>20</v>
      </c>
      <c r="L2826" s="11" t="n">
        <v>40922.5054282407</v>
      </c>
      <c r="M2826" s="12" t="s">
        <v>327</v>
      </c>
      <c r="N2826" s="12" t="s">
        <v>328</v>
      </c>
      <c r="O2826" s="9" t="str">
        <f aca="false">HYPERLINK("https://pbs.twimg.com/profile_images/731870469318684672/Ckf7rDdJ_normal.jpg","View")</f>
        <v>View</v>
      </c>
      <c r="P2826" s="10"/>
    </row>
    <row r="2827" customFormat="false" ht="15.75" hidden="false" customHeight="false" outlineLevel="0" collapsed="false">
      <c r="A2827" s="6" t="n">
        <v>43030.3143171296</v>
      </c>
      <c r="B2827" s="7" t="str">
        <f aca="false">HYPERLINK("https://twitter.com/AlexandruSCT","@AlexandruSCT")</f>
        <v>@AlexandruSCT</v>
      </c>
      <c r="C2827" s="8" t="s">
        <v>7033</v>
      </c>
      <c r="D2827" s="8" t="s">
        <v>6968</v>
      </c>
      <c r="E2827" s="9" t="str">
        <f aca="false">HYPERLINK("https://twitter.com/AlexandruSCT/status/922108435705065473","922108435705065473")</f>
        <v>922108435705065473</v>
      </c>
      <c r="F2827" s="10" t="s">
        <v>25</v>
      </c>
      <c r="G2827" s="10" t="n">
        <v>18</v>
      </c>
      <c r="H2827" s="10" t="n">
        <v>158</v>
      </c>
      <c r="I2827" s="10" t="n">
        <v>7</v>
      </c>
      <c r="J2827" s="10" t="n">
        <v>0</v>
      </c>
      <c r="K2827" s="10" t="s">
        <v>20</v>
      </c>
      <c r="L2827" s="11" t="n">
        <v>42915.5588888889</v>
      </c>
      <c r="M2827" s="12" t="s">
        <v>7034</v>
      </c>
      <c r="N2827" s="12"/>
      <c r="O2827" s="9" t="str">
        <f aca="false">HYPERLINK("https://abs.twimg.com/sticky/default_profile_images/default_profile_normal.png","View")</f>
        <v>View</v>
      </c>
      <c r="P2827" s="10"/>
    </row>
    <row r="2828" customFormat="false" ht="15.75" hidden="false" customHeight="false" outlineLevel="0" collapsed="false">
      <c r="A2828" s="6" t="n">
        <v>43030.3146180556</v>
      </c>
      <c r="B2828" s="7" t="str">
        <f aca="false">HYPERLINK("https://twitter.com/business","@business")</f>
        <v>@business</v>
      </c>
      <c r="C2828" s="8" t="s">
        <v>196</v>
      </c>
      <c r="D2828" s="8" t="s">
        <v>7035</v>
      </c>
      <c r="E2828" s="9" t="str">
        <f aca="false">HYPERLINK("https://twitter.com/business/status/922108543486095361","922108543486095361")</f>
        <v>922108543486095361</v>
      </c>
      <c r="F2828" s="10" t="s">
        <v>268</v>
      </c>
      <c r="G2828" s="10" t="n">
        <v>4344110</v>
      </c>
      <c r="H2828" s="10" t="n">
        <v>1088</v>
      </c>
      <c r="I2828" s="10" t="n">
        <v>53</v>
      </c>
      <c r="J2828" s="10" t="n">
        <v>69</v>
      </c>
      <c r="K2828" s="10" t="s">
        <v>20</v>
      </c>
      <c r="L2828" s="11" t="n">
        <v>39926.5453356481</v>
      </c>
      <c r="M2828" s="12" t="s">
        <v>199</v>
      </c>
      <c r="N2828" s="12" t="s">
        <v>200</v>
      </c>
      <c r="O2828" s="9" t="str">
        <f aca="false">HYPERLINK("https://pbs.twimg.com/profile_images/714946924105883648/4fgNVF4H_normal.jpg","View")</f>
        <v>View</v>
      </c>
      <c r="P2828" s="10"/>
    </row>
    <row r="2829" customFormat="false" ht="15.75" hidden="false" customHeight="false" outlineLevel="0" collapsed="false">
      <c r="A2829" s="6" t="n">
        <v>43030.3148842593</v>
      </c>
      <c r="B2829" s="7" t="str">
        <f aca="false">HYPERLINK("https://twitter.com/Polinitics","@Polinitics")</f>
        <v>@Polinitics</v>
      </c>
      <c r="C2829" s="8" t="s">
        <v>7036</v>
      </c>
      <c r="D2829" s="8" t="s">
        <v>7037</v>
      </c>
      <c r="E2829" s="9" t="str">
        <f aca="false">HYPERLINK("https://twitter.com/Polinitics/status/922108640814882816","922108640814882816")</f>
        <v>922108640814882816</v>
      </c>
      <c r="F2829" s="10" t="s">
        <v>1658</v>
      </c>
      <c r="G2829" s="10" t="n">
        <v>213</v>
      </c>
      <c r="H2829" s="10" t="n">
        <v>137</v>
      </c>
      <c r="I2829" s="10" t="n">
        <v>0</v>
      </c>
      <c r="J2829" s="10" t="n">
        <v>0</v>
      </c>
      <c r="K2829" s="10" t="s">
        <v>20</v>
      </c>
      <c r="L2829" s="11" t="n">
        <v>41243.4061111111</v>
      </c>
      <c r="M2829" s="12" t="s">
        <v>319</v>
      </c>
      <c r="N2829" s="12" t="s">
        <v>7038</v>
      </c>
      <c r="O2829" s="9" t="str">
        <f aca="false">HYPERLINK("https://pbs.twimg.com/profile_images/895950914963386368/MMmTl2kw_normal.jpg","View")</f>
        <v>View</v>
      </c>
      <c r="P2829" s="10"/>
    </row>
    <row r="2830" customFormat="false" ht="15.75" hidden="false" customHeight="false" outlineLevel="0" collapsed="false">
      <c r="A2830" s="6" t="n">
        <v>43030.3149768518</v>
      </c>
      <c r="B2830" s="7" t="str">
        <f aca="false">HYPERLINK("https://twitter.com/a_place_n_time","@a_place_n_time")</f>
        <v>@a_place_n_time</v>
      </c>
      <c r="C2830" s="8" t="s">
        <v>7039</v>
      </c>
      <c r="D2830" s="8" t="s">
        <v>7040</v>
      </c>
      <c r="E2830" s="9" t="str">
        <f aca="false">HYPERLINK("https://twitter.com/a_place_n_time/status/922108676017672192","922108676017672192")</f>
        <v>922108676017672192</v>
      </c>
      <c r="F2830" s="10" t="s">
        <v>39</v>
      </c>
      <c r="G2830" s="10" t="n">
        <v>756</v>
      </c>
      <c r="H2830" s="10" t="n">
        <v>1223</v>
      </c>
      <c r="I2830" s="10" t="n">
        <v>1</v>
      </c>
      <c r="J2830" s="10" t="n">
        <v>0</v>
      </c>
      <c r="K2830" s="10" t="s">
        <v>20</v>
      </c>
      <c r="L2830" s="11" t="n">
        <v>42473.8315277778</v>
      </c>
      <c r="M2830" s="12" t="s">
        <v>7041</v>
      </c>
      <c r="N2830" s="12" t="s">
        <v>7042</v>
      </c>
      <c r="O2830" s="9" t="str">
        <f aca="false">HYPERLINK("https://pbs.twimg.com/profile_images/722604492089270272/oRg4jSjd_normal.jpg","View")</f>
        <v>View</v>
      </c>
      <c r="P2830" s="10"/>
    </row>
    <row r="2831" customFormat="false" ht="15.75" hidden="false" customHeight="false" outlineLevel="0" collapsed="false">
      <c r="A2831" s="6" t="n">
        <v>43030.3150115741</v>
      </c>
      <c r="B2831" s="7" t="str">
        <f aca="false">HYPERLINK("https://twitter.com/ChweeneyTodd","@ChweeneyTodd")</f>
        <v>@ChweeneyTodd</v>
      </c>
      <c r="C2831" s="8" t="s">
        <v>7043</v>
      </c>
      <c r="D2831" s="8" t="s">
        <v>6790</v>
      </c>
      <c r="E2831" s="9" t="str">
        <f aca="false">HYPERLINK("https://twitter.com/ChweeneyTodd/status/922108687719829504","922108687719829504")</f>
        <v>922108687719829504</v>
      </c>
      <c r="F2831" s="10" t="s">
        <v>1017</v>
      </c>
      <c r="G2831" s="10" t="n">
        <v>306</v>
      </c>
      <c r="H2831" s="10" t="n">
        <v>55</v>
      </c>
      <c r="I2831" s="10" t="n">
        <v>6</v>
      </c>
      <c r="J2831" s="10" t="n">
        <v>0</v>
      </c>
      <c r="K2831" s="10" t="s">
        <v>20</v>
      </c>
      <c r="L2831" s="11" t="n">
        <v>41910.9682060185</v>
      </c>
      <c r="M2831" s="12" t="s">
        <v>72</v>
      </c>
      <c r="N2831" s="12" t="s">
        <v>7044</v>
      </c>
      <c r="O2831" s="9" t="str">
        <f aca="false">HYPERLINK("https://pbs.twimg.com/profile_images/857184496453550080/jD0-MW2T_normal.jpg","View")</f>
        <v>View</v>
      </c>
      <c r="P2831" s="10"/>
    </row>
    <row r="2832" customFormat="false" ht="15.75" hidden="false" customHeight="false" outlineLevel="0" collapsed="false">
      <c r="A2832" s="6" t="n">
        <v>43030.3150578704</v>
      </c>
      <c r="B2832" s="7" t="str">
        <f aca="false">HYPERLINK("https://twitter.com/anindita_guha","@anindita_guha")</f>
        <v>@anindita_guha</v>
      </c>
      <c r="C2832" s="8" t="s">
        <v>7045</v>
      </c>
      <c r="D2832" s="8" t="s">
        <v>7046</v>
      </c>
      <c r="E2832" s="9" t="str">
        <f aca="false">HYPERLINK("https://twitter.com/anindita_guha/status/922108704157077505","922108704157077505")</f>
        <v>922108704157077505</v>
      </c>
      <c r="F2832" s="10" t="s">
        <v>51</v>
      </c>
      <c r="G2832" s="10" t="n">
        <v>553</v>
      </c>
      <c r="H2832" s="10" t="n">
        <v>884</v>
      </c>
      <c r="I2832" s="10" t="n">
        <v>53</v>
      </c>
      <c r="J2832" s="10" t="n">
        <v>0</v>
      </c>
      <c r="K2832" s="10" t="s">
        <v>20</v>
      </c>
      <c r="L2832" s="11" t="n">
        <v>39579.3012731481</v>
      </c>
      <c r="M2832" s="12" t="s">
        <v>7047</v>
      </c>
      <c r="N2832" s="12" t="s">
        <v>7048</v>
      </c>
      <c r="O2832" s="9" t="str">
        <f aca="false">HYPERLINK("https://pbs.twimg.com/profile_images/923736712894824448/8jeDeAKT_normal.jpg","View")</f>
        <v>View</v>
      </c>
      <c r="P2832" s="10"/>
    </row>
    <row r="2833" customFormat="false" ht="15.75" hidden="false" customHeight="false" outlineLevel="0" collapsed="false">
      <c r="A2833" s="6" t="n">
        <v>43030.3150925926</v>
      </c>
      <c r="B2833" s="7" t="str">
        <f aca="false">HYPERLINK("https://twitter.com/tomnora","@tomnora")</f>
        <v>@tomnora</v>
      </c>
      <c r="C2833" s="8" t="s">
        <v>7049</v>
      </c>
      <c r="D2833" s="8" t="s">
        <v>7046</v>
      </c>
      <c r="E2833" s="9" t="str">
        <f aca="false">HYPERLINK("https://twitter.com/tomnora/status/922108715754557440","922108715754557440")</f>
        <v>922108715754557440</v>
      </c>
      <c r="F2833" s="10" t="s">
        <v>39</v>
      </c>
      <c r="G2833" s="10" t="n">
        <v>1561</v>
      </c>
      <c r="H2833" s="10" t="n">
        <v>184</v>
      </c>
      <c r="I2833" s="10" t="n">
        <v>53</v>
      </c>
      <c r="J2833" s="10" t="n">
        <v>0</v>
      </c>
      <c r="K2833" s="10" t="s">
        <v>20</v>
      </c>
      <c r="L2833" s="11" t="n">
        <v>39819.6220138889</v>
      </c>
      <c r="M2833" s="12" t="s">
        <v>7050</v>
      </c>
      <c r="N2833" s="12" t="s">
        <v>7051</v>
      </c>
      <c r="O2833" s="9" t="str">
        <f aca="false">HYPERLINK("https://pbs.twimg.com/profile_images/603272078410838016/YZ-zPd87_normal.jpg","View")</f>
        <v>View</v>
      </c>
      <c r="P2833" s="10"/>
    </row>
    <row r="2834" customFormat="false" ht="15.75" hidden="false" customHeight="false" outlineLevel="0" collapsed="false">
      <c r="A2834" s="6" t="n">
        <v>43030.3153009259</v>
      </c>
      <c r="B2834" s="7" t="str">
        <f aca="false">HYPERLINK("https://twitter.com/HimikoinYamatai","@HimikoinYamatai")</f>
        <v>@HimikoinYamatai</v>
      </c>
      <c r="C2834" s="8" t="s">
        <v>6952</v>
      </c>
      <c r="D2834" s="8" t="s">
        <v>3646</v>
      </c>
      <c r="E2834" s="9" t="str">
        <f aca="false">HYPERLINK("https://twitter.com/HimikoinYamatai/status/922108789985222657","922108789985222657")</f>
        <v>922108789985222657</v>
      </c>
      <c r="F2834" s="10" t="s">
        <v>39</v>
      </c>
      <c r="G2834" s="10" t="n">
        <v>27</v>
      </c>
      <c r="H2834" s="10" t="n">
        <v>197</v>
      </c>
      <c r="I2834" s="10" t="n">
        <v>71</v>
      </c>
      <c r="J2834" s="10" t="n">
        <v>0</v>
      </c>
      <c r="K2834" s="10" t="s">
        <v>20</v>
      </c>
      <c r="L2834" s="11" t="n">
        <v>42103.2234259259</v>
      </c>
      <c r="M2834" s="12"/>
      <c r="N2834" s="12"/>
      <c r="O2834" s="9" t="str">
        <f aca="false">HYPERLINK("https://abs.twimg.com/sticky/default_profile_images/default_profile_normal.png","View")</f>
        <v>View</v>
      </c>
      <c r="P2834" s="10"/>
    </row>
    <row r="2835" customFormat="false" ht="15.75" hidden="false" customHeight="false" outlineLevel="0" collapsed="false">
      <c r="A2835" s="6" t="n">
        <v>43030.3153009259</v>
      </c>
      <c r="B2835" s="7" t="str">
        <f aca="false">HYPERLINK("https://twitter.com/dropmires","@dropmires")</f>
        <v>@dropmires</v>
      </c>
      <c r="C2835" s="8" t="s">
        <v>7052</v>
      </c>
      <c r="D2835" s="8" t="s">
        <v>7046</v>
      </c>
      <c r="E2835" s="9" t="str">
        <f aca="false">HYPERLINK("https://twitter.com/dropmires/status/922108790408802304","922108790408802304")</f>
        <v>922108790408802304</v>
      </c>
      <c r="F2835" s="10" t="s">
        <v>51</v>
      </c>
      <c r="G2835" s="10" t="n">
        <v>3828</v>
      </c>
      <c r="H2835" s="10" t="n">
        <v>361</v>
      </c>
      <c r="I2835" s="10" t="n">
        <v>53</v>
      </c>
      <c r="J2835" s="10" t="n">
        <v>0</v>
      </c>
      <c r="K2835" s="10" t="s">
        <v>20</v>
      </c>
      <c r="L2835" s="11" t="n">
        <v>41663.0259027778</v>
      </c>
      <c r="M2835" s="12"/>
      <c r="N2835" s="12" t="s">
        <v>7053</v>
      </c>
      <c r="O2835" s="9" t="str">
        <f aca="false">HYPERLINK("https://pbs.twimg.com/profile_images/874338110561284096/o5Hz0VJN_normal.jpg","View")</f>
        <v>View</v>
      </c>
      <c r="P2835" s="10"/>
    </row>
    <row r="2836" customFormat="false" ht="15.75" hidden="false" customHeight="false" outlineLevel="0" collapsed="false">
      <c r="A2836" s="6" t="n">
        <v>43030.3153356482</v>
      </c>
      <c r="B2836" s="7" t="str">
        <f aca="false">HYPERLINK("https://twitter.com/NewsDingo","@NewsDingo")</f>
        <v>@NewsDingo</v>
      </c>
      <c r="C2836" s="8" t="s">
        <v>1930</v>
      </c>
      <c r="D2836" s="8" t="s">
        <v>7054</v>
      </c>
      <c r="E2836" s="9" t="str">
        <f aca="false">HYPERLINK("https://twitter.com/NewsDingo/status/922108802635386882","922108802635386882")</f>
        <v>922108802635386882</v>
      </c>
      <c r="F2836" s="10" t="s">
        <v>1932</v>
      </c>
      <c r="G2836" s="10" t="n">
        <v>141</v>
      </c>
      <c r="H2836" s="10" t="n">
        <v>55</v>
      </c>
      <c r="I2836" s="10" t="n">
        <v>0</v>
      </c>
      <c r="J2836" s="10" t="n">
        <v>0</v>
      </c>
      <c r="K2836" s="10" t="s">
        <v>20</v>
      </c>
      <c r="L2836" s="11" t="n">
        <v>40282.5263657407</v>
      </c>
      <c r="M2836" s="12" t="s">
        <v>1933</v>
      </c>
      <c r="N2836" s="12" t="s">
        <v>1934</v>
      </c>
      <c r="O2836" s="9" t="str">
        <f aca="false">HYPERLINK("https://pbs.twimg.com/profile_images/823485261/news_dingo_48_normal.gif","View")</f>
        <v>View</v>
      </c>
      <c r="P2836" s="10"/>
    </row>
    <row r="2837" customFormat="false" ht="15.75" hidden="false" customHeight="false" outlineLevel="0" collapsed="false">
      <c r="A2837" s="6" t="n">
        <v>43030.3153819444</v>
      </c>
      <c r="B2837" s="7" t="str">
        <f aca="false">HYPERLINK("https://twitter.com/bdnews24","@bdnews24")</f>
        <v>@bdnews24</v>
      </c>
      <c r="C2837" s="8" t="s">
        <v>216</v>
      </c>
      <c r="D2837" s="8" t="s">
        <v>7055</v>
      </c>
      <c r="E2837" s="9" t="str">
        <f aca="false">HYPERLINK("https://twitter.com/bdnews24/status/922108819831951360","922108819831951360")</f>
        <v>922108819831951360</v>
      </c>
      <c r="F2837" s="10" t="s">
        <v>60</v>
      </c>
      <c r="G2837" s="10" t="n">
        <v>215597</v>
      </c>
      <c r="H2837" s="10" t="n">
        <v>67887</v>
      </c>
      <c r="I2837" s="10" t="n">
        <v>0</v>
      </c>
      <c r="J2837" s="10" t="n">
        <v>1</v>
      </c>
      <c r="K2837" s="10" t="s">
        <v>20</v>
      </c>
      <c r="L2837" s="11" t="n">
        <v>39844.4680439815</v>
      </c>
      <c r="M2837" s="12" t="s">
        <v>218</v>
      </c>
      <c r="N2837" s="12" t="s">
        <v>219</v>
      </c>
      <c r="O2837" s="9" t="str">
        <f aca="false">HYPERLINK("https://pbs.twimg.com/profile_images/718433521509994497/4iW9RC_r_normal.jpg","View")</f>
        <v>View</v>
      </c>
      <c r="P2837" s="10"/>
    </row>
    <row r="2838" customFormat="false" ht="15.75" hidden="false" customHeight="false" outlineLevel="0" collapsed="false">
      <c r="A2838" s="6" t="n">
        <v>43030.315462963</v>
      </c>
      <c r="B2838" s="7" t="str">
        <f aca="false">HYPERLINK("https://twitter.com/s_wula","@s_wula")</f>
        <v>@s_wula</v>
      </c>
      <c r="C2838" s="8" t="s">
        <v>7056</v>
      </c>
      <c r="D2838" s="8" t="s">
        <v>7046</v>
      </c>
      <c r="E2838" s="9" t="str">
        <f aca="false">HYPERLINK("https://twitter.com/s_wula/status/922108850056155136","922108850056155136")</f>
        <v>922108850056155136</v>
      </c>
      <c r="F2838" s="10" t="s">
        <v>39</v>
      </c>
      <c r="G2838" s="10" t="n">
        <v>13</v>
      </c>
      <c r="H2838" s="10" t="n">
        <v>141</v>
      </c>
      <c r="I2838" s="10" t="n">
        <v>53</v>
      </c>
      <c r="J2838" s="10" t="n">
        <v>0</v>
      </c>
      <c r="K2838" s="10" t="s">
        <v>20</v>
      </c>
      <c r="L2838" s="11" t="n">
        <v>42796.3988773148</v>
      </c>
      <c r="M2838" s="12" t="s">
        <v>7057</v>
      </c>
      <c r="N2838" s="12" t="s">
        <v>7058</v>
      </c>
      <c r="O2838" s="9" t="str">
        <f aca="false">HYPERLINK("https://pbs.twimg.com/profile_images/837357559929520128/X36Z4M7Z_normal.jpg","View")</f>
        <v>View</v>
      </c>
      <c r="P2838" s="10"/>
    </row>
    <row r="2839" customFormat="false" ht="15.75" hidden="false" customHeight="false" outlineLevel="0" collapsed="false">
      <c r="A2839" s="6" t="n">
        <v>43030.315474537</v>
      </c>
      <c r="B2839" s="7" t="str">
        <f aca="false">HYPERLINK("https://twitter.com/swissifg","@swissifg")</f>
        <v>@swissifg</v>
      </c>
      <c r="C2839" s="8" t="s">
        <v>247</v>
      </c>
      <c r="D2839" s="8" t="s">
        <v>7059</v>
      </c>
      <c r="E2839" s="9" t="str">
        <f aca="false">HYPERLINK("https://twitter.com/swissifg/status/922108854925758464","922108854925758464")</f>
        <v>922108854925758464</v>
      </c>
      <c r="F2839" s="10" t="s">
        <v>60</v>
      </c>
      <c r="G2839" s="10" t="n">
        <v>1202</v>
      </c>
      <c r="H2839" s="10" t="n">
        <v>670</v>
      </c>
      <c r="I2839" s="10" t="n">
        <v>0</v>
      </c>
      <c r="J2839" s="10" t="n">
        <v>0</v>
      </c>
      <c r="K2839" s="10" t="s">
        <v>20</v>
      </c>
      <c r="L2839" s="11" t="n">
        <v>42499.2341087963</v>
      </c>
      <c r="M2839" s="12" t="s">
        <v>249</v>
      </c>
      <c r="N2839" s="12" t="s">
        <v>250</v>
      </c>
      <c r="O2839" s="9" t="str">
        <f aca="false">HYPERLINK("https://pbs.twimg.com/profile_images/729681805088063489/N4ls5vb8_normal.jpg","View")</f>
        <v>View</v>
      </c>
      <c r="P2839" s="10"/>
    </row>
    <row r="2840" customFormat="false" ht="15.75" hidden="false" customHeight="false" outlineLevel="0" collapsed="false">
      <c r="A2840" s="6" t="n">
        <v>43030.3155787037</v>
      </c>
      <c r="B2840" s="7" t="str">
        <f aca="false">HYPERLINK("https://twitter.com/hillarykbainny","@hillarykbainny")</f>
        <v>@hillarykbainny</v>
      </c>
      <c r="C2840" s="8" t="s">
        <v>7060</v>
      </c>
      <c r="D2840" s="8" t="s">
        <v>7046</v>
      </c>
      <c r="E2840" s="9" t="str">
        <f aca="false">HYPERLINK("https://twitter.com/hillarykbainny/status/922108890778566658","922108890778566658")</f>
        <v>922108890778566658</v>
      </c>
      <c r="F2840" s="10" t="s">
        <v>25</v>
      </c>
      <c r="G2840" s="10" t="n">
        <v>649</v>
      </c>
      <c r="H2840" s="10" t="n">
        <v>281</v>
      </c>
      <c r="I2840" s="10" t="n">
        <v>53</v>
      </c>
      <c r="J2840" s="10" t="n">
        <v>0</v>
      </c>
      <c r="K2840" s="10" t="s">
        <v>20</v>
      </c>
      <c r="L2840" s="11" t="n">
        <v>41407.6153240741</v>
      </c>
      <c r="M2840" s="12" t="s">
        <v>5971</v>
      </c>
      <c r="N2840" s="12" t="s">
        <v>7061</v>
      </c>
      <c r="O2840" s="9" t="str">
        <f aca="false">HYPERLINK("https://pbs.twimg.com/profile_images/823451068323524608/oaxvclN0_normal.jpg","View")</f>
        <v>View</v>
      </c>
      <c r="P2840" s="10"/>
    </row>
    <row r="2841" customFormat="false" ht="15.75" hidden="false" customHeight="false" outlineLevel="0" collapsed="false">
      <c r="A2841" s="6" t="n">
        <v>43030.3155902778</v>
      </c>
      <c r="B2841" s="7" t="str">
        <f aca="false">HYPERLINK("https://twitter.com/rchtcelestial","@rchtcelestial")</f>
        <v>@rchtcelestial</v>
      </c>
      <c r="C2841" s="14" t="s">
        <v>7062</v>
      </c>
      <c r="D2841" s="8" t="s">
        <v>7046</v>
      </c>
      <c r="E2841" s="9" t="str">
        <f aca="false">HYPERLINK("https://twitter.com/rchtcelestial/status/922108898143649792","922108898143649792")</f>
        <v>922108898143649792</v>
      </c>
      <c r="F2841" s="10" t="s">
        <v>51</v>
      </c>
      <c r="G2841" s="10" t="n">
        <v>133</v>
      </c>
      <c r="H2841" s="10" t="n">
        <v>841</v>
      </c>
      <c r="I2841" s="10" t="n">
        <v>53</v>
      </c>
      <c r="J2841" s="10" t="n">
        <v>0</v>
      </c>
      <c r="K2841" s="10" t="s">
        <v>20</v>
      </c>
      <c r="L2841" s="11" t="n">
        <v>40527.812974537</v>
      </c>
      <c r="M2841" s="13" t="s">
        <v>7063</v>
      </c>
      <c r="N2841" s="12"/>
      <c r="O2841" s="9" t="str">
        <f aca="false">HYPERLINK("https://pbs.twimg.com/profile_images/829316744791597057/gW_RnLuW_normal.jpg","View")</f>
        <v>View</v>
      </c>
      <c r="P2841" s="10"/>
    </row>
    <row r="2842" customFormat="false" ht="15.75" hidden="false" customHeight="false" outlineLevel="0" collapsed="false">
      <c r="A2842" s="6" t="n">
        <v>43030.3158796296</v>
      </c>
      <c r="B2842" s="7" t="str">
        <f aca="false">HYPERLINK("https://twitter.com/electricboyo","@electricboyo")</f>
        <v>@electricboyo</v>
      </c>
      <c r="C2842" s="8" t="s">
        <v>7064</v>
      </c>
      <c r="D2842" s="8" t="s">
        <v>7046</v>
      </c>
      <c r="E2842" s="9" t="str">
        <f aca="false">HYPERLINK("https://twitter.com/electricboyo/status/922108999146917888","922108999146917888")</f>
        <v>922108999146917888</v>
      </c>
      <c r="F2842" s="10" t="s">
        <v>25</v>
      </c>
      <c r="G2842" s="10" t="n">
        <v>1243</v>
      </c>
      <c r="H2842" s="10" t="n">
        <v>3222</v>
      </c>
      <c r="I2842" s="10" t="n">
        <v>53</v>
      </c>
      <c r="J2842" s="10" t="n">
        <v>0</v>
      </c>
      <c r="K2842" s="10" t="s">
        <v>20</v>
      </c>
      <c r="L2842" s="11" t="n">
        <v>40154.9035648148</v>
      </c>
      <c r="M2842" s="12" t="s">
        <v>502</v>
      </c>
      <c r="N2842" s="12" t="s">
        <v>7065</v>
      </c>
      <c r="O2842" s="9" t="str">
        <f aca="false">HYPERLINK("https://pbs.twimg.com/profile_images/820741929432453122/ql2_97Hn_normal.jpg","View")</f>
        <v>View</v>
      </c>
      <c r="P2842" s="10"/>
    </row>
    <row r="2843" customFormat="false" ht="15.75" hidden="false" customHeight="false" outlineLevel="0" collapsed="false">
      <c r="A2843" s="6" t="n">
        <v>43030.3159375</v>
      </c>
      <c r="B2843" s="7" t="str">
        <f aca="false">HYPERLINK("https://twitter.com/rajgorrajesh4u","@rajgorrajesh4u")</f>
        <v>@rajgorrajesh4u</v>
      </c>
      <c r="C2843" s="8" t="s">
        <v>7066</v>
      </c>
      <c r="D2843" s="8" t="s">
        <v>7046</v>
      </c>
      <c r="E2843" s="9" t="str">
        <f aca="false">HYPERLINK("https://twitter.com/rajgorrajesh4u/status/922109021120860160","922109021120860160")</f>
        <v>922109021120860160</v>
      </c>
      <c r="F2843" s="10" t="s">
        <v>25</v>
      </c>
      <c r="G2843" s="10" t="n">
        <v>349</v>
      </c>
      <c r="H2843" s="10" t="n">
        <v>410</v>
      </c>
      <c r="I2843" s="10" t="n">
        <v>53</v>
      </c>
      <c r="J2843" s="10" t="n">
        <v>0</v>
      </c>
      <c r="K2843" s="10" t="s">
        <v>20</v>
      </c>
      <c r="L2843" s="11" t="n">
        <v>41276.9713773148</v>
      </c>
      <c r="M2843" s="12" t="s">
        <v>253</v>
      </c>
      <c r="N2843" s="12" t="s">
        <v>7067</v>
      </c>
      <c r="O2843" s="9" t="str">
        <f aca="false">HYPERLINK("https://pbs.twimg.com/profile_images/837976111699066881/Sp_UjwaN_normal.jpg","View")</f>
        <v>View</v>
      </c>
      <c r="P2843" s="10"/>
    </row>
    <row r="2844" customFormat="false" ht="15.75" hidden="false" customHeight="false" outlineLevel="0" collapsed="false">
      <c r="A2844" s="6" t="n">
        <v>43030.3161226852</v>
      </c>
      <c r="B2844" s="7" t="str">
        <f aca="false">HYPERLINK("https://twitter.com/dianero87998084","@dianero87998084")</f>
        <v>@dianero87998084</v>
      </c>
      <c r="C2844" s="8" t="s">
        <v>7068</v>
      </c>
      <c r="D2844" s="8" t="s">
        <v>6945</v>
      </c>
      <c r="E2844" s="9" t="str">
        <f aca="false">HYPERLINK("https://twitter.com/dianero87998084/status/922109089777373184","922109089777373184")</f>
        <v>922109089777373184</v>
      </c>
      <c r="F2844" s="10" t="s">
        <v>51</v>
      </c>
      <c r="G2844" s="10" t="n">
        <v>287</v>
      </c>
      <c r="H2844" s="10" t="n">
        <v>222</v>
      </c>
      <c r="I2844" s="10" t="n">
        <v>22</v>
      </c>
      <c r="J2844" s="10" t="n">
        <v>0</v>
      </c>
      <c r="K2844" s="10" t="s">
        <v>20</v>
      </c>
      <c r="L2844" s="11" t="n">
        <v>42708.7519907407</v>
      </c>
      <c r="M2844" s="12" t="s">
        <v>312</v>
      </c>
      <c r="N2844" s="12" t="s">
        <v>7069</v>
      </c>
      <c r="O2844" s="9" t="str">
        <f aca="false">HYPERLINK("https://pbs.twimg.com/profile_images/805609327742611456/Sjhv3K5Q_normal.jpg","View")</f>
        <v>View</v>
      </c>
      <c r="P2844" s="10"/>
    </row>
    <row r="2845" customFormat="false" ht="15.75" hidden="false" customHeight="false" outlineLevel="0" collapsed="false">
      <c r="A2845" s="6" t="n">
        <v>43030.3162615741</v>
      </c>
      <c r="B2845" s="7" t="str">
        <f aca="false">HYPERLINK("https://twitter.com/phattuadmi","@phattuadmi")</f>
        <v>@phattuadmi</v>
      </c>
      <c r="C2845" s="8" t="s">
        <v>7070</v>
      </c>
      <c r="D2845" s="8" t="s">
        <v>7046</v>
      </c>
      <c r="E2845" s="9" t="str">
        <f aca="false">HYPERLINK("https://twitter.com/phattuadmi/status/922109140499075072","922109140499075072")</f>
        <v>922109140499075072</v>
      </c>
      <c r="F2845" s="10" t="s">
        <v>25</v>
      </c>
      <c r="G2845" s="10" t="n">
        <v>729</v>
      </c>
      <c r="H2845" s="10" t="n">
        <v>721</v>
      </c>
      <c r="I2845" s="10" t="n">
        <v>53</v>
      </c>
      <c r="J2845" s="10" t="n">
        <v>0</v>
      </c>
      <c r="K2845" s="10" t="s">
        <v>20</v>
      </c>
      <c r="L2845" s="11" t="n">
        <v>42899.8993865741</v>
      </c>
      <c r="M2845" s="12" t="s">
        <v>7071</v>
      </c>
      <c r="N2845" s="12" t="s">
        <v>7072</v>
      </c>
      <c r="O2845" s="9" t="str">
        <f aca="false">HYPERLINK("https://pbs.twimg.com/profile_images/923942277818605574/wy970cj0_normal.jpg","View")</f>
        <v>View</v>
      </c>
      <c r="P2845" s="10"/>
    </row>
    <row r="2846" customFormat="false" ht="15.75" hidden="false" customHeight="false" outlineLevel="0" collapsed="false">
      <c r="A2846" s="6" t="n">
        <v>43030.316412037</v>
      </c>
      <c r="B2846" s="7" t="str">
        <f aca="false">HYPERLINK("https://twitter.com/newsfromreddit","@newsfromreddit")</f>
        <v>@newsfromreddit</v>
      </c>
      <c r="C2846" s="8" t="s">
        <v>1391</v>
      </c>
      <c r="D2846" s="8" t="s">
        <v>7073</v>
      </c>
      <c r="E2846" s="9" t="str">
        <f aca="false">HYPERLINK("https://twitter.com/newsfromreddit/status/922109195104784384","922109195104784384")</f>
        <v>922109195104784384</v>
      </c>
      <c r="F2846" s="10" t="s">
        <v>60</v>
      </c>
      <c r="G2846" s="10" t="n">
        <v>867</v>
      </c>
      <c r="H2846" s="10" t="n">
        <v>22</v>
      </c>
      <c r="I2846" s="10" t="n">
        <v>0</v>
      </c>
      <c r="J2846" s="10" t="n">
        <v>0</v>
      </c>
      <c r="K2846" s="10" t="s">
        <v>20</v>
      </c>
      <c r="L2846" s="11" t="n">
        <v>42037.2049537037</v>
      </c>
      <c r="M2846" s="12"/>
      <c r="N2846" s="12" t="s">
        <v>1393</v>
      </c>
      <c r="O2846" s="9" t="str">
        <f aca="false">HYPERLINK("https://pbs.twimg.com/profile_images/562254099987447808/s35CGI6u_normal.png","View")</f>
        <v>View</v>
      </c>
      <c r="P2846" s="10"/>
    </row>
    <row r="2847" customFormat="false" ht="15.75" hidden="false" customHeight="false" outlineLevel="0" collapsed="false">
      <c r="A2847" s="6" t="n">
        <v>43030.316412037</v>
      </c>
      <c r="B2847" s="7" t="str">
        <f aca="false">HYPERLINK("https://twitter.com/majimessimo","@majimessimo")</f>
        <v>@majimessimo</v>
      </c>
      <c r="C2847" s="14" t="s">
        <v>7074</v>
      </c>
      <c r="D2847" s="8" t="s">
        <v>7046</v>
      </c>
      <c r="E2847" s="9" t="str">
        <f aca="false">HYPERLINK("https://twitter.com/majimessimo/status/922109195305885696","922109195305885696")</f>
        <v>922109195305885696</v>
      </c>
      <c r="F2847" s="10" t="s">
        <v>51</v>
      </c>
      <c r="G2847" s="10" t="n">
        <v>3712</v>
      </c>
      <c r="H2847" s="10" t="n">
        <v>630</v>
      </c>
      <c r="I2847" s="10" t="n">
        <v>53</v>
      </c>
      <c r="J2847" s="10" t="n">
        <v>0</v>
      </c>
      <c r="K2847" s="10" t="s">
        <v>20</v>
      </c>
      <c r="L2847" s="11" t="n">
        <v>40380.9810416667</v>
      </c>
      <c r="M2847" s="12" t="s">
        <v>827</v>
      </c>
      <c r="N2847" s="12" t="s">
        <v>7075</v>
      </c>
      <c r="O2847" s="9" t="str">
        <f aca="false">HYPERLINK("https://pbs.twimg.com/profile_images/921301941824581632/al3xlEA5_normal.jpg","View")</f>
        <v>View</v>
      </c>
      <c r="P2847" s="10"/>
    </row>
    <row r="2848" customFormat="false" ht="15.75" hidden="false" customHeight="false" outlineLevel="0" collapsed="false">
      <c r="A2848" s="6" t="n">
        <v>43030.3164467593</v>
      </c>
      <c r="B2848" s="7" t="str">
        <f aca="false">HYPERLINK("https://twitter.com/_ISOTM","@_ISOTM")</f>
        <v>@_ISOTM</v>
      </c>
      <c r="C2848" s="8" t="s">
        <v>7076</v>
      </c>
      <c r="D2848" s="8" t="s">
        <v>2018</v>
      </c>
      <c r="E2848" s="9" t="str">
        <f aca="false">HYPERLINK("https://twitter.com/_ISOTM/status/922109208190996481","922109208190996481")</f>
        <v>922109208190996481</v>
      </c>
      <c r="F2848" s="10" t="s">
        <v>39</v>
      </c>
      <c r="G2848" s="10" t="n">
        <v>402</v>
      </c>
      <c r="H2848" s="10" t="n">
        <v>1931</v>
      </c>
      <c r="I2848" s="10" t="n">
        <v>19</v>
      </c>
      <c r="J2848" s="10" t="n">
        <v>0</v>
      </c>
      <c r="K2848" s="10" t="s">
        <v>20</v>
      </c>
      <c r="L2848" s="11" t="n">
        <v>40958.5929282407</v>
      </c>
      <c r="M2848" s="12"/>
      <c r="N2848" s="12" t="s">
        <v>7077</v>
      </c>
      <c r="O2848" s="9" t="str">
        <f aca="false">HYPERLINK("https://pbs.twimg.com/profile_images/552532224675835904/g5pzpBgW_normal.jpeg","View")</f>
        <v>View</v>
      </c>
      <c r="P2848" s="10"/>
    </row>
    <row r="2849" customFormat="false" ht="15.75" hidden="false" customHeight="false" outlineLevel="0" collapsed="false">
      <c r="A2849" s="6" t="n">
        <v>43030.3165162037</v>
      </c>
      <c r="B2849" s="7" t="str">
        <f aca="false">HYPERLINK("https://twitter.com/brotherhebrew","@brotherhebrew")</f>
        <v>@brotherhebrew</v>
      </c>
      <c r="C2849" s="8" t="s">
        <v>6881</v>
      </c>
      <c r="D2849" s="8" t="s">
        <v>7046</v>
      </c>
      <c r="E2849" s="9" t="str">
        <f aca="false">HYPERLINK("https://twitter.com/brotherhebrew/status/922109230403981312","922109230403981312")</f>
        <v>922109230403981312</v>
      </c>
      <c r="F2849" s="10" t="s">
        <v>25</v>
      </c>
      <c r="G2849" s="10" t="n">
        <v>1574</v>
      </c>
      <c r="H2849" s="10" t="n">
        <v>4808</v>
      </c>
      <c r="I2849" s="10" t="n">
        <v>53</v>
      </c>
      <c r="J2849" s="10" t="n">
        <v>0</v>
      </c>
      <c r="K2849" s="10" t="s">
        <v>20</v>
      </c>
      <c r="L2849" s="11" t="n">
        <v>39793.5654166667</v>
      </c>
      <c r="M2849" s="12" t="s">
        <v>6882</v>
      </c>
      <c r="N2849" s="12" t="s">
        <v>6883</v>
      </c>
      <c r="O2849" s="9" t="str">
        <f aca="false">HYPERLINK("https://pbs.twimg.com/profile_images/67170138/my_pic_normal.jpeg","View")</f>
        <v>View</v>
      </c>
      <c r="P2849" s="10"/>
    </row>
    <row r="2850" customFormat="false" ht="15.75" hidden="false" customHeight="false" outlineLevel="0" collapsed="false">
      <c r="A2850" s="6" t="n">
        <v>43030.3166782407</v>
      </c>
      <c r="B2850" s="7" t="str">
        <f aca="false">HYPERLINK("https://twitter.com/thomassylver","@thomassylver")</f>
        <v>@thomassylver</v>
      </c>
      <c r="C2850" s="8" t="s">
        <v>7078</v>
      </c>
      <c r="D2850" s="8" t="s">
        <v>7046</v>
      </c>
      <c r="E2850" s="9" t="str">
        <f aca="false">HYPERLINK("https://twitter.com/thomassylver/status/922109289686274048","922109289686274048")</f>
        <v>922109289686274048</v>
      </c>
      <c r="F2850" s="10" t="s">
        <v>25</v>
      </c>
      <c r="G2850" s="10" t="n">
        <v>1409</v>
      </c>
      <c r="H2850" s="10" t="n">
        <v>1102</v>
      </c>
      <c r="I2850" s="10" t="n">
        <v>53</v>
      </c>
      <c r="J2850" s="10" t="n">
        <v>0</v>
      </c>
      <c r="K2850" s="10" t="s">
        <v>20</v>
      </c>
      <c r="L2850" s="11" t="n">
        <v>40913.3635532407</v>
      </c>
      <c r="M2850" s="12" t="s">
        <v>526</v>
      </c>
      <c r="N2850" s="12" t="s">
        <v>7079</v>
      </c>
      <c r="O2850" s="9" t="str">
        <f aca="false">HYPERLINK("https://pbs.twimg.com/profile_images/911830818343018496/Ls03RJIc_normal.jpg","View")</f>
        <v>View</v>
      </c>
      <c r="P2850" s="10"/>
    </row>
    <row r="2851" customFormat="false" ht="15.75" hidden="false" customHeight="false" outlineLevel="0" collapsed="false">
      <c r="A2851" s="6" t="n">
        <v>43030.3167592593</v>
      </c>
      <c r="B2851" s="7" t="str">
        <f aca="false">HYPERLINK("https://twitter.com/MyFreedomNews","@MyFreedomNews")</f>
        <v>@MyFreedomNews</v>
      </c>
      <c r="C2851" s="8" t="s">
        <v>7080</v>
      </c>
      <c r="D2851" s="8" t="s">
        <v>7081</v>
      </c>
      <c r="E2851" s="9" t="str">
        <f aca="false">HYPERLINK("https://twitter.com/MyFreedomNews/status/922109318933049344","922109318933049344")</f>
        <v>922109318933049344</v>
      </c>
      <c r="F2851" s="9" t="s">
        <v>1147</v>
      </c>
      <c r="G2851" s="10" t="n">
        <v>8068</v>
      </c>
      <c r="H2851" s="10" t="n">
        <v>4477</v>
      </c>
      <c r="I2851" s="10" t="n">
        <v>3</v>
      </c>
      <c r="J2851" s="10" t="n">
        <v>0</v>
      </c>
      <c r="K2851" s="10" t="s">
        <v>20</v>
      </c>
      <c r="L2851" s="11" t="n">
        <v>40216.2942013889</v>
      </c>
      <c r="M2851" s="12" t="s">
        <v>203</v>
      </c>
      <c r="N2851" s="12" t="s">
        <v>7082</v>
      </c>
      <c r="O2851" s="9" t="str">
        <f aca="false">HYPERLINK("https://pbs.twimg.com/profile_images/908698419606237186/DcX6WgLj_normal.jpg","View")</f>
        <v>View</v>
      </c>
      <c r="P2851" s="10"/>
    </row>
    <row r="2852" customFormat="false" ht="15.75" hidden="false" customHeight="false" outlineLevel="0" collapsed="false">
      <c r="A2852" s="6" t="n">
        <v>43030.3167708333</v>
      </c>
      <c r="B2852" s="7" t="str">
        <f aca="false">HYPERLINK("https://twitter.com/Eurownews","@Eurownews")</f>
        <v>@Eurownews</v>
      </c>
      <c r="C2852" s="8" t="s">
        <v>7083</v>
      </c>
      <c r="D2852" s="8" t="s">
        <v>7084</v>
      </c>
      <c r="E2852" s="9" t="str">
        <f aca="false">HYPERLINK("https://twitter.com/Eurownews/status/922109325191012354","922109325191012354")</f>
        <v>922109325191012354</v>
      </c>
      <c r="F2852" s="9" t="s">
        <v>1147</v>
      </c>
      <c r="G2852" s="10" t="n">
        <v>256</v>
      </c>
      <c r="H2852" s="10" t="n">
        <v>151</v>
      </c>
      <c r="I2852" s="10" t="n">
        <v>0</v>
      </c>
      <c r="J2852" s="10" t="n">
        <v>0</v>
      </c>
      <c r="K2852" s="10" t="s">
        <v>20</v>
      </c>
      <c r="L2852" s="11" t="n">
        <v>42264.0528819444</v>
      </c>
      <c r="M2852" s="12"/>
      <c r="N2852" s="12" t="s">
        <v>7085</v>
      </c>
      <c r="O2852" s="9" t="str">
        <f aca="false">HYPERLINK("https://pbs.twimg.com/profile_images/644495792787562496/q6H7oWCO_normal.jpg","View")</f>
        <v>View</v>
      </c>
      <c r="P2852" s="10"/>
    </row>
    <row r="2853" customFormat="false" ht="15.75" hidden="false" customHeight="false" outlineLevel="0" collapsed="false">
      <c r="A2853" s="6" t="n">
        <v>43030.3168287037</v>
      </c>
      <c r="B2853" s="7" t="str">
        <f aca="false">HYPERLINK("https://twitter.com/IAazar","@IAazar")</f>
        <v>@IAazar</v>
      </c>
      <c r="C2853" s="8" t="s">
        <v>822</v>
      </c>
      <c r="D2853" s="8" t="s">
        <v>7046</v>
      </c>
      <c r="E2853" s="9" t="str">
        <f aca="false">HYPERLINK("https://twitter.com/IAazar/status/922109343327248384","922109343327248384")</f>
        <v>922109343327248384</v>
      </c>
      <c r="F2853" s="10" t="s">
        <v>823</v>
      </c>
      <c r="G2853" s="10" t="n">
        <v>415</v>
      </c>
      <c r="H2853" s="10" t="n">
        <v>40</v>
      </c>
      <c r="I2853" s="10" t="n">
        <v>53</v>
      </c>
      <c r="J2853" s="10" t="n">
        <v>0</v>
      </c>
      <c r="K2853" s="10" t="s">
        <v>20</v>
      </c>
      <c r="L2853" s="11" t="n">
        <v>41131.8675</v>
      </c>
      <c r="M2853" s="12" t="s">
        <v>824</v>
      </c>
      <c r="N2853" s="12" t="s">
        <v>825</v>
      </c>
      <c r="O2853" s="9" t="str">
        <f aca="false">HYPERLINK("https://pbs.twimg.com/profile_images/909761934953549824/hEOveBa0_normal.jpg","View")</f>
        <v>View</v>
      </c>
      <c r="P2853" s="10"/>
    </row>
    <row r="2854" customFormat="false" ht="15.75" hidden="false" customHeight="false" outlineLevel="0" collapsed="false">
      <c r="A2854" s="6" t="n">
        <v>43030.3168402778</v>
      </c>
      <c r="B2854" s="7" t="str">
        <f aca="false">HYPERLINK("https://twitter.com/shailendra_nair","@shailendra_nair")</f>
        <v>@shailendra_nair</v>
      </c>
      <c r="C2854" s="8" t="s">
        <v>251</v>
      </c>
      <c r="D2854" s="8" t="s">
        <v>7086</v>
      </c>
      <c r="E2854" s="9" t="str">
        <f aca="false">HYPERLINK("https://twitter.com/shailendra_nair/status/922109350390521856","922109350390521856")</f>
        <v>922109350390521856</v>
      </c>
      <c r="F2854" s="10" t="s">
        <v>60</v>
      </c>
      <c r="G2854" s="10" t="n">
        <v>3986</v>
      </c>
      <c r="H2854" s="10" t="n">
        <v>1042</v>
      </c>
      <c r="I2854" s="10" t="n">
        <v>0</v>
      </c>
      <c r="J2854" s="10" t="n">
        <v>0</v>
      </c>
      <c r="K2854" s="10" t="s">
        <v>20</v>
      </c>
      <c r="L2854" s="11" t="n">
        <v>40362.4379861111</v>
      </c>
      <c r="M2854" s="12" t="s">
        <v>253</v>
      </c>
      <c r="N2854" s="12" t="s">
        <v>254</v>
      </c>
      <c r="O2854" s="9" t="str">
        <f aca="false">HYPERLINK("https://pbs.twimg.com/profile_images/884758468879466497/M_w6UjD3_normal.jpg","View")</f>
        <v>View</v>
      </c>
      <c r="P2854" s="10"/>
    </row>
    <row r="2855" customFormat="false" ht="15.75" hidden="false" customHeight="false" outlineLevel="0" collapsed="false">
      <c r="A2855" s="6" t="n">
        <v>43030.3168634259</v>
      </c>
      <c r="B2855" s="7" t="str">
        <f aca="false">HYPERLINK("https://twitter.com/hcmadhu11","@hcmadhu11")</f>
        <v>@hcmadhu11</v>
      </c>
      <c r="C2855" s="8" t="s">
        <v>7087</v>
      </c>
      <c r="D2855" s="8" t="s">
        <v>6707</v>
      </c>
      <c r="E2855" s="9" t="str">
        <f aca="false">HYPERLINK("https://twitter.com/hcmadhu11/status/922109356086145025","922109356086145025")</f>
        <v>922109356086145025</v>
      </c>
      <c r="F2855" s="10" t="s">
        <v>25</v>
      </c>
      <c r="G2855" s="10" t="n">
        <v>236</v>
      </c>
      <c r="H2855" s="10" t="n">
        <v>858</v>
      </c>
      <c r="I2855" s="10" t="n">
        <v>97</v>
      </c>
      <c r="J2855" s="10" t="n">
        <v>0</v>
      </c>
      <c r="K2855" s="10" t="s">
        <v>20</v>
      </c>
      <c r="L2855" s="11" t="n">
        <v>41117.9790162037</v>
      </c>
      <c r="M2855" s="12" t="s">
        <v>186</v>
      </c>
      <c r="N2855" s="12" t="s">
        <v>7088</v>
      </c>
      <c r="O2855" s="9" t="str">
        <f aca="false">HYPERLINK("https://pbs.twimg.com/profile_images/444238033496207361/arL_Z0YO_normal.jpeg","View")</f>
        <v>View</v>
      </c>
      <c r="P2855" s="10"/>
    </row>
    <row r="2856" customFormat="false" ht="15.75" hidden="false" customHeight="false" outlineLevel="0" collapsed="false">
      <c r="A2856" s="6" t="n">
        <v>43030.316875</v>
      </c>
      <c r="B2856" s="7" t="str">
        <f aca="false">HYPERLINK("https://twitter.com/serge_poznanski","@serge_poznanski")</f>
        <v>@serge_poznanski</v>
      </c>
      <c r="C2856" s="8" t="s">
        <v>212</v>
      </c>
      <c r="D2856" s="8" t="s">
        <v>7089</v>
      </c>
      <c r="E2856" s="9" t="str">
        <f aca="false">HYPERLINK("https://twitter.com/serge_poznanski/status/922109362079961088","922109362079961088")</f>
        <v>922109362079961088</v>
      </c>
      <c r="F2856" s="10" t="s">
        <v>60</v>
      </c>
      <c r="G2856" s="10" t="n">
        <v>1424</v>
      </c>
      <c r="H2856" s="10" t="n">
        <v>2136</v>
      </c>
      <c r="I2856" s="10" t="n">
        <v>0</v>
      </c>
      <c r="J2856" s="10" t="n">
        <v>0</v>
      </c>
      <c r="K2856" s="10" t="s">
        <v>20</v>
      </c>
      <c r="L2856" s="11" t="n">
        <v>42271.4744560185</v>
      </c>
      <c r="M2856" s="12"/>
      <c r="N2856" s="12"/>
      <c r="O2856" s="9" t="str">
        <f aca="false">HYPERLINK("https://pbs.twimg.com/profile_images/647277253240291328/3GezjFCJ_normal.jpg","View")</f>
        <v>View</v>
      </c>
      <c r="P2856" s="10"/>
    </row>
    <row r="2857" customFormat="false" ht="15.75" hidden="false" customHeight="false" outlineLevel="0" collapsed="false">
      <c r="A2857" s="6" t="n">
        <v>43030.3169907407</v>
      </c>
      <c r="B2857" s="7" t="str">
        <f aca="false">HYPERLINK("https://twitter.com/amaradiya","@amaradiya")</f>
        <v>@amaradiya</v>
      </c>
      <c r="C2857" s="8" t="s">
        <v>7090</v>
      </c>
      <c r="D2857" s="8" t="s">
        <v>6971</v>
      </c>
      <c r="E2857" s="9" t="str">
        <f aca="false">HYPERLINK("https://twitter.com/amaradiya/status/922109403104346115","922109403104346115")</f>
        <v>922109403104346115</v>
      </c>
      <c r="F2857" s="10" t="s">
        <v>51</v>
      </c>
      <c r="G2857" s="10" t="n">
        <v>254</v>
      </c>
      <c r="H2857" s="10" t="n">
        <v>1039</v>
      </c>
      <c r="I2857" s="10" t="n">
        <v>2</v>
      </c>
      <c r="J2857" s="10" t="n">
        <v>0</v>
      </c>
      <c r="K2857" s="10" t="s">
        <v>20</v>
      </c>
      <c r="L2857" s="11" t="n">
        <v>39934.6117476852</v>
      </c>
      <c r="M2857" s="12" t="s">
        <v>2296</v>
      </c>
      <c r="N2857" s="12" t="s">
        <v>7091</v>
      </c>
      <c r="O2857" s="9" t="str">
        <f aca="false">HYPERLINK("https://pbs.twimg.com/profile_images/802885818759061504/LiiW7aGI_normal.jpg","View")</f>
        <v>View</v>
      </c>
      <c r="P2857" s="10"/>
    </row>
    <row r="2858" customFormat="false" ht="15.75" hidden="false" customHeight="false" outlineLevel="0" collapsed="false">
      <c r="A2858" s="6" t="n">
        <v>43030.3169907407</v>
      </c>
      <c r="B2858" s="7" t="str">
        <f aca="false">HYPERLINK("https://twitter.com/mlnangalama","@mlnangalama")</f>
        <v>@mlnangalama</v>
      </c>
      <c r="C2858" s="8" t="s">
        <v>255</v>
      </c>
      <c r="D2858" s="8" t="s">
        <v>7092</v>
      </c>
      <c r="E2858" s="9" t="str">
        <f aca="false">HYPERLINK("https://twitter.com/mlnangalama/status/922109403473629185","922109403473629185")</f>
        <v>922109403473629185</v>
      </c>
      <c r="F2858" s="10" t="s">
        <v>60</v>
      </c>
      <c r="G2858" s="10" t="n">
        <v>2370</v>
      </c>
      <c r="H2858" s="10" t="n">
        <v>1585</v>
      </c>
      <c r="I2858" s="10" t="n">
        <v>0</v>
      </c>
      <c r="J2858" s="10" t="n">
        <v>0</v>
      </c>
      <c r="K2858" s="10" t="s">
        <v>20</v>
      </c>
      <c r="L2858" s="11" t="n">
        <v>41041.5437847222</v>
      </c>
      <c r="M2858" s="12" t="s">
        <v>257</v>
      </c>
      <c r="N2858" s="12" t="s">
        <v>258</v>
      </c>
      <c r="O2858" s="9" t="str">
        <f aca="false">HYPERLINK("https://pbs.twimg.com/profile_images/900915882444173313/biUHzvpx_normal.jpg","View")</f>
        <v>View</v>
      </c>
      <c r="P2858" s="10"/>
    </row>
    <row r="2859" customFormat="false" ht="15.75" hidden="false" customHeight="false" outlineLevel="0" collapsed="false">
      <c r="A2859" s="6" t="n">
        <v>43030.317037037</v>
      </c>
      <c r="B2859" s="7" t="str">
        <f aca="false">HYPERLINK("https://twitter.com/mortgageconsult","@mortgageconsult")</f>
        <v>@mortgageconsult</v>
      </c>
      <c r="C2859" s="8" t="s">
        <v>7093</v>
      </c>
      <c r="D2859" s="8" t="s">
        <v>7094</v>
      </c>
      <c r="E2859" s="9" t="str">
        <f aca="false">HYPERLINK("https://twitter.com/mortgageconsult/status/922109420024336385","922109420024336385")</f>
        <v>922109420024336385</v>
      </c>
      <c r="F2859" s="10" t="s">
        <v>25</v>
      </c>
      <c r="G2859" s="10" t="n">
        <v>7842</v>
      </c>
      <c r="H2859" s="10" t="n">
        <v>7497</v>
      </c>
      <c r="I2859" s="10" t="n">
        <v>0</v>
      </c>
      <c r="J2859" s="10" t="n">
        <v>0</v>
      </c>
      <c r="K2859" s="10" t="s">
        <v>20</v>
      </c>
      <c r="L2859" s="11" t="n">
        <v>39898.3525</v>
      </c>
      <c r="M2859" s="12" t="s">
        <v>5326</v>
      </c>
      <c r="N2859" s="12" t="s">
        <v>7095</v>
      </c>
      <c r="O2859" s="9" t="str">
        <f aca="false">HYPERLINK("https://pbs.twimg.com/profile_images/110785843/PAMPICJPEG_normal.JPG","View")</f>
        <v>View</v>
      </c>
      <c r="P2859" s="10"/>
    </row>
    <row r="2860" customFormat="false" ht="15.75" hidden="false" customHeight="false" outlineLevel="0" collapsed="false">
      <c r="A2860" s="6" t="n">
        <v>43030.3170601852</v>
      </c>
      <c r="B2860" s="7" t="str">
        <f aca="false">HYPERLINK("https://twitter.com/EURASEANEDU","@EURASEANEDU")</f>
        <v>@EURASEANEDU</v>
      </c>
      <c r="C2860" s="8" t="s">
        <v>7096</v>
      </c>
      <c r="D2860" s="8" t="s">
        <v>7046</v>
      </c>
      <c r="E2860" s="9" t="str">
        <f aca="false">HYPERLINK("https://twitter.com/EURASEANEDU/status/922109427007700997","922109427007700997")</f>
        <v>922109427007700997</v>
      </c>
      <c r="F2860" s="10" t="s">
        <v>51</v>
      </c>
      <c r="G2860" s="10" t="n">
        <v>1272</v>
      </c>
      <c r="H2860" s="10" t="n">
        <v>923</v>
      </c>
      <c r="I2860" s="10" t="n">
        <v>53</v>
      </c>
      <c r="J2860" s="10" t="n">
        <v>0</v>
      </c>
      <c r="K2860" s="10" t="s">
        <v>20</v>
      </c>
      <c r="L2860" s="11" t="n">
        <v>41604.8366203704</v>
      </c>
      <c r="M2860" s="12" t="s">
        <v>186</v>
      </c>
      <c r="N2860" s="12" t="s">
        <v>7097</v>
      </c>
      <c r="O2860" s="9" t="str">
        <f aca="false">HYPERLINK("https://pbs.twimg.com/profile_images/875671231499870212/LbblFRDL_normal.jpg","View")</f>
        <v>View</v>
      </c>
      <c r="P2860" s="10"/>
    </row>
    <row r="2861" customFormat="false" ht="15.75" hidden="false" customHeight="false" outlineLevel="0" collapsed="false">
      <c r="A2861" s="6" t="n">
        <v>43030.3171180556</v>
      </c>
      <c r="B2861" s="7" t="str">
        <f aca="false">HYPERLINK("https://twitter.com/GadflyQuebec","@GadflyQuebec")</f>
        <v>@GadflyQuebec</v>
      </c>
      <c r="C2861" s="8" t="s">
        <v>7098</v>
      </c>
      <c r="D2861" s="8" t="s">
        <v>6968</v>
      </c>
      <c r="E2861" s="9" t="str">
        <f aca="false">HYPERLINK("https://twitter.com/GadflyQuebec/status/922109450692984833","922109450692984833")</f>
        <v>922109450692984833</v>
      </c>
      <c r="F2861" s="10" t="s">
        <v>51</v>
      </c>
      <c r="G2861" s="10" t="n">
        <v>3016</v>
      </c>
      <c r="H2861" s="10" t="n">
        <v>4515</v>
      </c>
      <c r="I2861" s="10" t="n">
        <v>7</v>
      </c>
      <c r="J2861" s="10" t="n">
        <v>0</v>
      </c>
      <c r="K2861" s="10" t="s">
        <v>20</v>
      </c>
      <c r="L2861" s="11" t="n">
        <v>40956.3063773148</v>
      </c>
      <c r="M2861" s="12" t="s">
        <v>7099</v>
      </c>
      <c r="N2861" s="12" t="s">
        <v>7100</v>
      </c>
      <c r="O2861" s="9" t="str">
        <f aca="false">HYPERLINK("https://pbs.twimg.com/profile_images/2281304775/7yfz97dq0dl99xwk6goy_normal.jpeg","View")</f>
        <v>View</v>
      </c>
      <c r="P2861" s="10"/>
    </row>
    <row r="2862" customFormat="false" ht="15.75" hidden="false" customHeight="false" outlineLevel="0" collapsed="false">
      <c r="A2862" s="6" t="n">
        <v>43030.3171296296</v>
      </c>
      <c r="B2862" s="7" t="str">
        <f aca="false">HYPERLINK("https://twitter.com/mpgjmpgj","@mpgjmpgj")</f>
        <v>@mpgjmpgj</v>
      </c>
      <c r="C2862" s="8" t="s">
        <v>7101</v>
      </c>
      <c r="D2862" s="8" t="s">
        <v>7046</v>
      </c>
      <c r="E2862" s="9" t="str">
        <f aca="false">HYPERLINK("https://twitter.com/mpgjmpgj/status/922109455063400449","922109455063400449")</f>
        <v>922109455063400449</v>
      </c>
      <c r="F2862" s="10" t="s">
        <v>39</v>
      </c>
      <c r="G2862" s="10" t="n">
        <v>130</v>
      </c>
      <c r="H2862" s="10" t="n">
        <v>428</v>
      </c>
      <c r="I2862" s="10" t="n">
        <v>53</v>
      </c>
      <c r="J2862" s="10" t="n">
        <v>0</v>
      </c>
      <c r="K2862" s="10" t="s">
        <v>20</v>
      </c>
      <c r="L2862" s="11" t="n">
        <v>42883.1712615741</v>
      </c>
      <c r="M2862" s="12"/>
      <c r="N2862" s="12" t="s">
        <v>7102</v>
      </c>
      <c r="O2862" s="9" t="str">
        <f aca="false">HYPERLINK("https://pbs.twimg.com/profile_images/871016650107113472/K87KiQ_w_normal.jpg","View")</f>
        <v>View</v>
      </c>
      <c r="P2862" s="10"/>
    </row>
    <row r="2863" customFormat="false" ht="15.75" hidden="false" customHeight="false" outlineLevel="0" collapsed="false">
      <c r="A2863" s="6" t="n">
        <v>43030.3174421296</v>
      </c>
      <c r="B2863" s="7" t="str">
        <f aca="false">HYPERLINK("https://twitter.com/ceridread","@ceridread")</f>
        <v>@ceridread</v>
      </c>
      <c r="C2863" s="8" t="s">
        <v>7103</v>
      </c>
      <c r="D2863" s="8" t="s">
        <v>7046</v>
      </c>
      <c r="E2863" s="9" t="str">
        <f aca="false">HYPERLINK("https://twitter.com/ceridread/status/922109565642137600","922109565642137600")</f>
        <v>922109565642137600</v>
      </c>
      <c r="F2863" s="10" t="s">
        <v>51</v>
      </c>
      <c r="G2863" s="10" t="n">
        <v>481</v>
      </c>
      <c r="H2863" s="10" t="n">
        <v>1503</v>
      </c>
      <c r="I2863" s="10" t="n">
        <v>53</v>
      </c>
      <c r="J2863" s="10" t="n">
        <v>0</v>
      </c>
      <c r="K2863" s="10" t="s">
        <v>20</v>
      </c>
      <c r="L2863" s="11" t="n">
        <v>40174.5793518519</v>
      </c>
      <c r="M2863" s="12" t="s">
        <v>7104</v>
      </c>
      <c r="N2863" s="12" t="s">
        <v>7105</v>
      </c>
      <c r="O2863" s="9" t="str">
        <f aca="false">HYPERLINK("https://pbs.twimg.com/profile_images/3603113728/a5e07d51b74d3adb0acb45735d1c93fb_normal.jpeg","View")</f>
        <v>View</v>
      </c>
      <c r="P2863" s="10"/>
    </row>
    <row r="2864" customFormat="false" ht="15.75" hidden="false" customHeight="false" outlineLevel="0" collapsed="false">
      <c r="A2864" s="6" t="n">
        <v>43030.3175925926</v>
      </c>
      <c r="B2864" s="7" t="str">
        <f aca="false">HYPERLINK("https://twitter.com/0807ankit","@0807ankit")</f>
        <v>@0807ankit</v>
      </c>
      <c r="C2864" s="8" t="s">
        <v>7106</v>
      </c>
      <c r="D2864" s="8" t="s">
        <v>6558</v>
      </c>
      <c r="E2864" s="9" t="str">
        <f aca="false">HYPERLINK("https://twitter.com/0807ankit/status/922109623628369920","922109623628369920")</f>
        <v>922109623628369920</v>
      </c>
      <c r="F2864" s="10" t="s">
        <v>25</v>
      </c>
      <c r="G2864" s="10" t="n">
        <v>508</v>
      </c>
      <c r="H2864" s="10" t="n">
        <v>446</v>
      </c>
      <c r="I2864" s="10" t="n">
        <v>65</v>
      </c>
      <c r="J2864" s="10" t="n">
        <v>0</v>
      </c>
      <c r="K2864" s="10" t="s">
        <v>20</v>
      </c>
      <c r="L2864" s="11" t="n">
        <v>40872.1403472222</v>
      </c>
      <c r="M2864" s="12" t="s">
        <v>7107</v>
      </c>
      <c r="N2864" s="12" t="s">
        <v>7108</v>
      </c>
      <c r="O2864" s="9" t="str">
        <f aca="false">HYPERLINK("https://pbs.twimg.com/profile_images/897096886473170945/GcrGpPhT_normal.jpg","View")</f>
        <v>View</v>
      </c>
      <c r="P2864" s="10"/>
    </row>
    <row r="2865" customFormat="false" ht="15.75" hidden="false" customHeight="false" outlineLevel="0" collapsed="false">
      <c r="A2865" s="6" t="n">
        <v>43030.3176388889</v>
      </c>
      <c r="B2865" s="7" t="str">
        <f aca="false">HYPERLINK("https://twitter.com/sugarvilleguita","@sugarvilleguita")</f>
        <v>@sugarvilleguita</v>
      </c>
      <c r="C2865" s="8" t="s">
        <v>7109</v>
      </c>
      <c r="D2865" s="8" t="s">
        <v>4984</v>
      </c>
      <c r="E2865" s="9" t="str">
        <f aca="false">HYPERLINK("https://twitter.com/sugarvilleguita/status/922109637859651584","922109637859651584")</f>
        <v>922109637859651584</v>
      </c>
      <c r="F2865" s="10" t="s">
        <v>25</v>
      </c>
      <c r="G2865" s="10" t="n">
        <v>54</v>
      </c>
      <c r="H2865" s="10" t="n">
        <v>635</v>
      </c>
      <c r="I2865" s="10" t="n">
        <v>187</v>
      </c>
      <c r="J2865" s="10" t="n">
        <v>0</v>
      </c>
      <c r="K2865" s="10" t="s">
        <v>20</v>
      </c>
      <c r="L2865" s="11" t="n">
        <v>42965.1806134259</v>
      </c>
      <c r="M2865" s="12"/>
      <c r="N2865" s="12" t="s">
        <v>7110</v>
      </c>
      <c r="O2865" s="9" t="str">
        <f aca="false">HYPERLINK("https://pbs.twimg.com/profile_images/919527905172090881/XFplAFin_normal.jpg","View")</f>
        <v>View</v>
      </c>
      <c r="P2865" s="10"/>
    </row>
    <row r="2866" customFormat="false" ht="15.75" hidden="false" customHeight="false" outlineLevel="0" collapsed="false">
      <c r="A2866" s="6" t="n">
        <v>43030.3176736111</v>
      </c>
      <c r="B2866" s="7" t="str">
        <f aca="false">HYPERLINK("https://twitter.com/BloombergAsia","@BloombergAsia")</f>
        <v>@BloombergAsia</v>
      </c>
      <c r="C2866" s="8" t="s">
        <v>1399</v>
      </c>
      <c r="D2866" s="8" t="s">
        <v>7111</v>
      </c>
      <c r="E2866" s="9" t="str">
        <f aca="false">HYPERLINK("https://twitter.com/BloombergAsia/status/922109651642146816","922109651642146816")</f>
        <v>922109651642146816</v>
      </c>
      <c r="F2866" s="10" t="s">
        <v>268</v>
      </c>
      <c r="G2866" s="10" t="n">
        <v>28823</v>
      </c>
      <c r="H2866" s="10" t="n">
        <v>97</v>
      </c>
      <c r="I2866" s="10" t="n">
        <v>7</v>
      </c>
      <c r="J2866" s="10" t="n">
        <v>4</v>
      </c>
      <c r="K2866" s="10" t="s">
        <v>20</v>
      </c>
      <c r="L2866" s="11" t="n">
        <v>41052.2384837963</v>
      </c>
      <c r="M2866" s="12"/>
      <c r="N2866" s="12" t="s">
        <v>1401</v>
      </c>
      <c r="O2866" s="9" t="str">
        <f aca="false">HYPERLINK("https://pbs.twimg.com/profile_images/778129630284902401/gXjFkqGM_normal.jpg","View")</f>
        <v>View</v>
      </c>
      <c r="P2866" s="10"/>
    </row>
    <row r="2867" customFormat="false" ht="15.75" hidden="false" customHeight="false" outlineLevel="0" collapsed="false">
      <c r="A2867" s="6" t="n">
        <v>43030.3177430556</v>
      </c>
      <c r="B2867" s="7" t="str">
        <f aca="false">HYPERLINK("https://twitter.com/AbbTakk","@AbbTakk")</f>
        <v>@AbbTakk</v>
      </c>
      <c r="C2867" s="8" t="s">
        <v>7112</v>
      </c>
      <c r="D2867" s="8" t="s">
        <v>7113</v>
      </c>
      <c r="E2867" s="9" t="str">
        <f aca="false">HYPERLINK("https://twitter.com/AbbTakk/status/922109676023578625","922109676023578625")</f>
        <v>922109676023578625</v>
      </c>
      <c r="F2867" s="10" t="s">
        <v>39</v>
      </c>
      <c r="G2867" s="10" t="n">
        <v>260595</v>
      </c>
      <c r="H2867" s="10" t="n">
        <v>1</v>
      </c>
      <c r="I2867" s="10" t="n">
        <v>0</v>
      </c>
      <c r="J2867" s="10" t="n">
        <v>1</v>
      </c>
      <c r="K2867" s="10" t="s">
        <v>20</v>
      </c>
      <c r="L2867" s="11" t="n">
        <v>41260.0994328704</v>
      </c>
      <c r="M2867" s="12" t="s">
        <v>7114</v>
      </c>
      <c r="N2867" s="12" t="s">
        <v>7115</v>
      </c>
      <c r="O2867" s="9" t="str">
        <f aca="false">HYPERLINK("https://pbs.twimg.com/profile_images/897855846205591552/kcKQKu72_normal.jpg","View")</f>
        <v>View</v>
      </c>
      <c r="P2867" s="10"/>
    </row>
    <row r="2868" customFormat="false" ht="15.75" hidden="false" customHeight="false" outlineLevel="0" collapsed="false">
      <c r="A2868" s="6" t="n">
        <v>43030.3177777778</v>
      </c>
      <c r="B2868" s="7" t="str">
        <f aca="false">HYPERLINK("https://twitter.com/Bullish","@Bullish")</f>
        <v>@Bullish</v>
      </c>
      <c r="C2868" s="8" t="s">
        <v>223</v>
      </c>
      <c r="D2868" s="8" t="s">
        <v>7116</v>
      </c>
      <c r="E2868" s="9" t="str">
        <f aca="false">HYPERLINK("https://twitter.com/Bullish/status/922109689017577472","922109689017577472")</f>
        <v>922109689017577472</v>
      </c>
      <c r="F2868" s="10" t="s">
        <v>60</v>
      </c>
      <c r="G2868" s="10" t="n">
        <v>184</v>
      </c>
      <c r="H2868" s="10" t="n">
        <v>87</v>
      </c>
      <c r="I2868" s="10" t="n">
        <v>0</v>
      </c>
      <c r="J2868" s="10" t="n">
        <v>0</v>
      </c>
      <c r="K2868" s="10" t="s">
        <v>20</v>
      </c>
      <c r="L2868" s="11" t="n">
        <v>42618.7530439815</v>
      </c>
      <c r="M2868" s="12"/>
      <c r="N2868" s="12"/>
      <c r="O2868" s="9" t="str">
        <f aca="false">HYPERLINK("https://pbs.twimg.com/profile_images/798692093736599552/UikI9dNE_normal.jpg","View")</f>
        <v>View</v>
      </c>
      <c r="P2868" s="10"/>
    </row>
    <row r="2869" customFormat="false" ht="15.75" hidden="false" customHeight="false" outlineLevel="0" collapsed="false">
      <c r="A2869" s="6" t="n">
        <v>43030.3177893519</v>
      </c>
      <c r="B2869" s="7" t="str">
        <f aca="false">HYPERLINK("https://twitter.com/james_archibald","@james_archibald")</f>
        <v>@james_archibald</v>
      </c>
      <c r="C2869" s="8" t="s">
        <v>7117</v>
      </c>
      <c r="D2869" s="8" t="s">
        <v>7046</v>
      </c>
      <c r="E2869" s="9" t="str">
        <f aca="false">HYPERLINK("https://twitter.com/james_archibald/status/922109691546681344","922109691546681344")</f>
        <v>922109691546681344</v>
      </c>
      <c r="F2869" s="10" t="s">
        <v>39</v>
      </c>
      <c r="G2869" s="10" t="n">
        <v>56</v>
      </c>
      <c r="H2869" s="10" t="n">
        <v>184</v>
      </c>
      <c r="I2869" s="10" t="n">
        <v>53</v>
      </c>
      <c r="J2869" s="10" t="n">
        <v>0</v>
      </c>
      <c r="K2869" s="10" t="s">
        <v>20</v>
      </c>
      <c r="L2869" s="11" t="n">
        <v>41983.2675925926</v>
      </c>
      <c r="M2869" s="12" t="s">
        <v>1199</v>
      </c>
      <c r="N2869" s="12" t="s">
        <v>7118</v>
      </c>
      <c r="O2869" s="9" t="str">
        <f aca="false">HYPERLINK("https://pbs.twimg.com/profile_images/747019673401602048/3QKoEslB_normal.jpg","View")</f>
        <v>View</v>
      </c>
      <c r="P2869" s="10"/>
    </row>
    <row r="2870" customFormat="false" ht="15.75" hidden="false" customHeight="false" outlineLevel="0" collapsed="false">
      <c r="A2870" s="6" t="n">
        <v>43030.3178009259</v>
      </c>
      <c r="B2870" s="7" t="str">
        <f aca="false">HYPERLINK("https://twitter.com/new_3","@new_3")</f>
        <v>@new_3</v>
      </c>
      <c r="C2870" s="8" t="s">
        <v>7119</v>
      </c>
      <c r="D2870" s="8" t="s">
        <v>7120</v>
      </c>
      <c r="E2870" s="9" t="str">
        <f aca="false">HYPERLINK("https://twitter.com/new_3/status/922109695988559873","922109695988559873")</f>
        <v>922109695988559873</v>
      </c>
      <c r="F2870" s="10" t="s">
        <v>51</v>
      </c>
      <c r="G2870" s="10" t="n">
        <v>146</v>
      </c>
      <c r="H2870" s="10" t="n">
        <v>198</v>
      </c>
      <c r="I2870" s="10" t="n">
        <v>0</v>
      </c>
      <c r="J2870" s="10" t="n">
        <v>0</v>
      </c>
      <c r="K2870" s="10" t="s">
        <v>20</v>
      </c>
      <c r="L2870" s="11" t="n">
        <v>40070.4843287037</v>
      </c>
      <c r="M2870" s="12" t="s">
        <v>7121</v>
      </c>
      <c r="N2870" s="12" t="s">
        <v>7122</v>
      </c>
      <c r="O2870" s="9" t="str">
        <f aca="false">HYPERLINK("https://pbs.twimg.com/profile_images/606606458864599040/jCjcX7qO_normal.jpg","View")</f>
        <v>View</v>
      </c>
      <c r="P2870" s="10"/>
    </row>
    <row r="2871" customFormat="false" ht="15.75" hidden="false" customHeight="false" outlineLevel="0" collapsed="false">
      <c r="A2871" s="6" t="n">
        <v>43030.3179050926</v>
      </c>
      <c r="B2871" s="7" t="str">
        <f aca="false">HYPERLINK("https://twitter.com/poshpisces84","@poshpisces84")</f>
        <v>@poshpisces84</v>
      </c>
      <c r="C2871" s="8" t="s">
        <v>7123</v>
      </c>
      <c r="D2871" s="8" t="s">
        <v>7046</v>
      </c>
      <c r="E2871" s="9" t="str">
        <f aca="false">HYPERLINK("https://twitter.com/poshpisces84/status/922109734202703872","922109734202703872")</f>
        <v>922109734202703872</v>
      </c>
      <c r="F2871" s="10" t="s">
        <v>98</v>
      </c>
      <c r="G2871" s="10" t="n">
        <v>260</v>
      </c>
      <c r="H2871" s="10" t="n">
        <v>32</v>
      </c>
      <c r="I2871" s="10" t="n">
        <v>53</v>
      </c>
      <c r="J2871" s="10" t="n">
        <v>0</v>
      </c>
      <c r="K2871" s="10" t="s">
        <v>20</v>
      </c>
      <c r="L2871" s="11" t="n">
        <v>40385.8925231481</v>
      </c>
      <c r="M2871" s="12" t="s">
        <v>7124</v>
      </c>
      <c r="N2871" s="12" t="s">
        <v>7125</v>
      </c>
      <c r="O2871" s="9" t="str">
        <f aca="false">HYPERLINK("https://pbs.twimg.com/profile_images/835527119157387269/omOTF3Ug_normal.jpg","View")</f>
        <v>View</v>
      </c>
      <c r="P2871" s="10"/>
    </row>
    <row r="2872" customFormat="false" ht="15.75" hidden="false" customHeight="false" outlineLevel="0" collapsed="false">
      <c r="A2872" s="6" t="n">
        <v>43030.3179050926</v>
      </c>
      <c r="B2872" s="7" t="str">
        <f aca="false">HYPERLINK("https://twitter.com/nbulletin","@nbulletin")</f>
        <v>@nbulletin</v>
      </c>
      <c r="C2872" s="7" t="s">
        <v>7126</v>
      </c>
      <c r="D2872" s="8" t="s">
        <v>7046</v>
      </c>
      <c r="E2872" s="9" t="str">
        <f aca="false">HYPERLINK("https://twitter.com/nbulletin/status/922109734471299072","922109734471299072")</f>
        <v>922109734471299072</v>
      </c>
      <c r="F2872" s="10" t="s">
        <v>25</v>
      </c>
      <c r="G2872" s="10" t="n">
        <v>15811</v>
      </c>
      <c r="H2872" s="10" t="n">
        <v>1419</v>
      </c>
      <c r="I2872" s="10" t="n">
        <v>53</v>
      </c>
      <c r="J2872" s="10" t="n">
        <v>0</v>
      </c>
      <c r="K2872" s="10" t="s">
        <v>20</v>
      </c>
      <c r="L2872" s="11" t="n">
        <v>39919.5444097222</v>
      </c>
      <c r="M2872" s="12" t="s">
        <v>3474</v>
      </c>
      <c r="N2872" s="12" t="s">
        <v>7127</v>
      </c>
      <c r="O2872" s="9" t="str">
        <f aca="false">HYPERLINK("https://pbs.twimg.com/profile_images/734072765007966209/lc7IsPN4_normal.jpg","View")</f>
        <v>View</v>
      </c>
      <c r="P2872" s="10"/>
    </row>
    <row r="2873" customFormat="false" ht="15.75" hidden="false" customHeight="false" outlineLevel="0" collapsed="false">
      <c r="A2873" s="6" t="n">
        <v>43030.3181597222</v>
      </c>
      <c r="B2873" s="7" t="str">
        <f aca="false">HYPERLINK("https://twitter.com/kuma2032","@kuma2032")</f>
        <v>@kuma2032</v>
      </c>
      <c r="C2873" s="8" t="s">
        <v>7128</v>
      </c>
      <c r="D2873" s="8" t="s">
        <v>7046</v>
      </c>
      <c r="E2873" s="9" t="str">
        <f aca="false">HYPERLINK("https://twitter.com/kuma2032/status/922109827161251840","922109827161251840")</f>
        <v>922109827161251840</v>
      </c>
      <c r="F2873" s="10" t="s">
        <v>39</v>
      </c>
      <c r="G2873" s="10" t="n">
        <v>41</v>
      </c>
      <c r="H2873" s="10" t="n">
        <v>30</v>
      </c>
      <c r="I2873" s="10" t="n">
        <v>53</v>
      </c>
      <c r="J2873" s="10" t="n">
        <v>0</v>
      </c>
      <c r="K2873" s="10" t="s">
        <v>20</v>
      </c>
      <c r="L2873" s="11" t="n">
        <v>40417.6592939815</v>
      </c>
      <c r="M2873" s="12" t="s">
        <v>1257</v>
      </c>
      <c r="N2873" s="13" t="s">
        <v>7129</v>
      </c>
      <c r="O2873" s="9" t="str">
        <f aca="false">HYPERLINK("https://pbs.twimg.com/profile_images/1172076366/Hokusai-sketches---hokusai-manga-vol6-crop_normal.jpg","View")</f>
        <v>View</v>
      </c>
      <c r="P2873" s="10"/>
    </row>
    <row r="2874" customFormat="false" ht="15.75" hidden="false" customHeight="false" outlineLevel="0" collapsed="false">
      <c r="A2874" s="6" t="n">
        <v>43030.3182291667</v>
      </c>
      <c r="B2874" s="7" t="str">
        <f aca="false">HYPERLINK("https://twitter.com/cuapio7","@cuapio7")</f>
        <v>@cuapio7</v>
      </c>
      <c r="C2874" s="8" t="s">
        <v>7130</v>
      </c>
      <c r="D2874" s="8" t="s">
        <v>7046</v>
      </c>
      <c r="E2874" s="9" t="str">
        <f aca="false">HYPERLINK("https://twitter.com/cuapio7/status/922109852859682816","922109852859682816")</f>
        <v>922109852859682816</v>
      </c>
      <c r="F2874" s="10" t="s">
        <v>51</v>
      </c>
      <c r="G2874" s="10" t="n">
        <v>24</v>
      </c>
      <c r="H2874" s="10" t="n">
        <v>279</v>
      </c>
      <c r="I2874" s="10" t="n">
        <v>53</v>
      </c>
      <c r="J2874" s="10" t="n">
        <v>0</v>
      </c>
      <c r="K2874" s="10" t="s">
        <v>20</v>
      </c>
      <c r="L2874" s="11" t="n">
        <v>40551.7860185185</v>
      </c>
      <c r="M2874" s="12" t="s">
        <v>7131</v>
      </c>
      <c r="N2874" s="12"/>
      <c r="O2874" s="9" t="str">
        <f aca="false">HYPERLINK("https://pbs.twimg.com/profile_images/855928207467524096/0mmEQ0Ks_normal.jpg","View")</f>
        <v>View</v>
      </c>
      <c r="P2874" s="10"/>
    </row>
    <row r="2875" customFormat="false" ht="15.75" hidden="false" customHeight="false" outlineLevel="0" collapsed="false">
      <c r="A2875" s="6" t="n">
        <v>43030.3184490741</v>
      </c>
      <c r="B2875" s="7" t="str">
        <f aca="false">HYPERLINK("https://twitter.com/DDRANTE","@DDRANTE")</f>
        <v>@DDRANTE</v>
      </c>
      <c r="C2875" s="8" t="s">
        <v>7132</v>
      </c>
      <c r="D2875" s="8" t="s">
        <v>7046</v>
      </c>
      <c r="E2875" s="9" t="str">
        <f aca="false">HYPERLINK("https://twitter.com/DDRANTE/status/922109932547162113","922109932547162113")</f>
        <v>922109932547162113</v>
      </c>
      <c r="F2875" s="10" t="s">
        <v>98</v>
      </c>
      <c r="G2875" s="10" t="n">
        <v>1830</v>
      </c>
      <c r="H2875" s="10" t="n">
        <v>559</v>
      </c>
      <c r="I2875" s="10" t="n">
        <v>53</v>
      </c>
      <c r="J2875" s="10" t="n">
        <v>0</v>
      </c>
      <c r="K2875" s="10" t="s">
        <v>20</v>
      </c>
      <c r="L2875" s="11" t="n">
        <v>41645.8791203704</v>
      </c>
      <c r="M2875" s="12" t="s">
        <v>7133</v>
      </c>
      <c r="N2875" s="12" t="s">
        <v>7134</v>
      </c>
      <c r="O2875" s="9" t="str">
        <f aca="false">HYPERLINK("https://pbs.twimg.com/profile_images/858593180144369665/1b98R56D_normal.jpg","View")</f>
        <v>View</v>
      </c>
      <c r="P2875" s="10"/>
    </row>
    <row r="2876" customFormat="false" ht="15.75" hidden="false" customHeight="false" outlineLevel="0" collapsed="false">
      <c r="A2876" s="6" t="n">
        <v>43030.3186921296</v>
      </c>
      <c r="B2876" s="7" t="str">
        <f aca="false">HYPERLINK("https://twitter.com/La_Paz_BCS","@La_Paz_BCS")</f>
        <v>@La_Paz_BCS</v>
      </c>
      <c r="C2876" s="8" t="s">
        <v>7135</v>
      </c>
      <c r="D2876" s="8" t="s">
        <v>7136</v>
      </c>
      <c r="E2876" s="9" t="str">
        <f aca="false">HYPERLINK("https://twitter.com/La_Paz_BCS/status/922110021449662464","922110021449662464")</f>
        <v>922110021449662464</v>
      </c>
      <c r="F2876" s="9" t="s">
        <v>1147</v>
      </c>
      <c r="G2876" s="10" t="n">
        <v>617</v>
      </c>
      <c r="H2876" s="10" t="n">
        <v>784</v>
      </c>
      <c r="I2876" s="10" t="n">
        <v>0</v>
      </c>
      <c r="J2876" s="10" t="n">
        <v>0</v>
      </c>
      <c r="K2876" s="10" t="s">
        <v>20</v>
      </c>
      <c r="L2876" s="11" t="n">
        <v>39865.8847106481</v>
      </c>
      <c r="M2876" s="12" t="s">
        <v>7137</v>
      </c>
      <c r="N2876" s="12" t="s">
        <v>7138</v>
      </c>
      <c r="O2876" s="9" t="str">
        <f aca="false">HYPERLINK("https://pbs.twimg.com/profile_images/2236465051/shields.of.la.paz.bcs_normal.jpg","View")</f>
        <v>View</v>
      </c>
      <c r="P2876" s="10"/>
    </row>
    <row r="2877" customFormat="false" ht="15.75" hidden="false" customHeight="false" outlineLevel="0" collapsed="false">
      <c r="A2877" s="6" t="n">
        <v>43030.3188773148</v>
      </c>
      <c r="B2877" s="7" t="str">
        <f aca="false">HYPERLINK("https://twitter.com/jhiattsteele","@jhiattsteele")</f>
        <v>@jhiattsteele</v>
      </c>
      <c r="C2877" s="8" t="s">
        <v>7139</v>
      </c>
      <c r="D2877" s="8" t="s">
        <v>7140</v>
      </c>
      <c r="E2877" s="9" t="str">
        <f aca="false">HYPERLINK("https://twitter.com/jhiattsteele/status/922110088080449536","922110088080449536")</f>
        <v>922110088080449536</v>
      </c>
      <c r="F2877" s="10" t="s">
        <v>51</v>
      </c>
      <c r="G2877" s="10" t="n">
        <v>3133</v>
      </c>
      <c r="H2877" s="10" t="n">
        <v>5001</v>
      </c>
      <c r="I2877" s="10" t="n">
        <v>0</v>
      </c>
      <c r="J2877" s="10" t="n">
        <v>0</v>
      </c>
      <c r="K2877" s="10" t="s">
        <v>20</v>
      </c>
      <c r="L2877" s="11" t="n">
        <v>42639.6807523148</v>
      </c>
      <c r="M2877" s="12" t="s">
        <v>4934</v>
      </c>
      <c r="N2877" s="12" t="s">
        <v>7141</v>
      </c>
      <c r="O2877" s="9" t="str">
        <f aca="false">HYPERLINK("https://pbs.twimg.com/profile_images/781953730052780033/5kzqhlge_normal.jpg","View")</f>
        <v>View</v>
      </c>
      <c r="P2877" s="10"/>
    </row>
    <row r="2878" customFormat="false" ht="15.75" hidden="false" customHeight="false" outlineLevel="0" collapsed="false">
      <c r="A2878" s="6" t="n">
        <v>43030.3188888889</v>
      </c>
      <c r="B2878" s="7" t="str">
        <f aca="false">HYPERLINK("https://twitter.com/kuma2032","@kuma2032")</f>
        <v>@kuma2032</v>
      </c>
      <c r="C2878" s="8" t="s">
        <v>7128</v>
      </c>
      <c r="D2878" s="8" t="s">
        <v>6945</v>
      </c>
      <c r="E2878" s="9" t="str">
        <f aca="false">HYPERLINK("https://twitter.com/kuma2032/status/922110092513763328","922110092513763328")</f>
        <v>922110092513763328</v>
      </c>
      <c r="F2878" s="10" t="s">
        <v>39</v>
      </c>
      <c r="G2878" s="10" t="n">
        <v>41</v>
      </c>
      <c r="H2878" s="10" t="n">
        <v>30</v>
      </c>
      <c r="I2878" s="10" t="n">
        <v>22</v>
      </c>
      <c r="J2878" s="10" t="n">
        <v>0</v>
      </c>
      <c r="K2878" s="10" t="s">
        <v>20</v>
      </c>
      <c r="L2878" s="11" t="n">
        <v>40417.6592939815</v>
      </c>
      <c r="M2878" s="12" t="s">
        <v>1257</v>
      </c>
      <c r="N2878" s="13" t="s">
        <v>7129</v>
      </c>
      <c r="O2878" s="9" t="str">
        <f aca="false">HYPERLINK("https://pbs.twimg.com/profile_images/1172076366/Hokusai-sketches---hokusai-manga-vol6-crop_normal.jpg","View")</f>
        <v>View</v>
      </c>
      <c r="P2878" s="10"/>
    </row>
    <row r="2879" customFormat="false" ht="15.75" hidden="false" customHeight="false" outlineLevel="0" collapsed="false">
      <c r="A2879" s="6" t="n">
        <v>43030.3190046296</v>
      </c>
      <c r="B2879" s="7" t="str">
        <f aca="false">HYPERLINK("https://twitter.com/AbbTakTv","@AbbTakTv")</f>
        <v>@AbbTakTv</v>
      </c>
      <c r="C2879" s="8" t="s">
        <v>7112</v>
      </c>
      <c r="D2879" s="8" t="s">
        <v>7142</v>
      </c>
      <c r="E2879" s="9" t="str">
        <f aca="false">HYPERLINK("https://twitter.com/AbbTakTv/status/922110132871450624","922110132871450624")</f>
        <v>922110132871450624</v>
      </c>
      <c r="F2879" s="10" t="s">
        <v>60</v>
      </c>
      <c r="G2879" s="10" t="n">
        <v>3574</v>
      </c>
      <c r="H2879" s="10" t="n">
        <v>2</v>
      </c>
      <c r="I2879" s="10" t="n">
        <v>0</v>
      </c>
      <c r="J2879" s="10" t="n">
        <v>0</v>
      </c>
      <c r="K2879" s="10" t="s">
        <v>20</v>
      </c>
      <c r="L2879" s="11" t="n">
        <v>41498.335150463</v>
      </c>
      <c r="M2879" s="12"/>
      <c r="N2879" s="12" t="s">
        <v>7143</v>
      </c>
      <c r="O2879" s="9" t="str">
        <f aca="false">HYPERLINK("https://pbs.twimg.com/profile_images/823555627867930629/gK1G6I5E_normal.jpg","View")</f>
        <v>View</v>
      </c>
      <c r="P2879" s="10"/>
    </row>
    <row r="2880" customFormat="false" ht="15.75" hidden="false" customHeight="false" outlineLevel="0" collapsed="false">
      <c r="A2880" s="6" t="n">
        <v>43030.319212963</v>
      </c>
      <c r="B2880" s="7" t="str">
        <f aca="false">HYPERLINK("https://twitter.com/mwesmakVsjesuS","@mwesmakVsjesuS")</f>
        <v>@mwesmakVsjesuS</v>
      </c>
      <c r="C2880" s="8" t="s">
        <v>7144</v>
      </c>
      <c r="D2880" s="8" t="s">
        <v>7046</v>
      </c>
      <c r="E2880" s="9" t="str">
        <f aca="false">HYPERLINK("https://twitter.com/mwesmakVsjesuS/status/922110207580401664","922110207580401664")</f>
        <v>922110207580401664</v>
      </c>
      <c r="F2880" s="10" t="s">
        <v>51</v>
      </c>
      <c r="G2880" s="10" t="n">
        <v>366</v>
      </c>
      <c r="H2880" s="10" t="n">
        <v>1934</v>
      </c>
      <c r="I2880" s="10" t="n">
        <v>53</v>
      </c>
      <c r="J2880" s="10" t="n">
        <v>0</v>
      </c>
      <c r="K2880" s="10" t="s">
        <v>20</v>
      </c>
      <c r="L2880" s="11" t="n">
        <v>42486.5118518519</v>
      </c>
      <c r="M2880" s="12" t="s">
        <v>7145</v>
      </c>
      <c r="N2880" s="12" t="s">
        <v>7146</v>
      </c>
      <c r="O2880" s="9" t="str">
        <f aca="false">HYPERLINK("https://pbs.twimg.com/profile_images/921369830128783360/n7IgXIH__normal.jpg","View")</f>
        <v>View</v>
      </c>
      <c r="P2880" s="10"/>
    </row>
    <row r="2881" customFormat="false" ht="15.75" hidden="false" customHeight="false" outlineLevel="0" collapsed="false">
      <c r="A2881" s="6" t="n">
        <v>43030.3192361111</v>
      </c>
      <c r="B2881" s="7" t="str">
        <f aca="false">HYPERLINK("https://twitter.com/Vibhorkedia1","@Vibhorkedia1")</f>
        <v>@Vibhorkedia1</v>
      </c>
      <c r="C2881" s="8" t="s">
        <v>3530</v>
      </c>
      <c r="D2881" s="8" t="s">
        <v>3646</v>
      </c>
      <c r="E2881" s="9" t="str">
        <f aca="false">HYPERLINK("https://twitter.com/Vibhorkedia1/status/922110217248296961","922110217248296961")</f>
        <v>922110217248296961</v>
      </c>
      <c r="F2881" s="10" t="s">
        <v>25</v>
      </c>
      <c r="G2881" s="10" t="n">
        <v>301</v>
      </c>
      <c r="H2881" s="10" t="n">
        <v>1742</v>
      </c>
      <c r="I2881" s="10" t="n">
        <v>71</v>
      </c>
      <c r="J2881" s="10" t="n">
        <v>0</v>
      </c>
      <c r="K2881" s="10" t="s">
        <v>20</v>
      </c>
      <c r="L2881" s="11" t="n">
        <v>40714.3942361111</v>
      </c>
      <c r="M2881" s="12" t="s">
        <v>3531</v>
      </c>
      <c r="N2881" s="12" t="s">
        <v>3532</v>
      </c>
      <c r="O2881" s="9" t="str">
        <f aca="false">HYPERLINK("https://pbs.twimg.com/profile_images/835065845005107200/1-HqF8nl_normal.jpg","View")</f>
        <v>View</v>
      </c>
      <c r="P2881" s="10"/>
    </row>
    <row r="2882" customFormat="false" ht="15.75" hidden="false" customHeight="false" outlineLevel="0" collapsed="false">
      <c r="A2882" s="6" t="n">
        <v>43030.319849537</v>
      </c>
      <c r="B2882" s="7" t="str">
        <f aca="false">HYPERLINK("https://twitter.com/Rick4312","@Rick4312")</f>
        <v>@Rick4312</v>
      </c>
      <c r="C2882" s="8" t="s">
        <v>279</v>
      </c>
      <c r="D2882" s="8" t="s">
        <v>7046</v>
      </c>
      <c r="E2882" s="9" t="str">
        <f aca="false">HYPERLINK("https://twitter.com/Rick4312/status/922110438015488000","922110438015488000")</f>
        <v>922110438015488000</v>
      </c>
      <c r="F2882" s="10" t="s">
        <v>25</v>
      </c>
      <c r="G2882" s="10" t="n">
        <v>354</v>
      </c>
      <c r="H2882" s="10" t="n">
        <v>342</v>
      </c>
      <c r="I2882" s="10" t="n">
        <v>53</v>
      </c>
      <c r="J2882" s="10" t="n">
        <v>0</v>
      </c>
      <c r="K2882" s="10" t="s">
        <v>20</v>
      </c>
      <c r="L2882" s="11" t="n">
        <v>39926.1991898148</v>
      </c>
      <c r="M2882" s="12"/>
      <c r="N2882" s="12" t="s">
        <v>280</v>
      </c>
      <c r="O2882" s="9" t="str">
        <f aca="false">HYPERLINK("https://pbs.twimg.com/profile_images/378800000606169554/baf9e73de18cf5538945e01f8656543c_normal.png","View")</f>
        <v>View</v>
      </c>
      <c r="P2882" s="10"/>
    </row>
    <row r="2883" customFormat="false" ht="15.75" hidden="false" customHeight="false" outlineLevel="0" collapsed="false">
      <c r="A2883" s="6" t="n">
        <v>43030.3201041667</v>
      </c>
      <c r="B2883" s="7" t="str">
        <f aca="false">HYPERLINK("https://twitter.com/beMRFox","@beMRFox")</f>
        <v>@beMRFox</v>
      </c>
      <c r="C2883" s="8" t="s">
        <v>7147</v>
      </c>
      <c r="D2883" s="8" t="s">
        <v>7046</v>
      </c>
      <c r="E2883" s="9" t="str">
        <f aca="false">HYPERLINK("https://twitter.com/beMRFox/status/922110530046873605","922110530046873605")</f>
        <v>922110530046873605</v>
      </c>
      <c r="F2883" s="10" t="s">
        <v>51</v>
      </c>
      <c r="G2883" s="10" t="n">
        <v>688</v>
      </c>
      <c r="H2883" s="10" t="n">
        <v>2225</v>
      </c>
      <c r="I2883" s="10" t="n">
        <v>53</v>
      </c>
      <c r="J2883" s="10" t="n">
        <v>0</v>
      </c>
      <c r="K2883" s="10" t="s">
        <v>20</v>
      </c>
      <c r="L2883" s="11" t="n">
        <v>39948.5255902778</v>
      </c>
      <c r="M2883" s="12" t="s">
        <v>319</v>
      </c>
      <c r="N2883" s="12" t="s">
        <v>7148</v>
      </c>
      <c r="O2883" s="9" t="str">
        <f aca="false">HYPERLINK("https://pbs.twimg.com/profile_images/731221722892931072/CPFJLDWk_normal.jpg","View")</f>
        <v>View</v>
      </c>
      <c r="P2883" s="10"/>
    </row>
    <row r="2884" customFormat="false" ht="15.75" hidden="false" customHeight="false" outlineLevel="0" collapsed="false">
      <c r="A2884" s="6" t="n">
        <v>43030.3201736111</v>
      </c>
      <c r="B2884" s="7" t="str">
        <f aca="false">HYPERLINK("https://twitter.com/shou_chiku_bai","@shou_chiku_bai")</f>
        <v>@shou_chiku_bai</v>
      </c>
      <c r="C2884" s="14" t="s">
        <v>7149</v>
      </c>
      <c r="D2884" s="8" t="s">
        <v>7046</v>
      </c>
      <c r="E2884" s="9" t="str">
        <f aca="false">HYPERLINK("https://twitter.com/shou_chiku_bai/status/922110555464200194","922110555464200194")</f>
        <v>922110555464200194</v>
      </c>
      <c r="F2884" s="10" t="s">
        <v>25</v>
      </c>
      <c r="G2884" s="10" t="n">
        <v>392</v>
      </c>
      <c r="H2884" s="10" t="n">
        <v>968</v>
      </c>
      <c r="I2884" s="10" t="n">
        <v>53</v>
      </c>
      <c r="J2884" s="10" t="n">
        <v>0</v>
      </c>
      <c r="K2884" s="10" t="s">
        <v>20</v>
      </c>
      <c r="L2884" s="11" t="n">
        <v>41653.6672222222</v>
      </c>
      <c r="M2884" s="12"/>
      <c r="N2884" s="12"/>
      <c r="O2884" s="9" t="str">
        <f aca="false">HYPERLINK("https://pbs.twimg.com/profile_images/913990809090850817/LGI2ldc-_normal.jpg","View")</f>
        <v>View</v>
      </c>
      <c r="P2884" s="10"/>
    </row>
    <row r="2885" customFormat="false" ht="15.75" hidden="false" customHeight="false" outlineLevel="0" collapsed="false">
      <c r="A2885" s="6" t="n">
        <v>43030.3203472222</v>
      </c>
      <c r="B2885" s="7" t="str">
        <f aca="false">HYPERLINK("https://twitter.com/Cheers_TokyoJPN","@Cheers_TokyoJPN")</f>
        <v>@Cheers_TokyoJPN</v>
      </c>
      <c r="C2885" s="8" t="s">
        <v>7150</v>
      </c>
      <c r="D2885" s="8" t="s">
        <v>6945</v>
      </c>
      <c r="E2885" s="9" t="str">
        <f aca="false">HYPERLINK("https://twitter.com/Cheers_TokyoJPN/status/922110619678945280","922110619678945280")</f>
        <v>922110619678945280</v>
      </c>
      <c r="F2885" s="10" t="s">
        <v>25</v>
      </c>
      <c r="G2885" s="10" t="n">
        <v>239</v>
      </c>
      <c r="H2885" s="10" t="n">
        <v>282</v>
      </c>
      <c r="I2885" s="10" t="n">
        <v>22</v>
      </c>
      <c r="J2885" s="10" t="n">
        <v>0</v>
      </c>
      <c r="K2885" s="10" t="s">
        <v>20</v>
      </c>
      <c r="L2885" s="11" t="n">
        <v>42981.3273032408</v>
      </c>
      <c r="M2885" s="13" t="s">
        <v>7151</v>
      </c>
      <c r="N2885" s="13" t="s">
        <v>7152</v>
      </c>
      <c r="O2885" s="9" t="str">
        <f aca="false">HYPERLINK("https://pbs.twimg.com/profile_images/904670646927466496/Q0GF83u2_normal.jpg","View")</f>
        <v>View</v>
      </c>
      <c r="P2885" s="10"/>
    </row>
    <row r="2886" customFormat="false" ht="15.75" hidden="false" customHeight="false" outlineLevel="0" collapsed="false">
      <c r="A2886" s="6" t="n">
        <v>43030.320474537</v>
      </c>
      <c r="B2886" s="7" t="str">
        <f aca="false">HYPERLINK("https://twitter.com/luisespinal","@luisespinal")</f>
        <v>@luisespinal</v>
      </c>
      <c r="C2886" s="8" t="s">
        <v>7153</v>
      </c>
      <c r="D2886" s="8" t="s">
        <v>7046</v>
      </c>
      <c r="E2886" s="9" t="str">
        <f aca="false">HYPERLINK("https://twitter.com/luisespinal/status/922110664910475264","922110664910475264")</f>
        <v>922110664910475264</v>
      </c>
      <c r="F2886" s="10" t="s">
        <v>39</v>
      </c>
      <c r="G2886" s="10" t="n">
        <v>122</v>
      </c>
      <c r="H2886" s="10" t="n">
        <v>230</v>
      </c>
      <c r="I2886" s="10" t="n">
        <v>53</v>
      </c>
      <c r="J2886" s="10" t="n">
        <v>0</v>
      </c>
      <c r="K2886" s="10" t="s">
        <v>20</v>
      </c>
      <c r="L2886" s="11" t="n">
        <v>39915.4972569444</v>
      </c>
      <c r="M2886" s="12" t="s">
        <v>7154</v>
      </c>
      <c r="N2886" s="12" t="s">
        <v>7155</v>
      </c>
      <c r="O2886" s="9" t="str">
        <f aca="false">HYPERLINK("https://pbs.twimg.com/profile_images/748960025041707008/JJu5SZP2_normal.jpg","View")</f>
        <v>View</v>
      </c>
      <c r="P2886" s="10"/>
    </row>
    <row r="2887" customFormat="false" ht="15.75" hidden="false" customHeight="false" outlineLevel="0" collapsed="false">
      <c r="A2887" s="6" t="n">
        <v>43030.3205555556</v>
      </c>
      <c r="B2887" s="7" t="str">
        <f aca="false">HYPERLINK("https://twitter.com/mahanthanut","@mahanthanut")</f>
        <v>@mahanthanut</v>
      </c>
      <c r="C2887" s="8" t="s">
        <v>4083</v>
      </c>
      <c r="D2887" s="8" t="s">
        <v>3541</v>
      </c>
      <c r="E2887" s="9" t="str">
        <f aca="false">HYPERLINK("https://twitter.com/mahanthanut/status/922110697173016576","922110697173016576")</f>
        <v>922110697173016576</v>
      </c>
      <c r="F2887" s="10" t="s">
        <v>51</v>
      </c>
      <c r="G2887" s="10" t="n">
        <v>755</v>
      </c>
      <c r="H2887" s="10" t="n">
        <v>1972</v>
      </c>
      <c r="I2887" s="10" t="n">
        <v>18</v>
      </c>
      <c r="J2887" s="10" t="n">
        <v>0</v>
      </c>
      <c r="K2887" s="10" t="s">
        <v>20</v>
      </c>
      <c r="L2887" s="11" t="n">
        <v>42066.3065046296</v>
      </c>
      <c r="M2887" s="12"/>
      <c r="N2887" s="12"/>
      <c r="O2887" s="9" t="str">
        <f aca="false">HYPERLINK("https://pbs.twimg.com/profile_images/602460467231985666/I5K3SbBA_normal.jpg","View")</f>
        <v>View</v>
      </c>
      <c r="P2887" s="10"/>
    </row>
    <row r="2888" customFormat="false" ht="15.75" hidden="false" customHeight="false" outlineLevel="0" collapsed="false">
      <c r="A2888" s="6" t="n">
        <v>43030.3206481482</v>
      </c>
      <c r="B2888" s="7" t="str">
        <f aca="false">HYPERLINK("https://twitter.com/KoltovskoyYakov","@KoltovskoyYakov")</f>
        <v>@KoltovskoyYakov</v>
      </c>
      <c r="C2888" s="8" t="s">
        <v>7156</v>
      </c>
      <c r="D2888" s="8" t="s">
        <v>6731</v>
      </c>
      <c r="E2888" s="9" t="str">
        <f aca="false">HYPERLINK("https://twitter.com/KoltovskoyYakov/status/922110727187521536","922110727187521536")</f>
        <v>922110727187521536</v>
      </c>
      <c r="F2888" s="10" t="s">
        <v>39</v>
      </c>
      <c r="G2888" s="10" t="n">
        <v>3447</v>
      </c>
      <c r="H2888" s="10" t="n">
        <v>3645</v>
      </c>
      <c r="I2888" s="10" t="n">
        <v>13</v>
      </c>
      <c r="J2888" s="10" t="n">
        <v>0</v>
      </c>
      <c r="K2888" s="10" t="s">
        <v>20</v>
      </c>
      <c r="L2888" s="11" t="n">
        <v>40855.9281134259</v>
      </c>
      <c r="M2888" s="12" t="s">
        <v>7157</v>
      </c>
      <c r="N2888" s="12" t="s">
        <v>7158</v>
      </c>
      <c r="O2888" s="9" t="str">
        <f aca="false">HYPERLINK("https://pbs.twimg.com/profile_images/489631335930011649/kNjVjB2L_normal.jpeg","View")</f>
        <v>View</v>
      </c>
      <c r="P2888" s="10"/>
    </row>
    <row r="2889" customFormat="false" ht="15.75" hidden="false" customHeight="false" outlineLevel="0" collapsed="false">
      <c r="A2889" s="6" t="n">
        <v>43030.321099537</v>
      </c>
      <c r="B2889" s="7" t="str">
        <f aca="false">HYPERLINK("https://twitter.com/JoeBlessett","@JoeBlessett")</f>
        <v>@JoeBlessett</v>
      </c>
      <c r="C2889" s="8" t="s">
        <v>7159</v>
      </c>
      <c r="D2889" s="8" t="s">
        <v>7046</v>
      </c>
      <c r="E2889" s="9" t="str">
        <f aca="false">HYPERLINK("https://twitter.com/JoeBlessett/status/922110894343061504","922110894343061504")</f>
        <v>922110894343061504</v>
      </c>
      <c r="F2889" s="10" t="s">
        <v>1017</v>
      </c>
      <c r="G2889" s="10" t="n">
        <v>73511</v>
      </c>
      <c r="H2889" s="10" t="n">
        <v>1792</v>
      </c>
      <c r="I2889" s="10" t="n">
        <v>53</v>
      </c>
      <c r="J2889" s="10" t="n">
        <v>0</v>
      </c>
      <c r="K2889" s="10" t="s">
        <v>20</v>
      </c>
      <c r="L2889" s="11" t="n">
        <v>40144.6224421296</v>
      </c>
      <c r="M2889" s="12" t="s">
        <v>140</v>
      </c>
      <c r="N2889" s="12" t="s">
        <v>7160</v>
      </c>
      <c r="O2889" s="9" t="str">
        <f aca="false">HYPERLINK("https://pbs.twimg.com/profile_images/742632180862439424/GGte0bsC_normal.jpg","View")</f>
        <v>View</v>
      </c>
      <c r="P2889" s="10"/>
    </row>
    <row r="2890" customFormat="false" ht="15.75" hidden="false" customHeight="false" outlineLevel="0" collapsed="false">
      <c r="A2890" s="6" t="n">
        <v>43030.3211805556</v>
      </c>
      <c r="B2890" s="7" t="str">
        <f aca="false">HYPERLINK("https://twitter.com/1313jon","@1313jon")</f>
        <v>@1313jon</v>
      </c>
      <c r="C2890" s="8" t="s">
        <v>7161</v>
      </c>
      <c r="D2890" s="8" t="s">
        <v>3541</v>
      </c>
      <c r="E2890" s="9" t="str">
        <f aca="false">HYPERLINK("https://twitter.com/1313jon/status/922110923296399361","922110923296399361")</f>
        <v>922110923296399361</v>
      </c>
      <c r="F2890" s="10" t="s">
        <v>39</v>
      </c>
      <c r="G2890" s="10" t="n">
        <v>1449</v>
      </c>
      <c r="H2890" s="10" t="n">
        <v>3345</v>
      </c>
      <c r="I2890" s="10" t="n">
        <v>18</v>
      </c>
      <c r="J2890" s="10" t="n">
        <v>0</v>
      </c>
      <c r="K2890" s="10" t="s">
        <v>20</v>
      </c>
      <c r="L2890" s="11" t="n">
        <v>42977.612974537</v>
      </c>
      <c r="M2890" s="12" t="s">
        <v>485</v>
      </c>
      <c r="N2890" s="12" t="s">
        <v>7162</v>
      </c>
      <c r="O2890" s="9" t="str">
        <f aca="false">HYPERLINK("https://pbs.twimg.com/profile_images/903378377905668096/MY8Q_kPb_normal.jpg","View")</f>
        <v>View</v>
      </c>
      <c r="P2890" s="10"/>
    </row>
    <row r="2891" customFormat="false" ht="15.75" hidden="false" customHeight="false" outlineLevel="0" collapsed="false">
      <c r="A2891" s="6" t="n">
        <v>43030.3216782407</v>
      </c>
      <c r="B2891" s="7" t="str">
        <f aca="false">HYPERLINK("https://twitter.com/0ccasion2b","@0ccasion2b")</f>
        <v>@0ccasion2b</v>
      </c>
      <c r="C2891" s="8" t="s">
        <v>7163</v>
      </c>
      <c r="D2891" s="8" t="s">
        <v>7164</v>
      </c>
      <c r="E2891" s="9" t="str">
        <f aca="false">HYPERLINK("https://twitter.com/0ccasion2b/status/922111100635811840","922111100635811840")</f>
        <v>922111100635811840</v>
      </c>
      <c r="F2891" s="9" t="s">
        <v>2138</v>
      </c>
      <c r="G2891" s="10" t="n">
        <v>110</v>
      </c>
      <c r="H2891" s="10" t="n">
        <v>134</v>
      </c>
      <c r="I2891" s="10" t="n">
        <v>0</v>
      </c>
      <c r="J2891" s="10" t="n">
        <v>0</v>
      </c>
      <c r="K2891" s="10" t="s">
        <v>20</v>
      </c>
      <c r="L2891" s="11" t="n">
        <v>42750.9686226852</v>
      </c>
      <c r="M2891" s="12" t="s">
        <v>230</v>
      </c>
      <c r="N2891" s="12" t="s">
        <v>7165</v>
      </c>
      <c r="O2891" s="9" t="str">
        <f aca="false">HYPERLINK("https://pbs.twimg.com/profile_images/820893899736645636/qsrnn-2g_normal.jpg","View")</f>
        <v>View</v>
      </c>
      <c r="P2891" s="10"/>
    </row>
    <row r="2892" customFormat="false" ht="15.75" hidden="false" customHeight="false" outlineLevel="0" collapsed="false">
      <c r="A2892" s="6" t="n">
        <v>43030.3219328704</v>
      </c>
      <c r="B2892" s="7" t="str">
        <f aca="false">HYPERLINK("https://twitter.com/FGB358","@FGB358")</f>
        <v>@FGB358</v>
      </c>
      <c r="C2892" s="14" t="s">
        <v>7166</v>
      </c>
      <c r="D2892" s="8" t="s">
        <v>6707</v>
      </c>
      <c r="E2892" s="9" t="str">
        <f aca="false">HYPERLINK("https://twitter.com/FGB358/status/922111195850477572","922111195850477572")</f>
        <v>922111195850477572</v>
      </c>
      <c r="F2892" s="10" t="s">
        <v>25</v>
      </c>
      <c r="G2892" s="10" t="n">
        <v>30956</v>
      </c>
      <c r="H2892" s="10" t="n">
        <v>131</v>
      </c>
      <c r="I2892" s="10" t="n">
        <v>97</v>
      </c>
      <c r="J2892" s="10" t="n">
        <v>0</v>
      </c>
      <c r="K2892" s="10" t="s">
        <v>20</v>
      </c>
      <c r="L2892" s="11" t="n">
        <v>42184.5875694444</v>
      </c>
      <c r="M2892" s="13" t="s">
        <v>7167</v>
      </c>
      <c r="N2892" s="13" t="s">
        <v>7168</v>
      </c>
      <c r="O2892" s="9" t="str">
        <f aca="false">HYPERLINK("https://pbs.twimg.com/profile_images/922120416767893504/CGMtw2ex_normal.jpg","View")</f>
        <v>View</v>
      </c>
      <c r="P2892" s="10"/>
    </row>
    <row r="2893" customFormat="false" ht="15.75" hidden="false" customHeight="false" outlineLevel="0" collapsed="false">
      <c r="A2893" s="6" t="n">
        <v>43030.322037037</v>
      </c>
      <c r="B2893" s="7" t="str">
        <f aca="false">HYPERLINK("https://twitter.com/rcsamayoa","@rcsamayoa")</f>
        <v>@rcsamayoa</v>
      </c>
      <c r="C2893" s="8" t="s">
        <v>7169</v>
      </c>
      <c r="D2893" s="8" t="s">
        <v>7046</v>
      </c>
      <c r="E2893" s="9" t="str">
        <f aca="false">HYPERLINK("https://twitter.com/rcsamayoa/status/922111233964298242","922111233964298242")</f>
        <v>922111233964298242</v>
      </c>
      <c r="F2893" s="10" t="s">
        <v>51</v>
      </c>
      <c r="G2893" s="10" t="n">
        <v>588</v>
      </c>
      <c r="H2893" s="10" t="n">
        <v>1181</v>
      </c>
      <c r="I2893" s="10" t="n">
        <v>53</v>
      </c>
      <c r="J2893" s="10" t="n">
        <v>0</v>
      </c>
      <c r="K2893" s="10" t="s">
        <v>20</v>
      </c>
      <c r="L2893" s="11" t="n">
        <v>39957.5929282407</v>
      </c>
      <c r="M2893" s="12" t="s">
        <v>7170</v>
      </c>
      <c r="N2893" s="12" t="s">
        <v>7171</v>
      </c>
      <c r="O2893" s="9" t="str">
        <f aca="false">HYPERLINK("https://pbs.twimg.com/profile_images/892946815091220480/V9GcHng-_normal.jpg","View")</f>
        <v>View</v>
      </c>
      <c r="P2893" s="10"/>
    </row>
    <row r="2894" customFormat="false" ht="15.75" hidden="false" customHeight="false" outlineLevel="0" collapsed="false">
      <c r="A2894" s="6" t="n">
        <v>43030.3220601852</v>
      </c>
      <c r="B2894" s="7" t="str">
        <f aca="false">HYPERLINK("https://twitter.com/ebiharaism","@ebiharaism")</f>
        <v>@ebiharaism</v>
      </c>
      <c r="C2894" s="14" t="s">
        <v>7172</v>
      </c>
      <c r="D2894" s="8" t="s">
        <v>7173</v>
      </c>
      <c r="E2894" s="9" t="str">
        <f aca="false">HYPERLINK("https://twitter.com/ebiharaism/status/922111242801516545","922111242801516545")</f>
        <v>922111242801516545</v>
      </c>
      <c r="F2894" s="10" t="s">
        <v>39</v>
      </c>
      <c r="G2894" s="10" t="n">
        <v>377</v>
      </c>
      <c r="H2894" s="10" t="n">
        <v>542</v>
      </c>
      <c r="I2894" s="10" t="n">
        <v>0</v>
      </c>
      <c r="J2894" s="10" t="n">
        <v>0</v>
      </c>
      <c r="K2894" s="10" t="s">
        <v>20</v>
      </c>
      <c r="L2894" s="11" t="n">
        <v>41708.3338888889</v>
      </c>
      <c r="M2894" s="12" t="s">
        <v>7174</v>
      </c>
      <c r="N2894" s="13" t="s">
        <v>7175</v>
      </c>
      <c r="O2894" s="9" t="str">
        <f aca="false">HYPERLINK("https://pbs.twimg.com/profile_images/913721174663688193/vH5VwwD3_normal.jpg","View")</f>
        <v>View</v>
      </c>
      <c r="P2894" s="10"/>
    </row>
    <row r="2895" customFormat="false" ht="15.75" hidden="false" customHeight="false" outlineLevel="0" collapsed="false">
      <c r="A2895" s="6" t="n">
        <v>43030.3222916667</v>
      </c>
      <c r="B2895" s="7" t="str">
        <f aca="false">HYPERLINK("https://twitter.com/bpolitics","@bpolitics")</f>
        <v>@bpolitics</v>
      </c>
      <c r="C2895" s="8" t="s">
        <v>266</v>
      </c>
      <c r="D2895" s="8" t="s">
        <v>7176</v>
      </c>
      <c r="E2895" s="9" t="str">
        <f aca="false">HYPERLINK("https://twitter.com/bpolitics/status/922111325840474113","922111325840474113")</f>
        <v>922111325840474113</v>
      </c>
      <c r="F2895" s="10" t="s">
        <v>268</v>
      </c>
      <c r="G2895" s="10" t="n">
        <v>221390</v>
      </c>
      <c r="H2895" s="10" t="n">
        <v>868</v>
      </c>
      <c r="I2895" s="10" t="n">
        <v>8</v>
      </c>
      <c r="J2895" s="10" t="n">
        <v>13</v>
      </c>
      <c r="K2895" s="10" t="s">
        <v>20</v>
      </c>
      <c r="L2895" s="11" t="n">
        <v>41025.576400463</v>
      </c>
      <c r="M2895" s="12"/>
      <c r="N2895" s="12" t="s">
        <v>269</v>
      </c>
      <c r="O2895" s="9" t="str">
        <f aca="false">HYPERLINK("https://pbs.twimg.com/profile_images/714804098890133504/cUO4gD1A_normal.jpg","View")</f>
        <v>View</v>
      </c>
      <c r="P2895" s="10"/>
    </row>
    <row r="2896" customFormat="false" ht="15.75" hidden="false" customHeight="false" outlineLevel="0" collapsed="false">
      <c r="A2896" s="6" t="n">
        <v>43030.3226967593</v>
      </c>
      <c r="B2896" s="7" t="str">
        <f aca="false">HYPERLINK("https://twitter.com/adamfwalsh","@adamfwalsh")</f>
        <v>@adamfwalsh</v>
      </c>
      <c r="C2896" s="8" t="s">
        <v>6667</v>
      </c>
      <c r="D2896" s="8" t="s">
        <v>7177</v>
      </c>
      <c r="E2896" s="9" t="str">
        <f aca="false">HYPERLINK("https://twitter.com/adamfwalsh/status/922111469587591169","922111469587591169")</f>
        <v>922111469587591169</v>
      </c>
      <c r="F2896" s="10" t="s">
        <v>39</v>
      </c>
      <c r="G2896" s="10" t="n">
        <v>8740</v>
      </c>
      <c r="H2896" s="10" t="n">
        <v>5902</v>
      </c>
      <c r="I2896" s="10" t="n">
        <v>8</v>
      </c>
      <c r="J2896" s="10" t="n">
        <v>0</v>
      </c>
      <c r="K2896" s="10" t="s">
        <v>20</v>
      </c>
      <c r="L2896" s="11" t="n">
        <v>40639.7314814815</v>
      </c>
      <c r="M2896" s="12" t="s">
        <v>1529</v>
      </c>
      <c r="N2896" s="12" t="s">
        <v>6668</v>
      </c>
      <c r="O2896" s="9" t="str">
        <f aca="false">HYPERLINK("https://pbs.twimg.com/profile_images/664459266783387648/hVHHF38B_normal.jpg","View")</f>
        <v>View</v>
      </c>
      <c r="P2896" s="10"/>
    </row>
    <row r="2897" customFormat="false" ht="15.75" hidden="false" customHeight="false" outlineLevel="0" collapsed="false">
      <c r="A2897" s="6" t="n">
        <v>43030.3228240741</v>
      </c>
      <c r="B2897" s="7" t="str">
        <f aca="false">HYPERLINK("https://twitter.com/fight4women","@fight4women")</f>
        <v>@fight4women</v>
      </c>
      <c r="C2897" s="8" t="s">
        <v>7178</v>
      </c>
      <c r="D2897" s="8" t="s">
        <v>7177</v>
      </c>
      <c r="E2897" s="9" t="str">
        <f aca="false">HYPERLINK("https://twitter.com/fight4women/status/922111518069555200","922111518069555200")</f>
        <v>922111518069555200</v>
      </c>
      <c r="F2897" s="10" t="s">
        <v>39</v>
      </c>
      <c r="G2897" s="10" t="n">
        <v>1868</v>
      </c>
      <c r="H2897" s="10" t="n">
        <v>2155</v>
      </c>
      <c r="I2897" s="10" t="n">
        <v>8</v>
      </c>
      <c r="J2897" s="10" t="n">
        <v>0</v>
      </c>
      <c r="K2897" s="10" t="s">
        <v>20</v>
      </c>
      <c r="L2897" s="11" t="n">
        <v>41552.3765162037</v>
      </c>
      <c r="M2897" s="12" t="s">
        <v>7179</v>
      </c>
      <c r="N2897" s="12" t="s">
        <v>7180</v>
      </c>
      <c r="O2897" s="9" t="str">
        <f aca="false">HYPERLINK("https://pbs.twimg.com/profile_images/626594694688980992/wsn1qyg7_normal.png","View")</f>
        <v>View</v>
      </c>
      <c r="P2897" s="10"/>
    </row>
    <row r="2898" customFormat="false" ht="15.75" hidden="false" customHeight="false" outlineLevel="0" collapsed="false">
      <c r="A2898" s="6" t="n">
        <v>43030.322962963</v>
      </c>
      <c r="B2898" s="7" t="str">
        <f aca="false">HYPERLINK("https://twitter.com/bizdailies","@bizdailies")</f>
        <v>@bizdailies</v>
      </c>
      <c r="C2898" s="8" t="s">
        <v>7181</v>
      </c>
      <c r="D2898" s="8" t="s">
        <v>7182</v>
      </c>
      <c r="E2898" s="9" t="str">
        <f aca="false">HYPERLINK("https://twitter.com/bizdailies/status/922111569646907392","922111569646907392")</f>
        <v>922111569646907392</v>
      </c>
      <c r="F2898" s="10" t="s">
        <v>7181</v>
      </c>
      <c r="G2898" s="10" t="n">
        <v>2513</v>
      </c>
      <c r="H2898" s="10" t="n">
        <v>1173</v>
      </c>
      <c r="I2898" s="10" t="n">
        <v>0</v>
      </c>
      <c r="J2898" s="10" t="n">
        <v>0</v>
      </c>
      <c r="K2898" s="10" t="s">
        <v>20</v>
      </c>
      <c r="L2898" s="11" t="n">
        <v>41996.8695601852</v>
      </c>
      <c r="M2898" s="12"/>
      <c r="N2898" s="12" t="s">
        <v>7183</v>
      </c>
      <c r="O2898" s="9" t="str">
        <f aca="false">HYPERLINK("https://pbs.twimg.com/profile_images/547616103069782016/4M4P1R4i_normal.png","View")</f>
        <v>View</v>
      </c>
      <c r="P2898" s="10"/>
    </row>
    <row r="2899" customFormat="false" ht="15.75" hidden="false" customHeight="false" outlineLevel="0" collapsed="false">
      <c r="A2899" s="6" t="n">
        <v>43030.3230787037</v>
      </c>
      <c r="B2899" s="7" t="str">
        <f aca="false">HYPERLINK("https://twitter.com/catacrico","@catacrico")</f>
        <v>@catacrico</v>
      </c>
      <c r="C2899" s="14" t="s">
        <v>7184</v>
      </c>
      <c r="D2899" s="8" t="s">
        <v>7185</v>
      </c>
      <c r="E2899" s="9" t="str">
        <f aca="false">HYPERLINK("https://twitter.com/catacrico/status/922111609719242752","922111609719242752")</f>
        <v>922111609719242752</v>
      </c>
      <c r="F2899" s="10" t="s">
        <v>51</v>
      </c>
      <c r="G2899" s="10" t="n">
        <v>37</v>
      </c>
      <c r="H2899" s="10" t="n">
        <v>51</v>
      </c>
      <c r="I2899" s="10" t="n">
        <v>0</v>
      </c>
      <c r="J2899" s="10" t="n">
        <v>0</v>
      </c>
      <c r="K2899" s="10" t="s">
        <v>20</v>
      </c>
      <c r="L2899" s="11" t="n">
        <v>41512.3698958333</v>
      </c>
      <c r="M2899" s="13" t="s">
        <v>7186</v>
      </c>
      <c r="N2899" s="13" t="s">
        <v>7187</v>
      </c>
      <c r="O2899" s="9" t="str">
        <f aca="false">HYPERLINK("https://pbs.twimg.com/profile_images/378800000368936016/58d4be0638ad5f141b0b112e94fbf4be_normal.jpeg","View")</f>
        <v>View</v>
      </c>
      <c r="P2899" s="10"/>
    </row>
    <row r="2900" customFormat="false" ht="15.75" hidden="false" customHeight="false" outlineLevel="0" collapsed="false">
      <c r="A2900" s="6" t="n">
        <v>43030.3232407407</v>
      </c>
      <c r="B2900" s="7" t="str">
        <f aca="false">HYPERLINK("https://twitter.com/InfoOptions","@InfoOptions")</f>
        <v>@InfoOptions</v>
      </c>
      <c r="C2900" s="8" t="s">
        <v>180</v>
      </c>
      <c r="D2900" s="8" t="s">
        <v>7188</v>
      </c>
      <c r="E2900" s="9" t="str">
        <f aca="false">HYPERLINK("https://twitter.com/InfoOptions/status/922111667546329089","922111667546329089")</f>
        <v>922111667546329089</v>
      </c>
      <c r="F2900" s="10" t="s">
        <v>110</v>
      </c>
      <c r="G2900" s="10" t="n">
        <v>28659</v>
      </c>
      <c r="H2900" s="10" t="n">
        <v>25431</v>
      </c>
      <c r="I2900" s="10" t="n">
        <v>0</v>
      </c>
      <c r="J2900" s="10" t="n">
        <v>0</v>
      </c>
      <c r="K2900" s="10" t="s">
        <v>20</v>
      </c>
      <c r="L2900" s="11" t="n">
        <v>41192.6803935185</v>
      </c>
      <c r="M2900" s="12"/>
      <c r="N2900" s="12" t="s">
        <v>7189</v>
      </c>
      <c r="O2900" s="9" t="str">
        <f aca="false">HYPERLINK("https://pbs.twimg.com/profile_images/3191996784/ac7ae84fe912fa5a9c44c293c8534bfe_normal.jpeg","View")</f>
        <v>View</v>
      </c>
      <c r="P2900" s="10"/>
    </row>
    <row r="2901" customFormat="false" ht="15.75" hidden="false" customHeight="false" outlineLevel="0" collapsed="false">
      <c r="A2901" s="6" t="n">
        <v>43030.3233912037</v>
      </c>
      <c r="B2901" s="7" t="str">
        <f aca="false">HYPERLINK("https://twitter.com/SMToolsGo","@SMToolsGo")</f>
        <v>@SMToolsGo</v>
      </c>
      <c r="C2901" s="8" t="s">
        <v>7190</v>
      </c>
      <c r="D2901" s="8" t="s">
        <v>7191</v>
      </c>
      <c r="E2901" s="9" t="str">
        <f aca="false">HYPERLINK("https://twitter.com/SMToolsGo/status/922111722583937025","922111722583937025")</f>
        <v>922111722583937025</v>
      </c>
      <c r="F2901" s="10" t="s">
        <v>110</v>
      </c>
      <c r="G2901" s="10" t="n">
        <v>1703</v>
      </c>
      <c r="H2901" s="10" t="n">
        <v>1857</v>
      </c>
      <c r="I2901" s="10" t="n">
        <v>2</v>
      </c>
      <c r="J2901" s="10" t="n">
        <v>0</v>
      </c>
      <c r="K2901" s="10" t="s">
        <v>20</v>
      </c>
      <c r="L2901" s="11" t="n">
        <v>41938.517662037</v>
      </c>
      <c r="M2901" s="12" t="s">
        <v>319</v>
      </c>
      <c r="N2901" s="12" t="s">
        <v>7192</v>
      </c>
      <c r="O2901" s="9" t="str">
        <f aca="false">HYPERLINK("https://pbs.twimg.com/profile_images/526674220348997632/uW8TFM83_normal.jpeg","View")</f>
        <v>View</v>
      </c>
      <c r="P2901" s="10"/>
    </row>
    <row r="2902" customFormat="false" ht="15.75" hidden="false" customHeight="false" outlineLevel="0" collapsed="false">
      <c r="A2902" s="6" t="n">
        <v>43030.3237037037</v>
      </c>
      <c r="B2902" s="7" t="str">
        <f aca="false">HYPERLINK("https://twitter.com/oualumnus","@oualumnus")</f>
        <v>@oualumnus</v>
      </c>
      <c r="C2902" s="14" t="s">
        <v>7193</v>
      </c>
      <c r="D2902" s="8" t="s">
        <v>7177</v>
      </c>
      <c r="E2902" s="9" t="str">
        <f aca="false">HYPERLINK("https://twitter.com/oualumnus/status/922111838417952768","922111838417952768")</f>
        <v>922111838417952768</v>
      </c>
      <c r="F2902" s="10" t="s">
        <v>25</v>
      </c>
      <c r="G2902" s="10" t="n">
        <v>957</v>
      </c>
      <c r="H2902" s="10" t="n">
        <v>409</v>
      </c>
      <c r="I2902" s="10" t="n">
        <v>8</v>
      </c>
      <c r="J2902" s="10" t="n">
        <v>0</v>
      </c>
      <c r="K2902" s="10" t="s">
        <v>20</v>
      </c>
      <c r="L2902" s="11" t="n">
        <v>40966.7791435185</v>
      </c>
      <c r="M2902" s="12"/>
      <c r="N2902" s="13" t="s">
        <v>7194</v>
      </c>
      <c r="O2902" s="9" t="str">
        <f aca="false">HYPERLINK("https://pbs.twimg.com/profile_images/792394221923606528/GZvhEZid_normal.jpg","View")</f>
        <v>View</v>
      </c>
      <c r="P2902" s="10"/>
    </row>
    <row r="2903" customFormat="false" ht="15.75" hidden="false" customHeight="false" outlineLevel="0" collapsed="false">
      <c r="A2903" s="6" t="n">
        <v>43030.3238657407</v>
      </c>
      <c r="B2903" s="7" t="str">
        <f aca="false">HYPERLINK("https://twitter.com/smelllikesugar","@smelllikesugar")</f>
        <v>@smelllikesugar</v>
      </c>
      <c r="C2903" s="8" t="s">
        <v>7195</v>
      </c>
      <c r="D2903" s="8" t="s">
        <v>7046</v>
      </c>
      <c r="E2903" s="9" t="str">
        <f aca="false">HYPERLINK("https://twitter.com/smelllikesugar/status/922111897201270785","922111897201270785")</f>
        <v>922111897201270785</v>
      </c>
      <c r="F2903" s="10" t="s">
        <v>39</v>
      </c>
      <c r="G2903" s="10" t="n">
        <v>840</v>
      </c>
      <c r="H2903" s="10" t="n">
        <v>3945</v>
      </c>
      <c r="I2903" s="10" t="n">
        <v>53</v>
      </c>
      <c r="J2903" s="10" t="n">
        <v>0</v>
      </c>
      <c r="K2903" s="10" t="s">
        <v>20</v>
      </c>
      <c r="L2903" s="11" t="n">
        <v>42248.6372569444</v>
      </c>
      <c r="M2903" s="12" t="s">
        <v>7196</v>
      </c>
      <c r="N2903" s="12"/>
      <c r="O2903" s="9" t="str">
        <f aca="false">HYPERLINK("https://pbs.twimg.com/profile_images/786188161290342400/0_xE3zJx_normal.jpg","View")</f>
        <v>View</v>
      </c>
      <c r="P2903" s="10"/>
    </row>
    <row r="2904" customFormat="false" ht="15.75" hidden="false" customHeight="false" outlineLevel="0" collapsed="false">
      <c r="A2904" s="6" t="n">
        <v>43030.3239236111</v>
      </c>
      <c r="B2904" s="7" t="str">
        <f aca="false">HYPERLINK("https://twitter.com/noosa_noosa","@noosa_noosa")</f>
        <v>@noosa_noosa</v>
      </c>
      <c r="C2904" s="8" t="s">
        <v>7197</v>
      </c>
      <c r="D2904" s="8" t="s">
        <v>7198</v>
      </c>
      <c r="E2904" s="9" t="str">
        <f aca="false">HYPERLINK("https://twitter.com/noosa_noosa/status/922111914863345664","922111914863345664")</f>
        <v>922111914863345664</v>
      </c>
      <c r="F2904" s="10" t="s">
        <v>51</v>
      </c>
      <c r="G2904" s="10" t="n">
        <v>3477</v>
      </c>
      <c r="H2904" s="10" t="n">
        <v>4062</v>
      </c>
      <c r="I2904" s="10" t="n">
        <v>0</v>
      </c>
      <c r="J2904" s="10" t="n">
        <v>0</v>
      </c>
      <c r="K2904" s="10" t="s">
        <v>20</v>
      </c>
      <c r="L2904" s="11" t="n">
        <v>40087.0999189815</v>
      </c>
      <c r="M2904" s="12" t="s">
        <v>7199</v>
      </c>
      <c r="N2904" s="12"/>
      <c r="O2904" s="9" t="str">
        <f aca="false">HYPERLINK("https://pbs.twimg.com/profile_images/3434020531/7e518ad7bb87a833a09671f9e15efa8e_normal.jpeg","View")</f>
        <v>View</v>
      </c>
      <c r="P2904" s="10"/>
    </row>
    <row r="2905" customFormat="false" ht="15.75" hidden="false" customHeight="false" outlineLevel="0" collapsed="false">
      <c r="A2905" s="6" t="n">
        <v>43030.3242361111</v>
      </c>
      <c r="B2905" s="7" t="str">
        <f aca="false">HYPERLINK("https://twitter.com/ScarffeJ","@ScarffeJ")</f>
        <v>@ScarffeJ</v>
      </c>
      <c r="C2905" s="8" t="s">
        <v>7200</v>
      </c>
      <c r="D2905" s="8" t="s">
        <v>7201</v>
      </c>
      <c r="E2905" s="9" t="str">
        <f aca="false">HYPERLINK("https://twitter.com/ScarffeJ/status/922112028138881024","922112028138881024")</f>
        <v>922112028138881024</v>
      </c>
      <c r="F2905" s="10" t="s">
        <v>51</v>
      </c>
      <c r="G2905" s="10" t="n">
        <v>59</v>
      </c>
      <c r="H2905" s="10" t="n">
        <v>42</v>
      </c>
      <c r="I2905" s="10" t="n">
        <v>0</v>
      </c>
      <c r="J2905" s="10" t="n">
        <v>0</v>
      </c>
      <c r="K2905" s="10" t="s">
        <v>20</v>
      </c>
      <c r="L2905" s="11" t="n">
        <v>40793.7669791667</v>
      </c>
      <c r="M2905" s="12"/>
      <c r="N2905" s="12"/>
      <c r="O2905" s="9" t="str">
        <f aca="false">HYPERLINK("https://pbs.twimg.com/profile_images/641668603809411073/JkuMuIBM_normal.png","View")</f>
        <v>View</v>
      </c>
      <c r="P2905" s="10"/>
    </row>
    <row r="2906" customFormat="false" ht="15.75" hidden="false" customHeight="false" outlineLevel="0" collapsed="false">
      <c r="A2906" s="6" t="n">
        <v>43030.3243402778</v>
      </c>
      <c r="B2906" s="7" t="str">
        <f aca="false">HYPERLINK("https://twitter.com/danielbeland","@danielbeland")</f>
        <v>@danielbeland</v>
      </c>
      <c r="C2906" s="8" t="s">
        <v>7202</v>
      </c>
      <c r="D2906" s="8" t="s">
        <v>7203</v>
      </c>
      <c r="E2906" s="9" t="str">
        <f aca="false">HYPERLINK("https://twitter.com/danielbeland/status/922112068769247232","922112068769247232")</f>
        <v>922112068769247232</v>
      </c>
      <c r="F2906" s="10" t="s">
        <v>51</v>
      </c>
      <c r="G2906" s="10" t="n">
        <v>1078</v>
      </c>
      <c r="H2906" s="10" t="n">
        <v>1122</v>
      </c>
      <c r="I2906" s="10" t="n">
        <v>1</v>
      </c>
      <c r="J2906" s="10" t="n">
        <v>0</v>
      </c>
      <c r="K2906" s="10" t="s">
        <v>20</v>
      </c>
      <c r="L2906" s="11" t="n">
        <v>40445.3823842593</v>
      </c>
      <c r="M2906" s="12" t="s">
        <v>7204</v>
      </c>
      <c r="N2906" s="12" t="s">
        <v>7205</v>
      </c>
      <c r="O2906" s="9" t="str">
        <f aca="false">HYPERLINK("https://pbs.twimg.com/profile_images/2261588358/Beland_Picture_JSGS_normal.jpg","View")</f>
        <v>View</v>
      </c>
      <c r="P2906" s="10"/>
    </row>
    <row r="2907" customFormat="false" ht="15.75" hidden="false" customHeight="false" outlineLevel="0" collapsed="false">
      <c r="A2907" s="6" t="n">
        <v>43030.3247685185</v>
      </c>
      <c r="B2907" s="7" t="str">
        <f aca="false">HYPERLINK("https://twitter.com/SuckMyLEFTJuan","@SuckMyLEFTJuan")</f>
        <v>@SuckMyLEFTJuan</v>
      </c>
      <c r="C2907" s="8" t="s">
        <v>7206</v>
      </c>
      <c r="D2907" s="8" t="s">
        <v>7207</v>
      </c>
      <c r="E2907" s="9" t="str">
        <f aca="false">HYPERLINK("https://twitter.com/SuckMyLEFTJuan/status/922112222565875712","922112222565875712")</f>
        <v>922112222565875712</v>
      </c>
      <c r="F2907" s="10" t="s">
        <v>39</v>
      </c>
      <c r="G2907" s="10" t="n">
        <v>2642</v>
      </c>
      <c r="H2907" s="10" t="n">
        <v>3499</v>
      </c>
      <c r="I2907" s="10" t="n">
        <v>1</v>
      </c>
      <c r="J2907" s="10" t="n">
        <v>0</v>
      </c>
      <c r="K2907" s="10" t="s">
        <v>20</v>
      </c>
      <c r="L2907" s="11" t="n">
        <v>39849.9838657407</v>
      </c>
      <c r="M2907" s="12" t="s">
        <v>7208</v>
      </c>
      <c r="N2907" s="12" t="s">
        <v>7209</v>
      </c>
      <c r="O2907" s="9" t="str">
        <f aca="false">HYPERLINK("https://pbs.twimg.com/profile_images/859297184973561856/udAOOtlQ_normal.png","View")</f>
        <v>View</v>
      </c>
      <c r="P2907" s="10"/>
    </row>
    <row r="2908" customFormat="false" ht="15.75" hidden="false" customHeight="false" outlineLevel="0" collapsed="false">
      <c r="A2908" s="6" t="n">
        <v>43030.324849537</v>
      </c>
      <c r="B2908" s="7" t="str">
        <f aca="false">HYPERLINK("https://twitter.com/Dell56","@Dell56")</f>
        <v>@Dell56</v>
      </c>
      <c r="C2908" s="8" t="s">
        <v>7210</v>
      </c>
      <c r="D2908" s="8" t="s">
        <v>7211</v>
      </c>
      <c r="E2908" s="9" t="str">
        <f aca="false">HYPERLINK("https://twitter.com/Dell56/status/922112251976388611","922112251976388611")</f>
        <v>922112251976388611</v>
      </c>
      <c r="F2908" s="10" t="s">
        <v>47</v>
      </c>
      <c r="G2908" s="10" t="n">
        <v>135</v>
      </c>
      <c r="H2908" s="10" t="n">
        <v>809</v>
      </c>
      <c r="I2908" s="10" t="n">
        <v>0</v>
      </c>
      <c r="J2908" s="10" t="n">
        <v>0</v>
      </c>
      <c r="K2908" s="10" t="s">
        <v>20</v>
      </c>
      <c r="L2908" s="11" t="n">
        <v>40086.2320949074</v>
      </c>
      <c r="M2908" s="12" t="s">
        <v>7212</v>
      </c>
      <c r="N2908" s="12"/>
      <c r="O2908" s="9" t="str">
        <f aca="false">HYPERLINK("https://pbs.twimg.com/profile_images/1380785914/Dell_Black___White_normal.jpg","View")</f>
        <v>View</v>
      </c>
      <c r="P2908" s="10"/>
    </row>
    <row r="2909" customFormat="false" ht="15.75" hidden="false" customHeight="false" outlineLevel="0" collapsed="false">
      <c r="A2909" s="6" t="n">
        <v>43030.325162037</v>
      </c>
      <c r="B2909" s="7" t="str">
        <f aca="false">HYPERLINK("https://twitter.com/jaimeotero_","@jaimeotero_")</f>
        <v>@jaimeotero_</v>
      </c>
      <c r="C2909" s="8" t="s">
        <v>205</v>
      </c>
      <c r="D2909" s="8" t="s">
        <v>7213</v>
      </c>
      <c r="E2909" s="9" t="str">
        <f aca="false">HYPERLINK("https://twitter.com/jaimeotero_/status/922112365973385216","922112365973385216")</f>
        <v>922112365973385216</v>
      </c>
      <c r="F2909" s="10" t="s">
        <v>60</v>
      </c>
      <c r="G2909" s="10" t="n">
        <v>34488</v>
      </c>
      <c r="H2909" s="10" t="n">
        <v>31251</v>
      </c>
      <c r="I2909" s="10" t="n">
        <v>0</v>
      </c>
      <c r="J2909" s="10" t="n">
        <v>0</v>
      </c>
      <c r="K2909" s="10" t="s">
        <v>20</v>
      </c>
      <c r="L2909" s="11" t="n">
        <v>42531.0121990741</v>
      </c>
      <c r="M2909" s="12" t="s">
        <v>207</v>
      </c>
      <c r="N2909" s="12" t="s">
        <v>208</v>
      </c>
      <c r="O2909" s="9" t="str">
        <f aca="false">HYPERLINK("https://pbs.twimg.com/profile_images/849817561281818626/acAU04SD_normal.jpg","View")</f>
        <v>View</v>
      </c>
      <c r="P2909" s="10"/>
    </row>
    <row r="2910" customFormat="false" ht="15.75" hidden="false" customHeight="false" outlineLevel="0" collapsed="false">
      <c r="A2910" s="6" t="n">
        <v>43030.3251851852</v>
      </c>
      <c r="B2910" s="7" t="str">
        <f aca="false">HYPERLINK("https://twitter.com/SuckMyLEFTJuan","@SuckMyLEFTJuan")</f>
        <v>@SuckMyLEFTJuan</v>
      </c>
      <c r="C2910" s="8" t="s">
        <v>7206</v>
      </c>
      <c r="D2910" s="8" t="s">
        <v>7214</v>
      </c>
      <c r="E2910" s="9" t="str">
        <f aca="false">HYPERLINK("https://twitter.com/SuckMyLEFTJuan/status/922112373841838080","922112373841838080")</f>
        <v>922112373841838080</v>
      </c>
      <c r="F2910" s="10" t="s">
        <v>39</v>
      </c>
      <c r="G2910" s="10" t="n">
        <v>2642</v>
      </c>
      <c r="H2910" s="10" t="n">
        <v>3499</v>
      </c>
      <c r="I2910" s="10" t="n">
        <v>2</v>
      </c>
      <c r="J2910" s="10" t="n">
        <v>0</v>
      </c>
      <c r="K2910" s="10" t="s">
        <v>20</v>
      </c>
      <c r="L2910" s="11" t="n">
        <v>39849.9838657407</v>
      </c>
      <c r="M2910" s="12" t="s">
        <v>7208</v>
      </c>
      <c r="N2910" s="12" t="s">
        <v>7209</v>
      </c>
      <c r="O2910" s="9" t="str">
        <f aca="false">HYPERLINK("https://pbs.twimg.com/profile_images/859297184973561856/udAOOtlQ_normal.png","View")</f>
        <v>View</v>
      </c>
      <c r="P2910" s="10"/>
    </row>
    <row r="2911" customFormat="false" ht="15.75" hidden="false" customHeight="false" outlineLevel="0" collapsed="false">
      <c r="A2911" s="6" t="n">
        <v>43030.3254282407</v>
      </c>
      <c r="B2911" s="7" t="str">
        <f aca="false">HYPERLINK("https://twitter.com/SantiagoN1976","@SantiagoN1976")</f>
        <v>@SantiagoN1976</v>
      </c>
      <c r="C2911" s="8" t="s">
        <v>7215</v>
      </c>
      <c r="D2911" s="8" t="s">
        <v>7046</v>
      </c>
      <c r="E2911" s="9" t="str">
        <f aca="false">HYPERLINK("https://twitter.com/SantiagoN1976/status/922112460689215488","922112460689215488")</f>
        <v>922112460689215488</v>
      </c>
      <c r="F2911" s="10" t="s">
        <v>25</v>
      </c>
      <c r="G2911" s="10" t="n">
        <v>200</v>
      </c>
      <c r="H2911" s="10" t="n">
        <v>1115</v>
      </c>
      <c r="I2911" s="10" t="n">
        <v>53</v>
      </c>
      <c r="J2911" s="10" t="n">
        <v>0</v>
      </c>
      <c r="K2911" s="10" t="s">
        <v>20</v>
      </c>
      <c r="L2911" s="11" t="n">
        <v>42534.692037037</v>
      </c>
      <c r="M2911" s="12" t="s">
        <v>7216</v>
      </c>
      <c r="N2911" s="12" t="s">
        <v>7217</v>
      </c>
      <c r="O2911" s="9" t="str">
        <f aca="false">HYPERLINK("https://pbs.twimg.com/profile_images/744318441839013888/Oe1ur9rR_normal.jpg","View")</f>
        <v>View</v>
      </c>
      <c r="P2911" s="10"/>
    </row>
    <row r="2912" customFormat="false" ht="15.75" hidden="false" customHeight="false" outlineLevel="0" collapsed="false">
      <c r="A2912" s="6" t="n">
        <v>43030.3256597222</v>
      </c>
      <c r="B2912" s="7" t="str">
        <f aca="false">HYPERLINK("https://twitter.com/estrellaespana","@estrellaespana")</f>
        <v>@estrellaespana</v>
      </c>
      <c r="C2912" s="8" t="s">
        <v>7218</v>
      </c>
      <c r="D2912" s="8" t="s">
        <v>4984</v>
      </c>
      <c r="E2912" s="9" t="str">
        <f aca="false">HYPERLINK("https://twitter.com/estrellaespana/status/922112543467778048","922112543467778048")</f>
        <v>922112543467778048</v>
      </c>
      <c r="F2912" s="10" t="s">
        <v>177</v>
      </c>
      <c r="G2912" s="10" t="n">
        <v>995</v>
      </c>
      <c r="H2912" s="10" t="n">
        <v>964</v>
      </c>
      <c r="I2912" s="10" t="n">
        <v>187</v>
      </c>
      <c r="J2912" s="10" t="n">
        <v>0</v>
      </c>
      <c r="K2912" s="10" t="s">
        <v>20</v>
      </c>
      <c r="L2912" s="11" t="n">
        <v>41955.2131712963</v>
      </c>
      <c r="M2912" s="12"/>
      <c r="N2912" s="12" t="s">
        <v>7219</v>
      </c>
      <c r="O2912" s="9" t="str">
        <f aca="false">HYPERLINK("https://pbs.twimg.com/profile_images/633498539851558912/YDIP0g7t_normal.jpg","View")</f>
        <v>View</v>
      </c>
      <c r="P2912" s="10"/>
    </row>
    <row r="2913" customFormat="false" ht="15.75" hidden="false" customHeight="false" outlineLevel="0" collapsed="false">
      <c r="A2913" s="6" t="n">
        <v>43030.3257175926</v>
      </c>
      <c r="B2913" s="7" t="str">
        <f aca="false">HYPERLINK("https://twitter.com/andydl321","@andydl321")</f>
        <v>@andydl321</v>
      </c>
      <c r="C2913" s="8" t="s">
        <v>5800</v>
      </c>
      <c r="D2913" s="8" t="s">
        <v>7220</v>
      </c>
      <c r="E2913" s="9" t="str">
        <f aca="false">HYPERLINK("https://twitter.com/andydl321/status/922112564875747328","922112564875747328")</f>
        <v>922112564875747328</v>
      </c>
      <c r="F2913" s="10" t="s">
        <v>177</v>
      </c>
      <c r="G2913" s="10" t="n">
        <v>1425</v>
      </c>
      <c r="H2913" s="10" t="n">
        <v>3170</v>
      </c>
      <c r="I2913" s="10" t="n">
        <v>0</v>
      </c>
      <c r="J2913" s="10" t="n">
        <v>0</v>
      </c>
      <c r="K2913" s="10" t="s">
        <v>20</v>
      </c>
      <c r="L2913" s="11" t="n">
        <v>39922.483125</v>
      </c>
      <c r="M2913" s="12" t="s">
        <v>491</v>
      </c>
      <c r="N2913" s="12" t="s">
        <v>5802</v>
      </c>
      <c r="O2913" s="9" t="str">
        <f aca="false">HYPERLINK("https://pbs.twimg.com/profile_images/920357015523803137/guMv7yh3_normal.jpg","View")</f>
        <v>View</v>
      </c>
      <c r="P2913" s="10"/>
    </row>
    <row r="2914" customFormat="false" ht="15.75" hidden="false" customHeight="false" outlineLevel="0" collapsed="false">
      <c r="A2914" s="6" t="n">
        <v>43030.3260300926</v>
      </c>
      <c r="B2914" s="7" t="str">
        <f aca="false">HYPERLINK("https://twitter.com/nic120688","@nic120688")</f>
        <v>@nic120688</v>
      </c>
      <c r="C2914" s="8" t="s">
        <v>1380</v>
      </c>
      <c r="D2914" s="8" t="s">
        <v>7221</v>
      </c>
      <c r="E2914" s="9" t="str">
        <f aca="false">HYPERLINK("https://twitter.com/nic120688/status/922112680244269057","922112680244269057")</f>
        <v>922112680244269057</v>
      </c>
      <c r="F2914" s="10" t="s">
        <v>60</v>
      </c>
      <c r="G2914" s="10" t="n">
        <v>75</v>
      </c>
      <c r="H2914" s="10" t="n">
        <v>42</v>
      </c>
      <c r="I2914" s="10" t="n">
        <v>0</v>
      </c>
      <c r="J2914" s="10" t="n">
        <v>0</v>
      </c>
      <c r="K2914" s="10" t="s">
        <v>20</v>
      </c>
      <c r="L2914" s="11" t="n">
        <v>41854.729837963</v>
      </c>
      <c r="M2914" s="12"/>
      <c r="N2914" s="12" t="s">
        <v>1382</v>
      </c>
      <c r="O2914" s="9" t="str">
        <f aca="false">HYPERLINK("https://pbs.twimg.com/profile_images/637274663236694016/Y2oQYdpK_normal.jpg","View")</f>
        <v>View</v>
      </c>
      <c r="P2914" s="10"/>
    </row>
    <row r="2915" customFormat="false" ht="15.75" hidden="false" customHeight="false" outlineLevel="0" collapsed="false">
      <c r="A2915" s="6" t="n">
        <v>43030.3264814815</v>
      </c>
      <c r="B2915" s="7" t="str">
        <f aca="false">HYPERLINK("https://twitter.com/supra1Bqteam","@supra1Bqteam")</f>
        <v>@supra1Bqteam</v>
      </c>
      <c r="C2915" s="8" t="s">
        <v>1092</v>
      </c>
      <c r="D2915" s="8" t="s">
        <v>7222</v>
      </c>
      <c r="E2915" s="9" t="str">
        <f aca="false">HYPERLINK("https://twitter.com/supra1Bqteam/status/922112845122125824","922112845122125824")</f>
        <v>922112845122125824</v>
      </c>
      <c r="F2915" s="9" t="s">
        <v>1147</v>
      </c>
      <c r="G2915" s="10" t="n">
        <v>29104</v>
      </c>
      <c r="H2915" s="10" t="n">
        <v>27568</v>
      </c>
      <c r="I2915" s="10" t="n">
        <v>0</v>
      </c>
      <c r="J2915" s="10" t="n">
        <v>0</v>
      </c>
      <c r="K2915" s="10" t="s">
        <v>20</v>
      </c>
      <c r="L2915" s="11" t="n">
        <v>40930.4692824074</v>
      </c>
      <c r="M2915" s="12" t="s">
        <v>1094</v>
      </c>
      <c r="N2915" s="12" t="s">
        <v>1095</v>
      </c>
      <c r="O2915" s="9" t="str">
        <f aca="false">HYPERLINK("https://pbs.twimg.com/profile_images/752065571068444672/dkKCTbsg_normal.jpg","View")</f>
        <v>View</v>
      </c>
      <c r="P2915" s="10"/>
    </row>
    <row r="2916" customFormat="false" ht="15.75" hidden="false" customHeight="false" outlineLevel="0" collapsed="false">
      <c r="A2916" s="6" t="n">
        <v>43030.3265277778</v>
      </c>
      <c r="B2916" s="7" t="str">
        <f aca="false">HYPERLINK("https://twitter.com/ngpoulos","@ngpoulos")</f>
        <v>@ngpoulos</v>
      </c>
      <c r="C2916" s="8" t="s">
        <v>7223</v>
      </c>
      <c r="D2916" s="8" t="s">
        <v>7224</v>
      </c>
      <c r="E2916" s="9" t="str">
        <f aca="false">HYPERLINK("https://twitter.com/ngpoulos/status/922112860968366080","922112860968366080")</f>
        <v>922112860968366080</v>
      </c>
      <c r="F2916" s="10" t="s">
        <v>51</v>
      </c>
      <c r="G2916" s="10" t="n">
        <v>4412</v>
      </c>
      <c r="H2916" s="10" t="n">
        <v>4902</v>
      </c>
      <c r="I2916" s="10" t="n">
        <v>0</v>
      </c>
      <c r="J2916" s="10" t="n">
        <v>0</v>
      </c>
      <c r="K2916" s="10" t="s">
        <v>20</v>
      </c>
      <c r="L2916" s="11" t="n">
        <v>39856.5754976852</v>
      </c>
      <c r="M2916" s="12" t="s">
        <v>7225</v>
      </c>
      <c r="N2916" s="12" t="s">
        <v>7226</v>
      </c>
      <c r="O2916" s="9" t="str">
        <f aca="false">HYPERLINK("https://pbs.twimg.com/profile_images/683392542067535872/SHj6HE5__normal.jpg","View")</f>
        <v>View</v>
      </c>
      <c r="P2916" s="10"/>
    </row>
    <row r="2917" customFormat="false" ht="15.75" hidden="false" customHeight="false" outlineLevel="0" collapsed="false">
      <c r="A2917" s="6" t="n">
        <v>43030.3265972222</v>
      </c>
      <c r="B2917" s="7" t="str">
        <f aca="false">HYPERLINK("https://twitter.com/Tekki_VR","@Tekki_VR")</f>
        <v>@Tekki_VR</v>
      </c>
      <c r="C2917" s="8" t="s">
        <v>225</v>
      </c>
      <c r="D2917" s="8" t="s">
        <v>7227</v>
      </c>
      <c r="E2917" s="9" t="str">
        <f aca="false">HYPERLINK("https://twitter.com/Tekki_VR/status/922112884699779073","922112884699779073")</f>
        <v>922112884699779073</v>
      </c>
      <c r="F2917" s="10" t="s">
        <v>60</v>
      </c>
      <c r="G2917" s="10" t="n">
        <v>1895</v>
      </c>
      <c r="H2917" s="10" t="n">
        <v>2479</v>
      </c>
      <c r="I2917" s="10" t="n">
        <v>0</v>
      </c>
      <c r="J2917" s="10" t="n">
        <v>0</v>
      </c>
      <c r="K2917" s="10" t="s">
        <v>20</v>
      </c>
      <c r="L2917" s="11" t="n">
        <v>42263.5455324074</v>
      </c>
      <c r="M2917" s="12" t="s">
        <v>227</v>
      </c>
      <c r="N2917" s="12" t="s">
        <v>228</v>
      </c>
      <c r="O2917" s="9" t="str">
        <f aca="false">HYPERLINK("https://pbs.twimg.com/profile_images/760662770694098944/h1nSBfE8_normal.jpg","View")</f>
        <v>View</v>
      </c>
      <c r="P2917" s="10"/>
    </row>
    <row r="2918" customFormat="false" ht="15.75" hidden="false" customHeight="false" outlineLevel="0" collapsed="false">
      <c r="A2918" s="6" t="n">
        <v>43030.3266435185</v>
      </c>
      <c r="B2918" s="7" t="str">
        <f aca="false">HYPERLINK("https://twitter.com/samjstiver","@samjstiver")</f>
        <v>@samjstiver</v>
      </c>
      <c r="C2918" s="8" t="s">
        <v>7228</v>
      </c>
      <c r="D2918" s="8" t="s">
        <v>4984</v>
      </c>
      <c r="E2918" s="9" t="str">
        <f aca="false">HYPERLINK("https://twitter.com/samjstiver/status/922112902580133893","922112902580133893")</f>
        <v>922112902580133893</v>
      </c>
      <c r="F2918" s="10" t="s">
        <v>51</v>
      </c>
      <c r="G2918" s="10" t="n">
        <v>162</v>
      </c>
      <c r="H2918" s="10" t="n">
        <v>1634</v>
      </c>
      <c r="I2918" s="10" t="n">
        <v>187</v>
      </c>
      <c r="J2918" s="10" t="n">
        <v>0</v>
      </c>
      <c r="K2918" s="10" t="s">
        <v>20</v>
      </c>
      <c r="L2918" s="11" t="n">
        <v>41744.4978356481</v>
      </c>
      <c r="M2918" s="12" t="s">
        <v>697</v>
      </c>
      <c r="N2918" s="12" t="s">
        <v>7229</v>
      </c>
      <c r="O2918" s="9" t="str">
        <f aca="false">HYPERLINK("https://pbs.twimg.com/profile_images/858332418813591552/SPWn_1Lt_normal.jpg","View")</f>
        <v>View</v>
      </c>
      <c r="P2918" s="10"/>
    </row>
    <row r="2919" customFormat="false" ht="15.75" hidden="false" customHeight="false" outlineLevel="0" collapsed="false">
      <c r="A2919" s="6" t="n">
        <v>43030.3267476852</v>
      </c>
      <c r="B2919" s="7" t="str">
        <f aca="false">HYPERLINK("https://twitter.com/FGB358","@FGB358")</f>
        <v>@FGB358</v>
      </c>
      <c r="C2919" s="14" t="s">
        <v>7166</v>
      </c>
      <c r="D2919" s="8" t="s">
        <v>7230</v>
      </c>
      <c r="E2919" s="9" t="str">
        <f aca="false">HYPERLINK("https://twitter.com/FGB358/status/922112939573747712","922112939573747712")</f>
        <v>922112939573747712</v>
      </c>
      <c r="F2919" s="10" t="s">
        <v>25</v>
      </c>
      <c r="G2919" s="10" t="n">
        <v>30956</v>
      </c>
      <c r="H2919" s="10" t="n">
        <v>131</v>
      </c>
      <c r="I2919" s="10" t="n">
        <v>30</v>
      </c>
      <c r="J2919" s="10" t="n">
        <v>33</v>
      </c>
      <c r="K2919" s="10" t="s">
        <v>20</v>
      </c>
      <c r="L2919" s="11" t="n">
        <v>42184.5875694444</v>
      </c>
      <c r="M2919" s="13" t="s">
        <v>7167</v>
      </c>
      <c r="N2919" s="13" t="s">
        <v>7168</v>
      </c>
      <c r="O2919" s="9" t="str">
        <f aca="false">HYPERLINK("https://pbs.twimg.com/profile_images/922120416767893504/CGMtw2ex_normal.jpg","View")</f>
        <v>View</v>
      </c>
      <c r="P2919" s="10"/>
    </row>
    <row r="2920" customFormat="false" ht="15.75" hidden="false" customHeight="false" outlineLevel="0" collapsed="false">
      <c r="A2920" s="6" t="n">
        <v>43030.3268634259</v>
      </c>
      <c r="B2920" s="7" t="str">
        <f aca="false">HYPERLINK("https://twitter.com/sjderrick","@sjderrick")</f>
        <v>@sjderrick</v>
      </c>
      <c r="C2920" s="8" t="s">
        <v>7231</v>
      </c>
      <c r="D2920" s="8" t="s">
        <v>7232</v>
      </c>
      <c r="E2920" s="9" t="str">
        <f aca="false">HYPERLINK("https://twitter.com/sjderrick/status/922112979688153088","922112979688153088")</f>
        <v>922112979688153088</v>
      </c>
      <c r="F2920" s="10" t="s">
        <v>51</v>
      </c>
      <c r="G2920" s="10" t="n">
        <v>1403</v>
      </c>
      <c r="H2920" s="10" t="n">
        <v>262</v>
      </c>
      <c r="I2920" s="10" t="n">
        <v>0</v>
      </c>
      <c r="J2920" s="10" t="n">
        <v>2</v>
      </c>
      <c r="K2920" s="10" t="s">
        <v>20</v>
      </c>
      <c r="L2920" s="11" t="n">
        <v>40533.2391203704</v>
      </c>
      <c r="M2920" s="12" t="s">
        <v>893</v>
      </c>
      <c r="N2920" s="12" t="s">
        <v>7233</v>
      </c>
      <c r="O2920" s="9" t="str">
        <f aca="false">HYPERLINK("https://pbs.twimg.com/profile_images/1414453568/NYCMellon_1774552i_normal.jpg","View")</f>
        <v>View</v>
      </c>
      <c r="P2920" s="10"/>
    </row>
    <row r="2921" customFormat="false" ht="15.75" hidden="false" customHeight="false" outlineLevel="0" collapsed="false">
      <c r="A2921" s="6" t="n">
        <v>43030.3270023148</v>
      </c>
      <c r="B2921" s="7" t="str">
        <f aca="false">HYPERLINK("https://twitter.com/punz_c","@punz_c")</f>
        <v>@punz_c</v>
      </c>
      <c r="C2921" s="8" t="s">
        <v>7234</v>
      </c>
      <c r="D2921" s="8" t="s">
        <v>3295</v>
      </c>
      <c r="E2921" s="9" t="str">
        <f aca="false">HYPERLINK("https://twitter.com/punz_c/status/922113030443245568","922113030443245568")</f>
        <v>922113030443245568</v>
      </c>
      <c r="F2921" s="10" t="s">
        <v>51</v>
      </c>
      <c r="G2921" s="10" t="n">
        <v>650</v>
      </c>
      <c r="H2921" s="10" t="n">
        <v>383</v>
      </c>
      <c r="I2921" s="10" t="n">
        <v>71</v>
      </c>
      <c r="J2921" s="10" t="n">
        <v>0</v>
      </c>
      <c r="K2921" s="10" t="s">
        <v>20</v>
      </c>
      <c r="L2921" s="11" t="n">
        <v>40198.8517708333</v>
      </c>
      <c r="M2921" s="12" t="s">
        <v>7235</v>
      </c>
      <c r="N2921" s="12" t="s">
        <v>7236</v>
      </c>
      <c r="O2921" s="9" t="str">
        <f aca="false">HYPERLINK("https://pbs.twimg.com/profile_images/692388507642236928/FzPyC2lP_normal.jpg","View")</f>
        <v>View</v>
      </c>
      <c r="P2921" s="10"/>
    </row>
    <row r="2922" customFormat="false" ht="15.75" hidden="false" customHeight="false" outlineLevel="0" collapsed="false">
      <c r="A2922" s="6" t="n">
        <v>43030.3270138889</v>
      </c>
      <c r="B2922" s="7" t="str">
        <f aca="false">HYPERLINK("https://twitter.com/rose_stabler","@rose_stabler")</f>
        <v>@rose_stabler</v>
      </c>
      <c r="C2922" s="8" t="s">
        <v>7237</v>
      </c>
      <c r="D2922" s="8" t="s">
        <v>7177</v>
      </c>
      <c r="E2922" s="9" t="str">
        <f aca="false">HYPERLINK("https://twitter.com/rose_stabler/status/922113036915216384","922113036915216384")</f>
        <v>922113036915216384</v>
      </c>
      <c r="F2922" s="10" t="s">
        <v>25</v>
      </c>
      <c r="G2922" s="10" t="n">
        <v>356</v>
      </c>
      <c r="H2922" s="10" t="n">
        <v>367</v>
      </c>
      <c r="I2922" s="10" t="n">
        <v>8</v>
      </c>
      <c r="J2922" s="10" t="n">
        <v>0</v>
      </c>
      <c r="K2922" s="10" t="s">
        <v>20</v>
      </c>
      <c r="L2922" s="11" t="n">
        <v>42293.7999537037</v>
      </c>
      <c r="M2922" s="12" t="s">
        <v>7238</v>
      </c>
      <c r="N2922" s="12" t="s">
        <v>7239</v>
      </c>
      <c r="O2922" s="9" t="str">
        <f aca="false">HYPERLINK("https://pbs.twimg.com/profile_images/912131410084982786/yG03lC41_normal.jpg","View")</f>
        <v>View</v>
      </c>
      <c r="P2922" s="10"/>
    </row>
    <row r="2923" customFormat="false" ht="15.75" hidden="false" customHeight="false" outlineLevel="0" collapsed="false">
      <c r="A2923" s="6" t="n">
        <v>43030.3270486111</v>
      </c>
      <c r="B2923" s="7" t="str">
        <f aca="false">HYPERLINK("https://twitter.com/smita_pr","@smita_pr")</f>
        <v>@smita_pr</v>
      </c>
      <c r="C2923" s="8" t="s">
        <v>7240</v>
      </c>
      <c r="D2923" s="8" t="s">
        <v>6558</v>
      </c>
      <c r="E2923" s="9" t="str">
        <f aca="false">HYPERLINK("https://twitter.com/smita_pr/status/922113047451205632","922113047451205632")</f>
        <v>922113047451205632</v>
      </c>
      <c r="F2923" s="10" t="s">
        <v>51</v>
      </c>
      <c r="G2923" s="10" t="n">
        <v>130</v>
      </c>
      <c r="H2923" s="10" t="n">
        <v>241</v>
      </c>
      <c r="I2923" s="10" t="n">
        <v>65</v>
      </c>
      <c r="J2923" s="10" t="n">
        <v>0</v>
      </c>
      <c r="K2923" s="10" t="s">
        <v>20</v>
      </c>
      <c r="L2923" s="11" t="n">
        <v>41828.5883449074</v>
      </c>
      <c r="M2923" s="12" t="s">
        <v>7241</v>
      </c>
      <c r="N2923" s="12" t="s">
        <v>7242</v>
      </c>
      <c r="O2923" s="9" t="str">
        <f aca="false">HYPERLINK("https://pbs.twimg.com/profile_images/681488296866889729/BViiZKDN_normal.jpg","View")</f>
        <v>View</v>
      </c>
      <c r="P2923" s="10"/>
    </row>
    <row r="2924" customFormat="false" ht="15.75" hidden="false" customHeight="false" outlineLevel="0" collapsed="false">
      <c r="A2924" s="6" t="n">
        <v>43030.3277777778</v>
      </c>
      <c r="B2924" s="7" t="str">
        <f aca="false">HYPERLINK("https://twitter.com/ohdaira4300","@ohdaira4300")</f>
        <v>@ohdaira4300</v>
      </c>
      <c r="C2924" s="8" t="s">
        <v>7243</v>
      </c>
      <c r="D2924" s="8" t="s">
        <v>7046</v>
      </c>
      <c r="E2924" s="9" t="str">
        <f aca="false">HYPERLINK("https://twitter.com/ohdaira4300/status/922113314762539010","922113314762539010")</f>
        <v>922113314762539010</v>
      </c>
      <c r="F2924" s="10" t="s">
        <v>25</v>
      </c>
      <c r="G2924" s="10" t="n">
        <v>3</v>
      </c>
      <c r="H2924" s="10" t="n">
        <v>36</v>
      </c>
      <c r="I2924" s="10" t="n">
        <v>53</v>
      </c>
      <c r="J2924" s="10" t="n">
        <v>0</v>
      </c>
      <c r="K2924" s="10" t="s">
        <v>20</v>
      </c>
      <c r="L2924" s="11" t="n">
        <v>43001.2545833333</v>
      </c>
      <c r="M2924" s="12" t="s">
        <v>1257</v>
      </c>
      <c r="N2924" s="13" t="s">
        <v>7244</v>
      </c>
      <c r="O2924" s="9" t="str">
        <f aca="false">HYPERLINK("https://pbs.twimg.com/profile_images/917579686686769152/Cbwrqe5R_normal.jpg","View")</f>
        <v>View</v>
      </c>
      <c r="P2924" s="10"/>
    </row>
    <row r="2925" customFormat="false" ht="15.75" hidden="false" customHeight="false" outlineLevel="0" collapsed="false">
      <c r="A2925" s="6" t="n">
        <v>43030.3285532407</v>
      </c>
      <c r="B2925" s="7" t="str">
        <f aca="false">HYPERLINK("https://twitter.com/CityAM","@CityAM")</f>
        <v>@CityAM</v>
      </c>
      <c r="C2925" s="8" t="s">
        <v>7245</v>
      </c>
      <c r="D2925" s="8" t="s">
        <v>7246</v>
      </c>
      <c r="E2925" s="9" t="str">
        <f aca="false">HYPERLINK("https://twitter.com/CityAM/status/922113594556162049","922113594556162049")</f>
        <v>922113594556162049</v>
      </c>
      <c r="F2925" s="9" t="s">
        <v>1147</v>
      </c>
      <c r="G2925" s="10" t="n">
        <v>49646</v>
      </c>
      <c r="H2925" s="10" t="n">
        <v>429</v>
      </c>
      <c r="I2925" s="10" t="n">
        <v>1</v>
      </c>
      <c r="J2925" s="10" t="n">
        <v>0</v>
      </c>
      <c r="K2925" s="10" t="s">
        <v>20</v>
      </c>
      <c r="L2925" s="11" t="n">
        <v>39973.286875</v>
      </c>
      <c r="M2925" s="12" t="s">
        <v>182</v>
      </c>
      <c r="N2925" s="12" t="s">
        <v>7247</v>
      </c>
      <c r="O2925" s="9" t="str">
        <f aca="false">HYPERLINK("https://pbs.twimg.com/profile_images/882244135255764993/imaO0-Wi_normal.jpg","View")</f>
        <v>View</v>
      </c>
      <c r="P2925" s="10"/>
    </row>
    <row r="2926" customFormat="false" ht="15.75" hidden="false" customHeight="false" outlineLevel="0" collapsed="false">
      <c r="A2926" s="6" t="n">
        <v>43030.3286574074</v>
      </c>
      <c r="B2926" s="7" t="str">
        <f aca="false">HYPERLINK("https://twitter.com/stinson","@stinson")</f>
        <v>@stinson</v>
      </c>
      <c r="C2926" s="8" t="s">
        <v>7248</v>
      </c>
      <c r="D2926" s="8" t="s">
        <v>4984</v>
      </c>
      <c r="E2926" s="9" t="str">
        <f aca="false">HYPERLINK("https://twitter.com/stinson/status/922113632405614592","922113632405614592")</f>
        <v>922113632405614592</v>
      </c>
      <c r="F2926" s="10" t="s">
        <v>51</v>
      </c>
      <c r="G2926" s="10" t="n">
        <v>6625</v>
      </c>
      <c r="H2926" s="10" t="n">
        <v>3009</v>
      </c>
      <c r="I2926" s="10" t="n">
        <v>187</v>
      </c>
      <c r="J2926" s="10" t="n">
        <v>0</v>
      </c>
      <c r="K2926" s="10" t="s">
        <v>20</v>
      </c>
      <c r="L2926" s="11" t="n">
        <v>39382.082025463</v>
      </c>
      <c r="M2926" s="12" t="s">
        <v>7249</v>
      </c>
      <c r="N2926" s="12" t="s">
        <v>7250</v>
      </c>
      <c r="O2926" s="9" t="str">
        <f aca="false">HYPERLINK("https://pbs.twimg.com/profile_images/851971334506545152/pJu8lxZx_normal.jpg","View")</f>
        <v>View</v>
      </c>
      <c r="P2926" s="10"/>
    </row>
    <row r="2927" customFormat="false" ht="15.75" hidden="false" customHeight="false" outlineLevel="0" collapsed="false">
      <c r="A2927" s="6" t="n">
        <v>43030.3289236111</v>
      </c>
      <c r="B2927" s="7" t="str">
        <f aca="false">HYPERLINK("https://twitter.com/BreakingNewPak","@BreakingNewPak")</f>
        <v>@BreakingNewPak</v>
      </c>
      <c r="C2927" s="8" t="s">
        <v>7251</v>
      </c>
      <c r="D2927" s="8" t="s">
        <v>7252</v>
      </c>
      <c r="E2927" s="9" t="str">
        <f aca="false">HYPERLINK("https://twitter.com/BreakingNewPak/status/922113728618704896","922113728618704896")</f>
        <v>922113728618704896</v>
      </c>
      <c r="F2927" s="10" t="s">
        <v>7253</v>
      </c>
      <c r="G2927" s="10" t="n">
        <v>13471</v>
      </c>
      <c r="H2927" s="10" t="n">
        <v>1024</v>
      </c>
      <c r="I2927" s="10" t="n">
        <v>0</v>
      </c>
      <c r="J2927" s="10" t="n">
        <v>0</v>
      </c>
      <c r="K2927" s="10" t="s">
        <v>20</v>
      </c>
      <c r="L2927" s="11" t="n">
        <v>41782.9488310185</v>
      </c>
      <c r="M2927" s="12" t="s">
        <v>516</v>
      </c>
      <c r="N2927" s="12" t="s">
        <v>7254</v>
      </c>
      <c r="O2927" s="9" t="str">
        <f aca="false">HYPERLINK("https://pbs.twimg.com/profile_images/474265073175650304/OT06rItA_normal.png","View")</f>
        <v>View</v>
      </c>
      <c r="P2927" s="10"/>
    </row>
    <row r="2928" customFormat="false" ht="15.75" hidden="false" customHeight="false" outlineLevel="0" collapsed="false">
      <c r="A2928" s="6" t="n">
        <v>43030.3294444444</v>
      </c>
      <c r="B2928" s="7" t="str">
        <f aca="false">HYPERLINK("https://twitter.com/quierojj126","@quierojj126")</f>
        <v>@quierojj126</v>
      </c>
      <c r="C2928" s="8" t="s">
        <v>7255</v>
      </c>
      <c r="D2928" s="8" t="s">
        <v>7046</v>
      </c>
      <c r="E2928" s="9" t="str">
        <f aca="false">HYPERLINK("https://twitter.com/quierojj126/status/922113918704562177","922113918704562177")</f>
        <v>922113918704562177</v>
      </c>
      <c r="F2928" s="10" t="s">
        <v>51</v>
      </c>
      <c r="G2928" s="10" t="n">
        <v>2057</v>
      </c>
      <c r="H2928" s="10" t="n">
        <v>2512</v>
      </c>
      <c r="I2928" s="10" t="n">
        <v>53</v>
      </c>
      <c r="J2928" s="10" t="n">
        <v>0</v>
      </c>
      <c r="K2928" s="10" t="s">
        <v>20</v>
      </c>
      <c r="L2928" s="11" t="n">
        <v>40358.7568402778</v>
      </c>
      <c r="M2928" s="12" t="s">
        <v>3254</v>
      </c>
      <c r="N2928" s="13" t="s">
        <v>7256</v>
      </c>
      <c r="O2928" s="9" t="str">
        <f aca="false">HYPERLINK("https://pbs.twimg.com/profile_images/507316974569803776/m5IAcFxC_normal.jpeg","View")</f>
        <v>View</v>
      </c>
      <c r="P2928" s="10"/>
    </row>
    <row r="2929" customFormat="false" ht="15.75" hidden="false" customHeight="false" outlineLevel="0" collapsed="false">
      <c r="A2929" s="6" t="n">
        <v>43030.3295023148</v>
      </c>
      <c r="B2929" s="7" t="str">
        <f aca="false">HYPERLINK("https://twitter.com/chezmichel7","@chezmichel7")</f>
        <v>@chezmichel7</v>
      </c>
      <c r="C2929" s="8" t="s">
        <v>7257</v>
      </c>
      <c r="D2929" s="8" t="s">
        <v>7258</v>
      </c>
      <c r="E2929" s="9" t="str">
        <f aca="false">HYPERLINK("https://twitter.com/chezmichel7/status/922113936123609088","922113936123609088")</f>
        <v>922113936123609088</v>
      </c>
      <c r="F2929" s="10" t="s">
        <v>51</v>
      </c>
      <c r="G2929" s="10" t="n">
        <v>478</v>
      </c>
      <c r="H2929" s="10" t="n">
        <v>1157</v>
      </c>
      <c r="I2929" s="10" t="n">
        <v>0</v>
      </c>
      <c r="J2929" s="10" t="n">
        <v>0</v>
      </c>
      <c r="K2929" s="10" t="s">
        <v>20</v>
      </c>
      <c r="L2929" s="11" t="n">
        <v>40382.8910300926</v>
      </c>
      <c r="M2929" s="12" t="s">
        <v>7259</v>
      </c>
      <c r="N2929" s="12" t="s">
        <v>7260</v>
      </c>
      <c r="O2929" s="9" t="str">
        <f aca="false">HYPERLINK("https://pbs.twimg.com/profile_images/482318131759562752/Dch8xbOn_normal.jpeg","View")</f>
        <v>View</v>
      </c>
      <c r="P2929" s="10"/>
    </row>
    <row r="2930" customFormat="false" ht="15.75" hidden="false" customHeight="false" outlineLevel="0" collapsed="false">
      <c r="A2930" s="6" t="n">
        <v>43030.3297453704</v>
      </c>
      <c r="B2930" s="7" t="str">
        <f aca="false">HYPERLINK("https://twitter.com/jimmyhoshi","@jimmyhoshi")</f>
        <v>@jimmyhoshi</v>
      </c>
      <c r="C2930" s="8" t="s">
        <v>1651</v>
      </c>
      <c r="D2930" s="8" t="s">
        <v>7261</v>
      </c>
      <c r="E2930" s="9" t="str">
        <f aca="false">HYPERLINK("https://twitter.com/jimmyhoshi/status/922114027572011009","922114027572011009")</f>
        <v>922114027572011009</v>
      </c>
      <c r="F2930" s="10" t="s">
        <v>1653</v>
      </c>
      <c r="G2930" s="10" t="n">
        <v>8715</v>
      </c>
      <c r="H2930" s="10" t="n">
        <v>8482</v>
      </c>
      <c r="I2930" s="10" t="n">
        <v>0</v>
      </c>
      <c r="J2930" s="10" t="n">
        <v>0</v>
      </c>
      <c r="K2930" s="10" t="s">
        <v>20</v>
      </c>
      <c r="L2930" s="11" t="n">
        <v>41922.7041087963</v>
      </c>
      <c r="M2930" s="12" t="s">
        <v>1654</v>
      </c>
      <c r="N2930" s="12" t="s">
        <v>1655</v>
      </c>
      <c r="O2930" s="9" t="str">
        <f aca="false">HYPERLINK("https://pbs.twimg.com/profile_images/525551979565555712/q1hl0v2W_normal.png","View")</f>
        <v>View</v>
      </c>
      <c r="P2930" s="10"/>
    </row>
    <row r="2931" customFormat="false" ht="15.75" hidden="false" customHeight="false" outlineLevel="0" collapsed="false">
      <c r="A2931" s="6" t="n">
        <v>43030.3297685185</v>
      </c>
      <c r="B2931" s="7" t="str">
        <f aca="false">HYPERLINK("https://twitter.com/Cheers_TokyoJPN","@Cheers_TokyoJPN")</f>
        <v>@Cheers_TokyoJPN</v>
      </c>
      <c r="C2931" s="8" t="s">
        <v>7150</v>
      </c>
      <c r="D2931" s="8" t="s">
        <v>7046</v>
      </c>
      <c r="E2931" s="9" t="str">
        <f aca="false">HYPERLINK("https://twitter.com/Cheers_TokyoJPN/status/922114035184574471","922114035184574471")</f>
        <v>922114035184574471</v>
      </c>
      <c r="F2931" s="10" t="s">
        <v>25</v>
      </c>
      <c r="G2931" s="10" t="n">
        <v>239</v>
      </c>
      <c r="H2931" s="10" t="n">
        <v>282</v>
      </c>
      <c r="I2931" s="10" t="n">
        <v>53</v>
      </c>
      <c r="J2931" s="10" t="n">
        <v>0</v>
      </c>
      <c r="K2931" s="10" t="s">
        <v>20</v>
      </c>
      <c r="L2931" s="11" t="n">
        <v>42981.3273032408</v>
      </c>
      <c r="M2931" s="13" t="s">
        <v>7151</v>
      </c>
      <c r="N2931" s="13" t="s">
        <v>7152</v>
      </c>
      <c r="O2931" s="9" t="str">
        <f aca="false">HYPERLINK("https://pbs.twimg.com/profile_images/904670646927466496/Q0GF83u2_normal.jpg","View")</f>
        <v>View</v>
      </c>
      <c r="P2931" s="10"/>
    </row>
    <row r="2932" customFormat="false" ht="15.75" hidden="false" customHeight="false" outlineLevel="0" collapsed="false">
      <c r="A2932" s="6" t="n">
        <v>43030.3298958333</v>
      </c>
      <c r="B2932" s="7" t="str">
        <f aca="false">HYPERLINK("https://twitter.com/HAZUMA_JPN","@HAZUMA_JPN")</f>
        <v>@HAZUMA_JPN</v>
      </c>
      <c r="C2932" s="8" t="s">
        <v>1462</v>
      </c>
      <c r="D2932" s="8" t="s">
        <v>7262</v>
      </c>
      <c r="E2932" s="9" t="str">
        <f aca="false">HYPERLINK("https://twitter.com/HAZUMA_JPN/status/922114080747524097","922114080747524097")</f>
        <v>922114080747524097</v>
      </c>
      <c r="F2932" s="10" t="s">
        <v>51</v>
      </c>
      <c r="G2932" s="10" t="n">
        <v>470</v>
      </c>
      <c r="H2932" s="10" t="n">
        <v>3162</v>
      </c>
      <c r="I2932" s="10" t="n">
        <v>7</v>
      </c>
      <c r="J2932" s="10" t="n">
        <v>0</v>
      </c>
      <c r="K2932" s="10" t="s">
        <v>20</v>
      </c>
      <c r="L2932" s="11" t="n">
        <v>41559.639212963</v>
      </c>
      <c r="M2932" s="12" t="s">
        <v>723</v>
      </c>
      <c r="N2932" s="12" t="s">
        <v>1464</v>
      </c>
      <c r="O2932" s="9" t="str">
        <f aca="false">HYPERLINK("https://pbs.twimg.com/profile_images/770376087977230336/zeh0Ktrm_normal.jpg","View")</f>
        <v>View</v>
      </c>
      <c r="P2932" s="10"/>
    </row>
    <row r="2933" customFormat="false" ht="15.75" hidden="false" customHeight="false" outlineLevel="0" collapsed="false">
      <c r="A2933" s="6" t="n">
        <v>43030.3303819444</v>
      </c>
      <c r="B2933" s="7" t="str">
        <f aca="false">HYPERLINK("https://twitter.com/aacotan","@aacotan")</f>
        <v>@aacotan</v>
      </c>
      <c r="C2933" s="14" t="s">
        <v>7263</v>
      </c>
      <c r="D2933" s="8" t="s">
        <v>7046</v>
      </c>
      <c r="E2933" s="9" t="str">
        <f aca="false">HYPERLINK("https://twitter.com/aacotan/status/922114257063260161","922114257063260161")</f>
        <v>922114257063260161</v>
      </c>
      <c r="F2933" s="10" t="s">
        <v>51</v>
      </c>
      <c r="G2933" s="10" t="n">
        <v>85</v>
      </c>
      <c r="H2933" s="10" t="n">
        <v>129</v>
      </c>
      <c r="I2933" s="10" t="n">
        <v>53</v>
      </c>
      <c r="J2933" s="10" t="n">
        <v>0</v>
      </c>
      <c r="K2933" s="10" t="s">
        <v>20</v>
      </c>
      <c r="L2933" s="11" t="n">
        <v>42033.2515277778</v>
      </c>
      <c r="M2933" s="12"/>
      <c r="N2933" s="13" t="s">
        <v>7264</v>
      </c>
      <c r="O2933" s="9" t="str">
        <f aca="false">HYPERLINK("https://pbs.twimg.com/profile_images/890962420264427520/aCt5_MXK_normal.jpg","View")</f>
        <v>View</v>
      </c>
      <c r="P2933" s="10"/>
    </row>
    <row r="2934" customFormat="false" ht="15.75" hidden="false" customHeight="false" outlineLevel="0" collapsed="false">
      <c r="A2934" s="6" t="n">
        <v>43030.3306018519</v>
      </c>
      <c r="B2934" s="7" t="str">
        <f aca="false">HYPERLINK("https://twitter.com/RonnieChopra1","@RonnieChopra1")</f>
        <v>@RonnieChopra1</v>
      </c>
      <c r="C2934" s="8" t="s">
        <v>3272</v>
      </c>
      <c r="D2934" s="8" t="s">
        <v>7265</v>
      </c>
      <c r="E2934" s="9" t="str">
        <f aca="false">HYPERLINK("https://twitter.com/RonnieChopra1/status/922114337484963841","922114337484963841")</f>
        <v>922114337484963841</v>
      </c>
      <c r="F2934" s="10" t="s">
        <v>39</v>
      </c>
      <c r="G2934" s="10" t="n">
        <v>341</v>
      </c>
      <c r="H2934" s="10" t="n">
        <v>340</v>
      </c>
      <c r="I2934" s="10" t="n">
        <v>1</v>
      </c>
      <c r="J2934" s="10" t="n">
        <v>0</v>
      </c>
      <c r="K2934" s="10" t="s">
        <v>20</v>
      </c>
      <c r="L2934" s="11" t="n">
        <v>41331.9768287037</v>
      </c>
      <c r="M2934" s="12" t="s">
        <v>182</v>
      </c>
      <c r="N2934" s="12" t="s">
        <v>3274</v>
      </c>
      <c r="O2934" s="9" t="str">
        <f aca="false">HYPERLINK("https://pbs.twimg.com/profile_images/3313936859/e9c0e1009ee15e8f9e5d5f37ffa845a5_normal.jpeg","View")</f>
        <v>View</v>
      </c>
      <c r="P2934" s="10"/>
    </row>
    <row r="2935" customFormat="false" ht="15.75" hidden="false" customHeight="false" outlineLevel="0" collapsed="false">
      <c r="A2935" s="6" t="n">
        <v>43030.3307060185</v>
      </c>
      <c r="B2935" s="7" t="str">
        <f aca="false">HYPERLINK("https://twitter.com/NAR","@NAR")</f>
        <v>@NAR</v>
      </c>
      <c r="C2935" s="8" t="s">
        <v>1471</v>
      </c>
      <c r="D2935" s="8" t="s">
        <v>7266</v>
      </c>
      <c r="E2935" s="9" t="str">
        <f aca="false">HYPERLINK("https://twitter.com/NAR/status/922114376160526337","922114376160526337")</f>
        <v>922114376160526337</v>
      </c>
      <c r="F2935" s="10" t="s">
        <v>7267</v>
      </c>
      <c r="G2935" s="10" t="n">
        <v>57287</v>
      </c>
      <c r="H2935" s="10" t="n">
        <v>23</v>
      </c>
      <c r="I2935" s="10" t="n">
        <v>9</v>
      </c>
      <c r="J2935" s="10" t="n">
        <v>6</v>
      </c>
      <c r="K2935" s="10" t="s">
        <v>20</v>
      </c>
      <c r="L2935" s="11" t="n">
        <v>40890.8868634259</v>
      </c>
      <c r="M2935" s="12" t="s">
        <v>1473</v>
      </c>
      <c r="N2935" s="12" t="s">
        <v>1474</v>
      </c>
      <c r="O2935" s="9" t="str">
        <f aca="false">HYPERLINK("https://pbs.twimg.com/profile_images/669688096879841280/kyJYc3j-_normal.png","View")</f>
        <v>View</v>
      </c>
      <c r="P2935" s="10"/>
    </row>
    <row r="2936" customFormat="false" ht="15.75" hidden="false" customHeight="false" outlineLevel="0" collapsed="false">
      <c r="A2936" s="6" t="n">
        <v>43030.3314467593</v>
      </c>
      <c r="B2936" s="7" t="str">
        <f aca="false">HYPERLINK("https://twitter.com/hundericocco","@hundericocco")</f>
        <v>@hundericocco</v>
      </c>
      <c r="C2936" s="14" t="s">
        <v>7268</v>
      </c>
      <c r="D2936" s="8" t="s">
        <v>6963</v>
      </c>
      <c r="E2936" s="9" t="str">
        <f aca="false">HYPERLINK("https://twitter.com/hundericocco/status/922114641853005824","922114641853005824")</f>
        <v>922114641853005824</v>
      </c>
      <c r="F2936" s="10" t="s">
        <v>51</v>
      </c>
      <c r="G2936" s="10" t="n">
        <v>6536</v>
      </c>
      <c r="H2936" s="10" t="n">
        <v>6845</v>
      </c>
      <c r="I2936" s="10" t="n">
        <v>3</v>
      </c>
      <c r="J2936" s="10" t="n">
        <v>0</v>
      </c>
      <c r="K2936" s="10" t="s">
        <v>20</v>
      </c>
      <c r="L2936" s="11" t="n">
        <v>41151.4322106482</v>
      </c>
      <c r="M2936" s="12"/>
      <c r="N2936" s="12" t="s">
        <v>7269</v>
      </c>
      <c r="O2936" s="9" t="str">
        <f aca="false">HYPERLINK("https://pbs.twimg.com/profile_images/611939205090906112/ssdbyUu4_normal.jpg","View")</f>
        <v>View</v>
      </c>
      <c r="P2936" s="10"/>
    </row>
    <row r="2937" customFormat="false" ht="15.75" hidden="false" customHeight="false" outlineLevel="0" collapsed="false">
      <c r="A2937" s="6" t="n">
        <v>43030.3314699074</v>
      </c>
      <c r="B2937" s="7" t="str">
        <f aca="false">HYPERLINK("https://twitter.com/hundericocco","@hundericocco")</f>
        <v>@hundericocco</v>
      </c>
      <c r="C2937" s="14" t="s">
        <v>7268</v>
      </c>
      <c r="D2937" s="8" t="s">
        <v>7262</v>
      </c>
      <c r="E2937" s="9" t="str">
        <f aca="false">HYPERLINK("https://twitter.com/hundericocco/status/922114652347043840","922114652347043840")</f>
        <v>922114652347043840</v>
      </c>
      <c r="F2937" s="10" t="s">
        <v>51</v>
      </c>
      <c r="G2937" s="10" t="n">
        <v>6536</v>
      </c>
      <c r="H2937" s="10" t="n">
        <v>6845</v>
      </c>
      <c r="I2937" s="10" t="n">
        <v>7</v>
      </c>
      <c r="J2937" s="10" t="n">
        <v>0</v>
      </c>
      <c r="K2937" s="10" t="s">
        <v>20</v>
      </c>
      <c r="L2937" s="11" t="n">
        <v>41151.4322106482</v>
      </c>
      <c r="M2937" s="12"/>
      <c r="N2937" s="12" t="s">
        <v>7269</v>
      </c>
      <c r="O2937" s="9" t="str">
        <f aca="false">HYPERLINK("https://pbs.twimg.com/profile_images/611939205090906112/ssdbyUu4_normal.jpg","View")</f>
        <v>View</v>
      </c>
      <c r="P2937" s="10"/>
    </row>
    <row r="2938" customFormat="false" ht="15.75" hidden="false" customHeight="false" outlineLevel="0" collapsed="false">
      <c r="A2938" s="6" t="n">
        <v>43030.3315509259</v>
      </c>
      <c r="B2938" s="7" t="str">
        <f aca="false">HYPERLINK("https://twitter.com/JASO_Latest","@JASO_Latest")</f>
        <v>@JASO_Latest</v>
      </c>
      <c r="C2938" s="8" t="s">
        <v>7270</v>
      </c>
      <c r="D2938" s="8" t="s">
        <v>7271</v>
      </c>
      <c r="E2938" s="9" t="str">
        <f aca="false">HYPERLINK("https://twitter.com/JASO_Latest/status/922114679039696897","922114679039696897")</f>
        <v>922114679039696897</v>
      </c>
      <c r="F2938" s="10" t="s">
        <v>51</v>
      </c>
      <c r="G2938" s="10" t="n">
        <v>48</v>
      </c>
      <c r="H2938" s="10" t="n">
        <v>46</v>
      </c>
      <c r="I2938" s="10" t="n">
        <v>0</v>
      </c>
      <c r="J2938" s="10" t="n">
        <v>0</v>
      </c>
      <c r="K2938" s="10" t="s">
        <v>20</v>
      </c>
      <c r="L2938" s="11" t="n">
        <v>42998.559849537</v>
      </c>
      <c r="M2938" s="12" t="s">
        <v>7272</v>
      </c>
      <c r="N2938" s="12" t="s">
        <v>7273</v>
      </c>
      <c r="O2938" s="9" t="str">
        <f aca="false">HYPERLINK("https://pbs.twimg.com/profile_images/910602160550768640/ScduBM4h_normal.jpg","View")</f>
        <v>View</v>
      </c>
      <c r="P2938" s="10"/>
    </row>
    <row r="2939" customFormat="false" ht="15.75" hidden="false" customHeight="false" outlineLevel="0" collapsed="false">
      <c r="A2939" s="6" t="n">
        <v>43030.3316666667</v>
      </c>
      <c r="B2939" s="7" t="str">
        <f aca="false">HYPERLINK("https://twitter.com/sritrader","@sritrader")</f>
        <v>@sritrader</v>
      </c>
      <c r="C2939" s="8" t="s">
        <v>7274</v>
      </c>
      <c r="D2939" s="8" t="s">
        <v>7275</v>
      </c>
      <c r="E2939" s="9" t="str">
        <f aca="false">HYPERLINK("https://twitter.com/sritrader/status/922114723981783041","922114723981783041")</f>
        <v>922114723981783041</v>
      </c>
      <c r="F2939" s="10" t="s">
        <v>25</v>
      </c>
      <c r="G2939" s="10" t="n">
        <v>723</v>
      </c>
      <c r="H2939" s="10" t="n">
        <v>583</v>
      </c>
      <c r="I2939" s="10" t="n">
        <v>9</v>
      </c>
      <c r="J2939" s="10" t="n">
        <v>0</v>
      </c>
      <c r="K2939" s="10" t="s">
        <v>20</v>
      </c>
      <c r="L2939" s="11" t="n">
        <v>40107.4094444444</v>
      </c>
      <c r="M2939" s="12" t="s">
        <v>7276</v>
      </c>
      <c r="N2939" s="12" t="s">
        <v>7277</v>
      </c>
      <c r="O2939" s="9" t="str">
        <f aca="false">HYPERLINK("https://pbs.twimg.com/profile_images/547648541036777472/-GCDN_5U_normal.jpeg","View")</f>
        <v>View</v>
      </c>
      <c r="P2939" s="10"/>
    </row>
    <row r="2940" customFormat="false" ht="15.75" hidden="false" customHeight="false" outlineLevel="0" collapsed="false">
      <c r="A2940" s="6" t="n">
        <v>43030.3317939815</v>
      </c>
      <c r="B2940" s="7" t="str">
        <f aca="false">HYPERLINK("https://twitter.com/takabaritone","@takabaritone")</f>
        <v>@takabaritone</v>
      </c>
      <c r="C2940" s="8" t="s">
        <v>7278</v>
      </c>
      <c r="D2940" s="8" t="s">
        <v>7279</v>
      </c>
      <c r="E2940" s="9" t="str">
        <f aca="false">HYPERLINK("https://twitter.com/takabaritone/status/922114766981795841","922114766981795841")</f>
        <v>922114766981795841</v>
      </c>
      <c r="F2940" s="10" t="s">
        <v>39</v>
      </c>
      <c r="G2940" s="10" t="n">
        <v>1254</v>
      </c>
      <c r="H2940" s="10" t="n">
        <v>703</v>
      </c>
      <c r="I2940" s="10" t="n">
        <v>0</v>
      </c>
      <c r="J2940" s="10" t="n">
        <v>0</v>
      </c>
      <c r="K2940" s="10" t="s">
        <v>20</v>
      </c>
      <c r="L2940" s="11" t="n">
        <v>41454.8634606482</v>
      </c>
      <c r="M2940" s="12" t="s">
        <v>7280</v>
      </c>
      <c r="N2940" s="13" t="s">
        <v>7281</v>
      </c>
      <c r="O2940" s="9" t="str">
        <f aca="false">HYPERLINK("https://pbs.twimg.com/profile_images/828492740996513793/JrbCt2WQ_normal.jpg","View")</f>
        <v>View</v>
      </c>
      <c r="P2940" s="10"/>
    </row>
    <row r="2941" customFormat="false" ht="15.75" hidden="false" customHeight="false" outlineLevel="0" collapsed="false">
      <c r="A2941" s="6" t="n">
        <v>43030.3320138889</v>
      </c>
      <c r="B2941" s="7" t="str">
        <f aca="false">HYPERLINK("https://twitter.com/mingmingminimin","@mingmingminimin")</f>
        <v>@mingmingminimin</v>
      </c>
      <c r="C2941" s="14" t="s">
        <v>7282</v>
      </c>
      <c r="D2941" s="8" t="s">
        <v>7177</v>
      </c>
      <c r="E2941" s="9" t="str">
        <f aca="false">HYPERLINK("https://twitter.com/mingmingminimin/status/922114849383026688","922114849383026688")</f>
        <v>922114849383026688</v>
      </c>
      <c r="F2941" s="10" t="s">
        <v>51</v>
      </c>
      <c r="G2941" s="10" t="n">
        <v>48</v>
      </c>
      <c r="H2941" s="10" t="n">
        <v>86</v>
      </c>
      <c r="I2941" s="10" t="n">
        <v>8</v>
      </c>
      <c r="J2941" s="10" t="n">
        <v>0</v>
      </c>
      <c r="K2941" s="10" t="s">
        <v>20</v>
      </c>
      <c r="L2941" s="11" t="n">
        <v>42472.6739699074</v>
      </c>
      <c r="M2941" s="13" t="s">
        <v>7283</v>
      </c>
      <c r="N2941" s="13" t="s">
        <v>7284</v>
      </c>
      <c r="O2941" s="9" t="str">
        <f aca="false">HYPERLINK("https://pbs.twimg.com/profile_images/737975504188387328/ldHGrKhK_normal.jpg","View")</f>
        <v>View</v>
      </c>
      <c r="P2941" s="10"/>
    </row>
    <row r="2942" customFormat="false" ht="15.75" hidden="false" customHeight="false" outlineLevel="0" collapsed="false">
      <c r="A2942" s="6" t="n">
        <v>43030.3325115741</v>
      </c>
      <c r="B2942" s="7" t="str">
        <f aca="false">HYPERLINK("https://twitter.com/M_Scrumptious","@M_Scrumptious")</f>
        <v>@M_Scrumptious</v>
      </c>
      <c r="C2942" s="8" t="s">
        <v>7285</v>
      </c>
      <c r="D2942" s="8" t="s">
        <v>7046</v>
      </c>
      <c r="E2942" s="9" t="str">
        <f aca="false">HYPERLINK("https://twitter.com/M_Scrumptious/status/922115027670155265","922115027670155265")</f>
        <v>922115027670155265</v>
      </c>
      <c r="F2942" s="10" t="s">
        <v>51</v>
      </c>
      <c r="G2942" s="10" t="n">
        <v>57</v>
      </c>
      <c r="H2942" s="10" t="n">
        <v>140</v>
      </c>
      <c r="I2942" s="10" t="n">
        <v>53</v>
      </c>
      <c r="J2942" s="10" t="n">
        <v>0</v>
      </c>
      <c r="K2942" s="10" t="s">
        <v>20</v>
      </c>
      <c r="L2942" s="11" t="n">
        <v>42172.0187384259</v>
      </c>
      <c r="M2942" s="12"/>
      <c r="N2942" s="12" t="s">
        <v>7286</v>
      </c>
      <c r="O2942" s="9" t="str">
        <f aca="false">HYPERLINK("https://pbs.twimg.com/profile_images/908925197947781120/MfBggxxc_normal.jpg","View")</f>
        <v>View</v>
      </c>
      <c r="P2942" s="10"/>
    </row>
    <row r="2943" customFormat="false" ht="15.75" hidden="false" customHeight="false" outlineLevel="0" collapsed="false">
      <c r="A2943" s="6" t="n">
        <v>43030.3326157407</v>
      </c>
      <c r="B2943" s="7" t="str">
        <f aca="false">HYPERLINK("https://twitter.com/joshiybach","@joshiybach")</f>
        <v>@joshiybach</v>
      </c>
      <c r="C2943" s="8" t="s">
        <v>7287</v>
      </c>
      <c r="D2943" s="8" t="s">
        <v>4984</v>
      </c>
      <c r="E2943" s="9" t="str">
        <f aca="false">HYPERLINK("https://twitter.com/joshiybach/status/922115067302125569","922115067302125569")</f>
        <v>922115067302125569</v>
      </c>
      <c r="F2943" s="10" t="s">
        <v>39</v>
      </c>
      <c r="G2943" s="10" t="n">
        <v>119</v>
      </c>
      <c r="H2943" s="10" t="n">
        <v>183</v>
      </c>
      <c r="I2943" s="10" t="n">
        <v>187</v>
      </c>
      <c r="J2943" s="10" t="n">
        <v>0</v>
      </c>
      <c r="K2943" s="10" t="s">
        <v>20</v>
      </c>
      <c r="L2943" s="11" t="n">
        <v>40792.7241435185</v>
      </c>
      <c r="M2943" s="12" t="s">
        <v>7288</v>
      </c>
      <c r="N2943" s="12" t="s">
        <v>7289</v>
      </c>
      <c r="O2943" s="9" t="str">
        <f aca="false">HYPERLINK("https://pbs.twimg.com/profile_images/906384195450261505/RLoBr0Iy_normal.jpg","View")</f>
        <v>View</v>
      </c>
      <c r="P2943" s="10"/>
    </row>
    <row r="2944" customFormat="false" ht="15.75" hidden="false" customHeight="false" outlineLevel="0" collapsed="false">
      <c r="A2944" s="6" t="n">
        <v>43030.3326273148</v>
      </c>
      <c r="B2944" s="7" t="str">
        <f aca="false">HYPERLINK("https://twitter.com/Frclemenceau","@Frclemenceau")</f>
        <v>@Frclemenceau</v>
      </c>
      <c r="C2944" s="8" t="s">
        <v>7290</v>
      </c>
      <c r="D2944" s="8" t="s">
        <v>7177</v>
      </c>
      <c r="E2944" s="9" t="str">
        <f aca="false">HYPERLINK("https://twitter.com/Frclemenceau/status/922115071341457408","922115071341457408")</f>
        <v>922115071341457408</v>
      </c>
      <c r="F2944" s="10" t="s">
        <v>98</v>
      </c>
      <c r="G2944" s="10" t="n">
        <v>3313</v>
      </c>
      <c r="H2944" s="10" t="n">
        <v>1344</v>
      </c>
      <c r="I2944" s="10" t="n">
        <v>8</v>
      </c>
      <c r="J2944" s="10" t="n">
        <v>0</v>
      </c>
      <c r="K2944" s="10" t="s">
        <v>20</v>
      </c>
      <c r="L2944" s="11" t="n">
        <v>41736.0820486111</v>
      </c>
      <c r="M2944" s="12"/>
      <c r="N2944" s="12" t="s">
        <v>7291</v>
      </c>
      <c r="O2944" s="9" t="str">
        <f aca="false">HYPERLINK("https://pbs.twimg.com/profile_images/702428678140116993/oaWRF2Sa_normal.jpg","View")</f>
        <v>View</v>
      </c>
      <c r="P2944" s="10"/>
    </row>
    <row r="2945" customFormat="false" ht="15.75" hidden="false" customHeight="false" outlineLevel="0" collapsed="false">
      <c r="A2945" s="6" t="n">
        <v>43030.3327199074</v>
      </c>
      <c r="B2945" s="7" t="str">
        <f aca="false">HYPERLINK("https://twitter.com/DbAshby","@DbAshby")</f>
        <v>@DbAshby</v>
      </c>
      <c r="C2945" s="8" t="s">
        <v>7292</v>
      </c>
      <c r="D2945" s="8" t="s">
        <v>7293</v>
      </c>
      <c r="E2945" s="9" t="str">
        <f aca="false">HYPERLINK("https://twitter.com/DbAshby/status/922115105910939648","922115105910939648")</f>
        <v>922115105910939648</v>
      </c>
      <c r="F2945" s="10" t="s">
        <v>25</v>
      </c>
      <c r="G2945" s="10" t="n">
        <v>5111</v>
      </c>
      <c r="H2945" s="10" t="n">
        <v>4704</v>
      </c>
      <c r="I2945" s="10" t="n">
        <v>0</v>
      </c>
      <c r="J2945" s="10" t="n">
        <v>0</v>
      </c>
      <c r="K2945" s="10" t="s">
        <v>20</v>
      </c>
      <c r="L2945" s="11" t="n">
        <v>41482.6053009259</v>
      </c>
      <c r="M2945" s="12" t="s">
        <v>7294</v>
      </c>
      <c r="N2945" s="12" t="s">
        <v>7295</v>
      </c>
      <c r="O2945" s="9" t="str">
        <f aca="false">HYPERLINK("https://pbs.twimg.com/profile_images/746165005469552641/kNv0J2Fz_normal.jpg","View")</f>
        <v>View</v>
      </c>
      <c r="P2945" s="10"/>
    </row>
    <row r="2946" customFormat="false" ht="15.75" hidden="false" customHeight="false" outlineLevel="0" collapsed="false">
      <c r="A2946" s="6" t="n">
        <v>43030.3328587963</v>
      </c>
      <c r="B2946" s="7" t="str">
        <f aca="false">HYPERLINK("https://twitter.com/anmitu_japan","@anmitu_japan")</f>
        <v>@anmitu_japan</v>
      </c>
      <c r="C2946" s="14" t="s">
        <v>7296</v>
      </c>
      <c r="D2946" s="8" t="s">
        <v>7262</v>
      </c>
      <c r="E2946" s="9" t="str">
        <f aca="false">HYPERLINK("https://twitter.com/anmitu_japan/status/922115154275311616","922115154275311616")</f>
        <v>922115154275311616</v>
      </c>
      <c r="F2946" s="10" t="s">
        <v>39</v>
      </c>
      <c r="G2946" s="10" t="n">
        <v>4825</v>
      </c>
      <c r="H2946" s="10" t="n">
        <v>2414</v>
      </c>
      <c r="I2946" s="10" t="n">
        <v>7</v>
      </c>
      <c r="J2946" s="10" t="n">
        <v>0</v>
      </c>
      <c r="K2946" s="10" t="s">
        <v>20</v>
      </c>
      <c r="L2946" s="11" t="n">
        <v>41005.0870023148</v>
      </c>
      <c r="M2946" s="12"/>
      <c r="N2946" s="13" t="s">
        <v>7297</v>
      </c>
      <c r="O2946" s="9" t="str">
        <f aca="false">HYPERLINK("https://pbs.twimg.com/profile_images/707154444215922692/42rrP1pE_normal.jpg","View")</f>
        <v>View</v>
      </c>
      <c r="P2946" s="10"/>
    </row>
    <row r="2947" customFormat="false" ht="15.75" hidden="false" customHeight="false" outlineLevel="0" collapsed="false">
      <c r="A2947" s="6" t="n">
        <v>43030.3330092593</v>
      </c>
      <c r="B2947" s="7" t="str">
        <f aca="false">HYPERLINK("https://twitter.com/christianebuddy","@christianebuddy")</f>
        <v>@christianebuddy</v>
      </c>
      <c r="C2947" s="8" t="s">
        <v>7298</v>
      </c>
      <c r="D2947" s="8" t="s">
        <v>7299</v>
      </c>
      <c r="E2947" s="9" t="str">
        <f aca="false">HYPERLINK("https://twitter.com/christianebuddy/status/922115209539604480","922115209539604480")</f>
        <v>922115209539604480</v>
      </c>
      <c r="F2947" s="10" t="s">
        <v>7300</v>
      </c>
      <c r="G2947" s="10" t="n">
        <v>1956</v>
      </c>
      <c r="H2947" s="10" t="n">
        <v>1941</v>
      </c>
      <c r="I2947" s="10" t="n">
        <v>0</v>
      </c>
      <c r="J2947" s="10" t="n">
        <v>0</v>
      </c>
      <c r="K2947" s="10" t="s">
        <v>20</v>
      </c>
      <c r="L2947" s="11" t="n">
        <v>39855.2006828704</v>
      </c>
      <c r="M2947" s="12" t="s">
        <v>132</v>
      </c>
      <c r="N2947" s="12" t="s">
        <v>7301</v>
      </c>
      <c r="O2947" s="9" t="str">
        <f aca="false">HYPERLINK("https://pbs.twimg.com/profile_images/1381293199/Screen_shot_2011-06-04_at_12.48.42_normal.png","View")</f>
        <v>View</v>
      </c>
      <c r="P2947" s="10"/>
    </row>
    <row r="2948" customFormat="false" ht="15.75" hidden="false" customHeight="false" outlineLevel="0" collapsed="false">
      <c r="A2948" s="6" t="n">
        <v>43030.3332175926</v>
      </c>
      <c r="B2948" s="7" t="str">
        <f aca="false">HYPERLINK("https://twitter.com/hepomodeler","@hepomodeler")</f>
        <v>@hepomodeler</v>
      </c>
      <c r="C2948" s="8" t="s">
        <v>7302</v>
      </c>
      <c r="D2948" s="8" t="s">
        <v>3646</v>
      </c>
      <c r="E2948" s="9" t="str">
        <f aca="false">HYPERLINK("https://twitter.com/hepomodeler/status/922115282528641024","922115282528641024")</f>
        <v>922115282528641024</v>
      </c>
      <c r="F2948" s="10" t="s">
        <v>25</v>
      </c>
      <c r="G2948" s="10" t="n">
        <v>1986</v>
      </c>
      <c r="H2948" s="10" t="n">
        <v>829</v>
      </c>
      <c r="I2948" s="10" t="n">
        <v>71</v>
      </c>
      <c r="J2948" s="10" t="n">
        <v>0</v>
      </c>
      <c r="K2948" s="10" t="s">
        <v>20</v>
      </c>
      <c r="L2948" s="11" t="n">
        <v>41669.0436458333</v>
      </c>
      <c r="M2948" s="12" t="s">
        <v>7303</v>
      </c>
      <c r="N2948" s="12" t="s">
        <v>7304</v>
      </c>
      <c r="O2948" s="9" t="str">
        <f aca="false">HYPERLINK("https://pbs.twimg.com/profile_images/549843721877872640/Yfw28hJD_normal.png","View")</f>
        <v>View</v>
      </c>
      <c r="P2948" s="10"/>
    </row>
    <row r="2949" customFormat="false" ht="15.75" hidden="false" customHeight="false" outlineLevel="0" collapsed="false">
      <c r="A2949" s="6" t="n">
        <v>43030.3332523148</v>
      </c>
      <c r="B2949" s="7" t="str">
        <f aca="false">HYPERLINK("https://twitter.com/CIMAGES","@CIMAGES")</f>
        <v>@CIMAGES</v>
      </c>
      <c r="C2949" s="8" t="s">
        <v>7305</v>
      </c>
      <c r="D2949" s="8" t="s">
        <v>7275</v>
      </c>
      <c r="E2949" s="9" t="str">
        <f aca="false">HYPERLINK("https://twitter.com/CIMAGES/status/922115296915329024","922115296915329024")</f>
        <v>922115296915329024</v>
      </c>
      <c r="F2949" s="10" t="s">
        <v>39</v>
      </c>
      <c r="G2949" s="10" t="n">
        <v>627</v>
      </c>
      <c r="H2949" s="10" t="n">
        <v>1203</v>
      </c>
      <c r="I2949" s="10" t="n">
        <v>9</v>
      </c>
      <c r="J2949" s="10" t="n">
        <v>0</v>
      </c>
      <c r="K2949" s="10" t="s">
        <v>20</v>
      </c>
      <c r="L2949" s="11" t="n">
        <v>40683.158900463</v>
      </c>
      <c r="M2949" s="12" t="s">
        <v>7306</v>
      </c>
      <c r="N2949" s="12" t="s">
        <v>7307</v>
      </c>
      <c r="O2949" s="9" t="str">
        <f aca="false">HYPERLINK("https://pbs.twimg.com/profile_images/1372139203/PLanet_RoB_normal.jpeg","View")</f>
        <v>View</v>
      </c>
      <c r="P2949" s="10"/>
    </row>
    <row r="2950" customFormat="false" ht="15.75" hidden="false" customHeight="false" outlineLevel="0" collapsed="false">
      <c r="A2950" s="6" t="n">
        <v>43030.3333449074</v>
      </c>
      <c r="B2950" s="7" t="str">
        <f aca="false">HYPERLINK("https://twitter.com/gss082","@gss082")</f>
        <v>@gss082</v>
      </c>
      <c r="C2950" s="8" t="s">
        <v>7308</v>
      </c>
      <c r="D2950" s="8" t="s">
        <v>7275</v>
      </c>
      <c r="E2950" s="9" t="str">
        <f aca="false">HYPERLINK("https://twitter.com/gss082/status/922115330448621570","922115330448621570")</f>
        <v>922115330448621570</v>
      </c>
      <c r="F2950" s="10" t="s">
        <v>51</v>
      </c>
      <c r="G2950" s="10" t="n">
        <v>574</v>
      </c>
      <c r="H2950" s="10" t="n">
        <v>1966</v>
      </c>
      <c r="I2950" s="10" t="n">
        <v>9</v>
      </c>
      <c r="J2950" s="10" t="n">
        <v>0</v>
      </c>
      <c r="K2950" s="10" t="s">
        <v>20</v>
      </c>
      <c r="L2950" s="11" t="n">
        <v>41562.2584490741</v>
      </c>
      <c r="M2950" s="12" t="s">
        <v>7309</v>
      </c>
      <c r="N2950" s="12" t="s">
        <v>7310</v>
      </c>
      <c r="O2950" s="9" t="str">
        <f aca="false">HYPERLINK("https://pbs.twimg.com/profile_images/828455777530621952/Kwmfwpcc_normal.jpg","View")</f>
        <v>View</v>
      </c>
      <c r="P2950" s="10"/>
    </row>
    <row r="2951" customFormat="false" ht="15.75" hidden="false" customHeight="false" outlineLevel="0" collapsed="false">
      <c r="A2951" s="6" t="n">
        <v>43030.3334953704</v>
      </c>
      <c r="B2951" s="7" t="str">
        <f aca="false">HYPERLINK("https://twitter.com/the_hindu","@the_hindu")</f>
        <v>@the_hindu</v>
      </c>
      <c r="C2951" s="8" t="s">
        <v>7311</v>
      </c>
      <c r="D2951" s="8" t="s">
        <v>7312</v>
      </c>
      <c r="E2951" s="9" t="str">
        <f aca="false">HYPERLINK("https://twitter.com/the_hindu/status/922115384173572096","922115384173572096")</f>
        <v>922115384173572096</v>
      </c>
      <c r="F2951" s="10" t="s">
        <v>268</v>
      </c>
      <c r="G2951" s="10" t="n">
        <v>4495039</v>
      </c>
      <c r="H2951" s="10" t="n">
        <v>202</v>
      </c>
      <c r="I2951" s="10" t="n">
        <v>62</v>
      </c>
      <c r="J2951" s="10" t="n">
        <v>223</v>
      </c>
      <c r="K2951" s="10" t="s">
        <v>20</v>
      </c>
      <c r="L2951" s="11" t="n">
        <v>39856.9197222222</v>
      </c>
      <c r="M2951" s="12" t="s">
        <v>3588</v>
      </c>
      <c r="N2951" s="12" t="s">
        <v>7313</v>
      </c>
      <c r="O2951" s="9" t="str">
        <f aca="false">HYPERLINK("https://pbs.twimg.com/profile_images/627376030282416128/pYl_LmcW_normal.jpg","View")</f>
        <v>View</v>
      </c>
      <c r="P2951" s="10"/>
    </row>
    <row r="2952" customFormat="false" ht="15.75" hidden="false" customHeight="false" outlineLevel="0" collapsed="false">
      <c r="A2952" s="6" t="n">
        <v>43030.3335763889</v>
      </c>
      <c r="B2952" s="7" t="str">
        <f aca="false">HYPERLINK("https://twitter.com/morris0731","@morris0731")</f>
        <v>@morris0731</v>
      </c>
      <c r="C2952" s="8" t="s">
        <v>7314</v>
      </c>
      <c r="D2952" s="8" t="s">
        <v>7262</v>
      </c>
      <c r="E2952" s="9" t="str">
        <f aca="false">HYPERLINK("https://twitter.com/morris0731/status/922115413801967616","922115413801967616")</f>
        <v>922115413801967616</v>
      </c>
      <c r="F2952" s="10" t="s">
        <v>25</v>
      </c>
      <c r="G2952" s="10" t="n">
        <v>1019</v>
      </c>
      <c r="H2952" s="10" t="n">
        <v>1164</v>
      </c>
      <c r="I2952" s="10" t="n">
        <v>7</v>
      </c>
      <c r="J2952" s="10" t="n">
        <v>0</v>
      </c>
      <c r="K2952" s="10" t="s">
        <v>20</v>
      </c>
      <c r="L2952" s="11" t="n">
        <v>42883.8446875</v>
      </c>
      <c r="M2952" s="12"/>
      <c r="N2952" s="12" t="s">
        <v>7315</v>
      </c>
      <c r="O2952" s="9" t="str">
        <f aca="false">HYPERLINK("https://pbs.twimg.com/profile_images/869031307296219137/gBU1l-q7_normal.jpg","View")</f>
        <v>View</v>
      </c>
      <c r="P2952" s="10"/>
    </row>
    <row r="2953" customFormat="false" ht="15.75" hidden="false" customHeight="false" outlineLevel="0" collapsed="false">
      <c r="A2953" s="6" t="n">
        <v>43030.3337384259</v>
      </c>
      <c r="B2953" s="7" t="str">
        <f aca="false">HYPERLINK("https://twitter.com/PMunozLorite","@PMunozLorite")</f>
        <v>@PMunozLorite</v>
      </c>
      <c r="C2953" s="8" t="s">
        <v>351</v>
      </c>
      <c r="D2953" s="8" t="s">
        <v>7316</v>
      </c>
      <c r="E2953" s="9" t="str">
        <f aca="false">HYPERLINK("https://twitter.com/PMunozLorite/status/922115472065224706","922115472065224706")</f>
        <v>922115472065224706</v>
      </c>
      <c r="F2953" s="10" t="s">
        <v>110</v>
      </c>
      <c r="G2953" s="10" t="n">
        <v>2678</v>
      </c>
      <c r="H2953" s="10" t="n">
        <v>4946</v>
      </c>
      <c r="I2953" s="10" t="n">
        <v>0</v>
      </c>
      <c r="J2953" s="10" t="n">
        <v>0</v>
      </c>
      <c r="K2953" s="10" t="s">
        <v>20</v>
      </c>
      <c r="L2953" s="11" t="n">
        <v>39769.5892939815</v>
      </c>
      <c r="M2953" s="12" t="s">
        <v>353</v>
      </c>
      <c r="N2953" s="12" t="s">
        <v>354</v>
      </c>
      <c r="O2953" s="9" t="str">
        <f aca="false">HYPERLINK("https://pbs.twimg.com/profile_images/574247662901403648/LzeOfYmt_normal.jpeg","View")</f>
        <v>View</v>
      </c>
      <c r="P2953" s="10"/>
    </row>
    <row r="2954" customFormat="false" ht="15.75" hidden="false" customHeight="false" outlineLevel="0" collapsed="false">
      <c r="A2954" s="6" t="n">
        <v>43030.3338194444</v>
      </c>
      <c r="B2954" s="7" t="str">
        <f aca="false">HYPERLINK("https://twitter.com/PMunozLorite","@PMunozLorite")</f>
        <v>@PMunozLorite</v>
      </c>
      <c r="C2954" s="8" t="s">
        <v>351</v>
      </c>
      <c r="D2954" s="8" t="s">
        <v>7317</v>
      </c>
      <c r="E2954" s="9" t="str">
        <f aca="false">HYPERLINK("https://twitter.com/PMunozLorite/status/922115503774208000","922115503774208000")</f>
        <v>922115503774208000</v>
      </c>
      <c r="F2954" s="10" t="s">
        <v>110</v>
      </c>
      <c r="G2954" s="10" t="n">
        <v>2678</v>
      </c>
      <c r="H2954" s="10" t="n">
        <v>4946</v>
      </c>
      <c r="I2954" s="10" t="n">
        <v>0</v>
      </c>
      <c r="J2954" s="10" t="n">
        <v>0</v>
      </c>
      <c r="K2954" s="10" t="s">
        <v>20</v>
      </c>
      <c r="L2954" s="11" t="n">
        <v>39769.5892939815</v>
      </c>
      <c r="M2954" s="12" t="s">
        <v>353</v>
      </c>
      <c r="N2954" s="12" t="s">
        <v>354</v>
      </c>
      <c r="O2954" s="9" t="str">
        <f aca="false">HYPERLINK("https://pbs.twimg.com/profile_images/574247662901403648/LzeOfYmt_normal.jpeg","View")</f>
        <v>View</v>
      </c>
      <c r="P2954" s="10"/>
    </row>
    <row r="2955" customFormat="false" ht="15.75" hidden="false" customHeight="false" outlineLevel="0" collapsed="false">
      <c r="A2955" s="6" t="n">
        <v>43030.3342939815</v>
      </c>
      <c r="B2955" s="7" t="str">
        <f aca="false">HYPERLINK("https://twitter.com/RonnieChopra1","@RonnieChopra1")</f>
        <v>@RonnieChopra1</v>
      </c>
      <c r="C2955" s="8" t="s">
        <v>3272</v>
      </c>
      <c r="D2955" s="8" t="s">
        <v>7318</v>
      </c>
      <c r="E2955" s="9" t="str">
        <f aca="false">HYPERLINK("https://twitter.com/RonnieChopra1/status/922115674213888000","922115674213888000")</f>
        <v>922115674213888000</v>
      </c>
      <c r="F2955" s="10" t="s">
        <v>39</v>
      </c>
      <c r="G2955" s="10" t="n">
        <v>341</v>
      </c>
      <c r="H2955" s="10" t="n">
        <v>340</v>
      </c>
      <c r="I2955" s="10" t="n">
        <v>0</v>
      </c>
      <c r="J2955" s="10" t="n">
        <v>0</v>
      </c>
      <c r="K2955" s="10" t="s">
        <v>20</v>
      </c>
      <c r="L2955" s="11" t="n">
        <v>41331.9768287037</v>
      </c>
      <c r="M2955" s="12" t="s">
        <v>182</v>
      </c>
      <c r="N2955" s="12" t="s">
        <v>3274</v>
      </c>
      <c r="O2955" s="9" t="str">
        <f aca="false">HYPERLINK("https://pbs.twimg.com/profile_images/3313936859/e9c0e1009ee15e8f9e5d5f37ffa845a5_normal.jpeg","View")</f>
        <v>View</v>
      </c>
      <c r="P2955" s="10"/>
    </row>
    <row r="2956" customFormat="false" ht="15.75" hidden="false" customHeight="false" outlineLevel="0" collapsed="false">
      <c r="A2956" s="6" t="n">
        <v>43030.3343055556</v>
      </c>
      <c r="B2956" s="7" t="str">
        <f aca="false">HYPERLINK("https://twitter.com/JanisSimmons15","@JanisSimmons15")</f>
        <v>@JanisSimmons15</v>
      </c>
      <c r="C2956" s="8" t="s">
        <v>7319</v>
      </c>
      <c r="D2956" s="8" t="s">
        <v>6968</v>
      </c>
      <c r="E2956" s="9" t="str">
        <f aca="false">HYPERLINK("https://twitter.com/JanisSimmons15/status/922115679620419584","922115679620419584")</f>
        <v>922115679620419584</v>
      </c>
      <c r="F2956" s="10" t="s">
        <v>25</v>
      </c>
      <c r="G2956" s="10" t="n">
        <v>123</v>
      </c>
      <c r="H2956" s="10" t="n">
        <v>265</v>
      </c>
      <c r="I2956" s="10" t="n">
        <v>7</v>
      </c>
      <c r="J2956" s="10" t="n">
        <v>0</v>
      </c>
      <c r="K2956" s="10" t="s">
        <v>20</v>
      </c>
      <c r="L2956" s="11" t="n">
        <v>42731.3908333333</v>
      </c>
      <c r="M2956" s="12"/>
      <c r="N2956" s="12" t="s">
        <v>7320</v>
      </c>
      <c r="O2956" s="9" t="str">
        <f aca="false">HYPERLINK("https://abs.twimg.com/sticky/default_profile_images/default_profile_normal.png","View")</f>
        <v>View</v>
      </c>
      <c r="P2956" s="10"/>
    </row>
    <row r="2957" customFormat="false" ht="15.75" hidden="false" customHeight="false" outlineLevel="0" collapsed="false">
      <c r="A2957" s="6" t="n">
        <v>43030.3344791667</v>
      </c>
      <c r="B2957" s="7" t="str">
        <f aca="false">HYPERLINK("https://twitter.com/STForeignDesk","@STForeignDesk")</f>
        <v>@STForeignDesk</v>
      </c>
      <c r="C2957" s="8" t="s">
        <v>3288</v>
      </c>
      <c r="D2957" s="8" t="s">
        <v>7321</v>
      </c>
      <c r="E2957" s="9" t="str">
        <f aca="false">HYPERLINK("https://twitter.com/STForeignDesk/status/922115739774959616","922115739774959616")</f>
        <v>922115739774959616</v>
      </c>
      <c r="F2957" s="10" t="s">
        <v>276</v>
      </c>
      <c r="G2957" s="10" t="n">
        <v>39376</v>
      </c>
      <c r="H2957" s="10" t="n">
        <v>109</v>
      </c>
      <c r="I2957" s="10" t="n">
        <v>4</v>
      </c>
      <c r="J2957" s="10" t="n">
        <v>9</v>
      </c>
      <c r="K2957" s="10" t="s">
        <v>20</v>
      </c>
      <c r="L2957" s="11" t="n">
        <v>41303.312025463</v>
      </c>
      <c r="M2957" s="12" t="s">
        <v>186</v>
      </c>
      <c r="N2957" s="12" t="s">
        <v>3290</v>
      </c>
      <c r="O2957" s="9" t="str">
        <f aca="false">HYPERLINK("https://pbs.twimg.com/profile_images/616014877300142080/6I99bogh_normal.jpg","View")</f>
        <v>View</v>
      </c>
      <c r="P2957" s="10"/>
    </row>
    <row r="2958" customFormat="false" ht="15.75" hidden="false" customHeight="false" outlineLevel="0" collapsed="false">
      <c r="A2958" s="6" t="n">
        <v>43030.3347916667</v>
      </c>
      <c r="B2958" s="7" t="str">
        <f aca="false">HYPERLINK("https://twitter.com/LaurenSexyGirl","@LaurenSexyGirl")</f>
        <v>@LaurenSexyGirl</v>
      </c>
      <c r="C2958" s="8" t="s">
        <v>7322</v>
      </c>
      <c r="D2958" s="8" t="s">
        <v>7323</v>
      </c>
      <c r="E2958" s="9" t="str">
        <f aca="false">HYPERLINK("https://twitter.com/LaurenSexyGirl/status/922115853453332482","922115853453332482")</f>
        <v>922115853453332482</v>
      </c>
      <c r="F2958" s="10" t="s">
        <v>51</v>
      </c>
      <c r="G2958" s="10" t="n">
        <v>3240</v>
      </c>
      <c r="H2958" s="10" t="n">
        <v>2707</v>
      </c>
      <c r="I2958" s="10" t="n">
        <v>0</v>
      </c>
      <c r="J2958" s="10" t="n">
        <v>0</v>
      </c>
      <c r="K2958" s="10" t="s">
        <v>20</v>
      </c>
      <c r="L2958" s="11" t="n">
        <v>41295.7851273148</v>
      </c>
      <c r="M2958" s="12" t="s">
        <v>5326</v>
      </c>
      <c r="N2958" s="12" t="s">
        <v>7324</v>
      </c>
      <c r="O2958" s="9" t="str">
        <f aca="false">HYPERLINK("https://pbs.twimg.com/profile_images/864272516780613633/B8uRBFt3_normal.jpg","View")</f>
        <v>View</v>
      </c>
      <c r="P2958" s="10"/>
    </row>
    <row r="2959" customFormat="false" ht="15.75" hidden="false" customHeight="false" outlineLevel="0" collapsed="false">
      <c r="A2959" s="6" t="n">
        <v>43030.3349074074</v>
      </c>
      <c r="B2959" s="7" t="str">
        <f aca="false">HYPERLINK("https://twitter.com/Amit_A_Teli","@Amit_A_Teli")</f>
        <v>@Amit_A_Teli</v>
      </c>
      <c r="C2959" s="8" t="s">
        <v>7325</v>
      </c>
      <c r="D2959" s="8" t="s">
        <v>7326</v>
      </c>
      <c r="E2959" s="9" t="str">
        <f aca="false">HYPERLINK("https://twitter.com/Amit_A_Teli/status/922115897732620289","922115897732620289")</f>
        <v>922115897732620289</v>
      </c>
      <c r="F2959" s="10" t="s">
        <v>60</v>
      </c>
      <c r="G2959" s="10" t="n">
        <v>253</v>
      </c>
      <c r="H2959" s="10" t="n">
        <v>15</v>
      </c>
      <c r="I2959" s="10" t="n">
        <v>0</v>
      </c>
      <c r="J2959" s="10" t="n">
        <v>0</v>
      </c>
      <c r="K2959" s="10" t="s">
        <v>20</v>
      </c>
      <c r="L2959" s="11" t="n">
        <v>41502.3724652778</v>
      </c>
      <c r="M2959" s="12" t="s">
        <v>7327</v>
      </c>
      <c r="N2959" s="12" t="s">
        <v>7328</v>
      </c>
      <c r="O2959" s="9" t="str">
        <f aca="false">HYPERLINK("https://pbs.twimg.com/profile_images/575644492620951555/A3r9pd73_normal.jpeg","View")</f>
        <v>View</v>
      </c>
      <c r="P2959" s="10"/>
    </row>
    <row r="2960" customFormat="false" ht="15.75" hidden="false" customHeight="false" outlineLevel="0" collapsed="false">
      <c r="A2960" s="6" t="n">
        <v>43030.3349189815</v>
      </c>
      <c r="B2960" s="7" t="str">
        <f aca="false">HYPERLINK("https://twitter.com/Realblack212","@Realblack212")</f>
        <v>@Realblack212</v>
      </c>
      <c r="C2960" s="8" t="s">
        <v>7329</v>
      </c>
      <c r="D2960" s="8" t="s">
        <v>7330</v>
      </c>
      <c r="E2960" s="9" t="str">
        <f aca="false">HYPERLINK("https://twitter.com/Realblack212/status/922115900253151232","922115900253151232")</f>
        <v>922115900253151232</v>
      </c>
      <c r="F2960" s="10" t="s">
        <v>25</v>
      </c>
      <c r="G2960" s="10" t="n">
        <v>20501</v>
      </c>
      <c r="H2960" s="10" t="n">
        <v>21319</v>
      </c>
      <c r="I2960" s="10" t="n">
        <v>0</v>
      </c>
      <c r="J2960" s="10" t="n">
        <v>0</v>
      </c>
      <c r="K2960" s="10" t="s">
        <v>20</v>
      </c>
      <c r="L2960" s="11" t="n">
        <v>40322.8927893519</v>
      </c>
      <c r="M2960" s="13" t="s">
        <v>7331</v>
      </c>
      <c r="N2960" s="12" t="s">
        <v>7332</v>
      </c>
      <c r="O2960" s="9" t="str">
        <f aca="false">HYPERLINK("https://pbs.twimg.com/profile_images/915510492080119809/9_ZGwNVd_normal.jpg","View")</f>
        <v>View</v>
      </c>
      <c r="P2960" s="10"/>
    </row>
    <row r="2961" customFormat="false" ht="15.75" hidden="false" customHeight="false" outlineLevel="0" collapsed="false">
      <c r="A2961" s="6" t="n">
        <v>43030.3351157408</v>
      </c>
      <c r="B2961" s="7" t="str">
        <f aca="false">HYPERLINK("https://twitter.com/hundericocco","@hundericocco")</f>
        <v>@hundericocco</v>
      </c>
      <c r="C2961" s="14" t="s">
        <v>7268</v>
      </c>
      <c r="D2961" s="8" t="s">
        <v>5846</v>
      </c>
      <c r="E2961" s="9" t="str">
        <f aca="false">HYPERLINK("https://twitter.com/hundericocco/status/922115971422199808","922115971422199808")</f>
        <v>922115971422199808</v>
      </c>
      <c r="F2961" s="10" t="s">
        <v>51</v>
      </c>
      <c r="G2961" s="10" t="n">
        <v>6536</v>
      </c>
      <c r="H2961" s="10" t="n">
        <v>6845</v>
      </c>
      <c r="I2961" s="10" t="n">
        <v>16</v>
      </c>
      <c r="J2961" s="10" t="n">
        <v>0</v>
      </c>
      <c r="K2961" s="10" t="s">
        <v>20</v>
      </c>
      <c r="L2961" s="11" t="n">
        <v>41151.4322106482</v>
      </c>
      <c r="M2961" s="12"/>
      <c r="N2961" s="12" t="s">
        <v>7269</v>
      </c>
      <c r="O2961" s="9" t="str">
        <f aca="false">HYPERLINK("https://pbs.twimg.com/profile_images/611939205090906112/ssdbyUu4_normal.jpg","View")</f>
        <v>View</v>
      </c>
      <c r="P2961" s="10"/>
    </row>
    <row r="2962" customFormat="false" ht="15.75" hidden="false" customHeight="false" outlineLevel="0" collapsed="false">
      <c r="A2962" s="6" t="n">
        <v>43030.335162037</v>
      </c>
      <c r="B2962" s="7" t="str">
        <f aca="false">HYPERLINK("https://twitter.com/Vikram_Dwivedi","@Vikram_Dwivedi")</f>
        <v>@Vikram_Dwivedi</v>
      </c>
      <c r="C2962" s="8" t="s">
        <v>7333</v>
      </c>
      <c r="D2962" s="8" t="s">
        <v>7334</v>
      </c>
      <c r="E2962" s="9" t="str">
        <f aca="false">HYPERLINK("https://twitter.com/Vikram_Dwivedi/status/922115989432496134","922115989432496134")</f>
        <v>922115989432496134</v>
      </c>
      <c r="F2962" s="10" t="s">
        <v>47</v>
      </c>
      <c r="G2962" s="10" t="n">
        <v>328</v>
      </c>
      <c r="H2962" s="10" t="n">
        <v>1988</v>
      </c>
      <c r="I2962" s="10" t="n">
        <v>0</v>
      </c>
      <c r="J2962" s="10" t="n">
        <v>0</v>
      </c>
      <c r="K2962" s="10" t="s">
        <v>20</v>
      </c>
      <c r="L2962" s="11" t="n">
        <v>40006.1332638889</v>
      </c>
      <c r="M2962" s="12" t="s">
        <v>7335</v>
      </c>
      <c r="N2962" s="13" t="s">
        <v>7336</v>
      </c>
      <c r="O2962" s="9" t="str">
        <f aca="false">HYPERLINK("https://pbs.twimg.com/profile_images/862793394673696768/MQlshZP5_normal.jpg","View")</f>
        <v>View</v>
      </c>
      <c r="P2962" s="10"/>
    </row>
    <row r="2963" customFormat="false" ht="15.75" hidden="false" customHeight="false" outlineLevel="0" collapsed="false">
      <c r="A2963" s="6" t="n">
        <v>43030.3352777778</v>
      </c>
      <c r="B2963" s="7" t="str">
        <f aca="false">HYPERLINK("https://twitter.com/Z_G__","@Z_G__")</f>
        <v>@Z_G__</v>
      </c>
      <c r="C2963" s="8" t="s">
        <v>7337</v>
      </c>
      <c r="D2963" s="8" t="s">
        <v>7338</v>
      </c>
      <c r="E2963" s="9" t="str">
        <f aca="false">HYPERLINK("https://twitter.com/Z_G__/status/922116028817125376","922116028817125376")</f>
        <v>922116028817125376</v>
      </c>
      <c r="F2963" s="10" t="s">
        <v>51</v>
      </c>
      <c r="G2963" s="10" t="n">
        <v>248</v>
      </c>
      <c r="H2963" s="10" t="n">
        <v>5001</v>
      </c>
      <c r="I2963" s="10" t="n">
        <v>3</v>
      </c>
      <c r="J2963" s="10" t="n">
        <v>0</v>
      </c>
      <c r="K2963" s="10" t="s">
        <v>20</v>
      </c>
      <c r="L2963" s="11" t="n">
        <v>39959.5551388889</v>
      </c>
      <c r="M2963" s="12"/>
      <c r="N2963" s="12"/>
      <c r="O2963" s="9" t="str">
        <f aca="false">HYPERLINK("https://pbs.twimg.com/profile_images/856972981045792768/7qKQ7pEb_normal.jpg","View")</f>
        <v>View</v>
      </c>
      <c r="P2963" s="10"/>
    </row>
    <row r="2964" customFormat="false" ht="15.75" hidden="false" customHeight="false" outlineLevel="0" collapsed="false">
      <c r="A2964" s="6" t="n">
        <v>43030.3355902778</v>
      </c>
      <c r="B2964" s="7" t="str">
        <f aca="false">HYPERLINK("https://twitter.com/qz","@qz")</f>
        <v>@qz</v>
      </c>
      <c r="C2964" s="8" t="s">
        <v>6915</v>
      </c>
      <c r="D2964" s="8" t="s">
        <v>7339</v>
      </c>
      <c r="E2964" s="9" t="str">
        <f aca="false">HYPERLINK("https://twitter.com/qz/status/922116145452322816","922116145452322816")</f>
        <v>922116145452322816</v>
      </c>
      <c r="F2964" s="10" t="s">
        <v>268</v>
      </c>
      <c r="G2964" s="10" t="n">
        <v>323182</v>
      </c>
      <c r="H2964" s="10" t="n">
        <v>177</v>
      </c>
      <c r="I2964" s="10" t="n">
        <v>5</v>
      </c>
      <c r="J2964" s="10" t="n">
        <v>4</v>
      </c>
      <c r="K2964" s="10" t="s">
        <v>20</v>
      </c>
      <c r="L2964" s="11" t="n">
        <v>41036.537037037</v>
      </c>
      <c r="M2964" s="12" t="s">
        <v>6917</v>
      </c>
      <c r="N2964" s="12" t="s">
        <v>6918</v>
      </c>
      <c r="O2964" s="9" t="str">
        <f aca="false">HYPERLINK("https://pbs.twimg.com/profile_images/615280495958495232/nX0-Mypb_normal.png","View")</f>
        <v>View</v>
      </c>
      <c r="P2964" s="10"/>
    </row>
    <row r="2965" customFormat="false" ht="15.75" hidden="false" customHeight="false" outlineLevel="0" collapsed="false">
      <c r="A2965" s="6" t="n">
        <v>43030.3356481481</v>
      </c>
      <c r="B2965" s="7" t="str">
        <f aca="false">HYPERLINK("https://twitter.com/Gryphios","@Gryphios")</f>
        <v>@Gryphios</v>
      </c>
      <c r="C2965" s="8" t="s">
        <v>7340</v>
      </c>
      <c r="D2965" s="8" t="s">
        <v>5846</v>
      </c>
      <c r="E2965" s="9" t="str">
        <f aca="false">HYPERLINK("https://twitter.com/Gryphios/status/922116163743637504","922116163743637504")</f>
        <v>922116163743637504</v>
      </c>
      <c r="F2965" s="10" t="s">
        <v>51</v>
      </c>
      <c r="G2965" s="10" t="n">
        <v>686</v>
      </c>
      <c r="H2965" s="10" t="n">
        <v>755</v>
      </c>
      <c r="I2965" s="10" t="n">
        <v>16</v>
      </c>
      <c r="J2965" s="10" t="n">
        <v>0</v>
      </c>
      <c r="K2965" s="10" t="s">
        <v>20</v>
      </c>
      <c r="L2965" s="11" t="n">
        <v>40137.649375</v>
      </c>
      <c r="M2965" s="13" t="s">
        <v>3128</v>
      </c>
      <c r="N2965" s="12"/>
      <c r="O2965" s="9" t="str">
        <f aca="false">HYPERLINK("https://pbs.twimg.com/profile_images/802069917264527360/JungBAC8_normal.jpg","View")</f>
        <v>View</v>
      </c>
      <c r="P2965" s="10"/>
    </row>
    <row r="2966" customFormat="false" ht="15.75" hidden="false" customHeight="false" outlineLevel="0" collapsed="false">
      <c r="A2966" s="6" t="n">
        <v>43030.3356828704</v>
      </c>
      <c r="B2966" s="7" t="str">
        <f aca="false">HYPERLINK("https://twitter.com/ExpectArbitrage","@ExpectArbitrage")</f>
        <v>@ExpectArbitrage</v>
      </c>
      <c r="C2966" s="8" t="s">
        <v>7341</v>
      </c>
      <c r="D2966" s="8" t="s">
        <v>3514</v>
      </c>
      <c r="E2966" s="9" t="str">
        <f aca="false">HYPERLINK("https://twitter.com/ExpectArbitrage/status/922116177190469632","922116177190469632")</f>
        <v>922116177190469632</v>
      </c>
      <c r="F2966" s="10" t="s">
        <v>25</v>
      </c>
      <c r="G2966" s="10" t="n">
        <v>149</v>
      </c>
      <c r="H2966" s="10" t="n">
        <v>625</v>
      </c>
      <c r="I2966" s="10" t="n">
        <v>19</v>
      </c>
      <c r="J2966" s="10" t="n">
        <v>0</v>
      </c>
      <c r="K2966" s="10" t="s">
        <v>20</v>
      </c>
      <c r="L2966" s="11" t="n">
        <v>42221.5324537037</v>
      </c>
      <c r="M2966" s="12" t="s">
        <v>186</v>
      </c>
      <c r="N2966" s="12" t="s">
        <v>7342</v>
      </c>
      <c r="O2966" s="9" t="str">
        <f aca="false">HYPERLINK("https://pbs.twimg.com/profile_images/922021785805103105/rppQDViw_normal.jpg","View")</f>
        <v>View</v>
      </c>
      <c r="P2966" s="10"/>
    </row>
    <row r="2967" customFormat="false" ht="15.75" hidden="false" customHeight="false" outlineLevel="0" collapsed="false">
      <c r="A2967" s="6" t="n">
        <v>43030.3359722222</v>
      </c>
      <c r="B2967" s="7" t="str">
        <f aca="false">HYPERLINK("https://twitter.com/HiroyukiSolomon","@HiroyukiSolomon")</f>
        <v>@HiroyukiSolomon</v>
      </c>
      <c r="C2967" s="8" t="s">
        <v>7343</v>
      </c>
      <c r="D2967" s="8" t="s">
        <v>7344</v>
      </c>
      <c r="E2967" s="9" t="str">
        <f aca="false">HYPERLINK("https://twitter.com/HiroyukiSolomon/status/922116280949268480","922116280949268480")</f>
        <v>922116280949268480</v>
      </c>
      <c r="F2967" s="10" t="s">
        <v>39</v>
      </c>
      <c r="G2967" s="10" t="n">
        <v>54</v>
      </c>
      <c r="H2967" s="10" t="n">
        <v>60</v>
      </c>
      <c r="I2967" s="10" t="n">
        <v>4</v>
      </c>
      <c r="J2967" s="10" t="n">
        <v>0</v>
      </c>
      <c r="K2967" s="10" t="s">
        <v>20</v>
      </c>
      <c r="L2967" s="11" t="n">
        <v>41221.0822800926</v>
      </c>
      <c r="M2967" s="12"/>
      <c r="N2967" s="13" t="s">
        <v>7345</v>
      </c>
      <c r="O2967" s="9" t="str">
        <f aca="false">HYPERLINK("https://abs.twimg.com/sticky/default_profile_images/default_profile_normal.png","View")</f>
        <v>View</v>
      </c>
      <c r="P2967" s="10"/>
    </row>
    <row r="2968" customFormat="false" ht="15.75" hidden="false" customHeight="false" outlineLevel="0" collapsed="false">
      <c r="A2968" s="6" t="n">
        <v>43030.3360763889</v>
      </c>
      <c r="B2968" s="7" t="str">
        <f aca="false">HYPERLINK("https://twitter.com/trassens","@trassens")</f>
        <v>@trassens</v>
      </c>
      <c r="C2968" s="8" t="s">
        <v>7346</v>
      </c>
      <c r="D2968" s="8" t="s">
        <v>7347</v>
      </c>
      <c r="E2968" s="9" t="str">
        <f aca="false">HYPERLINK("https://twitter.com/trassens/status/922116322288336897","922116322288336897")</f>
        <v>922116322288336897</v>
      </c>
      <c r="F2968" s="10" t="s">
        <v>39</v>
      </c>
      <c r="G2968" s="10" t="n">
        <v>482</v>
      </c>
      <c r="H2968" s="10" t="n">
        <v>1859</v>
      </c>
      <c r="I2968" s="10" t="n">
        <v>0</v>
      </c>
      <c r="J2968" s="10" t="n">
        <v>0</v>
      </c>
      <c r="K2968" s="10" t="s">
        <v>20</v>
      </c>
      <c r="L2968" s="11" t="n">
        <v>40175.4699421296</v>
      </c>
      <c r="M2968" s="12" t="s">
        <v>7348</v>
      </c>
      <c r="N2968" s="12" t="s">
        <v>7349</v>
      </c>
      <c r="O2968" s="9" t="str">
        <f aca="false">HYPERLINK("https://pbs.twimg.com/profile_images/791740918915338240/uuY1Ra7m_normal.jpg","View")</f>
        <v>View</v>
      </c>
      <c r="P2968" s="10"/>
    </row>
    <row r="2969" customFormat="false" ht="15.75" hidden="false" customHeight="false" outlineLevel="0" collapsed="false">
      <c r="A2969" s="6" t="n">
        <v>43030.336087963</v>
      </c>
      <c r="B2969" s="7" t="str">
        <f aca="false">HYPERLINK("https://twitter.com/shahdevang45","@shahdevang45")</f>
        <v>@shahdevang45</v>
      </c>
      <c r="C2969" s="8" t="s">
        <v>92</v>
      </c>
      <c r="D2969" s="8" t="s">
        <v>7350</v>
      </c>
      <c r="E2969" s="9" t="str">
        <f aca="false">HYPERLINK("https://twitter.com/shahdevang45/status/922116324062519296","922116324062519296")</f>
        <v>922116324062519296</v>
      </c>
      <c r="F2969" s="10" t="s">
        <v>25</v>
      </c>
      <c r="G2969" s="10" t="n">
        <v>1759</v>
      </c>
      <c r="H2969" s="10" t="n">
        <v>4491</v>
      </c>
      <c r="I2969" s="10" t="n">
        <v>62</v>
      </c>
      <c r="J2969" s="10" t="n">
        <v>0</v>
      </c>
      <c r="K2969" s="10" t="s">
        <v>20</v>
      </c>
      <c r="L2969" s="11" t="n">
        <v>41602.3423032407</v>
      </c>
      <c r="M2969" s="12" t="s">
        <v>93</v>
      </c>
      <c r="N2969" s="12" t="s">
        <v>94</v>
      </c>
      <c r="O2969" s="9" t="str">
        <f aca="false">HYPERLINK("https://pbs.twimg.com/profile_images/715422759883374592/hSe_CPUW_normal.jpg","View")</f>
        <v>View</v>
      </c>
      <c r="P2969" s="10"/>
    </row>
    <row r="2970" customFormat="false" ht="15.75" hidden="false" customHeight="false" outlineLevel="0" collapsed="false">
      <c r="A2970" s="6" t="n">
        <v>43030.336099537</v>
      </c>
      <c r="B2970" s="7" t="str">
        <f aca="false">HYPERLINK("https://twitter.com/nkb_pd","@nkb_pd")</f>
        <v>@nkb_pd</v>
      </c>
      <c r="C2970" s="8" t="s">
        <v>7351</v>
      </c>
      <c r="D2970" s="8" t="s">
        <v>6558</v>
      </c>
      <c r="E2970" s="9" t="str">
        <f aca="false">HYPERLINK("https://twitter.com/nkb_pd/status/922116328445460482","922116328445460482")</f>
        <v>922116328445460482</v>
      </c>
      <c r="F2970" s="10" t="s">
        <v>25</v>
      </c>
      <c r="G2970" s="10" t="n">
        <v>653</v>
      </c>
      <c r="H2970" s="10" t="n">
        <v>335</v>
      </c>
      <c r="I2970" s="10" t="n">
        <v>65</v>
      </c>
      <c r="J2970" s="10" t="n">
        <v>0</v>
      </c>
      <c r="K2970" s="10" t="s">
        <v>20</v>
      </c>
      <c r="L2970" s="11" t="n">
        <v>40576.4991435185</v>
      </c>
      <c r="M2970" s="12" t="s">
        <v>7352</v>
      </c>
      <c r="N2970" s="12" t="s">
        <v>7353</v>
      </c>
      <c r="O2970" s="9" t="str">
        <f aca="false">HYPERLINK("https://pbs.twimg.com/profile_images/768625176611135488/IUTLkzqS_normal.jpg","View")</f>
        <v>View</v>
      </c>
      <c r="P2970" s="10"/>
    </row>
    <row r="2971" customFormat="false" ht="15.75" hidden="false" customHeight="false" outlineLevel="0" collapsed="false">
      <c r="A2971" s="6" t="n">
        <v>43030.3364467593</v>
      </c>
      <c r="B2971" s="7" t="str">
        <f aca="false">HYPERLINK("https://twitter.com/newslivenetwork","@newslivenetwork")</f>
        <v>@newslivenetwork</v>
      </c>
      <c r="C2971" s="8" t="s">
        <v>1668</v>
      </c>
      <c r="D2971" s="8" t="s">
        <v>7354</v>
      </c>
      <c r="E2971" s="9" t="str">
        <f aca="false">HYPERLINK("https://twitter.com/newslivenetwork/status/922116455398887424","922116455398887424")</f>
        <v>922116455398887424</v>
      </c>
      <c r="F2971" s="10" t="s">
        <v>55</v>
      </c>
      <c r="G2971" s="10" t="n">
        <v>272</v>
      </c>
      <c r="H2971" s="10" t="n">
        <v>87</v>
      </c>
      <c r="I2971" s="10" t="n">
        <v>0</v>
      </c>
      <c r="J2971" s="10" t="n">
        <v>0</v>
      </c>
      <c r="K2971" s="10" t="s">
        <v>20</v>
      </c>
      <c r="L2971" s="11" t="n">
        <v>42741.4719675926</v>
      </c>
      <c r="M2971" s="12" t="s">
        <v>1670</v>
      </c>
      <c r="N2971" s="12" t="s">
        <v>1671</v>
      </c>
      <c r="O2971" s="9" t="str">
        <f aca="false">HYPERLINK("https://pbs.twimg.com/profile_images/877414144424660992/scfhocj3_normal.jpg","View")</f>
        <v>View</v>
      </c>
      <c r="P2971" s="10"/>
    </row>
    <row r="2972" customFormat="false" ht="15.75" hidden="false" customHeight="false" outlineLevel="0" collapsed="false">
      <c r="A2972" s="6" t="n">
        <v>43030.3365393518</v>
      </c>
      <c r="B2972" s="7" t="str">
        <f aca="false">HYPERLINK("https://twitter.com/emineno435","@emineno435")</f>
        <v>@emineno435</v>
      </c>
      <c r="C2972" s="8" t="s">
        <v>7355</v>
      </c>
      <c r="D2972" s="8" t="s">
        <v>7356</v>
      </c>
      <c r="E2972" s="9" t="str">
        <f aca="false">HYPERLINK("https://twitter.com/emineno435/status/922116488546226176","922116488546226176")</f>
        <v>922116488546226176</v>
      </c>
      <c r="F2972" s="10" t="s">
        <v>51</v>
      </c>
      <c r="G2972" s="10" t="n">
        <v>1358</v>
      </c>
      <c r="H2972" s="10" t="n">
        <v>1512</v>
      </c>
      <c r="I2972" s="10" t="n">
        <v>0</v>
      </c>
      <c r="J2972" s="10" t="n">
        <v>0</v>
      </c>
      <c r="K2972" s="10" t="s">
        <v>20</v>
      </c>
      <c r="L2972" s="11" t="n">
        <v>42036.7855324074</v>
      </c>
      <c r="M2972" s="12" t="s">
        <v>230</v>
      </c>
      <c r="N2972" s="12" t="s">
        <v>7357</v>
      </c>
      <c r="O2972" s="9" t="str">
        <f aca="false">HYPERLINK("https://pbs.twimg.com/profile_images/838445133251014656/FXpuxfBF_normal.jpg","View")</f>
        <v>View</v>
      </c>
      <c r="P2972" s="10"/>
    </row>
    <row r="2973" customFormat="false" ht="15.75" hidden="false" customHeight="false" outlineLevel="0" collapsed="false">
      <c r="A2973" s="6" t="n">
        <v>43030.3365625</v>
      </c>
      <c r="B2973" s="7" t="str">
        <f aca="false">HYPERLINK("https://twitter.com/ellitweets","@ellitweets")</f>
        <v>@ellitweets</v>
      </c>
      <c r="C2973" s="8" t="s">
        <v>7358</v>
      </c>
      <c r="D2973" s="8" t="s">
        <v>7359</v>
      </c>
      <c r="E2973" s="9" t="str">
        <f aca="false">HYPERLINK("https://twitter.com/ellitweets/status/922116494338740224","922116494338740224")</f>
        <v>922116494338740224</v>
      </c>
      <c r="F2973" s="10" t="s">
        <v>1194</v>
      </c>
      <c r="G2973" s="10" t="n">
        <v>101</v>
      </c>
      <c r="H2973" s="10" t="n">
        <v>347</v>
      </c>
      <c r="I2973" s="10" t="n">
        <v>0</v>
      </c>
      <c r="J2973" s="10" t="n">
        <v>0</v>
      </c>
      <c r="K2973" s="10" t="s">
        <v>20</v>
      </c>
      <c r="L2973" s="11" t="n">
        <v>40085.9594444444</v>
      </c>
      <c r="M2973" s="12"/>
      <c r="N2973" s="12" t="s">
        <v>7360</v>
      </c>
      <c r="O2973" s="9" t="str">
        <f aca="false">HYPERLINK("https://pbs.twimg.com/profile_images/2873514687/199ee80a4e66c4ddc96111fb255c05cf_normal.jpeg","View")</f>
        <v>View</v>
      </c>
      <c r="P2973" s="10"/>
    </row>
    <row r="2974" customFormat="false" ht="15.75" hidden="false" customHeight="false" outlineLevel="0" collapsed="false">
      <c r="A2974" s="6" t="n">
        <v>43030.3366203704</v>
      </c>
      <c r="B2974" s="7" t="str">
        <f aca="false">HYPERLINK("https://twitter.com/IndiasBigdebate","@IndiasBigdebate")</f>
        <v>@IndiasBigdebate</v>
      </c>
      <c r="C2974" s="8" t="s">
        <v>2302</v>
      </c>
      <c r="D2974" s="8" t="s">
        <v>7350</v>
      </c>
      <c r="E2974" s="9" t="str">
        <f aca="false">HYPERLINK("https://twitter.com/IndiasBigdebate/status/922116517973467138","922116517973467138")</f>
        <v>922116517973467138</v>
      </c>
      <c r="F2974" s="10" t="s">
        <v>25</v>
      </c>
      <c r="G2974" s="10" t="n">
        <v>1137</v>
      </c>
      <c r="H2974" s="10" t="n">
        <v>195</v>
      </c>
      <c r="I2974" s="10" t="n">
        <v>62</v>
      </c>
      <c r="J2974" s="10" t="n">
        <v>0</v>
      </c>
      <c r="K2974" s="10" t="s">
        <v>20</v>
      </c>
      <c r="L2974" s="11" t="n">
        <v>42216.4747916667</v>
      </c>
      <c r="M2974" s="12" t="s">
        <v>72</v>
      </c>
      <c r="N2974" s="12" t="s">
        <v>2303</v>
      </c>
      <c r="O2974" s="9" t="str">
        <f aca="false">HYPERLINK("https://pbs.twimg.com/profile_images/747690422248538112/8vtnmm--_normal.jpg","View")</f>
        <v>View</v>
      </c>
      <c r="P2974" s="10"/>
    </row>
    <row r="2975" customFormat="false" ht="15.75" hidden="false" customHeight="false" outlineLevel="0" collapsed="false">
      <c r="A2975" s="6" t="n">
        <v>43030.336724537</v>
      </c>
      <c r="B2975" s="7" t="str">
        <f aca="false">HYPERLINK("https://twitter.com/Chandra_bhs","@Chandra_bhs")</f>
        <v>@Chandra_bhs</v>
      </c>
      <c r="C2975" s="8" t="s">
        <v>7361</v>
      </c>
      <c r="D2975" s="8" t="s">
        <v>7350</v>
      </c>
      <c r="E2975" s="9" t="str">
        <f aca="false">HYPERLINK("https://twitter.com/Chandra_bhs/status/922116553792827392","922116553792827392")</f>
        <v>922116553792827392</v>
      </c>
      <c r="F2975" s="10" t="s">
        <v>25</v>
      </c>
      <c r="G2975" s="10" t="n">
        <v>1076</v>
      </c>
      <c r="H2975" s="10" t="n">
        <v>589</v>
      </c>
      <c r="I2975" s="10" t="n">
        <v>62</v>
      </c>
      <c r="J2975" s="10" t="n">
        <v>0</v>
      </c>
      <c r="K2975" s="10" t="s">
        <v>20</v>
      </c>
      <c r="L2975" s="11" t="n">
        <v>40974.4741782407</v>
      </c>
      <c r="M2975" s="12" t="s">
        <v>72</v>
      </c>
      <c r="N2975" s="12" t="s">
        <v>7362</v>
      </c>
      <c r="O2975" s="9" t="str">
        <f aca="false">HYPERLINK("https://pbs.twimg.com/profile_images/765640570941214720/nl8KhIem_normal.jpg","View")</f>
        <v>View</v>
      </c>
      <c r="P2975" s="10"/>
    </row>
    <row r="2976" customFormat="false" ht="15.75" hidden="false" customHeight="false" outlineLevel="0" collapsed="false">
      <c r="A2976" s="6" t="n">
        <v>43030.3369212963</v>
      </c>
      <c r="B2976" s="7" t="str">
        <f aca="false">HYPERLINK("https://twitter.com/Paleoturkey","@Paleoturkey")</f>
        <v>@Paleoturkey</v>
      </c>
      <c r="C2976" s="8" t="s">
        <v>7363</v>
      </c>
      <c r="D2976" s="8" t="s">
        <v>7364</v>
      </c>
      <c r="E2976" s="9" t="str">
        <f aca="false">HYPERLINK("https://twitter.com/Paleoturkey/status/922116627017150464","922116627017150464")</f>
        <v>922116627017150464</v>
      </c>
      <c r="F2976" s="10" t="s">
        <v>51</v>
      </c>
      <c r="G2976" s="10" t="n">
        <v>1052</v>
      </c>
      <c r="H2976" s="10" t="n">
        <v>1037</v>
      </c>
      <c r="I2976" s="10" t="n">
        <v>3</v>
      </c>
      <c r="J2976" s="10" t="n">
        <v>0</v>
      </c>
      <c r="K2976" s="10" t="s">
        <v>20</v>
      </c>
      <c r="L2976" s="11" t="n">
        <v>42043.5054166667</v>
      </c>
      <c r="M2976" s="12"/>
      <c r="N2976" s="12" t="s">
        <v>7365</v>
      </c>
      <c r="O2976" s="9" t="str">
        <f aca="false">HYPERLINK("https://pbs.twimg.com/profile_images/779044228974325760/xIFs0QXh_normal.jpg","View")</f>
        <v>View</v>
      </c>
      <c r="P2976" s="10"/>
    </row>
    <row r="2977" customFormat="false" ht="15.75" hidden="false" customHeight="false" outlineLevel="0" collapsed="false">
      <c r="A2977" s="6" t="n">
        <v>43030.3369328704</v>
      </c>
      <c r="B2977" s="7" t="str">
        <f aca="false">HYPERLINK("https://twitter.com/ShivMishra123","@ShivMishra123")</f>
        <v>@ShivMishra123</v>
      </c>
      <c r="C2977" s="8" t="s">
        <v>7366</v>
      </c>
      <c r="D2977" s="8" t="s">
        <v>7350</v>
      </c>
      <c r="E2977" s="9" t="str">
        <f aca="false">HYPERLINK("https://twitter.com/ShivMishra123/status/922116630179561473","922116630179561473")</f>
        <v>922116630179561473</v>
      </c>
      <c r="F2977" s="10" t="s">
        <v>98</v>
      </c>
      <c r="G2977" s="10" t="n">
        <v>171</v>
      </c>
      <c r="H2977" s="10" t="n">
        <v>535</v>
      </c>
      <c r="I2977" s="10" t="n">
        <v>62</v>
      </c>
      <c r="J2977" s="10" t="n">
        <v>0</v>
      </c>
      <c r="K2977" s="10" t="s">
        <v>20</v>
      </c>
      <c r="L2977" s="11" t="n">
        <v>42125.9665277778</v>
      </c>
      <c r="M2977" s="12" t="s">
        <v>1684</v>
      </c>
      <c r="N2977" s="12"/>
      <c r="O2977" s="9" t="str">
        <f aca="false">HYPERLINK("https://pbs.twimg.com/profile_images/884799129993363456/S8DHw9A5_normal.jpg","View")</f>
        <v>View</v>
      </c>
      <c r="P2977" s="10"/>
    </row>
    <row r="2978" customFormat="false" ht="15.75" hidden="false" customHeight="false" outlineLevel="0" collapsed="false">
      <c r="A2978" s="6" t="n">
        <v>43030.3370023148</v>
      </c>
      <c r="B2978" s="7" t="str">
        <f aca="false">HYPERLINK("https://twitter.com/MayurGu07070953","@MayurGu07070953")</f>
        <v>@MayurGu07070953</v>
      </c>
      <c r="C2978" s="8" t="s">
        <v>7367</v>
      </c>
      <c r="D2978" s="8" t="s">
        <v>7368</v>
      </c>
      <c r="E2978" s="9" t="str">
        <f aca="false">HYPERLINK("https://twitter.com/MayurGu07070953/status/922116656553512960","922116656553512960")</f>
        <v>922116656553512960</v>
      </c>
      <c r="F2978" s="10" t="s">
        <v>60</v>
      </c>
      <c r="G2978" s="10" t="n">
        <v>50</v>
      </c>
      <c r="H2978" s="10" t="n">
        <v>16</v>
      </c>
      <c r="I2978" s="10" t="n">
        <v>0</v>
      </c>
      <c r="J2978" s="10" t="n">
        <v>0</v>
      </c>
      <c r="K2978" s="10" t="s">
        <v>20</v>
      </c>
      <c r="L2978" s="11" t="n">
        <v>41067.1923611111</v>
      </c>
      <c r="M2978" s="12"/>
      <c r="N2978" s="12"/>
      <c r="O2978" s="9" t="str">
        <f aca="false">HYPERLINK("https://pbs.twimg.com/profile_images/572746237725708288/uQyIasl8_normal.jpeg","View")</f>
        <v>View</v>
      </c>
      <c r="P2978" s="10"/>
    </row>
    <row r="2979" customFormat="false" ht="15.75" hidden="false" customHeight="false" outlineLevel="0" collapsed="false">
      <c r="A2979" s="6" t="n">
        <v>43030.337037037</v>
      </c>
      <c r="B2979" s="7" t="str">
        <f aca="false">HYPERLINK("https://twitter.com/NAR","@NAR")</f>
        <v>@NAR</v>
      </c>
      <c r="C2979" s="8" t="s">
        <v>1471</v>
      </c>
      <c r="D2979" s="8" t="s">
        <v>7369</v>
      </c>
      <c r="E2979" s="9" t="str">
        <f aca="false">HYPERLINK("https://twitter.com/NAR/status/922116667223805953","922116667223805953")</f>
        <v>922116667223805953</v>
      </c>
      <c r="F2979" s="10" t="s">
        <v>268</v>
      </c>
      <c r="G2979" s="10" t="n">
        <v>57287</v>
      </c>
      <c r="H2979" s="10" t="n">
        <v>23</v>
      </c>
      <c r="I2979" s="10" t="n">
        <v>16</v>
      </c>
      <c r="J2979" s="10" t="n">
        <v>18</v>
      </c>
      <c r="K2979" s="10" t="s">
        <v>20</v>
      </c>
      <c r="L2979" s="11" t="n">
        <v>40890.8868634259</v>
      </c>
      <c r="M2979" s="12" t="s">
        <v>1473</v>
      </c>
      <c r="N2979" s="12" t="s">
        <v>1474</v>
      </c>
      <c r="O2979" s="9" t="str">
        <f aca="false">HYPERLINK("https://pbs.twimg.com/profile_images/669688096879841280/kyJYc3j-_normal.png","View")</f>
        <v>View</v>
      </c>
      <c r="P2979" s="10"/>
    </row>
    <row r="2980" customFormat="false" ht="15.75" hidden="false" customHeight="false" outlineLevel="0" collapsed="false">
      <c r="A2980" s="6" t="n">
        <v>43030.3374074074</v>
      </c>
      <c r="B2980" s="7" t="str">
        <f aca="false">HYPERLINK("https://twitter.com/pompousfarang","@pompousfarang")</f>
        <v>@pompousfarang</v>
      </c>
      <c r="C2980" s="8" t="s">
        <v>7370</v>
      </c>
      <c r="D2980" s="8" t="s">
        <v>7371</v>
      </c>
      <c r="E2980" s="9" t="str">
        <f aca="false">HYPERLINK("https://twitter.com/pompousfarang/status/922116804276662273","922116804276662273")</f>
        <v>922116804276662273</v>
      </c>
      <c r="F2980" s="10" t="s">
        <v>39</v>
      </c>
      <c r="G2980" s="10" t="n">
        <v>121</v>
      </c>
      <c r="H2980" s="10" t="n">
        <v>2438</v>
      </c>
      <c r="I2980" s="10" t="n">
        <v>16</v>
      </c>
      <c r="J2980" s="10" t="n">
        <v>0</v>
      </c>
      <c r="K2980" s="10" t="s">
        <v>20</v>
      </c>
      <c r="L2980" s="11" t="n">
        <v>42928.5266666667</v>
      </c>
      <c r="M2980" s="12" t="s">
        <v>7372</v>
      </c>
      <c r="N2980" s="12" t="s">
        <v>7373</v>
      </c>
      <c r="O2980" s="9" t="str">
        <f aca="false">HYPERLINK("https://pbs.twimg.com/profile_images/923908567102455808/2lFYjR4__normal.jpg","View")</f>
        <v>View</v>
      </c>
      <c r="P2980" s="10"/>
    </row>
    <row r="2981" customFormat="false" ht="15.75" hidden="false" customHeight="false" outlineLevel="0" collapsed="false">
      <c r="A2981" s="6" t="n">
        <v>43030.3374884259</v>
      </c>
      <c r="B2981" s="7" t="str">
        <f aca="false">HYPERLINK("https://twitter.com/iPriti","@iPriti")</f>
        <v>@iPriti</v>
      </c>
      <c r="C2981" s="8" t="s">
        <v>7374</v>
      </c>
      <c r="D2981" s="8" t="s">
        <v>7375</v>
      </c>
      <c r="E2981" s="9" t="str">
        <f aca="false">HYPERLINK("https://twitter.com/iPriti/status/922116830386446336","922116830386446336")</f>
        <v>922116830386446336</v>
      </c>
      <c r="F2981" s="10" t="s">
        <v>39</v>
      </c>
      <c r="G2981" s="10" t="n">
        <v>502</v>
      </c>
      <c r="H2981" s="10" t="n">
        <v>93</v>
      </c>
      <c r="I2981" s="10" t="n">
        <v>5</v>
      </c>
      <c r="J2981" s="10" t="n">
        <v>0</v>
      </c>
      <c r="K2981" s="10" t="s">
        <v>20</v>
      </c>
      <c r="L2981" s="11" t="n">
        <v>39880.3078472222</v>
      </c>
      <c r="M2981" s="12" t="s">
        <v>7376</v>
      </c>
      <c r="N2981" s="12" t="s">
        <v>7377</v>
      </c>
      <c r="O2981" s="9" t="str">
        <f aca="false">HYPERLINK("https://pbs.twimg.com/profile_images/840697402575142912/EXHiVXKa_normal.jpg","View")</f>
        <v>View</v>
      </c>
      <c r="P2981" s="10"/>
    </row>
    <row r="2982" customFormat="false" ht="15.75" hidden="false" customHeight="false" outlineLevel="0" collapsed="false">
      <c r="A2982" s="6" t="n">
        <v>43030.3375</v>
      </c>
      <c r="B2982" s="7" t="str">
        <f aca="false">HYPERLINK("https://twitter.com/ajasonchen","@ajasonchen")</f>
        <v>@ajasonchen</v>
      </c>
      <c r="C2982" s="8" t="s">
        <v>7378</v>
      </c>
      <c r="D2982" s="8" t="s">
        <v>7375</v>
      </c>
      <c r="E2982" s="9" t="str">
        <f aca="false">HYPERLINK("https://twitter.com/ajasonchen/status/922116836296073216","922116836296073216")</f>
        <v>922116836296073216</v>
      </c>
      <c r="F2982" s="10" t="s">
        <v>51</v>
      </c>
      <c r="G2982" s="10" t="n">
        <v>94</v>
      </c>
      <c r="H2982" s="10" t="n">
        <v>736</v>
      </c>
      <c r="I2982" s="10" t="n">
        <v>5</v>
      </c>
      <c r="J2982" s="10" t="n">
        <v>0</v>
      </c>
      <c r="K2982" s="10" t="s">
        <v>20</v>
      </c>
      <c r="L2982" s="11" t="n">
        <v>42012.1575578704</v>
      </c>
      <c r="M2982" s="12" t="s">
        <v>752</v>
      </c>
      <c r="N2982" s="12"/>
      <c r="O2982" s="9" t="str">
        <f aca="false">HYPERLINK("https://pbs.twimg.com/profile_images/670018542083833857/587NnaGu_normal.png","View")</f>
        <v>View</v>
      </c>
      <c r="P2982" s="10"/>
    </row>
    <row r="2983" customFormat="false" ht="15.75" hidden="false" customHeight="false" outlineLevel="0" collapsed="false">
      <c r="A2983" s="6" t="n">
        <v>43030.3375231482</v>
      </c>
      <c r="B2983" s="7" t="str">
        <f aca="false">HYPERLINK("https://twitter.com/Economy_newsUS","@Economy_newsUS")</f>
        <v>@Economy_newsUS</v>
      </c>
      <c r="C2983" s="8" t="s">
        <v>7379</v>
      </c>
      <c r="D2983" s="8" t="s">
        <v>7380</v>
      </c>
      <c r="E2983" s="9" t="str">
        <f aca="false">HYPERLINK("https://twitter.com/Economy_newsUS/status/922116845523668992","922116845523668992")</f>
        <v>922116845523668992</v>
      </c>
      <c r="F2983" s="10" t="s">
        <v>3042</v>
      </c>
      <c r="G2983" s="10" t="n">
        <v>555</v>
      </c>
      <c r="H2983" s="10" t="n">
        <v>682</v>
      </c>
      <c r="I2983" s="10" t="n">
        <v>0</v>
      </c>
      <c r="J2983" s="10" t="n">
        <v>0</v>
      </c>
      <c r="K2983" s="10" t="s">
        <v>20</v>
      </c>
      <c r="L2983" s="11" t="n">
        <v>41930.5407060185</v>
      </c>
      <c r="M2983" s="12"/>
      <c r="N2983" s="12" t="s">
        <v>7381</v>
      </c>
      <c r="O2983" s="9" t="str">
        <f aca="false">HYPERLINK("https://pbs.twimg.com/profile_images/523563985313218560/-AUuKV17_normal.png","View")</f>
        <v>View</v>
      </c>
      <c r="P2983" s="10"/>
    </row>
    <row r="2984" customFormat="false" ht="15.75" hidden="false" customHeight="false" outlineLevel="0" collapsed="false">
      <c r="A2984" s="6" t="n">
        <v>43030.3375694444</v>
      </c>
      <c r="B2984" s="7" t="str">
        <f aca="false">HYPERLINK("https://twitter.com/tthanomnua","@tthanomnua")</f>
        <v>@tthanomnua</v>
      </c>
      <c r="C2984" s="8" t="s">
        <v>3718</v>
      </c>
      <c r="D2984" s="8" t="s">
        <v>7371</v>
      </c>
      <c r="E2984" s="9" t="str">
        <f aca="false">HYPERLINK("https://twitter.com/tthanomnua/status/922116862002868224","922116862002868224")</f>
        <v>922116862002868224</v>
      </c>
      <c r="F2984" s="10" t="s">
        <v>25</v>
      </c>
      <c r="G2984" s="10" t="n">
        <v>1335</v>
      </c>
      <c r="H2984" s="10" t="n">
        <v>477</v>
      </c>
      <c r="I2984" s="10" t="n">
        <v>16</v>
      </c>
      <c r="J2984" s="10" t="n">
        <v>0</v>
      </c>
      <c r="K2984" s="10" t="s">
        <v>20</v>
      </c>
      <c r="L2984" s="11" t="n">
        <v>40260.7666898148</v>
      </c>
      <c r="M2984" s="12" t="s">
        <v>3719</v>
      </c>
      <c r="N2984" s="12" t="s">
        <v>3720</v>
      </c>
      <c r="O2984" s="9" t="str">
        <f aca="false">HYPERLINK("https://pbs.twimg.com/profile_images/786689732055015424/fAasB3Vt_normal.jpg","View")</f>
        <v>View</v>
      </c>
      <c r="P2984" s="10"/>
    </row>
    <row r="2985" customFormat="false" ht="15.75" hidden="false" customHeight="false" outlineLevel="0" collapsed="false">
      <c r="A2985" s="6" t="n">
        <v>43030.3377893519</v>
      </c>
      <c r="B2985" s="7" t="str">
        <f aca="false">HYPERLINK("https://twitter.com/ankinamkmk","@ankinamkmk")</f>
        <v>@ankinamkmk</v>
      </c>
      <c r="C2985" s="14" t="s">
        <v>7382</v>
      </c>
      <c r="D2985" s="8" t="s">
        <v>5846</v>
      </c>
      <c r="E2985" s="9" t="str">
        <f aca="false">HYPERLINK("https://twitter.com/ankinamkmk/status/922116939161337856","922116939161337856")</f>
        <v>922116939161337856</v>
      </c>
      <c r="F2985" s="10" t="s">
        <v>51</v>
      </c>
      <c r="G2985" s="10" t="n">
        <v>513</v>
      </c>
      <c r="H2985" s="10" t="n">
        <v>509</v>
      </c>
      <c r="I2985" s="10" t="n">
        <v>16</v>
      </c>
      <c r="J2985" s="10" t="n">
        <v>0</v>
      </c>
      <c r="K2985" s="10" t="s">
        <v>20</v>
      </c>
      <c r="L2985" s="11" t="n">
        <v>42049.3647337963</v>
      </c>
      <c r="M2985" s="13" t="s">
        <v>152</v>
      </c>
      <c r="N2985" s="13" t="s">
        <v>7383</v>
      </c>
      <c r="O2985" s="9" t="str">
        <f aca="false">HYPERLINK("https://pbs.twimg.com/profile_images/787743246222884864/4ehrTVZB_normal.jpg","View")</f>
        <v>View</v>
      </c>
      <c r="P2985" s="10"/>
    </row>
    <row r="2986" customFormat="false" ht="15.75" hidden="false" customHeight="false" outlineLevel="0" collapsed="false">
      <c r="A2986" s="6" t="n">
        <v>43030.3384606482</v>
      </c>
      <c r="B2986" s="7" t="str">
        <f aca="false">HYPERLINK("https://twitter.com/Trini2015","@Trini2015")</f>
        <v>@Trini2015</v>
      </c>
      <c r="C2986" s="8" t="s">
        <v>7384</v>
      </c>
      <c r="D2986" s="8" t="s">
        <v>7375</v>
      </c>
      <c r="E2986" s="9" t="str">
        <f aca="false">HYPERLINK("https://twitter.com/Trini2015/status/922117183211212800","922117183211212800")</f>
        <v>922117183211212800</v>
      </c>
      <c r="F2986" s="10" t="s">
        <v>25</v>
      </c>
      <c r="G2986" s="10" t="n">
        <v>666</v>
      </c>
      <c r="H2986" s="10" t="n">
        <v>3667</v>
      </c>
      <c r="I2986" s="10" t="n">
        <v>5</v>
      </c>
      <c r="J2986" s="10" t="n">
        <v>0</v>
      </c>
      <c r="K2986" s="10" t="s">
        <v>20</v>
      </c>
      <c r="L2986" s="11" t="n">
        <v>41174.7266203704</v>
      </c>
      <c r="M2986" s="12" t="s">
        <v>7385</v>
      </c>
      <c r="N2986" s="12" t="s">
        <v>7386</v>
      </c>
      <c r="O2986" s="9" t="str">
        <f aca="false">HYPERLINK("https://pbs.twimg.com/profile_images/922663779959263234/IA2ip_FG_normal.jpg","View")</f>
        <v>View</v>
      </c>
      <c r="P2986" s="10"/>
    </row>
    <row r="2987" customFormat="false" ht="15.75" hidden="false" customHeight="false" outlineLevel="0" collapsed="false">
      <c r="A2987" s="6" t="n">
        <v>43030.3384606482</v>
      </c>
      <c r="B2987" s="7" t="str">
        <f aca="false">HYPERLINK("https://twitter.com/mit_obe","@mit_obe")</f>
        <v>@mit_obe</v>
      </c>
      <c r="C2987" s="8" t="s">
        <v>7387</v>
      </c>
      <c r="D2987" s="8" t="s">
        <v>7388</v>
      </c>
      <c r="E2987" s="9" t="str">
        <f aca="false">HYPERLINK("https://twitter.com/mit_obe/status/922117184431710208","922117184431710208")</f>
        <v>922117184431710208</v>
      </c>
      <c r="F2987" s="10" t="s">
        <v>39</v>
      </c>
      <c r="G2987" s="10" t="n">
        <v>1496</v>
      </c>
      <c r="H2987" s="10" t="n">
        <v>299</v>
      </c>
      <c r="I2987" s="10" t="n">
        <v>0</v>
      </c>
      <c r="J2987" s="10" t="n">
        <v>0</v>
      </c>
      <c r="K2987" s="10" t="s">
        <v>20</v>
      </c>
      <c r="L2987" s="11" t="n">
        <v>41472.7236226852</v>
      </c>
      <c r="M2987" s="12" t="s">
        <v>102</v>
      </c>
      <c r="N2987" s="12" t="s">
        <v>7389</v>
      </c>
      <c r="O2987" s="9" t="str">
        <f aca="false">HYPERLINK("https://pbs.twimg.com/profile_images/912457089007575041/iunAue57_normal.jpg","View")</f>
        <v>View</v>
      </c>
      <c r="P2987" s="10"/>
    </row>
    <row r="2988" customFormat="false" ht="15.75" hidden="false" customHeight="false" outlineLevel="0" collapsed="false">
      <c r="A2988" s="6" t="n">
        <v>43030.3384837963</v>
      </c>
      <c r="B2988" s="7" t="str">
        <f aca="false">HYPERLINK("https://twitter.com/surajXm","@surajXm")</f>
        <v>@surajXm</v>
      </c>
      <c r="C2988" s="8" t="s">
        <v>7390</v>
      </c>
      <c r="D2988" s="8" t="s">
        <v>6558</v>
      </c>
      <c r="E2988" s="9" t="str">
        <f aca="false">HYPERLINK("https://twitter.com/surajXm/status/922117194237992960","922117194237992960")</f>
        <v>922117194237992960</v>
      </c>
      <c r="F2988" s="10" t="s">
        <v>25</v>
      </c>
      <c r="G2988" s="10" t="n">
        <v>14</v>
      </c>
      <c r="H2988" s="10" t="n">
        <v>302</v>
      </c>
      <c r="I2988" s="10" t="n">
        <v>65</v>
      </c>
      <c r="J2988" s="10" t="n">
        <v>0</v>
      </c>
      <c r="K2988" s="10" t="s">
        <v>20</v>
      </c>
      <c r="L2988" s="11" t="n">
        <v>42963.6572569444</v>
      </c>
      <c r="M2988" s="12" t="s">
        <v>5920</v>
      </c>
      <c r="N2988" s="12" t="s">
        <v>7391</v>
      </c>
      <c r="O2988" s="9" t="str">
        <f aca="false">HYPERLINK("https://pbs.twimg.com/profile_images/913102492560375808/9xs5xGkj_normal.jpg","View")</f>
        <v>View</v>
      </c>
      <c r="P2988" s="10"/>
    </row>
    <row r="2989" customFormat="false" ht="15.75" hidden="false" customHeight="false" outlineLevel="0" collapsed="false">
      <c r="A2989" s="6" t="n">
        <v>43030.338587963</v>
      </c>
      <c r="B2989" s="7" t="str">
        <f aca="false">HYPERLINK("https://twitter.com/Law1Gloria","@Law1Gloria")</f>
        <v>@Law1Gloria</v>
      </c>
      <c r="C2989" s="8" t="s">
        <v>7392</v>
      </c>
      <c r="D2989" s="8" t="s">
        <v>7371</v>
      </c>
      <c r="E2989" s="9" t="str">
        <f aca="false">HYPERLINK("https://twitter.com/Law1Gloria/status/922117231059898369","922117231059898369")</f>
        <v>922117231059898369</v>
      </c>
      <c r="F2989" s="10" t="s">
        <v>39</v>
      </c>
      <c r="G2989" s="10" t="n">
        <v>11560</v>
      </c>
      <c r="H2989" s="10" t="n">
        <v>12916</v>
      </c>
      <c r="I2989" s="10" t="n">
        <v>16</v>
      </c>
      <c r="J2989" s="10" t="n">
        <v>0</v>
      </c>
      <c r="K2989" s="10" t="s">
        <v>20</v>
      </c>
      <c r="L2989" s="11" t="n">
        <v>41872.8315046296</v>
      </c>
      <c r="M2989" s="12" t="s">
        <v>3712</v>
      </c>
      <c r="N2989" s="12" t="s">
        <v>7393</v>
      </c>
      <c r="O2989" s="9" t="str">
        <f aca="false">HYPERLINK("https://pbs.twimg.com/profile_images/509884349320159232/UDfMxJO2_normal.jpeg","View")</f>
        <v>View</v>
      </c>
      <c r="P2989" s="10"/>
    </row>
    <row r="2990" customFormat="false" ht="15.75" hidden="false" customHeight="false" outlineLevel="0" collapsed="false">
      <c r="A2990" s="6" t="n">
        <v>43030.3387615741</v>
      </c>
      <c r="B2990" s="7" t="str">
        <f aca="false">HYPERLINK("https://twitter.com/mjjolson","@mjjolson")</f>
        <v>@mjjolson</v>
      </c>
      <c r="C2990" s="8" t="s">
        <v>7394</v>
      </c>
      <c r="D2990" s="8" t="s">
        <v>7395</v>
      </c>
      <c r="E2990" s="9" t="str">
        <f aca="false">HYPERLINK("https://twitter.com/mjjolson/status/922117291441033216","922117291441033216")</f>
        <v>922117291441033216</v>
      </c>
      <c r="F2990" s="10" t="s">
        <v>51</v>
      </c>
      <c r="G2990" s="10" t="n">
        <v>172</v>
      </c>
      <c r="H2990" s="10" t="n">
        <v>940</v>
      </c>
      <c r="I2990" s="10" t="n">
        <v>1</v>
      </c>
      <c r="J2990" s="10" t="n">
        <v>0</v>
      </c>
      <c r="K2990" s="10" t="s">
        <v>20</v>
      </c>
      <c r="L2990" s="11" t="n">
        <v>41014.2590393518</v>
      </c>
      <c r="M2990" s="12" t="s">
        <v>230</v>
      </c>
      <c r="N2990" s="12" t="s">
        <v>7396</v>
      </c>
      <c r="O2990" s="9" t="str">
        <f aca="false">HYPERLINK("https://pbs.twimg.com/profile_images/912865750771273728/GUYh1NBL_normal.jpg","View")</f>
        <v>View</v>
      </c>
      <c r="P2990" s="10"/>
    </row>
    <row r="2991" customFormat="false" ht="15.75" hidden="false" customHeight="false" outlineLevel="0" collapsed="false">
      <c r="A2991" s="6" t="n">
        <v>43030.3389814815</v>
      </c>
      <c r="B2991" s="7" t="str">
        <f aca="false">HYPERLINK("https://twitter.com/latticeworkwlth","@latticeworkwlth")</f>
        <v>@latticeworkwlth</v>
      </c>
      <c r="C2991" s="8" t="s">
        <v>7397</v>
      </c>
      <c r="D2991" s="8" t="s">
        <v>7398</v>
      </c>
      <c r="E2991" s="9" t="str">
        <f aca="false">HYPERLINK("https://twitter.com/latticeworkwlth/status/922117371992657920","922117371992657920")</f>
        <v>922117371992657920</v>
      </c>
      <c r="F2991" s="10" t="s">
        <v>39</v>
      </c>
      <c r="G2991" s="10" t="n">
        <v>412</v>
      </c>
      <c r="H2991" s="10" t="n">
        <v>370</v>
      </c>
      <c r="I2991" s="10" t="n">
        <v>0</v>
      </c>
      <c r="J2991" s="10" t="n">
        <v>0</v>
      </c>
      <c r="K2991" s="10" t="s">
        <v>20</v>
      </c>
      <c r="L2991" s="11" t="n">
        <v>41467.5201157407</v>
      </c>
      <c r="M2991" s="12" t="s">
        <v>7399</v>
      </c>
      <c r="N2991" s="12" t="s">
        <v>7400</v>
      </c>
      <c r="O2991" s="9" t="str">
        <f aca="false">HYPERLINK("https://pbs.twimg.com/profile_images/428198941847330816/eSsaa1Si_normal.jpeg","View")</f>
        <v>View</v>
      </c>
      <c r="P2991" s="10"/>
    </row>
    <row r="2992" customFormat="false" ht="15.75" hidden="false" customHeight="false" outlineLevel="0" collapsed="false">
      <c r="A2992" s="6" t="n">
        <v>43030.3391435185</v>
      </c>
      <c r="B2992" s="7" t="str">
        <f aca="false">HYPERLINK("https://twitter.com/Rimithakur2","@Rimithakur2")</f>
        <v>@Rimithakur2</v>
      </c>
      <c r="C2992" s="8" t="s">
        <v>7401</v>
      </c>
      <c r="D2992" s="8" t="s">
        <v>7350</v>
      </c>
      <c r="E2992" s="9" t="str">
        <f aca="false">HYPERLINK("https://twitter.com/Rimithakur2/status/922117432235376646","922117432235376646")</f>
        <v>922117432235376646</v>
      </c>
      <c r="F2992" s="10" t="s">
        <v>98</v>
      </c>
      <c r="G2992" s="10" t="n">
        <v>76</v>
      </c>
      <c r="H2992" s="10" t="n">
        <v>92</v>
      </c>
      <c r="I2992" s="10" t="n">
        <v>62</v>
      </c>
      <c r="J2992" s="10" t="n">
        <v>0</v>
      </c>
      <c r="K2992" s="10" t="s">
        <v>20</v>
      </c>
      <c r="L2992" s="11" t="n">
        <v>42716.3230787037</v>
      </c>
      <c r="M2992" s="12"/>
      <c r="N2992" s="12" t="s">
        <v>7402</v>
      </c>
      <c r="O2992" s="9" t="str">
        <f aca="false">HYPERLINK("https://pbs.twimg.com/profile_images/921326171719065600/UdEO6_08_normal.jpg","View")</f>
        <v>View</v>
      </c>
      <c r="P2992" s="10"/>
    </row>
    <row r="2993" customFormat="false" ht="15.75" hidden="false" customHeight="false" outlineLevel="0" collapsed="false">
      <c r="A2993" s="6" t="n">
        <v>43030.3391550926</v>
      </c>
      <c r="B2993" s="7" t="str">
        <f aca="false">HYPERLINK("https://twitter.com/KaranAwtani1","@KaranAwtani1")</f>
        <v>@KaranAwtani1</v>
      </c>
      <c r="C2993" s="8" t="s">
        <v>7403</v>
      </c>
      <c r="D2993" s="8" t="s">
        <v>4984</v>
      </c>
      <c r="E2993" s="9" t="str">
        <f aca="false">HYPERLINK("https://twitter.com/KaranAwtani1/status/922117435658047488","922117435658047488")</f>
        <v>922117435658047488</v>
      </c>
      <c r="F2993" s="10" t="s">
        <v>25</v>
      </c>
      <c r="G2993" s="10" t="n">
        <v>154</v>
      </c>
      <c r="H2993" s="10" t="n">
        <v>260</v>
      </c>
      <c r="I2993" s="10" t="n">
        <v>187</v>
      </c>
      <c r="J2993" s="10" t="n">
        <v>0</v>
      </c>
      <c r="K2993" s="10" t="s">
        <v>20</v>
      </c>
      <c r="L2993" s="11" t="n">
        <v>41281.066875</v>
      </c>
      <c r="M2993" s="12"/>
      <c r="N2993" s="12" t="s">
        <v>7404</v>
      </c>
      <c r="O2993" s="9" t="str">
        <f aca="false">HYPERLINK("https://pbs.twimg.com/profile_images/661609401430577152/p9y2zA0a_normal.jpg","View")</f>
        <v>View</v>
      </c>
      <c r="P2993" s="10"/>
    </row>
    <row r="2994" customFormat="false" ht="15.75" hidden="false" customHeight="false" outlineLevel="0" collapsed="false">
      <c r="A2994" s="6" t="n">
        <v>43030.3391666667</v>
      </c>
      <c r="B2994" s="7" t="str">
        <f aca="false">HYPERLINK("https://twitter.com/LyndaE222","@LyndaE222")</f>
        <v>@LyndaE222</v>
      </c>
      <c r="C2994" s="8" t="s">
        <v>7405</v>
      </c>
      <c r="D2994" s="8" t="s">
        <v>7364</v>
      </c>
      <c r="E2994" s="9" t="str">
        <f aca="false">HYPERLINK("https://twitter.com/LyndaE222/status/922117439801909248","922117439801909248")</f>
        <v>922117439801909248</v>
      </c>
      <c r="F2994" s="10" t="s">
        <v>39</v>
      </c>
      <c r="G2994" s="10" t="n">
        <v>1098</v>
      </c>
      <c r="H2994" s="10" t="n">
        <v>258</v>
      </c>
      <c r="I2994" s="10" t="n">
        <v>3</v>
      </c>
      <c r="J2994" s="10" t="n">
        <v>0</v>
      </c>
      <c r="K2994" s="10" t="s">
        <v>20</v>
      </c>
      <c r="L2994" s="11" t="n">
        <v>41102.6772106482</v>
      </c>
      <c r="M2994" s="12"/>
      <c r="N2994" s="12"/>
      <c r="O2994" s="9" t="str">
        <f aca="false">HYPERLINK("https://abs.twimg.com/sticky/default_profile_images/default_profile_normal.png","View")</f>
        <v>View</v>
      </c>
      <c r="P2994" s="10"/>
    </row>
    <row r="2995" customFormat="false" ht="15.75" hidden="false" customHeight="false" outlineLevel="0" collapsed="false">
      <c r="A2995" s="6" t="n">
        <v>43030.3392476852</v>
      </c>
      <c r="B2995" s="7" t="str">
        <f aca="false">HYPERLINK("https://twitter.com/SeetharamaKota2","@SeetharamaKota2")</f>
        <v>@SeetharamaKota2</v>
      </c>
      <c r="C2995" s="8" t="s">
        <v>7406</v>
      </c>
      <c r="D2995" s="8" t="s">
        <v>7350</v>
      </c>
      <c r="E2995" s="9" t="str">
        <f aca="false">HYPERLINK("https://twitter.com/SeetharamaKota2/status/922117468042141696","922117468042141696")</f>
        <v>922117468042141696</v>
      </c>
      <c r="F2995" s="10" t="s">
        <v>25</v>
      </c>
      <c r="G2995" s="10" t="n">
        <v>570</v>
      </c>
      <c r="H2995" s="10" t="n">
        <v>838</v>
      </c>
      <c r="I2995" s="10" t="n">
        <v>62</v>
      </c>
      <c r="J2995" s="10" t="n">
        <v>0</v>
      </c>
      <c r="K2995" s="10" t="s">
        <v>20</v>
      </c>
      <c r="L2995" s="11" t="n">
        <v>42962.136412037</v>
      </c>
      <c r="M2995" s="12" t="s">
        <v>7407</v>
      </c>
      <c r="N2995" s="12"/>
      <c r="O2995" s="9" t="str">
        <f aca="false">HYPERLINK("https://pbs.twimg.com/profile_images/908301442078752771/Px8enuPV_normal.jpg","View")</f>
        <v>View</v>
      </c>
      <c r="P2995" s="10"/>
    </row>
    <row r="2996" customFormat="false" ht="15.75" hidden="false" customHeight="false" outlineLevel="0" collapsed="false">
      <c r="A2996" s="6" t="n">
        <v>43030.3392708333</v>
      </c>
      <c r="B2996" s="7" t="str">
        <f aca="false">HYPERLINK("https://twitter.com/SupriyaSehgal_3","@SupriyaSehgal_3")</f>
        <v>@SupriyaSehgal_3</v>
      </c>
      <c r="C2996" s="8" t="s">
        <v>7408</v>
      </c>
      <c r="D2996" s="8" t="s">
        <v>7371</v>
      </c>
      <c r="E2996" s="9" t="str">
        <f aca="false">HYPERLINK("https://twitter.com/SupriyaSehgal_3/status/922117478691561473","922117478691561473")</f>
        <v>922117478691561473</v>
      </c>
      <c r="F2996" s="10" t="s">
        <v>25</v>
      </c>
      <c r="G2996" s="10" t="n">
        <v>705</v>
      </c>
      <c r="H2996" s="10" t="n">
        <v>270</v>
      </c>
      <c r="I2996" s="10" t="n">
        <v>16</v>
      </c>
      <c r="J2996" s="10" t="n">
        <v>0</v>
      </c>
      <c r="K2996" s="10" t="s">
        <v>20</v>
      </c>
      <c r="L2996" s="11" t="n">
        <v>42372.9314699074</v>
      </c>
      <c r="M2996" s="12" t="s">
        <v>72</v>
      </c>
      <c r="N2996" s="12" t="s">
        <v>7409</v>
      </c>
      <c r="O2996" s="9" t="str">
        <f aca="false">HYPERLINK("https://pbs.twimg.com/profile_images/894577005441593344/Y-qiGFSu_normal.jpg","View")</f>
        <v>View</v>
      </c>
      <c r="P2996" s="10"/>
    </row>
    <row r="2997" customFormat="false" ht="15.75" hidden="false" customHeight="false" outlineLevel="0" collapsed="false">
      <c r="A2997" s="6" t="n">
        <v>43030.3395601852</v>
      </c>
      <c r="B2997" s="7" t="str">
        <f aca="false">HYPERLINK("https://twitter.com/LeenBoer","@LeenBoer")</f>
        <v>@LeenBoer</v>
      </c>
      <c r="C2997" s="8" t="s">
        <v>7410</v>
      </c>
      <c r="D2997" s="8" t="s">
        <v>7411</v>
      </c>
      <c r="E2997" s="9" t="str">
        <f aca="false">HYPERLINK("https://twitter.com/LeenBoer/status/922117581384945666","922117581384945666")</f>
        <v>922117581384945666</v>
      </c>
      <c r="F2997" s="10" t="s">
        <v>51</v>
      </c>
      <c r="G2997" s="10" t="n">
        <v>1018</v>
      </c>
      <c r="H2997" s="10" t="n">
        <v>728</v>
      </c>
      <c r="I2997" s="10" t="n">
        <v>0</v>
      </c>
      <c r="J2997" s="10" t="n">
        <v>0</v>
      </c>
      <c r="K2997" s="10" t="s">
        <v>20</v>
      </c>
      <c r="L2997" s="11" t="n">
        <v>41337.4472222222</v>
      </c>
      <c r="M2997" s="12" t="s">
        <v>132</v>
      </c>
      <c r="N2997" s="12" t="s">
        <v>7412</v>
      </c>
      <c r="O2997" s="9" t="str">
        <f aca="false">HYPERLINK("https://pbs.twimg.com/profile_images/3645060397/4d5acedca6de2a26ece234378f4eb7f4_normal.jpeg","View")</f>
        <v>View</v>
      </c>
      <c r="P2997" s="10"/>
    </row>
    <row r="2998" customFormat="false" ht="15.75" hidden="false" customHeight="false" outlineLevel="0" collapsed="false">
      <c r="A2998" s="6" t="n">
        <v>43030.3396643519</v>
      </c>
      <c r="B2998" s="7" t="str">
        <f aca="false">HYPERLINK("https://twitter.com/DamodarHegde4","@DamodarHegde4")</f>
        <v>@DamodarHegde4</v>
      </c>
      <c r="C2998" s="8" t="s">
        <v>7413</v>
      </c>
      <c r="D2998" s="8" t="s">
        <v>7350</v>
      </c>
      <c r="E2998" s="9" t="str">
        <f aca="false">HYPERLINK("https://twitter.com/DamodarHegde4/status/922117619473317888","922117619473317888")</f>
        <v>922117619473317888</v>
      </c>
      <c r="F2998" s="10" t="s">
        <v>25</v>
      </c>
      <c r="G2998" s="10" t="n">
        <v>5</v>
      </c>
      <c r="H2998" s="10" t="n">
        <v>122</v>
      </c>
      <c r="I2998" s="10" t="n">
        <v>62</v>
      </c>
      <c r="J2998" s="10" t="n">
        <v>0</v>
      </c>
      <c r="K2998" s="10" t="s">
        <v>20</v>
      </c>
      <c r="L2998" s="11" t="n">
        <v>42988.0317592593</v>
      </c>
      <c r="M2998" s="12" t="s">
        <v>7414</v>
      </c>
      <c r="N2998" s="12" t="s">
        <v>7415</v>
      </c>
      <c r="O2998" s="9" t="str">
        <f aca="false">HYPERLINK("https://abs.twimg.com/sticky/default_profile_images/default_profile_normal.png","View")</f>
        <v>View</v>
      </c>
      <c r="P2998" s="10"/>
    </row>
    <row r="2999" customFormat="false" ht="15.75" hidden="false" customHeight="false" outlineLevel="0" collapsed="false">
      <c r="A2999" s="6" t="n">
        <v>43030.3398148148</v>
      </c>
      <c r="B2999" s="7" t="str">
        <f aca="false">HYPERLINK("https://twitter.com/AlexWYW","@AlexWYW")</f>
        <v>@AlexWYW</v>
      </c>
      <c r="C2999" s="8" t="s">
        <v>2191</v>
      </c>
      <c r="D2999" s="8" t="s">
        <v>7416</v>
      </c>
      <c r="E2999" s="9" t="str">
        <f aca="false">HYPERLINK("https://twitter.com/AlexWYW/status/922117676377559040","922117676377559040")</f>
        <v>922117676377559040</v>
      </c>
      <c r="F2999" s="10" t="s">
        <v>60</v>
      </c>
      <c r="G2999" s="10" t="n">
        <v>1308</v>
      </c>
      <c r="H2999" s="10" t="n">
        <v>1110</v>
      </c>
      <c r="I2999" s="10" t="n">
        <v>0</v>
      </c>
      <c r="J2999" s="10" t="n">
        <v>0</v>
      </c>
      <c r="K2999" s="10" t="s">
        <v>20</v>
      </c>
      <c r="L2999" s="11" t="n">
        <v>40745.9677083333</v>
      </c>
      <c r="M2999" s="12"/>
      <c r="N2999" s="12" t="s">
        <v>6931</v>
      </c>
      <c r="O2999" s="9" t="str">
        <f aca="false">HYPERLINK("https://pbs.twimg.com/profile_images/923804068337696769/v3W5ZeW-_normal.jpg","View")</f>
        <v>View</v>
      </c>
      <c r="P2999" s="10"/>
    </row>
    <row r="3000" customFormat="false" ht="15.75" hidden="false" customHeight="false" outlineLevel="0" collapsed="false">
      <c r="A3000" s="6" t="n">
        <v>43030.3398726852</v>
      </c>
      <c r="B3000" s="7" t="str">
        <f aca="false">HYPERLINK("https://twitter.com/RabTheWolf","@RabTheWolf")</f>
        <v>@RabTheWolf</v>
      </c>
      <c r="C3000" s="8" t="s">
        <v>7417</v>
      </c>
      <c r="D3000" s="8" t="s">
        <v>7375</v>
      </c>
      <c r="E3000" s="9" t="str">
        <f aca="false">HYPERLINK("https://twitter.com/RabTheWolf/status/922117697114013696","922117697114013696")</f>
        <v>922117697114013696</v>
      </c>
      <c r="F3000" s="10" t="s">
        <v>51</v>
      </c>
      <c r="G3000" s="10" t="n">
        <v>142</v>
      </c>
      <c r="H3000" s="10" t="n">
        <v>491</v>
      </c>
      <c r="I3000" s="10" t="n">
        <v>5</v>
      </c>
      <c r="J3000" s="10" t="n">
        <v>0</v>
      </c>
      <c r="K3000" s="10" t="s">
        <v>20</v>
      </c>
      <c r="L3000" s="11" t="n">
        <v>42885.6814699074</v>
      </c>
      <c r="M3000" s="12" t="s">
        <v>7418</v>
      </c>
      <c r="N3000" s="12" t="s">
        <v>7419</v>
      </c>
      <c r="O3000" s="9" t="str">
        <f aca="false">HYPERLINK("https://pbs.twimg.com/profile_images/879403037252501504/zBN-MbuB_normal.jpg","View")</f>
        <v>View</v>
      </c>
      <c r="P3000" s="10"/>
    </row>
    <row r="3001" customFormat="false" ht="15.75" hidden="false" customHeight="false" outlineLevel="0" collapsed="false">
      <c r="A3001" s="6" t="n">
        <v>43030.3402893519</v>
      </c>
      <c r="B3001" s="7" t="str">
        <f aca="false">HYPERLINK("https://twitter.com/Realblack212","@Realblack212")</f>
        <v>@Realblack212</v>
      </c>
      <c r="C3001" s="8" t="s">
        <v>7329</v>
      </c>
      <c r="D3001" s="8" t="s">
        <v>7420</v>
      </c>
      <c r="E3001" s="9" t="str">
        <f aca="false">HYPERLINK("https://twitter.com/Realblack212/status/922117846401892352","922117846401892352")</f>
        <v>922117846401892352</v>
      </c>
      <c r="F3001" s="10" t="s">
        <v>25</v>
      </c>
      <c r="G3001" s="10" t="n">
        <v>20501</v>
      </c>
      <c r="H3001" s="10" t="n">
        <v>21319</v>
      </c>
      <c r="I3001" s="10" t="n">
        <v>0</v>
      </c>
      <c r="J3001" s="10" t="n">
        <v>1</v>
      </c>
      <c r="K3001" s="10" t="s">
        <v>20</v>
      </c>
      <c r="L3001" s="11" t="n">
        <v>40322.8927893519</v>
      </c>
      <c r="M3001" s="13" t="s">
        <v>7331</v>
      </c>
      <c r="N3001" s="12" t="s">
        <v>7332</v>
      </c>
      <c r="O3001" s="9" t="str">
        <f aca="false">HYPERLINK("https://pbs.twimg.com/profile_images/915510492080119809/9_ZGwNVd_normal.jpg","View")</f>
        <v>View</v>
      </c>
      <c r="P3001" s="10"/>
    </row>
    <row r="3002" customFormat="false" ht="15.75" hidden="false" customHeight="false" outlineLevel="0" collapsed="false">
      <c r="A3002" s="6" t="n">
        <v>43030.3405092593</v>
      </c>
      <c r="B3002" s="7" t="str">
        <f aca="false">HYPERLINK("https://twitter.com/NewsInsider","@NewsInsider")</f>
        <v>@NewsInsider</v>
      </c>
      <c r="C3002" s="8" t="s">
        <v>7421</v>
      </c>
      <c r="D3002" s="8" t="s">
        <v>7422</v>
      </c>
      <c r="E3002" s="9" t="str">
        <f aca="false">HYPERLINK("https://twitter.com/NewsInsider/status/922117925380730882","922117925380730882")</f>
        <v>922117925380730882</v>
      </c>
      <c r="F3002" s="10" t="s">
        <v>60</v>
      </c>
      <c r="G3002" s="10" t="n">
        <v>7277</v>
      </c>
      <c r="H3002" s="10" t="n">
        <v>3</v>
      </c>
      <c r="I3002" s="10" t="n">
        <v>0</v>
      </c>
      <c r="J3002" s="10" t="n">
        <v>0</v>
      </c>
      <c r="K3002" s="10" t="s">
        <v>20</v>
      </c>
      <c r="L3002" s="11" t="n">
        <v>40000.3779861111</v>
      </c>
      <c r="M3002" s="12" t="s">
        <v>7423</v>
      </c>
      <c r="N3002" s="12" t="s">
        <v>7424</v>
      </c>
      <c r="O3002" s="9" t="str">
        <f aca="false">HYPERLINK("https://pbs.twimg.com/profile_images/303756524/images_normal.jpeg","View")</f>
        <v>View</v>
      </c>
      <c r="P3002" s="10"/>
    </row>
    <row r="3003" customFormat="false" ht="15.75" hidden="false" customHeight="false" outlineLevel="0" collapsed="false">
      <c r="A3003" s="6" t="n">
        <v>43030.3405208333</v>
      </c>
      <c r="B3003" s="7" t="str">
        <f aca="false">HYPERLINK("https://twitter.com/qCG9fv6Rka6MzCb","@qCG9fv6Rka6MzCb")</f>
        <v>@qCG9fv6Rka6MzCb</v>
      </c>
      <c r="C3003" s="14" t="s">
        <v>7425</v>
      </c>
      <c r="D3003" s="8" t="s">
        <v>5846</v>
      </c>
      <c r="E3003" s="9" t="str">
        <f aca="false">HYPERLINK("https://twitter.com/qCG9fv6Rka6MzCb/status/922117932406128640","922117932406128640")</f>
        <v>922117932406128640</v>
      </c>
      <c r="F3003" s="10" t="s">
        <v>25</v>
      </c>
      <c r="G3003" s="10" t="n">
        <v>367</v>
      </c>
      <c r="H3003" s="10" t="n">
        <v>445</v>
      </c>
      <c r="I3003" s="10" t="n">
        <v>16</v>
      </c>
      <c r="J3003" s="10" t="n">
        <v>0</v>
      </c>
      <c r="K3003" s="10" t="s">
        <v>20</v>
      </c>
      <c r="L3003" s="11" t="n">
        <v>42422.4568865741</v>
      </c>
      <c r="M3003" s="12"/>
      <c r="N3003" s="12"/>
      <c r="O3003" s="9" t="str">
        <f aca="false">HYPERLINK("https://pbs.twimg.com/profile_images/885550390661455872/4eHCNz3G_normal.jpg","View")</f>
        <v>View</v>
      </c>
      <c r="P3003" s="10"/>
    </row>
    <row r="3004" customFormat="false" ht="15.75" hidden="false" customHeight="false" outlineLevel="0" collapsed="false">
      <c r="A3004" s="6" t="n">
        <v>43030.3408101852</v>
      </c>
      <c r="B3004" s="7" t="str">
        <f aca="false">HYPERLINK("https://twitter.com/DrPongsakH","@DrPongsakH")</f>
        <v>@DrPongsakH</v>
      </c>
      <c r="C3004" s="8" t="s">
        <v>7426</v>
      </c>
      <c r="D3004" s="8" t="s">
        <v>7427</v>
      </c>
      <c r="E3004" s="9" t="str">
        <f aca="false">HYPERLINK("https://twitter.com/DrPongsakH/status/922118035988561921","922118035988561921")</f>
        <v>922118035988561921</v>
      </c>
      <c r="F3004" s="10" t="s">
        <v>51</v>
      </c>
      <c r="G3004" s="10" t="n">
        <v>6</v>
      </c>
      <c r="H3004" s="10" t="n">
        <v>11</v>
      </c>
      <c r="I3004" s="10" t="n">
        <v>1</v>
      </c>
      <c r="J3004" s="10" t="n">
        <v>0</v>
      </c>
      <c r="K3004" s="10" t="s">
        <v>20</v>
      </c>
      <c r="L3004" s="11" t="n">
        <v>40808.2125115741</v>
      </c>
      <c r="M3004" s="12" t="s">
        <v>4557</v>
      </c>
      <c r="N3004" s="12" t="s">
        <v>7428</v>
      </c>
      <c r="O3004" s="9" t="str">
        <f aca="false">HYPERLINK("https://pbs.twimg.com/profile_images/920601835416600576/5FXTdlhu_normal.jpg","View")</f>
        <v>View</v>
      </c>
      <c r="P3004" s="10"/>
    </row>
    <row r="3005" customFormat="false" ht="15.75" hidden="false" customHeight="false" outlineLevel="0" collapsed="false">
      <c r="A3005" s="6" t="n">
        <v>43030.3410185185</v>
      </c>
      <c r="B3005" s="7" t="str">
        <f aca="false">HYPERLINK("https://twitter.com/TheBFRoom","@TheBFRoom")</f>
        <v>@TheBFRoom</v>
      </c>
      <c r="C3005" s="8" t="s">
        <v>674</v>
      </c>
      <c r="D3005" s="8" t="s">
        <v>7429</v>
      </c>
      <c r="E3005" s="9" t="str">
        <f aca="false">HYPERLINK("https://twitter.com/TheBFRoom/status/922118111398068224","922118111398068224")</f>
        <v>922118111398068224</v>
      </c>
      <c r="F3005" s="10" t="s">
        <v>60</v>
      </c>
      <c r="G3005" s="10" t="n">
        <v>3259</v>
      </c>
      <c r="H3005" s="10" t="n">
        <v>3958</v>
      </c>
      <c r="I3005" s="10" t="n">
        <v>0</v>
      </c>
      <c r="J3005" s="10" t="n">
        <v>0</v>
      </c>
      <c r="K3005" s="10" t="s">
        <v>20</v>
      </c>
      <c r="L3005" s="11" t="n">
        <v>42761.325162037</v>
      </c>
      <c r="M3005" s="12" t="s">
        <v>230</v>
      </c>
      <c r="N3005" s="12" t="s">
        <v>676</v>
      </c>
      <c r="O3005" s="9" t="str">
        <f aca="false">HYPERLINK("https://pbs.twimg.com/profile_images/898379268778020864/0u1zlj_B_normal.jpg","View")</f>
        <v>View</v>
      </c>
      <c r="P3005" s="10"/>
    </row>
    <row r="3006" customFormat="false" ht="15.75" hidden="false" customHeight="false" outlineLevel="0" collapsed="false">
      <c r="A3006" s="6" t="n">
        <v>43030.3410185185</v>
      </c>
      <c r="B3006" s="7" t="str">
        <f aca="false">HYPERLINK("https://twitter.com/kuunnik88","@kuunnik88")</f>
        <v>@kuunnik88</v>
      </c>
      <c r="C3006" s="8" t="s">
        <v>7430</v>
      </c>
      <c r="D3006" s="8" t="s">
        <v>6790</v>
      </c>
      <c r="E3006" s="9" t="str">
        <f aca="false">HYPERLINK("https://twitter.com/kuunnik88/status/922118112668876801","922118112668876801")</f>
        <v>922118112668876801</v>
      </c>
      <c r="F3006" s="10" t="s">
        <v>39</v>
      </c>
      <c r="G3006" s="10" t="n">
        <v>490</v>
      </c>
      <c r="H3006" s="10" t="n">
        <v>897</v>
      </c>
      <c r="I3006" s="10" t="n">
        <v>6</v>
      </c>
      <c r="J3006" s="10" t="n">
        <v>0</v>
      </c>
      <c r="K3006" s="10" t="s">
        <v>20</v>
      </c>
      <c r="L3006" s="11" t="n">
        <v>40179.4423842593</v>
      </c>
      <c r="M3006" s="12"/>
      <c r="N3006" s="12" t="s">
        <v>7431</v>
      </c>
      <c r="O3006" s="9" t="str">
        <f aca="false">HYPERLINK("https://pbs.twimg.com/profile_images/605723721/tn_christmascotawp_normal.jpg","View")</f>
        <v>View</v>
      </c>
      <c r="P3006" s="10"/>
    </row>
    <row r="3007" customFormat="false" ht="15.75" hidden="false" customHeight="false" outlineLevel="0" collapsed="false">
      <c r="A3007" s="6" t="n">
        <v>43030.3411574074</v>
      </c>
      <c r="B3007" s="7" t="str">
        <f aca="false">HYPERLINK("https://twitter.com/Igor_Marinovsky","@Igor_Marinovsky")</f>
        <v>@Igor_Marinovsky</v>
      </c>
      <c r="C3007" s="8" t="s">
        <v>4237</v>
      </c>
      <c r="D3007" s="8" t="s">
        <v>7432</v>
      </c>
      <c r="E3007" s="9" t="str">
        <f aca="false">HYPERLINK("https://twitter.com/Igor_Marinovsky/status/922118163583721473","922118163583721473")</f>
        <v>922118163583721473</v>
      </c>
      <c r="F3007" s="10" t="s">
        <v>60</v>
      </c>
      <c r="G3007" s="10" t="n">
        <v>658</v>
      </c>
      <c r="H3007" s="10" t="n">
        <v>104</v>
      </c>
      <c r="I3007" s="10" t="n">
        <v>0</v>
      </c>
      <c r="J3007" s="10" t="n">
        <v>0</v>
      </c>
      <c r="K3007" s="10" t="s">
        <v>20</v>
      </c>
      <c r="L3007" s="11" t="n">
        <v>40719.4572222222</v>
      </c>
      <c r="M3007" s="12"/>
      <c r="N3007" s="12" t="s">
        <v>4239</v>
      </c>
      <c r="O3007" s="9" t="str">
        <f aca="false">HYPERLINK("https://pbs.twimg.com/profile_images/577905752838279169/Zq2cQUPh_normal.jpeg","View")</f>
        <v>View</v>
      </c>
      <c r="P3007" s="10"/>
    </row>
    <row r="3008" customFormat="false" ht="15.75" hidden="false" customHeight="false" outlineLevel="0" collapsed="false">
      <c r="A3008" s="6" t="n">
        <v>43030.3413194444</v>
      </c>
      <c r="B3008" s="7" t="str">
        <f aca="false">HYPERLINK("https://twitter.com/rajeev_mp","@rajeev_mp")</f>
        <v>@rajeev_mp</v>
      </c>
      <c r="C3008" s="8" t="s">
        <v>7433</v>
      </c>
      <c r="D3008" s="8" t="s">
        <v>7350</v>
      </c>
      <c r="E3008" s="9" t="str">
        <f aca="false">HYPERLINK("https://twitter.com/rajeev_mp/status/922118220492009475","922118220492009475")</f>
        <v>922118220492009475</v>
      </c>
      <c r="F3008" s="10" t="s">
        <v>51</v>
      </c>
      <c r="G3008" s="10" t="n">
        <v>195779</v>
      </c>
      <c r="H3008" s="10" t="n">
        <v>747</v>
      </c>
      <c r="I3008" s="10" t="n">
        <v>62</v>
      </c>
      <c r="J3008" s="10" t="n">
        <v>0</v>
      </c>
      <c r="K3008" s="10" t="s">
        <v>20</v>
      </c>
      <c r="L3008" s="11" t="n">
        <v>39904.1415856481</v>
      </c>
      <c r="M3008" s="12" t="s">
        <v>7434</v>
      </c>
      <c r="N3008" s="12" t="s">
        <v>7435</v>
      </c>
      <c r="O3008" s="9" t="str">
        <f aca="false">HYPERLINK("https://pbs.twimg.com/profile_images/897612291130052609/ohHBoZ_A_normal.jpg","View")</f>
        <v>View</v>
      </c>
      <c r="P3008" s="10"/>
    </row>
    <row r="3009" customFormat="false" ht="15.75" hidden="false" customHeight="false" outlineLevel="0" collapsed="false">
      <c r="A3009" s="6" t="n">
        <v>43030.3417939815</v>
      </c>
      <c r="B3009" s="7" t="str">
        <f aca="false">HYPERLINK("https://twitter.com/News_Screamer","@News_Screamer")</f>
        <v>@News_Screamer</v>
      </c>
      <c r="C3009" s="8" t="s">
        <v>956</v>
      </c>
      <c r="D3009" s="8" t="s">
        <v>7436</v>
      </c>
      <c r="E3009" s="9" t="str">
        <f aca="false">HYPERLINK("https://twitter.com/News_Screamer/status/922118394257788928","922118394257788928")</f>
        <v>922118394257788928</v>
      </c>
      <c r="F3009" s="10" t="s">
        <v>60</v>
      </c>
      <c r="G3009" s="10" t="n">
        <v>247</v>
      </c>
      <c r="H3009" s="10" t="n">
        <v>14</v>
      </c>
      <c r="I3009" s="10" t="n">
        <v>0</v>
      </c>
      <c r="J3009" s="10" t="n">
        <v>0</v>
      </c>
      <c r="K3009" s="10" t="s">
        <v>20</v>
      </c>
      <c r="L3009" s="11" t="n">
        <v>42566.8460648148</v>
      </c>
      <c r="M3009" s="12"/>
      <c r="N3009" s="12" t="s">
        <v>958</v>
      </c>
      <c r="O3009" s="9" t="str">
        <f aca="false">HYPERLINK("https://pbs.twimg.com/profile_images/779131500012802049/ICMO9SDW_normal.jpg","View")</f>
        <v>View</v>
      </c>
      <c r="P3009" s="10"/>
    </row>
    <row r="3010" customFormat="false" ht="15.75" hidden="false" customHeight="false" outlineLevel="0" collapsed="false">
      <c r="A3010" s="6" t="n">
        <v>43030.341875</v>
      </c>
      <c r="B3010" s="7" t="str">
        <f aca="false">HYPERLINK("https://twitter.com/krunox123","@krunox123")</f>
        <v>@krunox123</v>
      </c>
      <c r="C3010" s="8" t="s">
        <v>1049</v>
      </c>
      <c r="D3010" s="8" t="s">
        <v>7437</v>
      </c>
      <c r="E3010" s="9" t="str">
        <f aca="false">HYPERLINK("https://twitter.com/krunox123/status/922118420182781953","922118420182781953")</f>
        <v>922118420182781953</v>
      </c>
      <c r="F3010" s="10" t="s">
        <v>60</v>
      </c>
      <c r="G3010" s="10" t="n">
        <v>10225</v>
      </c>
      <c r="H3010" s="10" t="n">
        <v>2</v>
      </c>
      <c r="I3010" s="10" t="n">
        <v>0</v>
      </c>
      <c r="J3010" s="10" t="n">
        <v>0</v>
      </c>
      <c r="K3010" s="10" t="s">
        <v>20</v>
      </c>
      <c r="L3010" s="11" t="n">
        <v>40938.2278935185</v>
      </c>
      <c r="M3010" s="12" t="s">
        <v>1051</v>
      </c>
      <c r="N3010" s="12" t="s">
        <v>1052</v>
      </c>
      <c r="O3010" s="9" t="str">
        <f aca="false">HYPERLINK("https://pbs.twimg.com/profile_images/824952382618349568/2SFIkM2x_normal.jpg","View")</f>
        <v>View</v>
      </c>
      <c r="P3010" s="10"/>
    </row>
    <row r="3011" customFormat="false" ht="15.75" hidden="false" customHeight="false" outlineLevel="0" collapsed="false">
      <c r="A3011" s="6" t="n">
        <v>43030.3419791667</v>
      </c>
      <c r="B3011" s="7" t="str">
        <f aca="false">HYPERLINK("https://twitter.com/azidamidej","@azidamidej")</f>
        <v>@azidamidej</v>
      </c>
      <c r="C3011" s="8" t="s">
        <v>7438</v>
      </c>
      <c r="D3011" s="8" t="s">
        <v>6945</v>
      </c>
      <c r="E3011" s="9" t="str">
        <f aca="false">HYPERLINK("https://twitter.com/azidamidej/status/922118461391699969","922118461391699969")</f>
        <v>922118461391699969</v>
      </c>
      <c r="F3011" s="10" t="s">
        <v>51</v>
      </c>
      <c r="G3011" s="10" t="n">
        <v>1503</v>
      </c>
      <c r="H3011" s="10" t="n">
        <v>2327</v>
      </c>
      <c r="I3011" s="10" t="n">
        <v>22</v>
      </c>
      <c r="J3011" s="10" t="n">
        <v>0</v>
      </c>
      <c r="K3011" s="10" t="s">
        <v>20</v>
      </c>
      <c r="L3011" s="11" t="n">
        <v>41151.9316435185</v>
      </c>
      <c r="M3011" s="12" t="s">
        <v>7439</v>
      </c>
      <c r="N3011" s="12" t="s">
        <v>7440</v>
      </c>
      <c r="O3011" s="9" t="str">
        <f aca="false">HYPERLINK("https://pbs.twimg.com/profile_images/877960443683262464/3jnX3i4r_normal.jpg","View")</f>
        <v>View</v>
      </c>
      <c r="P3011" s="10"/>
    </row>
    <row r="3012" customFormat="false" ht="15.75" hidden="false" customHeight="false" outlineLevel="0" collapsed="false">
      <c r="A3012" s="6" t="n">
        <v>43030.3420717593</v>
      </c>
      <c r="B3012" s="7" t="str">
        <f aca="false">HYPERLINK("https://twitter.com/DavidAnsell19","@DavidAnsell19")</f>
        <v>@DavidAnsell19</v>
      </c>
      <c r="C3012" s="8" t="s">
        <v>4795</v>
      </c>
      <c r="D3012" s="8" t="s">
        <v>7441</v>
      </c>
      <c r="E3012" s="9" t="str">
        <f aca="false">HYPERLINK("https://twitter.com/DavidAnsell19/status/922118494090661888","922118494090661888")</f>
        <v>922118494090661888</v>
      </c>
      <c r="F3012" s="10" t="s">
        <v>60</v>
      </c>
      <c r="G3012" s="10" t="n">
        <v>5</v>
      </c>
      <c r="H3012" s="10" t="n">
        <v>47</v>
      </c>
      <c r="I3012" s="10" t="n">
        <v>0</v>
      </c>
      <c r="J3012" s="10" t="n">
        <v>0</v>
      </c>
      <c r="K3012" s="10" t="s">
        <v>20</v>
      </c>
      <c r="L3012" s="11" t="n">
        <v>42872.2314467593</v>
      </c>
      <c r="M3012" s="12" t="s">
        <v>4797</v>
      </c>
      <c r="N3012" s="12" t="s">
        <v>4798</v>
      </c>
      <c r="O3012" s="9" t="str">
        <f aca="false">HYPERLINK("https://abs.twimg.com/sticky/default_profile_images/default_profile_normal.png","View")</f>
        <v>View</v>
      </c>
      <c r="P3012" s="10"/>
    </row>
    <row r="3013" customFormat="false" ht="15.75" hidden="false" customHeight="false" outlineLevel="0" collapsed="false">
      <c r="A3013" s="6" t="n">
        <v>43030.3420949074</v>
      </c>
      <c r="B3013" s="7" t="str">
        <f aca="false">HYPERLINK("https://twitter.com/padbor","@padbor")</f>
        <v>@padbor</v>
      </c>
      <c r="C3013" s="8" t="s">
        <v>6910</v>
      </c>
      <c r="D3013" s="8" t="s">
        <v>7442</v>
      </c>
      <c r="E3013" s="9" t="str">
        <f aca="false">HYPERLINK("https://twitter.com/padbor/status/922118500558299136","922118500558299136")</f>
        <v>922118500558299136</v>
      </c>
      <c r="F3013" s="10" t="s">
        <v>60</v>
      </c>
      <c r="G3013" s="10" t="n">
        <v>1780</v>
      </c>
      <c r="H3013" s="10" t="n">
        <v>2826</v>
      </c>
      <c r="I3013" s="10" t="n">
        <v>0</v>
      </c>
      <c r="J3013" s="10" t="n">
        <v>0</v>
      </c>
      <c r="K3013" s="10" t="s">
        <v>20</v>
      </c>
      <c r="L3013" s="11" t="n">
        <v>40154.2254166667</v>
      </c>
      <c r="M3013" s="12" t="s">
        <v>6912</v>
      </c>
      <c r="N3013" s="12" t="s">
        <v>6913</v>
      </c>
      <c r="O3013" s="9" t="str">
        <f aca="false">HYPERLINK("https://pbs.twimg.com/profile_images/866691381238124544/9p9-diVr_normal.jpg","View")</f>
        <v>View</v>
      </c>
      <c r="P3013" s="10"/>
    </row>
    <row r="3014" customFormat="false" ht="15.75" hidden="false" customHeight="false" outlineLevel="0" collapsed="false">
      <c r="A3014" s="6" t="n">
        <v>43030.3421527778</v>
      </c>
      <c r="B3014" s="7" t="str">
        <f aca="false">HYPERLINK("https://twitter.com/BigMoneyTraders","@BigMoneyTraders")</f>
        <v>@BigMoneyTraders</v>
      </c>
      <c r="C3014" s="8" t="s">
        <v>7024</v>
      </c>
      <c r="D3014" s="8" t="s">
        <v>7443</v>
      </c>
      <c r="E3014" s="9" t="str">
        <f aca="false">HYPERLINK("https://twitter.com/BigMoneyTraders/status/922118523798933504","922118523798933504")</f>
        <v>922118523798933504</v>
      </c>
      <c r="F3014" s="10" t="s">
        <v>60</v>
      </c>
      <c r="G3014" s="10" t="n">
        <v>5449</v>
      </c>
      <c r="H3014" s="10" t="n">
        <v>5747</v>
      </c>
      <c r="I3014" s="10" t="n">
        <v>0</v>
      </c>
      <c r="J3014" s="10" t="n">
        <v>0</v>
      </c>
      <c r="K3014" s="10" t="s">
        <v>20</v>
      </c>
      <c r="L3014" s="11" t="n">
        <v>41845.6802199074</v>
      </c>
      <c r="M3014" s="12" t="s">
        <v>7026</v>
      </c>
      <c r="N3014" s="12" t="s">
        <v>7027</v>
      </c>
      <c r="O3014" s="9" t="str">
        <f aca="false">HYPERLINK("https://pbs.twimg.com/profile_images/743984165763321856/nbpig-6O_normal.jpg","View")</f>
        <v>View</v>
      </c>
      <c r="P3014" s="10"/>
    </row>
    <row r="3015" customFormat="false" ht="15.75" hidden="false" customHeight="false" outlineLevel="0" collapsed="false">
      <c r="A3015" s="6" t="n">
        <v>43030.3421759259</v>
      </c>
      <c r="B3015" s="7" t="str">
        <f aca="false">HYPERLINK("https://twitter.com/ShaliniBrajesh","@ShaliniBrajesh")</f>
        <v>@ShaliniBrajesh</v>
      </c>
      <c r="C3015" s="8" t="s">
        <v>7444</v>
      </c>
      <c r="D3015" s="8" t="s">
        <v>7350</v>
      </c>
      <c r="E3015" s="9" t="str">
        <f aca="false">HYPERLINK("https://twitter.com/ShaliniBrajesh/status/922118530958442496","922118530958442496")</f>
        <v>922118530958442496</v>
      </c>
      <c r="F3015" s="10" t="s">
        <v>51</v>
      </c>
      <c r="G3015" s="10" t="n">
        <v>206</v>
      </c>
      <c r="H3015" s="10" t="n">
        <v>291</v>
      </c>
      <c r="I3015" s="10" t="n">
        <v>62</v>
      </c>
      <c r="J3015" s="10" t="n">
        <v>0</v>
      </c>
      <c r="K3015" s="10" t="s">
        <v>20</v>
      </c>
      <c r="L3015" s="11" t="n">
        <v>40443.851400463</v>
      </c>
      <c r="M3015" s="12" t="s">
        <v>860</v>
      </c>
      <c r="N3015" s="12"/>
      <c r="O3015" s="9" t="str">
        <f aca="false">HYPERLINK("https://pbs.twimg.com/profile_images/897063936146669568/Ag7Q8UxQ_normal.jpg","View")</f>
        <v>View</v>
      </c>
      <c r="P3015" s="10"/>
    </row>
    <row r="3016" customFormat="false" ht="15.75" hidden="false" customHeight="false" outlineLevel="0" collapsed="false">
      <c r="A3016" s="6" t="n">
        <v>43030.3421875</v>
      </c>
      <c r="B3016" s="7" t="str">
        <f aca="false">HYPERLINK("https://twitter.com/pdinakar","@pdinakar")</f>
        <v>@pdinakar</v>
      </c>
      <c r="C3016" s="8" t="s">
        <v>7445</v>
      </c>
      <c r="D3016" s="8" t="s">
        <v>7350</v>
      </c>
      <c r="E3016" s="9" t="str">
        <f aca="false">HYPERLINK("https://twitter.com/pdinakar/status/922118535131815936","922118535131815936")</f>
        <v>922118535131815936</v>
      </c>
      <c r="F3016" s="10" t="s">
        <v>51</v>
      </c>
      <c r="G3016" s="10" t="n">
        <v>250</v>
      </c>
      <c r="H3016" s="10" t="n">
        <v>1197</v>
      </c>
      <c r="I3016" s="10" t="n">
        <v>62</v>
      </c>
      <c r="J3016" s="10" t="n">
        <v>0</v>
      </c>
      <c r="K3016" s="10" t="s">
        <v>20</v>
      </c>
      <c r="L3016" s="11" t="n">
        <v>40280.9339583333</v>
      </c>
      <c r="M3016" s="12" t="s">
        <v>868</v>
      </c>
      <c r="N3016" s="12" t="s">
        <v>7446</v>
      </c>
      <c r="O3016" s="9" t="str">
        <f aca="false">HYPERLINK("https://pbs.twimg.com/profile_images/661144264609370112/7Jx-TvLK_normal.jpg","View")</f>
        <v>View</v>
      </c>
      <c r="P3016" s="10"/>
    </row>
    <row r="3017" customFormat="false" ht="15.75" hidden="false" customHeight="false" outlineLevel="0" collapsed="false">
      <c r="A3017" s="6" t="n">
        <v>43030.3422106482</v>
      </c>
      <c r="B3017" s="7" t="str">
        <f aca="false">HYPERLINK("https://twitter.com/sat_gollapudi","@sat_gollapudi")</f>
        <v>@sat_gollapudi</v>
      </c>
      <c r="C3017" s="8" t="s">
        <v>7447</v>
      </c>
      <c r="D3017" s="8" t="s">
        <v>7350</v>
      </c>
      <c r="E3017" s="9" t="str">
        <f aca="false">HYPERLINK("https://twitter.com/sat_gollapudi/status/922118542186577920","922118542186577920")</f>
        <v>922118542186577920</v>
      </c>
      <c r="F3017" s="10" t="s">
        <v>25</v>
      </c>
      <c r="G3017" s="10" t="n">
        <v>96</v>
      </c>
      <c r="H3017" s="10" t="n">
        <v>129</v>
      </c>
      <c r="I3017" s="10" t="n">
        <v>62</v>
      </c>
      <c r="J3017" s="10" t="n">
        <v>0</v>
      </c>
      <c r="K3017" s="10" t="s">
        <v>20</v>
      </c>
      <c r="L3017" s="11" t="n">
        <v>40570.3246990741</v>
      </c>
      <c r="M3017" s="12"/>
      <c r="N3017" s="12" t="s">
        <v>7448</v>
      </c>
      <c r="O3017" s="9" t="str">
        <f aca="false">HYPERLINK("https://pbs.twimg.com/profile_images/917953021824212992/wjg3eQeF_normal.jpg","View")</f>
        <v>View</v>
      </c>
      <c r="P3017" s="10"/>
    </row>
    <row r="3018" customFormat="false" ht="15.75" hidden="false" customHeight="false" outlineLevel="0" collapsed="false">
      <c r="A3018" s="6" t="n">
        <v>43030.3422106482</v>
      </c>
      <c r="B3018" s="7" t="str">
        <f aca="false">HYPERLINK("https://twitter.com/Fxhedgers","@Fxhedgers")</f>
        <v>@Fxhedgers</v>
      </c>
      <c r="C3018" s="8" t="s">
        <v>7449</v>
      </c>
      <c r="D3018" s="8" t="s">
        <v>7275</v>
      </c>
      <c r="E3018" s="9" t="str">
        <f aca="false">HYPERLINK("https://twitter.com/Fxhedgers/status/922118544061480961","922118544061480961")</f>
        <v>922118544061480961</v>
      </c>
      <c r="F3018" s="10" t="s">
        <v>276</v>
      </c>
      <c r="G3018" s="10" t="n">
        <v>21085</v>
      </c>
      <c r="H3018" s="10" t="n">
        <v>75</v>
      </c>
      <c r="I3018" s="10" t="n">
        <v>9</v>
      </c>
      <c r="J3018" s="10" t="n">
        <v>0</v>
      </c>
      <c r="K3018" s="10" t="s">
        <v>20</v>
      </c>
      <c r="L3018" s="11" t="n">
        <v>39916.9250694444</v>
      </c>
      <c r="M3018" s="12"/>
      <c r="N3018" s="12" t="s">
        <v>7450</v>
      </c>
      <c r="O3018" s="9" t="str">
        <f aca="false">HYPERLINK("https://pbs.twimg.com/profile_images/745116916201578498/RuYHa4t4_normal.jpg","View")</f>
        <v>View</v>
      </c>
      <c r="P3018" s="10"/>
    </row>
    <row r="3019" customFormat="false" ht="15.75" hidden="false" customHeight="false" outlineLevel="0" collapsed="false">
      <c r="A3019" s="6" t="n">
        <v>43030.3422800926</v>
      </c>
      <c r="B3019" s="7" t="str">
        <f aca="false">HYPERLINK("https://twitter.com/hafizahsahari","@hafizahsahari")</f>
        <v>@hafizahsahari</v>
      </c>
      <c r="C3019" s="8" t="s">
        <v>7451</v>
      </c>
      <c r="D3019" s="8" t="s">
        <v>4124</v>
      </c>
      <c r="E3019" s="9" t="str">
        <f aca="false">HYPERLINK("https://twitter.com/hafizahsahari/status/922118567339757568","922118567339757568")</f>
        <v>922118567339757568</v>
      </c>
      <c r="F3019" s="10" t="s">
        <v>25</v>
      </c>
      <c r="G3019" s="10" t="n">
        <v>260</v>
      </c>
      <c r="H3019" s="10" t="n">
        <v>517</v>
      </c>
      <c r="I3019" s="10" t="n">
        <v>111</v>
      </c>
      <c r="J3019" s="10" t="n">
        <v>0</v>
      </c>
      <c r="K3019" s="10" t="s">
        <v>20</v>
      </c>
      <c r="L3019" s="11" t="n">
        <v>40521.1246643519</v>
      </c>
      <c r="M3019" s="12" t="s">
        <v>7452</v>
      </c>
      <c r="N3019" s="12" t="s">
        <v>7453</v>
      </c>
      <c r="O3019" s="9" t="str">
        <f aca="false">HYPERLINK("https://pbs.twimg.com/profile_images/899229821577736192/U0JulAdq_normal.jpg","View")</f>
        <v>View</v>
      </c>
      <c r="P3019" s="10"/>
    </row>
    <row r="3020" customFormat="false" ht="15.75" hidden="false" customHeight="false" outlineLevel="0" collapsed="false">
      <c r="A3020" s="6" t="n">
        <v>43030.3424074074</v>
      </c>
      <c r="B3020" s="7" t="str">
        <f aca="false">HYPERLINK("https://twitter.com/AlexContestBot","@AlexContestBot")</f>
        <v>@AlexContestBot</v>
      </c>
      <c r="C3020" s="8" t="s">
        <v>2191</v>
      </c>
      <c r="D3020" s="8" t="s">
        <v>7371</v>
      </c>
      <c r="E3020" s="9" t="str">
        <f aca="false">HYPERLINK("https://twitter.com/AlexContestBot/status/922118615171600385","922118615171600385")</f>
        <v>922118615171600385</v>
      </c>
      <c r="F3020" s="10" t="s">
        <v>5202</v>
      </c>
      <c r="G3020" s="10" t="n">
        <v>619</v>
      </c>
      <c r="H3020" s="10" t="n">
        <v>5003</v>
      </c>
      <c r="I3020" s="10" t="n">
        <v>16</v>
      </c>
      <c r="J3020" s="10" t="n">
        <v>0</v>
      </c>
      <c r="K3020" s="10" t="s">
        <v>20</v>
      </c>
      <c r="L3020" s="11" t="n">
        <v>42987.5389814815</v>
      </c>
      <c r="M3020" s="12"/>
      <c r="N3020" s="12"/>
      <c r="O3020" s="9" t="str">
        <f aca="false">HYPERLINK("https://abs.twimg.com/sticky/default_profile_images/default_profile_normal.png","View")</f>
        <v>View</v>
      </c>
      <c r="P3020" s="10"/>
    </row>
    <row r="3021" customFormat="false" ht="15.75" hidden="false" customHeight="false" outlineLevel="0" collapsed="false">
      <c r="A3021" s="6" t="n">
        <v>43030.3425810185</v>
      </c>
      <c r="B3021" s="7" t="str">
        <f aca="false">HYPERLINK("https://twitter.com/lissnup","@lissnup")</f>
        <v>@lissnup</v>
      </c>
      <c r="C3021" s="8" t="s">
        <v>7454</v>
      </c>
      <c r="D3021" s="8" t="s">
        <v>5030</v>
      </c>
      <c r="E3021" s="9" t="str">
        <f aca="false">HYPERLINK("https://twitter.com/lissnup/status/922118678480551936","922118678480551936")</f>
        <v>922118678480551936</v>
      </c>
      <c r="F3021" s="10" t="s">
        <v>98</v>
      </c>
      <c r="G3021" s="10" t="n">
        <v>8656</v>
      </c>
      <c r="H3021" s="10" t="n">
        <v>1516</v>
      </c>
      <c r="I3021" s="10" t="n">
        <v>22</v>
      </c>
      <c r="J3021" s="10" t="n">
        <v>0</v>
      </c>
      <c r="K3021" s="10" t="s">
        <v>20</v>
      </c>
      <c r="L3021" s="11" t="n">
        <v>39996.6847569444</v>
      </c>
      <c r="M3021" s="12" t="s">
        <v>7455</v>
      </c>
      <c r="N3021" s="12" t="s">
        <v>7456</v>
      </c>
      <c r="O3021" s="9" t="str">
        <f aca="false">HYPERLINK("https://pbs.twimg.com/profile_images/827002097308672000/0ncj5G0P_normal.jpg","View")</f>
        <v>View</v>
      </c>
      <c r="P3021" s="10"/>
    </row>
    <row r="3022" customFormat="false" ht="15.75" hidden="false" customHeight="false" outlineLevel="0" collapsed="false">
      <c r="A3022" s="6" t="n">
        <v>43030.343287037</v>
      </c>
      <c r="B3022" s="7" t="str">
        <f aca="false">HYPERLINK("https://twitter.com/UbcanilGupta","@UbcanilGupta")</f>
        <v>@UbcanilGupta</v>
      </c>
      <c r="C3022" s="8" t="s">
        <v>7457</v>
      </c>
      <c r="D3022" s="8" t="s">
        <v>7458</v>
      </c>
      <c r="E3022" s="9" t="str">
        <f aca="false">HYPERLINK("https://twitter.com/UbcanilGupta/status/922118934374924289","922118934374924289")</f>
        <v>922118934374924289</v>
      </c>
      <c r="F3022" s="10" t="s">
        <v>25</v>
      </c>
      <c r="G3022" s="10" t="n">
        <v>1379</v>
      </c>
      <c r="H3022" s="10" t="n">
        <v>165</v>
      </c>
      <c r="I3022" s="10" t="n">
        <v>0</v>
      </c>
      <c r="J3022" s="10" t="n">
        <v>0</v>
      </c>
      <c r="K3022" s="10" t="s">
        <v>20</v>
      </c>
      <c r="L3022" s="11" t="n">
        <v>41624.3317939815</v>
      </c>
      <c r="M3022" s="12" t="s">
        <v>7459</v>
      </c>
      <c r="N3022" s="12" t="s">
        <v>7460</v>
      </c>
      <c r="O3022" s="9" t="str">
        <f aca="false">HYPERLINK("https://pbs.twimg.com/profile_images/781515682068299776/xO5g0d1D_normal.jpg","View")</f>
        <v>View</v>
      </c>
      <c r="P3022" s="10"/>
    </row>
    <row r="3023" customFormat="false" ht="15.75" hidden="false" customHeight="false" outlineLevel="0" collapsed="false">
      <c r="A3023" s="6" t="n">
        <v>43030.3434259259</v>
      </c>
      <c r="B3023" s="7" t="str">
        <f aca="false">HYPERLINK("https://twitter.com/mvenkatesh1951","@mvenkatesh1951")</f>
        <v>@mvenkatesh1951</v>
      </c>
      <c r="C3023" s="8" t="s">
        <v>7461</v>
      </c>
      <c r="D3023" s="8" t="s">
        <v>7350</v>
      </c>
      <c r="E3023" s="9" t="str">
        <f aca="false">HYPERLINK("https://twitter.com/mvenkatesh1951/status/922118984522088448","922118984522088448")</f>
        <v>922118984522088448</v>
      </c>
      <c r="F3023" s="10" t="s">
        <v>25</v>
      </c>
      <c r="G3023" s="10" t="n">
        <v>383</v>
      </c>
      <c r="H3023" s="10" t="n">
        <v>182</v>
      </c>
      <c r="I3023" s="10" t="n">
        <v>62</v>
      </c>
      <c r="J3023" s="10" t="n">
        <v>0</v>
      </c>
      <c r="K3023" s="10" t="s">
        <v>20</v>
      </c>
      <c r="L3023" s="11" t="n">
        <v>40657.0479282407</v>
      </c>
      <c r="M3023" s="12"/>
      <c r="N3023" s="12"/>
      <c r="O3023" s="9" t="str">
        <f aca="false">HYPERLINK("https://pbs.twimg.com/profile_images/885120891494912001/CyheDgjo_normal.jpg","View")</f>
        <v>View</v>
      </c>
      <c r="P3023" s="10"/>
    </row>
    <row r="3024" customFormat="false" ht="15.75" hidden="false" customHeight="false" outlineLevel="0" collapsed="false">
      <c r="A3024" s="6" t="n">
        <v>43030.3434490741</v>
      </c>
      <c r="B3024" s="7" t="str">
        <f aca="false">HYPERLINK("https://twitter.com/mit_obe","@mit_obe")</f>
        <v>@mit_obe</v>
      </c>
      <c r="C3024" s="8" t="s">
        <v>7387</v>
      </c>
      <c r="D3024" s="8" t="s">
        <v>7462</v>
      </c>
      <c r="E3024" s="9" t="str">
        <f aca="false">HYPERLINK("https://twitter.com/mit_obe/status/922118991102935045","922118991102935045")</f>
        <v>922118991102935045</v>
      </c>
      <c r="F3024" s="10" t="s">
        <v>39</v>
      </c>
      <c r="G3024" s="10" t="n">
        <v>1496</v>
      </c>
      <c r="H3024" s="10" t="n">
        <v>299</v>
      </c>
      <c r="I3024" s="10" t="n">
        <v>1</v>
      </c>
      <c r="J3024" s="10" t="n">
        <v>2</v>
      </c>
      <c r="K3024" s="10" t="s">
        <v>20</v>
      </c>
      <c r="L3024" s="11" t="n">
        <v>41472.7236226852</v>
      </c>
      <c r="M3024" s="12" t="s">
        <v>102</v>
      </c>
      <c r="N3024" s="12" t="s">
        <v>7389</v>
      </c>
      <c r="O3024" s="9" t="str">
        <f aca="false">HYPERLINK("https://pbs.twimg.com/profile_images/912457089007575041/iunAue57_normal.jpg","View")</f>
        <v>View</v>
      </c>
      <c r="P3024" s="10"/>
    </row>
    <row r="3025" customFormat="false" ht="15.75" hidden="false" customHeight="false" outlineLevel="0" collapsed="false">
      <c r="A3025" s="6" t="n">
        <v>43030.3434837963</v>
      </c>
      <c r="B3025" s="7" t="str">
        <f aca="false">HYPERLINK("https://twitter.com/HeroRockstars","@HeroRockstars")</f>
        <v>@HeroRockstars</v>
      </c>
      <c r="C3025" s="8" t="s">
        <v>7463</v>
      </c>
      <c r="D3025" s="8" t="s">
        <v>7177</v>
      </c>
      <c r="E3025" s="9" t="str">
        <f aca="false">HYPERLINK("https://twitter.com/HeroRockstars/status/922119005401485313","922119005401485313")</f>
        <v>922119005401485313</v>
      </c>
      <c r="F3025" s="10" t="s">
        <v>51</v>
      </c>
      <c r="G3025" s="10" t="n">
        <v>56</v>
      </c>
      <c r="H3025" s="10" t="n">
        <v>147</v>
      </c>
      <c r="I3025" s="10" t="n">
        <v>8</v>
      </c>
      <c r="J3025" s="10" t="n">
        <v>0</v>
      </c>
      <c r="K3025" s="10" t="s">
        <v>20</v>
      </c>
      <c r="L3025" s="11" t="n">
        <v>42236.4787847222</v>
      </c>
      <c r="M3025" s="12"/>
      <c r="N3025" s="12" t="s">
        <v>7464</v>
      </c>
      <c r="O3025" s="9" t="str">
        <f aca="false">HYPERLINK("https://pbs.twimg.com/profile_images/647486872533360640/i8XBcLva_normal.jpg","View")</f>
        <v>View</v>
      </c>
      <c r="P3025" s="10"/>
    </row>
    <row r="3026" customFormat="false" ht="15.75" hidden="false" customHeight="false" outlineLevel="0" collapsed="false">
      <c r="A3026" s="6" t="n">
        <v>43030.3436226852</v>
      </c>
      <c r="B3026" s="7" t="str">
        <f aca="false">HYPERLINK("https://twitter.com/tsukiyominoasa","@tsukiyominoasa")</f>
        <v>@tsukiyominoasa</v>
      </c>
      <c r="C3026" s="8" t="s">
        <v>7465</v>
      </c>
      <c r="D3026" s="8" t="s">
        <v>7466</v>
      </c>
      <c r="E3026" s="9" t="str">
        <f aca="false">HYPERLINK("https://twitter.com/tsukiyominoasa/status/922119056693645313","922119056693645313")</f>
        <v>922119056693645313</v>
      </c>
      <c r="F3026" s="10" t="s">
        <v>39</v>
      </c>
      <c r="G3026" s="10" t="n">
        <v>305</v>
      </c>
      <c r="H3026" s="10" t="n">
        <v>310</v>
      </c>
      <c r="I3026" s="10" t="n">
        <v>0</v>
      </c>
      <c r="J3026" s="10" t="n">
        <v>0</v>
      </c>
      <c r="K3026" s="10" t="s">
        <v>20</v>
      </c>
      <c r="L3026" s="11" t="n">
        <v>40621.3026157407</v>
      </c>
      <c r="M3026" s="12" t="s">
        <v>7467</v>
      </c>
      <c r="N3026" s="12" t="s">
        <v>7468</v>
      </c>
      <c r="O3026" s="9" t="str">
        <f aca="false">HYPERLINK("https://pbs.twimg.com/profile_images/1279256916/ohinasama_normal.jpg","View")</f>
        <v>View</v>
      </c>
      <c r="P3026" s="10"/>
    </row>
    <row r="3027" customFormat="false" ht="15.75" hidden="false" customHeight="false" outlineLevel="0" collapsed="false">
      <c r="A3027" s="6" t="n">
        <v>43030.3438078704</v>
      </c>
      <c r="B3027" s="7" t="str">
        <f aca="false">HYPERLINK("https://twitter.com/butsukaiisen","@butsukaiisen")</f>
        <v>@butsukaiisen</v>
      </c>
      <c r="C3027" s="8" t="s">
        <v>7469</v>
      </c>
      <c r="D3027" s="8" t="s">
        <v>7470</v>
      </c>
      <c r="E3027" s="9" t="str">
        <f aca="false">HYPERLINK("https://twitter.com/butsukaiisen/status/922119122988646401","922119122988646401")</f>
        <v>922119122988646401</v>
      </c>
      <c r="F3027" s="9" t="s">
        <v>1147</v>
      </c>
      <c r="G3027" s="10" t="n">
        <v>10997</v>
      </c>
      <c r="H3027" s="10" t="n">
        <v>347</v>
      </c>
      <c r="I3027" s="10" t="n">
        <v>0</v>
      </c>
      <c r="J3027" s="10" t="n">
        <v>0</v>
      </c>
      <c r="K3027" s="10" t="s">
        <v>20</v>
      </c>
      <c r="L3027" s="11" t="n">
        <v>40278.1230902778</v>
      </c>
      <c r="M3027" s="12" t="s">
        <v>7471</v>
      </c>
      <c r="N3027" s="12" t="s">
        <v>7472</v>
      </c>
      <c r="O3027" s="9" t="str">
        <f aca="false">HYPERLINK("https://pbs.twimg.com/profile_images/824902330/484_normal.gif","View")</f>
        <v>View</v>
      </c>
      <c r="P3027" s="10"/>
    </row>
    <row r="3028" customFormat="false" ht="15.75" hidden="false" customHeight="false" outlineLevel="0" collapsed="false">
      <c r="A3028" s="6" t="n">
        <v>43030.3440740741</v>
      </c>
      <c r="B3028" s="7" t="str">
        <f aca="false">HYPERLINK("https://twitter.com/yujiy1967","@yujiy1967")</f>
        <v>@yujiy1967</v>
      </c>
      <c r="C3028" s="8" t="s">
        <v>7473</v>
      </c>
      <c r="D3028" s="8" t="s">
        <v>7371</v>
      </c>
      <c r="E3028" s="9" t="str">
        <f aca="false">HYPERLINK("https://twitter.com/yujiy1967/status/922119219403153413","922119219403153413")</f>
        <v>922119219403153413</v>
      </c>
      <c r="F3028" s="10" t="s">
        <v>51</v>
      </c>
      <c r="G3028" s="10" t="n">
        <v>243</v>
      </c>
      <c r="H3028" s="10" t="n">
        <v>779</v>
      </c>
      <c r="I3028" s="10" t="n">
        <v>16</v>
      </c>
      <c r="J3028" s="10" t="n">
        <v>0</v>
      </c>
      <c r="K3028" s="10" t="s">
        <v>20</v>
      </c>
      <c r="L3028" s="11" t="n">
        <v>40020.1507523148</v>
      </c>
      <c r="M3028" s="12" t="s">
        <v>7474</v>
      </c>
      <c r="N3028" s="12" t="s">
        <v>7475</v>
      </c>
      <c r="O3028" s="9" t="str">
        <f aca="false">HYPERLINK("https://pbs.twimg.com/profile_images/814829899462475776/EsWNgYKq_normal.jpg","View")</f>
        <v>View</v>
      </c>
      <c r="P3028" s="10"/>
    </row>
    <row r="3029" customFormat="false" ht="15.75" hidden="false" customHeight="false" outlineLevel="0" collapsed="false">
      <c r="A3029" s="6" t="n">
        <v>43030.3441550926</v>
      </c>
      <c r="B3029" s="7" t="str">
        <f aca="false">HYPERLINK("https://twitter.com/Blenchalnews","@Blenchalnews")</f>
        <v>@Blenchalnews</v>
      </c>
      <c r="C3029" s="8" t="s">
        <v>6890</v>
      </c>
      <c r="D3029" s="8" t="s">
        <v>7476</v>
      </c>
      <c r="E3029" s="9" t="str">
        <f aca="false">HYPERLINK("https://twitter.com/Blenchalnews/status/922119249384132608","922119249384132608")</f>
        <v>922119249384132608</v>
      </c>
      <c r="F3029" s="10" t="s">
        <v>60</v>
      </c>
      <c r="G3029" s="10" t="n">
        <v>14</v>
      </c>
      <c r="H3029" s="10" t="n">
        <v>0</v>
      </c>
      <c r="I3029" s="10" t="n">
        <v>0</v>
      </c>
      <c r="J3029" s="10" t="n">
        <v>0</v>
      </c>
      <c r="K3029" s="10" t="s">
        <v>20</v>
      </c>
      <c r="L3029" s="11" t="n">
        <v>42871.0883333333</v>
      </c>
      <c r="M3029" s="12"/>
      <c r="N3029" s="12"/>
      <c r="O3029" s="9" t="str">
        <f aca="false">HYPERLINK("https://abs.twimg.com/sticky/default_profile_images/default_profile_normal.png","View")</f>
        <v>View</v>
      </c>
      <c r="P3029" s="10"/>
    </row>
    <row r="3030" customFormat="false" ht="15.75" hidden="false" customHeight="false" outlineLevel="0" collapsed="false">
      <c r="A3030" s="6" t="n">
        <v>43030.3442361111</v>
      </c>
      <c r="B3030" s="7" t="str">
        <f aca="false">HYPERLINK("https://twitter.com/PMunozLorite","@PMunozLorite")</f>
        <v>@PMunozLorite</v>
      </c>
      <c r="C3030" s="8" t="s">
        <v>351</v>
      </c>
      <c r="D3030" s="8" t="s">
        <v>7477</v>
      </c>
      <c r="E3030" s="9" t="str">
        <f aca="false">HYPERLINK("https://twitter.com/PMunozLorite/status/922119277414617089","922119277414617089")</f>
        <v>922119277414617089</v>
      </c>
      <c r="F3030" s="10" t="s">
        <v>110</v>
      </c>
      <c r="G3030" s="10" t="n">
        <v>2678</v>
      </c>
      <c r="H3030" s="10" t="n">
        <v>4946</v>
      </c>
      <c r="I3030" s="10" t="n">
        <v>0</v>
      </c>
      <c r="J3030" s="10" t="n">
        <v>0</v>
      </c>
      <c r="K3030" s="10" t="s">
        <v>20</v>
      </c>
      <c r="L3030" s="11" t="n">
        <v>39769.5892939815</v>
      </c>
      <c r="M3030" s="12" t="s">
        <v>353</v>
      </c>
      <c r="N3030" s="12" t="s">
        <v>354</v>
      </c>
      <c r="O3030" s="9" t="str">
        <f aca="false">HYPERLINK("https://pbs.twimg.com/profile_images/574247662901403648/LzeOfYmt_normal.jpeg","View")</f>
        <v>View</v>
      </c>
      <c r="P3030" s="10"/>
    </row>
    <row r="3031" customFormat="false" ht="15.75" hidden="false" customHeight="false" outlineLevel="0" collapsed="false">
      <c r="A3031" s="6" t="n">
        <v>43030.3444097222</v>
      </c>
      <c r="B3031" s="7" t="str">
        <f aca="false">HYPERLINK("https://twitter.com/randhir453","@randhir453")</f>
        <v>@randhir453</v>
      </c>
      <c r="C3031" s="8" t="s">
        <v>7478</v>
      </c>
      <c r="D3031" s="8" t="s">
        <v>7350</v>
      </c>
      <c r="E3031" s="9" t="str">
        <f aca="false">HYPERLINK("https://twitter.com/randhir453/status/922119341495087104","922119341495087104")</f>
        <v>922119341495087104</v>
      </c>
      <c r="F3031" s="10" t="s">
        <v>25</v>
      </c>
      <c r="G3031" s="10" t="n">
        <v>220</v>
      </c>
      <c r="H3031" s="10" t="n">
        <v>312</v>
      </c>
      <c r="I3031" s="10" t="n">
        <v>62</v>
      </c>
      <c r="J3031" s="10" t="n">
        <v>0</v>
      </c>
      <c r="K3031" s="10" t="s">
        <v>20</v>
      </c>
      <c r="L3031" s="11" t="n">
        <v>40564.1166550926</v>
      </c>
      <c r="M3031" s="12"/>
      <c r="N3031" s="12"/>
      <c r="O3031" s="9" t="str">
        <f aca="false">HYPERLINK("https://pbs.twimg.com/profile_images/838007718313086976/l-UUiWKL_normal.jpg","View")</f>
        <v>View</v>
      </c>
      <c r="P3031" s="10"/>
    </row>
    <row r="3032" customFormat="false" ht="15.75" hidden="false" customHeight="false" outlineLevel="0" collapsed="false">
      <c r="A3032" s="6" t="n">
        <v>43030.3447106482</v>
      </c>
      <c r="B3032" s="7" t="str">
        <f aca="false">HYPERLINK("https://twitter.com/AngelaKorras","@AngelaKorras")</f>
        <v>@AngelaKorras</v>
      </c>
      <c r="C3032" s="8" t="s">
        <v>7479</v>
      </c>
      <c r="D3032" s="8" t="s">
        <v>7480</v>
      </c>
      <c r="E3032" s="9" t="str">
        <f aca="false">HYPERLINK("https://twitter.com/AngelaKorras/status/922119449129488385","922119449129488385")</f>
        <v>922119449129488385</v>
      </c>
      <c r="F3032" s="10" t="s">
        <v>1194</v>
      </c>
      <c r="G3032" s="10" t="n">
        <v>3672</v>
      </c>
      <c r="H3032" s="10" t="n">
        <v>3794</v>
      </c>
      <c r="I3032" s="10" t="n">
        <v>0</v>
      </c>
      <c r="J3032" s="10" t="n">
        <v>0</v>
      </c>
      <c r="K3032" s="10" t="s">
        <v>20</v>
      </c>
      <c r="L3032" s="11" t="n">
        <v>40086.842650463</v>
      </c>
      <c r="M3032" s="12" t="s">
        <v>7481</v>
      </c>
      <c r="N3032" s="12" t="s">
        <v>7482</v>
      </c>
      <c r="O3032" s="9" t="str">
        <f aca="false">HYPERLINK("https://pbs.twimg.com/profile_images/1749413966/hairlesscatcrop_normal.jpg","View")</f>
        <v>View</v>
      </c>
      <c r="P3032" s="10"/>
    </row>
    <row r="3033" customFormat="false" ht="15.75" hidden="false" customHeight="false" outlineLevel="0" collapsed="false">
      <c r="A3033" s="6" t="n">
        <v>43030.3447800926</v>
      </c>
      <c r="B3033" s="7" t="str">
        <f aca="false">HYPERLINK("https://twitter.com/MisterKolak","@MisterKolak")</f>
        <v>@MisterKolak</v>
      </c>
      <c r="C3033" s="8" t="s">
        <v>7483</v>
      </c>
      <c r="D3033" s="8" t="s">
        <v>7484</v>
      </c>
      <c r="E3033" s="9" t="str">
        <f aca="false">HYPERLINK("https://twitter.com/MisterKolak/status/922119474890887169","922119474890887169")</f>
        <v>922119474890887169</v>
      </c>
      <c r="F3033" s="10" t="s">
        <v>39</v>
      </c>
      <c r="G3033" s="10" t="n">
        <v>323</v>
      </c>
      <c r="H3033" s="10" t="n">
        <v>486</v>
      </c>
      <c r="I3033" s="10" t="n">
        <v>0</v>
      </c>
      <c r="J3033" s="10" t="n">
        <v>0</v>
      </c>
      <c r="K3033" s="10" t="s">
        <v>20</v>
      </c>
      <c r="L3033" s="11" t="n">
        <v>42692.8599652778</v>
      </c>
      <c r="M3033" s="12" t="s">
        <v>230</v>
      </c>
      <c r="N3033" s="12" t="s">
        <v>7485</v>
      </c>
      <c r="O3033" s="9" t="str">
        <f aca="false">HYPERLINK("https://pbs.twimg.com/profile_images/838870785901084676/6moZsvZz_normal.jpg","View")</f>
        <v>View</v>
      </c>
      <c r="P3033" s="10"/>
    </row>
    <row r="3034" customFormat="false" ht="15.75" hidden="false" customHeight="false" outlineLevel="0" collapsed="false">
      <c r="A3034" s="6" t="n">
        <v>43030.3448842593</v>
      </c>
      <c r="B3034" s="7" t="str">
        <f aca="false">HYPERLINK("https://twitter.com/newssummeduphq","@newssummeduphq")</f>
        <v>@newssummeduphq</v>
      </c>
      <c r="C3034" s="8" t="s">
        <v>1177</v>
      </c>
      <c r="D3034" s="8" t="s">
        <v>7486</v>
      </c>
      <c r="E3034" s="9" t="str">
        <f aca="false">HYPERLINK("https://twitter.com/newssummeduphq/status/922119511096152069","922119511096152069")</f>
        <v>922119511096152069</v>
      </c>
      <c r="F3034" s="10" t="s">
        <v>1179</v>
      </c>
      <c r="G3034" s="10" t="n">
        <v>432</v>
      </c>
      <c r="H3034" s="10" t="n">
        <v>1175</v>
      </c>
      <c r="I3034" s="10" t="n">
        <v>0</v>
      </c>
      <c r="J3034" s="10" t="n">
        <v>0</v>
      </c>
      <c r="K3034" s="10" t="s">
        <v>20</v>
      </c>
      <c r="L3034" s="11" t="n">
        <v>42504.2012037037</v>
      </c>
      <c r="M3034" s="12" t="s">
        <v>588</v>
      </c>
      <c r="N3034" s="12" t="s">
        <v>1180</v>
      </c>
      <c r="O3034" s="9" t="str">
        <f aca="false">HYPERLINK("https://pbs.twimg.com/profile_images/731455561695264770/Oj_92lRJ_normal.jpg","View")</f>
        <v>View</v>
      </c>
      <c r="P3034" s="10"/>
    </row>
    <row r="3035" customFormat="false" ht="15.75" hidden="false" customHeight="false" outlineLevel="0" collapsed="false">
      <c r="A3035" s="6" t="n">
        <v>43030.345150463</v>
      </c>
      <c r="B3035" s="7" t="str">
        <f aca="false">HYPERLINK("https://twitter.com/ninna721","@ninna721")</f>
        <v>@ninna721</v>
      </c>
      <c r="C3035" s="8" t="s">
        <v>7487</v>
      </c>
      <c r="D3035" s="8" t="s">
        <v>7177</v>
      </c>
      <c r="E3035" s="9" t="str">
        <f aca="false">HYPERLINK("https://twitter.com/ninna721/status/922119606944354304","922119606944354304")</f>
        <v>922119606944354304</v>
      </c>
      <c r="F3035" s="10" t="s">
        <v>25</v>
      </c>
      <c r="G3035" s="10" t="n">
        <v>1149</v>
      </c>
      <c r="H3035" s="10" t="n">
        <v>399</v>
      </c>
      <c r="I3035" s="10" t="n">
        <v>8</v>
      </c>
      <c r="J3035" s="10" t="n">
        <v>0</v>
      </c>
      <c r="K3035" s="10" t="s">
        <v>20</v>
      </c>
      <c r="L3035" s="11" t="n">
        <v>41122.6953819445</v>
      </c>
      <c r="M3035" s="12"/>
      <c r="N3035" s="12" t="s">
        <v>7488</v>
      </c>
      <c r="O3035" s="9" t="str">
        <f aca="false">HYPERLINK("https://pbs.twimg.com/profile_images/378800000042121366/5c750c6b7cfd7053e7538511b1c7fc73_normal.png","View")</f>
        <v>View</v>
      </c>
      <c r="P3035" s="10"/>
    </row>
    <row r="3036" customFormat="false" ht="15.75" hidden="false" customHeight="false" outlineLevel="0" collapsed="false">
      <c r="A3036" s="6" t="n">
        <v>43030.3452777778</v>
      </c>
      <c r="B3036" s="7" t="str">
        <f aca="false">HYPERLINK("https://twitter.com/Arunabh_ch","@Arunabh_ch")</f>
        <v>@Arunabh_ch</v>
      </c>
      <c r="C3036" s="8" t="s">
        <v>7489</v>
      </c>
      <c r="D3036" s="8" t="s">
        <v>7350</v>
      </c>
      <c r="E3036" s="9" t="str">
        <f aca="false">HYPERLINK("https://twitter.com/Arunabh_ch/status/922119655178645504","922119655178645504")</f>
        <v>922119655178645504</v>
      </c>
      <c r="F3036" s="10" t="s">
        <v>51</v>
      </c>
      <c r="G3036" s="10" t="n">
        <v>144</v>
      </c>
      <c r="H3036" s="10" t="n">
        <v>343</v>
      </c>
      <c r="I3036" s="10" t="n">
        <v>62</v>
      </c>
      <c r="J3036" s="10" t="n">
        <v>0</v>
      </c>
      <c r="K3036" s="10" t="s">
        <v>20</v>
      </c>
      <c r="L3036" s="11" t="n">
        <v>40341.5935185185</v>
      </c>
      <c r="M3036" s="12"/>
      <c r="N3036" s="12"/>
      <c r="O3036" s="9" t="str">
        <f aca="false">HYPERLINK("https://pbs.twimg.com/profile_images/867688346121842688/2CdOTq1m_normal.jpg","View")</f>
        <v>View</v>
      </c>
      <c r="P3036" s="10"/>
    </row>
    <row r="3037" customFormat="false" ht="15.75" hidden="false" customHeight="false" outlineLevel="0" collapsed="false">
      <c r="A3037" s="6" t="n">
        <v>43030.3453356482</v>
      </c>
      <c r="B3037" s="7" t="str">
        <f aca="false">HYPERLINK("https://twitter.com/Pat_Coppock","@Pat_Coppock")</f>
        <v>@Pat_Coppock</v>
      </c>
      <c r="C3037" s="8" t="s">
        <v>7490</v>
      </c>
      <c r="D3037" s="8" t="s">
        <v>7491</v>
      </c>
      <c r="E3037" s="9" t="str">
        <f aca="false">HYPERLINK("https://twitter.com/Pat_Coppock/status/922119676661972992","922119676661972992")</f>
        <v>922119676661972992</v>
      </c>
      <c r="F3037" s="10" t="s">
        <v>1658</v>
      </c>
      <c r="G3037" s="10" t="n">
        <v>793</v>
      </c>
      <c r="H3037" s="10" t="n">
        <v>1420</v>
      </c>
      <c r="I3037" s="10" t="n">
        <v>0</v>
      </c>
      <c r="J3037" s="10" t="n">
        <v>0</v>
      </c>
      <c r="K3037" s="10" t="s">
        <v>20</v>
      </c>
      <c r="L3037" s="11" t="n">
        <v>39794.9502546296</v>
      </c>
      <c r="M3037" s="12" t="s">
        <v>7492</v>
      </c>
      <c r="N3037" s="12" t="s">
        <v>7493</v>
      </c>
      <c r="O3037" s="9" t="str">
        <f aca="false">HYPERLINK("https://pbs.twimg.com/profile_images/2999242791/46630190110974077cb5aec4205a7dcf_normal.jpeg","View")</f>
        <v>View</v>
      </c>
      <c r="P3037" s="10"/>
    </row>
    <row r="3038" customFormat="false" ht="15.75" hidden="false" customHeight="false" outlineLevel="0" collapsed="false">
      <c r="A3038" s="6" t="n">
        <v>43030.3454513889</v>
      </c>
      <c r="B3038" s="7" t="str">
        <f aca="false">HYPERLINK("https://twitter.com/presyar","@presyar")</f>
        <v>@presyar</v>
      </c>
      <c r="C3038" s="8" t="s">
        <v>6825</v>
      </c>
      <c r="D3038" s="8" t="s">
        <v>7494</v>
      </c>
      <c r="E3038" s="9" t="str">
        <f aca="false">HYPERLINK("https://twitter.com/presyar/status/922119718487572480","922119718487572480")</f>
        <v>922119718487572480</v>
      </c>
      <c r="F3038" s="10" t="s">
        <v>51</v>
      </c>
      <c r="G3038" s="10" t="n">
        <v>495</v>
      </c>
      <c r="H3038" s="10" t="n">
        <v>1494</v>
      </c>
      <c r="I3038" s="10" t="n">
        <v>1</v>
      </c>
      <c r="J3038" s="10" t="n">
        <v>0</v>
      </c>
      <c r="K3038" s="10" t="s">
        <v>20</v>
      </c>
      <c r="L3038" s="11" t="n">
        <v>40634.3419097222</v>
      </c>
      <c r="M3038" s="12"/>
      <c r="N3038" s="12" t="s">
        <v>6826</v>
      </c>
      <c r="O3038" s="9" t="str">
        <f aca="false">HYPERLINK("https://pbs.twimg.com/profile_images/923082736507633664/hxuwfvQ2_normal.jpg","View")</f>
        <v>View</v>
      </c>
      <c r="P3038" s="10"/>
    </row>
    <row r="3039" customFormat="false" ht="15.75" hidden="false" customHeight="false" outlineLevel="0" collapsed="false">
      <c r="A3039" s="6" t="n">
        <v>43030.3455555556</v>
      </c>
      <c r="B3039" s="7" t="str">
        <f aca="false">HYPERLINK("https://twitter.com/OPensador89","@OPensador89")</f>
        <v>@OPensador89</v>
      </c>
      <c r="C3039" s="8" t="s">
        <v>7495</v>
      </c>
      <c r="D3039" s="8" t="s">
        <v>7371</v>
      </c>
      <c r="E3039" s="9" t="str">
        <f aca="false">HYPERLINK("https://twitter.com/OPensador89/status/922119756756418560","922119756756418560")</f>
        <v>922119756756418560</v>
      </c>
      <c r="F3039" s="10" t="s">
        <v>39</v>
      </c>
      <c r="G3039" s="10" t="n">
        <v>962</v>
      </c>
      <c r="H3039" s="10" t="n">
        <v>4947</v>
      </c>
      <c r="I3039" s="10" t="n">
        <v>16</v>
      </c>
      <c r="J3039" s="10" t="n">
        <v>0</v>
      </c>
      <c r="K3039" s="10" t="s">
        <v>20</v>
      </c>
      <c r="L3039" s="11" t="n">
        <v>41791.5234837963</v>
      </c>
      <c r="M3039" s="12" t="s">
        <v>7496</v>
      </c>
      <c r="N3039" s="12" t="s">
        <v>7497</v>
      </c>
      <c r="O3039" s="9" t="str">
        <f aca="false">HYPERLINK("https://pbs.twimg.com/profile_images/473188440024965120/rBjQ6yuV_normal.jpeg","View")</f>
        <v>View</v>
      </c>
      <c r="P3039" s="10"/>
    </row>
    <row r="3040" customFormat="false" ht="15.75" hidden="false" customHeight="false" outlineLevel="0" collapsed="false">
      <c r="A3040" s="6" t="n">
        <v>43030.3459606481</v>
      </c>
      <c r="B3040" s="7" t="str">
        <f aca="false">HYPERLINK("https://twitter.com/Mannrajaa","@Mannrajaa")</f>
        <v>@Mannrajaa</v>
      </c>
      <c r="C3040" s="8" t="s">
        <v>7498</v>
      </c>
      <c r="D3040" s="8" t="s">
        <v>7350</v>
      </c>
      <c r="E3040" s="9" t="str">
        <f aca="false">HYPERLINK("https://twitter.com/Mannrajaa/status/922119904009994240","922119904009994240")</f>
        <v>922119904009994240</v>
      </c>
      <c r="F3040" s="10" t="s">
        <v>25</v>
      </c>
      <c r="G3040" s="10" t="n">
        <v>42</v>
      </c>
      <c r="H3040" s="10" t="n">
        <v>202</v>
      </c>
      <c r="I3040" s="10" t="n">
        <v>62</v>
      </c>
      <c r="J3040" s="10" t="n">
        <v>0</v>
      </c>
      <c r="K3040" s="10" t="s">
        <v>20</v>
      </c>
      <c r="L3040" s="11" t="n">
        <v>42740.1178472222</v>
      </c>
      <c r="M3040" s="12" t="s">
        <v>7499</v>
      </c>
      <c r="N3040" s="12" t="s">
        <v>7500</v>
      </c>
      <c r="O3040" s="9" t="str">
        <f aca="false">HYPERLINK("https://pbs.twimg.com/profile_images/888014172994367494/vw-RdFPV_normal.jpg","View")</f>
        <v>View</v>
      </c>
      <c r="P3040" s="10"/>
    </row>
    <row r="3041" customFormat="false" ht="15.75" hidden="false" customHeight="false" outlineLevel="0" collapsed="false">
      <c r="A3041" s="6" t="n">
        <v>43030.3459722222</v>
      </c>
      <c r="B3041" s="7" t="str">
        <f aca="false">HYPERLINK("https://twitter.com/DavidShBrazil","@DavidShBrazil")</f>
        <v>@DavidShBrazil</v>
      </c>
      <c r="C3041" s="8" t="s">
        <v>7501</v>
      </c>
      <c r="D3041" s="8" t="s">
        <v>3422</v>
      </c>
      <c r="E3041" s="9" t="str">
        <f aca="false">HYPERLINK("https://twitter.com/DavidShBrazil/status/922119907331989506","922119907331989506")</f>
        <v>922119907331989506</v>
      </c>
      <c r="F3041" s="10" t="s">
        <v>51</v>
      </c>
      <c r="G3041" s="10" t="n">
        <v>232</v>
      </c>
      <c r="H3041" s="10" t="n">
        <v>1023</v>
      </c>
      <c r="I3041" s="10" t="n">
        <v>27</v>
      </c>
      <c r="J3041" s="10" t="n">
        <v>0</v>
      </c>
      <c r="K3041" s="10" t="s">
        <v>20</v>
      </c>
      <c r="L3041" s="11" t="n">
        <v>42821.4152199074</v>
      </c>
      <c r="M3041" s="12" t="s">
        <v>7502</v>
      </c>
      <c r="N3041" s="12" t="s">
        <v>7503</v>
      </c>
      <c r="O3041" s="9" t="str">
        <f aca="false">HYPERLINK("https://abs.twimg.com/sticky/default_profile_images/default_profile_normal.png","View")</f>
        <v>View</v>
      </c>
      <c r="P3041" s="10"/>
    </row>
    <row r="3042" customFormat="false" ht="15.75" hidden="false" customHeight="false" outlineLevel="0" collapsed="false">
      <c r="A3042" s="6" t="n">
        <v>43030.3462037037</v>
      </c>
      <c r="B3042" s="7" t="str">
        <f aca="false">HYPERLINK("https://twitter.com/Kenlenkirk","@Kenlenkirk")</f>
        <v>@Kenlenkirk</v>
      </c>
      <c r="C3042" s="8" t="s">
        <v>7504</v>
      </c>
      <c r="D3042" s="8" t="s">
        <v>7505</v>
      </c>
      <c r="E3042" s="9" t="str">
        <f aca="false">HYPERLINK("https://twitter.com/Kenlenkirk/status/922119990253322241","922119990253322241")</f>
        <v>922119990253322241</v>
      </c>
      <c r="F3042" s="10" t="s">
        <v>60</v>
      </c>
      <c r="G3042" s="10" t="n">
        <v>180757</v>
      </c>
      <c r="H3042" s="10" t="n">
        <v>1322</v>
      </c>
      <c r="I3042" s="10" t="n">
        <v>0</v>
      </c>
      <c r="J3042" s="10" t="n">
        <v>0</v>
      </c>
      <c r="K3042" s="10" t="s">
        <v>20</v>
      </c>
      <c r="L3042" s="11" t="n">
        <v>40353.5123148148</v>
      </c>
      <c r="M3042" s="15" t="s">
        <v>7506</v>
      </c>
      <c r="N3042" s="12" t="s">
        <v>7507</v>
      </c>
      <c r="O3042" s="9" t="str">
        <f aca="false">HYPERLINK("https://pbs.twimg.com/profile_images/1823640681/Doc_Reefer_by_Nicky_Crop_Orange_NDP_Leaves_normal.jpg","View")</f>
        <v>View</v>
      </c>
      <c r="P3042" s="10"/>
    </row>
    <row r="3043" customFormat="false" ht="15.75" hidden="false" customHeight="false" outlineLevel="0" collapsed="false">
      <c r="A3043" s="6" t="n">
        <v>43030.3463888889</v>
      </c>
      <c r="B3043" s="7" t="str">
        <f aca="false">HYPERLINK("https://twitter.com/Shilpzzm","@Shilpzzm")</f>
        <v>@Shilpzzm</v>
      </c>
      <c r="C3043" s="8" t="s">
        <v>7508</v>
      </c>
      <c r="D3043" s="8" t="s">
        <v>7350</v>
      </c>
      <c r="E3043" s="9" t="str">
        <f aca="false">HYPERLINK("https://twitter.com/Shilpzzm/status/922120056753885185","922120056753885185")</f>
        <v>922120056753885185</v>
      </c>
      <c r="F3043" s="10" t="s">
        <v>25</v>
      </c>
      <c r="G3043" s="10" t="n">
        <v>709</v>
      </c>
      <c r="H3043" s="10" t="n">
        <v>275</v>
      </c>
      <c r="I3043" s="10" t="n">
        <v>62</v>
      </c>
      <c r="J3043" s="10" t="n">
        <v>0</v>
      </c>
      <c r="K3043" s="10" t="s">
        <v>20</v>
      </c>
      <c r="L3043" s="11" t="n">
        <v>41776.4505324074</v>
      </c>
      <c r="M3043" s="12"/>
      <c r="N3043" s="12" t="s">
        <v>7509</v>
      </c>
      <c r="O3043" s="9" t="str">
        <f aca="false">HYPERLINK("https://pbs.twimg.com/profile_images/492735762719186944/6z228rre_normal.jpeg","View")</f>
        <v>View</v>
      </c>
      <c r="P3043" s="10"/>
    </row>
    <row r="3044" customFormat="false" ht="15.75" hidden="false" customHeight="false" outlineLevel="0" collapsed="false">
      <c r="A3044" s="6" t="n">
        <v>43030.3464236111</v>
      </c>
      <c r="B3044" s="7" t="str">
        <f aca="false">HYPERLINK("https://twitter.com/Kenlenkirk","@Kenlenkirk")</f>
        <v>@Kenlenkirk</v>
      </c>
      <c r="C3044" s="8" t="s">
        <v>7504</v>
      </c>
      <c r="D3044" s="8" t="s">
        <v>7510</v>
      </c>
      <c r="E3044" s="9" t="str">
        <f aca="false">HYPERLINK("https://twitter.com/Kenlenkirk/status/922120070490357761","922120070490357761")</f>
        <v>922120070490357761</v>
      </c>
      <c r="F3044" s="10" t="s">
        <v>60</v>
      </c>
      <c r="G3044" s="10" t="n">
        <v>180757</v>
      </c>
      <c r="H3044" s="10" t="n">
        <v>1322</v>
      </c>
      <c r="I3044" s="10" t="n">
        <v>0</v>
      </c>
      <c r="J3044" s="10" t="n">
        <v>0</v>
      </c>
      <c r="K3044" s="10" t="s">
        <v>20</v>
      </c>
      <c r="L3044" s="11" t="n">
        <v>40353.5123148148</v>
      </c>
      <c r="M3044" s="15" t="s">
        <v>7506</v>
      </c>
      <c r="N3044" s="12" t="s">
        <v>7507</v>
      </c>
      <c r="O3044" s="9" t="str">
        <f aca="false">HYPERLINK("https://pbs.twimg.com/profile_images/1823640681/Doc_Reefer_by_Nicky_Crop_Orange_NDP_Leaves_normal.jpg","View")</f>
        <v>View</v>
      </c>
      <c r="P3044" s="10"/>
    </row>
    <row r="3045" customFormat="false" ht="15.75" hidden="false" customHeight="false" outlineLevel="0" collapsed="false">
      <c r="A3045" s="6" t="n">
        <v>43030.3465509259</v>
      </c>
      <c r="B3045" s="7" t="str">
        <f aca="false">HYPERLINK("https://twitter.com/nytimesworld","@nytimesworld")</f>
        <v>@nytimesworld</v>
      </c>
      <c r="C3045" s="8" t="s">
        <v>621</v>
      </c>
      <c r="D3045" s="8" t="s">
        <v>7511</v>
      </c>
      <c r="E3045" s="9" t="str">
        <f aca="false">HYPERLINK("https://twitter.com/nytimesworld/status/922120114757144576","922120114757144576")</f>
        <v>922120114757144576</v>
      </c>
      <c r="F3045" s="10" t="s">
        <v>268</v>
      </c>
      <c r="G3045" s="10" t="n">
        <v>1873869</v>
      </c>
      <c r="H3045" s="10" t="n">
        <v>465</v>
      </c>
      <c r="I3045" s="10" t="n">
        <v>25</v>
      </c>
      <c r="J3045" s="10" t="n">
        <v>15</v>
      </c>
      <c r="K3045" s="10" t="s">
        <v>20</v>
      </c>
      <c r="L3045" s="11" t="n">
        <v>39163.2915393518</v>
      </c>
      <c r="M3045" s="12" t="s">
        <v>491</v>
      </c>
      <c r="N3045" s="12" t="s">
        <v>623</v>
      </c>
      <c r="O3045" s="9" t="str">
        <f aca="false">HYPERLINK("https://pbs.twimg.com/profile_images/2045337639/NYT_Twitter_world_normal.png","View")</f>
        <v>View</v>
      </c>
      <c r="P3045" s="10"/>
    </row>
    <row r="3046" customFormat="false" ht="15.75" hidden="false" customHeight="false" outlineLevel="0" collapsed="false">
      <c r="A3046" s="6" t="n">
        <v>43030.346712963</v>
      </c>
      <c r="B3046" s="7" t="str">
        <f aca="false">HYPERLINK("https://twitter.com/fmici","@fmici")</f>
        <v>@fmici</v>
      </c>
      <c r="C3046" s="8" t="s">
        <v>7512</v>
      </c>
      <c r="D3046" s="8" t="s">
        <v>7371</v>
      </c>
      <c r="E3046" s="9" t="str">
        <f aca="false">HYPERLINK("https://twitter.com/fmici/status/922120175691935749","922120175691935749")</f>
        <v>922120175691935749</v>
      </c>
      <c r="F3046" s="10" t="s">
        <v>51</v>
      </c>
      <c r="G3046" s="10" t="n">
        <v>408</v>
      </c>
      <c r="H3046" s="10" t="n">
        <v>462</v>
      </c>
      <c r="I3046" s="10" t="n">
        <v>16</v>
      </c>
      <c r="J3046" s="10" t="n">
        <v>0</v>
      </c>
      <c r="K3046" s="10" t="s">
        <v>20</v>
      </c>
      <c r="L3046" s="11" t="n">
        <v>40955.0034722222</v>
      </c>
      <c r="M3046" s="12"/>
      <c r="N3046" s="12" t="s">
        <v>7513</v>
      </c>
      <c r="O3046" s="9" t="str">
        <f aca="false">HYPERLINK("https://pbs.twimg.com/profile_images/488673289896615936/U-Rb8Jz8_normal.jpeg","View")</f>
        <v>View</v>
      </c>
      <c r="P3046" s="10"/>
    </row>
    <row r="3047" customFormat="false" ht="15.75" hidden="false" customHeight="false" outlineLevel="0" collapsed="false">
      <c r="A3047" s="6" t="n">
        <v>43030.3467592593</v>
      </c>
      <c r="B3047" s="7" t="str">
        <f aca="false">HYPERLINK("https://twitter.com/STcom","@STcom")</f>
        <v>@STcom</v>
      </c>
      <c r="C3047" s="8" t="s">
        <v>3291</v>
      </c>
      <c r="D3047" s="8" t="s">
        <v>7344</v>
      </c>
      <c r="E3047" s="9" t="str">
        <f aca="false">HYPERLINK("https://twitter.com/STcom/status/922120193182072833","922120193182072833")</f>
        <v>922120193182072833</v>
      </c>
      <c r="F3047" s="10" t="s">
        <v>276</v>
      </c>
      <c r="G3047" s="10" t="n">
        <v>957122</v>
      </c>
      <c r="H3047" s="10" t="n">
        <v>126</v>
      </c>
      <c r="I3047" s="10" t="n">
        <v>4</v>
      </c>
      <c r="J3047" s="10" t="n">
        <v>0</v>
      </c>
      <c r="K3047" s="10" t="s">
        <v>20</v>
      </c>
      <c r="L3047" s="11" t="n">
        <v>39937.9919328704</v>
      </c>
      <c r="M3047" s="12" t="s">
        <v>186</v>
      </c>
      <c r="N3047" s="12" t="s">
        <v>3293</v>
      </c>
      <c r="O3047" s="9" t="str">
        <f aca="false">HYPERLINK("https://pbs.twimg.com/profile_images/630988935720648704/HkmsHBTM_normal.jpg","View")</f>
        <v>View</v>
      </c>
      <c r="P3047" s="10"/>
    </row>
    <row r="3048" customFormat="false" ht="15.75" hidden="false" customHeight="false" outlineLevel="0" collapsed="false">
      <c r="A3048" s="6" t="n">
        <v>43030.3468402778</v>
      </c>
      <c r="B3048" s="7" t="str">
        <f aca="false">HYPERLINK("https://twitter.com/GenSangiuliano","@GenSangiuliano")</f>
        <v>@GenSangiuliano</v>
      </c>
      <c r="C3048" s="8" t="s">
        <v>7514</v>
      </c>
      <c r="D3048" s="8" t="s">
        <v>7515</v>
      </c>
      <c r="E3048" s="9" t="str">
        <f aca="false">HYPERLINK("https://twitter.com/GenSangiuliano/status/922120220256423936","922120220256423936")</f>
        <v>922120220256423936</v>
      </c>
      <c r="F3048" s="10" t="s">
        <v>39</v>
      </c>
      <c r="G3048" s="10" t="n">
        <v>4274</v>
      </c>
      <c r="H3048" s="10" t="n">
        <v>896</v>
      </c>
      <c r="I3048" s="10" t="n">
        <v>25</v>
      </c>
      <c r="J3048" s="10" t="n">
        <v>0</v>
      </c>
      <c r="K3048" s="10" t="s">
        <v>20</v>
      </c>
      <c r="L3048" s="11" t="n">
        <v>40923.455474537</v>
      </c>
      <c r="M3048" s="12" t="s">
        <v>7516</v>
      </c>
      <c r="N3048" s="12" t="s">
        <v>7517</v>
      </c>
      <c r="O3048" s="9" t="str">
        <f aca="false">HYPERLINK("https://pbs.twimg.com/profile_images/541993132573724672/AN1Q1dBC_normal.jpeg","View")</f>
        <v>View</v>
      </c>
      <c r="P3048" s="10"/>
    </row>
    <row r="3049" customFormat="false" ht="15.75" hidden="false" customHeight="false" outlineLevel="0" collapsed="false">
      <c r="A3049" s="6" t="n">
        <v>43030.3469097222</v>
      </c>
      <c r="B3049" s="7" t="str">
        <f aca="false">HYPERLINK("https://twitter.com/FinanceJobBusin","@FinanceJobBusin")</f>
        <v>@FinanceJobBusin</v>
      </c>
      <c r="C3049" s="8" t="s">
        <v>7518</v>
      </c>
      <c r="D3049" s="8" t="s">
        <v>7519</v>
      </c>
      <c r="E3049" s="9" t="str">
        <f aca="false">HYPERLINK("https://twitter.com/FinanceJobBusin/status/922120246030487554","922120246030487554")</f>
        <v>922120246030487554</v>
      </c>
      <c r="F3049" s="10" t="s">
        <v>60</v>
      </c>
      <c r="G3049" s="10" t="n">
        <v>556</v>
      </c>
      <c r="H3049" s="10" t="n">
        <v>0</v>
      </c>
      <c r="I3049" s="10" t="n">
        <v>0</v>
      </c>
      <c r="J3049" s="10" t="n">
        <v>0</v>
      </c>
      <c r="K3049" s="10" t="s">
        <v>20</v>
      </c>
      <c r="L3049" s="11" t="n">
        <v>42284.2797800926</v>
      </c>
      <c r="M3049" s="12"/>
      <c r="N3049" s="12"/>
      <c r="O3049" s="9" t="str">
        <f aca="false">HYPERLINK("https://pbs.twimg.com/profile_images/651755146129633281/CK7pThR4_normal.jpg","View")</f>
        <v>View</v>
      </c>
      <c r="P3049" s="10"/>
    </row>
    <row r="3050" customFormat="false" ht="15.75" hidden="false" customHeight="false" outlineLevel="0" collapsed="false">
      <c r="A3050" s="6" t="n">
        <v>43030.3471875</v>
      </c>
      <c r="B3050" s="7" t="str">
        <f aca="false">HYPERLINK("https://twitter.com/itskumars","@itskumars")</f>
        <v>@itskumars</v>
      </c>
      <c r="C3050" s="8" t="s">
        <v>7520</v>
      </c>
      <c r="D3050" s="8" t="s">
        <v>7350</v>
      </c>
      <c r="E3050" s="9" t="str">
        <f aca="false">HYPERLINK("https://twitter.com/itskumars/status/922120345540116481","922120345540116481")</f>
        <v>922120345540116481</v>
      </c>
      <c r="F3050" s="10" t="s">
        <v>98</v>
      </c>
      <c r="G3050" s="10" t="n">
        <v>50</v>
      </c>
      <c r="H3050" s="10" t="n">
        <v>163</v>
      </c>
      <c r="I3050" s="10" t="n">
        <v>62</v>
      </c>
      <c r="J3050" s="10" t="n">
        <v>0</v>
      </c>
      <c r="K3050" s="10" t="s">
        <v>20</v>
      </c>
      <c r="L3050" s="11" t="n">
        <v>40782.299525463</v>
      </c>
      <c r="M3050" s="12" t="s">
        <v>1684</v>
      </c>
      <c r="N3050" s="12" t="s">
        <v>7521</v>
      </c>
      <c r="O3050" s="9" t="str">
        <f aca="false">HYPERLINK("https://pbs.twimg.com/profile_images/537964096142864384/pZD9zec4_normal.jpeg","View")</f>
        <v>View</v>
      </c>
      <c r="P3050" s="10"/>
    </row>
    <row r="3051" customFormat="false" ht="15.75" hidden="false" customHeight="false" outlineLevel="0" collapsed="false">
      <c r="A3051" s="6" t="n">
        <v>43030.3473032407</v>
      </c>
      <c r="B3051" s="7" t="str">
        <f aca="false">HYPERLINK("https://twitter.com/BrazilAleppo","@BrazilAleppo")</f>
        <v>@BrazilAleppo</v>
      </c>
      <c r="C3051" s="8" t="s">
        <v>7522</v>
      </c>
      <c r="D3051" s="8" t="s">
        <v>7515</v>
      </c>
      <c r="E3051" s="9" t="str">
        <f aca="false">HYPERLINK("https://twitter.com/BrazilAleppo/status/922120389811154945","922120389811154945")</f>
        <v>922120389811154945</v>
      </c>
      <c r="F3051" s="10" t="s">
        <v>39</v>
      </c>
      <c r="G3051" s="10" t="n">
        <v>974</v>
      </c>
      <c r="H3051" s="10" t="n">
        <v>620</v>
      </c>
      <c r="I3051" s="10" t="n">
        <v>25</v>
      </c>
      <c r="J3051" s="10" t="n">
        <v>0</v>
      </c>
      <c r="K3051" s="10" t="s">
        <v>20</v>
      </c>
      <c r="L3051" s="11" t="n">
        <v>42367.2233680556</v>
      </c>
      <c r="M3051" s="12" t="s">
        <v>7523</v>
      </c>
      <c r="N3051" s="12" t="s">
        <v>7524</v>
      </c>
      <c r="O3051" s="9" t="str">
        <f aca="false">HYPERLINK("https://pbs.twimg.com/profile_images/681831921702273024/z8SHut9T_normal.jpg","View")</f>
        <v>View</v>
      </c>
      <c r="P3051" s="10"/>
    </row>
    <row r="3052" customFormat="false" ht="15.75" hidden="false" customHeight="false" outlineLevel="0" collapsed="false">
      <c r="A3052" s="6" t="n">
        <v>43030.347337963</v>
      </c>
      <c r="B3052" s="7" t="str">
        <f aca="false">HYPERLINK("https://twitter.com/RogerMedina_","@RogerMedina_")</f>
        <v>@RogerMedina_</v>
      </c>
      <c r="C3052" s="8" t="s">
        <v>7525</v>
      </c>
      <c r="D3052" s="8" t="s">
        <v>7526</v>
      </c>
      <c r="E3052" s="9" t="str">
        <f aca="false">HYPERLINK("https://twitter.com/RogerMedina_/status/922120399793672194","922120399793672194")</f>
        <v>922120399793672194</v>
      </c>
      <c r="F3052" s="10" t="s">
        <v>25</v>
      </c>
      <c r="G3052" s="10" t="n">
        <v>1040</v>
      </c>
      <c r="H3052" s="10" t="n">
        <v>1259</v>
      </c>
      <c r="I3052" s="10" t="n">
        <v>0</v>
      </c>
      <c r="J3052" s="10" t="n">
        <v>0</v>
      </c>
      <c r="K3052" s="10" t="s">
        <v>20</v>
      </c>
      <c r="L3052" s="11" t="n">
        <v>40374.4797685185</v>
      </c>
      <c r="M3052" s="12" t="s">
        <v>7527</v>
      </c>
      <c r="N3052" s="12" t="s">
        <v>7528</v>
      </c>
      <c r="O3052" s="9" t="str">
        <f aca="false">HYPERLINK("https://pbs.twimg.com/profile_images/911993325124833280/4aoFpMoR_normal.jpg","View")</f>
        <v>View</v>
      </c>
      <c r="P3052" s="10"/>
    </row>
    <row r="3053" customFormat="false" ht="15.75" hidden="false" customHeight="false" outlineLevel="0" collapsed="false">
      <c r="A3053" s="6" t="n">
        <v>43030.3475925926</v>
      </c>
      <c r="B3053" s="7" t="str">
        <f aca="false">HYPERLINK("https://twitter.com/ricouleauvincen","@ricouleauvincen")</f>
        <v>@ricouleauvincen</v>
      </c>
      <c r="C3053" s="8" t="s">
        <v>7529</v>
      </c>
      <c r="D3053" s="8" t="s">
        <v>7530</v>
      </c>
      <c r="E3053" s="9" t="str">
        <f aca="false">HYPERLINK("https://twitter.com/ricouleauvincen/status/922120492751847425","922120492751847425")</f>
        <v>922120492751847425</v>
      </c>
      <c r="F3053" s="10" t="s">
        <v>39</v>
      </c>
      <c r="G3053" s="10" t="n">
        <v>207</v>
      </c>
      <c r="H3053" s="10" t="n">
        <v>1838</v>
      </c>
      <c r="I3053" s="10" t="n">
        <v>0</v>
      </c>
      <c r="J3053" s="10" t="n">
        <v>0</v>
      </c>
      <c r="K3053" s="10" t="s">
        <v>20</v>
      </c>
      <c r="L3053" s="11" t="n">
        <v>41416.2981597222</v>
      </c>
      <c r="M3053" s="12" t="s">
        <v>7531</v>
      </c>
      <c r="N3053" s="12" t="s">
        <v>7532</v>
      </c>
      <c r="O3053" s="9" t="str">
        <f aca="false">HYPERLINK("https://pbs.twimg.com/profile_images/856548499898327040/V2FEk5Vx_normal.jpg","View")</f>
        <v>View</v>
      </c>
      <c r="P3053" s="10"/>
    </row>
    <row r="3054" customFormat="false" ht="15.75" hidden="false" customHeight="false" outlineLevel="0" collapsed="false">
      <c r="A3054" s="6" t="n">
        <v>43030.3478703704</v>
      </c>
      <c r="B3054" s="7" t="str">
        <f aca="false">HYPERLINK("https://twitter.com/PTalkShows","@PTalkShows")</f>
        <v>@PTalkShows</v>
      </c>
      <c r="C3054" s="8" t="s">
        <v>6469</v>
      </c>
      <c r="D3054" s="8" t="s">
        <v>7533</v>
      </c>
      <c r="E3054" s="9" t="str">
        <f aca="false">HYPERLINK("https://twitter.com/PTalkShows/status/922120594824589312","922120594824589312")</f>
        <v>922120594824589312</v>
      </c>
      <c r="F3054" s="10" t="s">
        <v>47</v>
      </c>
      <c r="G3054" s="10" t="n">
        <v>223</v>
      </c>
      <c r="H3054" s="10" t="n">
        <v>124</v>
      </c>
      <c r="I3054" s="10" t="n">
        <v>0</v>
      </c>
      <c r="J3054" s="10" t="n">
        <v>0</v>
      </c>
      <c r="K3054" s="10" t="s">
        <v>20</v>
      </c>
      <c r="L3054" s="11" t="n">
        <v>42646.7912731482</v>
      </c>
      <c r="M3054" s="12" t="s">
        <v>6471</v>
      </c>
      <c r="N3054" s="12"/>
      <c r="O3054" s="9" t="str">
        <f aca="false">HYPERLINK("https://pbs.twimg.com/profile_images/804896874822041601/v1Q_DvW6_normal.jpg","View")</f>
        <v>View</v>
      </c>
      <c r="P3054" s="10"/>
    </row>
    <row r="3055" customFormat="false" ht="15.75" hidden="false" customHeight="false" outlineLevel="0" collapsed="false">
      <c r="A3055" s="6" t="n">
        <v>43030.3479282407</v>
      </c>
      <c r="B3055" s="7" t="str">
        <f aca="false">HYPERLINK("https://twitter.com/24H0URTV","@24H0URTV")</f>
        <v>@24H0URTV</v>
      </c>
      <c r="C3055" s="14" t="s">
        <v>4099</v>
      </c>
      <c r="D3055" s="8" t="s">
        <v>7515</v>
      </c>
      <c r="E3055" s="9" t="str">
        <f aca="false">HYPERLINK("https://twitter.com/24H0URTV/status/922120617301651456","922120617301651456")</f>
        <v>922120617301651456</v>
      </c>
      <c r="F3055" s="10" t="s">
        <v>51</v>
      </c>
      <c r="G3055" s="10" t="n">
        <v>48</v>
      </c>
      <c r="H3055" s="10" t="n">
        <v>66</v>
      </c>
      <c r="I3055" s="10" t="n">
        <v>25</v>
      </c>
      <c r="J3055" s="10" t="n">
        <v>0</v>
      </c>
      <c r="K3055" s="10" t="s">
        <v>20</v>
      </c>
      <c r="L3055" s="11" t="n">
        <v>42714.1550115741</v>
      </c>
      <c r="M3055" s="12"/>
      <c r="N3055" s="12"/>
      <c r="O3055" s="9" t="str">
        <f aca="false">HYPERLINK("https://pbs.twimg.com/profile_images/917002009223487489/HnJZMHMb_normal.jpg","View")</f>
        <v>View</v>
      </c>
      <c r="P3055" s="10"/>
    </row>
    <row r="3056" customFormat="false" ht="15.75" hidden="false" customHeight="false" outlineLevel="0" collapsed="false">
      <c r="A3056" s="6" t="n">
        <v>43030.347974537</v>
      </c>
      <c r="B3056" s="7" t="str">
        <f aca="false">HYPERLINK("https://twitter.com/Always4_Truth","@Always4_Truth")</f>
        <v>@Always4_Truth</v>
      </c>
      <c r="C3056" s="8" t="s">
        <v>7534</v>
      </c>
      <c r="D3056" s="8" t="s">
        <v>7515</v>
      </c>
      <c r="E3056" s="9" t="str">
        <f aca="false">HYPERLINK("https://twitter.com/Always4_Truth/status/922120632233484288","922120632233484288")</f>
        <v>922120632233484288</v>
      </c>
      <c r="F3056" s="10" t="s">
        <v>25</v>
      </c>
      <c r="G3056" s="10" t="n">
        <v>100</v>
      </c>
      <c r="H3056" s="10" t="n">
        <v>416</v>
      </c>
      <c r="I3056" s="10" t="n">
        <v>25</v>
      </c>
      <c r="J3056" s="10" t="n">
        <v>0</v>
      </c>
      <c r="K3056" s="10" t="s">
        <v>20</v>
      </c>
      <c r="L3056" s="11" t="n">
        <v>42072.0816550926</v>
      </c>
      <c r="M3056" s="12" t="s">
        <v>7535</v>
      </c>
      <c r="N3056" s="12" t="s">
        <v>7536</v>
      </c>
      <c r="O3056" s="9" t="str">
        <f aca="false">HYPERLINK("https://pbs.twimg.com/profile_images/866541698129707008/ukgJ2muv_normal.jpg","View")</f>
        <v>View</v>
      </c>
      <c r="P3056" s="10"/>
    </row>
    <row r="3057" customFormat="false" ht="15.75" hidden="false" customHeight="false" outlineLevel="0" collapsed="false">
      <c r="A3057" s="6" t="n">
        <v>43030.3484490741</v>
      </c>
      <c r="B3057" s="7" t="str">
        <f aca="false">HYPERLINK("https://twitter.com/takanorituko","@takanorituko")</f>
        <v>@takanorituko</v>
      </c>
      <c r="C3057" s="14" t="s">
        <v>7537</v>
      </c>
      <c r="D3057" s="8" t="s">
        <v>7344</v>
      </c>
      <c r="E3057" s="9" t="str">
        <f aca="false">HYPERLINK("https://twitter.com/takanorituko/status/922120803453300736","922120803453300736")</f>
        <v>922120803453300736</v>
      </c>
      <c r="F3057" s="10" t="s">
        <v>39</v>
      </c>
      <c r="G3057" s="10" t="n">
        <v>340</v>
      </c>
      <c r="H3057" s="10" t="n">
        <v>226</v>
      </c>
      <c r="I3057" s="10" t="n">
        <v>4</v>
      </c>
      <c r="J3057" s="10" t="n">
        <v>0</v>
      </c>
      <c r="K3057" s="10" t="s">
        <v>20</v>
      </c>
      <c r="L3057" s="11" t="n">
        <v>42292.3306828704</v>
      </c>
      <c r="M3057" s="13" t="s">
        <v>709</v>
      </c>
      <c r="N3057" s="13" t="s">
        <v>7538</v>
      </c>
      <c r="O3057" s="9" t="str">
        <f aca="false">HYPERLINK("https://pbs.twimg.com/profile_images/875711741555949568/JVPjYyaZ_normal.jpg","View")</f>
        <v>View</v>
      </c>
      <c r="P3057" s="10"/>
    </row>
    <row r="3058" customFormat="false" ht="15.75" hidden="false" customHeight="false" outlineLevel="0" collapsed="false">
      <c r="A3058" s="6" t="n">
        <v>43030.3486458333</v>
      </c>
      <c r="B3058" s="7" t="str">
        <f aca="false">HYPERLINK("https://twitter.com/trassens","@trassens")</f>
        <v>@trassens</v>
      </c>
      <c r="C3058" s="8" t="s">
        <v>7346</v>
      </c>
      <c r="D3058" s="8" t="s">
        <v>7539</v>
      </c>
      <c r="E3058" s="9" t="str">
        <f aca="false">HYPERLINK("https://twitter.com/trassens/status/922120874765045761","922120874765045761")</f>
        <v>922120874765045761</v>
      </c>
      <c r="F3058" s="10" t="s">
        <v>39</v>
      </c>
      <c r="G3058" s="10" t="n">
        <v>482</v>
      </c>
      <c r="H3058" s="10" t="n">
        <v>1859</v>
      </c>
      <c r="I3058" s="10" t="n">
        <v>0</v>
      </c>
      <c r="J3058" s="10" t="n">
        <v>0</v>
      </c>
      <c r="K3058" s="10" t="s">
        <v>20</v>
      </c>
      <c r="L3058" s="11" t="n">
        <v>40175.4699421296</v>
      </c>
      <c r="M3058" s="12" t="s">
        <v>7348</v>
      </c>
      <c r="N3058" s="12" t="s">
        <v>7349</v>
      </c>
      <c r="O3058" s="9" t="str">
        <f aca="false">HYPERLINK("https://pbs.twimg.com/profile_images/791740918915338240/uuY1Ra7m_normal.jpg","View")</f>
        <v>View</v>
      </c>
      <c r="P3058" s="10"/>
    </row>
    <row r="3059" customFormat="false" ht="15.75" hidden="false" customHeight="false" outlineLevel="0" collapsed="false">
      <c r="A3059" s="6" t="n">
        <v>43030.3487731481</v>
      </c>
      <c r="B3059" s="7" t="str">
        <f aca="false">HYPERLINK("https://twitter.com/Mark3Ds","@Mark3Ds")</f>
        <v>@Mark3Ds</v>
      </c>
      <c r="C3059" s="8" t="s">
        <v>7540</v>
      </c>
      <c r="D3059" s="8" t="s">
        <v>7541</v>
      </c>
      <c r="E3059" s="9" t="str">
        <f aca="false">HYPERLINK("https://twitter.com/Mark3Ds/status/922120921556684802","922120921556684802")</f>
        <v>922120921556684802</v>
      </c>
      <c r="F3059" s="10" t="s">
        <v>39</v>
      </c>
      <c r="G3059" s="10" t="n">
        <v>1052</v>
      </c>
      <c r="H3059" s="10" t="n">
        <v>105</v>
      </c>
      <c r="I3059" s="10" t="n">
        <v>1</v>
      </c>
      <c r="J3059" s="10" t="n">
        <v>0</v>
      </c>
      <c r="K3059" s="10" t="s">
        <v>20</v>
      </c>
      <c r="L3059" s="11" t="n">
        <v>41337.7162384259</v>
      </c>
      <c r="M3059" s="12" t="s">
        <v>5028</v>
      </c>
      <c r="N3059" s="12" t="s">
        <v>7542</v>
      </c>
      <c r="O3059" s="9" t="str">
        <f aca="false">HYPERLINK("https://pbs.twimg.com/profile_images/3610373060/70f7c3166b8a323771ca3cae6f33d00b_normal.png","View")</f>
        <v>View</v>
      </c>
      <c r="P3059" s="10"/>
    </row>
    <row r="3060" customFormat="false" ht="15.75" hidden="false" customHeight="false" outlineLevel="0" collapsed="false">
      <c r="A3060" s="6" t="n">
        <v>43030.3487962963</v>
      </c>
      <c r="B3060" s="7" t="str">
        <f aca="false">HYPERLINK("https://twitter.com/arrobin0077","@arrobin0077")</f>
        <v>@arrobin0077</v>
      </c>
      <c r="C3060" s="8" t="s">
        <v>631</v>
      </c>
      <c r="D3060" s="8" t="s">
        <v>7543</v>
      </c>
      <c r="E3060" s="9" t="str">
        <f aca="false">HYPERLINK("https://twitter.com/arrobin0077/status/922120928171122688","922120928171122688")</f>
        <v>922120928171122688</v>
      </c>
      <c r="F3060" s="10" t="s">
        <v>60</v>
      </c>
      <c r="G3060" s="10" t="n">
        <v>7479</v>
      </c>
      <c r="H3060" s="10" t="n">
        <v>7442</v>
      </c>
      <c r="I3060" s="10" t="n">
        <v>0</v>
      </c>
      <c r="J3060" s="10" t="n">
        <v>0</v>
      </c>
      <c r="K3060" s="10" t="s">
        <v>20</v>
      </c>
      <c r="L3060" s="11" t="n">
        <v>42218.4780671296</v>
      </c>
      <c r="M3060" s="12" t="s">
        <v>230</v>
      </c>
      <c r="N3060" s="12" t="s">
        <v>633</v>
      </c>
      <c r="O3060" s="9" t="str">
        <f aca="false">HYPERLINK("https://pbs.twimg.com/profile_images/627909948698050560/Lz1QBK8N_normal.jpg","View")</f>
        <v>View</v>
      </c>
      <c r="P3060" s="10"/>
    </row>
    <row r="3061" customFormat="false" ht="15.75" hidden="false" customHeight="false" outlineLevel="0" collapsed="false">
      <c r="A3061" s="6" t="n">
        <v>43030.348900463</v>
      </c>
      <c r="B3061" s="7" t="str">
        <f aca="false">HYPERLINK("https://twitter.com/Paige_Yin","@Paige_Yin")</f>
        <v>@Paige_Yin</v>
      </c>
      <c r="C3061" s="14" t="s">
        <v>7544</v>
      </c>
      <c r="D3061" s="8" t="s">
        <v>7545</v>
      </c>
      <c r="E3061" s="9" t="str">
        <f aca="false">HYPERLINK("https://twitter.com/Paige_Yin/status/922120967605776384","922120967605776384")</f>
        <v>922120967605776384</v>
      </c>
      <c r="F3061" s="10" t="s">
        <v>25</v>
      </c>
      <c r="G3061" s="10" t="n">
        <v>1529</v>
      </c>
      <c r="H3061" s="10" t="n">
        <v>409</v>
      </c>
      <c r="I3061" s="10" t="n">
        <v>1</v>
      </c>
      <c r="J3061" s="10" t="n">
        <v>0</v>
      </c>
      <c r="K3061" s="10" t="s">
        <v>20</v>
      </c>
      <c r="L3061" s="11" t="n">
        <v>39976.9040856481</v>
      </c>
      <c r="M3061" s="12" t="s">
        <v>7546</v>
      </c>
      <c r="N3061" s="13" t="s">
        <v>7547</v>
      </c>
      <c r="O3061" s="9" t="str">
        <f aca="false">HYPERLINK("https://pbs.twimg.com/profile_images/923921983930171393/-XTiluxf_normal.jpg","View")</f>
        <v>View</v>
      </c>
      <c r="P3061" s="10"/>
    </row>
    <row r="3062" customFormat="false" ht="15.75" hidden="false" customHeight="false" outlineLevel="0" collapsed="false">
      <c r="A3062" s="6" t="n">
        <v>43030.3490972222</v>
      </c>
      <c r="B3062" s="7" t="str">
        <f aca="false">HYPERLINK("https://twitter.com/newslivenetwork","@newslivenetwork")</f>
        <v>@newslivenetwork</v>
      </c>
      <c r="C3062" s="8" t="s">
        <v>1668</v>
      </c>
      <c r="D3062" s="8" t="s">
        <v>7548</v>
      </c>
      <c r="E3062" s="9" t="str">
        <f aca="false">HYPERLINK("https://twitter.com/newslivenetwork/status/922121036937736192","922121036937736192")</f>
        <v>922121036937736192</v>
      </c>
      <c r="F3062" s="10" t="s">
        <v>55</v>
      </c>
      <c r="G3062" s="10" t="n">
        <v>272</v>
      </c>
      <c r="H3062" s="10" t="n">
        <v>87</v>
      </c>
      <c r="I3062" s="10" t="n">
        <v>0</v>
      </c>
      <c r="J3062" s="10" t="n">
        <v>0</v>
      </c>
      <c r="K3062" s="10" t="s">
        <v>20</v>
      </c>
      <c r="L3062" s="11" t="n">
        <v>42741.4719675926</v>
      </c>
      <c r="M3062" s="12" t="s">
        <v>1670</v>
      </c>
      <c r="N3062" s="12" t="s">
        <v>1671</v>
      </c>
      <c r="O3062" s="9" t="str">
        <f aca="false">HYPERLINK("https://pbs.twimg.com/profile_images/877414144424660992/scfhocj3_normal.jpg","View")</f>
        <v>View</v>
      </c>
      <c r="P3062" s="10"/>
    </row>
    <row r="3063" customFormat="false" ht="15.75" hidden="false" customHeight="false" outlineLevel="0" collapsed="false">
      <c r="A3063" s="6" t="n">
        <v>43030.3490972222</v>
      </c>
      <c r="B3063" s="7" t="str">
        <f aca="false">HYPERLINK("https://twitter.com/PKinbangkok","@PKinbangkok")</f>
        <v>@PKinbangkok</v>
      </c>
      <c r="C3063" s="8" t="s">
        <v>7549</v>
      </c>
      <c r="D3063" s="8" t="s">
        <v>7515</v>
      </c>
      <c r="E3063" s="9" t="str">
        <f aca="false">HYPERLINK("https://twitter.com/PKinbangkok/status/922121040779558918","922121040779558918")</f>
        <v>922121040779558918</v>
      </c>
      <c r="F3063" s="10" t="s">
        <v>177</v>
      </c>
      <c r="G3063" s="10" t="n">
        <v>4253</v>
      </c>
      <c r="H3063" s="10" t="n">
        <v>3101</v>
      </c>
      <c r="I3063" s="10" t="n">
        <v>25</v>
      </c>
      <c r="J3063" s="10" t="n">
        <v>0</v>
      </c>
      <c r="K3063" s="10" t="s">
        <v>20</v>
      </c>
      <c r="L3063" s="11" t="n">
        <v>39917.0836921296</v>
      </c>
      <c r="M3063" s="12"/>
      <c r="N3063" s="12" t="s">
        <v>7550</v>
      </c>
      <c r="O3063" s="9" t="str">
        <f aca="false">HYPERLINK("https://pbs.twimg.com/profile_images/786476648728174592/j2PKbVoo_normal.jpg","View")</f>
        <v>View</v>
      </c>
      <c r="P3063" s="10"/>
    </row>
    <row r="3064" customFormat="false" ht="15.75" hidden="false" customHeight="false" outlineLevel="0" collapsed="false">
      <c r="A3064" s="6" t="n">
        <v>43030.3493518519</v>
      </c>
      <c r="B3064" s="7" t="str">
        <f aca="false">HYPERLINK("https://twitter.com/Mr_AlVil","@Mr_AlVil")</f>
        <v>@Mr_AlVil</v>
      </c>
      <c r="C3064" s="8" t="s">
        <v>392</v>
      </c>
      <c r="D3064" s="8" t="s">
        <v>7551</v>
      </c>
      <c r="E3064" s="9" t="str">
        <f aca="false">HYPERLINK("https://twitter.com/Mr_AlVil/status/922121132211306496","922121132211306496")</f>
        <v>922121132211306496</v>
      </c>
      <c r="F3064" s="10" t="s">
        <v>60</v>
      </c>
      <c r="G3064" s="10" t="n">
        <v>353</v>
      </c>
      <c r="H3064" s="10" t="n">
        <v>51</v>
      </c>
      <c r="I3064" s="10" t="n">
        <v>0</v>
      </c>
      <c r="J3064" s="10" t="n">
        <v>0</v>
      </c>
      <c r="K3064" s="10" t="s">
        <v>20</v>
      </c>
      <c r="L3064" s="11" t="n">
        <v>40205.5345486111</v>
      </c>
      <c r="M3064" s="12" t="s">
        <v>394</v>
      </c>
      <c r="N3064" s="12" t="s">
        <v>395</v>
      </c>
      <c r="O3064" s="9" t="str">
        <f aca="false">HYPERLINK("https://pbs.twimg.com/profile_images/857577668967108609/KAXMKfpy_normal.jpg","View")</f>
        <v>View</v>
      </c>
      <c r="P3064" s="10"/>
    </row>
    <row r="3065" customFormat="false" ht="15.75" hidden="false" customHeight="false" outlineLevel="0" collapsed="false">
      <c r="A3065" s="6" t="n">
        <v>43030.3493634259</v>
      </c>
      <c r="B3065" s="7" t="str">
        <f aca="false">HYPERLINK("https://twitter.com/koleteiMartey","@koleteiMartey")</f>
        <v>@koleteiMartey</v>
      </c>
      <c r="C3065" s="8" t="s">
        <v>7552</v>
      </c>
      <c r="D3065" s="8" t="s">
        <v>7553</v>
      </c>
      <c r="E3065" s="9" t="str">
        <f aca="false">HYPERLINK("https://twitter.com/koleteiMartey/status/922121137340870656","922121137340870656")</f>
        <v>922121137340870656</v>
      </c>
      <c r="F3065" s="9" t="s">
        <v>1147</v>
      </c>
      <c r="G3065" s="10" t="n">
        <v>93</v>
      </c>
      <c r="H3065" s="10" t="n">
        <v>24</v>
      </c>
      <c r="I3065" s="10" t="n">
        <v>0</v>
      </c>
      <c r="J3065" s="10" t="n">
        <v>0</v>
      </c>
      <c r="K3065" s="10" t="s">
        <v>20</v>
      </c>
      <c r="L3065" s="11" t="n">
        <v>42696.3082523148</v>
      </c>
      <c r="M3065" s="12" t="s">
        <v>5045</v>
      </c>
      <c r="N3065" s="12" t="s">
        <v>7554</v>
      </c>
      <c r="O3065" s="9" t="str">
        <f aca="false">HYPERLINK("https://pbs.twimg.com/profile_images/801087414777344002/IrGSSpUJ_normal.jpg","View")</f>
        <v>View</v>
      </c>
      <c r="P3065" s="10"/>
    </row>
    <row r="3066" customFormat="false" ht="15.75" hidden="false" customHeight="false" outlineLevel="0" collapsed="false">
      <c r="A3066" s="6" t="n">
        <v>43030.3498726852</v>
      </c>
      <c r="B3066" s="7" t="str">
        <f aca="false">HYPERLINK("https://twitter.com/AllCoder","@AllCoder")</f>
        <v>@AllCoder</v>
      </c>
      <c r="C3066" s="8" t="s">
        <v>7555</v>
      </c>
      <c r="D3066" s="8" t="s">
        <v>7556</v>
      </c>
      <c r="E3066" s="9" t="str">
        <f aca="false">HYPERLINK("https://twitter.com/AllCoder/status/922121320418209792","922121320418209792")</f>
        <v>922121320418209792</v>
      </c>
      <c r="F3066" s="10" t="s">
        <v>60</v>
      </c>
      <c r="G3066" s="10" t="n">
        <v>100</v>
      </c>
      <c r="H3066" s="10" t="n">
        <v>8</v>
      </c>
      <c r="I3066" s="10" t="n">
        <v>0</v>
      </c>
      <c r="J3066" s="10" t="n">
        <v>0</v>
      </c>
      <c r="K3066" s="10" t="s">
        <v>20</v>
      </c>
      <c r="L3066" s="11" t="n">
        <v>41507.0822453704</v>
      </c>
      <c r="M3066" s="12"/>
      <c r="N3066" s="12"/>
      <c r="O3066" s="9" t="str">
        <f aca="false">HYPERLINK("https://pbs.twimg.com/profile_images/378800000333081154/4ad4e2cbda0995843038f68e4ca5ef3c_normal.jpeg","View")</f>
        <v>View</v>
      </c>
      <c r="P3066" s="10"/>
    </row>
    <row r="3067" customFormat="false" ht="15.75" hidden="false" customHeight="false" outlineLevel="0" collapsed="false">
      <c r="A3067" s="6" t="n">
        <v>43030.3500925926</v>
      </c>
      <c r="B3067" s="7" t="str">
        <f aca="false">HYPERLINK("https://twitter.com/amirfareedrahim","@amirfareedrahim")</f>
        <v>@amirfareedrahim</v>
      </c>
      <c r="C3067" s="8" t="s">
        <v>7557</v>
      </c>
      <c r="D3067" s="8" t="s">
        <v>7515</v>
      </c>
      <c r="E3067" s="9" t="str">
        <f aca="false">HYPERLINK("https://twitter.com/amirfareedrahim/status/922121398406934528","922121398406934528")</f>
        <v>922121398406934528</v>
      </c>
      <c r="F3067" s="10" t="s">
        <v>25</v>
      </c>
      <c r="G3067" s="10" t="n">
        <v>1577</v>
      </c>
      <c r="H3067" s="10" t="n">
        <v>774</v>
      </c>
      <c r="I3067" s="10" t="n">
        <v>25</v>
      </c>
      <c r="J3067" s="10" t="n">
        <v>0</v>
      </c>
      <c r="K3067" s="10" t="s">
        <v>20</v>
      </c>
      <c r="L3067" s="11" t="n">
        <v>39916.620474537</v>
      </c>
      <c r="M3067" s="12" t="s">
        <v>7558</v>
      </c>
      <c r="N3067" s="12" t="s">
        <v>7559</v>
      </c>
      <c r="O3067" s="9" t="str">
        <f aca="false">HYPERLINK("https://pbs.twimg.com/profile_images/780560031204843520/CWJ3eczi_normal.jpg","View")</f>
        <v>View</v>
      </c>
      <c r="P3067" s="10"/>
    </row>
    <row r="3068" customFormat="false" ht="15.75" hidden="false" customHeight="false" outlineLevel="0" collapsed="false">
      <c r="A3068" s="6" t="n">
        <v>43030.350462963</v>
      </c>
      <c r="B3068" s="7" t="str">
        <f aca="false">HYPERLINK("https://twitter.com/sunilpattu","@sunilpattu")</f>
        <v>@sunilpattu</v>
      </c>
      <c r="C3068" s="8" t="s">
        <v>7560</v>
      </c>
      <c r="D3068" s="8" t="s">
        <v>7350</v>
      </c>
      <c r="E3068" s="9" t="str">
        <f aca="false">HYPERLINK("https://twitter.com/sunilpattu/status/922121532058435584","922121532058435584")</f>
        <v>922121532058435584</v>
      </c>
      <c r="F3068" s="10" t="s">
        <v>25</v>
      </c>
      <c r="G3068" s="10" t="n">
        <v>147</v>
      </c>
      <c r="H3068" s="10" t="n">
        <v>338</v>
      </c>
      <c r="I3068" s="10" t="n">
        <v>62</v>
      </c>
      <c r="J3068" s="10" t="n">
        <v>0</v>
      </c>
      <c r="K3068" s="10" t="s">
        <v>20</v>
      </c>
      <c r="L3068" s="11" t="n">
        <v>40572.4490393519</v>
      </c>
      <c r="M3068" s="12" t="s">
        <v>7561</v>
      </c>
      <c r="N3068" s="12" t="s">
        <v>7562</v>
      </c>
      <c r="O3068" s="9" t="str">
        <f aca="false">HYPERLINK("https://pbs.twimg.com/profile_images/909022081869791232/8h9hgExo_normal.jpg","View")</f>
        <v>View</v>
      </c>
      <c r="P3068" s="10"/>
    </row>
    <row r="3069" customFormat="false" ht="15.75" hidden="false" customHeight="false" outlineLevel="0" collapsed="false">
      <c r="A3069" s="6" t="n">
        <v>43030.3504861111</v>
      </c>
      <c r="B3069" s="7" t="str">
        <f aca="false">HYPERLINK("https://twitter.com/ggagne","@ggagne")</f>
        <v>@ggagne</v>
      </c>
      <c r="C3069" s="8" t="s">
        <v>7563</v>
      </c>
      <c r="D3069" s="8" t="s">
        <v>7515</v>
      </c>
      <c r="E3069" s="9" t="str">
        <f aca="false">HYPERLINK("https://twitter.com/ggagne/status/922121540115759104","922121540115759104")</f>
        <v>922121540115759104</v>
      </c>
      <c r="F3069" s="10" t="s">
        <v>25</v>
      </c>
      <c r="G3069" s="10" t="n">
        <v>520</v>
      </c>
      <c r="H3069" s="10" t="n">
        <v>1632</v>
      </c>
      <c r="I3069" s="10" t="n">
        <v>25</v>
      </c>
      <c r="J3069" s="10" t="n">
        <v>0</v>
      </c>
      <c r="K3069" s="10" t="s">
        <v>20</v>
      </c>
      <c r="L3069" s="11" t="n">
        <v>39739.339525463</v>
      </c>
      <c r="M3069" s="12" t="s">
        <v>7564</v>
      </c>
      <c r="N3069" s="12" t="s">
        <v>7565</v>
      </c>
      <c r="O3069" s="9" t="str">
        <f aca="false">HYPERLINK("https://pbs.twimg.com/profile_images/735441681257005056/GtlYzSVu_normal.jpg","View")</f>
        <v>View</v>
      </c>
      <c r="P3069" s="10"/>
    </row>
    <row r="3070" customFormat="false" ht="15.75" hidden="false" customHeight="false" outlineLevel="0" collapsed="false">
      <c r="A3070" s="6" t="n">
        <v>43030.3507291667</v>
      </c>
      <c r="B3070" s="7" t="str">
        <f aca="false">HYPERLINK("https://twitter.com/GooglePixel_","@GooglePixel_")</f>
        <v>@GooglePixel_</v>
      </c>
      <c r="C3070" s="8" t="s">
        <v>1383</v>
      </c>
      <c r="D3070" s="8" t="s">
        <v>7566</v>
      </c>
      <c r="E3070" s="9" t="str">
        <f aca="false">HYPERLINK("https://twitter.com/GooglePixel_/status/922121630964436992","922121630964436992")</f>
        <v>922121630964436992</v>
      </c>
      <c r="F3070" s="10" t="s">
        <v>60</v>
      </c>
      <c r="G3070" s="10" t="n">
        <v>124</v>
      </c>
      <c r="H3070" s="10" t="n">
        <v>61</v>
      </c>
      <c r="I3070" s="10" t="n">
        <v>0</v>
      </c>
      <c r="J3070" s="10" t="n">
        <v>0</v>
      </c>
      <c r="K3070" s="10" t="s">
        <v>20</v>
      </c>
      <c r="L3070" s="11" t="n">
        <v>42336.194537037</v>
      </c>
      <c r="M3070" s="12"/>
      <c r="N3070" s="12" t="s">
        <v>1385</v>
      </c>
      <c r="O3070" s="9" t="str">
        <f aca="false">HYPERLINK("https://pbs.twimg.com/profile_images/801493045191376896/MDIIxyrv_normal.jpg","View")</f>
        <v>View</v>
      </c>
      <c r="P3070" s="10"/>
    </row>
    <row r="3071" customFormat="false" ht="15.75" hidden="false" customHeight="false" outlineLevel="0" collapsed="false">
      <c r="A3071" s="6" t="n">
        <v>43030.3509027778</v>
      </c>
      <c r="B3071" s="7" t="str">
        <f aca="false">HYPERLINK("https://twitter.com/asthana_sunaina","@asthana_sunaina")</f>
        <v>@asthana_sunaina</v>
      </c>
      <c r="C3071" s="8" t="s">
        <v>7567</v>
      </c>
      <c r="D3071" s="8" t="s">
        <v>7350</v>
      </c>
      <c r="E3071" s="9" t="str">
        <f aca="false">HYPERLINK("https://twitter.com/asthana_sunaina/status/922121691425259521","922121691425259521")</f>
        <v>922121691425259521</v>
      </c>
      <c r="F3071" s="10" t="s">
        <v>51</v>
      </c>
      <c r="G3071" s="10" t="n">
        <v>214</v>
      </c>
      <c r="H3071" s="10" t="n">
        <v>133</v>
      </c>
      <c r="I3071" s="10" t="n">
        <v>62</v>
      </c>
      <c r="J3071" s="10" t="n">
        <v>0</v>
      </c>
      <c r="K3071" s="10" t="s">
        <v>20</v>
      </c>
      <c r="L3071" s="11" t="n">
        <v>42687.0240162037</v>
      </c>
      <c r="M3071" s="12"/>
      <c r="N3071" s="12" t="s">
        <v>7568</v>
      </c>
      <c r="O3071" s="9" t="str">
        <f aca="false">HYPERLINK("https://pbs.twimg.com/profile_images/921389681723326464/3jfSl7Px_normal.jpg","View")</f>
        <v>View</v>
      </c>
      <c r="P3071" s="10"/>
    </row>
    <row r="3072" customFormat="false" ht="15.75" hidden="false" customHeight="false" outlineLevel="0" collapsed="false">
      <c r="A3072" s="6" t="n">
        <v>43030.351087963</v>
      </c>
      <c r="B3072" s="7" t="str">
        <f aca="false">HYPERLINK("https://twitter.com/ArunkrHt","@ArunkrHt")</f>
        <v>@ArunkrHt</v>
      </c>
      <c r="C3072" s="8" t="s">
        <v>7569</v>
      </c>
      <c r="D3072" s="8" t="s">
        <v>6558</v>
      </c>
      <c r="E3072" s="9" t="str">
        <f aca="false">HYPERLINK("https://twitter.com/ArunkrHt/status/922121760262070274","922121760262070274")</f>
        <v>922121760262070274</v>
      </c>
      <c r="F3072" s="10" t="s">
        <v>51</v>
      </c>
      <c r="G3072" s="10" t="n">
        <v>1408</v>
      </c>
      <c r="H3072" s="10" t="n">
        <v>211</v>
      </c>
      <c r="I3072" s="10" t="n">
        <v>65</v>
      </c>
      <c r="J3072" s="10" t="n">
        <v>0</v>
      </c>
      <c r="K3072" s="10" t="s">
        <v>20</v>
      </c>
      <c r="L3072" s="11" t="n">
        <v>41574.3138773148</v>
      </c>
      <c r="M3072" s="12" t="s">
        <v>7570</v>
      </c>
      <c r="N3072" s="12" t="s">
        <v>7571</v>
      </c>
      <c r="O3072" s="9" t="str">
        <f aca="false">HYPERLINK("https://pbs.twimg.com/profile_images/857649469998891008/RhIrx-ob_normal.jpg","View")</f>
        <v>View</v>
      </c>
      <c r="P3072" s="10"/>
    </row>
    <row r="3073" customFormat="false" ht="15.75" hidden="false" customHeight="false" outlineLevel="0" collapsed="false">
      <c r="A3073" s="6" t="n">
        <v>43030.3514467593</v>
      </c>
      <c r="B3073" s="7" t="str">
        <f aca="false">HYPERLINK("https://twitter.com/MH_Photo808","@MH_Photo808")</f>
        <v>@MH_Photo808</v>
      </c>
      <c r="C3073" s="8" t="s">
        <v>7572</v>
      </c>
      <c r="D3073" s="8" t="s">
        <v>7515</v>
      </c>
      <c r="E3073" s="9" t="str">
        <f aca="false">HYPERLINK("https://twitter.com/MH_Photo808/status/922121889681510401","922121889681510401")</f>
        <v>922121889681510401</v>
      </c>
      <c r="F3073" s="10" t="s">
        <v>177</v>
      </c>
      <c r="G3073" s="10" t="n">
        <v>305</v>
      </c>
      <c r="H3073" s="10" t="n">
        <v>2104</v>
      </c>
      <c r="I3073" s="10" t="n">
        <v>25</v>
      </c>
      <c r="J3073" s="10" t="n">
        <v>0</v>
      </c>
      <c r="K3073" s="10" t="s">
        <v>20</v>
      </c>
      <c r="L3073" s="11" t="n">
        <v>42530.61625</v>
      </c>
      <c r="M3073" s="12" t="s">
        <v>7573</v>
      </c>
      <c r="N3073" s="12"/>
      <c r="O3073" s="9" t="str">
        <f aca="false">HYPERLINK("https://pbs.twimg.com/profile_images/893192302524420096/cQfwOA36_normal.jpg","View")</f>
        <v>View</v>
      </c>
      <c r="P3073" s="10"/>
    </row>
    <row r="3074" customFormat="false" ht="15.75" hidden="false" customHeight="false" outlineLevel="0" collapsed="false">
      <c r="A3074" s="6" t="n">
        <v>43030.3516898148</v>
      </c>
      <c r="B3074" s="7" t="str">
        <f aca="false">HYPERLINK("https://twitter.com/Ketul1Indian","@Ketul1Indian")</f>
        <v>@Ketul1Indian</v>
      </c>
      <c r="C3074" s="8" t="s">
        <v>7574</v>
      </c>
      <c r="D3074" s="8" t="s">
        <v>7575</v>
      </c>
      <c r="E3074" s="9" t="str">
        <f aca="false">HYPERLINK("https://twitter.com/Ketul1Indian/status/922121978487521281","922121978487521281")</f>
        <v>922121978487521281</v>
      </c>
      <c r="F3074" s="10" t="s">
        <v>25</v>
      </c>
      <c r="G3074" s="10" t="n">
        <v>433</v>
      </c>
      <c r="H3074" s="10" t="n">
        <v>766</v>
      </c>
      <c r="I3074" s="10" t="n">
        <v>2</v>
      </c>
      <c r="J3074" s="10" t="n">
        <v>0</v>
      </c>
      <c r="K3074" s="10" t="s">
        <v>20</v>
      </c>
      <c r="L3074" s="11" t="n">
        <v>42572.2850347222</v>
      </c>
      <c r="M3074" s="12"/>
      <c r="N3074" s="12" t="s">
        <v>7576</v>
      </c>
      <c r="O3074" s="9" t="str">
        <f aca="false">HYPERLINK("https://pbs.twimg.com/profile_images/864159255225610240/_A7uwK2n_normal.jpg","View")</f>
        <v>View</v>
      </c>
      <c r="P3074" s="10"/>
    </row>
    <row r="3075" customFormat="false" ht="15.75" hidden="false" customHeight="false" outlineLevel="0" collapsed="false">
      <c r="A3075" s="6" t="n">
        <v>43030.3517476852</v>
      </c>
      <c r="B3075" s="7" t="str">
        <f aca="false">HYPERLINK("https://twitter.com/arvind_agarwal","@arvind_agarwal")</f>
        <v>@arvind_agarwal</v>
      </c>
      <c r="C3075" s="8" t="s">
        <v>7577</v>
      </c>
      <c r="D3075" s="8" t="s">
        <v>6558</v>
      </c>
      <c r="E3075" s="9" t="str">
        <f aca="false">HYPERLINK("https://twitter.com/arvind_agarwal/status/922122000234983425","922122000234983425")</f>
        <v>922122000234983425</v>
      </c>
      <c r="F3075" s="10" t="s">
        <v>25</v>
      </c>
      <c r="G3075" s="10" t="n">
        <v>599</v>
      </c>
      <c r="H3075" s="10" t="n">
        <v>109</v>
      </c>
      <c r="I3075" s="10" t="n">
        <v>65</v>
      </c>
      <c r="J3075" s="10" t="n">
        <v>0</v>
      </c>
      <c r="K3075" s="10" t="s">
        <v>20</v>
      </c>
      <c r="L3075" s="11" t="n">
        <v>39965.5215740741</v>
      </c>
      <c r="M3075" s="12" t="s">
        <v>7578</v>
      </c>
      <c r="N3075" s="12" t="s">
        <v>7579</v>
      </c>
      <c r="O3075" s="9" t="str">
        <f aca="false">HYPERLINK("https://pbs.twimg.com/profile_images/919906655340412929/1VkWzgtf_normal.jpg","View")</f>
        <v>View</v>
      </c>
      <c r="P3075" s="10"/>
    </row>
    <row r="3076" customFormat="false" ht="15.75" hidden="false" customHeight="false" outlineLevel="0" collapsed="false">
      <c r="A3076" s="6" t="n">
        <v>43030.3518402778</v>
      </c>
      <c r="B3076" s="7" t="str">
        <f aca="false">HYPERLINK("https://twitter.com/justinmccurry","@justinmccurry")</f>
        <v>@justinmccurry</v>
      </c>
      <c r="C3076" s="8" t="s">
        <v>3599</v>
      </c>
      <c r="D3076" s="8" t="s">
        <v>7580</v>
      </c>
      <c r="E3076" s="9" t="str">
        <f aca="false">HYPERLINK("https://twitter.com/justinmccurry/status/922122031281291267","922122031281291267")</f>
        <v>922122031281291267</v>
      </c>
      <c r="F3076" s="10" t="s">
        <v>39</v>
      </c>
      <c r="G3076" s="10" t="n">
        <v>11029</v>
      </c>
      <c r="H3076" s="10" t="n">
        <v>3262</v>
      </c>
      <c r="I3076" s="10" t="n">
        <v>8</v>
      </c>
      <c r="J3076" s="10" t="n">
        <v>4</v>
      </c>
      <c r="K3076" s="10" t="s">
        <v>20</v>
      </c>
      <c r="L3076" s="11" t="n">
        <v>39977.7712384259</v>
      </c>
      <c r="M3076" s="12" t="s">
        <v>1473</v>
      </c>
      <c r="N3076" s="12" t="s">
        <v>3601</v>
      </c>
      <c r="O3076" s="9" t="str">
        <f aca="false">HYPERLINK("https://pbs.twimg.com/profile_images/794554325376778240/yvCLKhro_normal.jpg","View")</f>
        <v>View</v>
      </c>
      <c r="P3076" s="10"/>
    </row>
    <row r="3077" customFormat="false" ht="15.75" hidden="false" customHeight="false" outlineLevel="0" collapsed="false">
      <c r="A3077" s="6" t="n">
        <v>43030.3525115741</v>
      </c>
      <c r="B3077" s="7" t="str">
        <f aca="false">HYPERLINK("https://twitter.com/press_vj","@press_vj")</f>
        <v>@press_vj</v>
      </c>
      <c r="C3077" s="8" t="s">
        <v>7581</v>
      </c>
      <c r="D3077" s="8" t="s">
        <v>6558</v>
      </c>
      <c r="E3077" s="9" t="str">
        <f aca="false">HYPERLINK("https://twitter.com/press_vj/status/922122275893149696","922122275893149696")</f>
        <v>922122275893149696</v>
      </c>
      <c r="F3077" s="10" t="s">
        <v>25</v>
      </c>
      <c r="G3077" s="10" t="n">
        <v>437</v>
      </c>
      <c r="H3077" s="10" t="n">
        <v>576</v>
      </c>
      <c r="I3077" s="10" t="n">
        <v>65</v>
      </c>
      <c r="J3077" s="10" t="n">
        <v>0</v>
      </c>
      <c r="K3077" s="10" t="s">
        <v>20</v>
      </c>
      <c r="L3077" s="11" t="n">
        <v>41680.8575</v>
      </c>
      <c r="M3077" s="12"/>
      <c r="N3077" s="12" t="s">
        <v>7582</v>
      </c>
      <c r="O3077" s="9" t="str">
        <f aca="false">HYPERLINK("https://pbs.twimg.com/profile_images/434935444078219264/5oxgP3P0_normal.jpeg","View")</f>
        <v>View</v>
      </c>
      <c r="P3077" s="10"/>
    </row>
    <row r="3078" customFormat="false" ht="15.75" hidden="false" customHeight="false" outlineLevel="0" collapsed="false">
      <c r="A3078" s="6" t="n">
        <v>43030.3527199074</v>
      </c>
      <c r="B3078" s="7" t="str">
        <f aca="false">HYPERLINK("https://twitter.com/Lawsonbulk","@Lawsonbulk")</f>
        <v>@Lawsonbulk</v>
      </c>
      <c r="C3078" s="8" t="s">
        <v>1181</v>
      </c>
      <c r="D3078" s="8" t="s">
        <v>7583</v>
      </c>
      <c r="E3078" s="9" t="str">
        <f aca="false">HYPERLINK("https://twitter.com/Lawsonbulk/status/922122351516495874","922122351516495874")</f>
        <v>922122351516495874</v>
      </c>
      <c r="F3078" s="10" t="s">
        <v>39</v>
      </c>
      <c r="G3078" s="10" t="n">
        <v>11661</v>
      </c>
      <c r="H3078" s="10" t="n">
        <v>8130</v>
      </c>
      <c r="I3078" s="10" t="n">
        <v>0</v>
      </c>
      <c r="J3078" s="10" t="n">
        <v>1</v>
      </c>
      <c r="K3078" s="10" t="s">
        <v>20</v>
      </c>
      <c r="L3078" s="11" t="n">
        <v>39892.7152199074</v>
      </c>
      <c r="M3078" s="12" t="s">
        <v>1183</v>
      </c>
      <c r="N3078" s="12" t="s">
        <v>1184</v>
      </c>
      <c r="O3078" s="9" t="str">
        <f aca="false">HYPERLINK("https://pbs.twimg.com/profile_images/1165717176/e2fd589b-9cda-4f29-a669-e97f5283d76d_normal.jpg","View")</f>
        <v>View</v>
      </c>
      <c r="P3078" s="10"/>
    </row>
    <row r="3079" customFormat="false" ht="15.75" hidden="false" customHeight="false" outlineLevel="0" collapsed="false">
      <c r="A3079" s="6" t="n">
        <v>43030.3528819445</v>
      </c>
      <c r="B3079" s="7" t="str">
        <f aca="false">HYPERLINK("https://twitter.com/aditya5bahl","@aditya5bahl")</f>
        <v>@aditya5bahl</v>
      </c>
      <c r="C3079" s="8" t="s">
        <v>7584</v>
      </c>
      <c r="D3079" s="8" t="s">
        <v>6558</v>
      </c>
      <c r="E3079" s="9" t="str">
        <f aca="false">HYPERLINK("https://twitter.com/aditya5bahl/status/922122410949738496","922122410949738496")</f>
        <v>922122410949738496</v>
      </c>
      <c r="F3079" s="10" t="s">
        <v>25</v>
      </c>
      <c r="G3079" s="10" t="n">
        <v>951</v>
      </c>
      <c r="H3079" s="10" t="n">
        <v>2073</v>
      </c>
      <c r="I3079" s="10" t="n">
        <v>65</v>
      </c>
      <c r="J3079" s="10" t="n">
        <v>0</v>
      </c>
      <c r="K3079" s="10" t="s">
        <v>20</v>
      </c>
      <c r="L3079" s="11" t="n">
        <v>40669.4562615741</v>
      </c>
      <c r="M3079" s="12" t="s">
        <v>7585</v>
      </c>
      <c r="N3079" s="12" t="s">
        <v>7586</v>
      </c>
      <c r="O3079" s="9" t="str">
        <f aca="false">HYPERLINK("https://pbs.twimg.com/profile_images/567576624074215425/N4fsbc_p_normal.jpeg","View")</f>
        <v>View</v>
      </c>
      <c r="P3079" s="10"/>
    </row>
    <row r="3080" customFormat="false" ht="15.75" hidden="false" customHeight="false" outlineLevel="0" collapsed="false">
      <c r="A3080" s="6" t="n">
        <v>43030.353125</v>
      </c>
      <c r="B3080" s="7" t="str">
        <f aca="false">HYPERLINK("https://twitter.com/venkatusharma","@venkatusharma")</f>
        <v>@venkatusharma</v>
      </c>
      <c r="C3080" s="8" t="s">
        <v>7587</v>
      </c>
      <c r="D3080" s="8" t="s">
        <v>7350</v>
      </c>
      <c r="E3080" s="9" t="str">
        <f aca="false">HYPERLINK("https://twitter.com/venkatusharma/status/922122499772399616","922122499772399616")</f>
        <v>922122499772399616</v>
      </c>
      <c r="F3080" s="10" t="s">
        <v>25</v>
      </c>
      <c r="G3080" s="10" t="n">
        <v>1145</v>
      </c>
      <c r="H3080" s="10" t="n">
        <v>496</v>
      </c>
      <c r="I3080" s="10" t="n">
        <v>62</v>
      </c>
      <c r="J3080" s="10" t="n">
        <v>0</v>
      </c>
      <c r="K3080" s="10" t="s">
        <v>20</v>
      </c>
      <c r="L3080" s="11" t="n">
        <v>40666.289537037</v>
      </c>
      <c r="M3080" s="12" t="s">
        <v>7588</v>
      </c>
      <c r="N3080" s="12" t="s">
        <v>7589</v>
      </c>
      <c r="O3080" s="9" t="str">
        <f aca="false">HYPERLINK("https://pbs.twimg.com/profile_images/905291400480251904/q3rWFHw4_normal.jpg","View")</f>
        <v>View</v>
      </c>
      <c r="P3080" s="10"/>
    </row>
    <row r="3081" customFormat="false" ht="15.75" hidden="false" customHeight="false" outlineLevel="0" collapsed="false">
      <c r="A3081" s="6" t="n">
        <v>43030.3531828704</v>
      </c>
      <c r="B3081" s="7" t="str">
        <f aca="false">HYPERLINK("https://twitter.com/Ketul1Indian","@Ketul1Indian")</f>
        <v>@Ketul1Indian</v>
      </c>
      <c r="C3081" s="8" t="s">
        <v>7574</v>
      </c>
      <c r="D3081" s="8" t="s">
        <v>7590</v>
      </c>
      <c r="E3081" s="9" t="str">
        <f aca="false">HYPERLINK("https://twitter.com/Ketul1Indian/status/922122517564637185","922122517564637185")</f>
        <v>922122517564637185</v>
      </c>
      <c r="F3081" s="10" t="s">
        <v>25</v>
      </c>
      <c r="G3081" s="10" t="n">
        <v>433</v>
      </c>
      <c r="H3081" s="10" t="n">
        <v>766</v>
      </c>
      <c r="I3081" s="10" t="n">
        <v>2</v>
      </c>
      <c r="J3081" s="10" t="n">
        <v>0</v>
      </c>
      <c r="K3081" s="10" t="s">
        <v>20</v>
      </c>
      <c r="L3081" s="11" t="n">
        <v>42572.2850347222</v>
      </c>
      <c r="M3081" s="12"/>
      <c r="N3081" s="12" t="s">
        <v>7576</v>
      </c>
      <c r="O3081" s="9" t="str">
        <f aca="false">HYPERLINK("https://pbs.twimg.com/profile_images/864159255225610240/_A7uwK2n_normal.jpg","View")</f>
        <v>View</v>
      </c>
      <c r="P3081" s="10"/>
    </row>
    <row r="3082" customFormat="false" ht="15.75" hidden="false" customHeight="false" outlineLevel="0" collapsed="false">
      <c r="A3082" s="6" t="n">
        <v>43030.3533449074</v>
      </c>
      <c r="B3082" s="7" t="str">
        <f aca="false">HYPERLINK("https://twitter.com/akir8yana1","@akir8yana1")</f>
        <v>@akir8yana1</v>
      </c>
      <c r="C3082" s="8" t="s">
        <v>7591</v>
      </c>
      <c r="D3082" s="8" t="s">
        <v>7515</v>
      </c>
      <c r="E3082" s="9" t="str">
        <f aca="false">HYPERLINK("https://twitter.com/akir8yana1/status/922122576834342912","922122576834342912")</f>
        <v>922122576834342912</v>
      </c>
      <c r="F3082" s="10" t="s">
        <v>25</v>
      </c>
      <c r="G3082" s="10" t="n">
        <v>440</v>
      </c>
      <c r="H3082" s="10" t="n">
        <v>1782</v>
      </c>
      <c r="I3082" s="10" t="n">
        <v>25</v>
      </c>
      <c r="J3082" s="10" t="n">
        <v>0</v>
      </c>
      <c r="K3082" s="10" t="s">
        <v>20</v>
      </c>
      <c r="L3082" s="11" t="n">
        <v>41335.0458217593</v>
      </c>
      <c r="M3082" s="12" t="s">
        <v>7592</v>
      </c>
      <c r="N3082" s="12" t="s">
        <v>7593</v>
      </c>
      <c r="O3082" s="9" t="str">
        <f aca="false">HYPERLINK("https://pbs.twimg.com/profile_images/851724592125169664/2wjtvi0P_normal.jpg","View")</f>
        <v>View</v>
      </c>
      <c r="P3082" s="10"/>
    </row>
    <row r="3083" customFormat="false" ht="15.75" hidden="false" customHeight="false" outlineLevel="0" collapsed="false">
      <c r="A3083" s="6" t="n">
        <v>43030.3533680556</v>
      </c>
      <c r="B3083" s="7" t="str">
        <f aca="false">HYPERLINK("https://twitter.com/revolution_fr","@revolution_fr")</f>
        <v>@revolution_fr</v>
      </c>
      <c r="C3083" s="8" t="s">
        <v>1579</v>
      </c>
      <c r="D3083" s="8" t="s">
        <v>7515</v>
      </c>
      <c r="E3083" s="9" t="str">
        <f aca="false">HYPERLINK("https://twitter.com/revolution_fr/status/922122586284228608","922122586284228608")</f>
        <v>922122586284228608</v>
      </c>
      <c r="F3083" s="10" t="s">
        <v>98</v>
      </c>
      <c r="G3083" s="10" t="n">
        <v>2663</v>
      </c>
      <c r="H3083" s="10" t="n">
        <v>3625</v>
      </c>
      <c r="I3083" s="10" t="n">
        <v>25</v>
      </c>
      <c r="J3083" s="10" t="n">
        <v>0</v>
      </c>
      <c r="K3083" s="10" t="s">
        <v>20</v>
      </c>
      <c r="L3083" s="11" t="n">
        <v>42400.3124305556</v>
      </c>
      <c r="M3083" s="12" t="s">
        <v>1580</v>
      </c>
      <c r="N3083" s="12" t="s">
        <v>1581</v>
      </c>
      <c r="O3083" s="9" t="str">
        <f aca="false">HYPERLINK("https://pbs.twimg.com/profile_images/912005330749575173/gmtBFZtv_normal.jpg","View")</f>
        <v>View</v>
      </c>
      <c r="P3083" s="10"/>
    </row>
    <row r="3084" customFormat="false" ht="15.75" hidden="false" customHeight="false" outlineLevel="0" collapsed="false">
      <c r="A3084" s="6" t="n">
        <v>43030.3534143518</v>
      </c>
      <c r="B3084" s="7" t="str">
        <f aca="false">HYPERLINK("https://twitter.com/Shashank251","@Shashank251")</f>
        <v>@Shashank251</v>
      </c>
      <c r="C3084" s="8" t="s">
        <v>7594</v>
      </c>
      <c r="D3084" s="8" t="s">
        <v>7595</v>
      </c>
      <c r="E3084" s="9" t="str">
        <f aca="false">HYPERLINK("https://twitter.com/Shashank251/status/922122603019558913","922122603019558913")</f>
        <v>922122603019558913</v>
      </c>
      <c r="F3084" s="10" t="s">
        <v>39</v>
      </c>
      <c r="G3084" s="10" t="n">
        <v>99</v>
      </c>
      <c r="H3084" s="10" t="n">
        <v>121</v>
      </c>
      <c r="I3084" s="10" t="n">
        <v>0</v>
      </c>
      <c r="J3084" s="10" t="n">
        <v>0</v>
      </c>
      <c r="K3084" s="10" t="s">
        <v>20</v>
      </c>
      <c r="L3084" s="11" t="n">
        <v>40701.4140625</v>
      </c>
      <c r="M3084" s="12"/>
      <c r="N3084" s="12"/>
      <c r="O3084" s="9" t="str">
        <f aca="false">HYPERLINK("https://pbs.twimg.com/profile_images/873472587610824704/6gMC5QPl_normal.jpg","View")</f>
        <v>View</v>
      </c>
      <c r="P3084" s="10"/>
    </row>
    <row r="3085" customFormat="false" ht="15.75" hidden="false" customHeight="false" outlineLevel="0" collapsed="false">
      <c r="A3085" s="6" t="n">
        <v>43030.35375</v>
      </c>
      <c r="B3085" s="7" t="str">
        <f aca="false">HYPERLINK("https://twitter.com/Cancersucks6486","@Cancersucks6486")</f>
        <v>@Cancersucks6486</v>
      </c>
      <c r="C3085" s="8" t="s">
        <v>7596</v>
      </c>
      <c r="D3085" s="8" t="s">
        <v>7597</v>
      </c>
      <c r="E3085" s="9" t="str">
        <f aca="false">HYPERLINK("https://twitter.com/Cancersucks6486/status/922122725858168834","922122725858168834")</f>
        <v>922122725858168834</v>
      </c>
      <c r="F3085" s="10" t="s">
        <v>39</v>
      </c>
      <c r="G3085" s="10" t="n">
        <v>215</v>
      </c>
      <c r="H3085" s="10" t="n">
        <v>1013</v>
      </c>
      <c r="I3085" s="10" t="n">
        <v>0</v>
      </c>
      <c r="J3085" s="10" t="n">
        <v>0</v>
      </c>
      <c r="K3085" s="10" t="s">
        <v>20</v>
      </c>
      <c r="L3085" s="11" t="n">
        <v>41960.5119097222</v>
      </c>
      <c r="M3085" s="12"/>
      <c r="N3085" s="12"/>
      <c r="O3085" s="9" t="str">
        <f aca="false">HYPERLINK("https://pbs.twimg.com/profile_images/540328754585669633/2pnRbYiU_normal.jpeg","View")</f>
        <v>View</v>
      </c>
      <c r="P3085" s="10"/>
    </row>
    <row r="3086" customFormat="false" ht="15.75" hidden="false" customHeight="false" outlineLevel="0" collapsed="false">
      <c r="A3086" s="6" t="n">
        <v>43030.3539351852</v>
      </c>
      <c r="B3086" s="7" t="str">
        <f aca="false">HYPERLINK("https://twitter.com/Mulongo77","@Mulongo77")</f>
        <v>@Mulongo77</v>
      </c>
      <c r="C3086" s="8" t="s">
        <v>7598</v>
      </c>
      <c r="D3086" s="8" t="s">
        <v>7046</v>
      </c>
      <c r="E3086" s="9" t="str">
        <f aca="false">HYPERLINK("https://twitter.com/Mulongo77/status/922122791721238528","922122791721238528")</f>
        <v>922122791721238528</v>
      </c>
      <c r="F3086" s="10" t="s">
        <v>25</v>
      </c>
      <c r="G3086" s="10" t="n">
        <v>644</v>
      </c>
      <c r="H3086" s="10" t="n">
        <v>365</v>
      </c>
      <c r="I3086" s="10" t="n">
        <v>53</v>
      </c>
      <c r="J3086" s="10" t="n">
        <v>0</v>
      </c>
      <c r="K3086" s="10" t="s">
        <v>20</v>
      </c>
      <c r="L3086" s="11" t="n">
        <v>40682.542349537</v>
      </c>
      <c r="M3086" s="12"/>
      <c r="N3086" s="12" t="s">
        <v>7599</v>
      </c>
      <c r="O3086" s="9" t="str">
        <f aca="false">HYPERLINK("https://pbs.twimg.com/profile_images/879720156494254081/A_71Vb1i_normal.jpg","View")</f>
        <v>View</v>
      </c>
      <c r="P3086" s="10"/>
    </row>
    <row r="3087" customFormat="false" ht="15.75" hidden="false" customHeight="false" outlineLevel="0" collapsed="false">
      <c r="A3087" s="6" t="n">
        <v>43030.3540972222</v>
      </c>
      <c r="B3087" s="7" t="str">
        <f aca="false">HYPERLINK("https://twitter.com/ChuckDalldorf","@ChuckDalldorf")</f>
        <v>@ChuckDalldorf</v>
      </c>
      <c r="C3087" s="8" t="s">
        <v>7600</v>
      </c>
      <c r="D3087" s="8" t="s">
        <v>7515</v>
      </c>
      <c r="E3087" s="9" t="str">
        <f aca="false">HYPERLINK("https://twitter.com/ChuckDalldorf/status/922122850902798336","922122850902798336")</f>
        <v>922122850902798336</v>
      </c>
      <c r="F3087" s="10" t="s">
        <v>39</v>
      </c>
      <c r="G3087" s="10" t="n">
        <v>3085</v>
      </c>
      <c r="H3087" s="10" t="n">
        <v>4044</v>
      </c>
      <c r="I3087" s="10" t="n">
        <v>25</v>
      </c>
      <c r="J3087" s="10" t="n">
        <v>0</v>
      </c>
      <c r="K3087" s="10" t="s">
        <v>20</v>
      </c>
      <c r="L3087" s="11" t="n">
        <v>39876.3506828704</v>
      </c>
      <c r="M3087" s="12"/>
      <c r="N3087" s="12" t="s">
        <v>7601</v>
      </c>
      <c r="O3087" s="9" t="str">
        <f aca="false">HYPERLINK("https://pbs.twimg.com/profile_images/515676694116835329/YVm9HRpJ_normal.jpeg","View")</f>
        <v>View</v>
      </c>
      <c r="P3087" s="10"/>
    </row>
    <row r="3088" customFormat="false" ht="15.75" hidden="false" customHeight="false" outlineLevel="0" collapsed="false">
      <c r="A3088" s="6" t="n">
        <v>43030.3542824074</v>
      </c>
      <c r="B3088" s="7" t="str">
        <f aca="false">HYPERLINK("https://twitter.com/_XPeaceful_","@_XPeaceful_")</f>
        <v>@_XPeaceful_</v>
      </c>
      <c r="C3088" s="8" t="s">
        <v>7602</v>
      </c>
      <c r="D3088" s="8" t="s">
        <v>6707</v>
      </c>
      <c r="E3088" s="9" t="str">
        <f aca="false">HYPERLINK("https://twitter.com/_XPeaceful_/status/922122916896141312","922122916896141312")</f>
        <v>922122916896141312</v>
      </c>
      <c r="F3088" s="10" t="s">
        <v>25</v>
      </c>
      <c r="G3088" s="10" t="n">
        <v>48</v>
      </c>
      <c r="H3088" s="10" t="n">
        <v>22</v>
      </c>
      <c r="I3088" s="10" t="n">
        <v>97</v>
      </c>
      <c r="J3088" s="10" t="n">
        <v>0</v>
      </c>
      <c r="K3088" s="10" t="s">
        <v>20</v>
      </c>
      <c r="L3088" s="11" t="n">
        <v>42959.4218402778</v>
      </c>
      <c r="M3088" s="12"/>
      <c r="N3088" s="12"/>
      <c r="O3088" s="9" t="str">
        <f aca="false">HYPERLINK("https://abs.twimg.com/sticky/default_profile_images/default_profile_normal.png","View")</f>
        <v>View</v>
      </c>
      <c r="P3088" s="10"/>
    </row>
    <row r="3089" customFormat="false" ht="15.75" hidden="false" customHeight="false" outlineLevel="0" collapsed="false">
      <c r="A3089" s="6" t="n">
        <v>43030.3544791667</v>
      </c>
      <c r="B3089" s="7" t="str">
        <f aca="false">HYPERLINK("https://twitter.com/PMunozLorite","@PMunozLorite")</f>
        <v>@PMunozLorite</v>
      </c>
      <c r="C3089" s="8" t="s">
        <v>351</v>
      </c>
      <c r="D3089" s="8" t="s">
        <v>7603</v>
      </c>
      <c r="E3089" s="9" t="str">
        <f aca="false">HYPERLINK("https://twitter.com/PMunozLorite/status/922122990187360256","922122990187360256")</f>
        <v>922122990187360256</v>
      </c>
      <c r="F3089" s="10" t="s">
        <v>110</v>
      </c>
      <c r="G3089" s="10" t="n">
        <v>2678</v>
      </c>
      <c r="H3089" s="10" t="n">
        <v>4946</v>
      </c>
      <c r="I3089" s="10" t="n">
        <v>0</v>
      </c>
      <c r="J3089" s="10" t="n">
        <v>0</v>
      </c>
      <c r="K3089" s="10" t="s">
        <v>20</v>
      </c>
      <c r="L3089" s="11" t="n">
        <v>39769.5892939815</v>
      </c>
      <c r="M3089" s="12" t="s">
        <v>353</v>
      </c>
      <c r="N3089" s="12" t="s">
        <v>354</v>
      </c>
      <c r="O3089" s="9" t="str">
        <f aca="false">HYPERLINK("https://pbs.twimg.com/profile_images/574247662901403648/LzeOfYmt_normal.jpeg","View")</f>
        <v>View</v>
      </c>
      <c r="P3089" s="10"/>
    </row>
    <row r="3090" customFormat="false" ht="15.75" hidden="false" customHeight="false" outlineLevel="0" collapsed="false">
      <c r="A3090" s="6" t="n">
        <v>43030.3547685185</v>
      </c>
      <c r="B3090" s="7" t="str">
        <f aca="false">HYPERLINK("https://twitter.com/PMunozLorite","@PMunozLorite")</f>
        <v>@PMunozLorite</v>
      </c>
      <c r="C3090" s="8" t="s">
        <v>351</v>
      </c>
      <c r="D3090" s="8" t="s">
        <v>7604</v>
      </c>
      <c r="E3090" s="9" t="str">
        <f aca="false">HYPERLINK("https://twitter.com/PMunozLorite/status/922123095581822976","922123095581822976")</f>
        <v>922123095581822976</v>
      </c>
      <c r="F3090" s="10" t="s">
        <v>110</v>
      </c>
      <c r="G3090" s="10" t="n">
        <v>2678</v>
      </c>
      <c r="H3090" s="10" t="n">
        <v>4946</v>
      </c>
      <c r="I3090" s="10" t="n">
        <v>0</v>
      </c>
      <c r="J3090" s="10" t="n">
        <v>0</v>
      </c>
      <c r="K3090" s="10" t="s">
        <v>20</v>
      </c>
      <c r="L3090" s="11" t="n">
        <v>39769.5892939815</v>
      </c>
      <c r="M3090" s="12" t="s">
        <v>353</v>
      </c>
      <c r="N3090" s="12" t="s">
        <v>354</v>
      </c>
      <c r="O3090" s="9" t="str">
        <f aca="false">HYPERLINK("https://pbs.twimg.com/profile_images/574247662901403648/LzeOfYmt_normal.jpeg","View")</f>
        <v>View</v>
      </c>
      <c r="P3090" s="10"/>
    </row>
    <row r="3091" customFormat="false" ht="15.75" hidden="false" customHeight="false" outlineLevel="0" collapsed="false">
      <c r="A3091" s="6" t="n">
        <v>43030.354837963</v>
      </c>
      <c r="B3091" s="7" t="str">
        <f aca="false">HYPERLINK("https://twitter.com/Elexonic","@Elexonic")</f>
        <v>@Elexonic</v>
      </c>
      <c r="C3091" s="8" t="s">
        <v>7605</v>
      </c>
      <c r="D3091" s="8" t="s">
        <v>7606</v>
      </c>
      <c r="E3091" s="9" t="str">
        <f aca="false">HYPERLINK("https://twitter.com/Elexonic/status/922123118705078273","922123118705078273")</f>
        <v>922123118705078273</v>
      </c>
      <c r="F3091" s="10" t="s">
        <v>110</v>
      </c>
      <c r="G3091" s="10" t="n">
        <v>13667</v>
      </c>
      <c r="H3091" s="10" t="n">
        <v>12302</v>
      </c>
      <c r="I3091" s="10" t="n">
        <v>0</v>
      </c>
      <c r="J3091" s="10" t="n">
        <v>0</v>
      </c>
      <c r="K3091" s="10" t="s">
        <v>20</v>
      </c>
      <c r="L3091" s="11" t="n">
        <v>41259.5391203704</v>
      </c>
      <c r="M3091" s="12" t="s">
        <v>230</v>
      </c>
      <c r="N3091" s="12" t="s">
        <v>7607</v>
      </c>
      <c r="O3091" s="9" t="str">
        <f aca="false">HYPERLINK("https://pbs.twimg.com/profile_images/713839917504315392/NdkLciVP_normal.jpg","View")</f>
        <v>View</v>
      </c>
      <c r="P3091" s="10"/>
    </row>
    <row r="3092" customFormat="false" ht="15.75" hidden="false" customHeight="false" outlineLevel="0" collapsed="false">
      <c r="A3092" s="6" t="n">
        <v>43030.3549189815</v>
      </c>
      <c r="B3092" s="7" t="str">
        <f aca="false">HYPERLINK("https://twitter.com/notiven","@notiven")</f>
        <v>@notiven</v>
      </c>
      <c r="C3092" s="8" t="s">
        <v>699</v>
      </c>
      <c r="D3092" s="8" t="s">
        <v>7608</v>
      </c>
      <c r="E3092" s="9" t="str">
        <f aca="false">HYPERLINK("https://twitter.com/notiven/status/922123148736323584","922123148736323584")</f>
        <v>922123148736323584</v>
      </c>
      <c r="F3092" s="10" t="s">
        <v>701</v>
      </c>
      <c r="G3092" s="10" t="n">
        <v>51347</v>
      </c>
      <c r="H3092" s="10" t="n">
        <v>193</v>
      </c>
      <c r="I3092" s="10" t="n">
        <v>0</v>
      </c>
      <c r="J3092" s="10" t="n">
        <v>0</v>
      </c>
      <c r="K3092" s="10" t="s">
        <v>20</v>
      </c>
      <c r="L3092" s="11" t="n">
        <v>39235.5805787037</v>
      </c>
      <c r="M3092" s="12" t="s">
        <v>702</v>
      </c>
      <c r="N3092" s="12" t="s">
        <v>703</v>
      </c>
      <c r="O3092" s="9" t="str">
        <f aca="false">HYPERLINK("https://pbs.twimg.com/profile_images/799317731648606208/vbXQCdts_normal.jpg","View")</f>
        <v>View</v>
      </c>
      <c r="P3092" s="10"/>
    </row>
    <row r="3093" customFormat="false" ht="15.75" hidden="false" customHeight="false" outlineLevel="0" collapsed="false">
      <c r="A3093" s="6" t="n">
        <v>43030.3552314815</v>
      </c>
      <c r="B3093" s="7" t="str">
        <f aca="false">HYPERLINK("https://twitter.com/ssagar_satpute","@ssagar_satpute")</f>
        <v>@ssagar_satpute</v>
      </c>
      <c r="C3093" s="8" t="s">
        <v>7609</v>
      </c>
      <c r="D3093" s="8" t="s">
        <v>7350</v>
      </c>
      <c r="E3093" s="9" t="str">
        <f aca="false">HYPERLINK("https://twitter.com/ssagar_satpute/status/922123260145188864","922123260145188864")</f>
        <v>922123260145188864</v>
      </c>
      <c r="F3093" s="10" t="s">
        <v>25</v>
      </c>
      <c r="G3093" s="10" t="n">
        <v>287</v>
      </c>
      <c r="H3093" s="10" t="n">
        <v>797</v>
      </c>
      <c r="I3093" s="10" t="n">
        <v>62</v>
      </c>
      <c r="J3093" s="10" t="n">
        <v>0</v>
      </c>
      <c r="K3093" s="10" t="s">
        <v>20</v>
      </c>
      <c r="L3093" s="11" t="n">
        <v>40606.2192824074</v>
      </c>
      <c r="M3093" s="12" t="s">
        <v>1522</v>
      </c>
      <c r="N3093" s="12" t="s">
        <v>7610</v>
      </c>
      <c r="O3093" s="9" t="str">
        <f aca="false">HYPERLINK("https://pbs.twimg.com/profile_images/921699184821944320/HbfTwNJr_normal.jpg","View")</f>
        <v>View</v>
      </c>
      <c r="P3093" s="10"/>
    </row>
    <row r="3094" customFormat="false" ht="15.75" hidden="false" customHeight="false" outlineLevel="0" collapsed="false">
      <c r="A3094" s="6" t="n">
        <v>43030.3552546296</v>
      </c>
      <c r="B3094" s="7" t="str">
        <f aca="false">HYPERLINK("https://twitter.com/neu_erde","@neu_erde")</f>
        <v>@neu_erde</v>
      </c>
      <c r="C3094" s="8" t="s">
        <v>7611</v>
      </c>
      <c r="D3094" s="8" t="s">
        <v>7515</v>
      </c>
      <c r="E3094" s="9" t="str">
        <f aca="false">HYPERLINK("https://twitter.com/neu_erde/status/922123271751028741","922123271751028741")</f>
        <v>922123271751028741</v>
      </c>
      <c r="F3094" s="10" t="s">
        <v>51</v>
      </c>
      <c r="G3094" s="10" t="n">
        <v>93</v>
      </c>
      <c r="H3094" s="10" t="n">
        <v>203</v>
      </c>
      <c r="I3094" s="10" t="n">
        <v>25</v>
      </c>
      <c r="J3094" s="10" t="n">
        <v>0</v>
      </c>
      <c r="K3094" s="10" t="s">
        <v>20</v>
      </c>
      <c r="L3094" s="11" t="n">
        <v>42492.0949652778</v>
      </c>
      <c r="M3094" s="12"/>
      <c r="N3094" s="12" t="s">
        <v>7612</v>
      </c>
      <c r="O3094" s="9" t="str">
        <f aca="false">HYPERLINK("https://pbs.twimg.com/profile_images/727229176529444864/mOkbZkUu_normal.jpg","View")</f>
        <v>View</v>
      </c>
      <c r="P3094" s="10"/>
    </row>
    <row r="3095" customFormat="false" ht="15.75" hidden="false" customHeight="false" outlineLevel="0" collapsed="false">
      <c r="A3095" s="6" t="n">
        <v>43030.3552893519</v>
      </c>
      <c r="B3095" s="7" t="str">
        <f aca="false">HYPERLINK("https://twitter.com/Devendr00823254","@Devendr00823254")</f>
        <v>@Devendr00823254</v>
      </c>
      <c r="C3095" s="8" t="s">
        <v>7613</v>
      </c>
      <c r="D3095" s="8" t="s">
        <v>7350</v>
      </c>
      <c r="E3095" s="9" t="str">
        <f aca="false">HYPERLINK("https://twitter.com/Devendr00823254/status/922123280990986240","922123280990986240")</f>
        <v>922123280990986240</v>
      </c>
      <c r="F3095" s="10" t="s">
        <v>25</v>
      </c>
      <c r="G3095" s="10" t="n">
        <v>7</v>
      </c>
      <c r="H3095" s="10" t="n">
        <v>229</v>
      </c>
      <c r="I3095" s="10" t="n">
        <v>62</v>
      </c>
      <c r="J3095" s="10" t="n">
        <v>0</v>
      </c>
      <c r="K3095" s="10" t="s">
        <v>20</v>
      </c>
      <c r="L3095" s="11" t="n">
        <v>42819.136087963</v>
      </c>
      <c r="M3095" s="12"/>
      <c r="N3095" s="12"/>
      <c r="O3095" s="9" t="str">
        <f aca="false">HYPERLINK("https://pbs.twimg.com/profile_images/845602525504045059/I7-lAe0r_normal.jpg","View")</f>
        <v>View</v>
      </c>
      <c r="P3095" s="10"/>
    </row>
    <row r="3096" customFormat="false" ht="15.75" hidden="false" customHeight="false" outlineLevel="0" collapsed="false">
      <c r="A3096" s="6" t="n">
        <v>43030.3552893519</v>
      </c>
      <c r="B3096" s="7" t="str">
        <f aca="false">HYPERLINK("https://twitter.com/tevhyngx","@tevhyngx")</f>
        <v>@tevhyngx</v>
      </c>
      <c r="C3096" s="8" t="s">
        <v>732</v>
      </c>
      <c r="D3096" s="8" t="s">
        <v>7614</v>
      </c>
      <c r="E3096" s="9" t="str">
        <f aca="false">HYPERLINK("https://twitter.com/tevhyngx/status/922123283495088128","922123283495088128")</f>
        <v>922123283495088128</v>
      </c>
      <c r="F3096" s="10" t="s">
        <v>60</v>
      </c>
      <c r="G3096" s="10" t="n">
        <v>4023</v>
      </c>
      <c r="H3096" s="10" t="n">
        <v>188</v>
      </c>
      <c r="I3096" s="10" t="n">
        <v>0</v>
      </c>
      <c r="J3096" s="10" t="n">
        <v>0</v>
      </c>
      <c r="K3096" s="10" t="s">
        <v>20</v>
      </c>
      <c r="L3096" s="11" t="n">
        <v>41733.8101157407</v>
      </c>
      <c r="M3096" s="12" t="s">
        <v>734</v>
      </c>
      <c r="N3096" s="12" t="s">
        <v>735</v>
      </c>
      <c r="O3096" s="9" t="str">
        <f aca="false">HYPERLINK("https://pbs.twimg.com/profile_images/922553402642505728/vxoeD4md_normal.jpg","View")</f>
        <v>View</v>
      </c>
      <c r="P3096" s="10"/>
    </row>
    <row r="3097" customFormat="false" ht="15.75" hidden="false" customHeight="false" outlineLevel="0" collapsed="false">
      <c r="A3097" s="6" t="n">
        <v>43030.3555439815</v>
      </c>
      <c r="B3097" s="7" t="str">
        <f aca="false">HYPERLINK("https://twitter.com/SugoTakayuki","@SugoTakayuki")</f>
        <v>@SugoTakayuki</v>
      </c>
      <c r="C3097" s="8" t="s">
        <v>7615</v>
      </c>
      <c r="D3097" s="8" t="s">
        <v>4984</v>
      </c>
      <c r="E3097" s="9" t="str">
        <f aca="false">HYPERLINK("https://twitter.com/SugoTakayuki/status/922123374695993351","922123374695993351")</f>
        <v>922123374695993351</v>
      </c>
      <c r="F3097" s="10" t="s">
        <v>25</v>
      </c>
      <c r="G3097" s="10" t="n">
        <v>904</v>
      </c>
      <c r="H3097" s="10" t="n">
        <v>2617</v>
      </c>
      <c r="I3097" s="10" t="n">
        <v>187</v>
      </c>
      <c r="J3097" s="10" t="n">
        <v>0</v>
      </c>
      <c r="K3097" s="10" t="s">
        <v>20</v>
      </c>
      <c r="L3097" s="11" t="n">
        <v>41590.9496759259</v>
      </c>
      <c r="M3097" s="12" t="s">
        <v>194</v>
      </c>
      <c r="N3097" s="12" t="s">
        <v>7616</v>
      </c>
      <c r="O3097" s="9" t="str">
        <f aca="false">HYPERLINK("https://pbs.twimg.com/profile_images/460999997173923840/OHCjDSdt_normal.jpeg","View")</f>
        <v>View</v>
      </c>
      <c r="P3097" s="10"/>
    </row>
    <row r="3098" customFormat="false" ht="15.75" hidden="false" customHeight="false" outlineLevel="0" collapsed="false">
      <c r="A3098" s="6" t="n">
        <v>43030.3555787037</v>
      </c>
      <c r="B3098" s="7" t="str">
        <f aca="false">HYPERLINK("https://twitter.com/Daily_Express","@Daily_Express")</f>
        <v>@Daily_Express</v>
      </c>
      <c r="C3098" s="8" t="s">
        <v>7617</v>
      </c>
      <c r="D3098" s="8" t="s">
        <v>7618</v>
      </c>
      <c r="E3098" s="9" t="str">
        <f aca="false">HYPERLINK("https://twitter.com/Daily_Express/status/922123388683997185","922123388683997185")</f>
        <v>922123388683997185</v>
      </c>
      <c r="F3098" s="10" t="s">
        <v>1167</v>
      </c>
      <c r="G3098" s="10" t="n">
        <v>691214</v>
      </c>
      <c r="H3098" s="10" t="n">
        <v>529</v>
      </c>
      <c r="I3098" s="10" t="n">
        <v>20</v>
      </c>
      <c r="J3098" s="10" t="n">
        <v>16</v>
      </c>
      <c r="K3098" s="10" t="s">
        <v>20</v>
      </c>
      <c r="L3098" s="11" t="n">
        <v>39787.1706944444</v>
      </c>
      <c r="M3098" s="12" t="s">
        <v>893</v>
      </c>
      <c r="N3098" s="12" t="s">
        <v>7619</v>
      </c>
      <c r="O3098" s="9" t="str">
        <f aca="false">HYPERLINK("https://pbs.twimg.com/profile_images/915525294978666496/ALgq4U5j_normal.jpg","View")</f>
        <v>View</v>
      </c>
      <c r="P3098" s="10"/>
    </row>
    <row r="3099" customFormat="false" ht="15.75" hidden="false" customHeight="false" outlineLevel="0" collapsed="false">
      <c r="A3099" s="6" t="n">
        <v>43030.3560648148</v>
      </c>
      <c r="B3099" s="7" t="str">
        <f aca="false">HYPERLINK("https://twitter.com/hayatama1971","@hayatama1971")</f>
        <v>@hayatama1971</v>
      </c>
      <c r="C3099" s="8" t="s">
        <v>7620</v>
      </c>
      <c r="D3099" s="8" t="s">
        <v>7621</v>
      </c>
      <c r="E3099" s="9" t="str">
        <f aca="false">HYPERLINK("https://twitter.com/hayatama1971/status/922123562621825024","922123562621825024")</f>
        <v>922123562621825024</v>
      </c>
      <c r="F3099" s="10" t="s">
        <v>60</v>
      </c>
      <c r="G3099" s="10" t="n">
        <v>380</v>
      </c>
      <c r="H3099" s="10" t="n">
        <v>388</v>
      </c>
      <c r="I3099" s="10" t="n">
        <v>0</v>
      </c>
      <c r="J3099" s="10" t="n">
        <v>0</v>
      </c>
      <c r="K3099" s="10" t="s">
        <v>20</v>
      </c>
      <c r="L3099" s="11" t="n">
        <v>40220.2608912037</v>
      </c>
      <c r="M3099" s="12" t="s">
        <v>7622</v>
      </c>
      <c r="N3099" s="12" t="s">
        <v>7623</v>
      </c>
      <c r="O3099" s="9" t="str">
        <f aca="false">HYPERLINK("https://pbs.twimg.com/profile_images/694974096/DSC00027_normal.JPG","View")</f>
        <v>View</v>
      </c>
      <c r="P3099" s="10"/>
    </row>
    <row r="3100" customFormat="false" ht="15.75" hidden="false" customHeight="false" outlineLevel="0" collapsed="false">
      <c r="A3100" s="6" t="n">
        <v>43030.3561921296</v>
      </c>
      <c r="B3100" s="7" t="str">
        <f aca="false">HYPERLINK("https://twitter.com/mit_obe","@mit_obe")</f>
        <v>@mit_obe</v>
      </c>
      <c r="C3100" s="8" t="s">
        <v>7387</v>
      </c>
      <c r="D3100" s="8" t="s">
        <v>7624</v>
      </c>
      <c r="E3100" s="9" t="str">
        <f aca="false">HYPERLINK("https://twitter.com/mit_obe/status/922123611225300993","922123611225300993")</f>
        <v>922123611225300993</v>
      </c>
      <c r="F3100" s="10" t="s">
        <v>39</v>
      </c>
      <c r="G3100" s="10" t="n">
        <v>1496</v>
      </c>
      <c r="H3100" s="10" t="n">
        <v>299</v>
      </c>
      <c r="I3100" s="10" t="n">
        <v>0</v>
      </c>
      <c r="J3100" s="10" t="n">
        <v>0</v>
      </c>
      <c r="K3100" s="10" t="s">
        <v>20</v>
      </c>
      <c r="L3100" s="11" t="n">
        <v>41472.7236226852</v>
      </c>
      <c r="M3100" s="12" t="s">
        <v>102</v>
      </c>
      <c r="N3100" s="12" t="s">
        <v>7389</v>
      </c>
      <c r="O3100" s="9" t="str">
        <f aca="false">HYPERLINK("https://pbs.twimg.com/profile_images/912457089007575041/iunAue57_normal.jpg","View")</f>
        <v>View</v>
      </c>
      <c r="P3100" s="10"/>
    </row>
    <row r="3101" customFormat="false" ht="15.75" hidden="false" customHeight="false" outlineLevel="0" collapsed="false">
      <c r="A3101" s="6" t="n">
        <v>43030.3567824074</v>
      </c>
      <c r="B3101" s="7" t="str">
        <f aca="false">HYPERLINK("https://twitter.com/scitech_san","@scitech_san")</f>
        <v>@scitech_san</v>
      </c>
      <c r="C3101" s="14" t="s">
        <v>7625</v>
      </c>
      <c r="D3101" s="8" t="s">
        <v>7371</v>
      </c>
      <c r="E3101" s="9" t="str">
        <f aca="false">HYPERLINK("https://twitter.com/scitech_san/status/922123824971128832","922123824971128832")</f>
        <v>922123824971128832</v>
      </c>
      <c r="F3101" s="10" t="s">
        <v>25</v>
      </c>
      <c r="G3101" s="10" t="n">
        <v>925</v>
      </c>
      <c r="H3101" s="10" t="n">
        <v>3087</v>
      </c>
      <c r="I3101" s="10" t="n">
        <v>16</v>
      </c>
      <c r="J3101" s="10" t="n">
        <v>0</v>
      </c>
      <c r="K3101" s="10" t="s">
        <v>20</v>
      </c>
      <c r="L3101" s="11" t="n">
        <v>40620.6313773148</v>
      </c>
      <c r="M3101" s="13" t="s">
        <v>7626</v>
      </c>
      <c r="N3101" s="12"/>
      <c r="O3101" s="9" t="str">
        <f aca="false">HYPERLINK("https://abs.twimg.com/sticky/default_profile_images/default_profile_normal.png","View")</f>
        <v>View</v>
      </c>
      <c r="P3101" s="10"/>
    </row>
    <row r="3102" customFormat="false" ht="15.75" hidden="false" customHeight="false" outlineLevel="0" collapsed="false">
      <c r="A3102" s="6" t="n">
        <v>43030.3568634259</v>
      </c>
      <c r="B3102" s="7" t="str">
        <f aca="false">HYPERLINK("https://twitter.com/cliffordtopham","@cliffordtopham")</f>
        <v>@cliffordtopham</v>
      </c>
      <c r="C3102" s="8" t="s">
        <v>3580</v>
      </c>
      <c r="D3102" s="8" t="s">
        <v>7627</v>
      </c>
      <c r="E3102" s="9" t="str">
        <f aca="false">HYPERLINK("https://twitter.com/cliffordtopham/status/922123851718422528","922123851718422528")</f>
        <v>922123851718422528</v>
      </c>
      <c r="F3102" s="10" t="s">
        <v>51</v>
      </c>
      <c r="G3102" s="10" t="n">
        <v>1578</v>
      </c>
      <c r="H3102" s="10" t="n">
        <v>379</v>
      </c>
      <c r="I3102" s="10" t="n">
        <v>20</v>
      </c>
      <c r="J3102" s="10" t="n">
        <v>0</v>
      </c>
      <c r="K3102" s="10" t="s">
        <v>20</v>
      </c>
      <c r="L3102" s="11" t="n">
        <v>41072.9920138889</v>
      </c>
      <c r="M3102" s="12"/>
      <c r="N3102" s="12" t="s">
        <v>3581</v>
      </c>
      <c r="O3102" s="9" t="str">
        <f aca="false">HYPERLINK("https://pbs.twimg.com/profile_images/714074147433943040/LIPZyWMp_normal.jpg","View")</f>
        <v>View</v>
      </c>
      <c r="P3102" s="10"/>
    </row>
    <row r="3103" customFormat="false" ht="15.75" hidden="false" customHeight="false" outlineLevel="0" collapsed="false">
      <c r="A3103" s="6" t="n">
        <v>43030.3572916667</v>
      </c>
      <c r="B3103" s="7" t="str">
        <f aca="false">HYPERLINK("https://twitter.com/t_hisashi","@t_hisashi")</f>
        <v>@t_hisashi</v>
      </c>
      <c r="C3103" s="14" t="s">
        <v>1062</v>
      </c>
      <c r="D3103" s="8" t="s">
        <v>4984</v>
      </c>
      <c r="E3103" s="9" t="str">
        <f aca="false">HYPERLINK("https://twitter.com/t_hisashi/status/922124008513867777","922124008513867777")</f>
        <v>922124008513867777</v>
      </c>
      <c r="F3103" s="10" t="s">
        <v>1063</v>
      </c>
      <c r="G3103" s="10" t="n">
        <v>5170</v>
      </c>
      <c r="H3103" s="10" t="n">
        <v>551</v>
      </c>
      <c r="I3103" s="10" t="n">
        <v>187</v>
      </c>
      <c r="J3103" s="10" t="n">
        <v>0</v>
      </c>
      <c r="K3103" s="10" t="s">
        <v>20</v>
      </c>
      <c r="L3103" s="11" t="n">
        <v>40145.284537037</v>
      </c>
      <c r="M3103" s="13" t="s">
        <v>1064</v>
      </c>
      <c r="N3103" s="12" t="s">
        <v>1065</v>
      </c>
      <c r="O3103" s="9" t="str">
        <f aca="false">HYPERLINK("https://pbs.twimg.com/profile_images/863264860145983489/BfUWjAYp_normal.jpg","View")</f>
        <v>View</v>
      </c>
      <c r="P3103" s="10"/>
    </row>
    <row r="3104" customFormat="false" ht="15.75" hidden="false" customHeight="false" outlineLevel="0" collapsed="false">
      <c r="A3104" s="6" t="n">
        <v>43030.3577314815</v>
      </c>
      <c r="B3104" s="7" t="str">
        <f aca="false">HYPERLINK("https://twitter.com/saksivas_","@saksivas_")</f>
        <v>@saksivas_</v>
      </c>
      <c r="C3104" s="8" t="s">
        <v>7628</v>
      </c>
      <c r="D3104" s="8" t="s">
        <v>3295</v>
      </c>
      <c r="E3104" s="9" t="str">
        <f aca="false">HYPERLINK("https://twitter.com/saksivas_/status/922124168920993792","922124168920993792")</f>
        <v>922124168920993792</v>
      </c>
      <c r="F3104" s="10" t="s">
        <v>25</v>
      </c>
      <c r="G3104" s="10" t="n">
        <v>6458</v>
      </c>
      <c r="H3104" s="10" t="n">
        <v>5898</v>
      </c>
      <c r="I3104" s="10" t="n">
        <v>71</v>
      </c>
      <c r="J3104" s="10" t="n">
        <v>0</v>
      </c>
      <c r="K3104" s="10" t="s">
        <v>20</v>
      </c>
      <c r="L3104" s="11" t="n">
        <v>41346.7497800926</v>
      </c>
      <c r="M3104" s="12" t="s">
        <v>7629</v>
      </c>
      <c r="N3104" s="12" t="s">
        <v>7630</v>
      </c>
      <c r="O3104" s="9" t="str">
        <f aca="false">HYPERLINK("https://pbs.twimg.com/profile_images/698144206611705856/4o2mgTkM_normal.jpg","View")</f>
        <v>View</v>
      </c>
      <c r="P3104" s="10"/>
    </row>
    <row r="3105" customFormat="false" ht="15.75" hidden="false" customHeight="false" outlineLevel="0" collapsed="false">
      <c r="A3105" s="6" t="n">
        <v>43030.3579398148</v>
      </c>
      <c r="B3105" s="7" t="str">
        <f aca="false">HYPERLINK("https://twitter.com/Georgekurian4K","@Georgekurian4K")</f>
        <v>@Georgekurian4K</v>
      </c>
      <c r="C3105" s="8" t="s">
        <v>7631</v>
      </c>
      <c r="D3105" s="8" t="s">
        <v>4984</v>
      </c>
      <c r="E3105" s="9" t="str">
        <f aca="false">HYPERLINK("https://twitter.com/Georgekurian4K/status/922124243894177793","922124243894177793")</f>
        <v>922124243894177793</v>
      </c>
      <c r="F3105" s="10" t="s">
        <v>25</v>
      </c>
      <c r="G3105" s="10" t="n">
        <v>35998</v>
      </c>
      <c r="H3105" s="10" t="n">
        <v>1374</v>
      </c>
      <c r="I3105" s="10" t="n">
        <v>187</v>
      </c>
      <c r="J3105" s="10" t="n">
        <v>0</v>
      </c>
      <c r="K3105" s="10" t="s">
        <v>20</v>
      </c>
      <c r="L3105" s="11" t="n">
        <v>41693.984212963</v>
      </c>
      <c r="M3105" s="12" t="s">
        <v>3531</v>
      </c>
      <c r="N3105" s="12" t="s">
        <v>7632</v>
      </c>
      <c r="O3105" s="9" t="str">
        <f aca="false">HYPERLINK("https://pbs.twimg.com/profile_images/774673230573494273/rrOg52My_normal.jpg","View")</f>
        <v>View</v>
      </c>
      <c r="P3105" s="10"/>
    </row>
    <row r="3106" customFormat="false" ht="15.75" hidden="false" customHeight="false" outlineLevel="0" collapsed="false">
      <c r="A3106" s="6" t="n">
        <v>43030.357974537</v>
      </c>
      <c r="B3106" s="7" t="str">
        <f aca="false">HYPERLINK("https://twitter.com/Almeberg","@Almeberg")</f>
        <v>@Almeberg</v>
      </c>
      <c r="C3106" s="8" t="s">
        <v>7633</v>
      </c>
      <c r="D3106" s="8" t="s">
        <v>7634</v>
      </c>
      <c r="E3106" s="9" t="str">
        <f aca="false">HYPERLINK("https://twitter.com/Almeberg/status/922124253964787713","922124253964787713")</f>
        <v>922124253964787713</v>
      </c>
      <c r="F3106" s="10" t="s">
        <v>51</v>
      </c>
      <c r="G3106" s="10" t="n">
        <v>505</v>
      </c>
      <c r="H3106" s="10" t="n">
        <v>735</v>
      </c>
      <c r="I3106" s="10" t="n">
        <v>0</v>
      </c>
      <c r="J3106" s="10" t="n">
        <v>0</v>
      </c>
      <c r="K3106" s="10" t="s">
        <v>20</v>
      </c>
      <c r="L3106" s="11" t="n">
        <v>39983.0933912037</v>
      </c>
      <c r="M3106" s="12"/>
      <c r="N3106" s="12" t="s">
        <v>7635</v>
      </c>
      <c r="O3106" s="9" t="str">
        <f aca="false">HYPERLINK("https://pbs.twimg.com/profile_images/1110787869/008-small_normal.jpg","View")</f>
        <v>View</v>
      </c>
      <c r="P3106" s="10"/>
    </row>
    <row r="3107" customFormat="false" ht="15.75" hidden="false" customHeight="false" outlineLevel="0" collapsed="false">
      <c r="A3107" s="6" t="n">
        <v>43030.3583564815</v>
      </c>
      <c r="B3107" s="7" t="str">
        <f aca="false">HYPERLINK("https://twitter.com/satyendradb","@satyendradb")</f>
        <v>@satyendradb</v>
      </c>
      <c r="C3107" s="8" t="s">
        <v>7636</v>
      </c>
      <c r="D3107" s="8" t="s">
        <v>7350</v>
      </c>
      <c r="E3107" s="9" t="str">
        <f aca="false">HYPERLINK("https://twitter.com/satyendradb/status/922124393391669248","922124393391669248")</f>
        <v>922124393391669248</v>
      </c>
      <c r="F3107" s="10" t="s">
        <v>25</v>
      </c>
      <c r="G3107" s="10" t="n">
        <v>119</v>
      </c>
      <c r="H3107" s="10" t="n">
        <v>62</v>
      </c>
      <c r="I3107" s="10" t="n">
        <v>62</v>
      </c>
      <c r="J3107" s="10" t="n">
        <v>0</v>
      </c>
      <c r="K3107" s="10" t="s">
        <v>20</v>
      </c>
      <c r="L3107" s="11" t="n">
        <v>42370.0734722222</v>
      </c>
      <c r="M3107" s="12" t="s">
        <v>72</v>
      </c>
      <c r="N3107" s="12" t="s">
        <v>7637</v>
      </c>
      <c r="O3107" s="9" t="str">
        <f aca="false">HYPERLINK("https://pbs.twimg.com/profile_images/837954832774352896/UDl4yaa1_normal.jpg","View")</f>
        <v>View</v>
      </c>
      <c r="P3107" s="10"/>
    </row>
    <row r="3108" customFormat="false" ht="15.75" hidden="false" customHeight="false" outlineLevel="0" collapsed="false">
      <c r="A3108" s="6" t="n">
        <v>43030.3583912037</v>
      </c>
      <c r="B3108" s="7" t="str">
        <f aca="false">HYPERLINK("https://twitter.com/MediaticWorld","@MediaticWorld")</f>
        <v>@MediaticWorld</v>
      </c>
      <c r="C3108" s="8" t="s">
        <v>7638</v>
      </c>
      <c r="D3108" s="8" t="s">
        <v>7639</v>
      </c>
      <c r="E3108" s="9" t="str">
        <f aca="false">HYPERLINK("https://twitter.com/MediaticWorld/status/922124406494846976","922124406494846976")</f>
        <v>922124406494846976</v>
      </c>
      <c r="F3108" s="10" t="s">
        <v>7640</v>
      </c>
      <c r="G3108" s="10" t="n">
        <v>835</v>
      </c>
      <c r="H3108" s="10" t="n">
        <v>108</v>
      </c>
      <c r="I3108" s="10" t="n">
        <v>0</v>
      </c>
      <c r="J3108" s="10" t="n">
        <v>0</v>
      </c>
      <c r="K3108" s="10" t="s">
        <v>20</v>
      </c>
      <c r="L3108" s="11" t="n">
        <v>42066.2641782408</v>
      </c>
      <c r="M3108" s="12" t="s">
        <v>697</v>
      </c>
      <c r="N3108" s="12" t="s">
        <v>7641</v>
      </c>
      <c r="O3108" s="9" t="str">
        <f aca="false">HYPERLINK("https://pbs.twimg.com/profile_images/601894112741203968/FIAWFyGE_normal.png","View")</f>
        <v>View</v>
      </c>
      <c r="P3108" s="10"/>
    </row>
    <row r="3109" customFormat="false" ht="15.75" hidden="false" customHeight="false" outlineLevel="0" collapsed="false">
      <c r="A3109" s="6" t="n">
        <v>43030.3583912037</v>
      </c>
      <c r="B3109" s="7" t="str">
        <f aca="false">HYPERLINK("https://twitter.com/MarioGabelli","@MarioGabelli")</f>
        <v>@MarioGabelli</v>
      </c>
      <c r="C3109" s="8" t="s">
        <v>7642</v>
      </c>
      <c r="D3109" s="8" t="s">
        <v>7643</v>
      </c>
      <c r="E3109" s="9" t="str">
        <f aca="false">HYPERLINK("https://twitter.com/MarioGabelli/status/922124408038313985","922124408038313985")</f>
        <v>922124408038313985</v>
      </c>
      <c r="F3109" s="10" t="s">
        <v>177</v>
      </c>
      <c r="G3109" s="10" t="n">
        <v>17564</v>
      </c>
      <c r="H3109" s="10" t="n">
        <v>1</v>
      </c>
      <c r="I3109" s="10" t="n">
        <v>5</v>
      </c>
      <c r="J3109" s="10" t="n">
        <v>10</v>
      </c>
      <c r="K3109" s="10" t="s">
        <v>20</v>
      </c>
      <c r="L3109" s="11" t="n">
        <v>40393.5519907407</v>
      </c>
      <c r="M3109" s="12" t="s">
        <v>7644</v>
      </c>
      <c r="N3109" s="12" t="s">
        <v>7645</v>
      </c>
      <c r="O3109" s="9" t="str">
        <f aca="false">HYPERLINK("https://pbs.twimg.com/profile_images/1107347618/Mario_Gabelli_normal.jpg","View")</f>
        <v>View</v>
      </c>
      <c r="P3109" s="10"/>
    </row>
    <row r="3110" customFormat="false" ht="15.75" hidden="false" customHeight="false" outlineLevel="0" collapsed="false">
      <c r="A3110" s="6" t="n">
        <v>43030.3584259259</v>
      </c>
      <c r="B3110" s="7" t="str">
        <f aca="false">HYPERLINK("https://twitter.com/Harshva44829186","@Harshva44829186")</f>
        <v>@Harshva44829186</v>
      </c>
      <c r="C3110" s="8" t="s">
        <v>7646</v>
      </c>
      <c r="D3110" s="8" t="s">
        <v>7350</v>
      </c>
      <c r="E3110" s="9" t="str">
        <f aca="false">HYPERLINK("https://twitter.com/Harshva44829186/status/922124421480845313","922124421480845313")</f>
        <v>922124421480845313</v>
      </c>
      <c r="F3110" s="10" t="s">
        <v>25</v>
      </c>
      <c r="G3110" s="10" t="n">
        <v>374</v>
      </c>
      <c r="H3110" s="10" t="n">
        <v>592</v>
      </c>
      <c r="I3110" s="10" t="n">
        <v>62</v>
      </c>
      <c r="J3110" s="10" t="n">
        <v>0</v>
      </c>
      <c r="K3110" s="10" t="s">
        <v>20</v>
      </c>
      <c r="L3110" s="11" t="n">
        <v>42674.8412847222</v>
      </c>
      <c r="M3110" s="12" t="s">
        <v>72</v>
      </c>
      <c r="N3110" s="12" t="s">
        <v>7647</v>
      </c>
      <c r="O3110" s="9" t="str">
        <f aca="false">HYPERLINK("https://pbs.twimg.com/profile_images/853215936970715136/K0OxpfhL_normal.jpg","View")</f>
        <v>View</v>
      </c>
      <c r="P3110" s="10"/>
    </row>
    <row r="3111" customFormat="false" ht="15.75" hidden="false" customHeight="false" outlineLevel="0" collapsed="false">
      <c r="A3111" s="6" t="n">
        <v>43030.3587268519</v>
      </c>
      <c r="B3111" s="7" t="str">
        <f aca="false">HYPERLINK("https://twitter.com/chesseurope","@chesseurope")</f>
        <v>@chesseurope</v>
      </c>
      <c r="C3111" s="8" t="s">
        <v>7648</v>
      </c>
      <c r="D3111" s="8" t="s">
        <v>7371</v>
      </c>
      <c r="E3111" s="9" t="str">
        <f aca="false">HYPERLINK("https://twitter.com/chesseurope/status/922124529874345984","922124529874345984")</f>
        <v>922124529874345984</v>
      </c>
      <c r="F3111" s="10" t="s">
        <v>177</v>
      </c>
      <c r="G3111" s="10" t="n">
        <v>197</v>
      </c>
      <c r="H3111" s="10" t="n">
        <v>222</v>
      </c>
      <c r="I3111" s="10" t="n">
        <v>16</v>
      </c>
      <c r="J3111" s="10" t="n">
        <v>0</v>
      </c>
      <c r="K3111" s="10" t="s">
        <v>20</v>
      </c>
      <c r="L3111" s="11" t="n">
        <v>40835.1534027778</v>
      </c>
      <c r="M3111" s="12" t="s">
        <v>68</v>
      </c>
      <c r="N3111" s="12" t="s">
        <v>7649</v>
      </c>
      <c r="O3111" s="9" t="str">
        <f aca="false">HYPERLINK("https://pbs.twimg.com/profile_images/422726066331873280/E_CSnAa7_normal.jpeg","View")</f>
        <v>View</v>
      </c>
      <c r="P3111" s="10"/>
    </row>
    <row r="3112" customFormat="false" ht="15.75" hidden="false" customHeight="false" outlineLevel="0" collapsed="false">
      <c r="A3112" s="6" t="n">
        <v>43030.3590277778</v>
      </c>
      <c r="B3112" s="7" t="str">
        <f aca="false">HYPERLINK("https://twitter.com/eli_elichan","@eli_elichan")</f>
        <v>@eli_elichan</v>
      </c>
      <c r="C3112" s="14" t="s">
        <v>7650</v>
      </c>
      <c r="D3112" s="8" t="s">
        <v>7651</v>
      </c>
      <c r="E3112" s="9" t="str">
        <f aca="false">HYPERLINK("https://twitter.com/eli_elichan/status/922124635591860227","922124635591860227")</f>
        <v>922124635591860227</v>
      </c>
      <c r="F3112" s="10" t="s">
        <v>39</v>
      </c>
      <c r="G3112" s="10" t="n">
        <v>112</v>
      </c>
      <c r="H3112" s="10" t="n">
        <v>293</v>
      </c>
      <c r="I3112" s="10" t="n">
        <v>0</v>
      </c>
      <c r="J3112" s="10" t="n">
        <v>1</v>
      </c>
      <c r="K3112" s="10" t="s">
        <v>20</v>
      </c>
      <c r="L3112" s="11" t="n">
        <v>41432.4007407407</v>
      </c>
      <c r="M3112" s="12" t="s">
        <v>7652</v>
      </c>
      <c r="N3112" s="13" t="s">
        <v>7653</v>
      </c>
      <c r="O3112" s="9" t="str">
        <f aca="false">HYPERLINK("https://pbs.twimg.com/profile_images/723158369293479937/DVVSeWKv_normal.jpg","View")</f>
        <v>View</v>
      </c>
      <c r="P3112" s="10"/>
    </row>
    <row r="3113" customFormat="false" ht="15.75" hidden="false" customHeight="false" outlineLevel="0" collapsed="false">
      <c r="A3113" s="6" t="n">
        <v>43030.3591087963</v>
      </c>
      <c r="B3113" s="7" t="str">
        <f aca="false">HYPERLINK("https://twitter.com/EmilianoLauren1","@EmilianoLauren1")</f>
        <v>@EmilianoLauren1</v>
      </c>
      <c r="C3113" s="8" t="s">
        <v>7654</v>
      </c>
      <c r="D3113" s="8" t="s">
        <v>7515</v>
      </c>
      <c r="E3113" s="9" t="str">
        <f aca="false">HYPERLINK("https://twitter.com/EmilianoLauren1/status/922124667481133056","922124667481133056")</f>
        <v>922124667481133056</v>
      </c>
      <c r="F3113" s="10" t="s">
        <v>25</v>
      </c>
      <c r="G3113" s="10" t="n">
        <v>183</v>
      </c>
      <c r="H3113" s="10" t="n">
        <v>346</v>
      </c>
      <c r="I3113" s="10" t="n">
        <v>25</v>
      </c>
      <c r="J3113" s="10" t="n">
        <v>0</v>
      </c>
      <c r="K3113" s="10" t="s">
        <v>20</v>
      </c>
      <c r="L3113" s="11" t="n">
        <v>41617.1237037037</v>
      </c>
      <c r="M3113" s="12"/>
      <c r="N3113" s="12" t="s">
        <v>7655</v>
      </c>
      <c r="O3113" s="9" t="str">
        <f aca="false">HYPERLINK("https://pbs.twimg.com/profile_images/919010533176692736/Cd1Lax2R_normal.jpg","View")</f>
        <v>View</v>
      </c>
      <c r="P3113" s="10"/>
    </row>
    <row r="3114" customFormat="false" ht="15.75" hidden="false" customHeight="false" outlineLevel="0" collapsed="false">
      <c r="A3114" s="6" t="n">
        <v>43030.3595138889</v>
      </c>
      <c r="B3114" s="7" t="str">
        <f aca="false">HYPERLINK("https://twitter.com/c737800p","@c737800p")</f>
        <v>@c737800p</v>
      </c>
      <c r="C3114" s="8" t="s">
        <v>7656</v>
      </c>
      <c r="D3114" s="8" t="s">
        <v>7350</v>
      </c>
      <c r="E3114" s="9" t="str">
        <f aca="false">HYPERLINK("https://twitter.com/c737800p/status/922124814692831235","922124814692831235")</f>
        <v>922124814692831235</v>
      </c>
      <c r="F3114" s="10" t="s">
        <v>25</v>
      </c>
      <c r="G3114" s="10" t="n">
        <v>46</v>
      </c>
      <c r="H3114" s="10" t="n">
        <v>66</v>
      </c>
      <c r="I3114" s="10" t="n">
        <v>62</v>
      </c>
      <c r="J3114" s="10" t="n">
        <v>0</v>
      </c>
      <c r="K3114" s="10" t="s">
        <v>20</v>
      </c>
      <c r="L3114" s="11" t="n">
        <v>41865.8775</v>
      </c>
      <c r="M3114" s="12" t="s">
        <v>87</v>
      </c>
      <c r="N3114" s="12" t="s">
        <v>7657</v>
      </c>
      <c r="O3114" s="9" t="str">
        <f aca="false">HYPERLINK("https://pbs.twimg.com/profile_images/500134982929506304/gqobbsjY_normal.jpeg","View")</f>
        <v>View</v>
      </c>
      <c r="P3114" s="10"/>
    </row>
    <row r="3115" customFormat="false" ht="15.75" hidden="false" customHeight="false" outlineLevel="0" collapsed="false">
      <c r="A3115" s="6" t="n">
        <v>43030.3599305556</v>
      </c>
      <c r="B3115" s="7" t="str">
        <f aca="false">HYPERLINK("https://twitter.com/Marticvs","@Marticvs")</f>
        <v>@Marticvs</v>
      </c>
      <c r="C3115" s="8" t="s">
        <v>7658</v>
      </c>
      <c r="D3115" s="8" t="s">
        <v>4984</v>
      </c>
      <c r="E3115" s="9" t="str">
        <f aca="false">HYPERLINK("https://twitter.com/Marticvs/status/922124963187961857","922124963187961857")</f>
        <v>922124963187961857</v>
      </c>
      <c r="F3115" s="10" t="s">
        <v>51</v>
      </c>
      <c r="G3115" s="10" t="n">
        <v>36</v>
      </c>
      <c r="H3115" s="10" t="n">
        <v>37</v>
      </c>
      <c r="I3115" s="10" t="n">
        <v>187</v>
      </c>
      <c r="J3115" s="10" t="n">
        <v>0</v>
      </c>
      <c r="K3115" s="10" t="s">
        <v>20</v>
      </c>
      <c r="L3115" s="11" t="n">
        <v>42580.5843865741</v>
      </c>
      <c r="M3115" s="12" t="s">
        <v>7659</v>
      </c>
      <c r="N3115" s="12" t="s">
        <v>7660</v>
      </c>
      <c r="O3115" s="9" t="str">
        <f aca="false">HYPERLINK("https://pbs.twimg.com/profile_images/919195488989130753/FvsHOT1g_normal.jpg","View")</f>
        <v>View</v>
      </c>
      <c r="P3115" s="10"/>
    </row>
    <row r="3116" customFormat="false" ht="15.75" hidden="false" customHeight="false" outlineLevel="0" collapsed="false">
      <c r="A3116" s="6" t="n">
        <v>43030.36</v>
      </c>
      <c r="B3116" s="7" t="str">
        <f aca="false">HYPERLINK("https://twitter.com/IGZIABEHER7","@IGZIABEHER7")</f>
        <v>@IGZIABEHER7</v>
      </c>
      <c r="C3116" s="8" t="s">
        <v>7661</v>
      </c>
      <c r="D3116" s="8" t="s">
        <v>7662</v>
      </c>
      <c r="E3116" s="9" t="str">
        <f aca="false">HYPERLINK("https://twitter.com/IGZIABEHER7/status/922124991751000064","922124991751000064")</f>
        <v>922124991751000064</v>
      </c>
      <c r="F3116" s="10" t="s">
        <v>51</v>
      </c>
      <c r="G3116" s="10" t="n">
        <v>723</v>
      </c>
      <c r="H3116" s="10" t="n">
        <v>1605</v>
      </c>
      <c r="I3116" s="10" t="n">
        <v>0</v>
      </c>
      <c r="J3116" s="10" t="n">
        <v>0</v>
      </c>
      <c r="K3116" s="10" t="s">
        <v>20</v>
      </c>
      <c r="L3116" s="11" t="n">
        <v>40602.8188541667</v>
      </c>
      <c r="M3116" s="12" t="s">
        <v>7663</v>
      </c>
      <c r="N3116" s="12" t="s">
        <v>7664</v>
      </c>
      <c r="O3116" s="9" t="str">
        <f aca="false">HYPERLINK("https://pbs.twimg.com/profile_images/799726215879794688/PCAw-MIN_normal.jpg","View")</f>
        <v>View</v>
      </c>
      <c r="P3116" s="10"/>
    </row>
    <row r="3117" customFormat="false" ht="15.75" hidden="false" customHeight="false" outlineLevel="0" collapsed="false">
      <c r="A3117" s="6" t="n">
        <v>43030.3602083333</v>
      </c>
      <c r="B3117" s="7" t="str">
        <f aca="false">HYPERLINK("https://twitter.com/USNewshawk","@USNewshawk")</f>
        <v>@USNewshawk</v>
      </c>
      <c r="C3117" s="8" t="s">
        <v>7665</v>
      </c>
      <c r="D3117" s="8" t="s">
        <v>7666</v>
      </c>
      <c r="E3117" s="9" t="str">
        <f aca="false">HYPERLINK("https://twitter.com/USNewshawk/status/922125065021460482","922125065021460482")</f>
        <v>922125065021460482</v>
      </c>
      <c r="F3117" s="10" t="s">
        <v>47</v>
      </c>
      <c r="G3117" s="10" t="n">
        <v>260</v>
      </c>
      <c r="H3117" s="10" t="n">
        <v>126</v>
      </c>
      <c r="I3117" s="10" t="n">
        <v>0</v>
      </c>
      <c r="J3117" s="10" t="n">
        <v>0</v>
      </c>
      <c r="K3117" s="10" t="s">
        <v>20</v>
      </c>
      <c r="L3117" s="11" t="n">
        <v>40109.6560069445</v>
      </c>
      <c r="M3117" s="12" t="s">
        <v>7170</v>
      </c>
      <c r="N3117" s="12" t="s">
        <v>7667</v>
      </c>
      <c r="O3117" s="9" t="str">
        <f aca="false">HYPERLINK("https://pbs.twimg.com/profile_images/447902176921153536/5DN-MZNK_normal.png","View")</f>
        <v>View</v>
      </c>
      <c r="P3117" s="10"/>
    </row>
    <row r="3118" customFormat="false" ht="15.75" hidden="false" customHeight="false" outlineLevel="0" collapsed="false">
      <c r="A3118" s="6" t="n">
        <v>43030.3604166667</v>
      </c>
      <c r="B3118" s="7" t="str">
        <f aca="false">HYPERLINK("https://twitter.com/GreenMonsterah","@GreenMonsterah")</f>
        <v>@GreenMonsterah</v>
      </c>
      <c r="C3118" s="8" t="s">
        <v>7668</v>
      </c>
      <c r="D3118" s="8" t="s">
        <v>7669</v>
      </c>
      <c r="E3118" s="9" t="str">
        <f aca="false">HYPERLINK("https://twitter.com/GreenMonsterah/status/922125139147481089","922125139147481089")</f>
        <v>922125139147481089</v>
      </c>
      <c r="F3118" s="10" t="s">
        <v>51</v>
      </c>
      <c r="G3118" s="10" t="n">
        <v>1966</v>
      </c>
      <c r="H3118" s="10" t="n">
        <v>495</v>
      </c>
      <c r="I3118" s="10" t="n">
        <v>5</v>
      </c>
      <c r="J3118" s="10" t="n">
        <v>0</v>
      </c>
      <c r="K3118" s="10" t="s">
        <v>20</v>
      </c>
      <c r="L3118" s="11" t="n">
        <v>40531.4110185185</v>
      </c>
      <c r="M3118" s="12"/>
      <c r="N3118" s="12" t="s">
        <v>7670</v>
      </c>
      <c r="O3118" s="9" t="str">
        <f aca="false">HYPERLINK("https://pbs.twimg.com/profile_images/378800000716667160/92a8ee85f04c0f664f04a4b7619f9067_normal.jpeg","View")</f>
        <v>View</v>
      </c>
      <c r="P3118" s="10"/>
    </row>
    <row r="3119" customFormat="false" ht="15.75" hidden="false" customHeight="false" outlineLevel="0" collapsed="false">
      <c r="A3119" s="6" t="n">
        <v>43030.360474537</v>
      </c>
      <c r="B3119" s="7" t="str">
        <f aca="false">HYPERLINK("https://twitter.com/Lawderation","@Lawderation")</f>
        <v>@Lawderation</v>
      </c>
      <c r="C3119" s="8" t="s">
        <v>7671</v>
      </c>
      <c r="D3119" s="8" t="s">
        <v>7627</v>
      </c>
      <c r="E3119" s="9" t="str">
        <f aca="false">HYPERLINK("https://twitter.com/Lawderation/status/922125161289183233","922125161289183233")</f>
        <v>922125161289183233</v>
      </c>
      <c r="F3119" s="10" t="s">
        <v>7672</v>
      </c>
      <c r="G3119" s="10" t="n">
        <v>1175</v>
      </c>
      <c r="H3119" s="10" t="n">
        <v>1095</v>
      </c>
      <c r="I3119" s="10" t="n">
        <v>20</v>
      </c>
      <c r="J3119" s="10" t="n">
        <v>0</v>
      </c>
      <c r="K3119" s="10" t="s">
        <v>20</v>
      </c>
      <c r="L3119" s="11" t="n">
        <v>41618.6478472222</v>
      </c>
      <c r="M3119" s="12" t="s">
        <v>7673</v>
      </c>
      <c r="N3119" s="12" t="s">
        <v>7674</v>
      </c>
      <c r="O3119" s="9" t="str">
        <f aca="false">HYPERLINK("https://pbs.twimg.com/profile_images/888411330402713602/U2YJ5TLh_normal.jpg","View")</f>
        <v>View</v>
      </c>
      <c r="P3119" s="10"/>
    </row>
    <row r="3120" customFormat="false" ht="15.75" hidden="false" customHeight="false" outlineLevel="0" collapsed="false">
      <c r="A3120" s="6" t="n">
        <v>43030.3605671296</v>
      </c>
      <c r="B3120" s="7" t="str">
        <f aca="false">HYPERLINK("https://twitter.com/ShibleyTelhami","@ShibleyTelhami")</f>
        <v>@ShibleyTelhami</v>
      </c>
      <c r="C3120" s="8" t="s">
        <v>7675</v>
      </c>
      <c r="D3120" s="8" t="s">
        <v>7676</v>
      </c>
      <c r="E3120" s="9" t="str">
        <f aca="false">HYPERLINK("https://twitter.com/ShibleyTelhami/status/922125193593737221","922125193593737221")</f>
        <v>922125193593737221</v>
      </c>
      <c r="F3120" s="10" t="s">
        <v>39</v>
      </c>
      <c r="G3120" s="10" t="n">
        <v>8806</v>
      </c>
      <c r="H3120" s="10" t="n">
        <v>821</v>
      </c>
      <c r="I3120" s="10" t="n">
        <v>0</v>
      </c>
      <c r="J3120" s="10" t="n">
        <v>2</v>
      </c>
      <c r="K3120" s="10" t="s">
        <v>20</v>
      </c>
      <c r="L3120" s="11" t="n">
        <v>41203.113587963</v>
      </c>
      <c r="M3120" s="12"/>
      <c r="N3120" s="12" t="s">
        <v>7677</v>
      </c>
      <c r="O3120" s="9" t="str">
        <f aca="false">HYPERLINK("https://pbs.twimg.com/profile_images/378800000232528790/6afcda86e43ffc65acce2fd0e541b7a7_normal.png","View")</f>
        <v>View</v>
      </c>
      <c r="P3120" s="10"/>
    </row>
    <row r="3121" customFormat="false" ht="15.75" hidden="false" customHeight="false" outlineLevel="0" collapsed="false">
      <c r="A3121" s="6" t="n">
        <v>43030.3606365741</v>
      </c>
      <c r="B3121" s="7" t="str">
        <f aca="false">HYPERLINK("https://twitter.com/Methone","@Methone")</f>
        <v>@Methone</v>
      </c>
      <c r="C3121" s="8" t="s">
        <v>7678</v>
      </c>
      <c r="D3121" s="8" t="s">
        <v>7679</v>
      </c>
      <c r="E3121" s="9" t="str">
        <f aca="false">HYPERLINK("https://twitter.com/Methone/status/922125218671448065","922125218671448065")</f>
        <v>922125218671448065</v>
      </c>
      <c r="F3121" s="10" t="s">
        <v>60</v>
      </c>
      <c r="G3121" s="10" t="n">
        <v>293785</v>
      </c>
      <c r="H3121" s="10" t="n">
        <v>1055</v>
      </c>
      <c r="I3121" s="10" t="n">
        <v>5</v>
      </c>
      <c r="J3121" s="10" t="n">
        <v>2</v>
      </c>
      <c r="K3121" s="10" t="s">
        <v>20</v>
      </c>
      <c r="L3121" s="11" t="n">
        <v>39789.0235532407</v>
      </c>
      <c r="M3121" s="12" t="s">
        <v>7680</v>
      </c>
      <c r="N3121" s="12" t="s">
        <v>7681</v>
      </c>
      <c r="O3121" s="9" t="str">
        <f aca="false">HYPERLINK("https://pbs.twimg.com/profile_images/715413910048940032/2tAfXTa4_normal.jpg","View")</f>
        <v>View</v>
      </c>
      <c r="P3121" s="10"/>
    </row>
    <row r="3122" customFormat="false" ht="15.75" hidden="false" customHeight="false" outlineLevel="0" collapsed="false">
      <c r="A3122" s="6" t="n">
        <v>43030.3607060185</v>
      </c>
      <c r="B3122" s="7" t="str">
        <f aca="false">HYPERLINK("https://twitter.com/Massimoguerrera","@Massimoguerrera")</f>
        <v>@Massimoguerrera</v>
      </c>
      <c r="C3122" s="8" t="s">
        <v>7682</v>
      </c>
      <c r="D3122" s="8" t="s">
        <v>7046</v>
      </c>
      <c r="E3122" s="9" t="str">
        <f aca="false">HYPERLINK("https://twitter.com/Massimoguerrera/status/922125243824656389","922125243824656389")</f>
        <v>922125243824656389</v>
      </c>
      <c r="F3122" s="10" t="s">
        <v>51</v>
      </c>
      <c r="G3122" s="10" t="n">
        <v>6302</v>
      </c>
      <c r="H3122" s="10" t="n">
        <v>6193</v>
      </c>
      <c r="I3122" s="10" t="n">
        <v>53</v>
      </c>
      <c r="J3122" s="10" t="n">
        <v>0</v>
      </c>
      <c r="K3122" s="10" t="s">
        <v>20</v>
      </c>
      <c r="L3122" s="11" t="n">
        <v>41145.2038773148</v>
      </c>
      <c r="M3122" s="12"/>
      <c r="N3122" s="12" t="s">
        <v>7683</v>
      </c>
      <c r="O3122" s="9" t="str">
        <f aca="false">HYPERLINK("https://pbs.twimg.com/profile_images/746402192882569216/i4UcwF4R_normal.jpg","View")</f>
        <v>View</v>
      </c>
      <c r="P3122" s="10"/>
    </row>
    <row r="3123" customFormat="false" ht="15.75" hidden="false" customHeight="false" outlineLevel="0" collapsed="false">
      <c r="A3123" s="6" t="n">
        <v>43030.3607986111</v>
      </c>
      <c r="B3123" s="7" t="str">
        <f aca="false">HYPERLINK("https://twitter.com/crburk916","@crburk916")</f>
        <v>@crburk916</v>
      </c>
      <c r="C3123" s="8" t="s">
        <v>7684</v>
      </c>
      <c r="D3123" s="8" t="s">
        <v>7515</v>
      </c>
      <c r="E3123" s="9" t="str">
        <f aca="false">HYPERLINK("https://twitter.com/crburk916/status/922125280629706752","922125280629706752")</f>
        <v>922125280629706752</v>
      </c>
      <c r="F3123" s="10" t="s">
        <v>51</v>
      </c>
      <c r="G3123" s="10" t="n">
        <v>2137</v>
      </c>
      <c r="H3123" s="10" t="n">
        <v>4962</v>
      </c>
      <c r="I3123" s="10" t="n">
        <v>25</v>
      </c>
      <c r="J3123" s="10" t="n">
        <v>0</v>
      </c>
      <c r="K3123" s="10" t="s">
        <v>20</v>
      </c>
      <c r="L3123" s="11" t="n">
        <v>40037.672337963</v>
      </c>
      <c r="M3123" s="12" t="s">
        <v>7685</v>
      </c>
      <c r="N3123" s="12" t="s">
        <v>7686</v>
      </c>
      <c r="O3123" s="9" t="str">
        <f aca="false">HYPERLINK("https://pbs.twimg.com/profile_images/871553202470178817/jCXA-fnb_normal.jpg","View")</f>
        <v>View</v>
      </c>
      <c r="P3123" s="10"/>
    </row>
    <row r="3124" customFormat="false" ht="15.75" hidden="false" customHeight="false" outlineLevel="0" collapsed="false">
      <c r="A3124" s="6" t="n">
        <v>43030.3607986111</v>
      </c>
      <c r="B3124" s="7" t="str">
        <f aca="false">HYPERLINK("https://twitter.com/BrachaRutkowska","@BrachaRutkowska")</f>
        <v>@BrachaRutkowska</v>
      </c>
      <c r="C3124" s="8" t="s">
        <v>7687</v>
      </c>
      <c r="D3124" s="8" t="s">
        <v>7688</v>
      </c>
      <c r="E3124" s="9" t="str">
        <f aca="false">HYPERLINK("https://twitter.com/BrachaRutkowska/status/922125281233637376","922125281233637376")</f>
        <v>922125281233637376</v>
      </c>
      <c r="F3124" s="10" t="s">
        <v>25</v>
      </c>
      <c r="G3124" s="10" t="n">
        <v>220</v>
      </c>
      <c r="H3124" s="10" t="n">
        <v>471</v>
      </c>
      <c r="I3124" s="10" t="n">
        <v>0</v>
      </c>
      <c r="J3124" s="10" t="n">
        <v>0</v>
      </c>
      <c r="K3124" s="10" t="s">
        <v>20</v>
      </c>
      <c r="L3124" s="11" t="n">
        <v>42136.5372569445</v>
      </c>
      <c r="M3124" s="12" t="s">
        <v>7689</v>
      </c>
      <c r="N3124" s="12" t="s">
        <v>7690</v>
      </c>
      <c r="O3124" s="9" t="str">
        <f aca="false">HYPERLINK("https://pbs.twimg.com/profile_images/914606129568731137/zCQzA-mA_normal.jpg","View")</f>
        <v>View</v>
      </c>
      <c r="P3124" s="10"/>
    </row>
    <row r="3125" customFormat="false" ht="15.75" hidden="false" customHeight="false" outlineLevel="0" collapsed="false">
      <c r="A3125" s="6" t="n">
        <v>43030.3608333333</v>
      </c>
      <c r="B3125" s="7" t="str">
        <f aca="false">HYPERLINK("https://twitter.com/INFOCELLNYC","@INFOCELLNYC")</f>
        <v>@INFOCELLNYC</v>
      </c>
      <c r="C3125" s="8" t="s">
        <v>7691</v>
      </c>
      <c r="D3125" s="8" t="s">
        <v>7692</v>
      </c>
      <c r="E3125" s="9" t="str">
        <f aca="false">HYPERLINK("https://twitter.com/INFOCELLNYC/status/922125292843433985","922125292843433985")</f>
        <v>922125292843433985</v>
      </c>
      <c r="F3125" s="10" t="s">
        <v>60</v>
      </c>
      <c r="G3125" s="10" t="n">
        <v>716</v>
      </c>
      <c r="H3125" s="10" t="n">
        <v>1503</v>
      </c>
      <c r="I3125" s="10" t="n">
        <v>0</v>
      </c>
      <c r="J3125" s="10" t="n">
        <v>0</v>
      </c>
      <c r="K3125" s="10" t="s">
        <v>20</v>
      </c>
      <c r="L3125" s="11" t="n">
        <v>41346.4520717593</v>
      </c>
      <c r="M3125" s="12"/>
      <c r="N3125" s="12" t="s">
        <v>7693</v>
      </c>
      <c r="O3125" s="9" t="str">
        <f aca="false">HYPERLINK("https://pbs.twimg.com/profile_images/3749469858/d3a714151a7b66baaf3741420e3cd9be_normal.jpeg","View")</f>
        <v>View</v>
      </c>
      <c r="P3125" s="10"/>
    </row>
    <row r="3126" customFormat="false" ht="15.75" hidden="false" customHeight="false" outlineLevel="0" collapsed="false">
      <c r="A3126" s="6" t="n">
        <v>43030.3614467593</v>
      </c>
      <c r="B3126" s="7" t="str">
        <f aca="false">HYPERLINK("https://twitter.com/xhertx","@xhertx")</f>
        <v>@xhertx</v>
      </c>
      <c r="C3126" s="8" t="s">
        <v>7694</v>
      </c>
      <c r="D3126" s="8" t="s">
        <v>7627</v>
      </c>
      <c r="E3126" s="9" t="str">
        <f aca="false">HYPERLINK("https://twitter.com/xhertx/status/922125516085317632","922125516085317632")</f>
        <v>922125516085317632</v>
      </c>
      <c r="F3126" s="10" t="s">
        <v>51</v>
      </c>
      <c r="G3126" s="10" t="n">
        <v>6669</v>
      </c>
      <c r="H3126" s="10" t="n">
        <v>5316</v>
      </c>
      <c r="I3126" s="10" t="n">
        <v>20</v>
      </c>
      <c r="J3126" s="10" t="n">
        <v>0</v>
      </c>
      <c r="K3126" s="10" t="s">
        <v>20</v>
      </c>
      <c r="L3126" s="11" t="n">
        <v>41797.3004513889</v>
      </c>
      <c r="M3126" s="12" t="s">
        <v>7695</v>
      </c>
      <c r="N3126" s="12" t="s">
        <v>7696</v>
      </c>
      <c r="O3126" s="9" t="str">
        <f aca="false">HYPERLINK("https://pbs.twimg.com/profile_images/490506969791221760/N1bMfNgD_normal.jpeg","View")</f>
        <v>View</v>
      </c>
      <c r="P3126" s="10"/>
    </row>
    <row r="3127" customFormat="false" ht="15.75" hidden="false" customHeight="false" outlineLevel="0" collapsed="false">
      <c r="A3127" s="6" t="n">
        <v>43030.3618055556</v>
      </c>
      <c r="B3127" s="7" t="str">
        <f aca="false">HYPERLINK("https://twitter.com/MaralynBurstein","@MaralynBurstein")</f>
        <v>@MaralynBurstein</v>
      </c>
      <c r="C3127" s="8" t="s">
        <v>7697</v>
      </c>
      <c r="D3127" s="8" t="s">
        <v>7669</v>
      </c>
      <c r="E3127" s="9" t="str">
        <f aca="false">HYPERLINK("https://twitter.com/MaralynBurstein/status/922125644301000704","922125644301000704")</f>
        <v>922125644301000704</v>
      </c>
      <c r="F3127" s="10" t="s">
        <v>39</v>
      </c>
      <c r="G3127" s="10" t="n">
        <v>1892</v>
      </c>
      <c r="H3127" s="10" t="n">
        <v>1846</v>
      </c>
      <c r="I3127" s="10" t="n">
        <v>5</v>
      </c>
      <c r="J3127" s="10" t="n">
        <v>0</v>
      </c>
      <c r="K3127" s="10" t="s">
        <v>20</v>
      </c>
      <c r="L3127" s="11" t="n">
        <v>41113.6343865741</v>
      </c>
      <c r="M3127" s="12" t="s">
        <v>7698</v>
      </c>
      <c r="N3127" s="12" t="s">
        <v>7699</v>
      </c>
      <c r="O3127" s="9" t="str">
        <f aca="false">HYPERLINK("https://pbs.twimg.com/profile_images/488827068038131713/tIcZySmf_normal.jpeg","View")</f>
        <v>View</v>
      </c>
      <c r="P3127" s="10"/>
    </row>
    <row r="3128" customFormat="false" ht="15.75" hidden="false" customHeight="false" outlineLevel="0" collapsed="false">
      <c r="A3128" s="6" t="n">
        <v>43030.3621064815</v>
      </c>
      <c r="B3128" s="7" t="str">
        <f aca="false">HYPERLINK("https://twitter.com/225269","@225269")</f>
        <v>@225269</v>
      </c>
      <c r="C3128" s="8" t="s">
        <v>7700</v>
      </c>
      <c r="D3128" s="8" t="s">
        <v>7701</v>
      </c>
      <c r="E3128" s="9" t="str">
        <f aca="false">HYPERLINK("https://twitter.com/225269/status/922125753055002624","922125753055002624")</f>
        <v>922125753055002624</v>
      </c>
      <c r="F3128" s="10" t="s">
        <v>25</v>
      </c>
      <c r="G3128" s="10" t="n">
        <v>789</v>
      </c>
      <c r="H3128" s="10" t="n">
        <v>797</v>
      </c>
      <c r="I3128" s="10" t="n">
        <v>0</v>
      </c>
      <c r="J3128" s="10" t="n">
        <v>0</v>
      </c>
      <c r="K3128" s="10" t="s">
        <v>20</v>
      </c>
      <c r="L3128" s="11" t="n">
        <v>41811.3009027778</v>
      </c>
      <c r="M3128" s="12" t="s">
        <v>7702</v>
      </c>
      <c r="N3128" s="12" t="s">
        <v>7703</v>
      </c>
      <c r="O3128" s="9" t="str">
        <f aca="false">HYPERLINK("https://pbs.twimg.com/profile_images/596597853495042048/oza3MMpK_normal.jpg","View")</f>
        <v>View</v>
      </c>
      <c r="P3128" s="10"/>
    </row>
    <row r="3129" customFormat="false" ht="15.75" hidden="false" customHeight="false" outlineLevel="0" collapsed="false">
      <c r="A3129" s="6" t="n">
        <v>43030.3624768519</v>
      </c>
      <c r="B3129" s="7" t="str">
        <f aca="false">HYPERLINK("https://twitter.com/jmhamiltonblog","@jmhamiltonblog")</f>
        <v>@jmhamiltonblog</v>
      </c>
      <c r="C3129" s="8" t="s">
        <v>1155</v>
      </c>
      <c r="D3129" s="8" t="s">
        <v>2518</v>
      </c>
      <c r="E3129" s="9" t="str">
        <f aca="false">HYPERLINK("https://twitter.com/jmhamiltonblog/status/922125888317206528","922125888317206528")</f>
        <v>922125888317206528</v>
      </c>
      <c r="F3129" s="10" t="s">
        <v>51</v>
      </c>
      <c r="G3129" s="10" t="n">
        <v>5960</v>
      </c>
      <c r="H3129" s="10" t="n">
        <v>5484</v>
      </c>
      <c r="I3129" s="10" t="n">
        <v>14</v>
      </c>
      <c r="J3129" s="10" t="n">
        <v>0</v>
      </c>
      <c r="K3129" s="10" t="s">
        <v>20</v>
      </c>
      <c r="L3129" s="11" t="n">
        <v>40565.4844675926</v>
      </c>
      <c r="M3129" s="12" t="s">
        <v>1156</v>
      </c>
      <c r="N3129" s="12" t="s">
        <v>1157</v>
      </c>
      <c r="O3129" s="9" t="str">
        <f aca="false">HYPERLINK("https://pbs.twimg.com/profile_images/1261161568/Camera_Phone_009_normal.jpg","View")</f>
        <v>View</v>
      </c>
      <c r="P3129" s="10"/>
    </row>
    <row r="3130" customFormat="false" ht="15.75" hidden="false" customHeight="false" outlineLevel="0" collapsed="false">
      <c r="A3130" s="6" t="n">
        <v>43030.3625</v>
      </c>
      <c r="B3130" s="7" t="str">
        <f aca="false">HYPERLINK("https://twitter.com/ZeliaLH","@ZeliaLH")</f>
        <v>@ZeliaLH</v>
      </c>
      <c r="C3130" s="8" t="s">
        <v>7704</v>
      </c>
      <c r="D3130" s="8" t="s">
        <v>7705</v>
      </c>
      <c r="E3130" s="9" t="str">
        <f aca="false">HYPERLINK("https://twitter.com/ZeliaLH/status/922125894503694336","922125894503694336")</f>
        <v>922125894503694336</v>
      </c>
      <c r="F3130" s="10" t="s">
        <v>39</v>
      </c>
      <c r="G3130" s="10" t="n">
        <v>172</v>
      </c>
      <c r="H3130" s="10" t="n">
        <v>76</v>
      </c>
      <c r="I3130" s="10" t="n">
        <v>1</v>
      </c>
      <c r="J3130" s="10" t="n">
        <v>0</v>
      </c>
      <c r="K3130" s="10" t="s">
        <v>20</v>
      </c>
      <c r="L3130" s="11" t="n">
        <v>39982.7789930556</v>
      </c>
      <c r="M3130" s="12" t="s">
        <v>1529</v>
      </c>
      <c r="N3130" s="12" t="s">
        <v>7706</v>
      </c>
      <c r="O3130" s="9" t="str">
        <f aca="false">HYPERLINK("https://pbs.twimg.com/profile_images/827422276727427073/pRm7NnV8_normal.jpg","View")</f>
        <v>View</v>
      </c>
      <c r="P3130" s="10"/>
    </row>
    <row r="3131" customFormat="false" ht="15.75" hidden="false" customHeight="false" outlineLevel="0" collapsed="false">
      <c r="A3131" s="6" t="n">
        <v>43030.3625578704</v>
      </c>
      <c r="B3131" s="7" t="str">
        <f aca="false">HYPERLINK("https://twitter.com/iMacHead","@iMacHead")</f>
        <v>@iMacHead</v>
      </c>
      <c r="C3131" s="8" t="s">
        <v>7707</v>
      </c>
      <c r="D3131" s="8" t="s">
        <v>7708</v>
      </c>
      <c r="E3131" s="9" t="str">
        <f aca="false">HYPERLINK("https://twitter.com/iMacHead/status/922125917929050112","922125917929050112")</f>
        <v>922125917929050112</v>
      </c>
      <c r="F3131" s="10" t="s">
        <v>51</v>
      </c>
      <c r="G3131" s="10" t="n">
        <v>598</v>
      </c>
      <c r="H3131" s="10" t="n">
        <v>1237</v>
      </c>
      <c r="I3131" s="10" t="n">
        <v>0</v>
      </c>
      <c r="J3131" s="10" t="n">
        <v>0</v>
      </c>
      <c r="K3131" s="10" t="s">
        <v>20</v>
      </c>
      <c r="L3131" s="11" t="n">
        <v>39760.7518634259</v>
      </c>
      <c r="M3131" s="12" t="s">
        <v>7709</v>
      </c>
      <c r="N3131" s="12" t="s">
        <v>7710</v>
      </c>
      <c r="O3131" s="9" t="str">
        <f aca="false">HYPERLINK("https://pbs.twimg.com/profile_images/887384141708365824/JUxEV1tV_normal.jpg","View")</f>
        <v>View</v>
      </c>
      <c r="P3131" s="10"/>
    </row>
    <row r="3132" customFormat="false" ht="15.75" hidden="false" customHeight="false" outlineLevel="0" collapsed="false">
      <c r="A3132" s="6" t="n">
        <v>43030.3628356482</v>
      </c>
      <c r="B3132" s="7" t="str">
        <f aca="false">HYPERLINK("https://twitter.com/81ILoveJapan","@81ILoveJapan")</f>
        <v>@81ILoveJapan</v>
      </c>
      <c r="C3132" s="8" t="s">
        <v>7711</v>
      </c>
      <c r="D3132" s="8" t="s">
        <v>7712</v>
      </c>
      <c r="E3132" s="9" t="str">
        <f aca="false">HYPERLINK("https://twitter.com/81ILoveJapan/status/922126017279463425","922126017279463425")</f>
        <v>922126017279463425</v>
      </c>
      <c r="F3132" s="10" t="s">
        <v>7713</v>
      </c>
      <c r="G3132" s="10" t="n">
        <v>100</v>
      </c>
      <c r="H3132" s="10" t="n">
        <v>501</v>
      </c>
      <c r="I3132" s="10" t="n">
        <v>1</v>
      </c>
      <c r="J3132" s="10" t="n">
        <v>0</v>
      </c>
      <c r="K3132" s="10" t="s">
        <v>20</v>
      </c>
      <c r="L3132" s="11" t="n">
        <v>43017.0147569444</v>
      </c>
      <c r="M3132" s="12"/>
      <c r="N3132" s="12"/>
      <c r="O3132" s="9" t="str">
        <f aca="false">HYPERLINK("https://pbs.twimg.com/profile_images/917294754252996614/2lWRChsz_normal.jpg","View")</f>
        <v>View</v>
      </c>
      <c r="P3132" s="10"/>
    </row>
    <row r="3133" customFormat="false" ht="15.75" hidden="false" customHeight="false" outlineLevel="0" collapsed="false">
      <c r="A3133" s="6" t="n">
        <v>43030.3629513889</v>
      </c>
      <c r="B3133" s="7" t="str">
        <f aca="false">HYPERLINK("https://twitter.com/CherryCoffeeLou","@CherryCoffeeLou")</f>
        <v>@CherryCoffeeLou</v>
      </c>
      <c r="C3133" s="8" t="s">
        <v>7714</v>
      </c>
      <c r="D3133" s="8" t="s">
        <v>7715</v>
      </c>
      <c r="E3133" s="9" t="str">
        <f aca="false">HYPERLINK("https://twitter.com/CherryCoffeeLou/status/922126057930715136","922126057930715136")</f>
        <v>922126057930715136</v>
      </c>
      <c r="F3133" s="10" t="s">
        <v>51</v>
      </c>
      <c r="G3133" s="10" t="n">
        <v>820</v>
      </c>
      <c r="H3133" s="10" t="n">
        <v>1804</v>
      </c>
      <c r="I3133" s="10" t="n">
        <v>0</v>
      </c>
      <c r="J3133" s="10" t="n">
        <v>0</v>
      </c>
      <c r="K3133" s="10" t="s">
        <v>20</v>
      </c>
      <c r="L3133" s="11" t="n">
        <v>41591.3440277778</v>
      </c>
      <c r="M3133" s="12" t="s">
        <v>7716</v>
      </c>
      <c r="N3133" s="12" t="s">
        <v>7717</v>
      </c>
      <c r="O3133" s="9" t="str">
        <f aca="false">HYPERLINK("https://pbs.twimg.com/profile_images/626437978307620864/EquBXyah_normal.jpg","View")</f>
        <v>View</v>
      </c>
      <c r="P3133" s="10"/>
    </row>
    <row r="3134" customFormat="false" ht="15.75" hidden="false" customHeight="false" outlineLevel="0" collapsed="false">
      <c r="A3134" s="6" t="n">
        <v>43030.363287037</v>
      </c>
      <c r="B3134" s="7" t="str">
        <f aca="false">HYPERLINK("https://twitter.com/AParyaniEdified","@AParyaniEdified")</f>
        <v>@AParyaniEdified</v>
      </c>
      <c r="C3134" s="8" t="s">
        <v>7718</v>
      </c>
      <c r="D3134" s="8" t="s">
        <v>7719</v>
      </c>
      <c r="E3134" s="9" t="str">
        <f aca="false">HYPERLINK("https://twitter.com/AParyaniEdified/status/922126180723159041","922126180723159041")</f>
        <v>922126180723159041</v>
      </c>
      <c r="F3134" s="10" t="s">
        <v>51</v>
      </c>
      <c r="G3134" s="10" t="n">
        <v>250</v>
      </c>
      <c r="H3134" s="10" t="n">
        <v>520</v>
      </c>
      <c r="I3134" s="10" t="n">
        <v>0</v>
      </c>
      <c r="J3134" s="10" t="n">
        <v>0</v>
      </c>
      <c r="K3134" s="10" t="s">
        <v>20</v>
      </c>
      <c r="L3134" s="11" t="n">
        <v>40853.5042361111</v>
      </c>
      <c r="M3134" s="12" t="s">
        <v>7720</v>
      </c>
      <c r="N3134" s="12" t="s">
        <v>7721</v>
      </c>
      <c r="O3134" s="9" t="str">
        <f aca="false">HYPERLINK("https://pbs.twimg.com/profile_images/721350935814004738/R7ZPyl4K_normal.jpg","View")</f>
        <v>View</v>
      </c>
      <c r="P3134" s="10"/>
    </row>
    <row r="3135" customFormat="false" ht="15.75" hidden="false" customHeight="false" outlineLevel="0" collapsed="false">
      <c r="A3135" s="6" t="n">
        <v>43030.3635416667</v>
      </c>
      <c r="B3135" s="7" t="str">
        <f aca="false">HYPERLINK("https://twitter.com/alfonslopeztena","@alfonslopeztena")</f>
        <v>@alfonslopeztena</v>
      </c>
      <c r="C3135" s="8" t="s">
        <v>7722</v>
      </c>
      <c r="D3135" s="8" t="s">
        <v>7723</v>
      </c>
      <c r="E3135" s="9" t="str">
        <f aca="false">HYPERLINK("https://twitter.com/alfonslopeztena/status/922126274046414848","922126274046414848")</f>
        <v>922126274046414848</v>
      </c>
      <c r="F3135" s="10" t="s">
        <v>51</v>
      </c>
      <c r="G3135" s="10" t="n">
        <v>102915</v>
      </c>
      <c r="H3135" s="10" t="n">
        <v>21546</v>
      </c>
      <c r="I3135" s="10" t="n">
        <v>31</v>
      </c>
      <c r="J3135" s="10" t="n">
        <v>28</v>
      </c>
      <c r="K3135" s="10" t="s">
        <v>20</v>
      </c>
      <c r="L3135" s="11" t="n">
        <v>40696.3249189815</v>
      </c>
      <c r="M3135" s="12" t="s">
        <v>7724</v>
      </c>
      <c r="N3135" s="12" t="s">
        <v>7725</v>
      </c>
      <c r="O3135" s="9" t="str">
        <f aca="false">HYPERLINK("https://pbs.twimg.com/profile_images/859622516989587459/V7xwxilP_normal.jpg","View")</f>
        <v>View</v>
      </c>
      <c r="P3135" s="10"/>
    </row>
    <row r="3136" customFormat="false" ht="15.75" hidden="false" customHeight="false" outlineLevel="0" collapsed="false">
      <c r="A3136" s="6" t="n">
        <v>43030.363599537</v>
      </c>
      <c r="B3136" s="7" t="str">
        <f aca="false">HYPERLINK("https://twitter.com/haque_shahidul","@haque_shahidul")</f>
        <v>@haque_shahidul</v>
      </c>
      <c r="C3136" s="8" t="s">
        <v>7726</v>
      </c>
      <c r="D3136" s="8" t="s">
        <v>7727</v>
      </c>
      <c r="E3136" s="9" t="str">
        <f aca="false">HYPERLINK("https://twitter.com/haque_shahidul/status/922126296271880192","922126296271880192")</f>
        <v>922126296271880192</v>
      </c>
      <c r="F3136" s="10" t="s">
        <v>39</v>
      </c>
      <c r="G3136" s="10" t="n">
        <v>155</v>
      </c>
      <c r="H3136" s="10" t="n">
        <v>454</v>
      </c>
      <c r="I3136" s="10" t="n">
        <v>0</v>
      </c>
      <c r="J3136" s="10" t="n">
        <v>0</v>
      </c>
      <c r="K3136" s="10" t="s">
        <v>20</v>
      </c>
      <c r="L3136" s="11" t="n">
        <v>41468.4115509259</v>
      </c>
      <c r="M3136" s="12" t="s">
        <v>2875</v>
      </c>
      <c r="N3136" s="12" t="s">
        <v>7728</v>
      </c>
      <c r="O3136" s="9" t="str">
        <f aca="false">HYPERLINK("https://pbs.twimg.com/profile_images/751049717472198656/Y9Qmtk1T_normal.jpg","View")</f>
        <v>View</v>
      </c>
      <c r="P3136" s="10"/>
    </row>
    <row r="3137" customFormat="false" ht="15.75" hidden="false" customHeight="false" outlineLevel="0" collapsed="false">
      <c r="A3137" s="6" t="n">
        <v>43030.3636458333</v>
      </c>
      <c r="B3137" s="7" t="str">
        <f aca="false">HYPERLINK("https://twitter.com/off1cthewiz","@off1cthewiz")</f>
        <v>@off1cthewiz</v>
      </c>
      <c r="C3137" s="8" t="s">
        <v>7729</v>
      </c>
      <c r="D3137" s="8" t="s">
        <v>7730</v>
      </c>
      <c r="E3137" s="9" t="str">
        <f aca="false">HYPERLINK("https://twitter.com/off1cthewiz/status/922126310624911361","922126310624911361")</f>
        <v>922126310624911361</v>
      </c>
      <c r="F3137" s="10" t="s">
        <v>25</v>
      </c>
      <c r="G3137" s="10" t="n">
        <v>54</v>
      </c>
      <c r="H3137" s="10" t="n">
        <v>1298</v>
      </c>
      <c r="I3137" s="10" t="n">
        <v>5</v>
      </c>
      <c r="J3137" s="10" t="n">
        <v>0</v>
      </c>
      <c r="K3137" s="10" t="s">
        <v>20</v>
      </c>
      <c r="L3137" s="11" t="n">
        <v>41744.3920833333</v>
      </c>
      <c r="M3137" s="12" t="s">
        <v>798</v>
      </c>
      <c r="N3137" s="12" t="s">
        <v>7731</v>
      </c>
      <c r="O3137" s="9" t="str">
        <f aca="false">HYPERLINK("https://pbs.twimg.com/profile_images/749734543901458432/zimmRAQm_normal.jpg","View")</f>
        <v>View</v>
      </c>
      <c r="P3137" s="10"/>
    </row>
    <row r="3138" customFormat="false" ht="15.75" hidden="false" customHeight="false" outlineLevel="0" collapsed="false">
      <c r="A3138" s="6" t="n">
        <v>43030.3641898148</v>
      </c>
      <c r="B3138" s="7" t="str">
        <f aca="false">HYPERLINK("https://twitter.com/CIMAGES","@CIMAGES")</f>
        <v>@CIMAGES</v>
      </c>
      <c r="C3138" s="8" t="s">
        <v>7305</v>
      </c>
      <c r="D3138" s="8" t="s">
        <v>7627</v>
      </c>
      <c r="E3138" s="9" t="str">
        <f aca="false">HYPERLINK("https://twitter.com/CIMAGES/status/922126509380390913","922126509380390913")</f>
        <v>922126509380390913</v>
      </c>
      <c r="F3138" s="10" t="s">
        <v>39</v>
      </c>
      <c r="G3138" s="10" t="n">
        <v>627</v>
      </c>
      <c r="H3138" s="10" t="n">
        <v>1203</v>
      </c>
      <c r="I3138" s="10" t="n">
        <v>20</v>
      </c>
      <c r="J3138" s="10" t="n">
        <v>0</v>
      </c>
      <c r="K3138" s="10" t="s">
        <v>20</v>
      </c>
      <c r="L3138" s="11" t="n">
        <v>40683.158900463</v>
      </c>
      <c r="M3138" s="12" t="s">
        <v>7306</v>
      </c>
      <c r="N3138" s="12" t="s">
        <v>7307</v>
      </c>
      <c r="O3138" s="9" t="str">
        <f aca="false">HYPERLINK("https://pbs.twimg.com/profile_images/1372139203/PLanet_RoB_normal.jpeg","View")</f>
        <v>View</v>
      </c>
      <c r="P3138" s="10"/>
    </row>
    <row r="3139" customFormat="false" ht="15.75" hidden="false" customHeight="false" outlineLevel="0" collapsed="false">
      <c r="A3139" s="6" t="n">
        <v>43030.3642592593</v>
      </c>
      <c r="B3139" s="7" t="str">
        <f aca="false">HYPERLINK("https://twitter.com/dwnews","@dwnews")</f>
        <v>@dwnews</v>
      </c>
      <c r="C3139" s="8" t="s">
        <v>3526</v>
      </c>
      <c r="D3139" s="8" t="s">
        <v>7732</v>
      </c>
      <c r="E3139" s="9" t="str">
        <f aca="false">HYPERLINK("https://twitter.com/dwnews/status/922126535372562434","922126535372562434")</f>
        <v>922126535372562434</v>
      </c>
      <c r="F3139" s="10" t="s">
        <v>268</v>
      </c>
      <c r="G3139" s="10" t="n">
        <v>160613</v>
      </c>
      <c r="H3139" s="10" t="n">
        <v>866</v>
      </c>
      <c r="I3139" s="10" t="n">
        <v>20</v>
      </c>
      <c r="J3139" s="10" t="n">
        <v>15</v>
      </c>
      <c r="K3139" s="10" t="s">
        <v>20</v>
      </c>
      <c r="L3139" s="11" t="n">
        <v>39220.1672453704</v>
      </c>
      <c r="M3139" s="12" t="s">
        <v>3528</v>
      </c>
      <c r="N3139" s="12" t="s">
        <v>3529</v>
      </c>
      <c r="O3139" s="9" t="str">
        <f aca="false">HYPERLINK("https://pbs.twimg.com/profile_images/900261211509489666/-1Fu5hU8_normal.jpg","View")</f>
        <v>View</v>
      </c>
      <c r="P3139" s="10"/>
    </row>
    <row r="3140" customFormat="false" ht="15.75" hidden="false" customHeight="false" outlineLevel="0" collapsed="false">
      <c r="A3140" s="6" t="n">
        <v>43030.3642708333</v>
      </c>
      <c r="B3140" s="7" t="str">
        <f aca="false">HYPERLINK("https://twitter.com/zalinamarkova33","@zalinamarkova33")</f>
        <v>@zalinamarkova33</v>
      </c>
      <c r="C3140" s="8" t="s">
        <v>7733</v>
      </c>
      <c r="D3140" s="8" t="s">
        <v>7734</v>
      </c>
      <c r="E3140" s="9" t="str">
        <f aca="false">HYPERLINK("https://twitter.com/zalinamarkova33/status/922126536940990464","922126536940990464")</f>
        <v>922126536940990464</v>
      </c>
      <c r="F3140" s="9" t="s">
        <v>1147</v>
      </c>
      <c r="G3140" s="10" t="n">
        <v>0</v>
      </c>
      <c r="H3140" s="10" t="n">
        <v>0</v>
      </c>
      <c r="I3140" s="10" t="n">
        <v>0</v>
      </c>
      <c r="J3140" s="10" t="n">
        <v>0</v>
      </c>
      <c r="K3140" s="10" t="s">
        <v>20</v>
      </c>
      <c r="L3140" s="11" t="n">
        <v>42949.6518634259</v>
      </c>
      <c r="M3140" s="12"/>
      <c r="N3140" s="12"/>
      <c r="O3140" s="9" t="str">
        <f aca="false">HYPERLINK("https://pbs.twimg.com/profile_images/920847454529916928/yXl883tU_normal.jpg","View")</f>
        <v>View</v>
      </c>
      <c r="P3140" s="10"/>
    </row>
    <row r="3141" customFormat="false" ht="15.75" hidden="false" customHeight="false" outlineLevel="0" collapsed="false">
      <c r="A3141" s="6" t="n">
        <v>43030.3644560185</v>
      </c>
      <c r="B3141" s="7" t="str">
        <f aca="false">HYPERLINK("https://twitter.com/NWarind","@NWarind")</f>
        <v>@NWarind</v>
      </c>
      <c r="C3141" s="8" t="s">
        <v>7735</v>
      </c>
      <c r="D3141" s="8" t="s">
        <v>7736</v>
      </c>
      <c r="E3141" s="9" t="str">
        <f aca="false">HYPERLINK("https://twitter.com/NWarind/status/922126602787487745","922126602787487745")</f>
        <v>922126602787487745</v>
      </c>
      <c r="F3141" s="10" t="s">
        <v>51</v>
      </c>
      <c r="G3141" s="10" t="n">
        <v>1588</v>
      </c>
      <c r="H3141" s="10" t="n">
        <v>703</v>
      </c>
      <c r="I3141" s="10" t="n">
        <v>31</v>
      </c>
      <c r="J3141" s="10" t="n">
        <v>0</v>
      </c>
      <c r="K3141" s="10" t="s">
        <v>20</v>
      </c>
      <c r="L3141" s="11" t="n">
        <v>41132.611400463</v>
      </c>
      <c r="M3141" s="12" t="s">
        <v>7737</v>
      </c>
      <c r="N3141" s="12" t="s">
        <v>7738</v>
      </c>
      <c r="O3141" s="9" t="str">
        <f aca="false">HYPERLINK("https://pbs.twimg.com/profile_images/447816450179227648/0XqRD6wu_normal.jpeg","View")</f>
        <v>View</v>
      </c>
      <c r="P3141" s="10"/>
    </row>
    <row r="3142" customFormat="false" ht="15.75" hidden="false" customHeight="false" outlineLevel="0" collapsed="false">
      <c r="A3142" s="6" t="n">
        <v>43030.3646527778</v>
      </c>
      <c r="B3142" s="7" t="str">
        <f aca="false">HYPERLINK("https://twitter.com/Sagar4000","@Sagar4000")</f>
        <v>@Sagar4000</v>
      </c>
      <c r="C3142" s="8" t="s">
        <v>7739</v>
      </c>
      <c r="D3142" s="8" t="s">
        <v>7736</v>
      </c>
      <c r="E3142" s="9" t="str">
        <f aca="false">HYPERLINK("https://twitter.com/Sagar4000/status/922126675982372864","922126675982372864")</f>
        <v>922126675982372864</v>
      </c>
      <c r="F3142" s="10" t="s">
        <v>25</v>
      </c>
      <c r="G3142" s="10" t="n">
        <v>169</v>
      </c>
      <c r="H3142" s="10" t="n">
        <v>537</v>
      </c>
      <c r="I3142" s="10" t="n">
        <v>31</v>
      </c>
      <c r="J3142" s="10" t="n">
        <v>0</v>
      </c>
      <c r="K3142" s="10" t="s">
        <v>20</v>
      </c>
      <c r="L3142" s="11" t="n">
        <v>41275.34125</v>
      </c>
      <c r="M3142" s="12" t="s">
        <v>7740</v>
      </c>
      <c r="N3142" s="12" t="s">
        <v>7741</v>
      </c>
      <c r="O3142" s="9" t="str">
        <f aca="false">HYPERLINK("https://pbs.twimg.com/profile_images/764459969999548417/QSXQjfsF_normal.jpg","View")</f>
        <v>View</v>
      </c>
      <c r="P3142" s="10"/>
    </row>
    <row r="3143" customFormat="false" ht="15.75" hidden="false" customHeight="false" outlineLevel="0" collapsed="false">
      <c r="A3143" s="6" t="n">
        <v>43030.3647222222</v>
      </c>
      <c r="B3143" s="7" t="str">
        <f aca="false">HYPERLINK("https://twitter.com/KundaBakes","@KundaBakes")</f>
        <v>@KundaBakes</v>
      </c>
      <c r="C3143" s="8" t="s">
        <v>7742</v>
      </c>
      <c r="D3143" s="8" t="s">
        <v>7736</v>
      </c>
      <c r="E3143" s="9" t="str">
        <f aca="false">HYPERLINK("https://twitter.com/KundaBakes/status/922126701064224770","922126701064224770")</f>
        <v>922126701064224770</v>
      </c>
      <c r="F3143" s="10" t="s">
        <v>25</v>
      </c>
      <c r="G3143" s="10" t="n">
        <v>1642</v>
      </c>
      <c r="H3143" s="10" t="n">
        <v>1883</v>
      </c>
      <c r="I3143" s="10" t="n">
        <v>31</v>
      </c>
      <c r="J3143" s="10" t="n">
        <v>0</v>
      </c>
      <c r="K3143" s="10" t="s">
        <v>20</v>
      </c>
      <c r="L3143" s="11" t="n">
        <v>41425.6399537037</v>
      </c>
      <c r="M3143" s="12"/>
      <c r="N3143" s="12" t="s">
        <v>7743</v>
      </c>
      <c r="O3143" s="9" t="str">
        <f aca="false">HYPERLINK("https://pbs.twimg.com/profile_images/482728086484844544/bLHpI-oK_normal.jpeg","View")</f>
        <v>View</v>
      </c>
      <c r="P3143" s="10"/>
    </row>
    <row r="3144" customFormat="false" ht="15.75" hidden="false" customHeight="false" outlineLevel="0" collapsed="false">
      <c r="A3144" s="6" t="n">
        <v>43030.3647685185</v>
      </c>
      <c r="B3144" s="7" t="str">
        <f aca="false">HYPERLINK("https://twitter.com/alienobserver1","@alienobserver1")</f>
        <v>@alienobserver1</v>
      </c>
      <c r="C3144" s="8" t="s">
        <v>7744</v>
      </c>
      <c r="D3144" s="8" t="s">
        <v>4984</v>
      </c>
      <c r="E3144" s="9" t="str">
        <f aca="false">HYPERLINK("https://twitter.com/alienobserver1/status/922126719133163521","922126719133163521")</f>
        <v>922126719133163521</v>
      </c>
      <c r="F3144" s="10" t="s">
        <v>25</v>
      </c>
      <c r="G3144" s="10" t="n">
        <v>479</v>
      </c>
      <c r="H3144" s="10" t="n">
        <v>131</v>
      </c>
      <c r="I3144" s="10" t="n">
        <v>187</v>
      </c>
      <c r="J3144" s="10" t="n">
        <v>0</v>
      </c>
      <c r="K3144" s="10" t="s">
        <v>20</v>
      </c>
      <c r="L3144" s="11" t="n">
        <v>40613.2324884259</v>
      </c>
      <c r="M3144" s="12" t="s">
        <v>7745</v>
      </c>
      <c r="N3144" s="12" t="s">
        <v>7746</v>
      </c>
      <c r="O3144" s="9" t="str">
        <f aca="false">HYPERLINK("https://pbs.twimg.com/profile_images/1271582658/sun_normal.JPG","View")</f>
        <v>View</v>
      </c>
      <c r="P3144" s="10"/>
    </row>
    <row r="3145" customFormat="false" ht="15.75" hidden="false" customHeight="false" outlineLevel="0" collapsed="false">
      <c r="A3145" s="6" t="n">
        <v>43030.3650578704</v>
      </c>
      <c r="B3145" s="7" t="str">
        <f aca="false">HYPERLINK("https://twitter.com/andrewcoventry6","@andrewcoventry6")</f>
        <v>@andrewcoventry6</v>
      </c>
      <c r="C3145" s="8" t="s">
        <v>7747</v>
      </c>
      <c r="D3145" s="8" t="s">
        <v>7736</v>
      </c>
      <c r="E3145" s="9" t="str">
        <f aca="false">HYPERLINK("https://twitter.com/andrewcoventry6/status/922126824628523008","922126824628523008")</f>
        <v>922126824628523008</v>
      </c>
      <c r="F3145" s="10" t="s">
        <v>3790</v>
      </c>
      <c r="G3145" s="10" t="n">
        <v>325</v>
      </c>
      <c r="H3145" s="10" t="n">
        <v>506</v>
      </c>
      <c r="I3145" s="10" t="n">
        <v>31</v>
      </c>
      <c r="J3145" s="10" t="n">
        <v>0</v>
      </c>
      <c r="K3145" s="10" t="s">
        <v>20</v>
      </c>
      <c r="L3145" s="11" t="n">
        <v>40298.1655902778</v>
      </c>
      <c r="M3145" s="12" t="s">
        <v>7748</v>
      </c>
      <c r="N3145" s="12" t="s">
        <v>7749</v>
      </c>
      <c r="O3145" s="9" t="str">
        <f aca="false">HYPERLINK("https://pbs.twimg.com/profile_images/543539845583220736/yAP418cw_normal.jpeg","View")</f>
        <v>View</v>
      </c>
      <c r="P3145" s="10"/>
    </row>
    <row r="3146" customFormat="false" ht="15.75" hidden="false" customHeight="false" outlineLevel="0" collapsed="false">
      <c r="A3146" s="6" t="n">
        <v>43030.3651273148</v>
      </c>
      <c r="B3146" s="7" t="str">
        <f aca="false">HYPERLINK("https://twitter.com/PMunozLorite","@PMunozLorite")</f>
        <v>@PMunozLorite</v>
      </c>
      <c r="C3146" s="8" t="s">
        <v>351</v>
      </c>
      <c r="D3146" s="8" t="s">
        <v>7750</v>
      </c>
      <c r="E3146" s="9" t="str">
        <f aca="false">HYPERLINK("https://twitter.com/PMunozLorite/status/922126846803808257","922126846803808257")</f>
        <v>922126846803808257</v>
      </c>
      <c r="F3146" s="10" t="s">
        <v>110</v>
      </c>
      <c r="G3146" s="10" t="n">
        <v>2678</v>
      </c>
      <c r="H3146" s="10" t="n">
        <v>4946</v>
      </c>
      <c r="I3146" s="10" t="n">
        <v>0</v>
      </c>
      <c r="J3146" s="10" t="n">
        <v>0</v>
      </c>
      <c r="K3146" s="10" t="s">
        <v>20</v>
      </c>
      <c r="L3146" s="11" t="n">
        <v>39769.5892939815</v>
      </c>
      <c r="M3146" s="12" t="s">
        <v>353</v>
      </c>
      <c r="N3146" s="12" t="s">
        <v>354</v>
      </c>
      <c r="O3146" s="9" t="str">
        <f aca="false">HYPERLINK("https://pbs.twimg.com/profile_images/574247662901403648/LzeOfYmt_normal.jpeg","View")</f>
        <v>View</v>
      </c>
      <c r="P3146" s="10"/>
    </row>
    <row r="3147" customFormat="false" ht="15.75" hidden="false" customHeight="false" outlineLevel="0" collapsed="false">
      <c r="A3147" s="6" t="n">
        <v>43030.3651388889</v>
      </c>
      <c r="B3147" s="7" t="str">
        <f aca="false">HYPERLINK("https://twitter.com/dscullylimerick","@dscullylimerick")</f>
        <v>@dscullylimerick</v>
      </c>
      <c r="C3147" s="8" t="s">
        <v>7751</v>
      </c>
      <c r="D3147" s="8" t="s">
        <v>7736</v>
      </c>
      <c r="E3147" s="9" t="str">
        <f aca="false">HYPERLINK("https://twitter.com/dscullylimerick/status/922126853577629697","922126853577629697")</f>
        <v>922126853577629697</v>
      </c>
      <c r="F3147" s="10" t="s">
        <v>25</v>
      </c>
      <c r="G3147" s="10" t="n">
        <v>836</v>
      </c>
      <c r="H3147" s="10" t="n">
        <v>1089</v>
      </c>
      <c r="I3147" s="10" t="n">
        <v>31</v>
      </c>
      <c r="J3147" s="10" t="n">
        <v>0</v>
      </c>
      <c r="K3147" s="10" t="s">
        <v>20</v>
      </c>
      <c r="L3147" s="11" t="n">
        <v>40465.208125</v>
      </c>
      <c r="M3147" s="12" t="s">
        <v>7752</v>
      </c>
      <c r="N3147" s="12" t="s">
        <v>7753</v>
      </c>
      <c r="O3147" s="9" t="str">
        <f aca="false">HYPERLINK("https://pbs.twimg.com/profile_images/1144610936/diarmuid_mainpic_small_normal.jpg","View")</f>
        <v>View</v>
      </c>
      <c r="P3147" s="10"/>
    </row>
    <row r="3148" customFormat="false" ht="15.75" hidden="false" customHeight="false" outlineLevel="0" collapsed="false">
      <c r="A3148" s="6" t="n">
        <v>43030.3653472222</v>
      </c>
      <c r="B3148" s="7" t="str">
        <f aca="false">HYPERLINK("https://twitter.com/RabTheWolf","@RabTheWolf")</f>
        <v>@RabTheWolf</v>
      </c>
      <c r="C3148" s="8" t="s">
        <v>7417</v>
      </c>
      <c r="D3148" s="8" t="s">
        <v>7754</v>
      </c>
      <c r="E3148" s="9" t="str">
        <f aca="false">HYPERLINK("https://twitter.com/RabTheWolf/status/922126927300661254","922126927300661254")</f>
        <v>922126927300661254</v>
      </c>
      <c r="F3148" s="10" t="s">
        <v>51</v>
      </c>
      <c r="G3148" s="10" t="n">
        <v>142</v>
      </c>
      <c r="H3148" s="10" t="n">
        <v>491</v>
      </c>
      <c r="I3148" s="10" t="n">
        <v>20</v>
      </c>
      <c r="J3148" s="10" t="n">
        <v>0</v>
      </c>
      <c r="K3148" s="10" t="s">
        <v>20</v>
      </c>
      <c r="L3148" s="11" t="n">
        <v>42885.6814699074</v>
      </c>
      <c r="M3148" s="12" t="s">
        <v>7418</v>
      </c>
      <c r="N3148" s="12" t="s">
        <v>7419</v>
      </c>
      <c r="O3148" s="9" t="str">
        <f aca="false">HYPERLINK("https://pbs.twimg.com/profile_images/879403037252501504/zBN-MbuB_normal.jpg","View")</f>
        <v>View</v>
      </c>
      <c r="P3148" s="10"/>
    </row>
    <row r="3149" customFormat="false" ht="15.75" hidden="false" customHeight="false" outlineLevel="0" collapsed="false">
      <c r="A3149" s="6" t="n">
        <v>43030.3654513889</v>
      </c>
      <c r="B3149" s="7" t="str">
        <f aca="false">HYPERLINK("https://twitter.com/magali23_magali","@magali23_magali")</f>
        <v>@magali23_magali</v>
      </c>
      <c r="C3149" s="8" t="s">
        <v>7755</v>
      </c>
      <c r="D3149" s="8" t="s">
        <v>7756</v>
      </c>
      <c r="E3149" s="9" t="str">
        <f aca="false">HYPERLINK("https://twitter.com/magali23_magali/status/922126966899298304","922126966899298304")</f>
        <v>922126966899298304</v>
      </c>
      <c r="F3149" s="10" t="s">
        <v>51</v>
      </c>
      <c r="G3149" s="10" t="n">
        <v>235</v>
      </c>
      <c r="H3149" s="10" t="n">
        <v>1984</v>
      </c>
      <c r="I3149" s="10" t="n">
        <v>0</v>
      </c>
      <c r="J3149" s="10" t="n">
        <v>0</v>
      </c>
      <c r="K3149" s="10" t="s">
        <v>20</v>
      </c>
      <c r="L3149" s="11" t="n">
        <v>41042.5733101852</v>
      </c>
      <c r="M3149" s="12"/>
      <c r="N3149" s="12"/>
      <c r="O3149" s="9" t="str">
        <f aca="false">HYPERLINK("https://pbs.twimg.com/profile_images/600662883630981120/ZkGWBTMn_normal.png","View")</f>
        <v>View</v>
      </c>
      <c r="P3149" s="10"/>
    </row>
    <row r="3150" customFormat="false" ht="15.75" hidden="false" customHeight="false" outlineLevel="0" collapsed="false">
      <c r="A3150" s="6" t="n">
        <v>43030.3656597222</v>
      </c>
      <c r="B3150" s="7" t="str">
        <f aca="false">HYPERLINK("https://twitter.com/LetsBeEquals","@LetsBeEquals")</f>
        <v>@LetsBeEquals</v>
      </c>
      <c r="C3150" s="8" t="s">
        <v>7757</v>
      </c>
      <c r="D3150" s="8" t="s">
        <v>7758</v>
      </c>
      <c r="E3150" s="9" t="str">
        <f aca="false">HYPERLINK("https://twitter.com/LetsBeEquals/status/922127040391892992","922127040391892992")</f>
        <v>922127040391892992</v>
      </c>
      <c r="F3150" s="9" t="s">
        <v>2138</v>
      </c>
      <c r="G3150" s="10" t="n">
        <v>191</v>
      </c>
      <c r="H3150" s="10" t="n">
        <v>287</v>
      </c>
      <c r="I3150" s="10" t="n">
        <v>0</v>
      </c>
      <c r="J3150" s="10" t="n">
        <v>0</v>
      </c>
      <c r="K3150" s="10" t="s">
        <v>20</v>
      </c>
      <c r="L3150" s="11" t="n">
        <v>42214.2821759259</v>
      </c>
      <c r="M3150" s="12"/>
      <c r="N3150" s="12" t="s">
        <v>7759</v>
      </c>
      <c r="O3150" s="9" t="str">
        <f aca="false">HYPERLINK("https://pbs.twimg.com/profile_images/626388691385122816/SnVIGBcR_normal.jpg","View")</f>
        <v>View</v>
      </c>
      <c r="P3150" s="10"/>
    </row>
    <row r="3151" customFormat="false" ht="15.75" hidden="false" customHeight="false" outlineLevel="0" collapsed="false">
      <c r="A3151" s="6" t="n">
        <v>43030.3657175926</v>
      </c>
      <c r="B3151" s="7" t="str">
        <f aca="false">HYPERLINK("https://twitter.com/PRaghu1232","@PRaghu1232")</f>
        <v>@PRaghu1232</v>
      </c>
      <c r="C3151" s="8" t="s">
        <v>7760</v>
      </c>
      <c r="D3151" s="8" t="s">
        <v>7736</v>
      </c>
      <c r="E3151" s="9" t="str">
        <f aca="false">HYPERLINK("https://twitter.com/PRaghu1232/status/922127060012814342","922127060012814342")</f>
        <v>922127060012814342</v>
      </c>
      <c r="F3151" s="10" t="s">
        <v>25</v>
      </c>
      <c r="G3151" s="10" t="n">
        <v>157</v>
      </c>
      <c r="H3151" s="10" t="n">
        <v>414</v>
      </c>
      <c r="I3151" s="10" t="n">
        <v>31</v>
      </c>
      <c r="J3151" s="10" t="n">
        <v>0</v>
      </c>
      <c r="K3151" s="10" t="s">
        <v>20</v>
      </c>
      <c r="L3151" s="11" t="n">
        <v>42660.1344791667</v>
      </c>
      <c r="M3151" s="12" t="s">
        <v>7761</v>
      </c>
      <c r="N3151" s="12" t="s">
        <v>7762</v>
      </c>
      <c r="O3151" s="9" t="str">
        <f aca="false">HYPERLINK("https://pbs.twimg.com/profile_images/921071767912816641/efs15Cwb_normal.jpg","View")</f>
        <v>View</v>
      </c>
      <c r="P3151" s="10"/>
    </row>
    <row r="3152" customFormat="false" ht="15.75" hidden="false" customHeight="false" outlineLevel="0" collapsed="false">
      <c r="A3152" s="6" t="n">
        <v>43030.3657175926</v>
      </c>
      <c r="B3152" s="7" t="str">
        <f aca="false">HYPERLINK("https://twitter.com/nolesfan2011","@nolesfan2011")</f>
        <v>@nolesfan2011</v>
      </c>
      <c r="C3152" s="8" t="s">
        <v>7763</v>
      </c>
      <c r="D3152" s="8" t="s">
        <v>7046</v>
      </c>
      <c r="E3152" s="9" t="str">
        <f aca="false">HYPERLINK("https://twitter.com/nolesfan2011/status/922127062281965568","922127062281965568")</f>
        <v>922127062281965568</v>
      </c>
      <c r="F3152" s="10" t="s">
        <v>39</v>
      </c>
      <c r="G3152" s="10" t="n">
        <v>2453</v>
      </c>
      <c r="H3152" s="10" t="n">
        <v>3003</v>
      </c>
      <c r="I3152" s="10" t="n">
        <v>53</v>
      </c>
      <c r="J3152" s="10" t="n">
        <v>0</v>
      </c>
      <c r="K3152" s="10" t="s">
        <v>20</v>
      </c>
      <c r="L3152" s="11" t="n">
        <v>40552.4186458333</v>
      </c>
      <c r="M3152" s="12" t="s">
        <v>7764</v>
      </c>
      <c r="N3152" s="12" t="s">
        <v>7765</v>
      </c>
      <c r="O3152" s="9" t="str">
        <f aca="false">HYPERLINK("https://pbs.twimg.com/profile_images/487103860398247937/iRE-ZgbG_normal.jpeg","View")</f>
        <v>View</v>
      </c>
      <c r="P3152" s="10"/>
    </row>
    <row r="3153" customFormat="false" ht="15.75" hidden="false" customHeight="false" outlineLevel="0" collapsed="false">
      <c r="A3153" s="6" t="n">
        <v>43030.3659606482</v>
      </c>
      <c r="B3153" s="7" t="str">
        <f aca="false">HYPERLINK("https://twitter.com/sharebossindia","@sharebossindia")</f>
        <v>@sharebossindia</v>
      </c>
      <c r="C3153" s="7" t="s">
        <v>917</v>
      </c>
      <c r="D3153" s="8" t="s">
        <v>7766</v>
      </c>
      <c r="E3153" s="9" t="str">
        <f aca="false">HYPERLINK("https://twitter.com/sharebossindia/status/922127151628816384","922127151628816384")</f>
        <v>922127151628816384</v>
      </c>
      <c r="F3153" s="10" t="s">
        <v>919</v>
      </c>
      <c r="G3153" s="10" t="n">
        <v>1210</v>
      </c>
      <c r="H3153" s="10" t="n">
        <v>1</v>
      </c>
      <c r="I3153" s="10" t="n">
        <v>0</v>
      </c>
      <c r="J3153" s="10" t="n">
        <v>0</v>
      </c>
      <c r="K3153" s="10" t="s">
        <v>20</v>
      </c>
      <c r="L3153" s="11" t="n">
        <v>42262.3224305556</v>
      </c>
      <c r="M3153" s="12"/>
      <c r="N3153" s="12" t="s">
        <v>920</v>
      </c>
      <c r="O3153" s="9" t="str">
        <f aca="false">HYPERLINK("https://pbs.twimg.com/profile_images/691477939880202244/-eW65KbB_normal.jpg","View")</f>
        <v>View</v>
      </c>
      <c r="P3153" s="10"/>
    </row>
    <row r="3154" customFormat="false" ht="15.75" hidden="false" customHeight="false" outlineLevel="0" collapsed="false">
      <c r="A3154" s="6" t="n">
        <v>43030.3660069445</v>
      </c>
      <c r="B3154" s="7" t="str">
        <f aca="false">HYPERLINK("https://twitter.com/Pputhige","@Pputhige")</f>
        <v>@Pputhige</v>
      </c>
      <c r="C3154" s="8" t="s">
        <v>7767</v>
      </c>
      <c r="D3154" s="8" t="s">
        <v>7350</v>
      </c>
      <c r="E3154" s="9" t="str">
        <f aca="false">HYPERLINK("https://twitter.com/Pputhige/status/922127167013601280","922127167013601280")</f>
        <v>922127167013601280</v>
      </c>
      <c r="F3154" s="10" t="s">
        <v>25</v>
      </c>
      <c r="G3154" s="10" t="n">
        <v>189</v>
      </c>
      <c r="H3154" s="10" t="n">
        <v>159</v>
      </c>
      <c r="I3154" s="10" t="n">
        <v>62</v>
      </c>
      <c r="J3154" s="10" t="n">
        <v>0</v>
      </c>
      <c r="K3154" s="10" t="s">
        <v>20</v>
      </c>
      <c r="L3154" s="11" t="n">
        <v>40347.1923032407</v>
      </c>
      <c r="M3154" s="12" t="s">
        <v>7761</v>
      </c>
      <c r="N3154" s="12" t="s">
        <v>7768</v>
      </c>
      <c r="O3154" s="9" t="str">
        <f aca="false">HYPERLINK("https://pbs.twimg.com/profile_images/514768349687848960/V_8rEBEc_normal.jpeg","View")</f>
        <v>View</v>
      </c>
      <c r="P3154" s="10"/>
    </row>
    <row r="3155" customFormat="false" ht="15.75" hidden="false" customHeight="false" outlineLevel="0" collapsed="false">
      <c r="A3155" s="6" t="n">
        <v>43030.3660648148</v>
      </c>
      <c r="B3155" s="7" t="str">
        <f aca="false">HYPERLINK("https://twitter.com/carsinogenic","@carsinogenic")</f>
        <v>@carsinogenic</v>
      </c>
      <c r="C3155" s="8" t="s">
        <v>7769</v>
      </c>
      <c r="D3155" s="8" t="s">
        <v>5030</v>
      </c>
      <c r="E3155" s="9" t="str">
        <f aca="false">HYPERLINK("https://twitter.com/carsinogenic/status/922127186236129280","922127186236129280")</f>
        <v>922127186236129280</v>
      </c>
      <c r="F3155" s="10" t="s">
        <v>39</v>
      </c>
      <c r="G3155" s="10" t="n">
        <v>680</v>
      </c>
      <c r="H3155" s="10" t="n">
        <v>2394</v>
      </c>
      <c r="I3155" s="10" t="n">
        <v>22</v>
      </c>
      <c r="J3155" s="10" t="n">
        <v>0</v>
      </c>
      <c r="K3155" s="10" t="s">
        <v>20</v>
      </c>
      <c r="L3155" s="11" t="n">
        <v>39699.7431828704</v>
      </c>
      <c r="M3155" s="12"/>
      <c r="N3155" s="12" t="s">
        <v>7770</v>
      </c>
      <c r="O3155" s="9" t="str">
        <f aca="false">HYPERLINK("https://pbs.twimg.com/profile_images/807475524352155649/jGIkpNGT_normal.jpg","View")</f>
        <v>View</v>
      </c>
      <c r="P3155" s="10"/>
    </row>
    <row r="3156" customFormat="false" ht="15.75" hidden="false" customHeight="false" outlineLevel="0" collapsed="false">
      <c r="A3156" s="6" t="n">
        <v>43030.3662037037</v>
      </c>
      <c r="B3156" s="7" t="str">
        <f aca="false">HYPERLINK("https://twitter.com/nolesfan2011","@nolesfan2011")</f>
        <v>@nolesfan2011</v>
      </c>
      <c r="C3156" s="8" t="s">
        <v>7763</v>
      </c>
      <c r="D3156" s="8" t="s">
        <v>7515</v>
      </c>
      <c r="E3156" s="9" t="str">
        <f aca="false">HYPERLINK("https://twitter.com/nolesfan2011/status/922127236542672896","922127236542672896")</f>
        <v>922127236542672896</v>
      </c>
      <c r="F3156" s="10" t="s">
        <v>39</v>
      </c>
      <c r="G3156" s="10" t="n">
        <v>2453</v>
      </c>
      <c r="H3156" s="10" t="n">
        <v>3003</v>
      </c>
      <c r="I3156" s="10" t="n">
        <v>25</v>
      </c>
      <c r="J3156" s="10" t="n">
        <v>0</v>
      </c>
      <c r="K3156" s="10" t="s">
        <v>20</v>
      </c>
      <c r="L3156" s="11" t="n">
        <v>40552.4186458333</v>
      </c>
      <c r="M3156" s="12" t="s">
        <v>7764</v>
      </c>
      <c r="N3156" s="12" t="s">
        <v>7765</v>
      </c>
      <c r="O3156" s="9" t="str">
        <f aca="false">HYPERLINK("https://pbs.twimg.com/profile_images/487103860398247937/iRE-ZgbG_normal.jpeg","View")</f>
        <v>View</v>
      </c>
      <c r="P3156" s="10"/>
    </row>
    <row r="3157" customFormat="false" ht="15.75" hidden="false" customHeight="false" outlineLevel="0" collapsed="false">
      <c r="A3157" s="6" t="n">
        <v>43030.3662152778</v>
      </c>
      <c r="B3157" s="7" t="str">
        <f aca="false">HYPERLINK("https://twitter.com/TrabajarEuropa","@TrabajarEuropa")</f>
        <v>@TrabajarEuropa</v>
      </c>
      <c r="C3157" s="8" t="s">
        <v>7771</v>
      </c>
      <c r="D3157" s="8" t="s">
        <v>7754</v>
      </c>
      <c r="E3157" s="9" t="str">
        <f aca="false">HYPERLINK("https://twitter.com/TrabajarEuropa/status/922127243756933120","922127243756933120")</f>
        <v>922127243756933120</v>
      </c>
      <c r="F3157" s="10" t="s">
        <v>51</v>
      </c>
      <c r="G3157" s="10" t="n">
        <v>17562</v>
      </c>
      <c r="H3157" s="10" t="n">
        <v>1283</v>
      </c>
      <c r="I3157" s="10" t="n">
        <v>20</v>
      </c>
      <c r="J3157" s="10" t="n">
        <v>0</v>
      </c>
      <c r="K3157" s="10" t="s">
        <v>20</v>
      </c>
      <c r="L3157" s="11" t="n">
        <v>40041.494212963</v>
      </c>
      <c r="M3157" s="12" t="s">
        <v>7772</v>
      </c>
      <c r="N3157" s="12" t="s">
        <v>7773</v>
      </c>
      <c r="O3157" s="9" t="str">
        <f aca="false">HYPERLINK("https://pbs.twimg.com/profile_images/392812657/ue_normal.jpg","View")</f>
        <v>View</v>
      </c>
      <c r="P3157" s="10"/>
    </row>
    <row r="3158" customFormat="false" ht="15.75" hidden="false" customHeight="false" outlineLevel="0" collapsed="false">
      <c r="A3158" s="6" t="n">
        <v>43030.3662384259</v>
      </c>
      <c r="B3158" s="7" t="str">
        <f aca="false">HYPERLINK("https://twitter.com/chrisschrauth","@chrisschrauth")</f>
        <v>@chrisschrauth</v>
      </c>
      <c r="C3158" s="8" t="s">
        <v>7774</v>
      </c>
      <c r="D3158" s="8" t="s">
        <v>7736</v>
      </c>
      <c r="E3158" s="9" t="str">
        <f aca="false">HYPERLINK("https://twitter.com/chrisschrauth/status/922127250388025346","922127250388025346")</f>
        <v>922127250388025346</v>
      </c>
      <c r="F3158" s="10" t="s">
        <v>51</v>
      </c>
      <c r="G3158" s="10" t="n">
        <v>230</v>
      </c>
      <c r="H3158" s="10" t="n">
        <v>604</v>
      </c>
      <c r="I3158" s="10" t="n">
        <v>31</v>
      </c>
      <c r="J3158" s="10" t="n">
        <v>0</v>
      </c>
      <c r="K3158" s="10" t="s">
        <v>20</v>
      </c>
      <c r="L3158" s="11" t="n">
        <v>41124.7684953704</v>
      </c>
      <c r="M3158" s="12" t="s">
        <v>7775</v>
      </c>
      <c r="N3158" s="12" t="s">
        <v>7776</v>
      </c>
      <c r="O3158" s="9" t="str">
        <f aca="false">HYPERLINK("https://pbs.twimg.com/profile_images/585543478836391937/_dXzRz2O_normal.jpg","View")</f>
        <v>View</v>
      </c>
      <c r="P3158" s="10"/>
    </row>
    <row r="3159" customFormat="false" ht="15.75" hidden="false" customHeight="false" outlineLevel="0" collapsed="false">
      <c r="A3159" s="6" t="n">
        <v>43030.366412037</v>
      </c>
      <c r="B3159" s="7" t="str">
        <f aca="false">HYPERLINK("https://twitter.com/torillo59","@torillo59")</f>
        <v>@torillo59</v>
      </c>
      <c r="C3159" s="8" t="s">
        <v>7777</v>
      </c>
      <c r="D3159" s="8" t="s">
        <v>4984</v>
      </c>
      <c r="E3159" s="9" t="str">
        <f aca="false">HYPERLINK("https://twitter.com/torillo59/status/922127312178548736","922127312178548736")</f>
        <v>922127312178548736</v>
      </c>
      <c r="F3159" s="10" t="s">
        <v>39</v>
      </c>
      <c r="G3159" s="10" t="n">
        <v>30286</v>
      </c>
      <c r="H3159" s="10" t="n">
        <v>33233</v>
      </c>
      <c r="I3159" s="10" t="n">
        <v>187</v>
      </c>
      <c r="J3159" s="10" t="n">
        <v>0</v>
      </c>
      <c r="K3159" s="10" t="s">
        <v>20</v>
      </c>
      <c r="L3159" s="11" t="n">
        <v>41725.3882291667</v>
      </c>
      <c r="M3159" s="12"/>
      <c r="N3159" s="12" t="s">
        <v>7778</v>
      </c>
      <c r="O3159" s="9" t="str">
        <f aca="false">HYPERLINK("https://pbs.twimg.com/profile_images/449559958980280320/t09lzAY1_normal.jpeg","View")</f>
        <v>View</v>
      </c>
      <c r="P3159" s="10"/>
    </row>
    <row r="3160" customFormat="false" ht="15.75" hidden="false" customHeight="false" outlineLevel="0" collapsed="false">
      <c r="A3160" s="6" t="n">
        <v>43030.3664236111</v>
      </c>
      <c r="B3160" s="7" t="str">
        <f aca="false">HYPERLINK("https://twitter.com/jeffsonstein","@jeffsonstein")</f>
        <v>@jeffsonstein</v>
      </c>
      <c r="C3160" s="8" t="s">
        <v>7779</v>
      </c>
      <c r="D3160" s="8" t="s">
        <v>7736</v>
      </c>
      <c r="E3160" s="9" t="str">
        <f aca="false">HYPERLINK("https://twitter.com/jeffsonstein/status/922127317140410370","922127317140410370")</f>
        <v>922127317140410370</v>
      </c>
      <c r="F3160" s="10" t="s">
        <v>177</v>
      </c>
      <c r="G3160" s="10" t="n">
        <v>2405</v>
      </c>
      <c r="H3160" s="10" t="n">
        <v>1401</v>
      </c>
      <c r="I3160" s="10" t="n">
        <v>31</v>
      </c>
      <c r="J3160" s="10" t="n">
        <v>0</v>
      </c>
      <c r="K3160" s="10" t="s">
        <v>20</v>
      </c>
      <c r="L3160" s="11" t="n">
        <v>39549.246400463</v>
      </c>
      <c r="M3160" s="12" t="s">
        <v>7780</v>
      </c>
      <c r="N3160" s="12" t="s">
        <v>7781</v>
      </c>
      <c r="O3160" s="9" t="str">
        <f aca="false">HYPERLINK("https://pbs.twimg.com/profile_images/845476248562339840/954BrHV3_normal.jpg","View")</f>
        <v>View</v>
      </c>
      <c r="P3160" s="10"/>
    </row>
    <row r="3161" customFormat="false" ht="15.75" hidden="false" customHeight="false" outlineLevel="0" collapsed="false">
      <c r="A3161" s="6" t="n">
        <v>43030.3664930556</v>
      </c>
      <c r="B3161" s="7" t="str">
        <f aca="false">HYPERLINK("https://twitter.com/midori21km","@midori21km")</f>
        <v>@midori21km</v>
      </c>
      <c r="C3161" s="14" t="s">
        <v>7782</v>
      </c>
      <c r="D3161" s="8" t="s">
        <v>7736</v>
      </c>
      <c r="E3161" s="9" t="str">
        <f aca="false">HYPERLINK("https://twitter.com/midori21km/status/922127341236625409","922127341236625409")</f>
        <v>922127341236625409</v>
      </c>
      <c r="F3161" s="10" t="s">
        <v>177</v>
      </c>
      <c r="G3161" s="10" t="n">
        <v>1114</v>
      </c>
      <c r="H3161" s="10" t="n">
        <v>1037</v>
      </c>
      <c r="I3161" s="10" t="n">
        <v>31</v>
      </c>
      <c r="J3161" s="10" t="n">
        <v>0</v>
      </c>
      <c r="K3161" s="10" t="s">
        <v>20</v>
      </c>
      <c r="L3161" s="11" t="n">
        <v>40437.7635763889</v>
      </c>
      <c r="M3161" s="13" t="s">
        <v>7783</v>
      </c>
      <c r="N3161" s="13" t="s">
        <v>7784</v>
      </c>
      <c r="O3161" s="9" t="str">
        <f aca="false">HYPERLINK("https://pbs.twimg.com/profile_images/469060065006075904/6b8HxZ4v_normal.jpeg","View")</f>
        <v>View</v>
      </c>
      <c r="P3161" s="10"/>
    </row>
    <row r="3162" customFormat="false" ht="15.75" hidden="false" customHeight="false" outlineLevel="0" collapsed="false">
      <c r="A3162" s="6" t="n">
        <v>43030.3665625</v>
      </c>
      <c r="B3162" s="7" t="str">
        <f aca="false">HYPERLINK("https://twitter.com/obregonraqueln1","@obregonraqueln1")</f>
        <v>@obregonraqueln1</v>
      </c>
      <c r="C3162" s="8" t="s">
        <v>7785</v>
      </c>
      <c r="D3162" s="8" t="s">
        <v>7736</v>
      </c>
      <c r="E3162" s="9" t="str">
        <f aca="false">HYPERLINK("https://twitter.com/obregonraqueln1/status/922127368013209600","922127368013209600")</f>
        <v>922127368013209600</v>
      </c>
      <c r="F3162" s="10" t="s">
        <v>25</v>
      </c>
      <c r="G3162" s="10" t="n">
        <v>801</v>
      </c>
      <c r="H3162" s="10" t="n">
        <v>295</v>
      </c>
      <c r="I3162" s="10" t="n">
        <v>31</v>
      </c>
      <c r="J3162" s="10" t="n">
        <v>0</v>
      </c>
      <c r="K3162" s="10" t="s">
        <v>20</v>
      </c>
      <c r="L3162" s="11" t="n">
        <v>42811.307662037</v>
      </c>
      <c r="M3162" s="12" t="s">
        <v>7786</v>
      </c>
      <c r="N3162" s="12"/>
      <c r="O3162" s="9" t="str">
        <f aca="false">HYPERLINK("https://pbs.twimg.com/profile_images/842745393150681090/heMvwt2G_normal.jpg","View")</f>
        <v>View</v>
      </c>
      <c r="P3162" s="10"/>
    </row>
    <row r="3163" customFormat="false" ht="15.75" hidden="false" customHeight="false" outlineLevel="0" collapsed="false">
      <c r="A3163" s="6" t="n">
        <v>43030.3667476852</v>
      </c>
      <c r="B3163" s="7" t="str">
        <f aca="false">HYPERLINK("https://twitter.com/sturmforce","@sturmforce")</f>
        <v>@sturmforce</v>
      </c>
      <c r="C3163" s="8" t="s">
        <v>2191</v>
      </c>
      <c r="D3163" s="8" t="s">
        <v>7736</v>
      </c>
      <c r="E3163" s="9" t="str">
        <f aca="false">HYPERLINK("https://twitter.com/sturmforce/status/922127436090880002","922127436090880002")</f>
        <v>922127436090880002</v>
      </c>
      <c r="F3163" s="10" t="s">
        <v>39</v>
      </c>
      <c r="G3163" s="10" t="n">
        <v>91</v>
      </c>
      <c r="H3163" s="10" t="n">
        <v>190</v>
      </c>
      <c r="I3163" s="10" t="n">
        <v>31</v>
      </c>
      <c r="J3163" s="10" t="n">
        <v>0</v>
      </c>
      <c r="K3163" s="10" t="s">
        <v>20</v>
      </c>
      <c r="L3163" s="11" t="n">
        <v>42972.0012615741</v>
      </c>
      <c r="M3163" s="12" t="s">
        <v>7787</v>
      </c>
      <c r="N3163" s="12" t="s">
        <v>7788</v>
      </c>
      <c r="O3163" s="9" t="str">
        <f aca="false">HYPERLINK("https://pbs.twimg.com/profile_images/918119340720967680/dLYEqwfF_normal.jpg","View")</f>
        <v>View</v>
      </c>
      <c r="P3163" s="10"/>
    </row>
    <row r="3164" customFormat="false" ht="15.75" hidden="false" customHeight="false" outlineLevel="0" collapsed="false">
      <c r="A3164" s="6" t="n">
        <v>43030.3669444445</v>
      </c>
      <c r="B3164" s="7" t="str">
        <f aca="false">HYPERLINK("https://twitter.com/MainandWall","@MainandWall")</f>
        <v>@MainandWall</v>
      </c>
      <c r="C3164" s="8" t="s">
        <v>7789</v>
      </c>
      <c r="D3164" s="8" t="s">
        <v>7790</v>
      </c>
      <c r="E3164" s="9" t="str">
        <f aca="false">HYPERLINK("https://twitter.com/MainandWall/status/922127504571338753","922127504571338753")</f>
        <v>922127504571338753</v>
      </c>
      <c r="F3164" s="10" t="s">
        <v>51</v>
      </c>
      <c r="G3164" s="10" t="n">
        <v>2391</v>
      </c>
      <c r="H3164" s="10" t="n">
        <v>5000</v>
      </c>
      <c r="I3164" s="10" t="n">
        <v>0</v>
      </c>
      <c r="J3164" s="10" t="n">
        <v>0</v>
      </c>
      <c r="K3164" s="10" t="s">
        <v>20</v>
      </c>
      <c r="L3164" s="11" t="n">
        <v>39835.2285185185</v>
      </c>
      <c r="M3164" s="12" t="s">
        <v>312</v>
      </c>
      <c r="N3164" s="12" t="s">
        <v>7791</v>
      </c>
      <c r="O3164" s="9" t="str">
        <f aca="false">HYPERLINK("https://pbs.twimg.com/profile_images/923645600607981568/K6pzL_xO_normal.jpg","View")</f>
        <v>View</v>
      </c>
      <c r="P3164" s="10"/>
    </row>
    <row r="3165" customFormat="false" ht="15.75" hidden="false" customHeight="false" outlineLevel="0" collapsed="false">
      <c r="A3165" s="6" t="n">
        <v>43030.3673611111</v>
      </c>
      <c r="B3165" s="7" t="str">
        <f aca="false">HYPERLINK("https://twitter.com/torillo59","@torillo59")</f>
        <v>@torillo59</v>
      </c>
      <c r="C3165" s="8" t="s">
        <v>7777</v>
      </c>
      <c r="D3165" s="8" t="s">
        <v>7754</v>
      </c>
      <c r="E3165" s="9" t="str">
        <f aca="false">HYPERLINK("https://twitter.com/torillo59/status/922127656472186880","922127656472186880")</f>
        <v>922127656472186880</v>
      </c>
      <c r="F3165" s="10" t="s">
        <v>39</v>
      </c>
      <c r="G3165" s="10" t="n">
        <v>30286</v>
      </c>
      <c r="H3165" s="10" t="n">
        <v>33233</v>
      </c>
      <c r="I3165" s="10" t="n">
        <v>20</v>
      </c>
      <c r="J3165" s="10" t="n">
        <v>0</v>
      </c>
      <c r="K3165" s="10" t="s">
        <v>20</v>
      </c>
      <c r="L3165" s="11" t="n">
        <v>41725.3882291667</v>
      </c>
      <c r="M3165" s="12"/>
      <c r="N3165" s="12" t="s">
        <v>7778</v>
      </c>
      <c r="O3165" s="9" t="str">
        <f aca="false">HYPERLINK("https://pbs.twimg.com/profile_images/449559958980280320/t09lzAY1_normal.jpeg","View")</f>
        <v>View</v>
      </c>
      <c r="P3165" s="10"/>
    </row>
    <row r="3166" customFormat="false" ht="15.75" hidden="false" customHeight="false" outlineLevel="0" collapsed="false">
      <c r="A3166" s="6" t="n">
        <v>43030.3678703704</v>
      </c>
      <c r="B3166" s="7" t="str">
        <f aca="false">HYPERLINK("https://twitter.com/PBGBLCIS","@PBGBLCIS")</f>
        <v>@PBGBLCIS</v>
      </c>
      <c r="C3166" s="8" t="s">
        <v>7792</v>
      </c>
      <c r="D3166" s="8" t="s">
        <v>7627</v>
      </c>
      <c r="E3166" s="9" t="str">
        <f aca="false">HYPERLINK("https://twitter.com/PBGBLCIS/status/922127840325201922","922127840325201922")</f>
        <v>922127840325201922</v>
      </c>
      <c r="F3166" s="10" t="s">
        <v>177</v>
      </c>
      <c r="G3166" s="10" t="n">
        <v>276</v>
      </c>
      <c r="H3166" s="10" t="n">
        <v>214</v>
      </c>
      <c r="I3166" s="10" t="n">
        <v>20</v>
      </c>
      <c r="J3166" s="10" t="n">
        <v>0</v>
      </c>
      <c r="K3166" s="10" t="s">
        <v>20</v>
      </c>
      <c r="L3166" s="11" t="n">
        <v>39991.1581134259</v>
      </c>
      <c r="M3166" s="13" t="s">
        <v>7793</v>
      </c>
      <c r="N3166" s="13" t="s">
        <v>7794</v>
      </c>
      <c r="O3166" s="9" t="str">
        <f aca="false">HYPERLINK("https://pbs.twimg.com/profile_images/654999307494420480/0pzR3YUh_normal.jpg","View")</f>
        <v>View</v>
      </c>
      <c r="P3166" s="10"/>
    </row>
    <row r="3167" customFormat="false" ht="15.75" hidden="false" customHeight="false" outlineLevel="0" collapsed="false">
      <c r="A3167" s="6" t="n">
        <v>43030.3682060185</v>
      </c>
      <c r="B3167" s="7" t="str">
        <f aca="false">HYPERLINK("https://twitter.com/ChuckDalldorf","@ChuckDalldorf")</f>
        <v>@ChuckDalldorf</v>
      </c>
      <c r="C3167" s="8" t="s">
        <v>7600</v>
      </c>
      <c r="D3167" s="8" t="s">
        <v>7754</v>
      </c>
      <c r="E3167" s="9" t="str">
        <f aca="false">HYPERLINK("https://twitter.com/ChuckDalldorf/status/922127964245860357","922127964245860357")</f>
        <v>922127964245860357</v>
      </c>
      <c r="F3167" s="10" t="s">
        <v>39</v>
      </c>
      <c r="G3167" s="10" t="n">
        <v>3085</v>
      </c>
      <c r="H3167" s="10" t="n">
        <v>4044</v>
      </c>
      <c r="I3167" s="10" t="n">
        <v>20</v>
      </c>
      <c r="J3167" s="10" t="n">
        <v>0</v>
      </c>
      <c r="K3167" s="10" t="s">
        <v>20</v>
      </c>
      <c r="L3167" s="11" t="n">
        <v>39876.3506828704</v>
      </c>
      <c r="M3167" s="12"/>
      <c r="N3167" s="12" t="s">
        <v>7601</v>
      </c>
      <c r="O3167" s="9" t="str">
        <f aca="false">HYPERLINK("https://pbs.twimg.com/profile_images/515676694116835329/YVm9HRpJ_normal.jpeg","View")</f>
        <v>View</v>
      </c>
      <c r="P3167" s="10"/>
    </row>
    <row r="3168" customFormat="false" ht="15.75" hidden="false" customHeight="false" outlineLevel="0" collapsed="false">
      <c r="A3168" s="6" t="n">
        <v>43030.3682175926</v>
      </c>
      <c r="B3168" s="7" t="str">
        <f aca="false">HYPERLINK("https://twitter.com/CJNyssen","@CJNyssen")</f>
        <v>@CJNyssen</v>
      </c>
      <c r="C3168" s="8" t="s">
        <v>7795</v>
      </c>
      <c r="D3168" s="8" t="s">
        <v>7796</v>
      </c>
      <c r="E3168" s="9" t="str">
        <f aca="false">HYPERLINK("https://twitter.com/CJNyssen/status/922127967475654656","922127967475654656")</f>
        <v>922127967475654656</v>
      </c>
      <c r="F3168" s="10" t="s">
        <v>25</v>
      </c>
      <c r="G3168" s="10" t="n">
        <v>215</v>
      </c>
      <c r="H3168" s="10" t="n">
        <v>605</v>
      </c>
      <c r="I3168" s="10" t="n">
        <v>0</v>
      </c>
      <c r="J3168" s="10" t="n">
        <v>0</v>
      </c>
      <c r="K3168" s="10" t="s">
        <v>20</v>
      </c>
      <c r="L3168" s="11" t="n">
        <v>40787.3367708333</v>
      </c>
      <c r="M3168" s="12"/>
      <c r="N3168" s="12" t="s">
        <v>7797</v>
      </c>
      <c r="O3168" s="9" t="str">
        <f aca="false">HYPERLINK("https://pbs.twimg.com/profile_images/923728721760092160/FklYeQkR_normal.jpg","View")</f>
        <v>View</v>
      </c>
      <c r="P3168" s="10"/>
    </row>
    <row r="3169" customFormat="false" ht="15.75" hidden="false" customHeight="false" outlineLevel="0" collapsed="false">
      <c r="A3169" s="6" t="n">
        <v>43030.368587963</v>
      </c>
      <c r="B3169" s="7" t="str">
        <f aca="false">HYPERLINK("https://twitter.com/rao_sarva","@rao_sarva")</f>
        <v>@rao_sarva</v>
      </c>
      <c r="C3169" s="8" t="s">
        <v>7798</v>
      </c>
      <c r="D3169" s="8" t="s">
        <v>7350</v>
      </c>
      <c r="E3169" s="9" t="str">
        <f aca="false">HYPERLINK("https://twitter.com/rao_sarva/status/922128101013778432","922128101013778432")</f>
        <v>922128101013778432</v>
      </c>
      <c r="F3169" s="10" t="s">
        <v>25</v>
      </c>
      <c r="G3169" s="10" t="n">
        <v>18</v>
      </c>
      <c r="H3169" s="10" t="n">
        <v>135</v>
      </c>
      <c r="I3169" s="10" t="n">
        <v>62</v>
      </c>
      <c r="J3169" s="10" t="n">
        <v>0</v>
      </c>
      <c r="K3169" s="10" t="s">
        <v>20</v>
      </c>
      <c r="L3169" s="11" t="n">
        <v>42968.0624421296</v>
      </c>
      <c r="M3169" s="12"/>
      <c r="N3169" s="12"/>
      <c r="O3169" s="9" t="str">
        <f aca="false">HYPERLINK("https://abs.twimg.com/sticky/default_profile_images/default_profile_normal.png","View")</f>
        <v>View</v>
      </c>
      <c r="P3169" s="10"/>
    </row>
    <row r="3170" customFormat="false" ht="15.75" hidden="false" customHeight="false" outlineLevel="0" collapsed="false">
      <c r="A3170" s="6" t="n">
        <v>43030.368587963</v>
      </c>
      <c r="B3170" s="7" t="str">
        <f aca="false">HYPERLINK("https://twitter.com/nekokumicho","@nekokumicho")</f>
        <v>@nekokumicho</v>
      </c>
      <c r="C3170" s="14" t="s">
        <v>7799</v>
      </c>
      <c r="D3170" s="8" t="s">
        <v>6707</v>
      </c>
      <c r="E3170" s="9" t="str">
        <f aca="false">HYPERLINK("https://twitter.com/nekokumicho/status/922128101034696706","922128101034696706")</f>
        <v>922128101034696706</v>
      </c>
      <c r="F3170" s="10" t="s">
        <v>39</v>
      </c>
      <c r="G3170" s="10" t="n">
        <v>69528</v>
      </c>
      <c r="H3170" s="10" t="n">
        <v>446</v>
      </c>
      <c r="I3170" s="10" t="n">
        <v>97</v>
      </c>
      <c r="J3170" s="10" t="n">
        <v>0</v>
      </c>
      <c r="K3170" s="10" t="s">
        <v>20</v>
      </c>
      <c r="L3170" s="11" t="n">
        <v>40683.0321990741</v>
      </c>
      <c r="M3170" s="12" t="s">
        <v>1473</v>
      </c>
      <c r="N3170" s="13" t="s">
        <v>7800</v>
      </c>
      <c r="O3170" s="9" t="str">
        <f aca="false">HYPERLINK("https://pbs.twimg.com/profile_images/813023414491303936/CgEi9a1b_normal.jpg","View")</f>
        <v>View</v>
      </c>
      <c r="P3170" s="10"/>
    </row>
    <row r="3171" customFormat="false" ht="15.75" hidden="false" customHeight="false" outlineLevel="0" collapsed="false">
      <c r="A3171" s="6" t="n">
        <v>43030.3686226852</v>
      </c>
      <c r="B3171" s="7" t="str">
        <f aca="false">HYPERLINK("https://twitter.com/rvdilip","@rvdilip")</f>
        <v>@rvdilip</v>
      </c>
      <c r="C3171" s="8" t="s">
        <v>7801</v>
      </c>
      <c r="D3171" s="8" t="s">
        <v>7754</v>
      </c>
      <c r="E3171" s="9" t="str">
        <f aca="false">HYPERLINK("https://twitter.com/rvdilip/status/922128116146999299","922128116146999299")</f>
        <v>922128116146999299</v>
      </c>
      <c r="F3171" s="10" t="s">
        <v>25</v>
      </c>
      <c r="G3171" s="10" t="n">
        <v>507</v>
      </c>
      <c r="H3171" s="10" t="n">
        <v>818</v>
      </c>
      <c r="I3171" s="10" t="n">
        <v>20</v>
      </c>
      <c r="J3171" s="10" t="n">
        <v>0</v>
      </c>
      <c r="K3171" s="10" t="s">
        <v>20</v>
      </c>
      <c r="L3171" s="11" t="n">
        <v>40306.0899884259</v>
      </c>
      <c r="M3171" s="12"/>
      <c r="N3171" s="12" t="s">
        <v>7802</v>
      </c>
      <c r="O3171" s="9" t="str">
        <f aca="false">HYPERLINK("https://pbs.twimg.com/profile_images/1392161527/pic02456_normal.jpg","View")</f>
        <v>View</v>
      </c>
      <c r="P3171" s="10"/>
    </row>
    <row r="3172" customFormat="false" ht="15.75" hidden="false" customHeight="false" outlineLevel="0" collapsed="false">
      <c r="A3172" s="6" t="n">
        <v>43030.3687384259</v>
      </c>
      <c r="B3172" s="7" t="str">
        <f aca="false">HYPERLINK("https://twitter.com/nekokumicho","@nekokumicho")</f>
        <v>@nekokumicho</v>
      </c>
      <c r="C3172" s="14" t="s">
        <v>7799</v>
      </c>
      <c r="D3172" s="8" t="s">
        <v>7803</v>
      </c>
      <c r="E3172" s="9" t="str">
        <f aca="false">HYPERLINK("https://twitter.com/nekokumicho/status/922128156248514560","922128156248514560")</f>
        <v>922128156248514560</v>
      </c>
      <c r="F3172" s="10" t="s">
        <v>39</v>
      </c>
      <c r="G3172" s="10" t="n">
        <v>69528</v>
      </c>
      <c r="H3172" s="10" t="n">
        <v>446</v>
      </c>
      <c r="I3172" s="10" t="n">
        <v>30</v>
      </c>
      <c r="J3172" s="10" t="n">
        <v>0</v>
      </c>
      <c r="K3172" s="10" t="s">
        <v>20</v>
      </c>
      <c r="L3172" s="11" t="n">
        <v>40683.0321990741</v>
      </c>
      <c r="M3172" s="12" t="s">
        <v>1473</v>
      </c>
      <c r="N3172" s="13" t="s">
        <v>7800</v>
      </c>
      <c r="O3172" s="9" t="str">
        <f aca="false">HYPERLINK("https://pbs.twimg.com/profile_images/813023414491303936/CgEi9a1b_normal.jpg","View")</f>
        <v>View</v>
      </c>
      <c r="P3172" s="10"/>
    </row>
    <row r="3173" customFormat="false" ht="15.75" hidden="false" customHeight="false" outlineLevel="0" collapsed="false">
      <c r="A3173" s="6" t="n">
        <v>43030.3688773148</v>
      </c>
      <c r="B3173" s="7" t="str">
        <f aca="false">HYPERLINK("https://twitter.com/vodkamanow","@vodkamanow")</f>
        <v>@vodkamanow</v>
      </c>
      <c r="C3173" s="8" t="s">
        <v>7804</v>
      </c>
      <c r="D3173" s="8" t="s">
        <v>7754</v>
      </c>
      <c r="E3173" s="9" t="str">
        <f aca="false">HYPERLINK("https://twitter.com/vodkamanow/status/922128208513794048","922128208513794048")</f>
        <v>922128208513794048</v>
      </c>
      <c r="F3173" s="10" t="s">
        <v>7805</v>
      </c>
      <c r="G3173" s="10" t="n">
        <v>498</v>
      </c>
      <c r="H3173" s="10" t="n">
        <v>98</v>
      </c>
      <c r="I3173" s="10" t="n">
        <v>20</v>
      </c>
      <c r="J3173" s="10" t="n">
        <v>0</v>
      </c>
      <c r="K3173" s="10" t="s">
        <v>20</v>
      </c>
      <c r="L3173" s="11" t="n">
        <v>40050.1607986111</v>
      </c>
      <c r="M3173" s="12" t="s">
        <v>7806</v>
      </c>
      <c r="N3173" s="12" t="s">
        <v>7807</v>
      </c>
      <c r="O3173" s="9" t="str">
        <f aca="false">HYPERLINK("https://pbs.twimg.com/profile_images/883660867883089920/uh99oIXo_normal.jpg","View")</f>
        <v>View</v>
      </c>
      <c r="P3173" s="10"/>
    </row>
    <row r="3174" customFormat="false" ht="15.75" hidden="false" customHeight="false" outlineLevel="0" collapsed="false">
      <c r="A3174" s="6" t="n">
        <v>43030.368912037</v>
      </c>
      <c r="B3174" s="7" t="str">
        <f aca="false">HYPERLINK("https://twitter.com/kylecmatthews","@kylecmatthews")</f>
        <v>@kylecmatthews</v>
      </c>
      <c r="C3174" s="8" t="s">
        <v>7808</v>
      </c>
      <c r="D3174" s="8" t="s">
        <v>7754</v>
      </c>
      <c r="E3174" s="9" t="str">
        <f aca="false">HYPERLINK("https://twitter.com/kylecmatthews/status/922128221268791296","922128221268791296")</f>
        <v>922128221268791296</v>
      </c>
      <c r="F3174" s="10" t="s">
        <v>25</v>
      </c>
      <c r="G3174" s="10" t="n">
        <v>3409</v>
      </c>
      <c r="H3174" s="10" t="n">
        <v>2197</v>
      </c>
      <c r="I3174" s="10" t="n">
        <v>20</v>
      </c>
      <c r="J3174" s="10" t="n">
        <v>0</v>
      </c>
      <c r="K3174" s="10" t="s">
        <v>20</v>
      </c>
      <c r="L3174" s="11" t="n">
        <v>40073.8586574074</v>
      </c>
      <c r="M3174" s="12" t="s">
        <v>7809</v>
      </c>
      <c r="N3174" s="12" t="s">
        <v>7810</v>
      </c>
      <c r="O3174" s="9" t="str">
        <f aca="false">HYPERLINK("https://pbs.twimg.com/profile_images/877176584586891265/9rEJvTpY_normal.jpg","View")</f>
        <v>View</v>
      </c>
      <c r="P3174" s="10"/>
    </row>
    <row r="3175" customFormat="false" ht="15.75" hidden="false" customHeight="false" outlineLevel="0" collapsed="false">
      <c r="A3175" s="6" t="n">
        <v>43030.3690162037</v>
      </c>
      <c r="B3175" s="7" t="str">
        <f aca="false">HYPERLINK("https://twitter.com/turbostocks","@turbostocks")</f>
        <v>@turbostocks</v>
      </c>
      <c r="C3175" s="8" t="s">
        <v>7811</v>
      </c>
      <c r="D3175" s="8" t="s">
        <v>7812</v>
      </c>
      <c r="E3175" s="9" t="str">
        <f aca="false">HYPERLINK("https://twitter.com/turbostocks/status/922128255972532230","922128255972532230")</f>
        <v>922128255972532230</v>
      </c>
      <c r="F3175" s="10" t="s">
        <v>60</v>
      </c>
      <c r="G3175" s="10" t="n">
        <v>2991</v>
      </c>
      <c r="H3175" s="10" t="n">
        <v>3557</v>
      </c>
      <c r="I3175" s="10" t="n">
        <v>0</v>
      </c>
      <c r="J3175" s="10" t="n">
        <v>0</v>
      </c>
      <c r="K3175" s="10" t="s">
        <v>20</v>
      </c>
      <c r="L3175" s="11" t="n">
        <v>41908.768287037</v>
      </c>
      <c r="M3175" s="12" t="s">
        <v>323</v>
      </c>
      <c r="N3175" s="12" t="s">
        <v>7813</v>
      </c>
      <c r="O3175" s="9" t="str">
        <f aca="false">HYPERLINK("https://pbs.twimg.com/profile_images/844239888996339712/915Nwbkj_normal.jpg","View")</f>
        <v>View</v>
      </c>
      <c r="P3175" s="10"/>
    </row>
    <row r="3176" customFormat="false" ht="15.75" hidden="false" customHeight="false" outlineLevel="0" collapsed="false">
      <c r="A3176" s="6" t="n">
        <v>43030.3693055556</v>
      </c>
      <c r="B3176" s="7" t="str">
        <f aca="false">HYPERLINK("https://twitter.com/walking_family","@walking_family")</f>
        <v>@walking_family</v>
      </c>
      <c r="C3176" s="14" t="s">
        <v>7814</v>
      </c>
      <c r="D3176" s="8" t="s">
        <v>7803</v>
      </c>
      <c r="E3176" s="9" t="str">
        <f aca="false">HYPERLINK("https://twitter.com/walking_family/status/922128362956496896","922128362956496896")</f>
        <v>922128362956496896</v>
      </c>
      <c r="F3176" s="10" t="s">
        <v>51</v>
      </c>
      <c r="G3176" s="10" t="n">
        <v>173</v>
      </c>
      <c r="H3176" s="10" t="n">
        <v>246</v>
      </c>
      <c r="I3176" s="10" t="n">
        <v>30</v>
      </c>
      <c r="J3176" s="10" t="n">
        <v>0</v>
      </c>
      <c r="K3176" s="10" t="s">
        <v>20</v>
      </c>
      <c r="L3176" s="11" t="n">
        <v>40368.1562152778</v>
      </c>
      <c r="M3176" s="12"/>
      <c r="N3176" s="13" t="s">
        <v>7815</v>
      </c>
      <c r="O3176" s="9" t="str">
        <f aca="false">HYPERLINK("https://abs.twimg.com/sticky/default_profile_images/default_profile_normal.png","View")</f>
        <v>View</v>
      </c>
      <c r="P3176" s="10"/>
    </row>
    <row r="3177" customFormat="false" ht="15.75" hidden="false" customHeight="false" outlineLevel="0" collapsed="false">
      <c r="A3177" s="6" t="n">
        <v>43030.3693402778</v>
      </c>
      <c r="B3177" s="7" t="str">
        <f aca="false">HYPERLINK("https://twitter.com/walking_family","@walking_family")</f>
        <v>@walking_family</v>
      </c>
      <c r="C3177" s="14" t="s">
        <v>7814</v>
      </c>
      <c r="D3177" s="8" t="s">
        <v>6707</v>
      </c>
      <c r="E3177" s="9" t="str">
        <f aca="false">HYPERLINK("https://twitter.com/walking_family/status/922128376151678976","922128376151678976")</f>
        <v>922128376151678976</v>
      </c>
      <c r="F3177" s="10" t="s">
        <v>51</v>
      </c>
      <c r="G3177" s="10" t="n">
        <v>173</v>
      </c>
      <c r="H3177" s="10" t="n">
        <v>246</v>
      </c>
      <c r="I3177" s="10" t="n">
        <v>97</v>
      </c>
      <c r="J3177" s="10" t="n">
        <v>0</v>
      </c>
      <c r="K3177" s="10" t="s">
        <v>20</v>
      </c>
      <c r="L3177" s="11" t="n">
        <v>40368.1562152778</v>
      </c>
      <c r="M3177" s="12"/>
      <c r="N3177" s="13" t="s">
        <v>7815</v>
      </c>
      <c r="O3177" s="9" t="str">
        <f aca="false">HYPERLINK("https://abs.twimg.com/sticky/default_profile_images/default_profile_normal.png","View")</f>
        <v>View</v>
      </c>
      <c r="P3177" s="10"/>
    </row>
    <row r="3178" customFormat="false" ht="15.75" hidden="false" customHeight="false" outlineLevel="0" collapsed="false">
      <c r="A3178" s="6" t="n">
        <v>43030.3693981482</v>
      </c>
      <c r="B3178" s="7" t="str">
        <f aca="false">HYPERLINK("https://twitter.com/cakep_55","@cakep_55")</f>
        <v>@cakep_55</v>
      </c>
      <c r="C3178" s="8" t="s">
        <v>7816</v>
      </c>
      <c r="D3178" s="8" t="s">
        <v>6707</v>
      </c>
      <c r="E3178" s="9" t="str">
        <f aca="false">HYPERLINK("https://twitter.com/cakep_55/status/922128395080646656","922128395080646656")</f>
        <v>922128395080646656</v>
      </c>
      <c r="F3178" s="10" t="s">
        <v>25</v>
      </c>
      <c r="G3178" s="10" t="n">
        <v>5</v>
      </c>
      <c r="H3178" s="10" t="n">
        <v>34</v>
      </c>
      <c r="I3178" s="10" t="n">
        <v>97</v>
      </c>
      <c r="J3178" s="10" t="n">
        <v>0</v>
      </c>
      <c r="K3178" s="10" t="s">
        <v>20</v>
      </c>
      <c r="L3178" s="11" t="n">
        <v>42881.4161342593</v>
      </c>
      <c r="M3178" s="12"/>
      <c r="N3178" s="12"/>
      <c r="O3178" s="9" t="str">
        <f aca="false">HYPERLINK("https://pbs.twimg.com/profile_images/878674968954904576/1vcBmgxD_normal.jpg","View")</f>
        <v>View</v>
      </c>
      <c r="P3178" s="10"/>
    </row>
    <row r="3179" customFormat="false" ht="15.75" hidden="false" customHeight="false" outlineLevel="0" collapsed="false">
      <c r="A3179" s="6" t="n">
        <v>43030.3695486111</v>
      </c>
      <c r="B3179" s="7" t="str">
        <f aca="false">HYPERLINK("https://twitter.com/nicholl_matty","@nicholl_matty")</f>
        <v>@nicholl_matty</v>
      </c>
      <c r="C3179" s="8" t="s">
        <v>7817</v>
      </c>
      <c r="D3179" s="8" t="s">
        <v>7818</v>
      </c>
      <c r="E3179" s="9" t="str">
        <f aca="false">HYPERLINK("https://twitter.com/nicholl_matty/status/922128449283678209","922128449283678209")</f>
        <v>922128449283678209</v>
      </c>
      <c r="F3179" s="10" t="s">
        <v>25</v>
      </c>
      <c r="G3179" s="10" t="n">
        <v>2074</v>
      </c>
      <c r="H3179" s="10" t="n">
        <v>4988</v>
      </c>
      <c r="I3179" s="10" t="n">
        <v>0</v>
      </c>
      <c r="J3179" s="10" t="n">
        <v>0</v>
      </c>
      <c r="K3179" s="10" t="s">
        <v>20</v>
      </c>
      <c r="L3179" s="11" t="n">
        <v>41751.7153472222</v>
      </c>
      <c r="M3179" s="12" t="s">
        <v>7819</v>
      </c>
      <c r="N3179" s="12" t="s">
        <v>7820</v>
      </c>
      <c r="O3179" s="9" t="str">
        <f aca="false">HYPERLINK("https://pbs.twimg.com/profile_images/468317904992088065/KCikb9hq_normal.jpeg","View")</f>
        <v>View</v>
      </c>
      <c r="P3179" s="10"/>
    </row>
    <row r="3180" customFormat="false" ht="15.75" hidden="false" customHeight="false" outlineLevel="0" collapsed="false">
      <c r="A3180" s="6" t="n">
        <v>43030.3696064815</v>
      </c>
      <c r="B3180" s="7" t="str">
        <f aca="false">HYPERLINK("https://twitter.com/uktMroklleH6e7U","@uktMroklleH6e7U")</f>
        <v>@uktMroklleH6e7U</v>
      </c>
      <c r="C3180" s="14" t="s">
        <v>7821</v>
      </c>
      <c r="D3180" s="8" t="s">
        <v>6707</v>
      </c>
      <c r="E3180" s="9" t="str">
        <f aca="false">HYPERLINK("https://twitter.com/uktMroklleH6e7U/status/922128472641699840","922128472641699840")</f>
        <v>922128472641699840</v>
      </c>
      <c r="F3180" s="10" t="s">
        <v>51</v>
      </c>
      <c r="G3180" s="10" t="n">
        <v>301</v>
      </c>
      <c r="H3180" s="10" t="n">
        <v>298</v>
      </c>
      <c r="I3180" s="10" t="n">
        <v>97</v>
      </c>
      <c r="J3180" s="10" t="n">
        <v>0</v>
      </c>
      <c r="K3180" s="10" t="s">
        <v>20</v>
      </c>
      <c r="L3180" s="11" t="n">
        <v>42405.2489583333</v>
      </c>
      <c r="M3180" s="13" t="s">
        <v>7822</v>
      </c>
      <c r="N3180" s="13" t="s">
        <v>7823</v>
      </c>
      <c r="O3180" s="9" t="str">
        <f aca="false">HYPERLINK("https://pbs.twimg.com/profile_images/922032003406381056/s-fca1TK_normal.jpg","View")</f>
        <v>View</v>
      </c>
      <c r="P3180" s="10"/>
    </row>
    <row r="3181" customFormat="false" ht="15.75" hidden="false" customHeight="false" outlineLevel="0" collapsed="false">
      <c r="A3181" s="6" t="n">
        <v>43030.3696064815</v>
      </c>
      <c r="B3181" s="7" t="str">
        <f aca="false">HYPERLINK("https://twitter.com/_Sturmkrahe","@_Sturmkrahe")</f>
        <v>@_Sturmkrahe</v>
      </c>
      <c r="C3181" s="8" t="s">
        <v>7824</v>
      </c>
      <c r="D3181" s="8" t="s">
        <v>7754</v>
      </c>
      <c r="E3181" s="9" t="str">
        <f aca="false">HYPERLINK("https://twitter.com/_Sturmkrahe/status/922128473107427328","922128473107427328")</f>
        <v>922128473107427328</v>
      </c>
      <c r="F3181" s="10" t="s">
        <v>177</v>
      </c>
      <c r="G3181" s="10" t="n">
        <v>208</v>
      </c>
      <c r="H3181" s="10" t="n">
        <v>1044</v>
      </c>
      <c r="I3181" s="10" t="n">
        <v>20</v>
      </c>
      <c r="J3181" s="10" t="n">
        <v>0</v>
      </c>
      <c r="K3181" s="10" t="s">
        <v>20</v>
      </c>
      <c r="L3181" s="11" t="n">
        <v>42352.5142476852</v>
      </c>
      <c r="M3181" s="12" t="s">
        <v>7825</v>
      </c>
      <c r="N3181" s="12" t="s">
        <v>7826</v>
      </c>
      <c r="O3181" s="9" t="str">
        <f aca="false">HYPERLINK("https://pbs.twimg.com/profile_images/895325699375939584/eKOnLZ4Z_normal.jpg","View")</f>
        <v>View</v>
      </c>
      <c r="P3181" s="10"/>
    </row>
    <row r="3182" customFormat="false" ht="15.75" hidden="false" customHeight="false" outlineLevel="0" collapsed="false">
      <c r="A3182" s="6" t="n">
        <v>43030.3696180556</v>
      </c>
      <c r="B3182" s="7" t="str">
        <f aca="false">HYPERLINK("https://twitter.com/tacota715","@tacota715")</f>
        <v>@tacota715</v>
      </c>
      <c r="C3182" s="8" t="s">
        <v>7827</v>
      </c>
      <c r="D3182" s="8" t="s">
        <v>6707</v>
      </c>
      <c r="E3182" s="9" t="str">
        <f aca="false">HYPERLINK("https://twitter.com/tacota715/status/922128476773036032","922128476773036032")</f>
        <v>922128476773036032</v>
      </c>
      <c r="F3182" s="10" t="s">
        <v>25</v>
      </c>
      <c r="G3182" s="10" t="n">
        <v>52</v>
      </c>
      <c r="H3182" s="10" t="n">
        <v>100</v>
      </c>
      <c r="I3182" s="10" t="n">
        <v>97</v>
      </c>
      <c r="J3182" s="10" t="n">
        <v>0</v>
      </c>
      <c r="K3182" s="10" t="s">
        <v>20</v>
      </c>
      <c r="L3182" s="11" t="n">
        <v>42351.2292939815</v>
      </c>
      <c r="M3182" s="12"/>
      <c r="N3182" s="13" t="s">
        <v>7828</v>
      </c>
      <c r="O3182" s="9" t="str">
        <f aca="false">HYPERLINK("https://pbs.twimg.com/profile_images/676032693881057280/8GGKQwV4_normal.jpg","View")</f>
        <v>View</v>
      </c>
      <c r="P3182" s="10"/>
    </row>
    <row r="3183" customFormat="false" ht="15.75" hidden="false" customHeight="false" outlineLevel="0" collapsed="false">
      <c r="A3183" s="6" t="n">
        <v>43030.3696296296</v>
      </c>
      <c r="B3183" s="7" t="str">
        <f aca="false">HYPERLINK("https://twitter.com/cakep_55","@cakep_55")</f>
        <v>@cakep_55</v>
      </c>
      <c r="C3183" s="8" t="s">
        <v>7816</v>
      </c>
      <c r="D3183" s="8" t="s">
        <v>7803</v>
      </c>
      <c r="E3183" s="9" t="str">
        <f aca="false">HYPERLINK("https://twitter.com/cakep_55/status/922128478085955585","922128478085955585")</f>
        <v>922128478085955585</v>
      </c>
      <c r="F3183" s="10" t="s">
        <v>25</v>
      </c>
      <c r="G3183" s="10" t="n">
        <v>5</v>
      </c>
      <c r="H3183" s="10" t="n">
        <v>34</v>
      </c>
      <c r="I3183" s="10" t="n">
        <v>30</v>
      </c>
      <c r="J3183" s="10" t="n">
        <v>0</v>
      </c>
      <c r="K3183" s="10" t="s">
        <v>20</v>
      </c>
      <c r="L3183" s="11" t="n">
        <v>42881.4161342593</v>
      </c>
      <c r="M3183" s="12"/>
      <c r="N3183" s="12"/>
      <c r="O3183" s="9" t="str">
        <f aca="false">HYPERLINK("https://pbs.twimg.com/profile_images/878674968954904576/1vcBmgxD_normal.jpg","View")</f>
        <v>View</v>
      </c>
      <c r="P3183" s="10"/>
    </row>
    <row r="3184" customFormat="false" ht="15.75" hidden="false" customHeight="false" outlineLevel="0" collapsed="false">
      <c r="A3184" s="6" t="n">
        <v>43030.3696759259</v>
      </c>
      <c r="B3184" s="7" t="str">
        <f aca="false">HYPERLINK("https://twitter.com/MattyNicholls69","@MattyNicholls69")</f>
        <v>@MattyNicholls69</v>
      </c>
      <c r="C3184" s="8" t="s">
        <v>7829</v>
      </c>
      <c r="D3184" s="8" t="s">
        <v>7830</v>
      </c>
      <c r="E3184" s="9" t="str">
        <f aca="false">HYPERLINK("https://twitter.com/MattyNicholls69/status/922128497476116480","922128497476116480")</f>
        <v>922128497476116480</v>
      </c>
      <c r="F3184" s="10" t="s">
        <v>25</v>
      </c>
      <c r="G3184" s="10" t="n">
        <v>2288</v>
      </c>
      <c r="H3184" s="10" t="n">
        <v>4985</v>
      </c>
      <c r="I3184" s="10" t="n">
        <v>0</v>
      </c>
      <c r="J3184" s="10" t="n">
        <v>0</v>
      </c>
      <c r="K3184" s="10" t="s">
        <v>20</v>
      </c>
      <c r="L3184" s="11" t="n">
        <v>41755.1656134259</v>
      </c>
      <c r="M3184" s="12" t="s">
        <v>7831</v>
      </c>
      <c r="N3184" s="12" t="s">
        <v>7820</v>
      </c>
      <c r="O3184" s="9" t="str">
        <f aca="false">HYPERLINK("https://pbs.twimg.com/profile_images/460012323780845570/YOr_SJj0_normal.jpeg","View")</f>
        <v>View</v>
      </c>
      <c r="P3184" s="10"/>
    </row>
    <row r="3185" customFormat="false" ht="15.75" hidden="false" customHeight="false" outlineLevel="0" collapsed="false">
      <c r="A3185" s="6" t="n">
        <v>43030.3697685185</v>
      </c>
      <c r="B3185" s="7" t="str">
        <f aca="false">HYPERLINK("https://twitter.com/norikotton1968","@norikotton1968")</f>
        <v>@norikotton1968</v>
      </c>
      <c r="C3185" s="8" t="s">
        <v>7832</v>
      </c>
      <c r="D3185" s="8" t="s">
        <v>6707</v>
      </c>
      <c r="E3185" s="9" t="str">
        <f aca="false">HYPERLINK("https://twitter.com/norikotton1968/status/922128530070110209","922128530070110209")</f>
        <v>922128530070110209</v>
      </c>
      <c r="F3185" s="10" t="s">
        <v>25</v>
      </c>
      <c r="G3185" s="10" t="n">
        <v>66</v>
      </c>
      <c r="H3185" s="10" t="n">
        <v>188</v>
      </c>
      <c r="I3185" s="10" t="n">
        <v>97</v>
      </c>
      <c r="J3185" s="10" t="n">
        <v>0</v>
      </c>
      <c r="K3185" s="10" t="s">
        <v>20</v>
      </c>
      <c r="L3185" s="11" t="n">
        <v>42476.2024768519</v>
      </c>
      <c r="M3185" s="12"/>
      <c r="N3185" s="13" t="s">
        <v>7833</v>
      </c>
      <c r="O3185" s="9" t="str">
        <f aca="false">HYPERLINK("https://pbs.twimg.com/profile_images/881769433886105604/77nKe9D4_normal.jpg","View")</f>
        <v>View</v>
      </c>
      <c r="P3185" s="10"/>
    </row>
    <row r="3186" customFormat="false" ht="15.75" hidden="false" customHeight="false" outlineLevel="0" collapsed="false">
      <c r="A3186" s="6" t="n">
        <v>43030.3697916667</v>
      </c>
      <c r="B3186" s="7" t="str">
        <f aca="false">HYPERLINK("https://twitter.com/Masa64bits","@Masa64bits")</f>
        <v>@Masa64bits</v>
      </c>
      <c r="C3186" s="14" t="s">
        <v>7834</v>
      </c>
      <c r="D3186" s="8" t="s">
        <v>6707</v>
      </c>
      <c r="E3186" s="9" t="str">
        <f aca="false">HYPERLINK("https://twitter.com/Masa64bits/status/922128537359757313","922128537359757313")</f>
        <v>922128537359757313</v>
      </c>
      <c r="F3186" s="16" t="s">
        <v>7835</v>
      </c>
      <c r="G3186" s="10" t="n">
        <v>899</v>
      </c>
      <c r="H3186" s="10" t="n">
        <v>259</v>
      </c>
      <c r="I3186" s="10" t="n">
        <v>97</v>
      </c>
      <c r="J3186" s="10" t="n">
        <v>0</v>
      </c>
      <c r="K3186" s="10" t="s">
        <v>20</v>
      </c>
      <c r="L3186" s="11" t="n">
        <v>40925.273125</v>
      </c>
      <c r="M3186" s="13" t="s">
        <v>7836</v>
      </c>
      <c r="N3186" s="13" t="s">
        <v>7837</v>
      </c>
      <c r="O3186" s="9" t="str">
        <f aca="false">HYPERLINK("https://pbs.twimg.com/profile_images/462979464872218624/usTIiK34_normal.jpeg","View")</f>
        <v>View</v>
      </c>
      <c r="P3186" s="10"/>
    </row>
    <row r="3187" customFormat="false" ht="15.75" hidden="false" customHeight="false" outlineLevel="0" collapsed="false">
      <c r="A3187" s="6" t="n">
        <v>43030.3699537037</v>
      </c>
      <c r="B3187" s="7" t="str">
        <f aca="false">HYPERLINK("https://twitter.com/goaadit","@goaadit")</f>
        <v>@goaadit</v>
      </c>
      <c r="C3187" s="8" t="s">
        <v>7838</v>
      </c>
      <c r="D3187" s="8" t="s">
        <v>7350</v>
      </c>
      <c r="E3187" s="9" t="str">
        <f aca="false">HYPERLINK("https://twitter.com/goaadit/status/922128598231801857","922128598231801857")</f>
        <v>922128598231801857</v>
      </c>
      <c r="F3187" s="10" t="s">
        <v>25</v>
      </c>
      <c r="G3187" s="10" t="n">
        <v>75</v>
      </c>
      <c r="H3187" s="10" t="n">
        <v>362</v>
      </c>
      <c r="I3187" s="10" t="n">
        <v>62</v>
      </c>
      <c r="J3187" s="10" t="n">
        <v>0</v>
      </c>
      <c r="K3187" s="10" t="s">
        <v>20</v>
      </c>
      <c r="L3187" s="11" t="n">
        <v>40666.290162037</v>
      </c>
      <c r="M3187" s="12" t="s">
        <v>4461</v>
      </c>
      <c r="N3187" s="12"/>
      <c r="O3187" s="9" t="str">
        <f aca="false">HYPERLINK("https://pbs.twimg.com/profile_images/667988916268494848/4bYs3p5d_normal.jpg","View")</f>
        <v>View</v>
      </c>
      <c r="P3187" s="10"/>
    </row>
    <row r="3188" customFormat="false" ht="15.75" hidden="false" customHeight="false" outlineLevel="0" collapsed="false">
      <c r="A3188" s="6" t="n">
        <v>43030.3700231482</v>
      </c>
      <c r="B3188" s="7" t="str">
        <f aca="false">HYPERLINK("https://twitter.com/harinezumi5963","@harinezumi5963")</f>
        <v>@harinezumi5963</v>
      </c>
      <c r="C3188" s="8" t="s">
        <v>7839</v>
      </c>
      <c r="D3188" s="8" t="s">
        <v>7803</v>
      </c>
      <c r="E3188" s="9" t="str">
        <f aca="false">HYPERLINK("https://twitter.com/harinezumi5963/status/922128623644983297","922128623644983297")</f>
        <v>922128623644983297</v>
      </c>
      <c r="F3188" s="10" t="s">
        <v>51</v>
      </c>
      <c r="G3188" s="10" t="n">
        <v>173</v>
      </c>
      <c r="H3188" s="10" t="n">
        <v>326</v>
      </c>
      <c r="I3188" s="10" t="n">
        <v>30</v>
      </c>
      <c r="J3188" s="10" t="n">
        <v>0</v>
      </c>
      <c r="K3188" s="10" t="s">
        <v>20</v>
      </c>
      <c r="L3188" s="11" t="n">
        <v>42686.2666203704</v>
      </c>
      <c r="M3188" s="13" t="s">
        <v>7840</v>
      </c>
      <c r="N3188" s="13" t="s">
        <v>7841</v>
      </c>
      <c r="O3188" s="9" t="str">
        <f aca="false">HYPERLINK("https://pbs.twimg.com/profile_images/923196978883805184/q0qtDFml_normal.jpg","View")</f>
        <v>View</v>
      </c>
      <c r="P3188" s="10"/>
    </row>
    <row r="3189" customFormat="false" ht="15.75" hidden="false" customHeight="false" outlineLevel="0" collapsed="false">
      <c r="A3189" s="6" t="n">
        <v>43030.3700810185</v>
      </c>
      <c r="B3189" s="7" t="str">
        <f aca="false">HYPERLINK("https://twitter.com/harinezumi5963","@harinezumi5963")</f>
        <v>@harinezumi5963</v>
      </c>
      <c r="C3189" s="8" t="s">
        <v>7839</v>
      </c>
      <c r="D3189" s="8" t="s">
        <v>6707</v>
      </c>
      <c r="E3189" s="9" t="str">
        <f aca="false">HYPERLINK("https://twitter.com/harinezumi5963/status/922128641231691776","922128641231691776")</f>
        <v>922128641231691776</v>
      </c>
      <c r="F3189" s="10" t="s">
        <v>51</v>
      </c>
      <c r="G3189" s="10" t="n">
        <v>173</v>
      </c>
      <c r="H3189" s="10" t="n">
        <v>326</v>
      </c>
      <c r="I3189" s="10" t="n">
        <v>97</v>
      </c>
      <c r="J3189" s="10" t="n">
        <v>0</v>
      </c>
      <c r="K3189" s="10" t="s">
        <v>20</v>
      </c>
      <c r="L3189" s="11" t="n">
        <v>42686.2666203704</v>
      </c>
      <c r="M3189" s="13" t="s">
        <v>7840</v>
      </c>
      <c r="N3189" s="13" t="s">
        <v>7841</v>
      </c>
      <c r="O3189" s="9" t="str">
        <f aca="false">HYPERLINK("https://pbs.twimg.com/profile_images/923196978883805184/q0qtDFml_normal.jpg","View")</f>
        <v>View</v>
      </c>
      <c r="P3189" s="10"/>
    </row>
    <row r="3190" customFormat="false" ht="15.75" hidden="false" customHeight="false" outlineLevel="0" collapsed="false">
      <c r="A3190" s="6" t="n">
        <v>43030.3701273148</v>
      </c>
      <c r="B3190" s="7" t="str">
        <f aca="false">HYPERLINK("https://twitter.com/tiger3kai","@tiger3kai")</f>
        <v>@tiger3kai</v>
      </c>
      <c r="C3190" s="14" t="s">
        <v>3221</v>
      </c>
      <c r="D3190" s="8" t="s">
        <v>7803</v>
      </c>
      <c r="E3190" s="9" t="str">
        <f aca="false">HYPERLINK("https://twitter.com/tiger3kai/status/922128660747862016","922128660747862016")</f>
        <v>922128660747862016</v>
      </c>
      <c r="F3190" s="10" t="s">
        <v>25</v>
      </c>
      <c r="G3190" s="10" t="n">
        <v>624</v>
      </c>
      <c r="H3190" s="10" t="n">
        <v>2517</v>
      </c>
      <c r="I3190" s="10" t="n">
        <v>30</v>
      </c>
      <c r="J3190" s="10" t="n">
        <v>0</v>
      </c>
      <c r="K3190" s="10" t="s">
        <v>20</v>
      </c>
      <c r="L3190" s="11" t="n">
        <v>40110.2680208333</v>
      </c>
      <c r="M3190" s="13" t="s">
        <v>3222</v>
      </c>
      <c r="N3190" s="13" t="s">
        <v>3223</v>
      </c>
      <c r="O3190" s="9" t="str">
        <f aca="false">HYPERLINK("https://pbs.twimg.com/profile_images/487699887/c40f_normal.jpg","View")</f>
        <v>View</v>
      </c>
      <c r="P3190" s="10"/>
    </row>
    <row r="3191" customFormat="false" ht="15.75" hidden="false" customHeight="false" outlineLevel="0" collapsed="false">
      <c r="A3191" s="6" t="n">
        <v>43030.3701851852</v>
      </c>
      <c r="B3191" s="7" t="str">
        <f aca="false">HYPERLINK("https://twitter.com/tiger3kai","@tiger3kai")</f>
        <v>@tiger3kai</v>
      </c>
      <c r="C3191" s="14" t="s">
        <v>3221</v>
      </c>
      <c r="D3191" s="8" t="s">
        <v>6707</v>
      </c>
      <c r="E3191" s="9" t="str">
        <f aca="false">HYPERLINK("https://twitter.com/tiger3kai/status/922128679974531072","922128679974531072")</f>
        <v>922128679974531072</v>
      </c>
      <c r="F3191" s="10" t="s">
        <v>25</v>
      </c>
      <c r="G3191" s="10" t="n">
        <v>624</v>
      </c>
      <c r="H3191" s="10" t="n">
        <v>2517</v>
      </c>
      <c r="I3191" s="10" t="n">
        <v>97</v>
      </c>
      <c r="J3191" s="10" t="n">
        <v>0</v>
      </c>
      <c r="K3191" s="10" t="s">
        <v>20</v>
      </c>
      <c r="L3191" s="11" t="n">
        <v>40110.2680208333</v>
      </c>
      <c r="M3191" s="13" t="s">
        <v>3222</v>
      </c>
      <c r="N3191" s="13" t="s">
        <v>3223</v>
      </c>
      <c r="O3191" s="9" t="str">
        <f aca="false">HYPERLINK("https://pbs.twimg.com/profile_images/487699887/c40f_normal.jpg","View")</f>
        <v>View</v>
      </c>
      <c r="P3191" s="10"/>
    </row>
    <row r="3192" customFormat="false" ht="15.75" hidden="false" customHeight="false" outlineLevel="0" collapsed="false">
      <c r="A3192" s="6" t="n">
        <v>43030.3703935185</v>
      </c>
      <c r="B3192" s="7" t="str">
        <f aca="false">HYPERLINK("https://twitter.com/CJNyssen","@CJNyssen")</f>
        <v>@CJNyssen</v>
      </c>
      <c r="C3192" s="8" t="s">
        <v>7795</v>
      </c>
      <c r="D3192" s="8" t="s">
        <v>7842</v>
      </c>
      <c r="E3192" s="9" t="str">
        <f aca="false">HYPERLINK("https://twitter.com/CJNyssen/status/922128754738114562","922128754738114562")</f>
        <v>922128754738114562</v>
      </c>
      <c r="F3192" s="10" t="s">
        <v>25</v>
      </c>
      <c r="G3192" s="10" t="n">
        <v>215</v>
      </c>
      <c r="H3192" s="10" t="n">
        <v>605</v>
      </c>
      <c r="I3192" s="10" t="n">
        <v>0</v>
      </c>
      <c r="J3192" s="10" t="n">
        <v>0</v>
      </c>
      <c r="K3192" s="10" t="s">
        <v>20</v>
      </c>
      <c r="L3192" s="11" t="n">
        <v>40787.3367708333</v>
      </c>
      <c r="M3192" s="12"/>
      <c r="N3192" s="12" t="s">
        <v>7797</v>
      </c>
      <c r="O3192" s="9" t="str">
        <f aca="false">HYPERLINK("https://pbs.twimg.com/profile_images/923728721760092160/FklYeQkR_normal.jpg","View")</f>
        <v>View</v>
      </c>
      <c r="P3192" s="10"/>
    </row>
    <row r="3193" customFormat="false" ht="15.75" hidden="false" customHeight="false" outlineLevel="0" collapsed="false">
      <c r="A3193" s="6" t="n">
        <v>43030.370474537</v>
      </c>
      <c r="B3193" s="7" t="str">
        <f aca="false">HYPERLINK("https://twitter.com/krnitinacharya","@krnitinacharya")</f>
        <v>@krnitinacharya</v>
      </c>
      <c r="C3193" s="8" t="s">
        <v>7843</v>
      </c>
      <c r="D3193" s="8" t="s">
        <v>6558</v>
      </c>
      <c r="E3193" s="9" t="str">
        <f aca="false">HYPERLINK("https://twitter.com/krnitinacharya/status/922128784249167872","922128784249167872")</f>
        <v>922128784249167872</v>
      </c>
      <c r="F3193" s="10" t="s">
        <v>25</v>
      </c>
      <c r="G3193" s="10" t="n">
        <v>27</v>
      </c>
      <c r="H3193" s="10" t="n">
        <v>172</v>
      </c>
      <c r="I3193" s="10" t="n">
        <v>65</v>
      </c>
      <c r="J3193" s="10" t="n">
        <v>0</v>
      </c>
      <c r="K3193" s="10" t="s">
        <v>20</v>
      </c>
      <c r="L3193" s="11" t="n">
        <v>40966.0849652778</v>
      </c>
      <c r="M3193" s="12"/>
      <c r="N3193" s="12"/>
      <c r="O3193" s="9" t="str">
        <f aca="false">HYPERLINK("https://abs.twimg.com/sticky/default_profile_images/default_profile_normal.png","View")</f>
        <v>View</v>
      </c>
      <c r="P3193" s="10"/>
    </row>
    <row r="3194" customFormat="false" ht="15.75" hidden="false" customHeight="false" outlineLevel="0" collapsed="false">
      <c r="A3194" s="6" t="n">
        <v>43030.3705092593</v>
      </c>
      <c r="B3194" s="7" t="str">
        <f aca="false">HYPERLINK("https://twitter.com/snowdrop_514","@snowdrop_514")</f>
        <v>@snowdrop_514</v>
      </c>
      <c r="C3194" s="14" t="s">
        <v>7844</v>
      </c>
      <c r="D3194" s="8" t="s">
        <v>6707</v>
      </c>
      <c r="E3194" s="9" t="str">
        <f aca="false">HYPERLINK("https://twitter.com/snowdrop_514/status/922128797532545024","922128797532545024")</f>
        <v>922128797532545024</v>
      </c>
      <c r="F3194" s="10" t="s">
        <v>25</v>
      </c>
      <c r="G3194" s="10" t="n">
        <v>83</v>
      </c>
      <c r="H3194" s="10" t="n">
        <v>172</v>
      </c>
      <c r="I3194" s="10" t="n">
        <v>97</v>
      </c>
      <c r="J3194" s="10" t="n">
        <v>0</v>
      </c>
      <c r="K3194" s="10" t="s">
        <v>20</v>
      </c>
      <c r="L3194" s="11" t="n">
        <v>42945.6915856482</v>
      </c>
      <c r="M3194" s="12" t="s">
        <v>7845</v>
      </c>
      <c r="N3194" s="12"/>
      <c r="O3194" s="9" t="str">
        <f aca="false">HYPERLINK("https://pbs.twimg.com/profile_images/891468510001377280/tPrZFI1r_normal.jpg","View")</f>
        <v>View</v>
      </c>
      <c r="P3194" s="10"/>
    </row>
    <row r="3195" customFormat="false" ht="15.75" hidden="false" customHeight="false" outlineLevel="0" collapsed="false">
      <c r="A3195" s="6" t="n">
        <v>43030.3705787037</v>
      </c>
      <c r="B3195" s="7" t="str">
        <f aca="false">HYPERLINK("https://twitter.com/rashidaldosari","@rashidaldosari")</f>
        <v>@rashidaldosari</v>
      </c>
      <c r="C3195" s="8" t="s">
        <v>810</v>
      </c>
      <c r="D3195" s="8" t="s">
        <v>7515</v>
      </c>
      <c r="E3195" s="9" t="str">
        <f aca="false">HYPERLINK("https://twitter.com/rashidaldosari/status/922128824741056514","922128824741056514")</f>
        <v>922128824741056514</v>
      </c>
      <c r="F3195" s="10" t="s">
        <v>51</v>
      </c>
      <c r="G3195" s="10" t="n">
        <v>2401</v>
      </c>
      <c r="H3195" s="10" t="n">
        <v>55</v>
      </c>
      <c r="I3195" s="10" t="n">
        <v>25</v>
      </c>
      <c r="J3195" s="10" t="n">
        <v>0</v>
      </c>
      <c r="K3195" s="10" t="s">
        <v>20</v>
      </c>
      <c r="L3195" s="11" t="n">
        <v>40635.110625</v>
      </c>
      <c r="M3195" s="12"/>
      <c r="N3195" s="12" t="s">
        <v>811</v>
      </c>
      <c r="O3195" s="9" t="str">
        <f aca="false">HYPERLINK("https://pbs.twimg.com/profile_images/1389660377/image_normal.jpg","View")</f>
        <v>View</v>
      </c>
      <c r="P3195" s="10"/>
    </row>
    <row r="3196" customFormat="false" ht="15.75" hidden="false" customHeight="false" outlineLevel="0" collapsed="false">
      <c r="A3196" s="6" t="n">
        <v>43030.3711342593</v>
      </c>
      <c r="B3196" s="7" t="str">
        <f aca="false">HYPERLINK("https://twitter.com/Shubhamyadurawa","@Shubhamyadurawa")</f>
        <v>@Shubhamyadurawa</v>
      </c>
      <c r="C3196" s="8" t="s">
        <v>7846</v>
      </c>
      <c r="D3196" s="8" t="s">
        <v>7736</v>
      </c>
      <c r="E3196" s="9" t="str">
        <f aca="false">HYPERLINK("https://twitter.com/Shubhamyadurawa/status/922129025333567491","922129025333567491")</f>
        <v>922129025333567491</v>
      </c>
      <c r="F3196" s="10" t="s">
        <v>25</v>
      </c>
      <c r="G3196" s="10" t="n">
        <v>38</v>
      </c>
      <c r="H3196" s="10" t="n">
        <v>62</v>
      </c>
      <c r="I3196" s="10" t="n">
        <v>31</v>
      </c>
      <c r="J3196" s="10" t="n">
        <v>0</v>
      </c>
      <c r="K3196" s="10" t="s">
        <v>20</v>
      </c>
      <c r="L3196" s="11" t="n">
        <v>42984.5509606482</v>
      </c>
      <c r="M3196" s="12" t="s">
        <v>7847</v>
      </c>
      <c r="N3196" s="12" t="s">
        <v>7848</v>
      </c>
      <c r="O3196" s="9" t="str">
        <f aca="false">HYPERLINK("https://pbs.twimg.com/profile_images/912781437656371200/A0IeHltJ_normal.jpg","View")</f>
        <v>View</v>
      </c>
      <c r="P3196" s="10"/>
    </row>
    <row r="3197" customFormat="false" ht="15.75" hidden="false" customHeight="false" outlineLevel="0" collapsed="false">
      <c r="A3197" s="6" t="n">
        <v>43030.3712268519</v>
      </c>
      <c r="B3197" s="7" t="str">
        <f aca="false">HYPERLINK("https://twitter.com/masiro2829","@masiro2829")</f>
        <v>@masiro2829</v>
      </c>
      <c r="C3197" s="8" t="s">
        <v>7849</v>
      </c>
      <c r="D3197" s="8" t="s">
        <v>6707</v>
      </c>
      <c r="E3197" s="9" t="str">
        <f aca="false">HYPERLINK("https://twitter.com/masiro2829/status/922129057147322369","922129057147322369")</f>
        <v>922129057147322369</v>
      </c>
      <c r="F3197" s="10" t="s">
        <v>98</v>
      </c>
      <c r="G3197" s="10" t="n">
        <v>34</v>
      </c>
      <c r="H3197" s="10" t="n">
        <v>48</v>
      </c>
      <c r="I3197" s="10" t="n">
        <v>97</v>
      </c>
      <c r="J3197" s="10" t="n">
        <v>0</v>
      </c>
      <c r="K3197" s="10" t="s">
        <v>20</v>
      </c>
      <c r="L3197" s="11" t="n">
        <v>42410.8975578704</v>
      </c>
      <c r="M3197" s="12"/>
      <c r="N3197" s="13" t="s">
        <v>7850</v>
      </c>
      <c r="O3197" s="9" t="str">
        <f aca="false">HYPERLINK("https://pbs.twimg.com/profile_images/733641582218346496/nZoI6ST-_normal.jpg","View")</f>
        <v>View</v>
      </c>
      <c r="P3197" s="10"/>
    </row>
    <row r="3198" customFormat="false" ht="15.75" hidden="false" customHeight="false" outlineLevel="0" collapsed="false">
      <c r="A3198" s="6" t="n">
        <v>43030.3712847222</v>
      </c>
      <c r="B3198" s="7" t="str">
        <f aca="false">HYPERLINK("https://twitter.com/AJEVideos","@AJEVideos")</f>
        <v>@AJEVideos</v>
      </c>
      <c r="C3198" s="8" t="s">
        <v>7851</v>
      </c>
      <c r="D3198" s="8" t="s">
        <v>7852</v>
      </c>
      <c r="E3198" s="9" t="str">
        <f aca="false">HYPERLINK("https://twitter.com/AJEVideos/status/922129077791854592","922129077791854592")</f>
        <v>922129077791854592</v>
      </c>
      <c r="F3198" s="10" t="s">
        <v>55</v>
      </c>
      <c r="G3198" s="10" t="n">
        <v>10591</v>
      </c>
      <c r="H3198" s="10" t="n">
        <v>2</v>
      </c>
      <c r="I3198" s="10" t="n">
        <v>1</v>
      </c>
      <c r="J3198" s="10" t="n">
        <v>0</v>
      </c>
      <c r="K3198" s="10" t="s">
        <v>20</v>
      </c>
      <c r="L3198" s="11" t="n">
        <v>39899.4626388889</v>
      </c>
      <c r="M3198" s="12"/>
      <c r="N3198" s="12" t="s">
        <v>7853</v>
      </c>
      <c r="O3198" s="9" t="str">
        <f aca="false">HYPERLINK("https://pbs.twimg.com/profile_images/875643952249962497/bf-FWyeG_normal.jpg","View")</f>
        <v>View</v>
      </c>
      <c r="P3198" s="10"/>
    </row>
    <row r="3199" customFormat="false" ht="15.75" hidden="false" customHeight="false" outlineLevel="0" collapsed="false">
      <c r="A3199" s="6" t="n">
        <v>43030.3713657407</v>
      </c>
      <c r="B3199" s="7" t="str">
        <f aca="false">HYPERLINK("https://twitter.com/mviworld","@mviworld")</f>
        <v>@mviworld</v>
      </c>
      <c r="C3199" s="8" t="s">
        <v>7854</v>
      </c>
      <c r="D3199" s="8" t="s">
        <v>7855</v>
      </c>
      <c r="E3199" s="9" t="str">
        <f aca="false">HYPERLINK("https://twitter.com/mviworld/status/922129106883563520","922129106883563520")</f>
        <v>922129106883563520</v>
      </c>
      <c r="F3199" s="10" t="s">
        <v>60</v>
      </c>
      <c r="G3199" s="10" t="n">
        <v>10</v>
      </c>
      <c r="H3199" s="10" t="n">
        <v>0</v>
      </c>
      <c r="I3199" s="10" t="n">
        <v>0</v>
      </c>
      <c r="J3199" s="10" t="n">
        <v>0</v>
      </c>
      <c r="K3199" s="10" t="s">
        <v>20</v>
      </c>
      <c r="L3199" s="11" t="n">
        <v>42108.6936458333</v>
      </c>
      <c r="M3199" s="12"/>
      <c r="N3199" s="12" t="s">
        <v>7856</v>
      </c>
      <c r="O3199" s="9" t="str">
        <f aca="false">HYPERLINK("https://pbs.twimg.com/profile_images/917892304836399105/Z1hIAXOo_normal.jpg","View")</f>
        <v>View</v>
      </c>
      <c r="P3199" s="10"/>
    </row>
    <row r="3200" customFormat="false" ht="15.75" hidden="false" customHeight="false" outlineLevel="0" collapsed="false">
      <c r="A3200" s="6" t="n">
        <v>43030.3714930556</v>
      </c>
      <c r="B3200" s="7" t="str">
        <f aca="false">HYPERLINK("https://twitter.com/isodhinegel10","@isodhinegel10")</f>
        <v>@isodhinegel10</v>
      </c>
      <c r="C3200" s="14" t="s">
        <v>7857</v>
      </c>
      <c r="D3200" s="8" t="s">
        <v>6707</v>
      </c>
      <c r="E3200" s="9" t="str">
        <f aca="false">HYPERLINK("https://twitter.com/isodhinegel10/status/922129155725991936","922129155725991936")</f>
        <v>922129155725991936</v>
      </c>
      <c r="F3200" s="10" t="s">
        <v>39</v>
      </c>
      <c r="G3200" s="10" t="n">
        <v>216</v>
      </c>
      <c r="H3200" s="10" t="n">
        <v>269</v>
      </c>
      <c r="I3200" s="10" t="n">
        <v>97</v>
      </c>
      <c r="J3200" s="10" t="n">
        <v>0</v>
      </c>
      <c r="K3200" s="10" t="s">
        <v>20</v>
      </c>
      <c r="L3200" s="11" t="n">
        <v>41607.8681597222</v>
      </c>
      <c r="M3200" s="13" t="s">
        <v>152</v>
      </c>
      <c r="N3200" s="13" t="s">
        <v>7858</v>
      </c>
      <c r="O3200" s="9" t="str">
        <f aca="false">HYPERLINK("https://pbs.twimg.com/profile_images/887441042861047808/ipu80CIt_normal.jpg","View")</f>
        <v>View</v>
      </c>
      <c r="P3200" s="10"/>
    </row>
    <row r="3201" customFormat="false" ht="15.75" hidden="false" customHeight="false" outlineLevel="0" collapsed="false">
      <c r="A3201" s="6" t="n">
        <v>43030.3715740741</v>
      </c>
      <c r="B3201" s="7" t="str">
        <f aca="false">HYPERLINK("https://twitter.com/Xaniatube","@Xaniatube")</f>
        <v>@Xaniatube</v>
      </c>
      <c r="C3201" s="8" t="s">
        <v>1619</v>
      </c>
      <c r="D3201" s="8" t="s">
        <v>7859</v>
      </c>
      <c r="E3201" s="9" t="str">
        <f aca="false">HYPERLINK("https://twitter.com/Xaniatube/status/922129182233993218","922129182233993218")</f>
        <v>922129182233993218</v>
      </c>
      <c r="F3201" s="9" t="s">
        <v>1621</v>
      </c>
      <c r="G3201" s="10" t="n">
        <v>2681</v>
      </c>
      <c r="H3201" s="10" t="n">
        <v>2306</v>
      </c>
      <c r="I3201" s="10" t="n">
        <v>0</v>
      </c>
      <c r="J3201" s="10" t="n">
        <v>0</v>
      </c>
      <c r="K3201" s="10" t="s">
        <v>20</v>
      </c>
      <c r="L3201" s="11" t="n">
        <v>42515.0175462963</v>
      </c>
      <c r="M3201" s="12" t="s">
        <v>1622</v>
      </c>
      <c r="N3201" s="12" t="s">
        <v>1623</v>
      </c>
      <c r="O3201" s="9" t="str">
        <f aca="false">HYPERLINK("https://pbs.twimg.com/profile_images/735982523755470848/RowRrw5R_normal.jpg","View")</f>
        <v>View</v>
      </c>
      <c r="P3201" s="10"/>
    </row>
    <row r="3202" customFormat="false" ht="15.75" hidden="false" customHeight="false" outlineLevel="0" collapsed="false">
      <c r="A3202" s="6" t="n">
        <v>43030.3715740741</v>
      </c>
      <c r="B3202" s="7" t="str">
        <f aca="false">HYPERLINK("https://twitter.com/isodhinegel10","@isodhinegel10")</f>
        <v>@isodhinegel10</v>
      </c>
      <c r="C3202" s="14" t="s">
        <v>7857</v>
      </c>
      <c r="D3202" s="8" t="s">
        <v>7803</v>
      </c>
      <c r="E3202" s="9" t="str">
        <f aca="false">HYPERLINK("https://twitter.com/isodhinegel10/status/922129184100466688","922129184100466688")</f>
        <v>922129184100466688</v>
      </c>
      <c r="F3202" s="10" t="s">
        <v>39</v>
      </c>
      <c r="G3202" s="10" t="n">
        <v>216</v>
      </c>
      <c r="H3202" s="10" t="n">
        <v>269</v>
      </c>
      <c r="I3202" s="10" t="n">
        <v>30</v>
      </c>
      <c r="J3202" s="10" t="n">
        <v>0</v>
      </c>
      <c r="K3202" s="10" t="s">
        <v>20</v>
      </c>
      <c r="L3202" s="11" t="n">
        <v>41607.8681597222</v>
      </c>
      <c r="M3202" s="13" t="s">
        <v>152</v>
      </c>
      <c r="N3202" s="13" t="s">
        <v>7858</v>
      </c>
      <c r="O3202" s="9" t="str">
        <f aca="false">HYPERLINK("https://pbs.twimg.com/profile_images/887441042861047808/ipu80CIt_normal.jpg","View")</f>
        <v>View</v>
      </c>
      <c r="P3202" s="10"/>
    </row>
    <row r="3203" customFormat="false" ht="15.75" hidden="false" customHeight="false" outlineLevel="0" collapsed="false">
      <c r="A3203" s="6" t="n">
        <v>43030.3716203704</v>
      </c>
      <c r="B3203" s="7" t="str">
        <f aca="false">HYPERLINK("https://twitter.com/kabukimonokabu","@kabukimonokabu")</f>
        <v>@kabukimonokabu</v>
      </c>
      <c r="C3203" s="14" t="s">
        <v>7860</v>
      </c>
      <c r="D3203" s="8" t="s">
        <v>6707</v>
      </c>
      <c r="E3203" s="9" t="str">
        <f aca="false">HYPERLINK("https://twitter.com/kabukimonokabu/status/922129202316435457","922129202316435457")</f>
        <v>922129202316435457</v>
      </c>
      <c r="F3203" s="10" t="s">
        <v>25</v>
      </c>
      <c r="G3203" s="10" t="n">
        <v>6747</v>
      </c>
      <c r="H3203" s="10" t="n">
        <v>830</v>
      </c>
      <c r="I3203" s="10" t="n">
        <v>97</v>
      </c>
      <c r="J3203" s="10" t="n">
        <v>0</v>
      </c>
      <c r="K3203" s="10" t="s">
        <v>20</v>
      </c>
      <c r="L3203" s="11" t="n">
        <v>42110.1958564815</v>
      </c>
      <c r="M3203" s="12"/>
      <c r="N3203" s="13" t="s">
        <v>7861</v>
      </c>
      <c r="O3203" s="9" t="str">
        <f aca="false">HYPERLINK("https://pbs.twimg.com/profile_images/921306370409766912/lEskFUVU_normal.jpg","View")</f>
        <v>View</v>
      </c>
      <c r="P3203" s="10"/>
    </row>
    <row r="3204" customFormat="false" ht="15.75" hidden="false" customHeight="false" outlineLevel="0" collapsed="false">
      <c r="A3204" s="6" t="n">
        <v>43030.3719675926</v>
      </c>
      <c r="B3204" s="7" t="str">
        <f aca="false">HYPERLINK("https://twitter.com/B_H_T_Rice","@B_H_T_Rice")</f>
        <v>@B_H_T_Rice</v>
      </c>
      <c r="C3204" s="14" t="s">
        <v>7862</v>
      </c>
      <c r="D3204" s="8" t="s">
        <v>6707</v>
      </c>
      <c r="E3204" s="9" t="str">
        <f aca="false">HYPERLINK("https://twitter.com/B_H_T_Rice/status/922129326983675905","922129326983675905")</f>
        <v>922129326983675905</v>
      </c>
      <c r="F3204" s="10" t="s">
        <v>39</v>
      </c>
      <c r="G3204" s="10" t="n">
        <v>657</v>
      </c>
      <c r="H3204" s="10" t="n">
        <v>377</v>
      </c>
      <c r="I3204" s="10" t="n">
        <v>97</v>
      </c>
      <c r="J3204" s="10" t="n">
        <v>0</v>
      </c>
      <c r="K3204" s="10" t="s">
        <v>20</v>
      </c>
      <c r="L3204" s="11" t="n">
        <v>40756.9020717593</v>
      </c>
      <c r="M3204" s="12"/>
      <c r="N3204" s="13" t="s">
        <v>7863</v>
      </c>
      <c r="O3204" s="9" t="str">
        <f aca="false">HYPERLINK("https://pbs.twimg.com/profile_images/773127412569616384/6ZeauGOX_normal.jpg","View")</f>
        <v>View</v>
      </c>
      <c r="P3204" s="10"/>
    </row>
    <row r="3205" customFormat="false" ht="15.75" hidden="false" customHeight="false" outlineLevel="0" collapsed="false">
      <c r="A3205" s="6" t="n">
        <v>43030.3719907407</v>
      </c>
      <c r="B3205" s="7" t="str">
        <f aca="false">HYPERLINK("https://twitter.com/Rajuman74740398","@Rajuman74740398")</f>
        <v>@Rajuman74740398</v>
      </c>
      <c r="C3205" s="8" t="s">
        <v>7864</v>
      </c>
      <c r="D3205" s="8" t="s">
        <v>7350</v>
      </c>
      <c r="E3205" s="9" t="str">
        <f aca="false">HYPERLINK("https://twitter.com/Rajuman74740398/status/922129334336286721","922129334336286721")</f>
        <v>922129334336286721</v>
      </c>
      <c r="F3205" s="10" t="s">
        <v>25</v>
      </c>
      <c r="G3205" s="10" t="n">
        <v>163</v>
      </c>
      <c r="H3205" s="10" t="n">
        <v>537</v>
      </c>
      <c r="I3205" s="10" t="n">
        <v>62</v>
      </c>
      <c r="J3205" s="10" t="n">
        <v>0</v>
      </c>
      <c r="K3205" s="10" t="s">
        <v>20</v>
      </c>
      <c r="L3205" s="11" t="n">
        <v>42992.8673842593</v>
      </c>
      <c r="M3205" s="12" t="s">
        <v>3588</v>
      </c>
      <c r="N3205" s="12" t="s">
        <v>7865</v>
      </c>
      <c r="O3205" s="9" t="str">
        <f aca="false">HYPERLINK("https://abs.twimg.com/sticky/default_profile_images/default_profile_normal.png","View")</f>
        <v>View</v>
      </c>
      <c r="P3205" s="10"/>
    </row>
    <row r="3206" customFormat="false" ht="15.75" hidden="false" customHeight="false" outlineLevel="0" collapsed="false">
      <c r="A3206" s="6" t="n">
        <v>43030.3721990741</v>
      </c>
      <c r="B3206" s="7" t="str">
        <f aca="false">HYPERLINK("https://twitter.com/kuromi08697499","@kuromi08697499")</f>
        <v>@kuromi08697499</v>
      </c>
      <c r="C3206" s="14" t="s">
        <v>7866</v>
      </c>
      <c r="D3206" s="8" t="s">
        <v>6707</v>
      </c>
      <c r="E3206" s="9" t="str">
        <f aca="false">HYPERLINK("https://twitter.com/kuromi08697499/status/922129410609659904","922129410609659904")</f>
        <v>922129410609659904</v>
      </c>
      <c r="F3206" s="10" t="s">
        <v>1017</v>
      </c>
      <c r="G3206" s="10" t="n">
        <v>36</v>
      </c>
      <c r="H3206" s="10" t="n">
        <v>112</v>
      </c>
      <c r="I3206" s="10" t="n">
        <v>97</v>
      </c>
      <c r="J3206" s="10" t="n">
        <v>0</v>
      </c>
      <c r="K3206" s="10" t="s">
        <v>20</v>
      </c>
      <c r="L3206" s="11" t="n">
        <v>42744.8722453704</v>
      </c>
      <c r="M3206" s="13" t="s">
        <v>7867</v>
      </c>
      <c r="N3206" s="13" t="s">
        <v>7868</v>
      </c>
      <c r="O3206" s="9" t="str">
        <f aca="false">HYPERLINK("https://pbs.twimg.com/profile_images/917774800604426240/uCVLq_u3_normal.jpg","View")</f>
        <v>View</v>
      </c>
      <c r="P3206" s="10"/>
    </row>
    <row r="3207" customFormat="false" ht="15.75" hidden="false" customHeight="false" outlineLevel="0" collapsed="false">
      <c r="A3207" s="6" t="n">
        <v>43030.3722916667</v>
      </c>
      <c r="B3207" s="7" t="str">
        <f aca="false">HYPERLINK("https://twitter.com/Geoffkernow","@Geoffkernow")</f>
        <v>@Geoffkernow</v>
      </c>
      <c r="C3207" s="8" t="s">
        <v>7869</v>
      </c>
      <c r="D3207" s="8" t="s">
        <v>7627</v>
      </c>
      <c r="E3207" s="9" t="str">
        <f aca="false">HYPERLINK("https://twitter.com/Geoffkernow/status/922129445514866688","922129445514866688")</f>
        <v>922129445514866688</v>
      </c>
      <c r="F3207" s="10" t="s">
        <v>177</v>
      </c>
      <c r="G3207" s="10" t="n">
        <v>10048</v>
      </c>
      <c r="H3207" s="10" t="n">
        <v>10045</v>
      </c>
      <c r="I3207" s="10" t="n">
        <v>20</v>
      </c>
      <c r="J3207" s="10" t="n">
        <v>0</v>
      </c>
      <c r="K3207" s="10" t="s">
        <v>20</v>
      </c>
      <c r="L3207" s="11" t="n">
        <v>40980.4819791667</v>
      </c>
      <c r="M3207" s="12" t="s">
        <v>7870</v>
      </c>
      <c r="N3207" s="12" t="s">
        <v>7871</v>
      </c>
      <c r="O3207" s="9" t="str">
        <f aca="false">HYPERLINK("https://pbs.twimg.com/profile_images/704394882610302976/mvUrTFqD_normal.jpg","View")</f>
        <v>View</v>
      </c>
      <c r="P3207" s="10"/>
    </row>
    <row r="3208" customFormat="false" ht="15.75" hidden="false" customHeight="false" outlineLevel="0" collapsed="false">
      <c r="A3208" s="6" t="n">
        <v>43030.372349537</v>
      </c>
      <c r="B3208" s="7" t="str">
        <f aca="false">HYPERLINK("https://twitter.com/CNBCTradersFan","@CNBCTradersFan")</f>
        <v>@CNBCTradersFan</v>
      </c>
      <c r="C3208" s="8" t="s">
        <v>325</v>
      </c>
      <c r="D3208" s="8" t="s">
        <v>7872</v>
      </c>
      <c r="E3208" s="9" t="str">
        <f aca="false">HYPERLINK("https://twitter.com/CNBCTradersFan/status/922129466922500097","922129466922500097")</f>
        <v>922129466922500097</v>
      </c>
      <c r="F3208" s="10" t="s">
        <v>60</v>
      </c>
      <c r="G3208" s="10" t="n">
        <v>17155</v>
      </c>
      <c r="H3208" s="10" t="n">
        <v>11641</v>
      </c>
      <c r="I3208" s="10" t="n">
        <v>0</v>
      </c>
      <c r="J3208" s="10" t="n">
        <v>0</v>
      </c>
      <c r="K3208" s="10" t="s">
        <v>20</v>
      </c>
      <c r="L3208" s="11" t="n">
        <v>40922.5054282407</v>
      </c>
      <c r="M3208" s="12" t="s">
        <v>327</v>
      </c>
      <c r="N3208" s="12" t="s">
        <v>328</v>
      </c>
      <c r="O3208" s="9" t="str">
        <f aca="false">HYPERLINK("https://pbs.twimg.com/profile_images/731870469318684672/Ckf7rDdJ_normal.jpg","View")</f>
        <v>View</v>
      </c>
      <c r="P3208" s="10"/>
    </row>
    <row r="3209" customFormat="false" ht="15.75" hidden="false" customHeight="false" outlineLevel="0" collapsed="false">
      <c r="A3209" s="6" t="n">
        <v>43030.3724305556</v>
      </c>
      <c r="B3209" s="7" t="str">
        <f aca="false">HYPERLINK("https://twitter.com/amitabhk87","@amitabhk87")</f>
        <v>@amitabhk87</v>
      </c>
      <c r="C3209" s="8" t="s">
        <v>7873</v>
      </c>
      <c r="D3209" s="8" t="s">
        <v>6558</v>
      </c>
      <c r="E3209" s="9" t="str">
        <f aca="false">HYPERLINK("https://twitter.com/amitabhk87/status/922129496014278656","922129496014278656")</f>
        <v>922129496014278656</v>
      </c>
      <c r="F3209" s="10" t="s">
        <v>51</v>
      </c>
      <c r="G3209" s="10" t="n">
        <v>203446</v>
      </c>
      <c r="H3209" s="10" t="n">
        <v>674</v>
      </c>
      <c r="I3209" s="10" t="n">
        <v>65</v>
      </c>
      <c r="J3209" s="10" t="n">
        <v>0</v>
      </c>
      <c r="K3209" s="10" t="s">
        <v>20</v>
      </c>
      <c r="L3209" s="11" t="n">
        <v>40074.0834837963</v>
      </c>
      <c r="M3209" s="12" t="s">
        <v>857</v>
      </c>
      <c r="N3209" s="12" t="s">
        <v>7874</v>
      </c>
      <c r="O3209" s="9" t="str">
        <f aca="false">HYPERLINK("https://pbs.twimg.com/profile_images/602702156165029888/M4hUz8oe_normal.jpg","View")</f>
        <v>View</v>
      </c>
      <c r="P3209" s="10"/>
    </row>
    <row r="3210" customFormat="false" ht="15.75" hidden="false" customHeight="false" outlineLevel="0" collapsed="false">
      <c r="A3210" s="6" t="n">
        <v>43030.3724537037</v>
      </c>
      <c r="B3210" s="7" t="str">
        <f aca="false">HYPERLINK("https://twitter.com/fc1575","@fc1575")</f>
        <v>@fc1575</v>
      </c>
      <c r="C3210" s="8" t="s">
        <v>5417</v>
      </c>
      <c r="D3210" s="8" t="s">
        <v>6707</v>
      </c>
      <c r="E3210" s="9" t="str">
        <f aca="false">HYPERLINK("https://twitter.com/fc1575/status/922129503773532160","922129503773532160")</f>
        <v>922129503773532160</v>
      </c>
      <c r="F3210" s="10" t="s">
        <v>51</v>
      </c>
      <c r="G3210" s="10" t="n">
        <v>460</v>
      </c>
      <c r="H3210" s="10" t="n">
        <v>244</v>
      </c>
      <c r="I3210" s="10" t="n">
        <v>97</v>
      </c>
      <c r="J3210" s="10" t="n">
        <v>0</v>
      </c>
      <c r="K3210" s="10" t="s">
        <v>20</v>
      </c>
      <c r="L3210" s="11" t="n">
        <v>40271.4362268519</v>
      </c>
      <c r="M3210" s="13" t="s">
        <v>5418</v>
      </c>
      <c r="N3210" s="12" t="s">
        <v>5419</v>
      </c>
      <c r="O3210" s="9" t="str">
        <f aca="false">HYPERLINK("https://pbs.twimg.com/profile_images/481545211311448064/XnRNXLOO_normal.jpeg","View")</f>
        <v>View</v>
      </c>
      <c r="P3210" s="10"/>
    </row>
    <row r="3211" customFormat="false" ht="15.75" hidden="false" customHeight="false" outlineLevel="0" collapsed="false">
      <c r="A3211" s="6" t="n">
        <v>43030.3725694444</v>
      </c>
      <c r="B3211" s="7" t="str">
        <f aca="false">HYPERLINK("https://twitter.com/ChweeneyTodd","@ChweeneyTodd")</f>
        <v>@ChweeneyTodd</v>
      </c>
      <c r="C3211" s="8" t="s">
        <v>7043</v>
      </c>
      <c r="D3211" s="8" t="s">
        <v>6558</v>
      </c>
      <c r="E3211" s="9" t="str">
        <f aca="false">HYPERLINK("https://twitter.com/ChweeneyTodd/status/922129546400460801","922129546400460801")</f>
        <v>922129546400460801</v>
      </c>
      <c r="F3211" s="10" t="s">
        <v>25</v>
      </c>
      <c r="G3211" s="10" t="n">
        <v>306</v>
      </c>
      <c r="H3211" s="10" t="n">
        <v>55</v>
      </c>
      <c r="I3211" s="10" t="n">
        <v>65</v>
      </c>
      <c r="J3211" s="10" t="n">
        <v>0</v>
      </c>
      <c r="K3211" s="10" t="s">
        <v>20</v>
      </c>
      <c r="L3211" s="11" t="n">
        <v>41910.9682060185</v>
      </c>
      <c r="M3211" s="12" t="s">
        <v>72</v>
      </c>
      <c r="N3211" s="12" t="s">
        <v>7044</v>
      </c>
      <c r="O3211" s="9" t="str">
        <f aca="false">HYPERLINK("https://pbs.twimg.com/profile_images/857184496453550080/jD0-MW2T_normal.jpg","View")</f>
        <v>View</v>
      </c>
      <c r="P3211" s="10"/>
    </row>
    <row r="3212" customFormat="false" ht="15.75" hidden="false" customHeight="false" outlineLevel="0" collapsed="false">
      <c r="A3212" s="6" t="n">
        <v>43030.3726157407</v>
      </c>
      <c r="B3212" s="7" t="str">
        <f aca="false">HYPERLINK("https://twitter.com/CollectedN","@CollectedN")</f>
        <v>@CollectedN</v>
      </c>
      <c r="C3212" s="8" t="s">
        <v>1803</v>
      </c>
      <c r="D3212" s="8" t="s">
        <v>7875</v>
      </c>
      <c r="E3212" s="9" t="str">
        <f aca="false">HYPERLINK("https://twitter.com/CollectedN/status/922129561730600960","922129561730600960")</f>
        <v>922129561730600960</v>
      </c>
      <c r="F3212" s="10" t="s">
        <v>60</v>
      </c>
      <c r="G3212" s="10" t="n">
        <v>21998</v>
      </c>
      <c r="H3212" s="10" t="n">
        <v>16536</v>
      </c>
      <c r="I3212" s="10" t="n">
        <v>0</v>
      </c>
      <c r="J3212" s="10" t="n">
        <v>0</v>
      </c>
      <c r="K3212" s="10" t="s">
        <v>20</v>
      </c>
      <c r="L3212" s="11" t="n">
        <v>41333.7684027778</v>
      </c>
      <c r="M3212" s="12"/>
      <c r="N3212" s="12" t="s">
        <v>1805</v>
      </c>
      <c r="O3212" s="9" t="str">
        <f aca="false">HYPERLINK("https://pbs.twimg.com/profile_images/705925817277108224/nGS1Ko7F_normal.jpg","View")</f>
        <v>View</v>
      </c>
      <c r="P3212" s="10"/>
    </row>
    <row r="3213" customFormat="false" ht="15.75" hidden="false" customHeight="false" outlineLevel="0" collapsed="false">
      <c r="A3213" s="6" t="n">
        <v>43030.3729166667</v>
      </c>
      <c r="B3213" s="7" t="str">
        <f aca="false">HYPERLINK("https://twitter.com/GoodBeansW","@GoodBeansW")</f>
        <v>@GoodBeansW</v>
      </c>
      <c r="C3213" s="8" t="s">
        <v>7876</v>
      </c>
      <c r="D3213" s="8" t="s">
        <v>6707</v>
      </c>
      <c r="E3213" s="9" t="str">
        <f aca="false">HYPERLINK("https://twitter.com/GoodBeansW/status/922129671902433281","922129671902433281")</f>
        <v>922129671902433281</v>
      </c>
      <c r="F3213" s="10" t="s">
        <v>25</v>
      </c>
      <c r="G3213" s="10" t="n">
        <v>53</v>
      </c>
      <c r="H3213" s="10" t="n">
        <v>353</v>
      </c>
      <c r="I3213" s="10" t="n">
        <v>97</v>
      </c>
      <c r="J3213" s="10" t="n">
        <v>0</v>
      </c>
      <c r="K3213" s="10" t="s">
        <v>20</v>
      </c>
      <c r="L3213" s="11" t="n">
        <v>41946.6372800926</v>
      </c>
      <c r="M3213" s="12" t="s">
        <v>7877</v>
      </c>
      <c r="N3213" s="12" t="s">
        <v>7878</v>
      </c>
      <c r="O3213" s="9" t="str">
        <f aca="false">HYPERLINK("https://pbs.twimg.com/profile_images/869663506664009728/62H61hwS_normal.jpg","View")</f>
        <v>View</v>
      </c>
      <c r="P3213" s="10"/>
    </row>
    <row r="3214" customFormat="false" ht="15.75" hidden="false" customHeight="false" outlineLevel="0" collapsed="false">
      <c r="A3214" s="6" t="n">
        <v>43030.3729861111</v>
      </c>
      <c r="B3214" s="7" t="str">
        <f aca="false">HYPERLINK("https://twitter.com/sat_gollapudi","@sat_gollapudi")</f>
        <v>@sat_gollapudi</v>
      </c>
      <c r="C3214" s="8" t="s">
        <v>7447</v>
      </c>
      <c r="D3214" s="8" t="s">
        <v>6558</v>
      </c>
      <c r="E3214" s="9" t="str">
        <f aca="false">HYPERLINK("https://twitter.com/sat_gollapudi/status/922129695675531264","922129695675531264")</f>
        <v>922129695675531264</v>
      </c>
      <c r="F3214" s="10" t="s">
        <v>25</v>
      </c>
      <c r="G3214" s="10" t="n">
        <v>96</v>
      </c>
      <c r="H3214" s="10" t="n">
        <v>129</v>
      </c>
      <c r="I3214" s="10" t="n">
        <v>65</v>
      </c>
      <c r="J3214" s="10" t="n">
        <v>0</v>
      </c>
      <c r="K3214" s="10" t="s">
        <v>20</v>
      </c>
      <c r="L3214" s="11" t="n">
        <v>40570.3246990741</v>
      </c>
      <c r="M3214" s="12"/>
      <c r="N3214" s="12" t="s">
        <v>7448</v>
      </c>
      <c r="O3214" s="9" t="str">
        <f aca="false">HYPERLINK("https://pbs.twimg.com/profile_images/917953021824212992/wjg3eQeF_normal.jpg","View")</f>
        <v>View</v>
      </c>
      <c r="P3214" s="10"/>
    </row>
    <row r="3215" customFormat="false" ht="15.75" hidden="false" customHeight="false" outlineLevel="0" collapsed="false">
      <c r="A3215" s="6" t="n">
        <v>43030.3731134259</v>
      </c>
      <c r="B3215" s="7" t="str">
        <f aca="false">HYPERLINK("https://twitter.com/husimran","@husimran")</f>
        <v>@husimran</v>
      </c>
      <c r="C3215" s="8" t="s">
        <v>7879</v>
      </c>
      <c r="D3215" s="8" t="s">
        <v>7736</v>
      </c>
      <c r="E3215" s="9" t="str">
        <f aca="false">HYPERLINK("https://twitter.com/husimran/status/922129740969934850","922129740969934850")</f>
        <v>922129740969934850</v>
      </c>
      <c r="F3215" s="10" t="s">
        <v>25</v>
      </c>
      <c r="G3215" s="10" t="n">
        <v>646</v>
      </c>
      <c r="H3215" s="10" t="n">
        <v>358</v>
      </c>
      <c r="I3215" s="10" t="n">
        <v>31</v>
      </c>
      <c r="J3215" s="10" t="n">
        <v>0</v>
      </c>
      <c r="K3215" s="10" t="s">
        <v>20</v>
      </c>
      <c r="L3215" s="11" t="n">
        <v>40299.1671527778</v>
      </c>
      <c r="M3215" s="12"/>
      <c r="N3215" s="12"/>
      <c r="O3215" s="9" t="str">
        <f aca="false">HYPERLINK("https://pbs.twimg.com/profile_images/378800000837862350/d3694bfaa60fd332884851adf2ae969f_normal.jpeg","View")</f>
        <v>View</v>
      </c>
      <c r="P3215" s="10"/>
    </row>
    <row r="3216" customFormat="false" ht="15.75" hidden="false" customHeight="false" outlineLevel="0" collapsed="false">
      <c r="A3216" s="6" t="n">
        <v>43030.3732986111</v>
      </c>
      <c r="B3216" s="7" t="str">
        <f aca="false">HYPERLINK("https://twitter.com/Monitor_sur","@Monitor_sur")</f>
        <v>@Monitor_sur</v>
      </c>
      <c r="C3216" s="8" t="s">
        <v>7880</v>
      </c>
      <c r="D3216" s="8" t="s">
        <v>7881</v>
      </c>
      <c r="E3216" s="9" t="str">
        <f aca="false">HYPERLINK("https://twitter.com/Monitor_sur/status/922129811216023552","922129811216023552")</f>
        <v>922129811216023552</v>
      </c>
      <c r="F3216" s="10" t="s">
        <v>51</v>
      </c>
      <c r="G3216" s="10" t="n">
        <v>8328</v>
      </c>
      <c r="H3216" s="10" t="n">
        <v>677</v>
      </c>
      <c r="I3216" s="10" t="n">
        <v>0</v>
      </c>
      <c r="J3216" s="10" t="n">
        <v>0</v>
      </c>
      <c r="K3216" s="10" t="s">
        <v>20</v>
      </c>
      <c r="L3216" s="11" t="n">
        <v>41680.3577546296</v>
      </c>
      <c r="M3216" s="12" t="s">
        <v>752</v>
      </c>
      <c r="N3216" s="12" t="s">
        <v>7882</v>
      </c>
      <c r="O3216" s="9" t="str">
        <f aca="false">HYPERLINK("https://pbs.twimg.com/profile_images/845323060584468481/Uy2FSm_h_normal.jpg","View")</f>
        <v>View</v>
      </c>
      <c r="P3216" s="10"/>
    </row>
    <row r="3217" customFormat="false" ht="15.75" hidden="false" customHeight="false" outlineLevel="0" collapsed="false">
      <c r="A3217" s="6" t="n">
        <v>43030.3733217593</v>
      </c>
      <c r="B3217" s="7" t="str">
        <f aca="false">HYPERLINK("https://twitter.com/alexandre_ishii","@alexandre_ishii")</f>
        <v>@alexandre_ishii</v>
      </c>
      <c r="C3217" s="14" t="s">
        <v>7883</v>
      </c>
      <c r="D3217" s="8" t="s">
        <v>6707</v>
      </c>
      <c r="E3217" s="9" t="str">
        <f aca="false">HYPERLINK("https://twitter.com/alexandre_ishii/status/922129817922760704","922129817922760704")</f>
        <v>922129817922760704</v>
      </c>
      <c r="F3217" s="10" t="s">
        <v>51</v>
      </c>
      <c r="G3217" s="10" t="n">
        <v>3321</v>
      </c>
      <c r="H3217" s="10" t="n">
        <v>1476</v>
      </c>
      <c r="I3217" s="10" t="n">
        <v>97</v>
      </c>
      <c r="J3217" s="10" t="n">
        <v>0</v>
      </c>
      <c r="K3217" s="10" t="s">
        <v>20</v>
      </c>
      <c r="L3217" s="11" t="n">
        <v>41209.8569328704</v>
      </c>
      <c r="M3217" s="12"/>
      <c r="N3217" s="13" t="s">
        <v>7884</v>
      </c>
      <c r="O3217" s="9" t="str">
        <f aca="false">HYPERLINK("https://pbs.twimg.com/profile_images/922443409146515456/PhV17n3B_normal.jpg","View")</f>
        <v>View</v>
      </c>
      <c r="P3217" s="10"/>
    </row>
    <row r="3218" customFormat="false" ht="15.75" hidden="false" customHeight="false" outlineLevel="0" collapsed="false">
      <c r="A3218" s="6" t="n">
        <v>43030.3734259259</v>
      </c>
      <c r="B3218" s="7" t="str">
        <f aca="false">HYPERLINK("https://twitter.com/aparanjape","@aparanjape")</f>
        <v>@aparanjape</v>
      </c>
      <c r="C3218" s="8" t="s">
        <v>3866</v>
      </c>
      <c r="D3218" s="8" t="s">
        <v>7885</v>
      </c>
      <c r="E3218" s="9" t="str">
        <f aca="false">HYPERLINK("https://twitter.com/aparanjape/status/922129854425903104","922129854425903104")</f>
        <v>922129854425903104</v>
      </c>
      <c r="F3218" s="10" t="s">
        <v>25</v>
      </c>
      <c r="G3218" s="10" t="n">
        <v>25279</v>
      </c>
      <c r="H3218" s="10" t="n">
        <v>737</v>
      </c>
      <c r="I3218" s="10" t="n">
        <v>38</v>
      </c>
      <c r="J3218" s="10" t="n">
        <v>72</v>
      </c>
      <c r="K3218" s="10" t="s">
        <v>20</v>
      </c>
      <c r="L3218" s="11" t="n">
        <v>39526.1762268519</v>
      </c>
      <c r="M3218" s="12" t="s">
        <v>3531</v>
      </c>
      <c r="N3218" s="12" t="s">
        <v>3868</v>
      </c>
      <c r="O3218" s="9" t="str">
        <f aca="false">HYPERLINK("https://pbs.twimg.com/profile_images/1360512861/211915_1560781420_1605069_n_normal.jpg","View")</f>
        <v>View</v>
      </c>
      <c r="P3218" s="10"/>
    </row>
    <row r="3219" customFormat="false" ht="15.75" hidden="false" customHeight="false" outlineLevel="0" collapsed="false">
      <c r="A3219" s="6" t="n">
        <v>43030.3735763889</v>
      </c>
      <c r="B3219" s="7" t="str">
        <f aca="false">HYPERLINK("https://twitter.com/nofly_nocry","@nofly_nocry")</f>
        <v>@nofly_nocry</v>
      </c>
      <c r="C3219" s="14" t="s">
        <v>7886</v>
      </c>
      <c r="D3219" s="8" t="s">
        <v>7803</v>
      </c>
      <c r="E3219" s="9" t="str">
        <f aca="false">HYPERLINK("https://twitter.com/nofly_nocry/status/922129909450883073","922129909450883073")</f>
        <v>922129909450883073</v>
      </c>
      <c r="F3219" s="10" t="s">
        <v>51</v>
      </c>
      <c r="G3219" s="10" t="n">
        <v>108</v>
      </c>
      <c r="H3219" s="10" t="n">
        <v>240</v>
      </c>
      <c r="I3219" s="10" t="n">
        <v>30</v>
      </c>
      <c r="J3219" s="10" t="n">
        <v>0</v>
      </c>
      <c r="K3219" s="10" t="s">
        <v>20</v>
      </c>
      <c r="L3219" s="11" t="n">
        <v>41408.1615046296</v>
      </c>
      <c r="M3219" s="13" t="s">
        <v>7887</v>
      </c>
      <c r="N3219" s="13" t="s">
        <v>7888</v>
      </c>
      <c r="O3219" s="9" t="str">
        <f aca="false">HYPERLINK("https://pbs.twimg.com/profile_images/902132213134659584/250O7qK__normal.jpg","View")</f>
        <v>View</v>
      </c>
      <c r="P3219" s="10"/>
    </row>
    <row r="3220" customFormat="false" ht="15.75" hidden="false" customHeight="false" outlineLevel="0" collapsed="false">
      <c r="A3220" s="6" t="n">
        <v>43030.3736226852</v>
      </c>
      <c r="B3220" s="7" t="str">
        <f aca="false">HYPERLINK("https://twitter.com/nofly_nocry","@nofly_nocry")</f>
        <v>@nofly_nocry</v>
      </c>
      <c r="C3220" s="14" t="s">
        <v>7886</v>
      </c>
      <c r="D3220" s="8" t="s">
        <v>6707</v>
      </c>
      <c r="E3220" s="9" t="str">
        <f aca="false">HYPERLINK("https://twitter.com/nofly_nocry/status/922129924793577472","922129924793577472")</f>
        <v>922129924793577472</v>
      </c>
      <c r="F3220" s="10" t="s">
        <v>51</v>
      </c>
      <c r="G3220" s="10" t="n">
        <v>108</v>
      </c>
      <c r="H3220" s="10" t="n">
        <v>240</v>
      </c>
      <c r="I3220" s="10" t="n">
        <v>97</v>
      </c>
      <c r="J3220" s="10" t="n">
        <v>0</v>
      </c>
      <c r="K3220" s="10" t="s">
        <v>20</v>
      </c>
      <c r="L3220" s="11" t="n">
        <v>41408.1615046296</v>
      </c>
      <c r="M3220" s="13" t="s">
        <v>7887</v>
      </c>
      <c r="N3220" s="13" t="s">
        <v>7888</v>
      </c>
      <c r="O3220" s="9" t="str">
        <f aca="false">HYPERLINK("https://pbs.twimg.com/profile_images/902132213134659584/250O7qK__normal.jpg","View")</f>
        <v>View</v>
      </c>
      <c r="P3220" s="10"/>
    </row>
    <row r="3221" customFormat="false" ht="15.75" hidden="false" customHeight="false" outlineLevel="0" collapsed="false">
      <c r="A3221" s="6" t="n">
        <v>43030.3736342593</v>
      </c>
      <c r="B3221" s="7" t="str">
        <f aca="false">HYPERLINK("https://twitter.com/kekai","@kekai")</f>
        <v>@kekai</v>
      </c>
      <c r="C3221" s="8" t="s">
        <v>7889</v>
      </c>
      <c r="D3221" s="8" t="s">
        <v>7890</v>
      </c>
      <c r="E3221" s="9" t="str">
        <f aca="false">HYPERLINK("https://twitter.com/kekai/status/922129930741100545","922129930741100545")</f>
        <v>922129930741100545</v>
      </c>
      <c r="F3221" s="10" t="s">
        <v>47</v>
      </c>
      <c r="G3221" s="10" t="n">
        <v>2407</v>
      </c>
      <c r="H3221" s="10" t="n">
        <v>4984</v>
      </c>
      <c r="I3221" s="10" t="n">
        <v>0</v>
      </c>
      <c r="J3221" s="10" t="n">
        <v>0</v>
      </c>
      <c r="K3221" s="10" t="s">
        <v>20</v>
      </c>
      <c r="L3221" s="11" t="n">
        <v>39187.4150925926</v>
      </c>
      <c r="M3221" s="12" t="s">
        <v>7891</v>
      </c>
      <c r="N3221" s="12" t="s">
        <v>7892</v>
      </c>
      <c r="O3221" s="9" t="str">
        <f aca="false">HYPERLINK("https://pbs.twimg.com/profile_images/824050858224537600/Mt7H6d7l_normal.jpg","View")</f>
        <v>View</v>
      </c>
      <c r="P3221" s="10"/>
    </row>
    <row r="3222" customFormat="false" ht="15.75" hidden="false" customHeight="false" outlineLevel="0" collapsed="false">
      <c r="A3222" s="6" t="n">
        <v>43030.3737615741</v>
      </c>
      <c r="B3222" s="7" t="str">
        <f aca="false">HYPERLINK("https://twitter.com/akariasakana","@akariasakana")</f>
        <v>@akariasakana</v>
      </c>
      <c r="C3222" s="8" t="s">
        <v>7893</v>
      </c>
      <c r="D3222" s="8" t="s">
        <v>6707</v>
      </c>
      <c r="E3222" s="9" t="str">
        <f aca="false">HYPERLINK("https://twitter.com/akariasakana/status/922129975003660290","922129975003660290")</f>
        <v>922129975003660290</v>
      </c>
      <c r="F3222" s="10" t="s">
        <v>51</v>
      </c>
      <c r="G3222" s="10" t="n">
        <v>1622</v>
      </c>
      <c r="H3222" s="10" t="n">
        <v>70</v>
      </c>
      <c r="I3222" s="10" t="n">
        <v>97</v>
      </c>
      <c r="J3222" s="10" t="n">
        <v>0</v>
      </c>
      <c r="K3222" s="10" t="s">
        <v>20</v>
      </c>
      <c r="L3222" s="11" t="n">
        <v>41714.0382638889</v>
      </c>
      <c r="M3222" s="12"/>
      <c r="N3222" s="13" t="s">
        <v>7894</v>
      </c>
      <c r="O3222" s="9" t="str">
        <f aca="false">HYPERLINK("https://pbs.twimg.com/profile_images/445108931044454401/Dldq7sX-_normal.jpeg","View")</f>
        <v>View</v>
      </c>
      <c r="P3222" s="10"/>
    </row>
    <row r="3223" customFormat="false" ht="15.75" hidden="false" customHeight="false" outlineLevel="0" collapsed="false">
      <c r="A3223" s="6" t="n">
        <v>43030.3737962963</v>
      </c>
      <c r="B3223" s="7" t="str">
        <f aca="false">HYPERLINK("https://twitter.com/akariasakana","@akariasakana")</f>
        <v>@akariasakana</v>
      </c>
      <c r="C3223" s="8" t="s">
        <v>7893</v>
      </c>
      <c r="D3223" s="8" t="s">
        <v>7803</v>
      </c>
      <c r="E3223" s="9" t="str">
        <f aca="false">HYPERLINK("https://twitter.com/akariasakana/status/922129990707134466","922129990707134466")</f>
        <v>922129990707134466</v>
      </c>
      <c r="F3223" s="10" t="s">
        <v>51</v>
      </c>
      <c r="G3223" s="10" t="n">
        <v>1622</v>
      </c>
      <c r="H3223" s="10" t="n">
        <v>70</v>
      </c>
      <c r="I3223" s="10" t="n">
        <v>30</v>
      </c>
      <c r="J3223" s="10" t="n">
        <v>0</v>
      </c>
      <c r="K3223" s="10" t="s">
        <v>20</v>
      </c>
      <c r="L3223" s="11" t="n">
        <v>41714.0382638889</v>
      </c>
      <c r="M3223" s="12"/>
      <c r="N3223" s="13" t="s">
        <v>7894</v>
      </c>
      <c r="O3223" s="9" t="str">
        <f aca="false">HYPERLINK("https://pbs.twimg.com/profile_images/445108931044454401/Dldq7sX-_normal.jpeg","View")</f>
        <v>View</v>
      </c>
      <c r="P3223" s="10"/>
    </row>
    <row r="3224" customFormat="false" ht="15.75" hidden="false" customHeight="false" outlineLevel="0" collapsed="false">
      <c r="A3224" s="6" t="n">
        <v>43030.3739236111</v>
      </c>
      <c r="B3224" s="7" t="str">
        <f aca="false">HYPERLINK("https://twitter.com/News99Today","@News99Today")</f>
        <v>@News99Today</v>
      </c>
      <c r="C3224" s="8" t="s">
        <v>7895</v>
      </c>
      <c r="D3224" s="8" t="s">
        <v>7896</v>
      </c>
      <c r="E3224" s="9" t="str">
        <f aca="false">HYPERLINK("https://twitter.com/News99Today/status/922130034466402304","922130034466402304")</f>
        <v>922130034466402304</v>
      </c>
      <c r="F3224" s="10" t="s">
        <v>55</v>
      </c>
      <c r="G3224" s="10" t="n">
        <v>4</v>
      </c>
      <c r="H3224" s="10" t="n">
        <v>107</v>
      </c>
      <c r="I3224" s="10" t="n">
        <v>0</v>
      </c>
      <c r="J3224" s="10" t="n">
        <v>0</v>
      </c>
      <c r="K3224" s="10" t="s">
        <v>20</v>
      </c>
      <c r="L3224" s="11" t="n">
        <v>43024.8289236111</v>
      </c>
      <c r="M3224" s="12"/>
      <c r="N3224" s="12"/>
      <c r="O3224" s="9" t="str">
        <f aca="false">HYPERLINK("https://abs.twimg.com/sticky/default_profile_images/default_profile_normal.png","View")</f>
        <v>View</v>
      </c>
      <c r="P3224" s="10"/>
    </row>
    <row r="3225" customFormat="false" ht="15.75" hidden="false" customHeight="false" outlineLevel="0" collapsed="false">
      <c r="A3225" s="6" t="n">
        <v>43030.3739236111</v>
      </c>
      <c r="B3225" s="7" t="str">
        <f aca="false">HYPERLINK("https://twitter.com/MKucala","@MKucala")</f>
        <v>@MKucala</v>
      </c>
      <c r="C3225" s="8" t="s">
        <v>7897</v>
      </c>
      <c r="D3225" s="8" t="s">
        <v>7898</v>
      </c>
      <c r="E3225" s="9" t="str">
        <f aca="false">HYPERLINK("https://twitter.com/MKucala/status/922130036609748992","922130036609748992")</f>
        <v>922130036609748992</v>
      </c>
      <c r="F3225" s="10" t="s">
        <v>39</v>
      </c>
      <c r="G3225" s="10" t="n">
        <v>1440</v>
      </c>
      <c r="H3225" s="10" t="n">
        <v>2652</v>
      </c>
      <c r="I3225" s="10" t="n">
        <v>0</v>
      </c>
      <c r="J3225" s="10" t="n">
        <v>0</v>
      </c>
      <c r="K3225" s="10" t="s">
        <v>20</v>
      </c>
      <c r="L3225" s="11" t="n">
        <v>40884.2671759259</v>
      </c>
      <c r="M3225" s="12" t="s">
        <v>7899</v>
      </c>
      <c r="N3225" s="12" t="s">
        <v>7900</v>
      </c>
      <c r="O3225" s="9" t="str">
        <f aca="false">HYPERLINK("https://pbs.twimg.com/profile_images/615291675045269504/ZS1nawlM_normal.jpg","View")</f>
        <v>View</v>
      </c>
      <c r="P3225" s="10"/>
    </row>
    <row r="3226" customFormat="false" ht="15.75" hidden="false" customHeight="false" outlineLevel="0" collapsed="false">
      <c r="A3226" s="6" t="n">
        <v>43030.3739351852</v>
      </c>
      <c r="B3226" s="7" t="str">
        <f aca="false">HYPERLINK("https://twitter.com/dhruvbhim","@dhruvbhim")</f>
        <v>@dhruvbhim</v>
      </c>
      <c r="C3226" s="8" t="s">
        <v>7901</v>
      </c>
      <c r="D3226" s="8" t="s">
        <v>6558</v>
      </c>
      <c r="E3226" s="9" t="str">
        <f aca="false">HYPERLINK("https://twitter.com/dhruvbhim/status/922130039512096768","922130039512096768")</f>
        <v>922130039512096768</v>
      </c>
      <c r="F3226" s="10" t="s">
        <v>25</v>
      </c>
      <c r="G3226" s="10" t="n">
        <v>3579</v>
      </c>
      <c r="H3226" s="10" t="n">
        <v>113</v>
      </c>
      <c r="I3226" s="10" t="n">
        <v>65</v>
      </c>
      <c r="J3226" s="10" t="n">
        <v>0</v>
      </c>
      <c r="K3226" s="10" t="s">
        <v>20</v>
      </c>
      <c r="L3226" s="11" t="n">
        <v>41417.8729976852</v>
      </c>
      <c r="M3226" s="12"/>
      <c r="N3226" s="12" t="s">
        <v>7902</v>
      </c>
      <c r="O3226" s="9" t="str">
        <f aca="false">HYPERLINK("https://pbs.twimg.com/profile_images/869432277402607616/b97FXQPZ_normal.jpg","View")</f>
        <v>View</v>
      </c>
      <c r="P3226" s="10"/>
    </row>
    <row r="3227" customFormat="false" ht="15.75" hidden="false" customHeight="false" outlineLevel="0" collapsed="false">
      <c r="A3227" s="6" t="n">
        <v>43030.3739351852</v>
      </c>
      <c r="B3227" s="7" t="str">
        <f aca="false">HYPERLINK("https://twitter.com/KtyYahoo","@KtyYahoo")</f>
        <v>@KtyYahoo</v>
      </c>
      <c r="C3227" s="8" t="s">
        <v>7903</v>
      </c>
      <c r="D3227" s="8" t="s">
        <v>7754</v>
      </c>
      <c r="E3227" s="9" t="str">
        <f aca="false">HYPERLINK("https://twitter.com/KtyYahoo/status/922130041458348034","922130041458348034")</f>
        <v>922130041458348034</v>
      </c>
      <c r="F3227" s="10" t="s">
        <v>177</v>
      </c>
      <c r="G3227" s="10" t="n">
        <v>348</v>
      </c>
      <c r="H3227" s="10" t="n">
        <v>388</v>
      </c>
      <c r="I3227" s="10" t="n">
        <v>20</v>
      </c>
      <c r="J3227" s="10" t="n">
        <v>0</v>
      </c>
      <c r="K3227" s="10" t="s">
        <v>20</v>
      </c>
      <c r="L3227" s="11" t="n">
        <v>41299.5841666667</v>
      </c>
      <c r="M3227" s="12"/>
      <c r="N3227" s="12"/>
      <c r="O3227" s="9" t="str">
        <f aca="false">HYPERLINK("https://abs.twimg.com/sticky/default_profile_images/default_profile_normal.png","View")</f>
        <v>View</v>
      </c>
      <c r="P3227" s="10"/>
    </row>
    <row r="3228" customFormat="false" ht="15.75" hidden="false" customHeight="false" outlineLevel="0" collapsed="false">
      <c r="A3228" s="6" t="n">
        <v>43030.3740162037</v>
      </c>
      <c r="B3228" s="7" t="str">
        <f aca="false">HYPERLINK("https://twitter.com/astik_shishya","@astik_shishya")</f>
        <v>@astik_shishya</v>
      </c>
      <c r="C3228" s="8" t="s">
        <v>7904</v>
      </c>
      <c r="D3228" s="8" t="s">
        <v>7905</v>
      </c>
      <c r="E3228" s="9" t="str">
        <f aca="false">HYPERLINK("https://twitter.com/astik_shishya/status/922130067181813761","922130067181813761")</f>
        <v>922130067181813761</v>
      </c>
      <c r="F3228" s="10" t="s">
        <v>98</v>
      </c>
      <c r="G3228" s="10" t="n">
        <v>350</v>
      </c>
      <c r="H3228" s="10" t="n">
        <v>620</v>
      </c>
      <c r="I3228" s="10" t="n">
        <v>38</v>
      </c>
      <c r="J3228" s="10" t="n">
        <v>0</v>
      </c>
      <c r="K3228" s="10" t="s">
        <v>20</v>
      </c>
      <c r="L3228" s="11" t="n">
        <v>41730.2798842593</v>
      </c>
      <c r="M3228" s="12"/>
      <c r="N3228" s="12" t="s">
        <v>7906</v>
      </c>
      <c r="O3228" s="9" t="str">
        <f aca="false">HYPERLINK("https://pbs.twimg.com/profile_images/880335505795104769/6entHc5T_normal.jpg","View")</f>
        <v>View</v>
      </c>
      <c r="P3228" s="10"/>
    </row>
    <row r="3229" customFormat="false" ht="15.75" hidden="false" customHeight="false" outlineLevel="0" collapsed="false">
      <c r="A3229" s="6" t="n">
        <v>43030.3740277778</v>
      </c>
      <c r="B3229" s="7" t="str">
        <f aca="false">HYPERLINK("https://twitter.com/chilswar","@chilswar")</f>
        <v>@chilswar</v>
      </c>
      <c r="C3229" s="8" t="s">
        <v>7907</v>
      </c>
      <c r="D3229" s="8" t="s">
        <v>7350</v>
      </c>
      <c r="E3229" s="9" t="str">
        <f aca="false">HYPERLINK("https://twitter.com/chilswar/status/922130072194207746","922130072194207746")</f>
        <v>922130072194207746</v>
      </c>
      <c r="F3229" s="10" t="s">
        <v>51</v>
      </c>
      <c r="G3229" s="10" t="n">
        <v>218</v>
      </c>
      <c r="H3229" s="10" t="n">
        <v>150</v>
      </c>
      <c r="I3229" s="10" t="n">
        <v>62</v>
      </c>
      <c r="J3229" s="10" t="n">
        <v>0</v>
      </c>
      <c r="K3229" s="10" t="s">
        <v>20</v>
      </c>
      <c r="L3229" s="11" t="n">
        <v>41171.8684837963</v>
      </c>
      <c r="M3229" s="12" t="s">
        <v>7908</v>
      </c>
      <c r="N3229" s="12" t="s">
        <v>7909</v>
      </c>
      <c r="O3229" s="9" t="str">
        <f aca="false">HYPERLINK("https://pbs.twimg.com/profile_images/818109350304681984/fbx1H2hx_normal.jpg","View")</f>
        <v>View</v>
      </c>
      <c r="P3229" s="10"/>
    </row>
    <row r="3230" customFormat="false" ht="15.75" hidden="false" customHeight="false" outlineLevel="0" collapsed="false">
      <c r="A3230" s="6" t="n">
        <v>43030.3740972222</v>
      </c>
      <c r="B3230" s="7" t="str">
        <f aca="false">HYPERLINK("https://twitter.com/anirudhbengeri","@anirudhbengeri")</f>
        <v>@anirudhbengeri</v>
      </c>
      <c r="C3230" s="8" t="s">
        <v>7910</v>
      </c>
      <c r="D3230" s="8" t="s">
        <v>6558</v>
      </c>
      <c r="E3230" s="9" t="str">
        <f aca="false">HYPERLINK("https://twitter.com/anirudhbengeri/status/922130096588144641","922130096588144641")</f>
        <v>922130096588144641</v>
      </c>
      <c r="F3230" s="10" t="s">
        <v>51</v>
      </c>
      <c r="G3230" s="10" t="n">
        <v>869</v>
      </c>
      <c r="H3230" s="10" t="n">
        <v>1467</v>
      </c>
      <c r="I3230" s="10" t="n">
        <v>65</v>
      </c>
      <c r="J3230" s="10" t="n">
        <v>0</v>
      </c>
      <c r="K3230" s="10" t="s">
        <v>20</v>
      </c>
      <c r="L3230" s="11" t="n">
        <v>40130.2269328704</v>
      </c>
      <c r="M3230" s="12" t="s">
        <v>7911</v>
      </c>
      <c r="N3230" s="12" t="s">
        <v>7912</v>
      </c>
      <c r="O3230" s="9" t="str">
        <f aca="false">HYPERLINK("https://pbs.twimg.com/profile_images/479845027862962178/NMm1NWZK_normal.jpeg","View")</f>
        <v>View</v>
      </c>
      <c r="P3230" s="10"/>
    </row>
    <row r="3231" customFormat="false" ht="15.75" hidden="false" customHeight="false" outlineLevel="0" collapsed="false">
      <c r="A3231" s="6" t="n">
        <v>43030.3741319444</v>
      </c>
      <c r="B3231" s="7" t="str">
        <f aca="false">HYPERLINK("https://twitter.com/SmmryNews","@SmmryNews")</f>
        <v>@SmmryNews</v>
      </c>
      <c r="C3231" s="8" t="s">
        <v>7913</v>
      </c>
      <c r="D3231" s="8" t="s">
        <v>7914</v>
      </c>
      <c r="E3231" s="9" t="str">
        <f aca="false">HYPERLINK("https://twitter.com/SmmryNews/status/922130112316919808","922130112316919808")</f>
        <v>922130112316919808</v>
      </c>
      <c r="F3231" s="10" t="s">
        <v>39</v>
      </c>
      <c r="G3231" s="10" t="n">
        <v>3162</v>
      </c>
      <c r="H3231" s="10" t="n">
        <v>15</v>
      </c>
      <c r="I3231" s="10" t="n">
        <v>41</v>
      </c>
      <c r="J3231" s="10" t="n">
        <v>43</v>
      </c>
      <c r="K3231" s="10" t="s">
        <v>20</v>
      </c>
      <c r="L3231" s="11" t="n">
        <v>43022.7363541667</v>
      </c>
      <c r="M3231" s="12" t="s">
        <v>230</v>
      </c>
      <c r="N3231" s="12" t="s">
        <v>7915</v>
      </c>
      <c r="O3231" s="9" t="str">
        <f aca="false">HYPERLINK("https://pbs.twimg.com/profile_images/920169610069942272/xu24ahy3_normal.jpg","View")</f>
        <v>View</v>
      </c>
      <c r="P3231" s="10"/>
    </row>
    <row r="3232" customFormat="false" ht="15.75" hidden="false" customHeight="false" outlineLevel="0" collapsed="false">
      <c r="A3232" s="6" t="n">
        <v>43030.3745023148</v>
      </c>
      <c r="B3232" s="7" t="str">
        <f aca="false">HYPERLINK("https://twitter.com/beingsumbul","@beingsumbul")</f>
        <v>@beingsumbul</v>
      </c>
      <c r="C3232" s="8" t="s">
        <v>7916</v>
      </c>
      <c r="D3232" s="8" t="s">
        <v>6707</v>
      </c>
      <c r="E3232" s="9" t="str">
        <f aca="false">HYPERLINK("https://twitter.com/beingsumbul/status/922130246807277568","922130246807277568")</f>
        <v>922130246807277568</v>
      </c>
      <c r="F3232" s="10" t="s">
        <v>25</v>
      </c>
      <c r="G3232" s="10" t="n">
        <v>438</v>
      </c>
      <c r="H3232" s="10" t="n">
        <v>343</v>
      </c>
      <c r="I3232" s="10" t="n">
        <v>97</v>
      </c>
      <c r="J3232" s="10" t="n">
        <v>0</v>
      </c>
      <c r="K3232" s="10" t="s">
        <v>20</v>
      </c>
      <c r="L3232" s="11" t="n">
        <v>40285.1440277778</v>
      </c>
      <c r="M3232" s="12" t="s">
        <v>7917</v>
      </c>
      <c r="N3232" s="12" t="s">
        <v>7918</v>
      </c>
      <c r="O3232" s="9" t="str">
        <f aca="false">HYPERLINK("https://pbs.twimg.com/profile_images/903305136352538624/IImG_WlT_normal.jpg","View")</f>
        <v>View</v>
      </c>
      <c r="P3232" s="10"/>
    </row>
    <row r="3233" customFormat="false" ht="15.75" hidden="false" customHeight="false" outlineLevel="0" collapsed="false">
      <c r="A3233" s="6" t="n">
        <v>43030.3745601852</v>
      </c>
      <c r="B3233" s="7" t="str">
        <f aca="false">HYPERLINK("https://twitter.com/sherott08","@sherott08")</f>
        <v>@sherott08</v>
      </c>
      <c r="C3233" s="14" t="s">
        <v>7919</v>
      </c>
      <c r="D3233" s="8" t="s">
        <v>6707</v>
      </c>
      <c r="E3233" s="9" t="str">
        <f aca="false">HYPERLINK("https://twitter.com/sherott08/status/922130266721730562","922130266721730562")</f>
        <v>922130266721730562</v>
      </c>
      <c r="F3233" s="10" t="s">
        <v>25</v>
      </c>
      <c r="G3233" s="10" t="n">
        <v>89</v>
      </c>
      <c r="H3233" s="10" t="n">
        <v>110</v>
      </c>
      <c r="I3233" s="10" t="n">
        <v>97</v>
      </c>
      <c r="J3233" s="10" t="n">
        <v>0</v>
      </c>
      <c r="K3233" s="10" t="s">
        <v>20</v>
      </c>
      <c r="L3233" s="11" t="n">
        <v>42026.8915277778</v>
      </c>
      <c r="M3233" s="12"/>
      <c r="N3233" s="12"/>
      <c r="O3233" s="9" t="str">
        <f aca="false">HYPERLINK("https://pbs.twimg.com/profile_images/813205802542501888/Jyt0RGOD_normal.jpg","View")</f>
        <v>View</v>
      </c>
      <c r="P3233" s="10"/>
    </row>
    <row r="3234" customFormat="false" ht="15.75" hidden="false" customHeight="false" outlineLevel="0" collapsed="false">
      <c r="A3234" s="6" t="n">
        <v>43030.3745833333</v>
      </c>
      <c r="B3234" s="7" t="str">
        <f aca="false">HYPERLINK("https://twitter.com/SubbaiahTOI","@SubbaiahTOI")</f>
        <v>@SubbaiahTOI</v>
      </c>
      <c r="C3234" s="8" t="s">
        <v>7920</v>
      </c>
      <c r="D3234" s="8" t="s">
        <v>7921</v>
      </c>
      <c r="E3234" s="9" t="str">
        <f aca="false">HYPERLINK("https://twitter.com/SubbaiahTOI/status/922130272656781313","922130272656781313")</f>
        <v>922130272656781313</v>
      </c>
      <c r="F3234" s="10" t="s">
        <v>177</v>
      </c>
      <c r="G3234" s="10" t="n">
        <v>614</v>
      </c>
      <c r="H3234" s="10" t="n">
        <v>370</v>
      </c>
      <c r="I3234" s="10" t="n">
        <v>0</v>
      </c>
      <c r="J3234" s="10" t="n">
        <v>1</v>
      </c>
      <c r="K3234" s="10" t="s">
        <v>20</v>
      </c>
      <c r="L3234" s="11" t="n">
        <v>42268.3265972222</v>
      </c>
      <c r="M3234" s="12" t="s">
        <v>7761</v>
      </c>
      <c r="N3234" s="12" t="s">
        <v>7922</v>
      </c>
      <c r="O3234" s="9" t="str">
        <f aca="false">HYPERLINK("https://pbs.twimg.com/profile_images/648378318874505216/zaOOm9Iz_normal.jpg","View")</f>
        <v>View</v>
      </c>
      <c r="P3234" s="10"/>
    </row>
    <row r="3235" customFormat="false" ht="15.75" hidden="false" customHeight="false" outlineLevel="0" collapsed="false">
      <c r="A3235" s="6" t="n">
        <v>43030.3746180556</v>
      </c>
      <c r="B3235" s="7" t="str">
        <f aca="false">HYPERLINK("https://twitter.com/vegavnc","@vegavnc")</f>
        <v>@vegavnc</v>
      </c>
      <c r="C3235" s="8" t="s">
        <v>7923</v>
      </c>
      <c r="D3235" s="8" t="s">
        <v>6558</v>
      </c>
      <c r="E3235" s="9" t="str">
        <f aca="false">HYPERLINK("https://twitter.com/vegavnc/status/922130287164735489","922130287164735489")</f>
        <v>922130287164735489</v>
      </c>
      <c r="F3235" s="10" t="s">
        <v>25</v>
      </c>
      <c r="G3235" s="10" t="n">
        <v>355</v>
      </c>
      <c r="H3235" s="10" t="n">
        <v>205</v>
      </c>
      <c r="I3235" s="10" t="n">
        <v>65</v>
      </c>
      <c r="J3235" s="10" t="n">
        <v>0</v>
      </c>
      <c r="K3235" s="10" t="s">
        <v>20</v>
      </c>
      <c r="L3235" s="11" t="n">
        <v>41292.3846643518</v>
      </c>
      <c r="M3235" s="12" t="s">
        <v>7924</v>
      </c>
      <c r="N3235" s="12" t="s">
        <v>7925</v>
      </c>
      <c r="O3235" s="9" t="str">
        <f aca="false">HYPERLINK("https://pbs.twimg.com/profile_images/620307658730397696/Iw2h71j0_normal.jpg","View")</f>
        <v>View</v>
      </c>
      <c r="P3235" s="10"/>
    </row>
    <row r="3236" customFormat="false" ht="15.75" hidden="false" customHeight="false" outlineLevel="0" collapsed="false">
      <c r="A3236" s="6" t="n">
        <v>43030.3747106481</v>
      </c>
      <c r="B3236" s="7" t="str">
        <f aca="false">HYPERLINK("https://twitter.com/sherott08","@sherott08")</f>
        <v>@sherott08</v>
      </c>
      <c r="C3236" s="14" t="s">
        <v>7919</v>
      </c>
      <c r="D3236" s="8" t="s">
        <v>7803</v>
      </c>
      <c r="E3236" s="9" t="str">
        <f aca="false">HYPERLINK("https://twitter.com/sherott08/status/922130319393751041","922130319393751041")</f>
        <v>922130319393751041</v>
      </c>
      <c r="F3236" s="10" t="s">
        <v>25</v>
      </c>
      <c r="G3236" s="10" t="n">
        <v>89</v>
      </c>
      <c r="H3236" s="10" t="n">
        <v>110</v>
      </c>
      <c r="I3236" s="10" t="n">
        <v>30</v>
      </c>
      <c r="J3236" s="10" t="n">
        <v>0</v>
      </c>
      <c r="K3236" s="10" t="s">
        <v>20</v>
      </c>
      <c r="L3236" s="11" t="n">
        <v>42026.8915277778</v>
      </c>
      <c r="M3236" s="12"/>
      <c r="N3236" s="12"/>
      <c r="O3236" s="9" t="str">
        <f aca="false">HYPERLINK("https://pbs.twimg.com/profile_images/813205802542501888/Jyt0RGOD_normal.jpg","View")</f>
        <v>View</v>
      </c>
      <c r="P3236" s="10"/>
    </row>
    <row r="3237" customFormat="false" ht="15.75" hidden="false" customHeight="false" outlineLevel="0" collapsed="false">
      <c r="A3237" s="6" t="n">
        <v>43030.3747106481</v>
      </c>
      <c r="B3237" s="7" t="str">
        <f aca="false">HYPERLINK("https://twitter.com/coorgpost","@coorgpost")</f>
        <v>@coorgpost</v>
      </c>
      <c r="C3237" s="8" t="s">
        <v>7926</v>
      </c>
      <c r="D3237" s="8" t="s">
        <v>7927</v>
      </c>
      <c r="E3237" s="9" t="str">
        <f aca="false">HYPERLINK("https://twitter.com/coorgpost/status/922130322665496577","922130322665496577")</f>
        <v>922130322665496577</v>
      </c>
      <c r="F3237" s="10" t="s">
        <v>177</v>
      </c>
      <c r="G3237" s="10" t="n">
        <v>27</v>
      </c>
      <c r="H3237" s="10" t="n">
        <v>322</v>
      </c>
      <c r="I3237" s="10" t="n">
        <v>0</v>
      </c>
      <c r="J3237" s="10" t="n">
        <v>0</v>
      </c>
      <c r="K3237" s="10" t="s">
        <v>20</v>
      </c>
      <c r="L3237" s="11" t="n">
        <v>43010.2831134259</v>
      </c>
      <c r="M3237" s="12" t="s">
        <v>7928</v>
      </c>
      <c r="N3237" s="12" t="s">
        <v>7929</v>
      </c>
      <c r="O3237" s="9" t="str">
        <f aca="false">HYPERLINK("https://pbs.twimg.com/profile_images/915225063615381506/FVsn1NVF_normal.jpg","View")</f>
        <v>View</v>
      </c>
      <c r="P3237" s="10"/>
    </row>
    <row r="3238" customFormat="false" ht="15.75" hidden="false" customHeight="false" outlineLevel="0" collapsed="false">
      <c r="A3238" s="6" t="n">
        <v>43030.374849537</v>
      </c>
      <c r="B3238" s="7" t="str">
        <f aca="false">HYPERLINK("https://twitter.com/negitoro_tuma","@negitoro_tuma")</f>
        <v>@negitoro_tuma</v>
      </c>
      <c r="C3238" s="14" t="s">
        <v>7930</v>
      </c>
      <c r="D3238" s="8" t="s">
        <v>6707</v>
      </c>
      <c r="E3238" s="9" t="str">
        <f aca="false">HYPERLINK("https://twitter.com/negitoro_tuma/status/922130372917207041","922130372917207041")</f>
        <v>922130372917207041</v>
      </c>
      <c r="F3238" s="10" t="s">
        <v>25</v>
      </c>
      <c r="G3238" s="10" t="n">
        <v>39</v>
      </c>
      <c r="H3238" s="10" t="n">
        <v>60</v>
      </c>
      <c r="I3238" s="10" t="n">
        <v>97</v>
      </c>
      <c r="J3238" s="10" t="n">
        <v>0</v>
      </c>
      <c r="K3238" s="10" t="s">
        <v>20</v>
      </c>
      <c r="L3238" s="11" t="n">
        <v>41815.9376388889</v>
      </c>
      <c r="M3238" s="13" t="s">
        <v>7931</v>
      </c>
      <c r="N3238" s="13" t="s">
        <v>7932</v>
      </c>
      <c r="O3238" s="9" t="str">
        <f aca="false">HYPERLINK("https://pbs.twimg.com/profile_images/482763126874439681/M-gZBItr_normal.jpeg","View")</f>
        <v>View</v>
      </c>
      <c r="P3238" s="10"/>
    </row>
    <row r="3239" customFormat="false" ht="15.75" hidden="false" customHeight="false" outlineLevel="0" collapsed="false">
      <c r="A3239" s="6" t="n">
        <v>43030.3749074074</v>
      </c>
      <c r="B3239" s="7" t="str">
        <f aca="false">HYPERLINK("https://twitter.com/NickJSamuels","@NickJSamuels")</f>
        <v>@NickJSamuels</v>
      </c>
      <c r="C3239" s="8" t="s">
        <v>7933</v>
      </c>
      <c r="D3239" s="8" t="s">
        <v>7669</v>
      </c>
      <c r="E3239" s="9" t="str">
        <f aca="false">HYPERLINK("https://twitter.com/NickJSamuels/status/922130390390894593","922130390390894593")</f>
        <v>922130390390894593</v>
      </c>
      <c r="F3239" s="10" t="s">
        <v>51</v>
      </c>
      <c r="G3239" s="10" t="n">
        <v>379</v>
      </c>
      <c r="H3239" s="10" t="n">
        <v>837</v>
      </c>
      <c r="I3239" s="10" t="n">
        <v>5</v>
      </c>
      <c r="J3239" s="10" t="n">
        <v>0</v>
      </c>
      <c r="K3239" s="10" t="s">
        <v>20</v>
      </c>
      <c r="L3239" s="11" t="n">
        <v>40868.3851273148</v>
      </c>
      <c r="M3239" s="12" t="s">
        <v>182</v>
      </c>
      <c r="N3239" s="12" t="s">
        <v>7934</v>
      </c>
      <c r="O3239" s="9" t="str">
        <f aca="false">HYPERLINK("https://pbs.twimg.com/profile_images/735897359759052800/vnu8Z_br_normal.jpg","View")</f>
        <v>View</v>
      </c>
      <c r="P3239" s="10"/>
    </row>
    <row r="3240" customFormat="false" ht="15.75" hidden="false" customHeight="false" outlineLevel="0" collapsed="false">
      <c r="A3240" s="6" t="n">
        <v>43030.3749652778</v>
      </c>
      <c r="B3240" s="7" t="str">
        <f aca="false">HYPERLINK("https://twitter.com/Richeydarian","@Richeydarian")</f>
        <v>@Richeydarian</v>
      </c>
      <c r="C3240" s="8" t="s">
        <v>7935</v>
      </c>
      <c r="D3240" s="8" t="s">
        <v>7736</v>
      </c>
      <c r="E3240" s="9" t="str">
        <f aca="false">HYPERLINK("https://twitter.com/Richeydarian/status/922130414457602048","922130414457602048")</f>
        <v>922130414457602048</v>
      </c>
      <c r="F3240" s="10" t="s">
        <v>51</v>
      </c>
      <c r="G3240" s="10" t="n">
        <v>8247</v>
      </c>
      <c r="H3240" s="10" t="n">
        <v>414</v>
      </c>
      <c r="I3240" s="10" t="n">
        <v>31</v>
      </c>
      <c r="J3240" s="10" t="n">
        <v>0</v>
      </c>
      <c r="K3240" s="10" t="s">
        <v>20</v>
      </c>
      <c r="L3240" s="11" t="n">
        <v>41827.2163888889</v>
      </c>
      <c r="M3240" s="12"/>
      <c r="N3240" s="12" t="s">
        <v>7936</v>
      </c>
      <c r="O3240" s="9" t="str">
        <f aca="false">HYPERLINK("https://pbs.twimg.com/profile_images/819774593267179520/zq2mD2YL_normal.jpg","View")</f>
        <v>View</v>
      </c>
      <c r="P3240" s="10"/>
    </row>
    <row r="3241" customFormat="false" ht="15.75" hidden="false" customHeight="false" outlineLevel="0" collapsed="false">
      <c r="A3241" s="6" t="n">
        <v>43030.375</v>
      </c>
      <c r="B3241" s="7" t="str">
        <f aca="false">HYPERLINK("https://twitter.com/debasisdas","@debasisdas")</f>
        <v>@debasisdas</v>
      </c>
      <c r="C3241" s="8" t="s">
        <v>7937</v>
      </c>
      <c r="D3241" s="8" t="s">
        <v>7938</v>
      </c>
      <c r="E3241" s="9" t="str">
        <f aca="false">HYPERLINK("https://twitter.com/debasisdas/status/922130423802744832","922130423802744832")</f>
        <v>922130423802744832</v>
      </c>
      <c r="F3241" s="10" t="s">
        <v>39</v>
      </c>
      <c r="G3241" s="10" t="n">
        <v>30657</v>
      </c>
      <c r="H3241" s="10" t="n">
        <v>31745</v>
      </c>
      <c r="I3241" s="10" t="n">
        <v>0</v>
      </c>
      <c r="J3241" s="10" t="n">
        <v>0</v>
      </c>
      <c r="K3241" s="10" t="s">
        <v>20</v>
      </c>
      <c r="L3241" s="11" t="n">
        <v>39294.8915972222</v>
      </c>
      <c r="M3241" s="12" t="s">
        <v>6635</v>
      </c>
      <c r="N3241" s="12" t="s">
        <v>7939</v>
      </c>
      <c r="O3241" s="9" t="str">
        <f aca="false">HYPERLINK("https://pbs.twimg.com/profile_images/922014621598396417/3bx6-2vf_normal.jpg","View")</f>
        <v>View</v>
      </c>
      <c r="P3241" s="10"/>
    </row>
    <row r="3242" customFormat="false" ht="15.75" hidden="false" customHeight="false" outlineLevel="0" collapsed="false">
      <c r="A3242" s="6" t="n">
        <v>43030.3751851852</v>
      </c>
      <c r="B3242" s="7" t="str">
        <f aca="false">HYPERLINK("https://twitter.com/jaggu916","@jaggu916")</f>
        <v>@jaggu916</v>
      </c>
      <c r="C3242" s="8" t="s">
        <v>7940</v>
      </c>
      <c r="D3242" s="8" t="s">
        <v>7905</v>
      </c>
      <c r="E3242" s="9" t="str">
        <f aca="false">HYPERLINK("https://twitter.com/jaggu916/status/922130493478338561","922130493478338561")</f>
        <v>922130493478338561</v>
      </c>
      <c r="F3242" s="10" t="s">
        <v>25</v>
      </c>
      <c r="G3242" s="10" t="n">
        <v>478</v>
      </c>
      <c r="H3242" s="10" t="n">
        <v>374</v>
      </c>
      <c r="I3242" s="10" t="n">
        <v>38</v>
      </c>
      <c r="J3242" s="10" t="n">
        <v>0</v>
      </c>
      <c r="K3242" s="10" t="s">
        <v>20</v>
      </c>
      <c r="L3242" s="11" t="n">
        <v>40581.1946412037</v>
      </c>
      <c r="M3242" s="12"/>
      <c r="N3242" s="12" t="s">
        <v>7941</v>
      </c>
      <c r="O3242" s="9" t="str">
        <f aca="false">HYPERLINK("https://pbs.twimg.com/profile_images/902204669497294849/EuxGgEht_normal.jpg","View")</f>
        <v>View</v>
      </c>
      <c r="P3242" s="10"/>
    </row>
    <row r="3243" customFormat="false" ht="15.75" hidden="false" customHeight="false" outlineLevel="0" collapsed="false">
      <c r="A3243" s="6" t="n">
        <v>43030.3753009259</v>
      </c>
      <c r="B3243" s="7" t="str">
        <f aca="false">HYPERLINK("https://twitter.com/MakrandParanspe","@MakrandParanspe")</f>
        <v>@MakrandParanspe</v>
      </c>
      <c r="C3243" s="8" t="s">
        <v>7942</v>
      </c>
      <c r="D3243" s="8" t="s">
        <v>7905</v>
      </c>
      <c r="E3243" s="9" t="str">
        <f aca="false">HYPERLINK("https://twitter.com/MakrandParanspe/status/922130534016282628","922130534016282628")</f>
        <v>922130534016282628</v>
      </c>
      <c r="F3243" s="10" t="s">
        <v>39</v>
      </c>
      <c r="G3243" s="10" t="n">
        <v>10218</v>
      </c>
      <c r="H3243" s="10" t="n">
        <v>80</v>
      </c>
      <c r="I3243" s="10" t="n">
        <v>38</v>
      </c>
      <c r="J3243" s="10" t="n">
        <v>0</v>
      </c>
      <c r="K3243" s="10" t="s">
        <v>20</v>
      </c>
      <c r="L3243" s="11" t="n">
        <v>42464.9312384259</v>
      </c>
      <c r="M3243" s="12" t="s">
        <v>7943</v>
      </c>
      <c r="N3243" s="12" t="s">
        <v>7944</v>
      </c>
      <c r="O3243" s="9" t="str">
        <f aca="false">HYPERLINK("https://pbs.twimg.com/profile_images/717222436962484224/e0bQsUDB_normal.jpg","View")</f>
        <v>View</v>
      </c>
      <c r="P3243" s="10"/>
    </row>
    <row r="3244" customFormat="false" ht="15.75" hidden="false" customHeight="false" outlineLevel="0" collapsed="false">
      <c r="A3244" s="6" t="n">
        <v>43030.3753587963</v>
      </c>
      <c r="B3244" s="7" t="str">
        <f aca="false">HYPERLINK("https://twitter.com/lFashionNetwork","@lFashionNetwork")</f>
        <v>@lFashionNetwork</v>
      </c>
      <c r="C3244" s="8" t="s">
        <v>7945</v>
      </c>
      <c r="D3244" s="8" t="s">
        <v>7946</v>
      </c>
      <c r="E3244" s="9" t="str">
        <f aca="false">HYPERLINK("https://twitter.com/lFashionNetwork/status/922130556791422978","922130556791422978")</f>
        <v>922130556791422978</v>
      </c>
      <c r="F3244" s="10" t="s">
        <v>25</v>
      </c>
      <c r="G3244" s="10" t="n">
        <v>76</v>
      </c>
      <c r="H3244" s="10" t="n">
        <v>100</v>
      </c>
      <c r="I3244" s="10" t="n">
        <v>41</v>
      </c>
      <c r="J3244" s="10" t="n">
        <v>0</v>
      </c>
      <c r="K3244" s="10" t="s">
        <v>20</v>
      </c>
      <c r="L3244" s="11" t="n">
        <v>42057.3806828704</v>
      </c>
      <c r="M3244" s="12" t="s">
        <v>319</v>
      </c>
      <c r="N3244" s="12" t="s">
        <v>7947</v>
      </c>
      <c r="O3244" s="9" t="str">
        <f aca="false">HYPERLINK("https://pbs.twimg.com/profile_images/594593575364526080/-HBAJKo1_normal.jpg","View")</f>
        <v>View</v>
      </c>
      <c r="P3244" s="10"/>
    </row>
    <row r="3245" customFormat="false" ht="15.75" hidden="false" customHeight="false" outlineLevel="0" collapsed="false">
      <c r="A3245" s="6" t="n">
        <v>43030.375474537</v>
      </c>
      <c r="B3245" s="7" t="str">
        <f aca="false">HYPERLINK("https://twitter.com/AlysseFlsher","@AlysseFlsher")</f>
        <v>@AlysseFlsher</v>
      </c>
      <c r="C3245" s="8" t="s">
        <v>7948</v>
      </c>
      <c r="D3245" s="8" t="s">
        <v>7946</v>
      </c>
      <c r="E3245" s="9" t="str">
        <f aca="false">HYPERLINK("https://twitter.com/AlysseFlsher/status/922130597304139776","922130597304139776")</f>
        <v>922130597304139776</v>
      </c>
      <c r="F3245" s="10" t="s">
        <v>25</v>
      </c>
      <c r="G3245" s="10" t="n">
        <v>102</v>
      </c>
      <c r="H3245" s="10" t="n">
        <v>1736</v>
      </c>
      <c r="I3245" s="10" t="n">
        <v>41</v>
      </c>
      <c r="J3245" s="10" t="n">
        <v>0</v>
      </c>
      <c r="K3245" s="10" t="s">
        <v>20</v>
      </c>
      <c r="L3245" s="11" t="n">
        <v>41081.7368287037</v>
      </c>
      <c r="M3245" s="12" t="s">
        <v>7949</v>
      </c>
      <c r="N3245" s="12" t="s">
        <v>7950</v>
      </c>
      <c r="O3245" s="9" t="str">
        <f aca="false">HYPERLINK("https://pbs.twimg.com/profile_images/594575209618771968/V1IyIEuL_normal.jpg","View")</f>
        <v>View</v>
      </c>
      <c r="P3245" s="10"/>
    </row>
    <row r="3246" customFormat="false" ht="15.75" hidden="false" customHeight="false" outlineLevel="0" collapsed="false">
      <c r="A3246" s="6" t="n">
        <v>43030.375474537</v>
      </c>
      <c r="B3246" s="7" t="str">
        <f aca="false">HYPERLINK("https://twitter.com/jpauiflem","@jpauiflem")</f>
        <v>@jpauiflem</v>
      </c>
      <c r="C3246" s="8" t="s">
        <v>7951</v>
      </c>
      <c r="D3246" s="8" t="s">
        <v>7946</v>
      </c>
      <c r="E3246" s="9" t="str">
        <f aca="false">HYPERLINK("https://twitter.com/jpauiflem/status/922130597824344064","922130597824344064")</f>
        <v>922130597824344064</v>
      </c>
      <c r="F3246" s="10" t="s">
        <v>25</v>
      </c>
      <c r="G3246" s="10" t="n">
        <v>77</v>
      </c>
      <c r="H3246" s="10" t="n">
        <v>2298</v>
      </c>
      <c r="I3246" s="10" t="n">
        <v>41</v>
      </c>
      <c r="J3246" s="10" t="n">
        <v>0</v>
      </c>
      <c r="K3246" s="10" t="s">
        <v>20</v>
      </c>
      <c r="L3246" s="11" t="n">
        <v>40645.2042476852</v>
      </c>
      <c r="M3246" s="12" t="s">
        <v>7952</v>
      </c>
      <c r="N3246" s="12" t="s">
        <v>7953</v>
      </c>
      <c r="O3246" s="9" t="str">
        <f aca="false">HYPERLINK("https://pbs.twimg.com/profile_images/763002476706533376/YaMCgskn_normal.jpg","View")</f>
        <v>View</v>
      </c>
      <c r="P3246" s="10"/>
    </row>
    <row r="3247" customFormat="false" ht="15.75" hidden="false" customHeight="false" outlineLevel="0" collapsed="false">
      <c r="A3247" s="6" t="n">
        <v>43030.3755324074</v>
      </c>
      <c r="B3247" s="7" t="str">
        <f aca="false">HYPERLINK("https://twitter.com/Ameettweets","@Ameettweets")</f>
        <v>@Ameettweets</v>
      </c>
      <c r="C3247" s="8" t="s">
        <v>7954</v>
      </c>
      <c r="D3247" s="8" t="s">
        <v>6558</v>
      </c>
      <c r="E3247" s="9" t="str">
        <f aca="false">HYPERLINK("https://twitter.com/Ameettweets/status/922130618158215168","922130618158215168")</f>
        <v>922130618158215168</v>
      </c>
      <c r="F3247" s="10" t="s">
        <v>51</v>
      </c>
      <c r="G3247" s="10" t="n">
        <v>78</v>
      </c>
      <c r="H3247" s="10" t="n">
        <v>85</v>
      </c>
      <c r="I3247" s="10" t="n">
        <v>65</v>
      </c>
      <c r="J3247" s="10" t="n">
        <v>0</v>
      </c>
      <c r="K3247" s="10" t="s">
        <v>20</v>
      </c>
      <c r="L3247" s="11" t="n">
        <v>40596.8280439815</v>
      </c>
      <c r="M3247" s="12" t="s">
        <v>295</v>
      </c>
      <c r="N3247" s="12"/>
      <c r="O3247" s="9" t="str">
        <f aca="false">HYPERLINK("https://pbs.twimg.com/profile_images/787031360187752448/NjhYimPF_normal.jpg","View")</f>
        <v>View</v>
      </c>
      <c r="P3247" s="10"/>
    </row>
    <row r="3248" customFormat="false" ht="15.75" hidden="false" customHeight="false" outlineLevel="0" collapsed="false">
      <c r="A3248" s="6" t="n">
        <v>43030.3755439815</v>
      </c>
      <c r="B3248" s="7" t="str">
        <f aca="false">HYPERLINK("https://twitter.com/miguelito_tres","@miguelito_tres")</f>
        <v>@miguelito_tres</v>
      </c>
      <c r="C3248" s="8" t="s">
        <v>7955</v>
      </c>
      <c r="D3248" s="8" t="s">
        <v>7956</v>
      </c>
      <c r="E3248" s="9" t="str">
        <f aca="false">HYPERLINK("https://twitter.com/miguelito_tres/status/922130621043941376","922130621043941376")</f>
        <v>922130621043941376</v>
      </c>
      <c r="F3248" s="10" t="s">
        <v>51</v>
      </c>
      <c r="G3248" s="10" t="n">
        <v>317</v>
      </c>
      <c r="H3248" s="10" t="n">
        <v>837</v>
      </c>
      <c r="I3248" s="10" t="n">
        <v>0</v>
      </c>
      <c r="J3248" s="10" t="n">
        <v>0</v>
      </c>
      <c r="K3248" s="10" t="s">
        <v>20</v>
      </c>
      <c r="L3248" s="11" t="n">
        <v>40246.8967013889</v>
      </c>
      <c r="M3248" s="12" t="s">
        <v>7957</v>
      </c>
      <c r="N3248" s="12" t="s">
        <v>7958</v>
      </c>
      <c r="O3248" s="9" t="str">
        <f aca="false">HYPERLINK("https://pbs.twimg.com/profile_images/839421756360306691/jkpGvo-a_normal.jpg","View")</f>
        <v>View</v>
      </c>
      <c r="P3248" s="10"/>
    </row>
    <row r="3249" customFormat="false" ht="15.75" hidden="false" customHeight="false" outlineLevel="0" collapsed="false">
      <c r="A3249" s="6" t="n">
        <v>43030.3755671296</v>
      </c>
      <c r="B3249" s="7" t="str">
        <f aca="false">HYPERLINK("https://twitter.com/KaranAwtani1","@KaranAwtani1")</f>
        <v>@KaranAwtani1</v>
      </c>
      <c r="C3249" s="8" t="s">
        <v>7403</v>
      </c>
      <c r="D3249" s="8" t="s">
        <v>7905</v>
      </c>
      <c r="E3249" s="9" t="str">
        <f aca="false">HYPERLINK("https://twitter.com/KaranAwtani1/status/922130631349424129","922130631349424129")</f>
        <v>922130631349424129</v>
      </c>
      <c r="F3249" s="10" t="s">
        <v>25</v>
      </c>
      <c r="G3249" s="10" t="n">
        <v>154</v>
      </c>
      <c r="H3249" s="10" t="n">
        <v>260</v>
      </c>
      <c r="I3249" s="10" t="n">
        <v>38</v>
      </c>
      <c r="J3249" s="10" t="n">
        <v>0</v>
      </c>
      <c r="K3249" s="10" t="s">
        <v>20</v>
      </c>
      <c r="L3249" s="11" t="n">
        <v>41281.066875</v>
      </c>
      <c r="M3249" s="12"/>
      <c r="N3249" s="12" t="s">
        <v>7404</v>
      </c>
      <c r="O3249" s="9" t="str">
        <f aca="false">HYPERLINK("https://pbs.twimg.com/profile_images/661609401430577152/p9y2zA0a_normal.jpg","View")</f>
        <v>View</v>
      </c>
      <c r="P3249" s="10"/>
    </row>
    <row r="3250" customFormat="false" ht="15.75" hidden="false" customHeight="false" outlineLevel="0" collapsed="false">
      <c r="A3250" s="6" t="n">
        <v>43030.3756134259</v>
      </c>
      <c r="B3250" s="7" t="str">
        <f aca="false">HYPERLINK("https://twitter.com/sunandavashisht","@sunandavashisht")</f>
        <v>@sunandavashisht</v>
      </c>
      <c r="C3250" s="8" t="s">
        <v>7959</v>
      </c>
      <c r="D3250" s="8" t="s">
        <v>7905</v>
      </c>
      <c r="E3250" s="9" t="str">
        <f aca="false">HYPERLINK("https://twitter.com/sunandavashisht/status/922130648575434759","922130648575434759")</f>
        <v>922130648575434759</v>
      </c>
      <c r="F3250" s="10" t="s">
        <v>39</v>
      </c>
      <c r="G3250" s="10" t="n">
        <v>77586</v>
      </c>
      <c r="H3250" s="10" t="n">
        <v>408</v>
      </c>
      <c r="I3250" s="10" t="n">
        <v>38</v>
      </c>
      <c r="J3250" s="10" t="n">
        <v>0</v>
      </c>
      <c r="K3250" s="10" t="s">
        <v>20</v>
      </c>
      <c r="L3250" s="11" t="n">
        <v>40082.3867939815</v>
      </c>
      <c r="M3250" s="12" t="s">
        <v>3849</v>
      </c>
      <c r="N3250" s="12" t="s">
        <v>7960</v>
      </c>
      <c r="O3250" s="9" t="str">
        <f aca="false">HYPERLINK("https://pbs.twimg.com/profile_images/877397751390232576/BUiMoopd_normal.jpg","View")</f>
        <v>View</v>
      </c>
      <c r="P3250" s="10"/>
    </row>
    <row r="3251" customFormat="false" ht="15.75" hidden="false" customHeight="false" outlineLevel="0" collapsed="false">
      <c r="A3251" s="6" t="n">
        <v>43030.3756134259</v>
      </c>
      <c r="B3251" s="7" t="str">
        <f aca="false">HYPERLINK("https://twitter.com/bharathkumarsk","@bharathkumarsk")</f>
        <v>@bharathkumarsk</v>
      </c>
      <c r="C3251" s="8" t="s">
        <v>7961</v>
      </c>
      <c r="D3251" s="8" t="s">
        <v>6558</v>
      </c>
      <c r="E3251" s="9" t="str">
        <f aca="false">HYPERLINK("https://twitter.com/bharathkumarsk/status/922130648919367680","922130648919367680")</f>
        <v>922130648919367680</v>
      </c>
      <c r="F3251" s="10" t="s">
        <v>25</v>
      </c>
      <c r="G3251" s="10" t="n">
        <v>490</v>
      </c>
      <c r="H3251" s="10" t="n">
        <v>1356</v>
      </c>
      <c r="I3251" s="10" t="n">
        <v>65</v>
      </c>
      <c r="J3251" s="10" t="n">
        <v>0</v>
      </c>
      <c r="K3251" s="10" t="s">
        <v>20</v>
      </c>
      <c r="L3251" s="11" t="n">
        <v>40280.1746296296</v>
      </c>
      <c r="M3251" s="12" t="s">
        <v>7962</v>
      </c>
      <c r="N3251" s="12" t="s">
        <v>7963</v>
      </c>
      <c r="O3251" s="9" t="str">
        <f aca="false">HYPERLINK("https://pbs.twimg.com/profile_images/911661154161770496/gflwpZc3_normal.jpg","View")</f>
        <v>View</v>
      </c>
      <c r="P3251" s="10"/>
    </row>
    <row r="3252" customFormat="false" ht="15.75" hidden="false" customHeight="false" outlineLevel="0" collapsed="false">
      <c r="A3252" s="6" t="n">
        <v>43030.375625</v>
      </c>
      <c r="B3252" s="7" t="str">
        <f aca="false">HYPERLINK("https://twitter.com/WhoElse_Engllsh","@WhoElse_Engllsh")</f>
        <v>@WhoElse_Engllsh</v>
      </c>
      <c r="C3252" s="8" t="s">
        <v>7964</v>
      </c>
      <c r="D3252" s="8" t="s">
        <v>7946</v>
      </c>
      <c r="E3252" s="9" t="str">
        <f aca="false">HYPERLINK("https://twitter.com/WhoElse_Engllsh/status/922130651142225920","922130651142225920")</f>
        <v>922130651142225920</v>
      </c>
      <c r="F3252" s="10" t="s">
        <v>25</v>
      </c>
      <c r="G3252" s="10" t="n">
        <v>50</v>
      </c>
      <c r="H3252" s="10" t="n">
        <v>472</v>
      </c>
      <c r="I3252" s="10" t="n">
        <v>41</v>
      </c>
      <c r="J3252" s="10" t="n">
        <v>0</v>
      </c>
      <c r="K3252" s="10" t="s">
        <v>20</v>
      </c>
      <c r="L3252" s="11" t="n">
        <v>41740.7158564815</v>
      </c>
      <c r="M3252" s="12" t="s">
        <v>7965</v>
      </c>
      <c r="N3252" s="12" t="s">
        <v>7966</v>
      </c>
      <c r="O3252" s="9" t="str">
        <f aca="false">HYPERLINK("https://pbs.twimg.com/profile_images/593631367742664704/eQRE4xlS_normal.jpg","View")</f>
        <v>View</v>
      </c>
      <c r="P3252" s="10"/>
    </row>
    <row r="3253" customFormat="false" ht="15.75" hidden="false" customHeight="false" outlineLevel="0" collapsed="false">
      <c r="A3253" s="6" t="n">
        <v>43030.3756828704</v>
      </c>
      <c r="B3253" s="7" t="str">
        <f aca="false">HYPERLINK("https://twitter.com/kitjuckes","@kitjuckes")</f>
        <v>@kitjuckes</v>
      </c>
      <c r="C3253" s="8" t="s">
        <v>7967</v>
      </c>
      <c r="D3253" s="8" t="s">
        <v>7968</v>
      </c>
      <c r="E3253" s="9" t="str">
        <f aca="false">HYPERLINK("https://twitter.com/kitjuckes/status/922130672919175168","922130672919175168")</f>
        <v>922130672919175168</v>
      </c>
      <c r="F3253" s="10" t="s">
        <v>177</v>
      </c>
      <c r="G3253" s="10" t="n">
        <v>20096</v>
      </c>
      <c r="H3253" s="10" t="n">
        <v>1391</v>
      </c>
      <c r="I3253" s="10" t="n">
        <v>0</v>
      </c>
      <c r="J3253" s="10" t="n">
        <v>1</v>
      </c>
      <c r="K3253" s="10" t="s">
        <v>20</v>
      </c>
      <c r="L3253" s="11" t="n">
        <v>40015.1127893519</v>
      </c>
      <c r="M3253" s="12" t="s">
        <v>7969</v>
      </c>
      <c r="N3253" s="12" t="s">
        <v>7970</v>
      </c>
      <c r="O3253" s="9" t="str">
        <f aca="false">HYPERLINK("https://pbs.twimg.com/profile_images/917716412134821888/YQ9Ihfzk_normal.jpg","View")</f>
        <v>View</v>
      </c>
      <c r="P3253" s="10"/>
    </row>
    <row r="3254" customFormat="false" ht="15.75" hidden="false" customHeight="false" outlineLevel="0" collapsed="false">
      <c r="A3254" s="6" t="n">
        <v>43030.3757523148</v>
      </c>
      <c r="B3254" s="7" t="str">
        <f aca="false">HYPERLINK("https://twitter.com/hiteshkgupta","@hiteshkgupta")</f>
        <v>@hiteshkgupta</v>
      </c>
      <c r="C3254" s="8" t="s">
        <v>7971</v>
      </c>
      <c r="D3254" s="8" t="s">
        <v>7905</v>
      </c>
      <c r="E3254" s="9" t="str">
        <f aca="false">HYPERLINK("https://twitter.com/hiteshkgupta/status/922130699058012163","922130699058012163")</f>
        <v>922130699058012163</v>
      </c>
      <c r="F3254" s="10" t="s">
        <v>51</v>
      </c>
      <c r="G3254" s="10" t="n">
        <v>1235</v>
      </c>
      <c r="H3254" s="10" t="n">
        <v>1373</v>
      </c>
      <c r="I3254" s="10" t="n">
        <v>38</v>
      </c>
      <c r="J3254" s="10" t="n">
        <v>0</v>
      </c>
      <c r="K3254" s="10" t="s">
        <v>20</v>
      </c>
      <c r="L3254" s="11" t="n">
        <v>40081.2957523148</v>
      </c>
      <c r="M3254" s="12" t="s">
        <v>868</v>
      </c>
      <c r="N3254" s="12" t="s">
        <v>7972</v>
      </c>
      <c r="O3254" s="9" t="str">
        <f aca="false">HYPERLINK("https://pbs.twimg.com/profile_images/686806153779519488/jRwuXdQd_normal.jpg","View")</f>
        <v>View</v>
      </c>
      <c r="P3254" s="10"/>
    </row>
    <row r="3255" customFormat="false" ht="15.75" hidden="false" customHeight="false" outlineLevel="0" collapsed="false">
      <c r="A3255" s="6" t="n">
        <v>43030.375787037</v>
      </c>
      <c r="B3255" s="7" t="str">
        <f aca="false">HYPERLINK("https://twitter.com/mydaymywin","@mydaymywin")</f>
        <v>@mydaymywin</v>
      </c>
      <c r="C3255" s="8" t="s">
        <v>3413</v>
      </c>
      <c r="D3255" s="8" t="s">
        <v>7905</v>
      </c>
      <c r="E3255" s="9" t="str">
        <f aca="false">HYPERLINK("https://twitter.com/mydaymywin/status/922130710873350146","922130710873350146")</f>
        <v>922130710873350146</v>
      </c>
      <c r="F3255" s="10" t="s">
        <v>25</v>
      </c>
      <c r="G3255" s="10" t="n">
        <v>3777</v>
      </c>
      <c r="H3255" s="10" t="n">
        <v>1429</v>
      </c>
      <c r="I3255" s="10" t="n">
        <v>38</v>
      </c>
      <c r="J3255" s="10" t="n">
        <v>0</v>
      </c>
      <c r="K3255" s="10" t="s">
        <v>20</v>
      </c>
      <c r="L3255" s="11" t="n">
        <v>41080.0970833333</v>
      </c>
      <c r="M3255" s="12" t="s">
        <v>3415</v>
      </c>
      <c r="N3255" s="12" t="s">
        <v>3416</v>
      </c>
      <c r="O3255" s="9" t="str">
        <f aca="false">HYPERLINK("https://pbs.twimg.com/profile_images/873441591574183936/406hDqg8_normal.jpg","View")</f>
        <v>View</v>
      </c>
      <c r="P3255" s="10"/>
    </row>
    <row r="3256" customFormat="false" ht="15.75" hidden="false" customHeight="false" outlineLevel="0" collapsed="false">
      <c r="A3256" s="6" t="n">
        <v>43030.3758101852</v>
      </c>
      <c r="B3256" s="7" t="str">
        <f aca="false">HYPERLINK("https://twitter.com/Aditya28122009","@Aditya28122009")</f>
        <v>@Aditya28122009</v>
      </c>
      <c r="C3256" s="8" t="s">
        <v>7973</v>
      </c>
      <c r="D3256" s="8" t="s">
        <v>7350</v>
      </c>
      <c r="E3256" s="9" t="str">
        <f aca="false">HYPERLINK("https://twitter.com/Aditya28122009/status/922130721107529728","922130721107529728")</f>
        <v>922130721107529728</v>
      </c>
      <c r="F3256" s="10" t="s">
        <v>51</v>
      </c>
      <c r="G3256" s="10" t="n">
        <v>111</v>
      </c>
      <c r="H3256" s="10" t="n">
        <v>243</v>
      </c>
      <c r="I3256" s="10" t="n">
        <v>62</v>
      </c>
      <c r="J3256" s="10" t="n">
        <v>0</v>
      </c>
      <c r="K3256" s="10" t="s">
        <v>20</v>
      </c>
      <c r="L3256" s="11" t="n">
        <v>41775.0026041667</v>
      </c>
      <c r="M3256" s="12"/>
      <c r="N3256" s="12"/>
      <c r="O3256" s="9" t="str">
        <f aca="false">HYPERLINK("https://pbs.twimg.com/profile_images/885047998266445824/pwa64szn_normal.jpg","View")</f>
        <v>View</v>
      </c>
      <c r="P3256" s="10"/>
    </row>
    <row r="3257" customFormat="false" ht="15.75" hidden="false" customHeight="false" outlineLevel="0" collapsed="false">
      <c r="A3257" s="6" t="n">
        <v>43030.3758564815</v>
      </c>
      <c r="B3257" s="7" t="str">
        <f aca="false">HYPERLINK("https://twitter.com/oldfilthytshlrt","@oldfilthytshlrt")</f>
        <v>@oldfilthytshlrt</v>
      </c>
      <c r="C3257" s="8" t="s">
        <v>7974</v>
      </c>
      <c r="D3257" s="8" t="s">
        <v>7946</v>
      </c>
      <c r="E3257" s="9" t="str">
        <f aca="false">HYPERLINK("https://twitter.com/oldfilthytshlrt/status/922130736391503873","922130736391503873")</f>
        <v>922130736391503873</v>
      </c>
      <c r="F3257" s="10" t="s">
        <v>25</v>
      </c>
      <c r="G3257" s="10" t="n">
        <v>57</v>
      </c>
      <c r="H3257" s="10" t="n">
        <v>2344</v>
      </c>
      <c r="I3257" s="10" t="n">
        <v>41</v>
      </c>
      <c r="J3257" s="10" t="n">
        <v>0</v>
      </c>
      <c r="K3257" s="10" t="s">
        <v>20</v>
      </c>
      <c r="L3257" s="11" t="n">
        <v>41082.8221527778</v>
      </c>
      <c r="M3257" s="12" t="s">
        <v>7975</v>
      </c>
      <c r="N3257" s="12" t="s">
        <v>7976</v>
      </c>
      <c r="O3257" s="9" t="str">
        <f aca="false">HYPERLINK("https://pbs.twimg.com/profile_images/734524797493903364/eS_kjhLI_normal.jpg","View")</f>
        <v>View</v>
      </c>
      <c r="P3257" s="10"/>
    </row>
    <row r="3258" customFormat="false" ht="15.75" hidden="false" customHeight="false" outlineLevel="0" collapsed="false">
      <c r="A3258" s="6" t="n">
        <v>43030.3759027778</v>
      </c>
      <c r="B3258" s="7" t="str">
        <f aca="false">HYPERLINK("https://twitter.com/stripersniper88","@stripersniper88")</f>
        <v>@stripersniper88</v>
      </c>
      <c r="C3258" s="8" t="s">
        <v>7977</v>
      </c>
      <c r="D3258" s="8" t="s">
        <v>7946</v>
      </c>
      <c r="E3258" s="9" t="str">
        <f aca="false">HYPERLINK("https://twitter.com/stripersniper88/status/922130754796212224","922130754796212224")</f>
        <v>922130754796212224</v>
      </c>
      <c r="F3258" s="10" t="s">
        <v>25</v>
      </c>
      <c r="G3258" s="10" t="n">
        <v>93</v>
      </c>
      <c r="H3258" s="10" t="n">
        <v>2286</v>
      </c>
      <c r="I3258" s="10" t="n">
        <v>41</v>
      </c>
      <c r="J3258" s="10" t="n">
        <v>0</v>
      </c>
      <c r="K3258" s="10" t="s">
        <v>20</v>
      </c>
      <c r="L3258" s="11" t="n">
        <v>40684.2149768519</v>
      </c>
      <c r="M3258" s="12" t="s">
        <v>7978</v>
      </c>
      <c r="N3258" s="12"/>
      <c r="O3258" s="9" t="str">
        <f aca="false">HYPERLINK("https://pbs.twimg.com/profile_images/763010724222369793/mB3YI34k_normal.jpg","View")</f>
        <v>View</v>
      </c>
      <c r="P3258" s="10"/>
    </row>
    <row r="3259" customFormat="false" ht="15.75" hidden="false" customHeight="false" outlineLevel="0" collapsed="false">
      <c r="A3259" s="6" t="n">
        <v>43030.3759606482</v>
      </c>
      <c r="B3259" s="7" t="str">
        <f aca="false">HYPERLINK("https://twitter.com/jamesdamnevans5","@jamesdamnevans5")</f>
        <v>@jamesdamnevans5</v>
      </c>
      <c r="C3259" s="8" t="s">
        <v>7979</v>
      </c>
      <c r="D3259" s="8" t="s">
        <v>7730</v>
      </c>
      <c r="E3259" s="9" t="str">
        <f aca="false">HYPERLINK("https://twitter.com/jamesdamnevans5/status/922130774262013952","922130774262013952")</f>
        <v>922130774262013952</v>
      </c>
      <c r="F3259" s="10" t="s">
        <v>25</v>
      </c>
      <c r="G3259" s="10" t="n">
        <v>27</v>
      </c>
      <c r="H3259" s="10" t="n">
        <v>1421</v>
      </c>
      <c r="I3259" s="10" t="n">
        <v>5</v>
      </c>
      <c r="J3259" s="10" t="n">
        <v>0</v>
      </c>
      <c r="K3259" s="10" t="s">
        <v>20</v>
      </c>
      <c r="L3259" s="11" t="n">
        <v>41083.063912037</v>
      </c>
      <c r="M3259" s="12" t="s">
        <v>1423</v>
      </c>
      <c r="N3259" s="12" t="s">
        <v>7980</v>
      </c>
      <c r="O3259" s="9" t="str">
        <f aca="false">HYPERLINK("https://pbs.twimg.com/profile_images/764241106238406656/lMGgaC24_normal.jpg","View")</f>
        <v>View</v>
      </c>
      <c r="P3259" s="10"/>
    </row>
    <row r="3260" customFormat="false" ht="15.75" hidden="false" customHeight="false" outlineLevel="0" collapsed="false">
      <c r="A3260" s="6" t="n">
        <v>43030.3760416667</v>
      </c>
      <c r="B3260" s="7" t="str">
        <f aca="false">HYPERLINK("https://twitter.com/koma10","@koma10")</f>
        <v>@koma10</v>
      </c>
      <c r="C3260" s="8" t="s">
        <v>7128</v>
      </c>
      <c r="D3260" s="8" t="s">
        <v>6707</v>
      </c>
      <c r="E3260" s="9" t="str">
        <f aca="false">HYPERLINK("https://twitter.com/koma10/status/922130802271436800","922130802271436800")</f>
        <v>922130802271436800</v>
      </c>
      <c r="F3260" s="10" t="s">
        <v>51</v>
      </c>
      <c r="G3260" s="10" t="n">
        <v>827</v>
      </c>
      <c r="H3260" s="10" t="n">
        <v>665</v>
      </c>
      <c r="I3260" s="10" t="n">
        <v>97</v>
      </c>
      <c r="J3260" s="10" t="n">
        <v>0</v>
      </c>
      <c r="K3260" s="10" t="s">
        <v>20</v>
      </c>
      <c r="L3260" s="11" t="n">
        <v>40193.7139351852</v>
      </c>
      <c r="M3260" s="13" t="s">
        <v>709</v>
      </c>
      <c r="N3260" s="13" t="s">
        <v>7981</v>
      </c>
      <c r="O3260" s="9" t="str">
        <f aca="false">HYPERLINK("https://pbs.twimg.com/profile_images/837649849663119361/4DRQjF-t_normal.jpg","View")</f>
        <v>View</v>
      </c>
      <c r="P3260" s="10"/>
    </row>
    <row r="3261" customFormat="false" ht="15.75" hidden="false" customHeight="false" outlineLevel="0" collapsed="false">
      <c r="A3261" s="6" t="n">
        <v>43030.3762152778</v>
      </c>
      <c r="B3261" s="7" t="str">
        <f aca="false">HYPERLINK("https://twitter.com/carolinasucre","@carolinasucre")</f>
        <v>@carolinasucre</v>
      </c>
      <c r="C3261" s="8" t="s">
        <v>7982</v>
      </c>
      <c r="D3261" s="8" t="s">
        <v>7983</v>
      </c>
      <c r="E3261" s="9" t="str">
        <f aca="false">HYPERLINK("https://twitter.com/carolinasucre/status/922130867933327360","922130867933327360")</f>
        <v>922130867933327360</v>
      </c>
      <c r="F3261" s="10" t="s">
        <v>39</v>
      </c>
      <c r="G3261" s="10" t="n">
        <v>1548</v>
      </c>
      <c r="H3261" s="10" t="n">
        <v>1191</v>
      </c>
      <c r="I3261" s="10" t="n">
        <v>0</v>
      </c>
      <c r="J3261" s="10" t="n">
        <v>0</v>
      </c>
      <c r="K3261" s="10" t="s">
        <v>20</v>
      </c>
      <c r="L3261" s="11" t="n">
        <v>39966.0224652778</v>
      </c>
      <c r="M3261" s="12" t="s">
        <v>7984</v>
      </c>
      <c r="N3261" s="12" t="s">
        <v>7985</v>
      </c>
      <c r="O3261" s="9" t="str">
        <f aca="false">HYPERLINK("https://pbs.twimg.com/profile_images/1486049256/pinki2_normal.JPG","View")</f>
        <v>View</v>
      </c>
      <c r="P3261" s="10"/>
    </row>
    <row r="3262" customFormat="false" ht="15.75" hidden="false" customHeight="false" outlineLevel="0" collapsed="false">
      <c r="A3262" s="6" t="n">
        <v>43030.37625</v>
      </c>
      <c r="B3262" s="7" t="str">
        <f aca="false">HYPERLINK("https://twitter.com/J0rdensFather","@J0rdensFather")</f>
        <v>@J0rdensFather</v>
      </c>
      <c r="C3262" s="8" t="s">
        <v>7986</v>
      </c>
      <c r="D3262" s="8" t="s">
        <v>7946</v>
      </c>
      <c r="E3262" s="9" t="str">
        <f aca="false">HYPERLINK("https://twitter.com/J0rdensFather/status/922130876623998979","922130876623998979")</f>
        <v>922130876623998979</v>
      </c>
      <c r="F3262" s="10" t="s">
        <v>25</v>
      </c>
      <c r="G3262" s="10" t="n">
        <v>58</v>
      </c>
      <c r="H3262" s="10" t="n">
        <v>121</v>
      </c>
      <c r="I3262" s="10" t="n">
        <v>41</v>
      </c>
      <c r="J3262" s="10" t="n">
        <v>0</v>
      </c>
      <c r="K3262" s="10" t="s">
        <v>20</v>
      </c>
      <c r="L3262" s="11" t="n">
        <v>42057.4824768519</v>
      </c>
      <c r="M3262" s="12" t="s">
        <v>7987</v>
      </c>
      <c r="N3262" s="12" t="s">
        <v>7988</v>
      </c>
      <c r="O3262" s="9" t="str">
        <f aca="false">HYPERLINK("https://pbs.twimg.com/profile_images/594579349237465088/GvCvVi2s_normal.jpg","View")</f>
        <v>View</v>
      </c>
      <c r="P3262" s="10"/>
    </row>
    <row r="3263" customFormat="false" ht="15.75" hidden="false" customHeight="false" outlineLevel="0" collapsed="false">
      <c r="A3263" s="6" t="n">
        <v>43030.3763657407</v>
      </c>
      <c r="B3263" s="7" t="str">
        <f aca="false">HYPERLINK("https://twitter.com/TFTCS","@TFTCS")</f>
        <v>@TFTCS</v>
      </c>
      <c r="C3263" s="8" t="s">
        <v>338</v>
      </c>
      <c r="D3263" s="8" t="s">
        <v>7989</v>
      </c>
      <c r="E3263" s="9" t="str">
        <f aca="false">HYPERLINK("https://twitter.com/TFTCS/status/922130921368768512","922130921368768512")</f>
        <v>922130921368768512</v>
      </c>
      <c r="F3263" s="10" t="s">
        <v>60</v>
      </c>
      <c r="G3263" s="10" t="n">
        <v>4435</v>
      </c>
      <c r="H3263" s="10" t="n">
        <v>4613</v>
      </c>
      <c r="I3263" s="10" t="n">
        <v>0</v>
      </c>
      <c r="J3263" s="10" t="n">
        <v>0</v>
      </c>
      <c r="K3263" s="10" t="s">
        <v>20</v>
      </c>
      <c r="L3263" s="11" t="n">
        <v>41868.7681018518</v>
      </c>
      <c r="M3263" s="12" t="s">
        <v>340</v>
      </c>
      <c r="N3263" s="12" t="s">
        <v>341</v>
      </c>
      <c r="O3263" s="9" t="str">
        <f aca="false">HYPERLINK("https://pbs.twimg.com/profile_images/736027772800368640/DdLGgNNU_normal.jpg","View")</f>
        <v>View</v>
      </c>
      <c r="P3263" s="10"/>
    </row>
    <row r="3264" customFormat="false" ht="15.75" hidden="false" customHeight="false" outlineLevel="0" collapsed="false">
      <c r="A3264" s="6" t="n">
        <v>43030.3763888889</v>
      </c>
      <c r="B3264" s="7" t="str">
        <f aca="false">HYPERLINK("https://twitter.com/iloveerica","@iloveerica")</f>
        <v>@iloveerica</v>
      </c>
      <c r="C3264" s="8" t="s">
        <v>7990</v>
      </c>
      <c r="D3264" s="8" t="s">
        <v>7803</v>
      </c>
      <c r="E3264" s="9" t="str">
        <f aca="false">HYPERLINK("https://twitter.com/iloveerica/status/922130930461896704","922130930461896704")</f>
        <v>922130930461896704</v>
      </c>
      <c r="F3264" s="10" t="s">
        <v>25</v>
      </c>
      <c r="G3264" s="10" t="n">
        <v>521</v>
      </c>
      <c r="H3264" s="10" t="n">
        <v>238</v>
      </c>
      <c r="I3264" s="10" t="n">
        <v>30</v>
      </c>
      <c r="J3264" s="10" t="n">
        <v>0</v>
      </c>
      <c r="K3264" s="10" t="s">
        <v>20</v>
      </c>
      <c r="L3264" s="11" t="n">
        <v>40060.7415856481</v>
      </c>
      <c r="M3264" s="12"/>
      <c r="N3264" s="12"/>
      <c r="O3264" s="9" t="str">
        <f aca="false">HYPERLINK("https://abs.twimg.com/sticky/default_profile_images/default_profile_normal.png","View")</f>
        <v>View</v>
      </c>
      <c r="P3264" s="10"/>
    </row>
    <row r="3265" customFormat="false" ht="15.75" hidden="false" customHeight="false" outlineLevel="0" collapsed="false">
      <c r="A3265" s="6" t="n">
        <v>43030.3764583333</v>
      </c>
      <c r="B3265" s="7" t="str">
        <f aca="false">HYPERLINK("https://twitter.com/PradeepsharmaEr","@PradeepsharmaEr")</f>
        <v>@PradeepsharmaEr</v>
      </c>
      <c r="C3265" s="8" t="s">
        <v>7991</v>
      </c>
      <c r="D3265" s="8" t="s">
        <v>6558</v>
      </c>
      <c r="E3265" s="9" t="str">
        <f aca="false">HYPERLINK("https://twitter.com/PradeepsharmaEr/status/922130956235948032","922130956235948032")</f>
        <v>922130956235948032</v>
      </c>
      <c r="F3265" s="10" t="s">
        <v>25</v>
      </c>
      <c r="G3265" s="10" t="n">
        <v>257</v>
      </c>
      <c r="H3265" s="10" t="n">
        <v>930</v>
      </c>
      <c r="I3265" s="10" t="n">
        <v>65</v>
      </c>
      <c r="J3265" s="10" t="n">
        <v>0</v>
      </c>
      <c r="K3265" s="10" t="s">
        <v>20</v>
      </c>
      <c r="L3265" s="11" t="n">
        <v>41636.1508564815</v>
      </c>
      <c r="M3265" s="12" t="s">
        <v>7992</v>
      </c>
      <c r="N3265" s="12" t="s">
        <v>7993</v>
      </c>
      <c r="O3265" s="9" t="str">
        <f aca="false">HYPERLINK("https://pbs.twimg.com/profile_images/671710051019579392/1lxQD4Iq_normal.jpg","View")</f>
        <v>View</v>
      </c>
      <c r="P3265" s="10"/>
    </row>
    <row r="3266" customFormat="false" ht="15.75" hidden="false" customHeight="false" outlineLevel="0" collapsed="false">
      <c r="A3266" s="6" t="n">
        <v>43030.3764814815</v>
      </c>
      <c r="B3266" s="7" t="str">
        <f aca="false">HYPERLINK("https://twitter.com/iloveerica","@iloveerica")</f>
        <v>@iloveerica</v>
      </c>
      <c r="C3266" s="8" t="s">
        <v>7990</v>
      </c>
      <c r="D3266" s="8" t="s">
        <v>6707</v>
      </c>
      <c r="E3266" s="9" t="str">
        <f aca="false">HYPERLINK("https://twitter.com/iloveerica/status/922130961445220352","922130961445220352")</f>
        <v>922130961445220352</v>
      </c>
      <c r="F3266" s="10" t="s">
        <v>25</v>
      </c>
      <c r="G3266" s="10" t="n">
        <v>521</v>
      </c>
      <c r="H3266" s="10" t="n">
        <v>238</v>
      </c>
      <c r="I3266" s="10" t="n">
        <v>97</v>
      </c>
      <c r="J3266" s="10" t="n">
        <v>0</v>
      </c>
      <c r="K3266" s="10" t="s">
        <v>20</v>
      </c>
      <c r="L3266" s="11" t="n">
        <v>40060.7415856481</v>
      </c>
      <c r="M3266" s="12"/>
      <c r="N3266" s="12"/>
      <c r="O3266" s="9" t="str">
        <f aca="false">HYPERLINK("https://abs.twimg.com/sticky/default_profile_images/default_profile_normal.png","View")</f>
        <v>View</v>
      </c>
      <c r="P3266" s="10"/>
    </row>
    <row r="3267" customFormat="false" ht="15.75" hidden="false" customHeight="false" outlineLevel="0" collapsed="false">
      <c r="A3267" s="6" t="n">
        <v>43030.3765277778</v>
      </c>
      <c r="B3267" s="7" t="str">
        <f aca="false">HYPERLINK("https://twitter.com/Democratic_Rep","@Democratic_Rep")</f>
        <v>@Democratic_Rep</v>
      </c>
      <c r="C3267" s="8" t="s">
        <v>7994</v>
      </c>
      <c r="D3267" s="8" t="s">
        <v>7995</v>
      </c>
      <c r="E3267" s="9" t="str">
        <f aca="false">HYPERLINK("https://twitter.com/Democratic_Rep/status/922130980671930369","922130980671930369")</f>
        <v>922130980671930369</v>
      </c>
      <c r="F3267" s="10" t="s">
        <v>177</v>
      </c>
      <c r="G3267" s="10" t="n">
        <v>1246</v>
      </c>
      <c r="H3267" s="10" t="n">
        <v>1715</v>
      </c>
      <c r="I3267" s="10" t="n">
        <v>5</v>
      </c>
      <c r="J3267" s="10" t="n">
        <v>3</v>
      </c>
      <c r="K3267" s="10" t="s">
        <v>20</v>
      </c>
      <c r="L3267" s="11" t="n">
        <v>42724.4964351852</v>
      </c>
      <c r="M3267" s="12" t="s">
        <v>752</v>
      </c>
      <c r="N3267" s="12" t="s">
        <v>7996</v>
      </c>
      <c r="O3267" s="9" t="str">
        <f aca="false">HYPERLINK("https://pbs.twimg.com/profile_images/811523700973453313/GeSzJjhs_normal.jpg","View")</f>
        <v>View</v>
      </c>
      <c r="P3267" s="10"/>
    </row>
    <row r="3268" customFormat="false" ht="15.75" hidden="false" customHeight="false" outlineLevel="0" collapsed="false">
      <c r="A3268" s="6" t="n">
        <v>43030.3765393519</v>
      </c>
      <c r="B3268" s="7" t="str">
        <f aca="false">HYPERLINK("https://twitter.com/tarokichi_san","@tarokichi_san")</f>
        <v>@tarokichi_san</v>
      </c>
      <c r="C3268" s="14" t="s">
        <v>7997</v>
      </c>
      <c r="D3268" s="8" t="s">
        <v>7803</v>
      </c>
      <c r="E3268" s="9" t="str">
        <f aca="false">HYPERLINK("https://twitter.com/tarokichi_san/status/922130982580379648","922130982580379648")</f>
        <v>922130982580379648</v>
      </c>
      <c r="F3268" s="10" t="s">
        <v>25</v>
      </c>
      <c r="G3268" s="10" t="n">
        <v>290</v>
      </c>
      <c r="H3268" s="10" t="n">
        <v>595</v>
      </c>
      <c r="I3268" s="10" t="n">
        <v>30</v>
      </c>
      <c r="J3268" s="10" t="n">
        <v>0</v>
      </c>
      <c r="K3268" s="10" t="s">
        <v>20</v>
      </c>
      <c r="L3268" s="11" t="n">
        <v>40665.3002199074</v>
      </c>
      <c r="M3268" s="12" t="s">
        <v>7998</v>
      </c>
      <c r="N3268" s="13" t="s">
        <v>7999</v>
      </c>
      <c r="O3268" s="9" t="str">
        <f aca="false">HYPERLINK("https://pbs.twimg.com/profile_images/764786843497799680/jgSWQ85O_normal.jpg","View")</f>
        <v>View</v>
      </c>
      <c r="P3268" s="10"/>
    </row>
    <row r="3269" customFormat="false" ht="15.75" hidden="false" customHeight="false" outlineLevel="0" collapsed="false">
      <c r="A3269" s="6" t="n">
        <v>43030.3765625</v>
      </c>
      <c r="B3269" s="7" t="str">
        <f aca="false">HYPERLINK("https://twitter.com/tarokichi_san","@tarokichi_san")</f>
        <v>@tarokichi_san</v>
      </c>
      <c r="C3269" s="14" t="s">
        <v>7997</v>
      </c>
      <c r="D3269" s="8" t="s">
        <v>6707</v>
      </c>
      <c r="E3269" s="9" t="str">
        <f aca="false">HYPERLINK("https://twitter.com/tarokichi_san/status/922130992248193024","922130992248193024")</f>
        <v>922130992248193024</v>
      </c>
      <c r="F3269" s="10" t="s">
        <v>25</v>
      </c>
      <c r="G3269" s="10" t="n">
        <v>290</v>
      </c>
      <c r="H3269" s="10" t="n">
        <v>595</v>
      </c>
      <c r="I3269" s="10" t="n">
        <v>97</v>
      </c>
      <c r="J3269" s="10" t="n">
        <v>0</v>
      </c>
      <c r="K3269" s="10" t="s">
        <v>20</v>
      </c>
      <c r="L3269" s="11" t="n">
        <v>40665.3002199074</v>
      </c>
      <c r="M3269" s="12" t="s">
        <v>7998</v>
      </c>
      <c r="N3269" s="13" t="s">
        <v>7999</v>
      </c>
      <c r="O3269" s="9" t="str">
        <f aca="false">HYPERLINK("https://pbs.twimg.com/profile_images/764786843497799680/jgSWQ85O_normal.jpg","View")</f>
        <v>View</v>
      </c>
      <c r="P3269" s="10"/>
    </row>
    <row r="3270" customFormat="false" ht="15.75" hidden="false" customHeight="false" outlineLevel="0" collapsed="false">
      <c r="A3270" s="6" t="n">
        <v>43030.376724537</v>
      </c>
      <c r="B3270" s="7" t="str">
        <f aca="false">HYPERLINK("https://twitter.com/EAZYEABC123","@EAZYEABC123")</f>
        <v>@EAZYEABC123</v>
      </c>
      <c r="C3270" s="8" t="s">
        <v>8000</v>
      </c>
      <c r="D3270" s="8" t="s">
        <v>8001</v>
      </c>
      <c r="E3270" s="9" t="str">
        <f aca="false">HYPERLINK("https://twitter.com/EAZYEABC123/status/922131052671332352","922131052671332352")</f>
        <v>922131052671332352</v>
      </c>
      <c r="F3270" s="10" t="s">
        <v>177</v>
      </c>
      <c r="G3270" s="10" t="n">
        <v>3907</v>
      </c>
      <c r="H3270" s="10" t="n">
        <v>3870</v>
      </c>
      <c r="I3270" s="10" t="n">
        <v>5</v>
      </c>
      <c r="J3270" s="10" t="n">
        <v>0</v>
      </c>
      <c r="K3270" s="10" t="s">
        <v>20</v>
      </c>
      <c r="L3270" s="11" t="n">
        <v>41989.5161111111</v>
      </c>
      <c r="M3270" s="12" t="s">
        <v>752</v>
      </c>
      <c r="N3270" s="12" t="s">
        <v>8002</v>
      </c>
      <c r="O3270" s="9" t="str">
        <f aca="false">HYPERLINK("https://pbs.twimg.com/profile_images/715749323577790464/trOc7fjH_normal.jpg","View")</f>
        <v>View</v>
      </c>
      <c r="P3270" s="10"/>
    </row>
    <row r="3271" customFormat="false" ht="15.75" hidden="false" customHeight="false" outlineLevel="0" collapsed="false">
      <c r="A3271" s="6" t="n">
        <v>43030.3767476852</v>
      </c>
      <c r="B3271" s="7" t="str">
        <f aca="false">HYPERLINK("https://twitter.com/Fr0mTheTopCA","@Fr0mTheTopCA")</f>
        <v>@Fr0mTheTopCA</v>
      </c>
      <c r="C3271" s="8" t="s">
        <v>8003</v>
      </c>
      <c r="D3271" s="8" t="s">
        <v>7946</v>
      </c>
      <c r="E3271" s="9" t="str">
        <f aca="false">HYPERLINK("https://twitter.com/Fr0mTheTopCA/status/922131060401377282","922131060401377282")</f>
        <v>922131060401377282</v>
      </c>
      <c r="F3271" s="10" t="s">
        <v>25</v>
      </c>
      <c r="G3271" s="10" t="n">
        <v>34</v>
      </c>
      <c r="H3271" s="10" t="n">
        <v>54</v>
      </c>
      <c r="I3271" s="10" t="n">
        <v>41</v>
      </c>
      <c r="J3271" s="10" t="n">
        <v>0</v>
      </c>
      <c r="K3271" s="10" t="s">
        <v>20</v>
      </c>
      <c r="L3271" s="11" t="n">
        <v>42056.5355439815</v>
      </c>
      <c r="M3271" s="12" t="s">
        <v>8004</v>
      </c>
      <c r="N3271" s="12" t="s">
        <v>8005</v>
      </c>
      <c r="O3271" s="9" t="str">
        <f aca="false">HYPERLINK("https://pbs.twimg.com/profile_images/594565374835707904/FpegPy7k_normal.jpg","View")</f>
        <v>View</v>
      </c>
      <c r="P3271" s="10"/>
    </row>
    <row r="3272" customFormat="false" ht="15.75" hidden="false" customHeight="false" outlineLevel="0" collapsed="false">
      <c r="A3272" s="6" t="n">
        <v>43030.3767824074</v>
      </c>
      <c r="B3272" s="7" t="str">
        <f aca="false">HYPERLINK("https://twitter.com/yushi_knu1","@yushi_knu1")</f>
        <v>@yushi_knu1</v>
      </c>
      <c r="C3272" s="8" t="s">
        <v>8006</v>
      </c>
      <c r="D3272" s="8" t="s">
        <v>8007</v>
      </c>
      <c r="E3272" s="9" t="str">
        <f aca="false">HYPERLINK("https://twitter.com/yushi_knu1/status/922131069817667590","922131069817667590")</f>
        <v>922131069817667590</v>
      </c>
      <c r="F3272" s="10" t="s">
        <v>177</v>
      </c>
      <c r="G3272" s="10" t="n">
        <v>116</v>
      </c>
      <c r="H3272" s="10" t="n">
        <v>249</v>
      </c>
      <c r="I3272" s="10" t="n">
        <v>0</v>
      </c>
      <c r="J3272" s="10" t="n">
        <v>1</v>
      </c>
      <c r="K3272" s="10" t="s">
        <v>20</v>
      </c>
      <c r="L3272" s="11" t="n">
        <v>40820.3317824074</v>
      </c>
      <c r="M3272" s="12" t="s">
        <v>8008</v>
      </c>
      <c r="N3272" s="12" t="s">
        <v>8009</v>
      </c>
      <c r="O3272" s="9" t="str">
        <f aca="false">HYPERLINK("https://pbs.twimg.com/profile_images/581816881973051393/rMxoSVcI_normal.jpg","View")</f>
        <v>View</v>
      </c>
      <c r="P3272" s="10"/>
    </row>
    <row r="3273" customFormat="false" ht="15.75" hidden="false" customHeight="false" outlineLevel="0" collapsed="false">
      <c r="A3273" s="6" t="n">
        <v>43030.3769444445</v>
      </c>
      <c r="B3273" s="7" t="str">
        <f aca="false">HYPERLINK("https://twitter.com/FTBRoseParade","@FTBRoseParade")</f>
        <v>@FTBRoseParade</v>
      </c>
      <c r="C3273" s="8" t="s">
        <v>8010</v>
      </c>
      <c r="D3273" s="8" t="s">
        <v>8001</v>
      </c>
      <c r="E3273" s="9" t="str">
        <f aca="false">HYPERLINK("https://twitter.com/FTBRoseParade/status/922131130177822720","922131130177822720")</f>
        <v>922131130177822720</v>
      </c>
      <c r="F3273" s="10" t="s">
        <v>177</v>
      </c>
      <c r="G3273" s="10" t="n">
        <v>2882</v>
      </c>
      <c r="H3273" s="10" t="n">
        <v>2922</v>
      </c>
      <c r="I3273" s="10" t="n">
        <v>5</v>
      </c>
      <c r="J3273" s="10" t="n">
        <v>0</v>
      </c>
      <c r="K3273" s="10" t="s">
        <v>20</v>
      </c>
      <c r="L3273" s="11" t="n">
        <v>42316.8896759259</v>
      </c>
      <c r="M3273" s="12"/>
      <c r="N3273" s="12"/>
      <c r="O3273" s="9" t="str">
        <f aca="false">HYPERLINK("https://pbs.twimg.com/profile_images/663613249418477570/3_GHpUe9_normal.jpg","View")</f>
        <v>View</v>
      </c>
      <c r="P3273" s="10"/>
    </row>
    <row r="3274" customFormat="false" ht="15.75" hidden="false" customHeight="false" outlineLevel="0" collapsed="false">
      <c r="A3274" s="6" t="n">
        <v>43030.3771412037</v>
      </c>
      <c r="B3274" s="7" t="str">
        <f aca="false">HYPERLINK("https://twitter.com/coiormehbaddty","@coiormehbaddty")</f>
        <v>@coiormehbaddty</v>
      </c>
      <c r="C3274" s="8" t="s">
        <v>8011</v>
      </c>
      <c r="D3274" s="8" t="s">
        <v>7946</v>
      </c>
      <c r="E3274" s="9" t="str">
        <f aca="false">HYPERLINK("https://twitter.com/coiormehbaddty/status/922131203259543560","922131203259543560")</f>
        <v>922131203259543560</v>
      </c>
      <c r="F3274" s="10" t="s">
        <v>25</v>
      </c>
      <c r="G3274" s="10" t="n">
        <v>60</v>
      </c>
      <c r="H3274" s="10" t="n">
        <v>491</v>
      </c>
      <c r="I3274" s="10" t="n">
        <v>41</v>
      </c>
      <c r="J3274" s="10" t="n">
        <v>0</v>
      </c>
      <c r="K3274" s="10" t="s">
        <v>20</v>
      </c>
      <c r="L3274" s="11" t="n">
        <v>41741.9973263889</v>
      </c>
      <c r="M3274" s="12" t="s">
        <v>8012</v>
      </c>
      <c r="N3274" s="12" t="s">
        <v>8013</v>
      </c>
      <c r="O3274" s="9" t="str">
        <f aca="false">HYPERLINK("https://pbs.twimg.com/profile_images/594600315137175552/pear5_Ke_normal.jpg","View")</f>
        <v>View</v>
      </c>
      <c r="P3274" s="10"/>
    </row>
    <row r="3275" customFormat="false" ht="15.75" hidden="false" customHeight="false" outlineLevel="0" collapsed="false">
      <c r="A3275" s="6" t="n">
        <v>43030.3772222222</v>
      </c>
      <c r="B3275" s="7" t="str">
        <f aca="false">HYPERLINK("https://twitter.com/BCquakehelp","@BCquakehelp")</f>
        <v>@BCquakehelp</v>
      </c>
      <c r="C3275" s="8" t="s">
        <v>2438</v>
      </c>
      <c r="D3275" s="8" t="s">
        <v>4984</v>
      </c>
      <c r="E3275" s="9" t="str">
        <f aca="false">HYPERLINK("https://twitter.com/BCquakehelp/status/922131228953677825","922131228953677825")</f>
        <v>922131228953677825</v>
      </c>
      <c r="F3275" s="10" t="s">
        <v>39</v>
      </c>
      <c r="G3275" s="10" t="n">
        <v>3793</v>
      </c>
      <c r="H3275" s="10" t="n">
        <v>687</v>
      </c>
      <c r="I3275" s="10" t="n">
        <v>187</v>
      </c>
      <c r="J3275" s="10" t="n">
        <v>0</v>
      </c>
      <c r="K3275" s="10" t="s">
        <v>20</v>
      </c>
      <c r="L3275" s="11" t="n">
        <v>42999.0204282407</v>
      </c>
      <c r="M3275" s="12" t="s">
        <v>2439</v>
      </c>
      <c r="N3275" s="12" t="s">
        <v>2440</v>
      </c>
      <c r="O3275" s="9" t="str">
        <f aca="false">HYPERLINK("https://pbs.twimg.com/profile_images/914369314467209216/YAe3PsvC_normal.jpg","View")</f>
        <v>View</v>
      </c>
      <c r="P3275" s="10"/>
    </row>
    <row r="3276" customFormat="false" ht="15.75" hidden="false" customHeight="false" outlineLevel="0" collapsed="false">
      <c r="A3276" s="6" t="n">
        <v>43030.3772337963</v>
      </c>
      <c r="B3276" s="7" t="str">
        <f aca="false">HYPERLINK("https://twitter.com/sarahaiexaXO","@sarahaiexaXO")</f>
        <v>@sarahaiexaXO</v>
      </c>
      <c r="C3276" s="8" t="s">
        <v>8014</v>
      </c>
      <c r="D3276" s="8" t="s">
        <v>7946</v>
      </c>
      <c r="E3276" s="9" t="str">
        <f aca="false">HYPERLINK("https://twitter.com/sarahaiexaXO/status/922131236763652097","922131236763652097")</f>
        <v>922131236763652097</v>
      </c>
      <c r="F3276" s="10" t="s">
        <v>25</v>
      </c>
      <c r="G3276" s="10" t="n">
        <v>74</v>
      </c>
      <c r="H3276" s="10" t="n">
        <v>2269</v>
      </c>
      <c r="I3276" s="10" t="n">
        <v>41</v>
      </c>
      <c r="J3276" s="10" t="n">
        <v>0</v>
      </c>
      <c r="K3276" s="10" t="s">
        <v>20</v>
      </c>
      <c r="L3276" s="11" t="n">
        <v>40922.8256597222</v>
      </c>
      <c r="M3276" s="12" t="s">
        <v>8015</v>
      </c>
      <c r="N3276" s="12" t="s">
        <v>8016</v>
      </c>
      <c r="O3276" s="9" t="str">
        <f aca="false">HYPERLINK("https://pbs.twimg.com/profile_images/764942685052530688/Cxp-IWrx_normal.jpg","View")</f>
        <v>View</v>
      </c>
      <c r="P3276" s="10"/>
    </row>
    <row r="3277" customFormat="false" ht="15.75" hidden="false" customHeight="false" outlineLevel="0" collapsed="false">
      <c r="A3277" s="6" t="n">
        <v>43030.3772453704</v>
      </c>
      <c r="B3277" s="7" t="str">
        <f aca="false">HYPERLINK("https://twitter.com/hundericocco","@hundericocco")</f>
        <v>@hundericocco</v>
      </c>
      <c r="C3277" s="14" t="s">
        <v>7268</v>
      </c>
      <c r="D3277" s="8" t="s">
        <v>7275</v>
      </c>
      <c r="E3277" s="9" t="str">
        <f aca="false">HYPERLINK("https://twitter.com/hundericocco/status/922131240018362370","922131240018362370")</f>
        <v>922131240018362370</v>
      </c>
      <c r="F3277" s="10" t="s">
        <v>51</v>
      </c>
      <c r="G3277" s="10" t="n">
        <v>6536</v>
      </c>
      <c r="H3277" s="10" t="n">
        <v>6845</v>
      </c>
      <c r="I3277" s="10" t="n">
        <v>9</v>
      </c>
      <c r="J3277" s="10" t="n">
        <v>0</v>
      </c>
      <c r="K3277" s="10" t="s">
        <v>20</v>
      </c>
      <c r="L3277" s="11" t="n">
        <v>41151.4322106482</v>
      </c>
      <c r="M3277" s="12"/>
      <c r="N3277" s="12" t="s">
        <v>7269</v>
      </c>
      <c r="O3277" s="9" t="str">
        <f aca="false">HYPERLINK("https://pbs.twimg.com/profile_images/611939205090906112/ssdbyUu4_normal.jpg","View")</f>
        <v>View</v>
      </c>
      <c r="P3277" s="10"/>
    </row>
    <row r="3278" customFormat="false" ht="15.75" hidden="false" customHeight="false" outlineLevel="0" collapsed="false">
      <c r="A3278" s="6" t="n">
        <v>43030.3772800926</v>
      </c>
      <c r="B3278" s="7" t="str">
        <f aca="false">HYPERLINK("https://twitter.com/tnmukundan","@tnmukundan")</f>
        <v>@tnmukundan</v>
      </c>
      <c r="C3278" s="8" t="s">
        <v>8017</v>
      </c>
      <c r="D3278" s="8" t="s">
        <v>7905</v>
      </c>
      <c r="E3278" s="9" t="str">
        <f aca="false">HYPERLINK("https://twitter.com/tnmukundan/status/922131253746393089","922131253746393089")</f>
        <v>922131253746393089</v>
      </c>
      <c r="F3278" s="10" t="s">
        <v>51</v>
      </c>
      <c r="G3278" s="10" t="n">
        <v>83</v>
      </c>
      <c r="H3278" s="10" t="n">
        <v>263</v>
      </c>
      <c r="I3278" s="10" t="n">
        <v>38</v>
      </c>
      <c r="J3278" s="10" t="n">
        <v>0</v>
      </c>
      <c r="K3278" s="10" t="s">
        <v>20</v>
      </c>
      <c r="L3278" s="11" t="n">
        <v>40761.2110648148</v>
      </c>
      <c r="M3278" s="12" t="s">
        <v>868</v>
      </c>
      <c r="N3278" s="12" t="s">
        <v>8018</v>
      </c>
      <c r="O3278" s="9" t="str">
        <f aca="false">HYPERLINK("https://pbs.twimg.com/profile_images/791684853641060352/RKHlEXJ1_normal.jpg","View")</f>
        <v>View</v>
      </c>
      <c r="P3278" s="10"/>
    </row>
    <row r="3279" customFormat="false" ht="15.75" hidden="false" customHeight="false" outlineLevel="0" collapsed="false">
      <c r="A3279" s="6" t="n">
        <v>43030.3773263889</v>
      </c>
      <c r="B3279" s="7" t="str">
        <f aca="false">HYPERLINK("https://twitter.com/TopFiveTraders","@TopFiveTraders")</f>
        <v>@TopFiveTraders</v>
      </c>
      <c r="C3279" s="8" t="s">
        <v>321</v>
      </c>
      <c r="D3279" s="8" t="s">
        <v>8019</v>
      </c>
      <c r="E3279" s="9" t="str">
        <f aca="false">HYPERLINK("https://twitter.com/TopFiveTraders/status/922131266765574144","922131266765574144")</f>
        <v>922131266765574144</v>
      </c>
      <c r="F3279" s="10" t="s">
        <v>60</v>
      </c>
      <c r="G3279" s="10" t="n">
        <v>8181</v>
      </c>
      <c r="H3279" s="10" t="n">
        <v>6774</v>
      </c>
      <c r="I3279" s="10" t="n">
        <v>0</v>
      </c>
      <c r="J3279" s="10" t="n">
        <v>0</v>
      </c>
      <c r="K3279" s="10" t="s">
        <v>20</v>
      </c>
      <c r="L3279" s="11" t="n">
        <v>41573.4842013889</v>
      </c>
      <c r="M3279" s="12" t="s">
        <v>323</v>
      </c>
      <c r="N3279" s="12" t="s">
        <v>324</v>
      </c>
      <c r="O3279" s="9" t="str">
        <f aca="false">HYPERLINK("https://pbs.twimg.com/profile_images/729113141444026370/hi202Ffp_normal.jpg","View")</f>
        <v>View</v>
      </c>
      <c r="P3279" s="10"/>
    </row>
    <row r="3280" customFormat="false" ht="15.75" hidden="false" customHeight="false" outlineLevel="0" collapsed="false">
      <c r="A3280" s="6" t="n">
        <v>43030.377349537</v>
      </c>
      <c r="B3280" s="7" t="str">
        <f aca="false">HYPERLINK("https://twitter.com/lindzmarie98","@lindzmarie98")</f>
        <v>@lindzmarie98</v>
      </c>
      <c r="C3280" s="8" t="s">
        <v>8020</v>
      </c>
      <c r="D3280" s="8" t="s">
        <v>7946</v>
      </c>
      <c r="E3280" s="9" t="str">
        <f aca="false">HYPERLINK("https://twitter.com/lindzmarie98/status/922131277787971584","922131277787971584")</f>
        <v>922131277787971584</v>
      </c>
      <c r="F3280" s="10" t="s">
        <v>25</v>
      </c>
      <c r="G3280" s="10" t="n">
        <v>67</v>
      </c>
      <c r="H3280" s="10" t="n">
        <v>2279</v>
      </c>
      <c r="I3280" s="10" t="n">
        <v>41</v>
      </c>
      <c r="J3280" s="10" t="n">
        <v>0</v>
      </c>
      <c r="K3280" s="10" t="s">
        <v>20</v>
      </c>
      <c r="L3280" s="11" t="n">
        <v>40896.1266435185</v>
      </c>
      <c r="M3280" s="12" t="s">
        <v>2134</v>
      </c>
      <c r="N3280" s="12" t="s">
        <v>8021</v>
      </c>
      <c r="O3280" s="9" t="str">
        <f aca="false">HYPERLINK("https://pbs.twimg.com/profile_images/770340400489984000/BA28VIfX_normal.jpg","View")</f>
        <v>View</v>
      </c>
      <c r="P3280" s="10"/>
    </row>
    <row r="3281" customFormat="false" ht="15.75" hidden="false" customHeight="false" outlineLevel="0" collapsed="false">
      <c r="A3281" s="6" t="n">
        <v>43030.3775</v>
      </c>
      <c r="B3281" s="7" t="str">
        <f aca="false">HYPERLINK("https://twitter.com/hundericocco","@hundericocco")</f>
        <v>@hundericocco</v>
      </c>
      <c r="C3281" s="14" t="s">
        <v>7268</v>
      </c>
      <c r="D3281" s="8" t="s">
        <v>7371</v>
      </c>
      <c r="E3281" s="9" t="str">
        <f aca="false">HYPERLINK("https://twitter.com/hundericocco/status/922131329810030593","922131329810030593")</f>
        <v>922131329810030593</v>
      </c>
      <c r="F3281" s="10" t="s">
        <v>51</v>
      </c>
      <c r="G3281" s="10" t="n">
        <v>6536</v>
      </c>
      <c r="H3281" s="10" t="n">
        <v>6845</v>
      </c>
      <c r="I3281" s="10" t="n">
        <v>16</v>
      </c>
      <c r="J3281" s="10" t="n">
        <v>0</v>
      </c>
      <c r="K3281" s="10" t="s">
        <v>20</v>
      </c>
      <c r="L3281" s="11" t="n">
        <v>41151.4322106482</v>
      </c>
      <c r="M3281" s="12"/>
      <c r="N3281" s="12" t="s">
        <v>7269</v>
      </c>
      <c r="O3281" s="9" t="str">
        <f aca="false">HYPERLINK("https://pbs.twimg.com/profile_images/611939205090906112/ssdbyUu4_normal.jpg","View")</f>
        <v>View</v>
      </c>
      <c r="P3281" s="10"/>
    </row>
    <row r="3282" customFormat="false" ht="15.75" hidden="false" customHeight="false" outlineLevel="0" collapsed="false">
      <c r="A3282" s="6" t="n">
        <v>43030.3775</v>
      </c>
      <c r="B3282" s="7" t="str">
        <f aca="false">HYPERLINK("https://twitter.com/Shukla02Shukla","@Shukla02Shukla")</f>
        <v>@Shukla02Shukla</v>
      </c>
      <c r="C3282" s="8" t="s">
        <v>8022</v>
      </c>
      <c r="D3282" s="8" t="s">
        <v>7905</v>
      </c>
      <c r="E3282" s="9" t="str">
        <f aca="false">HYPERLINK("https://twitter.com/Shukla02Shukla/status/922131332427268096","922131332427268096")</f>
        <v>922131332427268096</v>
      </c>
      <c r="F3282" s="10" t="s">
        <v>25</v>
      </c>
      <c r="G3282" s="10" t="n">
        <v>210</v>
      </c>
      <c r="H3282" s="10" t="n">
        <v>473</v>
      </c>
      <c r="I3282" s="10" t="n">
        <v>38</v>
      </c>
      <c r="J3282" s="10" t="n">
        <v>0</v>
      </c>
      <c r="K3282" s="10" t="s">
        <v>20</v>
      </c>
      <c r="L3282" s="11" t="n">
        <v>41100.1537268519</v>
      </c>
      <c r="M3282" s="12" t="s">
        <v>8023</v>
      </c>
      <c r="N3282" s="12" t="s">
        <v>8024</v>
      </c>
      <c r="O3282" s="9" t="str">
        <f aca="false">HYPERLINK("https://pbs.twimg.com/profile_images/818123034775035905/azeeI_Qk_normal.jpg","View")</f>
        <v>View</v>
      </c>
      <c r="P3282" s="10"/>
    </row>
    <row r="3283" customFormat="false" ht="15.75" hidden="false" customHeight="false" outlineLevel="0" collapsed="false">
      <c r="A3283" s="6" t="n">
        <v>43030.3775810185</v>
      </c>
      <c r="B3283" s="7" t="str">
        <f aca="false">HYPERLINK("https://twitter.com/PawanSaklani","@PawanSaklani")</f>
        <v>@PawanSaklani</v>
      </c>
      <c r="C3283" s="8" t="s">
        <v>8025</v>
      </c>
      <c r="D3283" s="8" t="s">
        <v>7350</v>
      </c>
      <c r="E3283" s="9" t="str">
        <f aca="false">HYPERLINK("https://twitter.com/PawanSaklani/status/922131362697510918","922131362697510918")</f>
        <v>922131362697510918</v>
      </c>
      <c r="F3283" s="10" t="s">
        <v>25</v>
      </c>
      <c r="G3283" s="10" t="n">
        <v>133</v>
      </c>
      <c r="H3283" s="10" t="n">
        <v>307</v>
      </c>
      <c r="I3283" s="10" t="n">
        <v>62</v>
      </c>
      <c r="J3283" s="10" t="n">
        <v>0</v>
      </c>
      <c r="K3283" s="10" t="s">
        <v>20</v>
      </c>
      <c r="L3283" s="11" t="n">
        <v>40077.9345486111</v>
      </c>
      <c r="M3283" s="12" t="s">
        <v>8026</v>
      </c>
      <c r="N3283" s="12" t="s">
        <v>8027</v>
      </c>
      <c r="O3283" s="9" t="str">
        <f aca="false">HYPERLINK("https://pbs.twimg.com/profile_images/1652271850/rk_normal.jpg","View")</f>
        <v>View</v>
      </c>
      <c r="P3283" s="10"/>
    </row>
    <row r="3284" customFormat="false" ht="15.75" hidden="false" customHeight="false" outlineLevel="0" collapsed="false">
      <c r="A3284" s="6" t="n">
        <v>43030.3776273148</v>
      </c>
      <c r="B3284" s="7" t="str">
        <f aca="false">HYPERLINK("https://twitter.com/blog_chirashi","@blog_chirashi")</f>
        <v>@blog_chirashi</v>
      </c>
      <c r="C3284" s="8" t="s">
        <v>8028</v>
      </c>
      <c r="D3284" s="8" t="s">
        <v>6707</v>
      </c>
      <c r="E3284" s="9" t="str">
        <f aca="false">HYPERLINK("https://twitter.com/blog_chirashi/status/922131376291192833","922131376291192833")</f>
        <v>922131376291192833</v>
      </c>
      <c r="F3284" s="10" t="s">
        <v>98</v>
      </c>
      <c r="G3284" s="10" t="n">
        <v>12807</v>
      </c>
      <c r="H3284" s="10" t="n">
        <v>10937</v>
      </c>
      <c r="I3284" s="10" t="n">
        <v>97</v>
      </c>
      <c r="J3284" s="10" t="n">
        <v>0</v>
      </c>
      <c r="K3284" s="10" t="s">
        <v>20</v>
      </c>
      <c r="L3284" s="11" t="n">
        <v>40816.899212963</v>
      </c>
      <c r="M3284" s="12"/>
      <c r="N3284" s="13" t="s">
        <v>8029</v>
      </c>
      <c r="O3284" s="9" t="str">
        <f aca="false">HYPERLINK("https://pbs.twimg.com/profile_images/1753746087/0e6f7262-f93c-4240-b434-64448bb6e525_normal.png","View")</f>
        <v>View</v>
      </c>
      <c r="P3284" s="10"/>
    </row>
    <row r="3285" customFormat="false" ht="15.75" hidden="false" customHeight="false" outlineLevel="0" collapsed="false">
      <c r="A3285" s="6" t="n">
        <v>43030.3776388889</v>
      </c>
      <c r="B3285" s="7" t="str">
        <f aca="false">HYPERLINK("https://twitter.com/melodijoy","@melodijoy")</f>
        <v>@melodijoy</v>
      </c>
      <c r="C3285" s="8" t="s">
        <v>8030</v>
      </c>
      <c r="D3285" s="8" t="s">
        <v>8001</v>
      </c>
      <c r="E3285" s="9" t="str">
        <f aca="false">HYPERLINK("https://twitter.com/melodijoy/status/922131381957939200","922131381957939200")</f>
        <v>922131381957939200</v>
      </c>
      <c r="F3285" s="10" t="s">
        <v>25</v>
      </c>
      <c r="G3285" s="10" t="n">
        <v>3456</v>
      </c>
      <c r="H3285" s="10" t="n">
        <v>4998</v>
      </c>
      <c r="I3285" s="10" t="n">
        <v>5</v>
      </c>
      <c r="J3285" s="10" t="n">
        <v>0</v>
      </c>
      <c r="K3285" s="10" t="s">
        <v>20</v>
      </c>
      <c r="L3285" s="11" t="n">
        <v>39919.1523148148</v>
      </c>
      <c r="M3285" s="12" t="s">
        <v>8031</v>
      </c>
      <c r="N3285" s="12" t="s">
        <v>8032</v>
      </c>
      <c r="O3285" s="9" t="str">
        <f aca="false">HYPERLINK("https://pbs.twimg.com/profile_images/634251610043121664/_vRIDyhR_normal.jpg","View")</f>
        <v>View</v>
      </c>
      <c r="P3285" s="10"/>
    </row>
    <row r="3286" customFormat="false" ht="15.75" hidden="false" customHeight="false" outlineLevel="0" collapsed="false">
      <c r="A3286" s="6" t="n">
        <v>43030.377662037</v>
      </c>
      <c r="B3286" s="7" t="str">
        <f aca="false">HYPERLINK("https://twitter.com/bottymcbottica","@bottymcbottica")</f>
        <v>@bottymcbottica</v>
      </c>
      <c r="C3286" s="8" t="s">
        <v>8033</v>
      </c>
      <c r="D3286" s="8" t="s">
        <v>4984</v>
      </c>
      <c r="E3286" s="9" t="str">
        <f aca="false">HYPERLINK("https://twitter.com/bottymcbottica/status/922131389528625152","922131389528625152")</f>
        <v>922131389528625152</v>
      </c>
      <c r="F3286" s="10" t="s">
        <v>8034</v>
      </c>
      <c r="G3286" s="10" t="n">
        <v>1593</v>
      </c>
      <c r="H3286" s="10" t="n">
        <v>924</v>
      </c>
      <c r="I3286" s="10" t="n">
        <v>187</v>
      </c>
      <c r="J3286" s="10" t="n">
        <v>0</v>
      </c>
      <c r="K3286" s="10" t="s">
        <v>20</v>
      </c>
      <c r="L3286" s="11" t="n">
        <v>42467.5622800926</v>
      </c>
      <c r="M3286" s="12" t="s">
        <v>182</v>
      </c>
      <c r="N3286" s="12" t="s">
        <v>8035</v>
      </c>
      <c r="O3286" s="9" t="str">
        <f aca="false">HYPERLINK("https://pbs.twimg.com/profile_images/718175211544256512/O-4Zhf1d_normal.jpg","View")</f>
        <v>View</v>
      </c>
      <c r="P3286" s="10"/>
    </row>
    <row r="3287" customFormat="false" ht="15.75" hidden="false" customHeight="false" outlineLevel="0" collapsed="false">
      <c r="A3287" s="6" t="n">
        <v>43030.3777430556</v>
      </c>
      <c r="B3287" s="7" t="str">
        <f aca="false">HYPERLINK("https://twitter.com/leighton_5000","@leighton_5000")</f>
        <v>@leighton_5000</v>
      </c>
      <c r="C3287" s="8" t="s">
        <v>8036</v>
      </c>
      <c r="D3287" s="8" t="s">
        <v>8037</v>
      </c>
      <c r="E3287" s="9" t="str">
        <f aca="false">HYPERLINK("https://twitter.com/leighton_5000/status/922131419429707776","922131419429707776")</f>
        <v>922131419429707776</v>
      </c>
      <c r="F3287" s="10" t="s">
        <v>51</v>
      </c>
      <c r="G3287" s="10" t="n">
        <v>39</v>
      </c>
      <c r="H3287" s="10" t="n">
        <v>157</v>
      </c>
      <c r="I3287" s="10" t="n">
        <v>0</v>
      </c>
      <c r="J3287" s="10" t="n">
        <v>0</v>
      </c>
      <c r="K3287" s="10" t="s">
        <v>20</v>
      </c>
      <c r="L3287" s="11" t="n">
        <v>40906.8383217593</v>
      </c>
      <c r="M3287" s="12" t="s">
        <v>8038</v>
      </c>
      <c r="N3287" s="12" t="s">
        <v>8039</v>
      </c>
      <c r="O3287" s="9" t="str">
        <f aca="false">HYPERLINK("https://pbs.twimg.com/profile_images/921943512068759553/snzoagD__normal.jpg","View")</f>
        <v>View</v>
      </c>
      <c r="P3287" s="10"/>
    </row>
    <row r="3288" customFormat="false" ht="15.75" hidden="false" customHeight="false" outlineLevel="0" collapsed="false">
      <c r="A3288" s="6" t="n">
        <v>43030.3777546296</v>
      </c>
      <c r="B3288" s="7" t="str">
        <f aca="false">HYPERLINK("https://twitter.com/LilRich928_","@LilRich928_")</f>
        <v>@LilRich928_</v>
      </c>
      <c r="C3288" s="8" t="s">
        <v>8040</v>
      </c>
      <c r="D3288" s="8" t="s">
        <v>7730</v>
      </c>
      <c r="E3288" s="9" t="str">
        <f aca="false">HYPERLINK("https://twitter.com/LilRich928_/status/922131425238966273","922131425238966273")</f>
        <v>922131425238966273</v>
      </c>
      <c r="F3288" s="10" t="s">
        <v>25</v>
      </c>
      <c r="G3288" s="10" t="n">
        <v>70</v>
      </c>
      <c r="H3288" s="10" t="n">
        <v>2403</v>
      </c>
      <c r="I3288" s="10" t="n">
        <v>5</v>
      </c>
      <c r="J3288" s="10" t="n">
        <v>0</v>
      </c>
      <c r="K3288" s="10" t="s">
        <v>20</v>
      </c>
      <c r="L3288" s="11" t="n">
        <v>41086.0781481482</v>
      </c>
      <c r="M3288" s="12" t="s">
        <v>8041</v>
      </c>
      <c r="N3288" s="12" t="s">
        <v>8042</v>
      </c>
      <c r="O3288" s="9" t="str">
        <f aca="false">HYPERLINK("https://pbs.twimg.com/profile_images/734526349101174784/asQrm6AS_normal.jpg","View")</f>
        <v>View</v>
      </c>
      <c r="P3288" s="10"/>
    </row>
    <row r="3289" customFormat="false" ht="15.75" hidden="false" customHeight="false" outlineLevel="0" collapsed="false">
      <c r="A3289" s="6" t="n">
        <v>43030.3780324074</v>
      </c>
      <c r="B3289" s="7" t="str">
        <f aca="false">HYPERLINK("https://twitter.com/SADILHANI","@SADILHANI")</f>
        <v>@SADILHANI</v>
      </c>
      <c r="C3289" s="8" t="s">
        <v>8043</v>
      </c>
      <c r="D3289" s="8" t="s">
        <v>7046</v>
      </c>
      <c r="E3289" s="9" t="str">
        <f aca="false">HYPERLINK("https://twitter.com/SADILHANI/status/922131523964321792","922131523964321792")</f>
        <v>922131523964321792</v>
      </c>
      <c r="F3289" s="10" t="s">
        <v>3790</v>
      </c>
      <c r="G3289" s="10" t="n">
        <v>148</v>
      </c>
      <c r="H3289" s="10" t="n">
        <v>120</v>
      </c>
      <c r="I3289" s="10" t="n">
        <v>53</v>
      </c>
      <c r="J3289" s="10" t="n">
        <v>0</v>
      </c>
      <c r="K3289" s="10" t="s">
        <v>20</v>
      </c>
      <c r="L3289" s="11" t="n">
        <v>42332.273587963</v>
      </c>
      <c r="M3289" s="12" t="s">
        <v>8044</v>
      </c>
      <c r="N3289" s="12" t="s">
        <v>8045</v>
      </c>
      <c r="O3289" s="9" t="str">
        <f aca="false">HYPERLINK("https://pbs.twimg.com/profile_images/919874982871576576/FEgRSMfO_normal.jpg","View")</f>
        <v>View</v>
      </c>
      <c r="P3289" s="10"/>
    </row>
    <row r="3290" customFormat="false" ht="15.75" hidden="false" customHeight="false" outlineLevel="0" collapsed="false">
      <c r="A3290" s="6" t="n">
        <v>43030.3780902778</v>
      </c>
      <c r="B3290" s="7" t="str">
        <f aca="false">HYPERLINK("https://twitter.com/mrigankgaurav","@mrigankgaurav")</f>
        <v>@mrigankgaurav</v>
      </c>
      <c r="C3290" s="8" t="s">
        <v>8046</v>
      </c>
      <c r="D3290" s="8" t="s">
        <v>7905</v>
      </c>
      <c r="E3290" s="9" t="str">
        <f aca="false">HYPERLINK("https://twitter.com/mrigankgaurav/status/922131544210321408","922131544210321408")</f>
        <v>922131544210321408</v>
      </c>
      <c r="F3290" s="10" t="s">
        <v>25</v>
      </c>
      <c r="G3290" s="10" t="n">
        <v>512</v>
      </c>
      <c r="H3290" s="10" t="n">
        <v>592</v>
      </c>
      <c r="I3290" s="10" t="n">
        <v>38</v>
      </c>
      <c r="J3290" s="10" t="n">
        <v>0</v>
      </c>
      <c r="K3290" s="10" t="s">
        <v>20</v>
      </c>
      <c r="L3290" s="11" t="n">
        <v>39835.2767361111</v>
      </c>
      <c r="M3290" s="12" t="s">
        <v>8047</v>
      </c>
      <c r="N3290" s="12" t="s">
        <v>8048</v>
      </c>
      <c r="O3290" s="9" t="str">
        <f aca="false">HYPERLINK("https://pbs.twimg.com/profile_images/836605528344264706/K15lmVqt_normal.jpg","View")</f>
        <v>View</v>
      </c>
      <c r="P3290" s="10"/>
    </row>
    <row r="3291" customFormat="false" ht="15.75" hidden="false" customHeight="false" outlineLevel="0" collapsed="false">
      <c r="A3291" s="6" t="n">
        <v>43030.3781134259</v>
      </c>
      <c r="B3291" s="7" t="str">
        <f aca="false">HYPERLINK("https://twitter.com/nean","@nean")</f>
        <v>@nean</v>
      </c>
      <c r="C3291" s="8" t="s">
        <v>6785</v>
      </c>
      <c r="D3291" s="8" t="s">
        <v>8049</v>
      </c>
      <c r="E3291" s="9" t="str">
        <f aca="false">HYPERLINK("https://twitter.com/nean/status/922131555887104000","922131555887104000")</f>
        <v>922131555887104000</v>
      </c>
      <c r="F3291" s="10" t="s">
        <v>873</v>
      </c>
      <c r="G3291" s="10" t="n">
        <v>3062</v>
      </c>
      <c r="H3291" s="10" t="n">
        <v>3224</v>
      </c>
      <c r="I3291" s="10" t="n">
        <v>0</v>
      </c>
      <c r="J3291" s="10" t="n">
        <v>0</v>
      </c>
      <c r="K3291" s="10" t="s">
        <v>20</v>
      </c>
      <c r="L3291" s="11" t="n">
        <v>39188.6379976852</v>
      </c>
      <c r="M3291" s="13" t="s">
        <v>6787</v>
      </c>
      <c r="N3291" s="12" t="s">
        <v>6788</v>
      </c>
      <c r="O3291" s="9" t="str">
        <f aca="false">HYPERLINK("https://pbs.twimg.com/profile_images/459304022373965825/o8_1ccgo_normal.jpeg","View")</f>
        <v>View</v>
      </c>
      <c r="P3291" s="10"/>
    </row>
    <row r="3292" customFormat="false" ht="15.75" hidden="false" customHeight="false" outlineLevel="0" collapsed="false">
      <c r="A3292" s="6" t="n">
        <v>43030.3783333333</v>
      </c>
      <c r="B3292" s="7" t="str">
        <f aca="false">HYPERLINK("https://twitter.com/hashimoto914","@hashimoto914")</f>
        <v>@hashimoto914</v>
      </c>
      <c r="C3292" s="14" t="s">
        <v>8050</v>
      </c>
      <c r="D3292" s="8" t="s">
        <v>6707</v>
      </c>
      <c r="E3292" s="9" t="str">
        <f aca="false">HYPERLINK("https://twitter.com/hashimoto914/status/922131635541196800","922131635541196800")</f>
        <v>922131635541196800</v>
      </c>
      <c r="F3292" s="10" t="s">
        <v>51</v>
      </c>
      <c r="G3292" s="10" t="n">
        <v>2698</v>
      </c>
      <c r="H3292" s="10" t="n">
        <v>3327</v>
      </c>
      <c r="I3292" s="10" t="n">
        <v>97</v>
      </c>
      <c r="J3292" s="10" t="n">
        <v>0</v>
      </c>
      <c r="K3292" s="10" t="s">
        <v>20</v>
      </c>
      <c r="L3292" s="11" t="n">
        <v>41369.3802430556</v>
      </c>
      <c r="M3292" s="13" t="s">
        <v>160</v>
      </c>
      <c r="N3292" s="13" t="s">
        <v>8051</v>
      </c>
      <c r="O3292" s="9" t="str">
        <f aca="false">HYPERLINK("https://pbs.twimg.com/profile_images/752113030800896000/AogHXcMs_normal.jpg","View")</f>
        <v>View</v>
      </c>
      <c r="P3292" s="10"/>
    </row>
    <row r="3293" customFormat="false" ht="15.75" hidden="false" customHeight="false" outlineLevel="0" collapsed="false">
      <c r="A3293" s="6" t="n">
        <v>43030.3787152778</v>
      </c>
      <c r="B3293" s="7" t="str">
        <f aca="false">HYPERLINK("https://twitter.com/jaswanth627","@jaswanth627")</f>
        <v>@jaswanth627</v>
      </c>
      <c r="C3293" s="8" t="s">
        <v>8052</v>
      </c>
      <c r="D3293" s="8" t="s">
        <v>7350</v>
      </c>
      <c r="E3293" s="9" t="str">
        <f aca="false">HYPERLINK("https://twitter.com/jaswanth627/status/922131772594253830","922131772594253830")</f>
        <v>922131772594253830</v>
      </c>
      <c r="F3293" s="10" t="s">
        <v>98</v>
      </c>
      <c r="G3293" s="10" t="n">
        <v>145</v>
      </c>
      <c r="H3293" s="10" t="n">
        <v>310</v>
      </c>
      <c r="I3293" s="10" t="n">
        <v>62</v>
      </c>
      <c r="J3293" s="10" t="n">
        <v>0</v>
      </c>
      <c r="K3293" s="10" t="s">
        <v>20</v>
      </c>
      <c r="L3293" s="11" t="n">
        <v>41115.2004050926</v>
      </c>
      <c r="M3293" s="12"/>
      <c r="N3293" s="12" t="s">
        <v>8053</v>
      </c>
      <c r="O3293" s="9" t="str">
        <f aca="false">HYPERLINK("https://pbs.twimg.com/profile_images/901996544731242496/RWQvWK5G_normal.jpg","View")</f>
        <v>View</v>
      </c>
      <c r="P3293" s="10"/>
    </row>
    <row r="3294" customFormat="false" ht="15.75" hidden="false" customHeight="false" outlineLevel="0" collapsed="false">
      <c r="A3294" s="6" t="n">
        <v>43030.3787962963</v>
      </c>
      <c r="B3294" s="7" t="str">
        <f aca="false">HYPERLINK("https://twitter.com/baibhav202006","@baibhav202006")</f>
        <v>@baibhav202006</v>
      </c>
      <c r="C3294" s="8" t="s">
        <v>8054</v>
      </c>
      <c r="D3294" s="8" t="s">
        <v>7350</v>
      </c>
      <c r="E3294" s="9" t="str">
        <f aca="false">HYPERLINK("https://twitter.com/baibhav202006/status/922131802088660994","922131802088660994")</f>
        <v>922131802088660994</v>
      </c>
      <c r="F3294" s="10" t="s">
        <v>51</v>
      </c>
      <c r="G3294" s="10" t="n">
        <v>406</v>
      </c>
      <c r="H3294" s="10" t="n">
        <v>1467</v>
      </c>
      <c r="I3294" s="10" t="n">
        <v>62</v>
      </c>
      <c r="J3294" s="10" t="n">
        <v>0</v>
      </c>
      <c r="K3294" s="10" t="s">
        <v>20</v>
      </c>
      <c r="L3294" s="11" t="n">
        <v>41659.3972800926</v>
      </c>
      <c r="M3294" s="12" t="s">
        <v>857</v>
      </c>
      <c r="N3294" s="12" t="s">
        <v>8055</v>
      </c>
      <c r="O3294" s="9" t="str">
        <f aca="false">HYPERLINK("https://pbs.twimg.com/profile_images/921947253434064896/RrdB3GV7_normal.jpg","View")</f>
        <v>View</v>
      </c>
      <c r="P3294" s="10"/>
    </row>
    <row r="3295" customFormat="false" ht="15.75" hidden="false" customHeight="false" outlineLevel="0" collapsed="false">
      <c r="A3295" s="6" t="n">
        <v>43030.378900463</v>
      </c>
      <c r="B3295" s="7" t="str">
        <f aca="false">HYPERLINK("https://twitter.com/Luma_229","@Luma_229")</f>
        <v>@Luma_229</v>
      </c>
      <c r="C3295" s="8" t="s">
        <v>8056</v>
      </c>
      <c r="D3295" s="8" t="s">
        <v>6731</v>
      </c>
      <c r="E3295" s="9" t="str">
        <f aca="false">HYPERLINK("https://twitter.com/Luma_229/status/922131837664755712","922131837664755712")</f>
        <v>922131837664755712</v>
      </c>
      <c r="F3295" s="10" t="s">
        <v>51</v>
      </c>
      <c r="G3295" s="10" t="n">
        <v>12</v>
      </c>
      <c r="H3295" s="10" t="n">
        <v>38</v>
      </c>
      <c r="I3295" s="10" t="n">
        <v>13</v>
      </c>
      <c r="J3295" s="10" t="n">
        <v>0</v>
      </c>
      <c r="K3295" s="10" t="s">
        <v>20</v>
      </c>
      <c r="L3295" s="11" t="n">
        <v>42055.147025463</v>
      </c>
      <c r="M3295" s="12" t="s">
        <v>8057</v>
      </c>
      <c r="N3295" s="12" t="s">
        <v>8058</v>
      </c>
      <c r="O3295" s="9" t="str">
        <f aca="false">HYPERLINK("https://pbs.twimg.com/profile_images/866706293758754816/aF-XzQqx_normal.jpg","View")</f>
        <v>View</v>
      </c>
      <c r="P3295" s="10"/>
    </row>
    <row r="3296" customFormat="false" ht="15.75" hidden="false" customHeight="false" outlineLevel="0" collapsed="false">
      <c r="A3296" s="6" t="n">
        <v>43030.378900463</v>
      </c>
      <c r="B3296" s="7" t="str">
        <f aca="false">HYPERLINK("https://twitter.com/mhewson_CMC","@mhewson_CMC")</f>
        <v>@mhewson_CMC</v>
      </c>
      <c r="C3296" s="8" t="s">
        <v>8059</v>
      </c>
      <c r="D3296" s="8" t="s">
        <v>8060</v>
      </c>
      <c r="E3296" s="9" t="str">
        <f aca="false">HYPERLINK("https://twitter.com/mhewson_CMC/status/922131838642085889","922131838642085889")</f>
        <v>922131838642085889</v>
      </c>
      <c r="F3296" s="10" t="s">
        <v>39</v>
      </c>
      <c r="G3296" s="10" t="n">
        <v>19800</v>
      </c>
      <c r="H3296" s="10" t="n">
        <v>420</v>
      </c>
      <c r="I3296" s="10" t="n">
        <v>2</v>
      </c>
      <c r="J3296" s="10" t="n">
        <v>2</v>
      </c>
      <c r="K3296" s="10" t="s">
        <v>20</v>
      </c>
      <c r="L3296" s="11" t="n">
        <v>39862.0915277778</v>
      </c>
      <c r="M3296" s="12" t="s">
        <v>8061</v>
      </c>
      <c r="N3296" s="12" t="s">
        <v>8062</v>
      </c>
      <c r="O3296" s="9" t="str">
        <f aca="false">HYPERLINK("https://pbs.twimg.com/profile_images/3119885900/058a61b28aaf351a1870ac07155fd000_normal.jpeg","View")</f>
        <v>View</v>
      </c>
      <c r="P3296" s="10"/>
    </row>
    <row r="3297" customFormat="false" ht="15.75" hidden="false" customHeight="false" outlineLevel="0" collapsed="false">
      <c r="A3297" s="6" t="n">
        <v>43030.3790856482</v>
      </c>
      <c r="B3297" s="7" t="str">
        <f aca="false">HYPERLINK("https://twitter.com/sakura_HONDA613","@sakura_HONDA613")</f>
        <v>@sakura_HONDA613</v>
      </c>
      <c r="C3297" s="14" t="s">
        <v>8063</v>
      </c>
      <c r="D3297" s="8" t="s">
        <v>6707</v>
      </c>
      <c r="E3297" s="9" t="str">
        <f aca="false">HYPERLINK("https://twitter.com/sakura_HONDA613/status/922131906996473856","922131906996473856")</f>
        <v>922131906996473856</v>
      </c>
      <c r="F3297" s="10" t="s">
        <v>25</v>
      </c>
      <c r="G3297" s="10" t="n">
        <v>2178</v>
      </c>
      <c r="H3297" s="10" t="n">
        <v>2062</v>
      </c>
      <c r="I3297" s="10" t="n">
        <v>97</v>
      </c>
      <c r="J3297" s="10" t="n">
        <v>0</v>
      </c>
      <c r="K3297" s="10" t="s">
        <v>20</v>
      </c>
      <c r="L3297" s="11" t="n">
        <v>41162.2816550926</v>
      </c>
      <c r="M3297" s="13" t="s">
        <v>8064</v>
      </c>
      <c r="N3297" s="13" t="s">
        <v>8065</v>
      </c>
      <c r="O3297" s="9" t="str">
        <f aca="false">HYPERLINK("https://pbs.twimg.com/profile_images/754883877097787392/Y_C7r3bh_normal.jpg","View")</f>
        <v>View</v>
      </c>
      <c r="P3297" s="10"/>
    </row>
    <row r="3298" customFormat="false" ht="15.75" hidden="false" customHeight="false" outlineLevel="0" collapsed="false">
      <c r="A3298" s="6" t="n">
        <v>43030.3791435185</v>
      </c>
      <c r="B3298" s="7" t="str">
        <f aca="false">HYPERLINK("https://twitter.com/jeffoherman","@jeffoherman")</f>
        <v>@jeffoherman</v>
      </c>
      <c r="C3298" s="8" t="s">
        <v>8066</v>
      </c>
      <c r="D3298" s="8" t="s">
        <v>7627</v>
      </c>
      <c r="E3298" s="9" t="str">
        <f aca="false">HYPERLINK("https://twitter.com/jeffoherman/status/922131925631995904","922131925631995904")</f>
        <v>922131925631995904</v>
      </c>
      <c r="F3298" s="10" t="s">
        <v>39</v>
      </c>
      <c r="G3298" s="10" t="n">
        <v>1331</v>
      </c>
      <c r="H3298" s="10" t="n">
        <v>1295</v>
      </c>
      <c r="I3298" s="10" t="n">
        <v>20</v>
      </c>
      <c r="J3298" s="10" t="n">
        <v>0</v>
      </c>
      <c r="K3298" s="10" t="s">
        <v>20</v>
      </c>
      <c r="L3298" s="11" t="n">
        <v>39870.5737847222</v>
      </c>
      <c r="M3298" s="12" t="s">
        <v>8067</v>
      </c>
      <c r="N3298" s="12" t="s">
        <v>8068</v>
      </c>
      <c r="O3298" s="9" t="str">
        <f aca="false">HYPERLINK("https://pbs.twimg.com/profile_images/782243972898959360/guXRm2Xv_normal.jpg","View")</f>
        <v>View</v>
      </c>
      <c r="P3298" s="10"/>
    </row>
    <row r="3299" customFormat="false" ht="15.75" hidden="false" customHeight="false" outlineLevel="0" collapsed="false">
      <c r="A3299" s="6" t="n">
        <v>43030.3791782407</v>
      </c>
      <c r="B3299" s="7" t="str">
        <f aca="false">HYPERLINK("https://twitter.com/sikkha","@sikkha")</f>
        <v>@sikkha</v>
      </c>
      <c r="C3299" s="8" t="s">
        <v>8069</v>
      </c>
      <c r="D3299" s="8" t="s">
        <v>7515</v>
      </c>
      <c r="E3299" s="9" t="str">
        <f aca="false">HYPERLINK("https://twitter.com/sikkha/status/922131941565988864","922131941565988864")</f>
        <v>922131941565988864</v>
      </c>
      <c r="F3299" s="10" t="s">
        <v>8070</v>
      </c>
      <c r="G3299" s="10" t="n">
        <v>1810</v>
      </c>
      <c r="H3299" s="10" t="n">
        <v>2180</v>
      </c>
      <c r="I3299" s="10" t="n">
        <v>25</v>
      </c>
      <c r="J3299" s="10" t="n">
        <v>0</v>
      </c>
      <c r="K3299" s="10" t="s">
        <v>20</v>
      </c>
      <c r="L3299" s="11" t="n">
        <v>39402.9743981481</v>
      </c>
      <c r="M3299" s="12" t="s">
        <v>4557</v>
      </c>
      <c r="N3299" s="12" t="s">
        <v>8071</v>
      </c>
      <c r="O3299" s="9" t="str">
        <f aca="false">HYPERLINK("https://pbs.twimg.com/profile_images/809773080260198400/bD7ubyWV_normal.jpg","View")</f>
        <v>View</v>
      </c>
      <c r="P3299" s="10"/>
    </row>
    <row r="3300" customFormat="false" ht="15.75" hidden="false" customHeight="false" outlineLevel="0" collapsed="false">
      <c r="A3300" s="6" t="n">
        <v>43030.3793402778</v>
      </c>
      <c r="B3300" s="7" t="str">
        <f aca="false">HYPERLINK("https://twitter.com/phroex","@phroex")</f>
        <v>@phroex</v>
      </c>
      <c r="C3300" s="8" t="s">
        <v>8072</v>
      </c>
      <c r="D3300" s="8" t="s">
        <v>8073</v>
      </c>
      <c r="E3300" s="9" t="str">
        <f aca="false">HYPERLINK("https://twitter.com/phroex/status/922131998990323712","922131998990323712")</f>
        <v>922131998990323712</v>
      </c>
      <c r="F3300" s="10" t="s">
        <v>1017</v>
      </c>
      <c r="G3300" s="10" t="n">
        <v>2389</v>
      </c>
      <c r="H3300" s="10" t="n">
        <v>2671</v>
      </c>
      <c r="I3300" s="10" t="n">
        <v>2</v>
      </c>
      <c r="J3300" s="10" t="n">
        <v>0</v>
      </c>
      <c r="K3300" s="10" t="s">
        <v>20</v>
      </c>
      <c r="L3300" s="11" t="n">
        <v>40890.9092013889</v>
      </c>
      <c r="M3300" s="12"/>
      <c r="N3300" s="12" t="s">
        <v>8074</v>
      </c>
      <c r="O3300" s="9" t="str">
        <f aca="false">HYPERLINK("https://pbs.twimg.com/profile_images/3730533403/e6edf443bab744bd2ae084e681e4c68d_normal.jpeg","View")</f>
        <v>View</v>
      </c>
      <c r="P3300" s="10"/>
    </row>
    <row r="3301" customFormat="false" ht="15.75" hidden="false" customHeight="false" outlineLevel="0" collapsed="false">
      <c r="A3301" s="6" t="n">
        <v>43030.3794097222</v>
      </c>
      <c r="B3301" s="7" t="str">
        <f aca="false">HYPERLINK("https://twitter.com/minorivaio","@minorivaio")</f>
        <v>@minorivaio</v>
      </c>
      <c r="C3301" s="14" t="s">
        <v>8075</v>
      </c>
      <c r="D3301" s="8" t="s">
        <v>6707</v>
      </c>
      <c r="E3301" s="9" t="str">
        <f aca="false">HYPERLINK("https://twitter.com/minorivaio/status/922132024122515456","922132024122515456")</f>
        <v>922132024122515456</v>
      </c>
      <c r="F3301" s="10" t="s">
        <v>39</v>
      </c>
      <c r="G3301" s="10" t="n">
        <v>591</v>
      </c>
      <c r="H3301" s="10" t="n">
        <v>1054</v>
      </c>
      <c r="I3301" s="10" t="n">
        <v>97</v>
      </c>
      <c r="J3301" s="10" t="n">
        <v>0</v>
      </c>
      <c r="K3301" s="10" t="s">
        <v>20</v>
      </c>
      <c r="L3301" s="11" t="n">
        <v>42174.0990625</v>
      </c>
      <c r="M3301" s="12"/>
      <c r="N3301" s="13" t="s">
        <v>8076</v>
      </c>
      <c r="O3301" s="9" t="str">
        <f aca="false">HYPERLINK("https://pbs.twimg.com/profile_images/611829867252858881/_5FvrxWf_normal.jpg","View")</f>
        <v>View</v>
      </c>
      <c r="P3301" s="10"/>
    </row>
    <row r="3302" customFormat="false" ht="15.75" hidden="false" customHeight="false" outlineLevel="0" collapsed="false">
      <c r="A3302" s="6" t="n">
        <v>43030.3795138889</v>
      </c>
      <c r="B3302" s="7" t="str">
        <f aca="false">HYPERLINK("https://twitter.com/RaghuVamshee","@RaghuVamshee")</f>
        <v>@RaghuVamshee</v>
      </c>
      <c r="C3302" s="8" t="s">
        <v>8077</v>
      </c>
      <c r="D3302" s="8" t="s">
        <v>6558</v>
      </c>
      <c r="E3302" s="9" t="str">
        <f aca="false">HYPERLINK("https://twitter.com/RaghuVamshee/status/922132063221727234","922132063221727234")</f>
        <v>922132063221727234</v>
      </c>
      <c r="F3302" s="10" t="s">
        <v>51</v>
      </c>
      <c r="G3302" s="10" t="n">
        <v>132</v>
      </c>
      <c r="H3302" s="10" t="n">
        <v>182</v>
      </c>
      <c r="I3302" s="10" t="n">
        <v>65</v>
      </c>
      <c r="J3302" s="10" t="n">
        <v>0</v>
      </c>
      <c r="K3302" s="10" t="s">
        <v>20</v>
      </c>
      <c r="L3302" s="11" t="n">
        <v>40261.1635763889</v>
      </c>
      <c r="M3302" s="12" t="s">
        <v>868</v>
      </c>
      <c r="N3302" s="12" t="s">
        <v>8078</v>
      </c>
      <c r="O3302" s="9" t="str">
        <f aca="false">HYPERLINK("https://pbs.twimg.com/profile_images/462285084746186753/uoHBJ_wo_normal.jpeg","View")</f>
        <v>View</v>
      </c>
      <c r="P3302" s="10"/>
    </row>
    <row r="3303" customFormat="false" ht="15.75" hidden="false" customHeight="false" outlineLevel="0" collapsed="false">
      <c r="A3303" s="6" t="n">
        <v>43030.3798842593</v>
      </c>
      <c r="B3303" s="7" t="str">
        <f aca="false">HYPERLINK("https://twitter.com/Soulchild57","@Soulchild57")</f>
        <v>@Soulchild57</v>
      </c>
      <c r="C3303" s="8" t="s">
        <v>8079</v>
      </c>
      <c r="D3303" s="8" t="s">
        <v>7730</v>
      </c>
      <c r="E3303" s="9" t="str">
        <f aca="false">HYPERLINK("https://twitter.com/Soulchild57/status/922132195359195137","922132195359195137")</f>
        <v>922132195359195137</v>
      </c>
      <c r="F3303" s="10" t="s">
        <v>25</v>
      </c>
      <c r="G3303" s="10" t="n">
        <v>40</v>
      </c>
      <c r="H3303" s="10" t="n">
        <v>932</v>
      </c>
      <c r="I3303" s="10" t="n">
        <v>5</v>
      </c>
      <c r="J3303" s="10" t="n">
        <v>0</v>
      </c>
      <c r="K3303" s="10" t="s">
        <v>20</v>
      </c>
      <c r="L3303" s="11" t="n">
        <v>41740.7469328704</v>
      </c>
      <c r="M3303" s="12" t="s">
        <v>8080</v>
      </c>
      <c r="N3303" s="12"/>
      <c r="O3303" s="9" t="str">
        <f aca="false">HYPERLINK("https://pbs.twimg.com/profile_images/749737234065129472/uDahIqtL_normal.jpg","View")</f>
        <v>View</v>
      </c>
      <c r="P3303" s="10"/>
    </row>
    <row r="3304" customFormat="false" ht="15.75" hidden="false" customHeight="false" outlineLevel="0" collapsed="false">
      <c r="A3304" s="6" t="n">
        <v>43030.3799421296</v>
      </c>
      <c r="B3304" s="7" t="str">
        <f aca="false">HYPERLINK("https://twitter.com/gp_theelixir","@gp_theelixir")</f>
        <v>@gp_theelixir</v>
      </c>
      <c r="C3304" s="8" t="s">
        <v>8081</v>
      </c>
      <c r="D3304" s="8" t="s">
        <v>7905</v>
      </c>
      <c r="E3304" s="9" t="str">
        <f aca="false">HYPERLINK("https://twitter.com/gp_theelixir/status/922132217991696386","922132217991696386")</f>
        <v>922132217991696386</v>
      </c>
      <c r="F3304" s="10" t="s">
        <v>25</v>
      </c>
      <c r="G3304" s="10" t="n">
        <v>176</v>
      </c>
      <c r="H3304" s="10" t="n">
        <v>152</v>
      </c>
      <c r="I3304" s="10" t="n">
        <v>38</v>
      </c>
      <c r="J3304" s="10" t="n">
        <v>0</v>
      </c>
      <c r="K3304" s="10" t="s">
        <v>20</v>
      </c>
      <c r="L3304" s="11" t="n">
        <v>40102.2720717593</v>
      </c>
      <c r="M3304" s="12" t="s">
        <v>7908</v>
      </c>
      <c r="N3304" s="12"/>
      <c r="O3304" s="9" t="str">
        <f aca="false">HYPERLINK("https://pbs.twimg.com/profile_images/474588070/Image003_normal.jpg","View")</f>
        <v>View</v>
      </c>
      <c r="P3304" s="10"/>
    </row>
    <row r="3305" customFormat="false" ht="15.75" hidden="false" customHeight="false" outlineLevel="0" collapsed="false">
      <c r="A3305" s="6" t="n">
        <v>43030.3799884259</v>
      </c>
      <c r="B3305" s="7" t="str">
        <f aca="false">HYPERLINK("https://twitter.com/rachitst","@rachitst")</f>
        <v>@rachitst</v>
      </c>
      <c r="C3305" s="8" t="s">
        <v>6903</v>
      </c>
      <c r="D3305" s="8" t="s">
        <v>7905</v>
      </c>
      <c r="E3305" s="9" t="str">
        <f aca="false">HYPERLINK("https://twitter.com/rachitst/status/922132234009690113","922132234009690113")</f>
        <v>922132234009690113</v>
      </c>
      <c r="F3305" s="10" t="s">
        <v>25</v>
      </c>
      <c r="G3305" s="10" t="n">
        <v>660</v>
      </c>
      <c r="H3305" s="10" t="n">
        <v>632</v>
      </c>
      <c r="I3305" s="10" t="n">
        <v>38</v>
      </c>
      <c r="J3305" s="10" t="n">
        <v>0</v>
      </c>
      <c r="K3305" s="10" t="s">
        <v>20</v>
      </c>
      <c r="L3305" s="11" t="n">
        <v>40299.0678935185</v>
      </c>
      <c r="M3305" s="12" t="s">
        <v>6904</v>
      </c>
      <c r="N3305" s="12" t="s">
        <v>6905</v>
      </c>
      <c r="O3305" s="9" t="str">
        <f aca="false">HYPERLINK("https://pbs.twimg.com/profile_images/899730048927776768/WCMpLkcW_normal.jpg","View")</f>
        <v>View</v>
      </c>
      <c r="P3305" s="10"/>
    </row>
    <row r="3306" customFormat="false" ht="15.75" hidden="false" customHeight="false" outlineLevel="0" collapsed="false">
      <c r="A3306" s="6" t="n">
        <v>43030.3803356482</v>
      </c>
      <c r="B3306" s="7" t="str">
        <f aca="false">HYPERLINK("https://twitter.com/khanxas","@khanxas")</f>
        <v>@khanxas</v>
      </c>
      <c r="C3306" s="8" t="s">
        <v>8082</v>
      </c>
      <c r="D3306" s="8" t="s">
        <v>7627</v>
      </c>
      <c r="E3306" s="9" t="str">
        <f aca="false">HYPERLINK("https://twitter.com/khanxas/status/922132358194753536","922132358194753536")</f>
        <v>922132358194753536</v>
      </c>
      <c r="F3306" s="10" t="s">
        <v>51</v>
      </c>
      <c r="G3306" s="10" t="n">
        <v>346</v>
      </c>
      <c r="H3306" s="10" t="n">
        <v>813</v>
      </c>
      <c r="I3306" s="10" t="n">
        <v>20</v>
      </c>
      <c r="J3306" s="10" t="n">
        <v>0</v>
      </c>
      <c r="K3306" s="10" t="s">
        <v>20</v>
      </c>
      <c r="L3306" s="11" t="n">
        <v>40571.4597222222</v>
      </c>
      <c r="M3306" s="12" t="s">
        <v>1319</v>
      </c>
      <c r="N3306" s="12" t="s">
        <v>8083</v>
      </c>
      <c r="O3306" s="9" t="str">
        <f aca="false">HYPERLINK("https://pbs.twimg.com/profile_images/606978339052617728/UIWIcK8q_normal.jpg","View")</f>
        <v>View</v>
      </c>
      <c r="P3306" s="10"/>
    </row>
    <row r="3307" customFormat="false" ht="15.75" hidden="false" customHeight="false" outlineLevel="0" collapsed="false">
      <c r="A3307" s="6" t="n">
        <v>43030.3808449074</v>
      </c>
      <c r="B3307" s="7" t="str">
        <f aca="false">HYPERLINK("https://twitter.com/VagnerBrito4","@VagnerBrito4")</f>
        <v>@VagnerBrito4</v>
      </c>
      <c r="C3307" s="8" t="s">
        <v>8084</v>
      </c>
      <c r="D3307" s="8" t="s">
        <v>8085</v>
      </c>
      <c r="E3307" s="9" t="str">
        <f aca="false">HYPERLINK("https://twitter.com/VagnerBrito4/status/922132543754862593","922132543754862593")</f>
        <v>922132543754862593</v>
      </c>
      <c r="F3307" s="10" t="s">
        <v>39</v>
      </c>
      <c r="G3307" s="10" t="n">
        <v>1141</v>
      </c>
      <c r="H3307" s="10" t="n">
        <v>695</v>
      </c>
      <c r="I3307" s="10" t="n">
        <v>0</v>
      </c>
      <c r="J3307" s="10" t="n">
        <v>0</v>
      </c>
      <c r="K3307" s="10" t="s">
        <v>20</v>
      </c>
      <c r="L3307" s="11" t="n">
        <v>41392.4449305556</v>
      </c>
      <c r="M3307" s="12" t="s">
        <v>423</v>
      </c>
      <c r="N3307" s="12" t="s">
        <v>8086</v>
      </c>
      <c r="O3307" s="9" t="str">
        <f aca="false">HYPERLINK("https://pbs.twimg.com/profile_images/3587009650/6743996d09853f27b97913501fa732aa_normal.png","View")</f>
        <v>View</v>
      </c>
      <c r="P3307" s="10"/>
    </row>
    <row r="3308" customFormat="false" ht="15.75" hidden="false" customHeight="false" outlineLevel="0" collapsed="false">
      <c r="A3308" s="6" t="n">
        <v>43030.3809259259</v>
      </c>
      <c r="B3308" s="7" t="str">
        <f aca="false">HYPERLINK("https://twitter.com/HumansRights2","@HumansRights2")</f>
        <v>@HumansRights2</v>
      </c>
      <c r="C3308" s="8" t="s">
        <v>8087</v>
      </c>
      <c r="D3308" s="8" t="s">
        <v>8088</v>
      </c>
      <c r="E3308" s="9" t="str">
        <f aca="false">HYPERLINK("https://twitter.com/HumansRights2/status/922132574499155969","922132574499155969")</f>
        <v>922132574499155969</v>
      </c>
      <c r="F3308" s="9" t="s">
        <v>2138</v>
      </c>
      <c r="G3308" s="10" t="n">
        <v>271</v>
      </c>
      <c r="H3308" s="10" t="n">
        <v>347</v>
      </c>
      <c r="I3308" s="10" t="n">
        <v>0</v>
      </c>
      <c r="J3308" s="10" t="n">
        <v>0</v>
      </c>
      <c r="K3308" s="10" t="s">
        <v>20</v>
      </c>
      <c r="L3308" s="11" t="n">
        <v>42214.2959606482</v>
      </c>
      <c r="M3308" s="12"/>
      <c r="N3308" s="12" t="s">
        <v>8089</v>
      </c>
      <c r="O3308" s="9" t="str">
        <f aca="false">HYPERLINK("https://pbs.twimg.com/profile_images/626393520387944453/2k9R7e-c_normal.jpg","View")</f>
        <v>View</v>
      </c>
      <c r="P3308" s="10"/>
    </row>
    <row r="3309" customFormat="false" ht="15.75" hidden="false" customHeight="false" outlineLevel="0" collapsed="false">
      <c r="A3309" s="6" t="n">
        <v>43030.3809490741</v>
      </c>
      <c r="B3309" s="7" t="str">
        <f aca="false">HYPERLINK("https://twitter.com/choco21945096","@choco21945096")</f>
        <v>@choco21945096</v>
      </c>
      <c r="C3309" s="8" t="s">
        <v>8090</v>
      </c>
      <c r="D3309" s="8" t="s">
        <v>7803</v>
      </c>
      <c r="E3309" s="9" t="str">
        <f aca="false">HYPERLINK("https://twitter.com/choco21945096/status/922132582740893696","922132582740893696")</f>
        <v>922132582740893696</v>
      </c>
      <c r="F3309" s="10" t="s">
        <v>51</v>
      </c>
      <c r="G3309" s="10" t="n">
        <v>72</v>
      </c>
      <c r="H3309" s="10" t="n">
        <v>148</v>
      </c>
      <c r="I3309" s="10" t="n">
        <v>30</v>
      </c>
      <c r="J3309" s="10" t="n">
        <v>0</v>
      </c>
      <c r="K3309" s="10" t="s">
        <v>20</v>
      </c>
      <c r="L3309" s="11" t="n">
        <v>42459.3564351852</v>
      </c>
      <c r="M3309" s="13" t="s">
        <v>8091</v>
      </c>
      <c r="N3309" s="13" t="s">
        <v>8092</v>
      </c>
      <c r="O3309" s="9" t="str">
        <f aca="false">HYPERLINK("https://pbs.twimg.com/profile_images/754212408176971776/GNZN6Dn2_normal.jpg","View")</f>
        <v>View</v>
      </c>
      <c r="P3309" s="10"/>
    </row>
    <row r="3310" customFormat="false" ht="15.75" hidden="false" customHeight="false" outlineLevel="0" collapsed="false">
      <c r="A3310" s="6" t="n">
        <v>43030.381099537</v>
      </c>
      <c r="B3310" s="7" t="str">
        <f aca="false">HYPERLINK("https://twitter.com/6Blood0runner0","@6Blood0runner0")</f>
        <v>@6Blood0runner0</v>
      </c>
      <c r="C3310" s="8" t="s">
        <v>8093</v>
      </c>
      <c r="D3310" s="8" t="s">
        <v>7730</v>
      </c>
      <c r="E3310" s="9" t="str">
        <f aca="false">HYPERLINK("https://twitter.com/6Blood0runner0/status/922132637686177794","922132637686177794")</f>
        <v>922132637686177794</v>
      </c>
      <c r="F3310" s="10" t="s">
        <v>25</v>
      </c>
      <c r="G3310" s="10" t="n">
        <v>40</v>
      </c>
      <c r="H3310" s="10" t="n">
        <v>1701</v>
      </c>
      <c r="I3310" s="10" t="n">
        <v>5</v>
      </c>
      <c r="J3310" s="10" t="n">
        <v>0</v>
      </c>
      <c r="K3310" s="10" t="s">
        <v>20</v>
      </c>
      <c r="L3310" s="11" t="n">
        <v>41724.1131828704</v>
      </c>
      <c r="M3310" s="12" t="s">
        <v>8094</v>
      </c>
      <c r="N3310" s="12" t="s">
        <v>8095</v>
      </c>
      <c r="O3310" s="9" t="str">
        <f aca="false">HYPERLINK("https://pbs.twimg.com/profile_images/750415731146141696/jkyBP6Em_normal.jpg","View")</f>
        <v>View</v>
      </c>
      <c r="P3310" s="10"/>
    </row>
    <row r="3311" customFormat="false" ht="15.75" hidden="false" customHeight="false" outlineLevel="0" collapsed="false">
      <c r="A3311" s="6" t="n">
        <v>43030.3812615741</v>
      </c>
      <c r="B3311" s="7" t="str">
        <f aca="false">HYPERLINK("https://twitter.com/shonna_unique","@shonna_unique")</f>
        <v>@shonna_unique</v>
      </c>
      <c r="C3311" s="8" t="s">
        <v>8096</v>
      </c>
      <c r="D3311" s="8" t="s">
        <v>8097</v>
      </c>
      <c r="E3311" s="9" t="str">
        <f aca="false">HYPERLINK("https://twitter.com/shonna_unique/status/922132696238870528","922132696238870528")</f>
        <v>922132696238870528</v>
      </c>
      <c r="F3311" s="10" t="s">
        <v>51</v>
      </c>
      <c r="G3311" s="10" t="n">
        <v>410</v>
      </c>
      <c r="H3311" s="10" t="n">
        <v>1625</v>
      </c>
      <c r="I3311" s="10" t="n">
        <v>0</v>
      </c>
      <c r="J3311" s="10" t="n">
        <v>0</v>
      </c>
      <c r="K3311" s="10" t="s">
        <v>20</v>
      </c>
      <c r="L3311" s="11" t="n">
        <v>41064.7617476852</v>
      </c>
      <c r="M3311" s="12" t="s">
        <v>8098</v>
      </c>
      <c r="N3311" s="12" t="s">
        <v>8099</v>
      </c>
      <c r="O3311" s="9" t="str">
        <f aca="false">HYPERLINK("https://pbs.twimg.com/profile_images/740329783825948673/fryxetPL_normal.jpg","View")</f>
        <v>View</v>
      </c>
      <c r="P3311" s="10"/>
    </row>
    <row r="3312" customFormat="false" ht="15.75" hidden="false" customHeight="false" outlineLevel="0" collapsed="false">
      <c r="A3312" s="6" t="n">
        <v>43030.3813773148</v>
      </c>
      <c r="B3312" s="7" t="str">
        <f aca="false">HYPERLINK("https://twitter.com/aliferonatt","@aliferonatt")</f>
        <v>@aliferonatt</v>
      </c>
      <c r="C3312" s="8" t="s">
        <v>8100</v>
      </c>
      <c r="D3312" s="8" t="s">
        <v>8101</v>
      </c>
      <c r="E3312" s="9" t="str">
        <f aca="false">HYPERLINK("https://twitter.com/aliferonatt/status/922132735396782080","922132735396782080")</f>
        <v>922132735396782080</v>
      </c>
      <c r="F3312" s="9" t="s">
        <v>1147</v>
      </c>
      <c r="G3312" s="10" t="n">
        <v>937</v>
      </c>
      <c r="H3312" s="10" t="n">
        <v>1667</v>
      </c>
      <c r="I3312" s="10" t="n">
        <v>0</v>
      </c>
      <c r="J3312" s="10" t="n">
        <v>0</v>
      </c>
      <c r="K3312" s="10" t="s">
        <v>20</v>
      </c>
      <c r="L3312" s="11" t="n">
        <v>42801.1295023148</v>
      </c>
      <c r="M3312" s="12" t="s">
        <v>8102</v>
      </c>
      <c r="N3312" s="12"/>
      <c r="O3312" s="9" t="str">
        <f aca="false">HYPERLINK("https://pbs.twimg.com/profile_images/839102123929370625/IICgqsdc_normal.jpg","View")</f>
        <v>View</v>
      </c>
      <c r="P3312" s="10"/>
    </row>
    <row r="3313" customFormat="false" ht="15.75" hidden="false" customHeight="false" outlineLevel="0" collapsed="false">
      <c r="A3313" s="6" t="n">
        <v>43030.3813773148</v>
      </c>
      <c r="B3313" s="7" t="str">
        <f aca="false">HYPERLINK("https://twitter.com/anu20k","@anu20k")</f>
        <v>@anu20k</v>
      </c>
      <c r="C3313" s="8" t="s">
        <v>8103</v>
      </c>
      <c r="D3313" s="8" t="s">
        <v>6558</v>
      </c>
      <c r="E3313" s="9" t="str">
        <f aca="false">HYPERLINK("https://twitter.com/anu20k/status/922132735656845312","922132735656845312")</f>
        <v>922132735656845312</v>
      </c>
      <c r="F3313" s="10" t="s">
        <v>51</v>
      </c>
      <c r="G3313" s="10" t="n">
        <v>336</v>
      </c>
      <c r="H3313" s="10" t="n">
        <v>873</v>
      </c>
      <c r="I3313" s="10" t="n">
        <v>65</v>
      </c>
      <c r="J3313" s="10" t="n">
        <v>0</v>
      </c>
      <c r="K3313" s="10" t="s">
        <v>20</v>
      </c>
      <c r="L3313" s="11" t="n">
        <v>40606.267974537</v>
      </c>
      <c r="M3313" s="12" t="s">
        <v>8104</v>
      </c>
      <c r="N3313" s="12"/>
      <c r="O3313" s="9" t="str">
        <f aca="false">HYPERLINK("https://pbs.twimg.com/profile_images/857234031498452992/Y0cRrW6C_normal.jpg","View")</f>
        <v>View</v>
      </c>
      <c r="P3313" s="10"/>
    </row>
    <row r="3314" customFormat="false" ht="15.75" hidden="false" customHeight="false" outlineLevel="0" collapsed="false">
      <c r="A3314" s="6" t="n">
        <v>43030.381712963</v>
      </c>
      <c r="B3314" s="7" t="str">
        <f aca="false">HYPERLINK("https://twitter.com/mpopat","@mpopat")</f>
        <v>@mpopat</v>
      </c>
      <c r="C3314" s="8" t="s">
        <v>8105</v>
      </c>
      <c r="D3314" s="8" t="s">
        <v>7905</v>
      </c>
      <c r="E3314" s="9" t="str">
        <f aca="false">HYPERLINK("https://twitter.com/mpopat/status/922132858944270339","922132858944270339")</f>
        <v>922132858944270339</v>
      </c>
      <c r="F3314" s="10" t="s">
        <v>177</v>
      </c>
      <c r="G3314" s="10" t="n">
        <v>1507</v>
      </c>
      <c r="H3314" s="10" t="n">
        <v>703</v>
      </c>
      <c r="I3314" s="10" t="n">
        <v>38</v>
      </c>
      <c r="J3314" s="10" t="n">
        <v>0</v>
      </c>
      <c r="K3314" s="10" t="s">
        <v>20</v>
      </c>
      <c r="L3314" s="11" t="n">
        <v>39843.5921875</v>
      </c>
      <c r="M3314" s="12" t="s">
        <v>8106</v>
      </c>
      <c r="N3314" s="12" t="s">
        <v>8107</v>
      </c>
      <c r="O3314" s="9" t="str">
        <f aca="false">HYPERLINK("https://pbs.twimg.com/profile_images/657321025974239232/6lrOA3db_normal.jpg","View")</f>
        <v>View</v>
      </c>
      <c r="P3314" s="10"/>
    </row>
    <row r="3315" customFormat="false" ht="15.75" hidden="false" customHeight="false" outlineLevel="0" collapsed="false">
      <c r="A3315" s="6" t="n">
        <v>43030.3818865741</v>
      </c>
      <c r="B3315" s="7" t="str">
        <f aca="false">HYPERLINK("https://twitter.com/alfacruz3","@alfacruz3")</f>
        <v>@alfacruz3</v>
      </c>
      <c r="C3315" s="8" t="s">
        <v>8108</v>
      </c>
      <c r="D3315" s="8" t="s">
        <v>6945</v>
      </c>
      <c r="E3315" s="9" t="str">
        <f aca="false">HYPERLINK("https://twitter.com/alfacruz3/status/922132920701251585","922132920701251585")</f>
        <v>922132920701251585</v>
      </c>
      <c r="F3315" s="10" t="s">
        <v>25</v>
      </c>
      <c r="G3315" s="10" t="n">
        <v>366</v>
      </c>
      <c r="H3315" s="10" t="n">
        <v>1823</v>
      </c>
      <c r="I3315" s="10" t="n">
        <v>22</v>
      </c>
      <c r="J3315" s="10" t="n">
        <v>0</v>
      </c>
      <c r="K3315" s="10" t="s">
        <v>20</v>
      </c>
      <c r="L3315" s="11" t="n">
        <v>41244.3427083333</v>
      </c>
      <c r="M3315" s="12" t="s">
        <v>8109</v>
      </c>
      <c r="N3315" s="12" t="s">
        <v>8110</v>
      </c>
      <c r="O3315" s="9" t="str">
        <f aca="false">HYPERLINK("https://pbs.twimg.com/profile_images/2919366165/d9be81bd11780683f2664a00f2373e55_normal.jpeg","View")</f>
        <v>View</v>
      </c>
      <c r="P3315" s="10"/>
    </row>
    <row r="3316" customFormat="false" ht="15.75" hidden="false" customHeight="false" outlineLevel="0" collapsed="false">
      <c r="A3316" s="6" t="n">
        <v>43030.3819328704</v>
      </c>
      <c r="B3316" s="7" t="str">
        <f aca="false">HYPERLINK("https://twitter.com/ArielBlocker","@ArielBlocker")</f>
        <v>@ArielBlocker</v>
      </c>
      <c r="C3316" s="8" t="s">
        <v>8111</v>
      </c>
      <c r="D3316" s="8" t="s">
        <v>8112</v>
      </c>
      <c r="E3316" s="9" t="str">
        <f aca="false">HYPERLINK("https://twitter.com/ArielBlocker/status/922132940028567552","922132940028567552")</f>
        <v>922132940028567552</v>
      </c>
      <c r="F3316" s="10" t="s">
        <v>177</v>
      </c>
      <c r="G3316" s="10" t="n">
        <v>1605</v>
      </c>
      <c r="H3316" s="10" t="n">
        <v>5003</v>
      </c>
      <c r="I3316" s="10" t="n">
        <v>0</v>
      </c>
      <c r="J3316" s="10" t="n">
        <v>0</v>
      </c>
      <c r="K3316" s="10" t="s">
        <v>20</v>
      </c>
      <c r="L3316" s="11" t="n">
        <v>42332.5044444444</v>
      </c>
      <c r="M3316" s="12" t="s">
        <v>8113</v>
      </c>
      <c r="N3316" s="12" t="s">
        <v>8114</v>
      </c>
      <c r="O3316" s="9" t="str">
        <f aca="false">HYPERLINK("https://pbs.twimg.com/profile_images/918425319698325506/2pLo9mu7_normal.jpg","View")</f>
        <v>View</v>
      </c>
      <c r="P3316" s="10"/>
    </row>
    <row r="3317" customFormat="false" ht="15.75" hidden="false" customHeight="false" outlineLevel="0" collapsed="false">
      <c r="A3317" s="6" t="n">
        <v>43030.3819560185</v>
      </c>
      <c r="B3317" s="7" t="str">
        <f aca="false">HYPERLINK("https://twitter.com/NerissaaEmy","@NerissaaEmy")</f>
        <v>@NerissaaEmy</v>
      </c>
      <c r="C3317" s="8" t="s">
        <v>8115</v>
      </c>
      <c r="D3317" s="8" t="s">
        <v>7736</v>
      </c>
      <c r="E3317" s="9" t="str">
        <f aca="false">HYPERLINK("https://twitter.com/NerissaaEmy/status/922132947469291520","922132947469291520")</f>
        <v>922132947469291520</v>
      </c>
      <c r="F3317" s="10" t="s">
        <v>25</v>
      </c>
      <c r="G3317" s="10" t="n">
        <v>12378</v>
      </c>
      <c r="H3317" s="10" t="n">
        <v>5626</v>
      </c>
      <c r="I3317" s="10" t="n">
        <v>31</v>
      </c>
      <c r="J3317" s="10" t="n">
        <v>0</v>
      </c>
      <c r="K3317" s="10" t="s">
        <v>20</v>
      </c>
      <c r="L3317" s="11" t="n">
        <v>40781.2035185185</v>
      </c>
      <c r="M3317" s="12" t="s">
        <v>8116</v>
      </c>
      <c r="N3317" s="12" t="s">
        <v>8117</v>
      </c>
      <c r="O3317" s="9" t="str">
        <f aca="false">HYPERLINK("https://pbs.twimg.com/profile_images/851359786495094788/aD9H1jw5_normal.jpg","View")</f>
        <v>View</v>
      </c>
      <c r="P3317" s="10"/>
    </row>
    <row r="3318" customFormat="false" ht="15.75" hidden="false" customHeight="false" outlineLevel="0" collapsed="false">
      <c r="A3318" s="6" t="n">
        <v>43030.3821296296</v>
      </c>
      <c r="B3318" s="7" t="str">
        <f aca="false">HYPERLINK("https://twitter.com/ogorouta","@ogorouta")</f>
        <v>@ogorouta</v>
      </c>
      <c r="C3318" s="14" t="s">
        <v>8118</v>
      </c>
      <c r="D3318" s="8" t="s">
        <v>7736</v>
      </c>
      <c r="E3318" s="9" t="str">
        <f aca="false">HYPERLINK("https://twitter.com/ogorouta/status/922133011314851840","922133011314851840")</f>
        <v>922133011314851840</v>
      </c>
      <c r="F3318" s="10" t="s">
        <v>25</v>
      </c>
      <c r="G3318" s="10" t="n">
        <v>101</v>
      </c>
      <c r="H3318" s="10" t="n">
        <v>437</v>
      </c>
      <c r="I3318" s="10" t="n">
        <v>31</v>
      </c>
      <c r="J3318" s="10" t="n">
        <v>0</v>
      </c>
      <c r="K3318" s="10" t="s">
        <v>20</v>
      </c>
      <c r="L3318" s="11" t="n">
        <v>41678.0156712963</v>
      </c>
      <c r="M3318" s="13" t="s">
        <v>3017</v>
      </c>
      <c r="N3318" s="13" t="s">
        <v>8119</v>
      </c>
      <c r="O3318" s="9" t="str">
        <f aca="false">HYPERLINK("https://pbs.twimg.com/profile_images/442104708061093889/g0U2fjK6_normal.jpeg","View")</f>
        <v>View</v>
      </c>
      <c r="P3318" s="10"/>
    </row>
    <row r="3319" customFormat="false" ht="15.75" hidden="false" customHeight="false" outlineLevel="0" collapsed="false">
      <c r="A3319" s="6" t="n">
        <v>43030.3823148148</v>
      </c>
      <c r="B3319" s="7" t="str">
        <f aca="false">HYPERLINK("https://twitter.com/MADEINJAPAN47","@MADEINJAPAN47")</f>
        <v>@MADEINJAPAN47</v>
      </c>
      <c r="C3319" s="14" t="s">
        <v>8120</v>
      </c>
      <c r="D3319" s="8" t="s">
        <v>6707</v>
      </c>
      <c r="E3319" s="9" t="str">
        <f aca="false">HYPERLINK("https://twitter.com/MADEINJAPAN47/status/922133076641116161","922133076641116161")</f>
        <v>922133076641116161</v>
      </c>
      <c r="F3319" s="10" t="s">
        <v>51</v>
      </c>
      <c r="G3319" s="10" t="n">
        <v>405</v>
      </c>
      <c r="H3319" s="10" t="n">
        <v>392</v>
      </c>
      <c r="I3319" s="10" t="n">
        <v>97</v>
      </c>
      <c r="J3319" s="10" t="n">
        <v>0</v>
      </c>
      <c r="K3319" s="10" t="s">
        <v>20</v>
      </c>
      <c r="L3319" s="11" t="n">
        <v>42072.8676273148</v>
      </c>
      <c r="M3319" s="13" t="s">
        <v>8121</v>
      </c>
      <c r="N3319" s="13" t="s">
        <v>8122</v>
      </c>
      <c r="O3319" s="9" t="str">
        <f aca="false">HYPERLINK("https://pbs.twimg.com/profile_images/655638708809437184/MCjS081b_normal.jpg","View")</f>
        <v>View</v>
      </c>
      <c r="P3319" s="10"/>
    </row>
    <row r="3320" customFormat="false" ht="15.75" hidden="false" customHeight="false" outlineLevel="0" collapsed="false">
      <c r="A3320" s="6" t="n">
        <v>43030.3827083333</v>
      </c>
      <c r="B3320" s="7" t="str">
        <f aca="false">HYPERLINK("https://twitter.com/genuinesjt","@genuinesjt")</f>
        <v>@genuinesjt</v>
      </c>
      <c r="C3320" s="8" t="s">
        <v>8123</v>
      </c>
      <c r="D3320" s="8" t="s">
        <v>8124</v>
      </c>
      <c r="E3320" s="9" t="str">
        <f aca="false">HYPERLINK("https://twitter.com/genuinesjt/status/922133220447129600","922133220447129600")</f>
        <v>922133220447129600</v>
      </c>
      <c r="F3320" s="10" t="s">
        <v>39</v>
      </c>
      <c r="G3320" s="10" t="n">
        <v>233</v>
      </c>
      <c r="H3320" s="10" t="n">
        <v>1697</v>
      </c>
      <c r="I3320" s="10" t="n">
        <v>0</v>
      </c>
      <c r="J3320" s="10" t="n">
        <v>0</v>
      </c>
      <c r="K3320" s="10" t="s">
        <v>20</v>
      </c>
      <c r="L3320" s="11" t="n">
        <v>42064.9418865741</v>
      </c>
      <c r="M3320" s="12" t="s">
        <v>8125</v>
      </c>
      <c r="N3320" s="12" t="s">
        <v>8126</v>
      </c>
      <c r="O3320" s="9" t="str">
        <f aca="false">HYPERLINK("https://pbs.twimg.com/profile_images/909759098765398017/tQnvtCbO_normal.jpg","View")</f>
        <v>View</v>
      </c>
      <c r="P3320" s="10"/>
    </row>
    <row r="3321" customFormat="false" ht="15.75" hidden="false" customHeight="false" outlineLevel="0" collapsed="false">
      <c r="A3321" s="6" t="n">
        <v>43030.3828587963</v>
      </c>
      <c r="B3321" s="7" t="str">
        <f aca="false">HYPERLINK("https://twitter.com/TrendingNewsTV","@TrendingNewsTV")</f>
        <v>@TrendingNewsTV</v>
      </c>
      <c r="C3321" s="8" t="s">
        <v>1646</v>
      </c>
      <c r="D3321" s="8" t="s">
        <v>8127</v>
      </c>
      <c r="E3321" s="9" t="str">
        <f aca="false">HYPERLINK("https://twitter.com/TrendingNewsTV/status/922133271605075969","922133271605075969")</f>
        <v>922133271605075969</v>
      </c>
      <c r="F3321" s="10" t="s">
        <v>60</v>
      </c>
      <c r="G3321" s="10" t="n">
        <v>157</v>
      </c>
      <c r="H3321" s="10" t="n">
        <v>16</v>
      </c>
      <c r="I3321" s="10" t="n">
        <v>0</v>
      </c>
      <c r="J3321" s="10" t="n">
        <v>0</v>
      </c>
      <c r="K3321" s="10" t="s">
        <v>20</v>
      </c>
      <c r="L3321" s="11" t="n">
        <v>42873.3151851852</v>
      </c>
      <c r="M3321" s="12" t="s">
        <v>1648</v>
      </c>
      <c r="N3321" s="12" t="s">
        <v>1649</v>
      </c>
      <c r="O3321" s="9" t="str">
        <f aca="false">HYPERLINK("https://pbs.twimg.com/profile_images/870695993104252929/yk2g-5OO_normal.jpg","View")</f>
        <v>View</v>
      </c>
      <c r="P3321" s="10"/>
    </row>
    <row r="3322" customFormat="false" ht="15.75" hidden="false" customHeight="false" outlineLevel="0" collapsed="false">
      <c r="A3322" s="6" t="n">
        <v>43030.3829050926</v>
      </c>
      <c r="B3322" s="7" t="str">
        <f aca="false">HYPERLINK("https://twitter.com/Srash001","@Srash001")</f>
        <v>@Srash001</v>
      </c>
      <c r="C3322" s="8" t="s">
        <v>8128</v>
      </c>
      <c r="D3322" s="8" t="s">
        <v>8129</v>
      </c>
      <c r="E3322" s="9" t="str">
        <f aca="false">HYPERLINK("https://twitter.com/Srash001/status/922133290231975936","922133290231975936")</f>
        <v>922133290231975936</v>
      </c>
      <c r="F3322" s="10" t="s">
        <v>47</v>
      </c>
      <c r="G3322" s="10" t="n">
        <v>1353</v>
      </c>
      <c r="H3322" s="10" t="n">
        <v>3977</v>
      </c>
      <c r="I3322" s="10" t="n">
        <v>0</v>
      </c>
      <c r="J3322" s="10" t="n">
        <v>0</v>
      </c>
      <c r="K3322" s="10" t="s">
        <v>20</v>
      </c>
      <c r="L3322" s="11" t="n">
        <v>40012.3591203704</v>
      </c>
      <c r="M3322" s="12" t="s">
        <v>651</v>
      </c>
      <c r="N3322" s="12" t="s">
        <v>8130</v>
      </c>
      <c r="O3322" s="9" t="str">
        <f aca="false">HYPERLINK("https://pbs.twimg.com/profile_images/635123216403468288/Hgb0mDbh_normal.jpg","View")</f>
        <v>View</v>
      </c>
      <c r="P3322" s="10"/>
    </row>
    <row r="3323" customFormat="false" ht="15.75" hidden="false" customHeight="false" outlineLevel="0" collapsed="false">
      <c r="A3323" s="6" t="n">
        <v>43030.383287037</v>
      </c>
      <c r="B3323" s="7" t="str">
        <f aca="false">HYPERLINK("https://twitter.com/alsnova","@alsnova")</f>
        <v>@alsnova</v>
      </c>
      <c r="C3323" s="8" t="s">
        <v>8131</v>
      </c>
      <c r="D3323" s="8" t="s">
        <v>6707</v>
      </c>
      <c r="E3323" s="9" t="str">
        <f aca="false">HYPERLINK("https://twitter.com/alsnova/status/922133430539665408","922133430539665408")</f>
        <v>922133430539665408</v>
      </c>
      <c r="F3323" s="10" t="s">
        <v>177</v>
      </c>
      <c r="G3323" s="10" t="n">
        <v>1596</v>
      </c>
      <c r="H3323" s="10" t="n">
        <v>3519</v>
      </c>
      <c r="I3323" s="10" t="n">
        <v>97</v>
      </c>
      <c r="J3323" s="10" t="n">
        <v>0</v>
      </c>
      <c r="K3323" s="10" t="s">
        <v>20</v>
      </c>
      <c r="L3323" s="11" t="n">
        <v>40018.41125</v>
      </c>
      <c r="M3323" s="12"/>
      <c r="N3323" s="13" t="s">
        <v>8132</v>
      </c>
      <c r="O3323" s="9" t="str">
        <f aca="false">HYPERLINK("https://pbs.twimg.com/profile_images/915601800505331712/CzsMkg0k_normal.jpg","View")</f>
        <v>View</v>
      </c>
      <c r="P3323" s="10"/>
    </row>
    <row r="3324" customFormat="false" ht="15.75" hidden="false" customHeight="false" outlineLevel="0" collapsed="false">
      <c r="A3324" s="6" t="n">
        <v>43030.3833449074</v>
      </c>
      <c r="B3324" s="7" t="str">
        <f aca="false">HYPERLINK("https://twitter.com/coat32","@coat32")</f>
        <v>@coat32</v>
      </c>
      <c r="C3324" s="8" t="s">
        <v>7718</v>
      </c>
      <c r="D3324" s="8" t="s">
        <v>7905</v>
      </c>
      <c r="E3324" s="9" t="str">
        <f aca="false">HYPERLINK("https://twitter.com/coat32/status/922133450676568064","922133450676568064")</f>
        <v>922133450676568064</v>
      </c>
      <c r="F3324" s="10" t="s">
        <v>25</v>
      </c>
      <c r="G3324" s="10" t="n">
        <v>580</v>
      </c>
      <c r="H3324" s="10" t="n">
        <v>78</v>
      </c>
      <c r="I3324" s="10" t="n">
        <v>38</v>
      </c>
      <c r="J3324" s="10" t="n">
        <v>0</v>
      </c>
      <c r="K3324" s="10" t="s">
        <v>20</v>
      </c>
      <c r="L3324" s="11" t="n">
        <v>40115.1797916667</v>
      </c>
      <c r="M3324" s="12" t="s">
        <v>3832</v>
      </c>
      <c r="N3324" s="12" t="s">
        <v>8133</v>
      </c>
      <c r="O3324" s="9" t="str">
        <f aca="false">HYPERLINK("https://pbs.twimg.com/profile_images/378800000307246225/e9d38680a054f559b18a9c7809ce0484_normal.jpeg","View")</f>
        <v>View</v>
      </c>
      <c r="P3324" s="10"/>
    </row>
    <row r="3325" customFormat="false" ht="15.75" hidden="false" customHeight="false" outlineLevel="0" collapsed="false">
      <c r="A3325" s="6" t="n">
        <v>43030.3834027778</v>
      </c>
      <c r="B3325" s="7" t="str">
        <f aca="false">HYPERLINK("https://twitter.com/alsnova","@alsnova")</f>
        <v>@alsnova</v>
      </c>
      <c r="C3325" s="8" t="s">
        <v>8131</v>
      </c>
      <c r="D3325" s="8" t="s">
        <v>7803</v>
      </c>
      <c r="E3325" s="9" t="str">
        <f aca="false">HYPERLINK("https://twitter.com/alsnova/status/922133470893113344","922133470893113344")</f>
        <v>922133470893113344</v>
      </c>
      <c r="F3325" s="10" t="s">
        <v>177</v>
      </c>
      <c r="G3325" s="10" t="n">
        <v>1596</v>
      </c>
      <c r="H3325" s="10" t="n">
        <v>3519</v>
      </c>
      <c r="I3325" s="10" t="n">
        <v>30</v>
      </c>
      <c r="J3325" s="10" t="n">
        <v>0</v>
      </c>
      <c r="K3325" s="10" t="s">
        <v>20</v>
      </c>
      <c r="L3325" s="11" t="n">
        <v>40018.41125</v>
      </c>
      <c r="M3325" s="12"/>
      <c r="N3325" s="13" t="s">
        <v>8132</v>
      </c>
      <c r="O3325" s="9" t="str">
        <f aca="false">HYPERLINK("https://pbs.twimg.com/profile_images/915601800505331712/CzsMkg0k_normal.jpg","View")</f>
        <v>View</v>
      </c>
      <c r="P3325" s="10"/>
    </row>
    <row r="3326" customFormat="false" ht="15.75" hidden="false" customHeight="false" outlineLevel="0" collapsed="false">
      <c r="A3326" s="6" t="n">
        <v>43030.3834375</v>
      </c>
      <c r="B3326" s="7" t="str">
        <f aca="false">HYPERLINK("https://twitter.com/nuggettoffy","@nuggettoffy")</f>
        <v>@nuggettoffy</v>
      </c>
      <c r="C3326" s="8" t="s">
        <v>8134</v>
      </c>
      <c r="D3326" s="8" t="s">
        <v>7905</v>
      </c>
      <c r="E3326" s="9" t="str">
        <f aca="false">HYPERLINK("https://twitter.com/nuggettoffy/status/922133485418110976","922133485418110976")</f>
        <v>922133485418110976</v>
      </c>
      <c r="F3326" s="10" t="s">
        <v>25</v>
      </c>
      <c r="G3326" s="10" t="n">
        <v>323</v>
      </c>
      <c r="H3326" s="10" t="n">
        <v>239</v>
      </c>
      <c r="I3326" s="10" t="n">
        <v>38</v>
      </c>
      <c r="J3326" s="10" t="n">
        <v>0</v>
      </c>
      <c r="K3326" s="10" t="s">
        <v>20</v>
      </c>
      <c r="L3326" s="11" t="n">
        <v>40052.3140856482</v>
      </c>
      <c r="M3326" s="12"/>
      <c r="N3326" s="12" t="s">
        <v>8135</v>
      </c>
      <c r="O3326" s="9" t="str">
        <f aca="false">HYPERLINK("https://pbs.twimg.com/profile_images/878968232761151488/kJfQXRlY_normal.jpg","View")</f>
        <v>View</v>
      </c>
      <c r="P3326" s="10"/>
    </row>
    <row r="3327" customFormat="false" ht="15.75" hidden="false" customHeight="false" outlineLevel="0" collapsed="false">
      <c r="A3327" s="6" t="n">
        <v>43030.383599537</v>
      </c>
      <c r="B3327" s="7" t="str">
        <f aca="false">HYPERLINK("https://twitter.com/iOnkarPandey","@iOnkarPandey")</f>
        <v>@iOnkarPandey</v>
      </c>
      <c r="C3327" s="8" t="s">
        <v>8136</v>
      </c>
      <c r="D3327" s="8" t="s">
        <v>8137</v>
      </c>
      <c r="E3327" s="9" t="str">
        <f aca="false">HYPERLINK("https://twitter.com/iOnkarPandey/status/922133543735742465","922133543735742465")</f>
        <v>922133543735742465</v>
      </c>
      <c r="F3327" s="10" t="s">
        <v>25</v>
      </c>
      <c r="G3327" s="10" t="n">
        <v>3751</v>
      </c>
      <c r="H3327" s="10" t="n">
        <v>197</v>
      </c>
      <c r="I3327" s="10" t="n">
        <v>1</v>
      </c>
      <c r="J3327" s="10" t="n">
        <v>1</v>
      </c>
      <c r="K3327" s="10" t="s">
        <v>20</v>
      </c>
      <c r="L3327" s="11" t="n">
        <v>41506.3729050926</v>
      </c>
      <c r="M3327" s="12" t="s">
        <v>8138</v>
      </c>
      <c r="N3327" s="12" t="s">
        <v>8139</v>
      </c>
      <c r="O3327" s="9" t="str">
        <f aca="false">HYPERLINK("https://pbs.twimg.com/profile_images/922845821560807424/vj_xWtN7_normal.jpg","View")</f>
        <v>View</v>
      </c>
      <c r="P3327" s="10"/>
    </row>
    <row r="3328" customFormat="false" ht="15.75" hidden="false" customHeight="false" outlineLevel="0" collapsed="false">
      <c r="A3328" s="6" t="n">
        <v>43030.3839467593</v>
      </c>
      <c r="B3328" s="7" t="str">
        <f aca="false">HYPERLINK("https://twitter.com/conspiracydup","@conspiracydup")</f>
        <v>@conspiracydup</v>
      </c>
      <c r="C3328" s="8" t="s">
        <v>8140</v>
      </c>
      <c r="D3328" s="8" t="s">
        <v>8141</v>
      </c>
      <c r="E3328" s="9" t="str">
        <f aca="false">HYPERLINK("https://twitter.com/conspiracydup/status/922133669715824643","922133669715824643")</f>
        <v>922133669715824643</v>
      </c>
      <c r="F3328" s="9" t="s">
        <v>979</v>
      </c>
      <c r="G3328" s="10" t="n">
        <v>260</v>
      </c>
      <c r="H3328" s="10" t="n">
        <v>201</v>
      </c>
      <c r="I3328" s="10" t="n">
        <v>0</v>
      </c>
      <c r="J3328" s="10" t="n">
        <v>1</v>
      </c>
      <c r="K3328" s="10" t="s">
        <v>20</v>
      </c>
      <c r="L3328" s="11" t="n">
        <v>40061.3155092593</v>
      </c>
      <c r="M3328" s="12" t="s">
        <v>8142</v>
      </c>
      <c r="N3328" s="12" t="s">
        <v>8143</v>
      </c>
      <c r="O3328" s="9" t="str">
        <f aca="false">HYPERLINK("https://pbs.twimg.com/profile_images/822986338223865856/SClacqjn_normal.jpg","View")</f>
        <v>View</v>
      </c>
      <c r="P3328" s="10"/>
    </row>
    <row r="3329" customFormat="false" ht="15.75" hidden="false" customHeight="false" outlineLevel="0" collapsed="false">
      <c r="A3329" s="6" t="n">
        <v>43030.3840856482</v>
      </c>
      <c r="B3329" s="7" t="str">
        <f aca="false">HYPERLINK("https://twitter.com/Lisnava","@Lisnava")</f>
        <v>@Lisnava</v>
      </c>
      <c r="C3329" s="8" t="s">
        <v>8144</v>
      </c>
      <c r="D3329" s="8" t="s">
        <v>8145</v>
      </c>
      <c r="E3329" s="9" t="str">
        <f aca="false">HYPERLINK("https://twitter.com/Lisnava/status/922133717723828224","922133717723828224")</f>
        <v>922133717723828224</v>
      </c>
      <c r="F3329" s="10" t="s">
        <v>51</v>
      </c>
      <c r="G3329" s="10" t="n">
        <v>533</v>
      </c>
      <c r="H3329" s="10" t="n">
        <v>1047</v>
      </c>
      <c r="I3329" s="10" t="n">
        <v>0</v>
      </c>
      <c r="J3329" s="10" t="n">
        <v>0</v>
      </c>
      <c r="K3329" s="10" t="s">
        <v>20</v>
      </c>
      <c r="L3329" s="11" t="n">
        <v>40414.4811226852</v>
      </c>
      <c r="M3329" s="12" t="s">
        <v>8146</v>
      </c>
      <c r="N3329" s="12" t="s">
        <v>8147</v>
      </c>
      <c r="O3329" s="9" t="str">
        <f aca="false">HYPERLINK("https://pbs.twimg.com/profile_images/758476728662581250/cdLhR-T4_normal.jpg","View")</f>
        <v>View</v>
      </c>
      <c r="P3329" s="10"/>
    </row>
    <row r="3330" customFormat="false" ht="15.75" hidden="false" customHeight="false" outlineLevel="0" collapsed="false">
      <c r="A3330" s="6" t="n">
        <v>43030.3841203704</v>
      </c>
      <c r="B3330" s="7" t="str">
        <f aca="false">HYPERLINK("https://twitter.com/SATYARNAYAK","@SATYARNAYAK")</f>
        <v>@SATYARNAYAK</v>
      </c>
      <c r="C3330" s="8" t="s">
        <v>8148</v>
      </c>
      <c r="D3330" s="8" t="s">
        <v>7905</v>
      </c>
      <c r="E3330" s="9" t="str">
        <f aca="false">HYPERLINK("https://twitter.com/SATYARNAYAK/status/922133730688245760","922133730688245760")</f>
        <v>922133730688245760</v>
      </c>
      <c r="F3330" s="10" t="s">
        <v>25</v>
      </c>
      <c r="G3330" s="10" t="n">
        <v>166</v>
      </c>
      <c r="H3330" s="10" t="n">
        <v>900</v>
      </c>
      <c r="I3330" s="10" t="n">
        <v>38</v>
      </c>
      <c r="J3330" s="10" t="n">
        <v>0</v>
      </c>
      <c r="K3330" s="10" t="s">
        <v>20</v>
      </c>
      <c r="L3330" s="11" t="n">
        <v>40966.9611458333</v>
      </c>
      <c r="M3330" s="12" t="s">
        <v>8149</v>
      </c>
      <c r="N3330" s="12"/>
      <c r="O3330" s="9" t="str">
        <f aca="false">HYPERLINK("https://pbs.twimg.com/profile_images/661462947860910080/l0xdy3Ov_normal.jpg","View")</f>
        <v>View</v>
      </c>
      <c r="P3330" s="10"/>
    </row>
    <row r="3331" customFormat="false" ht="15.75" hidden="false" customHeight="false" outlineLevel="0" collapsed="false">
      <c r="A3331" s="6" t="n">
        <v>43030.3846875</v>
      </c>
      <c r="B3331" s="7" t="str">
        <f aca="false">HYPERLINK("https://twitter.com/kame_kichi77","@kame_kichi77")</f>
        <v>@kame_kichi77</v>
      </c>
      <c r="C3331" s="14" t="s">
        <v>8150</v>
      </c>
      <c r="D3331" s="8" t="s">
        <v>6707</v>
      </c>
      <c r="E3331" s="9" t="str">
        <f aca="false">HYPERLINK("https://twitter.com/kame_kichi77/status/922133934753718273","922133934753718273")</f>
        <v>922133934753718273</v>
      </c>
      <c r="F3331" s="10" t="s">
        <v>39</v>
      </c>
      <c r="G3331" s="10" t="n">
        <v>408</v>
      </c>
      <c r="H3331" s="10" t="n">
        <v>194</v>
      </c>
      <c r="I3331" s="10" t="n">
        <v>97</v>
      </c>
      <c r="J3331" s="10" t="n">
        <v>0</v>
      </c>
      <c r="K3331" s="10" t="s">
        <v>20</v>
      </c>
      <c r="L3331" s="11" t="n">
        <v>42925.2053356482</v>
      </c>
      <c r="M3331" s="12"/>
      <c r="N3331" s="13" t="s">
        <v>8151</v>
      </c>
      <c r="O3331" s="9" t="str">
        <f aca="false">HYPERLINK("https://abs.twimg.com/sticky/default_profile_images/default_profile_normal.png","View")</f>
        <v>View</v>
      </c>
      <c r="P3331" s="10"/>
    </row>
    <row r="3332" customFormat="false" ht="15.75" hidden="false" customHeight="false" outlineLevel="0" collapsed="false">
      <c r="A3332" s="6" t="n">
        <v>43030.3847222222</v>
      </c>
      <c r="B3332" s="7" t="str">
        <f aca="false">HYPERLINK("https://twitter.com/AtulMohan2","@AtulMohan2")</f>
        <v>@AtulMohan2</v>
      </c>
      <c r="C3332" s="8" t="s">
        <v>8152</v>
      </c>
      <c r="D3332" s="8" t="s">
        <v>7905</v>
      </c>
      <c r="E3332" s="9" t="str">
        <f aca="false">HYPERLINK("https://twitter.com/AtulMohan2/status/922133947714125824","922133947714125824")</f>
        <v>922133947714125824</v>
      </c>
      <c r="F3332" s="10" t="s">
        <v>25</v>
      </c>
      <c r="G3332" s="10" t="n">
        <v>295</v>
      </c>
      <c r="H3332" s="10" t="n">
        <v>150</v>
      </c>
      <c r="I3332" s="10" t="n">
        <v>38</v>
      </c>
      <c r="J3332" s="10" t="n">
        <v>0</v>
      </c>
      <c r="K3332" s="10" t="s">
        <v>20</v>
      </c>
      <c r="L3332" s="11" t="n">
        <v>40736.0524074074</v>
      </c>
      <c r="M3332" s="12" t="s">
        <v>72</v>
      </c>
      <c r="N3332" s="12" t="s">
        <v>8153</v>
      </c>
      <c r="O3332" s="9" t="str">
        <f aca="false">HYPERLINK("https://pbs.twimg.com/profile_images/1541910485/atul5_normal.jpg","View")</f>
        <v>View</v>
      </c>
      <c r="P3332" s="10"/>
    </row>
    <row r="3333" customFormat="false" ht="15.75" hidden="false" customHeight="false" outlineLevel="0" collapsed="false">
      <c r="A3333" s="6" t="n">
        <v>43030.3848032407</v>
      </c>
      <c r="B3333" s="7" t="str">
        <f aca="false">HYPERLINK("https://twitter.com/rashidaldosari","@rashidaldosari")</f>
        <v>@rashidaldosari</v>
      </c>
      <c r="C3333" s="8" t="s">
        <v>810</v>
      </c>
      <c r="D3333" s="8" t="s">
        <v>3991</v>
      </c>
      <c r="E3333" s="9" t="str">
        <f aca="false">HYPERLINK("https://twitter.com/rashidaldosari/status/922133979284811777","922133979284811777")</f>
        <v>922133979284811777</v>
      </c>
      <c r="F3333" s="10" t="s">
        <v>51</v>
      </c>
      <c r="G3333" s="10" t="n">
        <v>2400</v>
      </c>
      <c r="H3333" s="10" t="n">
        <v>55</v>
      </c>
      <c r="I3333" s="10" t="n">
        <v>17</v>
      </c>
      <c r="J3333" s="10" t="n">
        <v>0</v>
      </c>
      <c r="K3333" s="10" t="s">
        <v>20</v>
      </c>
      <c r="L3333" s="11" t="n">
        <v>40635.110625</v>
      </c>
      <c r="M3333" s="12"/>
      <c r="N3333" s="12" t="s">
        <v>811</v>
      </c>
      <c r="O3333" s="9" t="str">
        <f aca="false">HYPERLINK("https://pbs.twimg.com/profile_images/1389660377/image_normal.jpg","View")</f>
        <v>View</v>
      </c>
      <c r="P3333" s="10"/>
    </row>
    <row r="3334" customFormat="false" ht="15.75" hidden="false" customHeight="false" outlineLevel="0" collapsed="false">
      <c r="A3334" s="6" t="n">
        <v>43030.3849074074</v>
      </c>
      <c r="B3334" s="7" t="str">
        <f aca="false">HYPERLINK("https://twitter.com/vgar_","@vgar_")</f>
        <v>@vgar_</v>
      </c>
      <c r="C3334" s="8" t="s">
        <v>8154</v>
      </c>
      <c r="D3334" s="8" t="s">
        <v>6558</v>
      </c>
      <c r="E3334" s="9" t="str">
        <f aca="false">HYPERLINK("https://twitter.com/vgar_/status/922134015166910464","922134015166910464")</f>
        <v>922134015166910464</v>
      </c>
      <c r="F3334" s="10" t="s">
        <v>25</v>
      </c>
      <c r="G3334" s="10" t="n">
        <v>141</v>
      </c>
      <c r="H3334" s="10" t="n">
        <v>331</v>
      </c>
      <c r="I3334" s="10" t="n">
        <v>65</v>
      </c>
      <c r="J3334" s="10" t="n">
        <v>0</v>
      </c>
      <c r="K3334" s="10" t="s">
        <v>20</v>
      </c>
      <c r="L3334" s="11" t="n">
        <v>40106.9847106481</v>
      </c>
      <c r="M3334" s="12" t="s">
        <v>64</v>
      </c>
      <c r="N3334" s="12" t="s">
        <v>8155</v>
      </c>
      <c r="O3334" s="9" t="str">
        <f aca="false">HYPERLINK("https://pbs.twimg.com/profile_images/899567610450157568/j7aGC0s5_normal.jpg","View")</f>
        <v>View</v>
      </c>
      <c r="P3334" s="10"/>
    </row>
    <row r="3335" customFormat="false" ht="15.75" hidden="false" customHeight="false" outlineLevel="0" collapsed="false">
      <c r="A3335" s="6" t="n">
        <v>43030.3849537037</v>
      </c>
      <c r="B3335" s="7" t="str">
        <f aca="false">HYPERLINK("https://twitter.com/nalcivotte1975","@nalcivotte1975")</f>
        <v>@nalcivotte1975</v>
      </c>
      <c r="C3335" s="8" t="s">
        <v>8156</v>
      </c>
      <c r="D3335" s="8" t="s">
        <v>8157</v>
      </c>
      <c r="E3335" s="9" t="str">
        <f aca="false">HYPERLINK("https://twitter.com/nalcivotte1975/status/922134031558500353","922134031558500353")</f>
        <v>922134031558500353</v>
      </c>
      <c r="F3335" s="10" t="s">
        <v>39</v>
      </c>
      <c r="G3335" s="10" t="n">
        <v>16</v>
      </c>
      <c r="H3335" s="10" t="n">
        <v>92</v>
      </c>
      <c r="I3335" s="10" t="n">
        <v>1</v>
      </c>
      <c r="J3335" s="10" t="n">
        <v>0</v>
      </c>
      <c r="K3335" s="10" t="s">
        <v>20</v>
      </c>
      <c r="L3335" s="11" t="n">
        <v>42932.877025463</v>
      </c>
      <c r="M3335" s="12"/>
      <c r="N3335" s="12"/>
      <c r="O3335" s="9" t="str">
        <f aca="false">HYPERLINK("https://pbs.twimg.com/profile_images/887389155549999104/Vu8GaDA0_normal.jpg","View")</f>
        <v>View</v>
      </c>
      <c r="P3335" s="10"/>
    </row>
    <row r="3336" customFormat="false" ht="15.75" hidden="false" customHeight="false" outlineLevel="0" collapsed="false">
      <c r="A3336" s="6" t="n">
        <v>43030.3851041667</v>
      </c>
      <c r="B3336" s="7" t="str">
        <f aca="false">HYPERLINK("https://twitter.com/kame_kichi77","@kame_kichi77")</f>
        <v>@kame_kichi77</v>
      </c>
      <c r="C3336" s="14" t="s">
        <v>8150</v>
      </c>
      <c r="D3336" s="8" t="s">
        <v>7803</v>
      </c>
      <c r="E3336" s="9" t="str">
        <f aca="false">HYPERLINK("https://twitter.com/kame_kichi77/status/922134086994378753","922134086994378753")</f>
        <v>922134086994378753</v>
      </c>
      <c r="F3336" s="10" t="s">
        <v>39</v>
      </c>
      <c r="G3336" s="10" t="n">
        <v>408</v>
      </c>
      <c r="H3336" s="10" t="n">
        <v>194</v>
      </c>
      <c r="I3336" s="10" t="n">
        <v>30</v>
      </c>
      <c r="J3336" s="10" t="n">
        <v>0</v>
      </c>
      <c r="K3336" s="10" t="s">
        <v>20</v>
      </c>
      <c r="L3336" s="11" t="n">
        <v>42925.2053356482</v>
      </c>
      <c r="M3336" s="12"/>
      <c r="N3336" s="13" t="s">
        <v>8151</v>
      </c>
      <c r="O3336" s="9" t="str">
        <f aca="false">HYPERLINK("https://abs.twimg.com/sticky/default_profile_images/default_profile_normal.png","View")</f>
        <v>View</v>
      </c>
      <c r="P3336" s="10"/>
    </row>
    <row r="3337" customFormat="false" ht="15.75" hidden="false" customHeight="false" outlineLevel="0" collapsed="false">
      <c r="A3337" s="6" t="n">
        <v>43030.3862731482</v>
      </c>
      <c r="B3337" s="7" t="str">
        <f aca="false">HYPERLINK("https://twitter.com/JapanVisitor","@JapanVisitor")</f>
        <v>@JapanVisitor</v>
      </c>
      <c r="C3337" s="8" t="s">
        <v>2185</v>
      </c>
      <c r="D3337" s="8" t="s">
        <v>8158</v>
      </c>
      <c r="E3337" s="9" t="str">
        <f aca="false">HYPERLINK("https://twitter.com/JapanVisitor/status/922134509180424192","922134509180424192")</f>
        <v>922134509180424192</v>
      </c>
      <c r="F3337" s="10" t="s">
        <v>39</v>
      </c>
      <c r="G3337" s="10" t="n">
        <v>7403</v>
      </c>
      <c r="H3337" s="10" t="n">
        <v>1959</v>
      </c>
      <c r="I3337" s="10" t="n">
        <v>0</v>
      </c>
      <c r="J3337" s="10" t="n">
        <v>1</v>
      </c>
      <c r="K3337" s="10" t="s">
        <v>20</v>
      </c>
      <c r="L3337" s="11" t="n">
        <v>39522.4120949074</v>
      </c>
      <c r="M3337" s="12" t="s">
        <v>2187</v>
      </c>
      <c r="N3337" s="12" t="s">
        <v>2188</v>
      </c>
      <c r="O3337" s="9" t="str">
        <f aca="false">HYPERLINK("https://pbs.twimg.com/profile_images/59821609/jv-logo_normal.jpg","View")</f>
        <v>View</v>
      </c>
      <c r="P3337" s="10"/>
    </row>
    <row r="3338" customFormat="false" ht="15.75" hidden="false" customHeight="false" outlineLevel="0" collapsed="false">
      <c r="A3338" s="6" t="n">
        <v>43030.3862731482</v>
      </c>
      <c r="B3338" s="7" t="str">
        <f aca="false">HYPERLINK("https://twitter.com/qz","@qz")</f>
        <v>@qz</v>
      </c>
      <c r="C3338" s="8" t="s">
        <v>6915</v>
      </c>
      <c r="D3338" s="8" t="s">
        <v>8159</v>
      </c>
      <c r="E3338" s="9" t="str">
        <f aca="false">HYPERLINK("https://twitter.com/qz/status/922134510417928195","922134510417928195")</f>
        <v>922134510417928195</v>
      </c>
      <c r="F3338" s="10" t="s">
        <v>268</v>
      </c>
      <c r="G3338" s="10" t="n">
        <v>323183</v>
      </c>
      <c r="H3338" s="10" t="n">
        <v>177</v>
      </c>
      <c r="I3338" s="10" t="n">
        <v>8</v>
      </c>
      <c r="J3338" s="10" t="n">
        <v>10</v>
      </c>
      <c r="K3338" s="10" t="s">
        <v>20</v>
      </c>
      <c r="L3338" s="11" t="n">
        <v>41036.537037037</v>
      </c>
      <c r="M3338" s="12" t="s">
        <v>6917</v>
      </c>
      <c r="N3338" s="12" t="s">
        <v>6918</v>
      </c>
      <c r="O3338" s="9" t="str">
        <f aca="false">HYPERLINK("https://pbs.twimg.com/profile_images/615280495958495232/nX0-Mypb_normal.png","View")</f>
        <v>View</v>
      </c>
      <c r="P3338" s="10"/>
    </row>
    <row r="3339" customFormat="false" ht="15.75" hidden="false" customHeight="false" outlineLevel="0" collapsed="false">
      <c r="A3339" s="6" t="n">
        <v>43030.3864467593</v>
      </c>
      <c r="B3339" s="7" t="str">
        <f aca="false">HYPERLINK("https://twitter.com/starbrightjp","@starbrightjp")</f>
        <v>@starbrightjp</v>
      </c>
      <c r="C3339" s="14" t="s">
        <v>8160</v>
      </c>
      <c r="D3339" s="8" t="s">
        <v>6707</v>
      </c>
      <c r="E3339" s="9" t="str">
        <f aca="false">HYPERLINK("https://twitter.com/starbrightjp/status/922134572552273920","922134572552273920")</f>
        <v>922134572552273920</v>
      </c>
      <c r="F3339" s="10" t="s">
        <v>51</v>
      </c>
      <c r="G3339" s="10" t="n">
        <v>602</v>
      </c>
      <c r="H3339" s="10" t="n">
        <v>552</v>
      </c>
      <c r="I3339" s="10" t="n">
        <v>97</v>
      </c>
      <c r="J3339" s="10" t="n">
        <v>0</v>
      </c>
      <c r="K3339" s="10" t="s">
        <v>20</v>
      </c>
      <c r="L3339" s="11" t="n">
        <v>40264.2514236111</v>
      </c>
      <c r="M3339" s="13" t="s">
        <v>4178</v>
      </c>
      <c r="N3339" s="13" t="s">
        <v>8161</v>
      </c>
      <c r="O3339" s="9" t="str">
        <f aca="false">HYPERLINK("https://pbs.twimg.com/profile_images/1615754317/SH360265_normal.JPG","View")</f>
        <v>View</v>
      </c>
      <c r="P3339" s="10"/>
    </row>
    <row r="3340" customFormat="false" ht="15.75" hidden="false" customHeight="false" outlineLevel="0" collapsed="false">
      <c r="A3340" s="6" t="n">
        <v>43030.3869560185</v>
      </c>
      <c r="B3340" s="7" t="str">
        <f aca="false">HYPERLINK("https://twitter.com/RamKalagiri","@RamKalagiri")</f>
        <v>@RamKalagiri</v>
      </c>
      <c r="C3340" s="8" t="s">
        <v>8162</v>
      </c>
      <c r="D3340" s="8" t="s">
        <v>7905</v>
      </c>
      <c r="E3340" s="9" t="str">
        <f aca="false">HYPERLINK("https://twitter.com/RamKalagiri/status/922134757852491776","922134757852491776")</f>
        <v>922134757852491776</v>
      </c>
      <c r="F3340" s="10" t="s">
        <v>25</v>
      </c>
      <c r="G3340" s="10" t="n">
        <v>47</v>
      </c>
      <c r="H3340" s="10" t="n">
        <v>391</v>
      </c>
      <c r="I3340" s="10" t="n">
        <v>38</v>
      </c>
      <c r="J3340" s="10" t="n">
        <v>0</v>
      </c>
      <c r="K3340" s="10" t="s">
        <v>20</v>
      </c>
      <c r="L3340" s="11" t="n">
        <v>41255.3861342593</v>
      </c>
      <c r="M3340" s="12" t="s">
        <v>8163</v>
      </c>
      <c r="N3340" s="12" t="s">
        <v>8164</v>
      </c>
      <c r="O3340" s="9" t="str">
        <f aca="false">HYPERLINK("https://pbs.twimg.com/profile_images/824429170482618368/Ktmp01wM_normal.jpg","View")</f>
        <v>View</v>
      </c>
      <c r="P3340" s="10"/>
    </row>
    <row r="3341" customFormat="false" ht="15.75" hidden="false" customHeight="false" outlineLevel="0" collapsed="false">
      <c r="A3341" s="6" t="n">
        <v>43030.387025463</v>
      </c>
      <c r="B3341" s="7" t="str">
        <f aca="false">HYPERLINK("https://twitter.com/nohumanillegal","@nohumanillegal")</f>
        <v>@nohumanillegal</v>
      </c>
      <c r="C3341" s="8" t="s">
        <v>8165</v>
      </c>
      <c r="D3341" s="8" t="s">
        <v>8166</v>
      </c>
      <c r="E3341" s="9" t="str">
        <f aca="false">HYPERLINK("https://twitter.com/nohumanillegal/status/922134782808592384","922134782808592384")</f>
        <v>922134782808592384</v>
      </c>
      <c r="F3341" s="10" t="s">
        <v>51</v>
      </c>
      <c r="G3341" s="10" t="n">
        <v>945</v>
      </c>
      <c r="H3341" s="10" t="n">
        <v>3136</v>
      </c>
      <c r="I3341" s="10" t="n">
        <v>0</v>
      </c>
      <c r="J3341" s="10" t="n">
        <v>1</v>
      </c>
      <c r="K3341" s="10" t="s">
        <v>20</v>
      </c>
      <c r="L3341" s="11" t="n">
        <v>39990.4302430556</v>
      </c>
      <c r="M3341" s="12" t="s">
        <v>1961</v>
      </c>
      <c r="N3341" s="12" t="s">
        <v>8167</v>
      </c>
      <c r="O3341" s="9" t="str">
        <f aca="false">HYPERLINK("https://pbs.twimg.com/profile_images/868813858709917697/ns5hb2me_normal.jpg","View")</f>
        <v>View</v>
      </c>
      <c r="P3341" s="10"/>
    </row>
    <row r="3342" customFormat="false" ht="15.75" hidden="false" customHeight="false" outlineLevel="0" collapsed="false">
      <c r="A3342" s="6" t="n">
        <v>43030.3872106481</v>
      </c>
      <c r="B3342" s="7" t="str">
        <f aca="false">HYPERLINK("https://twitter.com/whatanews4u","@whatanews4u")</f>
        <v>@whatanews4u</v>
      </c>
      <c r="C3342" s="8" t="s">
        <v>8168</v>
      </c>
      <c r="D3342" s="8" t="s">
        <v>7262</v>
      </c>
      <c r="E3342" s="9" t="str">
        <f aca="false">HYPERLINK("https://twitter.com/whatanews4u/status/922134851649617922","922134851649617922")</f>
        <v>922134851649617922</v>
      </c>
      <c r="F3342" s="10" t="s">
        <v>25</v>
      </c>
      <c r="G3342" s="10" t="n">
        <v>1534</v>
      </c>
      <c r="H3342" s="10" t="n">
        <v>4999</v>
      </c>
      <c r="I3342" s="10" t="n">
        <v>7</v>
      </c>
      <c r="J3342" s="10" t="n">
        <v>0</v>
      </c>
      <c r="K3342" s="10" t="s">
        <v>20</v>
      </c>
      <c r="L3342" s="11" t="n">
        <v>39618.1323958333</v>
      </c>
      <c r="M3342" s="12" t="s">
        <v>8169</v>
      </c>
      <c r="N3342" s="12" t="s">
        <v>8170</v>
      </c>
      <c r="O3342" s="9" t="str">
        <f aca="false">HYPERLINK("https://pbs.twimg.com/profile_images/767304684352573440/sT6n1x0m_normal.jpg","View")</f>
        <v>View</v>
      </c>
      <c r="P3342" s="10"/>
    </row>
    <row r="3343" customFormat="false" ht="15.75" hidden="false" customHeight="false" outlineLevel="0" collapsed="false">
      <c r="A3343" s="6" t="n">
        <v>43030.3874884259</v>
      </c>
      <c r="B3343" s="7" t="str">
        <f aca="false">HYPERLINK("https://twitter.com/BigMoneyTraders","@BigMoneyTraders")</f>
        <v>@BigMoneyTraders</v>
      </c>
      <c r="C3343" s="8" t="s">
        <v>7024</v>
      </c>
      <c r="D3343" s="8" t="s">
        <v>8171</v>
      </c>
      <c r="E3343" s="9" t="str">
        <f aca="false">HYPERLINK("https://twitter.com/BigMoneyTraders/status/922134953285914625","922134953285914625")</f>
        <v>922134953285914625</v>
      </c>
      <c r="F3343" s="10" t="s">
        <v>60</v>
      </c>
      <c r="G3343" s="10" t="n">
        <v>5449</v>
      </c>
      <c r="H3343" s="10" t="n">
        <v>5747</v>
      </c>
      <c r="I3343" s="10" t="n">
        <v>0</v>
      </c>
      <c r="J3343" s="10" t="n">
        <v>0</v>
      </c>
      <c r="K3343" s="10" t="s">
        <v>20</v>
      </c>
      <c r="L3343" s="11" t="n">
        <v>41845.6802199074</v>
      </c>
      <c r="M3343" s="12" t="s">
        <v>7026</v>
      </c>
      <c r="N3343" s="12" t="s">
        <v>7027</v>
      </c>
      <c r="O3343" s="9" t="str">
        <f aca="false">HYPERLINK("https://pbs.twimg.com/profile_images/743984165763321856/nbpig-6O_normal.jpg","View")</f>
        <v>View</v>
      </c>
      <c r="P3343" s="10"/>
    </row>
    <row r="3344" customFormat="false" ht="15.75" hidden="false" customHeight="false" outlineLevel="0" collapsed="false">
      <c r="A3344" s="6" t="n">
        <v>43030.3877083333</v>
      </c>
      <c r="B3344" s="7" t="str">
        <f aca="false">HYPERLINK("https://twitter.com/53dayo","@53dayo")</f>
        <v>@53dayo</v>
      </c>
      <c r="C3344" s="14" t="s">
        <v>8172</v>
      </c>
      <c r="D3344" s="8" t="s">
        <v>8173</v>
      </c>
      <c r="E3344" s="9" t="str">
        <f aca="false">HYPERLINK("https://twitter.com/53dayo/status/922135032424161280","922135032424161280")</f>
        <v>922135032424161280</v>
      </c>
      <c r="F3344" s="10" t="s">
        <v>39</v>
      </c>
      <c r="G3344" s="10" t="n">
        <v>2023</v>
      </c>
      <c r="H3344" s="10" t="n">
        <v>1382</v>
      </c>
      <c r="I3344" s="10" t="n">
        <v>1</v>
      </c>
      <c r="J3344" s="10" t="n">
        <v>3</v>
      </c>
      <c r="K3344" s="10" t="s">
        <v>20</v>
      </c>
      <c r="L3344" s="11" t="n">
        <v>40262.724375</v>
      </c>
      <c r="M3344" s="13" t="s">
        <v>8174</v>
      </c>
      <c r="N3344" s="13" t="s">
        <v>8175</v>
      </c>
      <c r="O3344" s="9" t="str">
        <f aca="false">HYPERLINK("https://pbs.twimg.com/profile_images/910915960151740416/HPyGivH-_normal.jpg","View")</f>
        <v>View</v>
      </c>
      <c r="P3344" s="10"/>
    </row>
    <row r="3345" customFormat="false" ht="15.75" hidden="false" customHeight="false" outlineLevel="0" collapsed="false">
      <c r="A3345" s="6" t="n">
        <v>43030.3878587963</v>
      </c>
      <c r="B3345" s="7" t="str">
        <f aca="false">HYPERLINK("https://twitter.com/pie_chucker","@pie_chucker")</f>
        <v>@pie_chucker</v>
      </c>
      <c r="C3345" s="8" t="s">
        <v>8176</v>
      </c>
      <c r="D3345" s="8" t="s">
        <v>6707</v>
      </c>
      <c r="E3345" s="9" t="str">
        <f aca="false">HYPERLINK("https://twitter.com/pie_chucker/status/922135086077698048","922135086077698048")</f>
        <v>922135086077698048</v>
      </c>
      <c r="F3345" s="10" t="s">
        <v>51</v>
      </c>
      <c r="G3345" s="10" t="n">
        <v>335</v>
      </c>
      <c r="H3345" s="10" t="n">
        <v>595</v>
      </c>
      <c r="I3345" s="10" t="n">
        <v>97</v>
      </c>
      <c r="J3345" s="10" t="n">
        <v>0</v>
      </c>
      <c r="K3345" s="10" t="s">
        <v>20</v>
      </c>
      <c r="L3345" s="11" t="n">
        <v>41019.8355439815</v>
      </c>
      <c r="M3345" s="12" t="s">
        <v>8177</v>
      </c>
      <c r="N3345" s="12" t="s">
        <v>8178</v>
      </c>
      <c r="O3345" s="9" t="str">
        <f aca="false">HYPERLINK("https://pbs.twimg.com/profile_images/817573662937055232/i2eGbGfz_normal.jpg","View")</f>
        <v>View</v>
      </c>
      <c r="P3345" s="10"/>
    </row>
    <row r="3346" customFormat="false" ht="15.75" hidden="false" customHeight="false" outlineLevel="0" collapsed="false">
      <c r="A3346" s="6" t="n">
        <v>43030.3886342593</v>
      </c>
      <c r="B3346" s="7" t="str">
        <f aca="false">HYPERLINK("https://twitter.com/richking2017","@richking2017")</f>
        <v>@richking2017</v>
      </c>
      <c r="C3346" s="8" t="s">
        <v>8179</v>
      </c>
      <c r="D3346" s="8" t="s">
        <v>8180</v>
      </c>
      <c r="E3346" s="9" t="str">
        <f aca="false">HYPERLINK("https://twitter.com/richking2017/status/922135366802530304","922135366802530304")</f>
        <v>922135366802530304</v>
      </c>
      <c r="F3346" s="10" t="s">
        <v>25</v>
      </c>
      <c r="G3346" s="10" t="n">
        <v>36</v>
      </c>
      <c r="H3346" s="10" t="n">
        <v>721</v>
      </c>
      <c r="I3346" s="10" t="n">
        <v>1</v>
      </c>
      <c r="J3346" s="10" t="n">
        <v>0</v>
      </c>
      <c r="K3346" s="10" t="s">
        <v>20</v>
      </c>
      <c r="L3346" s="11" t="n">
        <v>42987.391724537</v>
      </c>
      <c r="M3346" s="12" t="s">
        <v>8181</v>
      </c>
      <c r="N3346" s="12" t="s">
        <v>8182</v>
      </c>
      <c r="O3346" s="9" t="str">
        <f aca="false">HYPERLINK("https://pbs.twimg.com/profile_images/906556556749230081/ojQvhXgb_normal.jpg","View")</f>
        <v>View</v>
      </c>
      <c r="P3346" s="10"/>
    </row>
    <row r="3347" customFormat="false" ht="15.75" hidden="false" customHeight="false" outlineLevel="0" collapsed="false">
      <c r="A3347" s="6" t="n">
        <v>43030.3887615741</v>
      </c>
      <c r="B3347" s="7" t="str">
        <f aca="false">HYPERLINK("https://twitter.com/SMUMustangAlum","@SMUMustangAlum")</f>
        <v>@SMUMustangAlum</v>
      </c>
      <c r="C3347" s="8" t="s">
        <v>8183</v>
      </c>
      <c r="D3347" s="8" t="s">
        <v>8184</v>
      </c>
      <c r="E3347" s="9" t="str">
        <f aca="false">HYPERLINK("https://twitter.com/SMUMustangAlum/status/922135411257954304","922135411257954304")</f>
        <v>922135411257954304</v>
      </c>
      <c r="F3347" s="10" t="s">
        <v>51</v>
      </c>
      <c r="G3347" s="10" t="n">
        <v>5259</v>
      </c>
      <c r="H3347" s="10" t="n">
        <v>3579</v>
      </c>
      <c r="I3347" s="10" t="n">
        <v>0</v>
      </c>
      <c r="J3347" s="10" t="n">
        <v>0</v>
      </c>
      <c r="K3347" s="10" t="s">
        <v>20</v>
      </c>
      <c r="L3347" s="11" t="n">
        <v>40592.4308333333</v>
      </c>
      <c r="M3347" s="12" t="s">
        <v>8185</v>
      </c>
      <c r="N3347" s="12" t="s">
        <v>8186</v>
      </c>
      <c r="O3347" s="9" t="str">
        <f aca="false">HYPERLINK("https://pbs.twimg.com/profile_images/856690483019567104/-80i4Lk4_normal.jpg","View")</f>
        <v>View</v>
      </c>
      <c r="P3347" s="10"/>
    </row>
    <row r="3348" customFormat="false" ht="15.75" hidden="false" customHeight="false" outlineLevel="0" collapsed="false">
      <c r="A3348" s="6" t="n">
        <v>43030.3889236111</v>
      </c>
      <c r="B3348" s="7" t="str">
        <f aca="false">HYPERLINK("https://twitter.com/cocolasvegas64","@cocolasvegas64")</f>
        <v>@cocolasvegas64</v>
      </c>
      <c r="C3348" s="8" t="s">
        <v>8187</v>
      </c>
      <c r="D3348" s="8" t="s">
        <v>8188</v>
      </c>
      <c r="E3348" s="9" t="str">
        <f aca="false">HYPERLINK("https://twitter.com/cocolasvegas64/status/922135470427066369","922135470427066369")</f>
        <v>922135470427066369</v>
      </c>
      <c r="F3348" s="10" t="s">
        <v>51</v>
      </c>
      <c r="G3348" s="10" t="n">
        <v>9984</v>
      </c>
      <c r="H3348" s="10" t="n">
        <v>7646</v>
      </c>
      <c r="I3348" s="10" t="n">
        <v>0</v>
      </c>
      <c r="J3348" s="10" t="n">
        <v>0</v>
      </c>
      <c r="K3348" s="10" t="s">
        <v>20</v>
      </c>
      <c r="L3348" s="11" t="n">
        <v>41565.6807175926</v>
      </c>
      <c r="M3348" s="12" t="s">
        <v>8189</v>
      </c>
      <c r="N3348" s="12" t="s">
        <v>8190</v>
      </c>
      <c r="O3348" s="9" t="str">
        <f aca="false">HYPERLINK("https://pbs.twimg.com/profile_images/905067921214509056/bx3wpoe2_normal.jpg","View")</f>
        <v>View</v>
      </c>
      <c r="P3348" s="10"/>
    </row>
    <row r="3349" customFormat="false" ht="15.75" hidden="false" customHeight="false" outlineLevel="0" collapsed="false">
      <c r="A3349" s="6" t="n">
        <v>43030.3890625</v>
      </c>
      <c r="B3349" s="7" t="str">
        <f aca="false">HYPERLINK("https://twitter.com/rossimo90","@rossimo90")</f>
        <v>@rossimo90</v>
      </c>
      <c r="C3349" s="8" t="s">
        <v>8191</v>
      </c>
      <c r="D3349" s="8" t="s">
        <v>8192</v>
      </c>
      <c r="E3349" s="9" t="str">
        <f aca="false">HYPERLINK("https://twitter.com/rossimo90/status/922135520968364032","922135520968364032")</f>
        <v>922135520968364032</v>
      </c>
      <c r="F3349" s="10" t="s">
        <v>51</v>
      </c>
      <c r="G3349" s="10" t="n">
        <v>956</v>
      </c>
      <c r="H3349" s="10" t="n">
        <v>2391</v>
      </c>
      <c r="I3349" s="10" t="n">
        <v>8</v>
      </c>
      <c r="J3349" s="10" t="n">
        <v>0</v>
      </c>
      <c r="K3349" s="10" t="s">
        <v>20</v>
      </c>
      <c r="L3349" s="11" t="n">
        <v>42057.3493171296</v>
      </c>
      <c r="M3349" s="12" t="s">
        <v>7516</v>
      </c>
      <c r="N3349" s="12" t="s">
        <v>8193</v>
      </c>
      <c r="O3349" s="9" t="str">
        <f aca="false">HYPERLINK("https://pbs.twimg.com/profile_images/914558026316697602/elp4ZvPe_normal.jpg","View")</f>
        <v>View</v>
      </c>
      <c r="P3349" s="10"/>
    </row>
    <row r="3350" customFormat="false" ht="15.75" hidden="false" customHeight="false" outlineLevel="0" collapsed="false">
      <c r="A3350" s="6" t="n">
        <v>43030.3897800926</v>
      </c>
      <c r="B3350" s="7" t="str">
        <f aca="false">HYPERLINK("https://twitter.com/TheBFRoom","@TheBFRoom")</f>
        <v>@TheBFRoom</v>
      </c>
      <c r="C3350" s="8" t="s">
        <v>674</v>
      </c>
      <c r="D3350" s="8" t="s">
        <v>8194</v>
      </c>
      <c r="E3350" s="9" t="str">
        <f aca="false">HYPERLINK("https://twitter.com/TheBFRoom/status/922135781308882946","922135781308882946")</f>
        <v>922135781308882946</v>
      </c>
      <c r="F3350" s="10" t="s">
        <v>60</v>
      </c>
      <c r="G3350" s="10" t="n">
        <v>3260</v>
      </c>
      <c r="H3350" s="10" t="n">
        <v>3958</v>
      </c>
      <c r="I3350" s="10" t="n">
        <v>0</v>
      </c>
      <c r="J3350" s="10" t="n">
        <v>0</v>
      </c>
      <c r="K3350" s="10" t="s">
        <v>20</v>
      </c>
      <c r="L3350" s="11" t="n">
        <v>42761.325162037</v>
      </c>
      <c r="M3350" s="12" t="s">
        <v>230</v>
      </c>
      <c r="N3350" s="12" t="s">
        <v>676</v>
      </c>
      <c r="O3350" s="9" t="str">
        <f aca="false">HYPERLINK("https://pbs.twimg.com/profile_images/898379268778020864/0u1zlj_B_normal.jpg","View")</f>
        <v>View</v>
      </c>
      <c r="P3350" s="10"/>
    </row>
    <row r="3351" customFormat="false" ht="15.75" hidden="false" customHeight="false" outlineLevel="0" collapsed="false">
      <c r="A3351" s="6" t="n">
        <v>43030.3900694444</v>
      </c>
      <c r="B3351" s="7" t="str">
        <f aca="false">HYPERLINK("https://twitter.com/muokimathew","@muokimathew")</f>
        <v>@muokimathew</v>
      </c>
      <c r="C3351" s="8" t="s">
        <v>8195</v>
      </c>
      <c r="D3351" s="8" t="s">
        <v>5135</v>
      </c>
      <c r="E3351" s="9" t="str">
        <f aca="false">HYPERLINK("https://twitter.com/muokimathew/status/922135888741715974","922135888741715974")</f>
        <v>922135888741715974</v>
      </c>
      <c r="F3351" s="10" t="s">
        <v>25</v>
      </c>
      <c r="G3351" s="10" t="n">
        <v>588</v>
      </c>
      <c r="H3351" s="10" t="n">
        <v>880</v>
      </c>
      <c r="I3351" s="10" t="n">
        <v>18</v>
      </c>
      <c r="J3351" s="10" t="n">
        <v>0</v>
      </c>
      <c r="K3351" s="10" t="s">
        <v>20</v>
      </c>
      <c r="L3351" s="11" t="n">
        <v>42028.1102777778</v>
      </c>
      <c r="M3351" s="12" t="s">
        <v>8196</v>
      </c>
      <c r="N3351" s="12" t="s">
        <v>8197</v>
      </c>
      <c r="O3351" s="9" t="str">
        <f aca="false">HYPERLINK("https://pbs.twimg.com/profile_images/589420275852308480/pr-MzJ5F_normal.jpg","View")</f>
        <v>View</v>
      </c>
      <c r="P3351" s="10"/>
    </row>
    <row r="3352" customFormat="false" ht="15.75" hidden="false" customHeight="false" outlineLevel="0" collapsed="false">
      <c r="A3352" s="6" t="n">
        <v>43030.3904513889</v>
      </c>
      <c r="B3352" s="7" t="str">
        <f aca="false">HYPERLINK("https://twitter.com/DrSrinivasAlapa","@DrSrinivasAlapa")</f>
        <v>@DrSrinivasAlapa</v>
      </c>
      <c r="C3352" s="8" t="s">
        <v>8198</v>
      </c>
      <c r="D3352" s="8" t="s">
        <v>7736</v>
      </c>
      <c r="E3352" s="9" t="str">
        <f aca="false">HYPERLINK("https://twitter.com/DrSrinivasAlapa/status/922136023076884480","922136023076884480")</f>
        <v>922136023076884480</v>
      </c>
      <c r="F3352" s="10" t="s">
        <v>25</v>
      </c>
      <c r="G3352" s="10" t="n">
        <v>267</v>
      </c>
      <c r="H3352" s="10" t="n">
        <v>674</v>
      </c>
      <c r="I3352" s="10" t="n">
        <v>31</v>
      </c>
      <c r="J3352" s="10" t="n">
        <v>0</v>
      </c>
      <c r="K3352" s="10" t="s">
        <v>20</v>
      </c>
      <c r="L3352" s="11" t="n">
        <v>41313.4385300926</v>
      </c>
      <c r="M3352" s="12" t="s">
        <v>8199</v>
      </c>
      <c r="N3352" s="12" t="s">
        <v>8200</v>
      </c>
      <c r="O3352" s="9" t="str">
        <f aca="false">HYPERLINK("https://pbs.twimg.com/profile_images/760434600346722304/l8DlzU2R_normal.jpg","View")</f>
        <v>View</v>
      </c>
      <c r="P3352" s="10"/>
    </row>
    <row r="3353" customFormat="false" ht="15.75" hidden="false" customHeight="false" outlineLevel="0" collapsed="false">
      <c r="A3353" s="6" t="n">
        <v>43030.3906481482</v>
      </c>
      <c r="B3353" s="7" t="str">
        <f aca="false">HYPERLINK("https://twitter.com/YUGESHBABU14","@YUGESHBABU14")</f>
        <v>@YUGESHBABU14</v>
      </c>
      <c r="C3353" s="8" t="s">
        <v>8201</v>
      </c>
      <c r="D3353" s="8" t="s">
        <v>6558</v>
      </c>
      <c r="E3353" s="9" t="str">
        <f aca="false">HYPERLINK("https://twitter.com/YUGESHBABU14/status/922136097462689792","922136097462689792")</f>
        <v>922136097462689792</v>
      </c>
      <c r="F3353" s="10" t="s">
        <v>51</v>
      </c>
      <c r="G3353" s="10" t="n">
        <v>182</v>
      </c>
      <c r="H3353" s="10" t="n">
        <v>158</v>
      </c>
      <c r="I3353" s="10" t="n">
        <v>65</v>
      </c>
      <c r="J3353" s="10" t="n">
        <v>0</v>
      </c>
      <c r="K3353" s="10" t="s">
        <v>20</v>
      </c>
      <c r="L3353" s="11" t="n">
        <v>40253.0105671296</v>
      </c>
      <c r="M3353" s="12" t="s">
        <v>8202</v>
      </c>
      <c r="N3353" s="12" t="s">
        <v>8203</v>
      </c>
      <c r="O3353" s="9" t="str">
        <f aca="false">HYPERLINK("https://pbs.twimg.com/profile_images/784698793719533568/KLO7LHlS_normal.jpg","View")</f>
        <v>View</v>
      </c>
      <c r="P3353" s="10"/>
    </row>
    <row r="3354" customFormat="false" ht="15.75" hidden="false" customHeight="false" outlineLevel="0" collapsed="false">
      <c r="A3354" s="6" t="n">
        <v>43030.3916319444</v>
      </c>
      <c r="B3354" s="7" t="str">
        <f aca="false">HYPERLINK("https://twitter.com/swargcoming","@swargcoming")</f>
        <v>@swargcoming</v>
      </c>
      <c r="C3354" s="8" t="s">
        <v>8204</v>
      </c>
      <c r="D3354" s="8" t="s">
        <v>8192</v>
      </c>
      <c r="E3354" s="9" t="str">
        <f aca="false">HYPERLINK("https://twitter.com/swargcoming/status/922136453039009793","922136453039009793")</f>
        <v>922136453039009793</v>
      </c>
      <c r="F3354" s="10" t="s">
        <v>39</v>
      </c>
      <c r="G3354" s="10" t="n">
        <v>5321</v>
      </c>
      <c r="H3354" s="10" t="n">
        <v>297</v>
      </c>
      <c r="I3354" s="10" t="n">
        <v>8</v>
      </c>
      <c r="J3354" s="10" t="n">
        <v>0</v>
      </c>
      <c r="K3354" s="10" t="s">
        <v>20</v>
      </c>
      <c r="L3354" s="11" t="n">
        <v>41908.7370833333</v>
      </c>
      <c r="M3354" s="12" t="s">
        <v>230</v>
      </c>
      <c r="N3354" s="12" t="s">
        <v>8205</v>
      </c>
      <c r="O3354" s="9" t="str">
        <f aca="false">HYPERLINK("https://pbs.twimg.com/profile_images/902298767449251840/E2eLVVeg_normal.jpg","View")</f>
        <v>View</v>
      </c>
      <c r="P3354" s="10"/>
    </row>
    <row r="3355" customFormat="false" ht="15.75" hidden="false" customHeight="false" outlineLevel="0" collapsed="false">
      <c r="A3355" s="6" t="n">
        <v>43030.3917592593</v>
      </c>
      <c r="B3355" s="7" t="str">
        <f aca="false">HYPERLINK("https://twitter.com/LalithKris","@LalithKris")</f>
        <v>@LalithKris</v>
      </c>
      <c r="C3355" s="8" t="s">
        <v>8206</v>
      </c>
      <c r="D3355" s="8" t="s">
        <v>8207</v>
      </c>
      <c r="E3355" s="9" t="str">
        <f aca="false">HYPERLINK("https://twitter.com/LalithKris/status/922136499356827648","922136499356827648")</f>
        <v>922136499356827648</v>
      </c>
      <c r="F3355" s="10" t="s">
        <v>39</v>
      </c>
      <c r="G3355" s="10" t="n">
        <v>396</v>
      </c>
      <c r="H3355" s="10" t="n">
        <v>10</v>
      </c>
      <c r="I3355" s="10" t="n">
        <v>0</v>
      </c>
      <c r="J3355" s="10" t="n">
        <v>0</v>
      </c>
      <c r="K3355" s="10" t="s">
        <v>20</v>
      </c>
      <c r="L3355" s="11" t="n">
        <v>42419.0413888889</v>
      </c>
      <c r="M3355" s="12"/>
      <c r="N3355" s="12" t="s">
        <v>8208</v>
      </c>
      <c r="O3355" s="9" t="str">
        <f aca="false">HYPERLINK("https://pbs.twimg.com/profile_images/923787226575540224/laQBsztd_normal.jpg","View")</f>
        <v>View</v>
      </c>
      <c r="P3355" s="10"/>
    </row>
    <row r="3356" customFormat="false" ht="15.75" hidden="false" customHeight="false" outlineLevel="0" collapsed="false">
      <c r="A3356" s="6" t="n">
        <v>43030.3918518518</v>
      </c>
      <c r="B3356" s="7" t="str">
        <f aca="false">HYPERLINK("https://twitter.com/ANUJMATHEW55","@ANUJMATHEW55")</f>
        <v>@ANUJMATHEW55</v>
      </c>
      <c r="C3356" s="8" t="s">
        <v>8209</v>
      </c>
      <c r="D3356" s="8" t="s">
        <v>8210</v>
      </c>
      <c r="E3356" s="9" t="str">
        <f aca="false">HYPERLINK("https://twitter.com/ANUJMATHEW55/status/922136533540442112","922136533540442112")</f>
        <v>922136533540442112</v>
      </c>
      <c r="F3356" s="10" t="s">
        <v>25</v>
      </c>
      <c r="G3356" s="10" t="n">
        <v>4</v>
      </c>
      <c r="H3356" s="10" t="n">
        <v>94</v>
      </c>
      <c r="I3356" s="10" t="n">
        <v>0</v>
      </c>
      <c r="J3356" s="10" t="n">
        <v>0</v>
      </c>
      <c r="K3356" s="10" t="s">
        <v>20</v>
      </c>
      <c r="L3356" s="11" t="n">
        <v>42548.2796759259</v>
      </c>
      <c r="M3356" s="12" t="s">
        <v>8211</v>
      </c>
      <c r="N3356" s="12" t="s">
        <v>8212</v>
      </c>
      <c r="O3356" s="9" t="str">
        <f aca="false">HYPERLINK("https://pbs.twimg.com/profile_images/896735137400016897/TFEpSAuc_normal.jpg","View")</f>
        <v>View</v>
      </c>
      <c r="P3356" s="10"/>
    </row>
    <row r="3357" customFormat="false" ht="15.75" hidden="false" customHeight="false" outlineLevel="0" collapsed="false">
      <c r="A3357" s="6" t="n">
        <v>43030.3928819444</v>
      </c>
      <c r="B3357" s="7" t="str">
        <f aca="false">HYPERLINK("https://twitter.com/RainbowLinkInc","@RainbowLinkInc")</f>
        <v>@RainbowLinkInc</v>
      </c>
      <c r="C3357" s="8" t="s">
        <v>8213</v>
      </c>
      <c r="D3357" s="8" t="s">
        <v>3422</v>
      </c>
      <c r="E3357" s="9" t="str">
        <f aca="false">HYPERLINK("https://twitter.com/RainbowLinkInc/status/922136907290513408","922136907290513408")</f>
        <v>922136907290513408</v>
      </c>
      <c r="F3357" s="10" t="s">
        <v>8070</v>
      </c>
      <c r="G3357" s="10" t="n">
        <v>9109</v>
      </c>
      <c r="H3357" s="10" t="n">
        <v>8960</v>
      </c>
      <c r="I3357" s="10" t="n">
        <v>27</v>
      </c>
      <c r="J3357" s="10" t="n">
        <v>0</v>
      </c>
      <c r="K3357" s="10" t="s">
        <v>20</v>
      </c>
      <c r="L3357" s="11" t="n">
        <v>41592.3144907407</v>
      </c>
      <c r="M3357" s="12" t="s">
        <v>8214</v>
      </c>
      <c r="N3357" s="12" t="s">
        <v>8215</v>
      </c>
      <c r="O3357" s="9" t="str">
        <f aca="false">HYPERLINK("https://pbs.twimg.com/profile_images/648398098255863809/jzVCdWm7_normal.png","View")</f>
        <v>View</v>
      </c>
      <c r="P3357" s="10"/>
    </row>
    <row r="3358" customFormat="false" ht="15.75" hidden="false" customHeight="false" outlineLevel="0" collapsed="false">
      <c r="A3358" s="6" t="n">
        <v>43030.3937384259</v>
      </c>
      <c r="B3358" s="7" t="str">
        <f aca="false">HYPERLINK("https://twitter.com/RainbowLinkInc","@RainbowLinkInc")</f>
        <v>@RainbowLinkInc</v>
      </c>
      <c r="C3358" s="8" t="s">
        <v>8213</v>
      </c>
      <c r="D3358" s="8" t="s">
        <v>6945</v>
      </c>
      <c r="E3358" s="9" t="str">
        <f aca="false">HYPERLINK("https://twitter.com/RainbowLinkInc/status/922137214515003393","922137214515003393")</f>
        <v>922137214515003393</v>
      </c>
      <c r="F3358" s="10" t="s">
        <v>8070</v>
      </c>
      <c r="G3358" s="10" t="n">
        <v>9109</v>
      </c>
      <c r="H3358" s="10" t="n">
        <v>8960</v>
      </c>
      <c r="I3358" s="10" t="n">
        <v>22</v>
      </c>
      <c r="J3358" s="10" t="n">
        <v>0</v>
      </c>
      <c r="K3358" s="10" t="s">
        <v>20</v>
      </c>
      <c r="L3358" s="11" t="n">
        <v>41592.3144907407</v>
      </c>
      <c r="M3358" s="12" t="s">
        <v>8214</v>
      </c>
      <c r="N3358" s="12" t="s">
        <v>8215</v>
      </c>
      <c r="O3358" s="9" t="str">
        <f aca="false">HYPERLINK("https://pbs.twimg.com/profile_images/648398098255863809/jzVCdWm7_normal.png","View")</f>
        <v>View</v>
      </c>
      <c r="P3358" s="10"/>
    </row>
    <row r="3359" customFormat="false" ht="15.75" hidden="false" customHeight="false" outlineLevel="0" collapsed="false">
      <c r="A3359" s="6" t="n">
        <v>43030.3938888889</v>
      </c>
      <c r="B3359" s="7" t="str">
        <f aca="false">HYPERLINK("https://twitter.com/NTKRNow","@NTKRNow")</f>
        <v>@NTKRNow</v>
      </c>
      <c r="C3359" s="8" t="s">
        <v>829</v>
      </c>
      <c r="D3359" s="8" t="s">
        <v>8216</v>
      </c>
      <c r="E3359" s="9" t="str">
        <f aca="false">HYPERLINK("https://twitter.com/NTKRNow/status/922137269288480768","922137269288480768")</f>
        <v>922137269288480768</v>
      </c>
      <c r="F3359" s="10" t="s">
        <v>60</v>
      </c>
      <c r="G3359" s="10" t="n">
        <v>610</v>
      </c>
      <c r="H3359" s="10" t="n">
        <v>4</v>
      </c>
      <c r="I3359" s="10" t="n">
        <v>0</v>
      </c>
      <c r="J3359" s="10" t="n">
        <v>0</v>
      </c>
      <c r="K3359" s="10" t="s">
        <v>20</v>
      </c>
      <c r="L3359" s="11" t="n">
        <v>42402.810625</v>
      </c>
      <c r="M3359" s="12"/>
      <c r="N3359" s="12"/>
      <c r="O3359" s="9" t="str">
        <f aca="false">HYPERLINK("https://abs.twimg.com/sticky/default_profile_images/default_profile_normal.png","View")</f>
        <v>View</v>
      </c>
      <c r="P3359" s="10"/>
    </row>
    <row r="3360" customFormat="false" ht="15.75" hidden="false" customHeight="false" outlineLevel="0" collapsed="false">
      <c r="A3360" s="6" t="n">
        <v>43030.3940856482</v>
      </c>
      <c r="B3360" s="7" t="str">
        <f aca="false">HYPERLINK("https://twitter.com/EagleStarNET","@EagleStarNET")</f>
        <v>@EagleStarNET</v>
      </c>
      <c r="C3360" s="7" t="s">
        <v>8217</v>
      </c>
      <c r="D3360" s="8" t="s">
        <v>8218</v>
      </c>
      <c r="E3360" s="9" t="str">
        <f aca="false">HYPERLINK("https://twitter.com/EagleStarNET/status/922137342013575169","922137342013575169")</f>
        <v>922137342013575169</v>
      </c>
      <c r="F3360" s="10" t="s">
        <v>8219</v>
      </c>
      <c r="G3360" s="10" t="n">
        <v>113018</v>
      </c>
      <c r="H3360" s="10" t="n">
        <v>10482</v>
      </c>
      <c r="I3360" s="10" t="n">
        <v>3</v>
      </c>
      <c r="J3360" s="10" t="n">
        <v>4</v>
      </c>
      <c r="K3360" s="10" t="s">
        <v>20</v>
      </c>
      <c r="L3360" s="11" t="n">
        <v>39863.6382407407</v>
      </c>
      <c r="M3360" s="12" t="s">
        <v>8220</v>
      </c>
      <c r="N3360" s="12" t="s">
        <v>8221</v>
      </c>
      <c r="O3360" s="9" t="str">
        <f aca="false">HYPERLINK("https://pbs.twimg.com/profile_images/1281792618/es_logo_metallic_gold_2_normal.jpg","View")</f>
        <v>View</v>
      </c>
      <c r="P3360" s="10"/>
    </row>
    <row r="3361" customFormat="false" ht="15.75" hidden="false" customHeight="false" outlineLevel="0" collapsed="false">
      <c r="A3361" s="6" t="n">
        <v>43030.3948263889</v>
      </c>
      <c r="B3361" s="7" t="str">
        <f aca="false">HYPERLINK("https://twitter.com/mammeri14828362","@mammeri14828362")</f>
        <v>@mammeri14828362</v>
      </c>
      <c r="C3361" s="8" t="s">
        <v>8222</v>
      </c>
      <c r="D3361" s="8" t="s">
        <v>8223</v>
      </c>
      <c r="E3361" s="9" t="str">
        <f aca="false">HYPERLINK("https://twitter.com/mammeri14828362/status/922137608695762945","922137608695762945")</f>
        <v>922137608695762945</v>
      </c>
      <c r="F3361" s="10" t="s">
        <v>25</v>
      </c>
      <c r="G3361" s="10" t="n">
        <v>1828</v>
      </c>
      <c r="H3361" s="10" t="n">
        <v>5004</v>
      </c>
      <c r="I3361" s="10" t="n">
        <v>3</v>
      </c>
      <c r="J3361" s="10" t="n">
        <v>0</v>
      </c>
      <c r="K3361" s="10" t="s">
        <v>20</v>
      </c>
      <c r="L3361" s="11" t="n">
        <v>42792.4388425926</v>
      </c>
      <c r="M3361" s="12"/>
      <c r="N3361" s="12"/>
      <c r="O3361" s="9" t="str">
        <f aca="false">HYPERLINK("https://pbs.twimg.com/profile_images/835971152182927362/KoDgkXxy_normal.jpg","View")</f>
        <v>View</v>
      </c>
      <c r="P3361" s="10"/>
    </row>
    <row r="3362" customFormat="false" ht="15.75" hidden="false" customHeight="false" outlineLevel="0" collapsed="false">
      <c r="A3362" s="6" t="n">
        <v>43030.395625</v>
      </c>
      <c r="B3362" s="7" t="str">
        <f aca="false">HYPERLINK("https://twitter.com/SanRajeevSingh","@SanRajeevSingh")</f>
        <v>@SanRajeevSingh</v>
      </c>
      <c r="C3362" s="8" t="s">
        <v>8224</v>
      </c>
      <c r="D3362" s="8" t="s">
        <v>7905</v>
      </c>
      <c r="E3362" s="9" t="str">
        <f aca="false">HYPERLINK("https://twitter.com/SanRajeevSingh/status/922137899990114304","922137899990114304")</f>
        <v>922137899990114304</v>
      </c>
      <c r="F3362" s="10" t="s">
        <v>25</v>
      </c>
      <c r="G3362" s="10" t="n">
        <v>58</v>
      </c>
      <c r="H3362" s="10" t="n">
        <v>245</v>
      </c>
      <c r="I3362" s="10" t="n">
        <v>38</v>
      </c>
      <c r="J3362" s="10" t="n">
        <v>0</v>
      </c>
      <c r="K3362" s="10" t="s">
        <v>20</v>
      </c>
      <c r="L3362" s="11" t="n">
        <v>41793.4435416667</v>
      </c>
      <c r="M3362" s="12"/>
      <c r="N3362" s="12"/>
      <c r="O3362" s="9" t="str">
        <f aca="false">HYPERLINK("https://pbs.twimg.com/profile_images/486364792328687616/E13kFVKd_normal.jpeg","View")</f>
        <v>View</v>
      </c>
      <c r="P3362" s="10"/>
    </row>
    <row r="3363" customFormat="false" ht="15.75" hidden="false" customHeight="false" outlineLevel="0" collapsed="false">
      <c r="A3363" s="6" t="n">
        <v>43030.3961342593</v>
      </c>
      <c r="B3363" s="7" t="str">
        <f aca="false">HYPERLINK("https://twitter.com/christianebuddy","@christianebuddy")</f>
        <v>@christianebuddy</v>
      </c>
      <c r="C3363" s="8" t="s">
        <v>7298</v>
      </c>
      <c r="D3363" s="8" t="s">
        <v>8225</v>
      </c>
      <c r="E3363" s="9" t="str">
        <f aca="false">HYPERLINK("https://twitter.com/christianebuddy/status/922138085617520640","922138085617520640")</f>
        <v>922138085617520640</v>
      </c>
      <c r="F3363" s="10" t="s">
        <v>7300</v>
      </c>
      <c r="G3363" s="10" t="n">
        <v>1956</v>
      </c>
      <c r="H3363" s="10" t="n">
        <v>1941</v>
      </c>
      <c r="I3363" s="10" t="n">
        <v>0</v>
      </c>
      <c r="J3363" s="10" t="n">
        <v>0</v>
      </c>
      <c r="K3363" s="10" t="s">
        <v>20</v>
      </c>
      <c r="L3363" s="11" t="n">
        <v>39855.2006828704</v>
      </c>
      <c r="M3363" s="12" t="s">
        <v>132</v>
      </c>
      <c r="N3363" s="12" t="s">
        <v>7301</v>
      </c>
      <c r="O3363" s="9" t="str">
        <f aca="false">HYPERLINK("https://pbs.twimg.com/profile_images/1381293199/Screen_shot_2011-06-04_at_12.48.42_normal.png","View")</f>
        <v>View</v>
      </c>
      <c r="P3363" s="10"/>
    </row>
    <row r="3364" customFormat="false" ht="15.75" hidden="false" customHeight="false" outlineLevel="0" collapsed="false">
      <c r="A3364" s="6" t="n">
        <v>43030.3961689815</v>
      </c>
      <c r="B3364" s="7" t="str">
        <f aca="false">HYPERLINK("https://twitter.com/RemarkableRita","@RemarkableRita")</f>
        <v>@RemarkableRita</v>
      </c>
      <c r="C3364" s="8" t="s">
        <v>8226</v>
      </c>
      <c r="D3364" s="8" t="s">
        <v>3295</v>
      </c>
      <c r="E3364" s="9" t="str">
        <f aca="false">HYPERLINK("https://twitter.com/RemarkableRita/status/922138097147453440","922138097147453440")</f>
        <v>922138097147453440</v>
      </c>
      <c r="F3364" s="10" t="s">
        <v>25</v>
      </c>
      <c r="G3364" s="10" t="n">
        <v>21</v>
      </c>
      <c r="H3364" s="10" t="n">
        <v>191</v>
      </c>
      <c r="I3364" s="10" t="n">
        <v>71</v>
      </c>
      <c r="J3364" s="10" t="n">
        <v>0</v>
      </c>
      <c r="K3364" s="10" t="s">
        <v>20</v>
      </c>
      <c r="L3364" s="11" t="n">
        <v>42851.3175347222</v>
      </c>
      <c r="M3364" s="12"/>
      <c r="N3364" s="12"/>
      <c r="O3364" s="9" t="str">
        <f aca="false">HYPERLINK("https://abs.twimg.com/sticky/default_profile_images/default_profile_normal.png","View")</f>
        <v>View</v>
      </c>
      <c r="P3364" s="10"/>
    </row>
    <row r="3365" customFormat="false" ht="15.75" hidden="false" customHeight="false" outlineLevel="0" collapsed="false">
      <c r="A3365" s="6" t="n">
        <v>43030.3962615741</v>
      </c>
      <c r="B3365" s="7" t="str">
        <f aca="false">HYPERLINK("https://twitter.com/mammeri14828361","@mammeri14828361")</f>
        <v>@mammeri14828361</v>
      </c>
      <c r="C3365" s="8" t="s">
        <v>8227</v>
      </c>
      <c r="D3365" s="8" t="s">
        <v>8223</v>
      </c>
      <c r="E3365" s="9" t="str">
        <f aca="false">HYPERLINK("https://twitter.com/mammeri14828361/status/922138129300987906","922138129300987906")</f>
        <v>922138129300987906</v>
      </c>
      <c r="F3365" s="10" t="s">
        <v>25</v>
      </c>
      <c r="G3365" s="10" t="n">
        <v>1198</v>
      </c>
      <c r="H3365" s="10" t="n">
        <v>3912</v>
      </c>
      <c r="I3365" s="10" t="n">
        <v>3</v>
      </c>
      <c r="J3365" s="10" t="n">
        <v>0</v>
      </c>
      <c r="K3365" s="10" t="s">
        <v>20</v>
      </c>
      <c r="L3365" s="11" t="n">
        <v>43019.4796412037</v>
      </c>
      <c r="M3365" s="12" t="s">
        <v>8228</v>
      </c>
      <c r="N3365" s="12" t="s">
        <v>8229</v>
      </c>
      <c r="O3365" s="9" t="str">
        <f aca="false">HYPERLINK("https://pbs.twimg.com/profile_images/918460128994709505/kmCxXmEM_normal.jpg","View")</f>
        <v>View</v>
      </c>
      <c r="P3365" s="10"/>
    </row>
    <row r="3366" customFormat="false" ht="15.75" hidden="false" customHeight="false" outlineLevel="0" collapsed="false">
      <c r="A3366" s="6" t="n">
        <v>43030.396724537</v>
      </c>
      <c r="B3366" s="7" t="str">
        <f aca="false">HYPERLINK("https://twitter.com/AchillesofHomer","@AchillesofHomer")</f>
        <v>@AchillesofHomer</v>
      </c>
      <c r="C3366" s="8" t="s">
        <v>8230</v>
      </c>
      <c r="D3366" s="8" t="s">
        <v>8231</v>
      </c>
      <c r="E3366" s="9" t="str">
        <f aca="false">HYPERLINK("https://twitter.com/AchillesofHomer/status/922138297744244736","922138297744244736")</f>
        <v>922138297744244736</v>
      </c>
      <c r="F3366" s="10" t="s">
        <v>51</v>
      </c>
      <c r="G3366" s="10" t="n">
        <v>670</v>
      </c>
      <c r="H3366" s="10" t="n">
        <v>5001</v>
      </c>
      <c r="I3366" s="10" t="n">
        <v>0</v>
      </c>
      <c r="J3366" s="10" t="n">
        <v>0</v>
      </c>
      <c r="K3366" s="10" t="s">
        <v>20</v>
      </c>
      <c r="L3366" s="11" t="n">
        <v>40970.6127083333</v>
      </c>
      <c r="M3366" s="12"/>
      <c r="N3366" s="12" t="s">
        <v>8232</v>
      </c>
      <c r="O3366" s="9" t="str">
        <f aca="false">HYPERLINK("https://pbs.twimg.com/profile_images/3313148964/49087bd3f4a747fba8f3e9140f6c2350_normal.jpeg","View")</f>
        <v>View</v>
      </c>
      <c r="P3366" s="10"/>
    </row>
    <row r="3367" customFormat="false" ht="15.75" hidden="false" customHeight="false" outlineLevel="0" collapsed="false">
      <c r="A3367" s="6" t="n">
        <v>43030.3967824074</v>
      </c>
      <c r="B3367" s="7" t="str">
        <f aca="false">HYPERLINK("https://twitter.com/CitizenBLR301","@CitizenBLR301")</f>
        <v>@CitizenBLR301</v>
      </c>
      <c r="C3367" s="8" t="s">
        <v>8233</v>
      </c>
      <c r="D3367" s="8" t="s">
        <v>7905</v>
      </c>
      <c r="E3367" s="9" t="str">
        <f aca="false">HYPERLINK("https://twitter.com/CitizenBLR301/status/922138319508475905","922138319508475905")</f>
        <v>922138319508475905</v>
      </c>
      <c r="F3367" s="10" t="s">
        <v>25</v>
      </c>
      <c r="G3367" s="10" t="n">
        <v>89</v>
      </c>
      <c r="H3367" s="10" t="n">
        <v>470</v>
      </c>
      <c r="I3367" s="10" t="n">
        <v>38</v>
      </c>
      <c r="J3367" s="10" t="n">
        <v>0</v>
      </c>
      <c r="K3367" s="10" t="s">
        <v>20</v>
      </c>
      <c r="L3367" s="11" t="n">
        <v>40753.4765856482</v>
      </c>
      <c r="M3367" s="12" t="s">
        <v>868</v>
      </c>
      <c r="N3367" s="12" t="s">
        <v>8234</v>
      </c>
      <c r="O3367" s="9" t="str">
        <f aca="false">HYPERLINK("https://pbs.twimg.com/profile_images/840577785219448833/a8IfE5DA_normal.jpg","View")</f>
        <v>View</v>
      </c>
      <c r="P3367" s="10"/>
    </row>
    <row r="3368" customFormat="false" ht="15.75" hidden="false" customHeight="false" outlineLevel="0" collapsed="false">
      <c r="A3368" s="6" t="n">
        <v>43030.3970138889</v>
      </c>
      <c r="B3368" s="7" t="str">
        <f aca="false">HYPERLINK("https://twitter.com/KathyBenson2","@KathyBenson2")</f>
        <v>@KathyBenson2</v>
      </c>
      <c r="C3368" s="8" t="s">
        <v>8235</v>
      </c>
      <c r="D3368" s="8" t="s">
        <v>8236</v>
      </c>
      <c r="E3368" s="9" t="str">
        <f aca="false">HYPERLINK("https://twitter.com/KathyBenson2/status/922138405072441345","922138405072441345")</f>
        <v>922138405072441345</v>
      </c>
      <c r="F3368" s="10" t="s">
        <v>51</v>
      </c>
      <c r="G3368" s="10" t="n">
        <v>1755</v>
      </c>
      <c r="H3368" s="10" t="n">
        <v>4999</v>
      </c>
      <c r="I3368" s="10" t="n">
        <v>0</v>
      </c>
      <c r="J3368" s="10" t="n">
        <v>0</v>
      </c>
      <c r="K3368" s="10" t="s">
        <v>20</v>
      </c>
      <c r="L3368" s="11" t="n">
        <v>40694.7713773148</v>
      </c>
      <c r="M3368" s="12"/>
      <c r="N3368" s="12" t="s">
        <v>8237</v>
      </c>
      <c r="O3368" s="9" t="str">
        <f aca="false">HYPERLINK("https://pbs.twimg.com/profile_images/858491445879029760/eHCe0QpK_normal.jpg","View")</f>
        <v>View</v>
      </c>
      <c r="P3368" s="10"/>
    </row>
    <row r="3369" customFormat="false" ht="15.75" hidden="false" customHeight="false" outlineLevel="0" collapsed="false">
      <c r="A3369" s="6" t="n">
        <v>43030.3971643519</v>
      </c>
      <c r="B3369" s="7" t="str">
        <f aca="false">HYPERLINK("https://twitter.com/FlatKorea","@FlatKorea")</f>
        <v>@FlatKorea</v>
      </c>
      <c r="C3369" s="8" t="s">
        <v>8238</v>
      </c>
      <c r="D3369" s="8" t="s">
        <v>8192</v>
      </c>
      <c r="E3369" s="9" t="str">
        <f aca="false">HYPERLINK("https://twitter.com/FlatKorea/status/922138457790595073","922138457790595073")</f>
        <v>922138457790595073</v>
      </c>
      <c r="F3369" s="10" t="s">
        <v>39</v>
      </c>
      <c r="G3369" s="10" t="n">
        <v>299</v>
      </c>
      <c r="H3369" s="10" t="n">
        <v>1399</v>
      </c>
      <c r="I3369" s="10" t="n">
        <v>8</v>
      </c>
      <c r="J3369" s="10" t="n">
        <v>0</v>
      </c>
      <c r="K3369" s="10" t="s">
        <v>20</v>
      </c>
      <c r="L3369" s="11" t="n">
        <v>40142.2889583333</v>
      </c>
      <c r="M3369" s="12"/>
      <c r="N3369" s="12"/>
      <c r="O3369" s="9" t="str">
        <f aca="false">HYPERLINK("https://pbs.twimg.com/profile_images/723185350420525056/shp4rV73_normal.jpg","View")</f>
        <v>View</v>
      </c>
      <c r="P3369" s="10"/>
    </row>
    <row r="3370" customFormat="false" ht="15.75" hidden="false" customHeight="false" outlineLevel="0" collapsed="false">
      <c r="A3370" s="6" t="n">
        <v>43030.3972569444</v>
      </c>
      <c r="B3370" s="7" t="str">
        <f aca="false">HYPERLINK("https://twitter.com/Aschettino","@Aschettino")</f>
        <v>@Aschettino</v>
      </c>
      <c r="C3370" s="8" t="s">
        <v>8239</v>
      </c>
      <c r="D3370" s="8" t="s">
        <v>8192</v>
      </c>
      <c r="E3370" s="9" t="str">
        <f aca="false">HYPERLINK("https://twitter.com/Aschettino/status/922138489952571395","922138489952571395")</f>
        <v>922138489952571395</v>
      </c>
      <c r="F3370" s="10" t="s">
        <v>51</v>
      </c>
      <c r="G3370" s="10" t="n">
        <v>1560</v>
      </c>
      <c r="H3370" s="10" t="n">
        <v>2407</v>
      </c>
      <c r="I3370" s="10" t="n">
        <v>8</v>
      </c>
      <c r="J3370" s="10" t="n">
        <v>0</v>
      </c>
      <c r="K3370" s="10" t="s">
        <v>20</v>
      </c>
      <c r="L3370" s="11" t="n">
        <v>40064.6126273148</v>
      </c>
      <c r="M3370" s="12" t="s">
        <v>8240</v>
      </c>
      <c r="N3370" s="12" t="s">
        <v>8241</v>
      </c>
      <c r="O3370" s="9" t="str">
        <f aca="false">HYPERLINK("https://pbs.twimg.com/profile_images/463365648064581632/aFu5A62V_normal.jpeg","View")</f>
        <v>View</v>
      </c>
      <c r="P3370" s="10"/>
    </row>
    <row r="3371" customFormat="false" ht="15.75" hidden="false" customHeight="false" outlineLevel="0" collapsed="false">
      <c r="A3371" s="6" t="n">
        <v>43030.3978819445</v>
      </c>
      <c r="B3371" s="7" t="str">
        <f aca="false">HYPERLINK("https://twitter.com/BCquakehelp","@BCquakehelp")</f>
        <v>@BCquakehelp</v>
      </c>
      <c r="C3371" s="8" t="s">
        <v>2438</v>
      </c>
      <c r="D3371" s="8" t="s">
        <v>6707</v>
      </c>
      <c r="E3371" s="9" t="str">
        <f aca="false">HYPERLINK("https://twitter.com/BCquakehelp/status/922138716054757378","922138716054757378")</f>
        <v>922138716054757378</v>
      </c>
      <c r="F3371" s="10" t="s">
        <v>39</v>
      </c>
      <c r="G3371" s="10" t="n">
        <v>3793</v>
      </c>
      <c r="H3371" s="10" t="n">
        <v>687</v>
      </c>
      <c r="I3371" s="10" t="n">
        <v>97</v>
      </c>
      <c r="J3371" s="10" t="n">
        <v>0</v>
      </c>
      <c r="K3371" s="10" t="s">
        <v>20</v>
      </c>
      <c r="L3371" s="11" t="n">
        <v>42999.0204282407</v>
      </c>
      <c r="M3371" s="12" t="s">
        <v>2439</v>
      </c>
      <c r="N3371" s="12" t="s">
        <v>2440</v>
      </c>
      <c r="O3371" s="9" t="str">
        <f aca="false">HYPERLINK("https://pbs.twimg.com/profile_images/914369314467209216/YAe3PsvC_normal.jpg","View")</f>
        <v>View</v>
      </c>
      <c r="P3371" s="10"/>
    </row>
    <row r="3372" customFormat="false" ht="15.75" hidden="false" customHeight="false" outlineLevel="0" collapsed="false">
      <c r="A3372" s="6" t="n">
        <v>43030.3981828704</v>
      </c>
      <c r="B3372" s="7" t="str">
        <f aca="false">HYPERLINK("https://twitter.com/1TN_18","@1TN_18")</f>
        <v>@1TN_18</v>
      </c>
      <c r="C3372" s="8" t="s">
        <v>8242</v>
      </c>
      <c r="D3372" s="8" t="s">
        <v>7515</v>
      </c>
      <c r="E3372" s="9" t="str">
        <f aca="false">HYPERLINK("https://twitter.com/1TN_18/status/922138825727627264","922138825727627264")</f>
        <v>922138825727627264</v>
      </c>
      <c r="F3372" s="10" t="s">
        <v>25</v>
      </c>
      <c r="G3372" s="10" t="n">
        <v>383</v>
      </c>
      <c r="H3372" s="10" t="n">
        <v>2409</v>
      </c>
      <c r="I3372" s="10" t="n">
        <v>25</v>
      </c>
      <c r="J3372" s="10" t="n">
        <v>0</v>
      </c>
      <c r="K3372" s="10" t="s">
        <v>20</v>
      </c>
      <c r="L3372" s="11" t="n">
        <v>42895.4465277778</v>
      </c>
      <c r="M3372" s="12"/>
      <c r="N3372" s="12" t="s">
        <v>8243</v>
      </c>
      <c r="O3372" s="9" t="str">
        <f aca="false">HYPERLINK("https://pbs.twimg.com/profile_images/913850401044221953/jU8dLgY2_normal.jpg","View")</f>
        <v>View</v>
      </c>
      <c r="P3372" s="10"/>
    </row>
    <row r="3373" customFormat="false" ht="15.75" hidden="false" customHeight="false" outlineLevel="0" collapsed="false">
      <c r="A3373" s="6" t="n">
        <v>43030.3982407408</v>
      </c>
      <c r="B3373" s="7" t="str">
        <f aca="false">HYPERLINK("https://twitter.com/FXBAUD","@FXBAUD")</f>
        <v>@FXBAUD</v>
      </c>
      <c r="C3373" s="8" t="s">
        <v>8244</v>
      </c>
      <c r="D3373" s="8" t="s">
        <v>8245</v>
      </c>
      <c r="E3373" s="9" t="str">
        <f aca="false">HYPERLINK("https://twitter.com/FXBAUD/status/922138847114350598","922138847114350598")</f>
        <v>922138847114350598</v>
      </c>
      <c r="F3373" s="10" t="s">
        <v>177</v>
      </c>
      <c r="G3373" s="10" t="n">
        <v>1169</v>
      </c>
      <c r="H3373" s="10" t="n">
        <v>2431</v>
      </c>
      <c r="I3373" s="10" t="n">
        <v>1</v>
      </c>
      <c r="J3373" s="10" t="n">
        <v>1</v>
      </c>
      <c r="K3373" s="10" t="s">
        <v>20</v>
      </c>
      <c r="L3373" s="11" t="n">
        <v>39958.1733680556</v>
      </c>
      <c r="M3373" s="12" t="s">
        <v>8246</v>
      </c>
      <c r="N3373" s="12" t="s">
        <v>8247</v>
      </c>
      <c r="O3373" s="9" t="str">
        <f aca="false">HYPERLINK("https://pbs.twimg.com/profile_images/2693949465/e9a21f3236194cb89d0730f16d88e4c4_normal.jpeg","View")</f>
        <v>View</v>
      </c>
      <c r="P3373" s="10"/>
    </row>
    <row r="3374" customFormat="false" ht="15.75" hidden="false" customHeight="false" outlineLevel="0" collapsed="false">
      <c r="A3374" s="6" t="n">
        <v>43030.3997337963</v>
      </c>
      <c r="B3374" s="7" t="str">
        <f aca="false">HYPERLINK("https://twitter.com/osvaldohiramoto","@osvaldohiramoto")</f>
        <v>@osvaldohiramoto</v>
      </c>
      <c r="C3374" s="14" t="s">
        <v>8248</v>
      </c>
      <c r="D3374" s="8" t="s">
        <v>8249</v>
      </c>
      <c r="E3374" s="9" t="str">
        <f aca="false">HYPERLINK("https://twitter.com/osvaldohiramoto/status/922139390687641600","922139390687641600")</f>
        <v>922139390687641600</v>
      </c>
      <c r="F3374" s="10" t="s">
        <v>39</v>
      </c>
      <c r="G3374" s="10" t="n">
        <v>2205</v>
      </c>
      <c r="H3374" s="10" t="n">
        <v>2904</v>
      </c>
      <c r="I3374" s="10" t="n">
        <v>0</v>
      </c>
      <c r="J3374" s="10" t="n">
        <v>0</v>
      </c>
      <c r="K3374" s="10" t="s">
        <v>20</v>
      </c>
      <c r="L3374" s="11" t="n">
        <v>40292.2111805556</v>
      </c>
      <c r="M3374" s="13" t="s">
        <v>8250</v>
      </c>
      <c r="N3374" s="13" t="s">
        <v>8251</v>
      </c>
      <c r="O3374" s="9" t="str">
        <f aca="false">HYPERLINK("https://pbs.twimg.com/profile_images/1657020362/k_normal.png","View")</f>
        <v>View</v>
      </c>
      <c r="P3374" s="10"/>
    </row>
    <row r="3375" customFormat="false" ht="15.75" hidden="false" customHeight="false" outlineLevel="0" collapsed="false">
      <c r="A3375" s="6" t="n">
        <v>43030.399837963</v>
      </c>
      <c r="B3375" s="7" t="str">
        <f aca="false">HYPERLINK("https://twitter.com/Radio2000ZA","@Radio2000ZA")</f>
        <v>@Radio2000ZA</v>
      </c>
      <c r="C3375" s="8" t="s">
        <v>8252</v>
      </c>
      <c r="D3375" s="8" t="s">
        <v>8253</v>
      </c>
      <c r="E3375" s="9" t="str">
        <f aca="false">HYPERLINK("https://twitter.com/Radio2000ZA/status/922139426343538688","922139426343538688")</f>
        <v>922139426343538688</v>
      </c>
      <c r="F3375" s="10" t="s">
        <v>39</v>
      </c>
      <c r="G3375" s="10" t="n">
        <v>36320</v>
      </c>
      <c r="H3375" s="10" t="n">
        <v>4838</v>
      </c>
      <c r="I3375" s="10" t="n">
        <v>2</v>
      </c>
      <c r="J3375" s="10" t="n">
        <v>0</v>
      </c>
      <c r="K3375" s="10" t="s">
        <v>20</v>
      </c>
      <c r="L3375" s="11" t="n">
        <v>40653.0800925926</v>
      </c>
      <c r="M3375" s="12" t="s">
        <v>8254</v>
      </c>
      <c r="N3375" s="12" t="s">
        <v>8255</v>
      </c>
      <c r="O3375" s="9" t="str">
        <f aca="false">HYPERLINK("https://pbs.twimg.com/profile_images/915487771124486144/5wDrEVVT_normal.jpg","View")</f>
        <v>View</v>
      </c>
      <c r="P3375" s="10"/>
    </row>
    <row r="3376" customFormat="false" ht="15.75" hidden="false" customHeight="false" outlineLevel="0" collapsed="false">
      <c r="A3376" s="6" t="n">
        <v>43030.3999537037</v>
      </c>
      <c r="B3376" s="7" t="str">
        <f aca="false">HYPERLINK("https://twitter.com/rickey3danjuuro","@rickey3danjuuro")</f>
        <v>@rickey3danjuuro</v>
      </c>
      <c r="C3376" s="14" t="s">
        <v>8256</v>
      </c>
      <c r="D3376" s="8" t="s">
        <v>4984</v>
      </c>
      <c r="E3376" s="9" t="str">
        <f aca="false">HYPERLINK("https://twitter.com/rickey3danjuuro/status/922139469695692800","922139469695692800")</f>
        <v>922139469695692800</v>
      </c>
      <c r="F3376" s="10" t="s">
        <v>1024</v>
      </c>
      <c r="G3376" s="10" t="n">
        <v>23</v>
      </c>
      <c r="H3376" s="10" t="n">
        <v>31</v>
      </c>
      <c r="I3376" s="10" t="n">
        <v>187</v>
      </c>
      <c r="J3376" s="10" t="n">
        <v>0</v>
      </c>
      <c r="K3376" s="10" t="s">
        <v>20</v>
      </c>
      <c r="L3376" s="11" t="n">
        <v>42487.9501851852</v>
      </c>
      <c r="M3376" s="13" t="s">
        <v>8257</v>
      </c>
      <c r="N3376" s="13" t="s">
        <v>8258</v>
      </c>
      <c r="O3376" s="9" t="str">
        <f aca="false">HYPERLINK("https://abs.twimg.com/sticky/default_profile_images/default_profile_normal.png","View")</f>
        <v>View</v>
      </c>
      <c r="P3376" s="10"/>
    </row>
    <row r="3377" customFormat="false" ht="15.75" hidden="false" customHeight="false" outlineLevel="0" collapsed="false">
      <c r="A3377" s="6" t="n">
        <v>43030.4000462963</v>
      </c>
      <c r="B3377" s="7" t="str">
        <f aca="false">HYPERLINK("https://twitter.com/nzonpukuzei","@nzonpukuzei")</f>
        <v>@nzonpukuzei</v>
      </c>
      <c r="C3377" s="8" t="s">
        <v>8259</v>
      </c>
      <c r="D3377" s="8" t="s">
        <v>8260</v>
      </c>
      <c r="E3377" s="9" t="str">
        <f aca="false">HYPERLINK("https://twitter.com/nzonpukuzei/status/922139500846858240","922139500846858240")</f>
        <v>922139500846858240</v>
      </c>
      <c r="F3377" s="9" t="s">
        <v>1147</v>
      </c>
      <c r="G3377" s="10" t="n">
        <v>10321</v>
      </c>
      <c r="H3377" s="10" t="n">
        <v>42</v>
      </c>
      <c r="I3377" s="10" t="n">
        <v>0</v>
      </c>
      <c r="J3377" s="10" t="n">
        <v>0</v>
      </c>
      <c r="K3377" s="10" t="s">
        <v>20</v>
      </c>
      <c r="L3377" s="11" t="n">
        <v>40409.6694097222</v>
      </c>
      <c r="M3377" s="13" t="s">
        <v>8261</v>
      </c>
      <c r="N3377" s="12" t="s">
        <v>8262</v>
      </c>
      <c r="O3377" s="9" t="str">
        <f aca="false">HYPERLINK("https://pbs.twimg.com/profile_images/1388296014/579_normal.gif","View")</f>
        <v>View</v>
      </c>
      <c r="P3377" s="10"/>
    </row>
    <row r="3378" customFormat="false" ht="15.75" hidden="false" customHeight="false" outlineLevel="0" collapsed="false">
      <c r="A3378" s="6" t="n">
        <v>43030.4000694444</v>
      </c>
      <c r="B3378" s="7" t="str">
        <f aca="false">HYPERLINK("https://twitter.com/SimplyNewsApp","@SimplyNewsApp")</f>
        <v>@SimplyNewsApp</v>
      </c>
      <c r="C3378" s="8" t="s">
        <v>8263</v>
      </c>
      <c r="D3378" s="8" t="s">
        <v>8264</v>
      </c>
      <c r="E3378" s="9" t="str">
        <f aca="false">HYPERLINK("https://twitter.com/SimplyNewsApp/status/922139509784920064","922139509784920064")</f>
        <v>922139509784920064</v>
      </c>
      <c r="F3378" s="9" t="s">
        <v>1147</v>
      </c>
      <c r="G3378" s="10" t="n">
        <v>514</v>
      </c>
      <c r="H3378" s="10" t="n">
        <v>827</v>
      </c>
      <c r="I3378" s="10" t="n">
        <v>0</v>
      </c>
      <c r="J3378" s="10" t="n">
        <v>0</v>
      </c>
      <c r="K3378" s="10" t="s">
        <v>20</v>
      </c>
      <c r="L3378" s="11" t="n">
        <v>41383.2462615741</v>
      </c>
      <c r="M3378" s="12"/>
      <c r="N3378" s="12" t="s">
        <v>8265</v>
      </c>
      <c r="O3378" s="9" t="str">
        <f aca="false">HYPERLINK("https://pbs.twimg.com/profile_images/3697970262/ffc2de4f29f091bf5d981c65035a8c7e_normal.png","View")</f>
        <v>View</v>
      </c>
      <c r="P3378" s="10"/>
    </row>
    <row r="3379" customFormat="false" ht="15.75" hidden="false" customHeight="false" outlineLevel="0" collapsed="false">
      <c r="A3379" s="6" t="n">
        <v>43030.4002199074</v>
      </c>
      <c r="B3379" s="7" t="str">
        <f aca="false">HYPERLINK("https://twitter.com/50Choungi","@50Choungi")</f>
        <v>@50Choungi</v>
      </c>
      <c r="C3379" s="8" t="s">
        <v>8266</v>
      </c>
      <c r="D3379" s="8" t="s">
        <v>8267</v>
      </c>
      <c r="E3379" s="9" t="str">
        <f aca="false">HYPERLINK("https://twitter.com/50Choungi/status/922139565866893312","922139565866893312")</f>
        <v>922139565866893312</v>
      </c>
      <c r="F3379" s="10" t="s">
        <v>25</v>
      </c>
      <c r="G3379" s="10" t="n">
        <v>11518</v>
      </c>
      <c r="H3379" s="10" t="n">
        <v>12674</v>
      </c>
      <c r="I3379" s="10" t="n">
        <v>0</v>
      </c>
      <c r="J3379" s="10" t="n">
        <v>0</v>
      </c>
      <c r="K3379" s="10" t="s">
        <v>20</v>
      </c>
      <c r="L3379" s="11" t="n">
        <v>41743.1961921296</v>
      </c>
      <c r="M3379" s="12" t="s">
        <v>8268</v>
      </c>
      <c r="N3379" s="12"/>
      <c r="O3379" s="9" t="str">
        <f aca="false">HYPERLINK("https://pbs.twimg.com/profile_images/529950036780535808/bpAkcqJt_normal.jpeg","View")</f>
        <v>View</v>
      </c>
      <c r="P3379" s="10"/>
    </row>
    <row r="3380" customFormat="false" ht="15.75" hidden="false" customHeight="false" outlineLevel="0" collapsed="false">
      <c r="A3380" s="6" t="n">
        <v>43030.4007291667</v>
      </c>
      <c r="B3380" s="7" t="str">
        <f aca="false">HYPERLINK("https://twitter.com/WesamHassanein","@WesamHassanein")</f>
        <v>@WesamHassanein</v>
      </c>
      <c r="C3380" s="8" t="s">
        <v>8269</v>
      </c>
      <c r="D3380" s="8" t="s">
        <v>3991</v>
      </c>
      <c r="E3380" s="9" t="str">
        <f aca="false">HYPERLINK("https://twitter.com/WesamHassanein/status/922139748210282502","922139748210282502")</f>
        <v>922139748210282502</v>
      </c>
      <c r="F3380" s="10" t="s">
        <v>51</v>
      </c>
      <c r="G3380" s="10" t="n">
        <v>100</v>
      </c>
      <c r="H3380" s="10" t="n">
        <v>1490</v>
      </c>
      <c r="I3380" s="10" t="n">
        <v>17</v>
      </c>
      <c r="J3380" s="10" t="n">
        <v>0</v>
      </c>
      <c r="K3380" s="10" t="s">
        <v>20</v>
      </c>
      <c r="L3380" s="11" t="n">
        <v>40670.6099652778</v>
      </c>
      <c r="M3380" s="12" t="s">
        <v>502</v>
      </c>
      <c r="N3380" s="12" t="s">
        <v>8270</v>
      </c>
      <c r="O3380" s="9" t="str">
        <f aca="false">HYPERLINK("https://pbs.twimg.com/profile_images/774759620233531392/1YO0lH0q_normal.jpg","View")</f>
        <v>View</v>
      </c>
      <c r="P3380" s="10"/>
    </row>
    <row r="3381" customFormat="false" ht="15.75" hidden="false" customHeight="false" outlineLevel="0" collapsed="false">
      <c r="A3381" s="6" t="n">
        <v>43030.4008912037</v>
      </c>
      <c r="B3381" s="7" t="str">
        <f aca="false">HYPERLINK("https://twitter.com/Trini2015","@Trini2015")</f>
        <v>@Trini2015</v>
      </c>
      <c r="C3381" s="8" t="s">
        <v>7384</v>
      </c>
      <c r="D3381" s="8" t="s">
        <v>8192</v>
      </c>
      <c r="E3381" s="9" t="str">
        <f aca="false">HYPERLINK("https://twitter.com/Trini2015/status/922139809207988224","922139809207988224")</f>
        <v>922139809207988224</v>
      </c>
      <c r="F3381" s="10" t="s">
        <v>25</v>
      </c>
      <c r="G3381" s="10" t="n">
        <v>666</v>
      </c>
      <c r="H3381" s="10" t="n">
        <v>3669</v>
      </c>
      <c r="I3381" s="10" t="n">
        <v>8</v>
      </c>
      <c r="J3381" s="10" t="n">
        <v>0</v>
      </c>
      <c r="K3381" s="10" t="s">
        <v>20</v>
      </c>
      <c r="L3381" s="11" t="n">
        <v>41174.7266203704</v>
      </c>
      <c r="M3381" s="12" t="s">
        <v>7385</v>
      </c>
      <c r="N3381" s="12" t="s">
        <v>7386</v>
      </c>
      <c r="O3381" s="9" t="str">
        <f aca="false">HYPERLINK("https://pbs.twimg.com/profile_images/922663779959263234/IA2ip_FG_normal.jpg","View")</f>
        <v>View</v>
      </c>
      <c r="P3381" s="10"/>
    </row>
    <row r="3382" customFormat="false" ht="15.75" hidden="false" customHeight="false" outlineLevel="0" collapsed="false">
      <c r="A3382" s="6" t="n">
        <v>43030.4012384259</v>
      </c>
      <c r="B3382" s="7" t="str">
        <f aca="false">HYPERLINK("https://twitter.com/Wshioshio","@Wshioshio")</f>
        <v>@Wshioshio</v>
      </c>
      <c r="C3382" s="8" t="s">
        <v>8271</v>
      </c>
      <c r="D3382" s="8" t="s">
        <v>4984</v>
      </c>
      <c r="E3382" s="9" t="str">
        <f aca="false">HYPERLINK("https://twitter.com/Wshioshio/status/922139934223298560","922139934223298560")</f>
        <v>922139934223298560</v>
      </c>
      <c r="F3382" s="10" t="s">
        <v>51</v>
      </c>
      <c r="G3382" s="10" t="n">
        <v>28</v>
      </c>
      <c r="H3382" s="10" t="n">
        <v>326</v>
      </c>
      <c r="I3382" s="10" t="n">
        <v>187</v>
      </c>
      <c r="J3382" s="10" t="n">
        <v>0</v>
      </c>
      <c r="K3382" s="10" t="s">
        <v>20</v>
      </c>
      <c r="L3382" s="11" t="n">
        <v>41607.5226388889</v>
      </c>
      <c r="M3382" s="12" t="s">
        <v>502</v>
      </c>
      <c r="N3382" s="12"/>
      <c r="O3382" s="9" t="str">
        <f aca="false">HYPERLINK("https://pbs.twimg.com/profile_images/787739871993483264/keI_Yvja_normal.jpg","View")</f>
        <v>View</v>
      </c>
      <c r="P3382" s="10"/>
    </row>
    <row r="3383" customFormat="false" ht="15.75" hidden="false" customHeight="false" outlineLevel="0" collapsed="false">
      <c r="A3383" s="6" t="n">
        <v>43030.4016087963</v>
      </c>
      <c r="B3383" s="7" t="str">
        <f aca="false">HYPERLINK("https://twitter.com/KittsNews","@KittsNews")</f>
        <v>@KittsNews</v>
      </c>
      <c r="C3383" s="8" t="s">
        <v>8272</v>
      </c>
      <c r="D3383" s="8" t="s">
        <v>7946</v>
      </c>
      <c r="E3383" s="9" t="str">
        <f aca="false">HYPERLINK("https://twitter.com/KittsNews/status/922140070227869697","922140070227869697")</f>
        <v>922140070227869697</v>
      </c>
      <c r="F3383" s="10" t="s">
        <v>8273</v>
      </c>
      <c r="G3383" s="10" t="n">
        <v>330</v>
      </c>
      <c r="H3383" s="10" t="n">
        <v>536</v>
      </c>
      <c r="I3383" s="10" t="n">
        <v>41</v>
      </c>
      <c r="J3383" s="10" t="n">
        <v>0</v>
      </c>
      <c r="K3383" s="10" t="s">
        <v>20</v>
      </c>
      <c r="L3383" s="11" t="n">
        <v>41834.2081365741</v>
      </c>
      <c r="M3383" s="12" t="s">
        <v>203</v>
      </c>
      <c r="N3383" s="12" t="s">
        <v>8274</v>
      </c>
      <c r="O3383" s="9" t="str">
        <f aca="false">HYPERLINK("https://pbs.twimg.com/profile_images/793753894320996354/8p1Pn2FJ_normal.jpg","View")</f>
        <v>View</v>
      </c>
      <c r="P3383" s="10"/>
    </row>
    <row r="3384" customFormat="false" ht="15.75" hidden="false" customHeight="false" outlineLevel="0" collapsed="false">
      <c r="A3384" s="6" t="n">
        <v>43030.4016435185</v>
      </c>
      <c r="B3384" s="7" t="str">
        <f aca="false">HYPERLINK("https://twitter.com/Mlaj1591","@Mlaj1591")</f>
        <v>@Mlaj1591</v>
      </c>
      <c r="C3384" s="8" t="s">
        <v>8275</v>
      </c>
      <c r="D3384" s="8" t="s">
        <v>8276</v>
      </c>
      <c r="E3384" s="9" t="str">
        <f aca="false">HYPERLINK("https://twitter.com/Mlaj1591/status/922140082655465472","922140082655465472")</f>
        <v>922140082655465472</v>
      </c>
      <c r="F3384" s="10" t="s">
        <v>51</v>
      </c>
      <c r="G3384" s="10" t="n">
        <v>8534</v>
      </c>
      <c r="H3384" s="10" t="n">
        <v>7035</v>
      </c>
      <c r="I3384" s="10" t="n">
        <v>0</v>
      </c>
      <c r="J3384" s="10" t="n">
        <v>0</v>
      </c>
      <c r="K3384" s="10" t="s">
        <v>20</v>
      </c>
      <c r="L3384" s="11" t="n">
        <v>40825.6706481482</v>
      </c>
      <c r="M3384" s="12"/>
      <c r="N3384" s="12" t="s">
        <v>8277</v>
      </c>
      <c r="O3384" s="9" t="str">
        <f aca="false">HYPERLINK("https://pbs.twimg.com/profile_images/676433255692824579/b9B3VdUQ_normal.jpg","View")</f>
        <v>View</v>
      </c>
      <c r="P3384" s="10"/>
    </row>
    <row r="3385" customFormat="false" ht="15.75" hidden="false" customHeight="false" outlineLevel="0" collapsed="false">
      <c r="A3385" s="6" t="n">
        <v>43030.402037037</v>
      </c>
      <c r="B3385" s="7" t="str">
        <f aca="false">HYPERLINK("https://twitter.com/abhishek_apte","@abhishek_apte")</f>
        <v>@abhishek_apte</v>
      </c>
      <c r="C3385" s="8" t="s">
        <v>8278</v>
      </c>
      <c r="D3385" s="8" t="s">
        <v>7905</v>
      </c>
      <c r="E3385" s="9" t="str">
        <f aca="false">HYPERLINK("https://twitter.com/abhishek_apte/status/922140222556602368","922140222556602368")</f>
        <v>922140222556602368</v>
      </c>
      <c r="F3385" s="10" t="s">
        <v>51</v>
      </c>
      <c r="G3385" s="10" t="n">
        <v>73</v>
      </c>
      <c r="H3385" s="10" t="n">
        <v>248</v>
      </c>
      <c r="I3385" s="10" t="n">
        <v>38</v>
      </c>
      <c r="J3385" s="10" t="n">
        <v>0</v>
      </c>
      <c r="K3385" s="10" t="s">
        <v>20</v>
      </c>
      <c r="L3385" s="11" t="n">
        <v>39981.051875</v>
      </c>
      <c r="M3385" s="12" t="s">
        <v>253</v>
      </c>
      <c r="N3385" s="12"/>
      <c r="O3385" s="9" t="str">
        <f aca="false">HYPERLINK("https://pbs.twimg.com/profile_images/675684434989809664/l5uk3t7i_normal.jpg","View")</f>
        <v>View</v>
      </c>
      <c r="P3385" s="10"/>
    </row>
    <row r="3386" customFormat="false" ht="15.75" hidden="false" customHeight="false" outlineLevel="0" collapsed="false">
      <c r="A3386" s="6" t="n">
        <v>43030.402349537</v>
      </c>
      <c r="B3386" s="7" t="str">
        <f aca="false">HYPERLINK("https://twitter.com/Rashikasomani1","@Rashikasomani1")</f>
        <v>@Rashikasomani1</v>
      </c>
      <c r="C3386" s="8" t="s">
        <v>8279</v>
      </c>
      <c r="D3386" s="8" t="s">
        <v>6963</v>
      </c>
      <c r="E3386" s="9" t="str">
        <f aca="false">HYPERLINK("https://twitter.com/Rashikasomani1/status/922140336335486976","922140336335486976")</f>
        <v>922140336335486976</v>
      </c>
      <c r="F3386" s="10" t="s">
        <v>8280</v>
      </c>
      <c r="G3386" s="10" t="n">
        <v>2</v>
      </c>
      <c r="H3386" s="10" t="n">
        <v>100</v>
      </c>
      <c r="I3386" s="10" t="n">
        <v>3</v>
      </c>
      <c r="J3386" s="10" t="n">
        <v>0</v>
      </c>
      <c r="K3386" s="10" t="s">
        <v>20</v>
      </c>
      <c r="L3386" s="11" t="n">
        <v>43028.2541666667</v>
      </c>
      <c r="M3386" s="12"/>
      <c r="N3386" s="12"/>
      <c r="O3386" s="9" t="str">
        <f aca="false">HYPERLINK("https://abs.twimg.com/sticky/default_profile_images/default_profile_normal.png","View")</f>
        <v>View</v>
      </c>
      <c r="P3386" s="10"/>
    </row>
    <row r="3387" customFormat="false" ht="15.75" hidden="false" customHeight="false" outlineLevel="0" collapsed="false">
      <c r="A3387" s="6" t="n">
        <v>43030.4024652778</v>
      </c>
      <c r="B3387" s="7" t="str">
        <f aca="false">HYPERLINK("https://twitter.com/SABCNewsOnline","@SABCNewsOnline")</f>
        <v>@SABCNewsOnline</v>
      </c>
      <c r="C3387" s="8" t="s">
        <v>8281</v>
      </c>
      <c r="D3387" s="8" t="s">
        <v>8282</v>
      </c>
      <c r="E3387" s="9" t="str">
        <f aca="false">HYPERLINK("https://twitter.com/SABCNewsOnline/status/922140377431396354","922140377431396354")</f>
        <v>922140377431396354</v>
      </c>
      <c r="F3387" s="10" t="s">
        <v>8283</v>
      </c>
      <c r="G3387" s="10" t="n">
        <v>910883</v>
      </c>
      <c r="H3387" s="10" t="n">
        <v>322</v>
      </c>
      <c r="I3387" s="10" t="n">
        <v>2</v>
      </c>
      <c r="J3387" s="10" t="n">
        <v>0</v>
      </c>
      <c r="K3387" s="10" t="s">
        <v>20</v>
      </c>
      <c r="L3387" s="11" t="n">
        <v>39890.3448263889</v>
      </c>
      <c r="M3387" s="12" t="s">
        <v>1246</v>
      </c>
      <c r="N3387" s="12" t="s">
        <v>8284</v>
      </c>
      <c r="O3387" s="9" t="str">
        <f aca="false">HYPERLINK("https://pbs.twimg.com/profile_images/378800000755809952/0d86feba2cf4371bf07847c32fa4d8ca_normal.png","View")</f>
        <v>View</v>
      </c>
      <c r="P3387" s="10"/>
    </row>
    <row r="3388" customFormat="false" ht="15.75" hidden="false" customHeight="false" outlineLevel="0" collapsed="false">
      <c r="A3388" s="6" t="n">
        <v>43030.4028703704</v>
      </c>
      <c r="B3388" s="7" t="str">
        <f aca="false">HYPERLINK("https://twitter.com/narenkondajji","@narenkondajji")</f>
        <v>@narenkondajji</v>
      </c>
      <c r="C3388" s="8" t="s">
        <v>8285</v>
      </c>
      <c r="D3388" s="8" t="s">
        <v>6558</v>
      </c>
      <c r="E3388" s="9" t="str">
        <f aca="false">HYPERLINK("https://twitter.com/narenkondajji/status/922140523518939136","922140523518939136")</f>
        <v>922140523518939136</v>
      </c>
      <c r="F3388" s="10" t="s">
        <v>25</v>
      </c>
      <c r="G3388" s="10" t="n">
        <v>309</v>
      </c>
      <c r="H3388" s="10" t="n">
        <v>274</v>
      </c>
      <c r="I3388" s="10" t="n">
        <v>65</v>
      </c>
      <c r="J3388" s="10" t="n">
        <v>0</v>
      </c>
      <c r="K3388" s="10" t="s">
        <v>20</v>
      </c>
      <c r="L3388" s="11" t="n">
        <v>40062.1978125</v>
      </c>
      <c r="M3388" s="12" t="s">
        <v>6635</v>
      </c>
      <c r="N3388" s="12" t="s">
        <v>8286</v>
      </c>
      <c r="O3388" s="9" t="str">
        <f aca="false">HYPERLINK("https://pbs.twimg.com/profile_images/721180634165579776/alHajqEr_normal.jpg","View")</f>
        <v>View</v>
      </c>
      <c r="P3388" s="10"/>
    </row>
    <row r="3389" customFormat="false" ht="15.75" hidden="false" customHeight="false" outlineLevel="0" collapsed="false">
      <c r="A3389" s="6" t="n">
        <v>43030.4029513889</v>
      </c>
      <c r="B3389" s="7" t="str">
        <f aca="false">HYPERLINK("https://twitter.com/narenkondajji","@narenkondajji")</f>
        <v>@narenkondajji</v>
      </c>
      <c r="C3389" s="8" t="s">
        <v>8285</v>
      </c>
      <c r="D3389" s="8" t="s">
        <v>8287</v>
      </c>
      <c r="E3389" s="9" t="str">
        <f aca="false">HYPERLINK("https://twitter.com/narenkondajji/status/922140555202781185","922140555202781185")</f>
        <v>922140555202781185</v>
      </c>
      <c r="F3389" s="10" t="s">
        <v>47</v>
      </c>
      <c r="G3389" s="10" t="n">
        <v>309</v>
      </c>
      <c r="H3389" s="10" t="n">
        <v>274</v>
      </c>
      <c r="I3389" s="10" t="n">
        <v>0</v>
      </c>
      <c r="J3389" s="10" t="n">
        <v>0</v>
      </c>
      <c r="K3389" s="10" t="s">
        <v>20</v>
      </c>
      <c r="L3389" s="11" t="n">
        <v>40062.1978125</v>
      </c>
      <c r="M3389" s="12" t="s">
        <v>6635</v>
      </c>
      <c r="N3389" s="12" t="s">
        <v>8286</v>
      </c>
      <c r="O3389" s="9" t="str">
        <f aca="false">HYPERLINK("https://pbs.twimg.com/profile_images/721180634165579776/alHajqEr_normal.jpg","View")</f>
        <v>View</v>
      </c>
      <c r="P3389" s="10"/>
    </row>
    <row r="3390" customFormat="false" ht="15.75" hidden="false" customHeight="false" outlineLevel="0" collapsed="false">
      <c r="A3390" s="6" t="n">
        <v>43030.4031828704</v>
      </c>
      <c r="B3390" s="7" t="str">
        <f aca="false">HYPERLINK("https://twitter.com/chetanbhakkad","@chetanbhakkad")</f>
        <v>@chetanbhakkad</v>
      </c>
      <c r="C3390" s="8" t="s">
        <v>8288</v>
      </c>
      <c r="D3390" s="8" t="s">
        <v>6558</v>
      </c>
      <c r="E3390" s="9" t="str">
        <f aca="false">HYPERLINK("https://twitter.com/chetanbhakkad/status/922140640749617152","922140640749617152")</f>
        <v>922140640749617152</v>
      </c>
      <c r="F3390" s="10" t="s">
        <v>51</v>
      </c>
      <c r="G3390" s="10" t="n">
        <v>145</v>
      </c>
      <c r="H3390" s="10" t="n">
        <v>121</v>
      </c>
      <c r="I3390" s="10" t="n">
        <v>65</v>
      </c>
      <c r="J3390" s="10" t="n">
        <v>0</v>
      </c>
      <c r="K3390" s="10" t="s">
        <v>20</v>
      </c>
      <c r="L3390" s="11" t="n">
        <v>40017.1394097222</v>
      </c>
      <c r="M3390" s="12" t="s">
        <v>8289</v>
      </c>
      <c r="N3390" s="12" t="s">
        <v>8290</v>
      </c>
      <c r="O3390" s="9" t="str">
        <f aca="false">HYPERLINK("https://pbs.twimg.com/profile_images/506362499130605568/8fNwskva_normal.jpeg","View")</f>
        <v>View</v>
      </c>
      <c r="P3390" s="10"/>
    </row>
    <row r="3391" customFormat="false" ht="15.75" hidden="false" customHeight="false" outlineLevel="0" collapsed="false">
      <c r="A3391" s="6" t="n">
        <v>43030.4040509259</v>
      </c>
      <c r="B3391" s="7" t="str">
        <f aca="false">HYPERLINK("https://twitter.com/giamaga","@giamaga")</f>
        <v>@giamaga</v>
      </c>
      <c r="C3391" s="8" t="s">
        <v>8291</v>
      </c>
      <c r="D3391" s="8" t="s">
        <v>8292</v>
      </c>
      <c r="E3391" s="9" t="str">
        <f aca="false">HYPERLINK("https://twitter.com/giamaga/status/922140955100237824","922140955100237824")</f>
        <v>922140955100237824</v>
      </c>
      <c r="F3391" s="10" t="s">
        <v>39</v>
      </c>
      <c r="G3391" s="10" t="n">
        <v>452</v>
      </c>
      <c r="H3391" s="10" t="n">
        <v>231</v>
      </c>
      <c r="I3391" s="10" t="n">
        <v>1</v>
      </c>
      <c r="J3391" s="10" t="n">
        <v>0</v>
      </c>
      <c r="K3391" s="10" t="s">
        <v>20</v>
      </c>
      <c r="L3391" s="11" t="n">
        <v>40204.1884953704</v>
      </c>
      <c r="M3391" s="12" t="s">
        <v>8293</v>
      </c>
      <c r="N3391" s="12" t="s">
        <v>8294</v>
      </c>
      <c r="O3391" s="9" t="str">
        <f aca="false">HYPERLINK("https://pbs.twimg.com/profile_images/613242348542259200/4ZGPlLal_normal.jpg","View")</f>
        <v>View</v>
      </c>
      <c r="P3391" s="10"/>
    </row>
    <row r="3392" customFormat="false" ht="15.75" hidden="false" customHeight="false" outlineLevel="0" collapsed="false">
      <c r="A3392" s="6" t="n">
        <v>43030.4045949074</v>
      </c>
      <c r="B3392" s="7" t="str">
        <f aca="false">HYPERLINK("https://twitter.com/007Himself","@007Himself")</f>
        <v>@007Himself</v>
      </c>
      <c r="C3392" s="8" t="s">
        <v>8295</v>
      </c>
      <c r="D3392" s="8" t="s">
        <v>8296</v>
      </c>
      <c r="E3392" s="9" t="str">
        <f aca="false">HYPERLINK("https://twitter.com/007Himself/status/922141150932283395","922141150932283395")</f>
        <v>922141150932283395</v>
      </c>
      <c r="F3392" s="10" t="s">
        <v>39</v>
      </c>
      <c r="G3392" s="10" t="n">
        <v>2365</v>
      </c>
      <c r="H3392" s="10" t="n">
        <v>407</v>
      </c>
      <c r="I3392" s="10" t="n">
        <v>0</v>
      </c>
      <c r="J3392" s="10" t="n">
        <v>0</v>
      </c>
      <c r="K3392" s="10" t="s">
        <v>20</v>
      </c>
      <c r="L3392" s="11" t="n">
        <v>41467.9110069444</v>
      </c>
      <c r="M3392" s="12" t="s">
        <v>1843</v>
      </c>
      <c r="N3392" s="12" t="s">
        <v>8297</v>
      </c>
      <c r="O3392" s="9" t="str">
        <f aca="false">HYPERLINK("https://pbs.twimg.com/profile_images/922209246137249794/U2o5gWpD_normal.jpg","View")</f>
        <v>View</v>
      </c>
      <c r="P3392" s="10"/>
    </row>
    <row r="3393" customFormat="false" ht="15.75" hidden="false" customHeight="false" outlineLevel="0" collapsed="false">
      <c r="A3393" s="6" t="n">
        <v>43030.4046643519</v>
      </c>
      <c r="B3393" s="7" t="str">
        <f aca="false">HYPERLINK("https://twitter.com/vinaygo03260194","@vinaygo03260194")</f>
        <v>@vinaygo03260194</v>
      </c>
      <c r="C3393" s="8" t="s">
        <v>8298</v>
      </c>
      <c r="D3393" s="8" t="s">
        <v>6558</v>
      </c>
      <c r="E3393" s="9" t="str">
        <f aca="false">HYPERLINK("https://twitter.com/vinaygo03260194/status/922141176215478272","922141176215478272")</f>
        <v>922141176215478272</v>
      </c>
      <c r="F3393" s="10" t="s">
        <v>51</v>
      </c>
      <c r="G3393" s="10" t="n">
        <v>214</v>
      </c>
      <c r="H3393" s="10" t="n">
        <v>292</v>
      </c>
      <c r="I3393" s="10" t="n">
        <v>65</v>
      </c>
      <c r="J3393" s="10" t="n">
        <v>0</v>
      </c>
      <c r="K3393" s="10" t="s">
        <v>20</v>
      </c>
      <c r="L3393" s="11" t="n">
        <v>41370.0296412037</v>
      </c>
      <c r="M3393" s="12" t="s">
        <v>5883</v>
      </c>
      <c r="N3393" s="12" t="s">
        <v>8299</v>
      </c>
      <c r="O3393" s="9" t="str">
        <f aca="false">HYPERLINK("https://pbs.twimg.com/profile_images/923212587579215874/z6UHWwda_normal.jpg","View")</f>
        <v>View</v>
      </c>
      <c r="P3393" s="10"/>
    </row>
    <row r="3394" customFormat="false" ht="15.75" hidden="false" customHeight="false" outlineLevel="0" collapsed="false">
      <c r="A3394" s="6" t="n">
        <v>43030.4046875</v>
      </c>
      <c r="B3394" s="7" t="str">
        <f aca="false">HYPERLINK("https://twitter.com/81ILoveJapan","@81ILoveJapan")</f>
        <v>@81ILoveJapan</v>
      </c>
      <c r="C3394" s="8" t="s">
        <v>7711</v>
      </c>
      <c r="D3394" s="8" t="s">
        <v>8300</v>
      </c>
      <c r="E3394" s="9" t="str">
        <f aca="false">HYPERLINK("https://twitter.com/81ILoveJapan/status/922141184117571590","922141184117571590")</f>
        <v>922141184117571590</v>
      </c>
      <c r="F3394" s="10" t="s">
        <v>7713</v>
      </c>
      <c r="G3394" s="10" t="n">
        <v>100</v>
      </c>
      <c r="H3394" s="10" t="n">
        <v>501</v>
      </c>
      <c r="I3394" s="10" t="n">
        <v>1</v>
      </c>
      <c r="J3394" s="10" t="n">
        <v>0</v>
      </c>
      <c r="K3394" s="10" t="s">
        <v>20</v>
      </c>
      <c r="L3394" s="11" t="n">
        <v>43017.0147569444</v>
      </c>
      <c r="M3394" s="12"/>
      <c r="N3394" s="12"/>
      <c r="O3394" s="9" t="str">
        <f aca="false">HYPERLINK("https://pbs.twimg.com/profile_images/917294754252996614/2lWRChsz_normal.jpg","View")</f>
        <v>View</v>
      </c>
      <c r="P3394" s="10"/>
    </row>
    <row r="3395" customFormat="false" ht="15.75" hidden="false" customHeight="false" outlineLevel="0" collapsed="false">
      <c r="A3395" s="6" t="n">
        <v>43030.4050810185</v>
      </c>
      <c r="B3395" s="7" t="str">
        <f aca="false">HYPERLINK("https://twitter.com/cyrushavo","@cyrushavo")</f>
        <v>@cyrushavo</v>
      </c>
      <c r="C3395" s="8" t="s">
        <v>1692</v>
      </c>
      <c r="D3395" s="8" t="s">
        <v>7754</v>
      </c>
      <c r="E3395" s="9" t="str">
        <f aca="false">HYPERLINK("https://twitter.com/cyrushavo/status/922141326430187520","922141326430187520")</f>
        <v>922141326430187520</v>
      </c>
      <c r="F3395" s="10" t="s">
        <v>177</v>
      </c>
      <c r="G3395" s="10" t="n">
        <v>533</v>
      </c>
      <c r="H3395" s="10" t="n">
        <v>1149</v>
      </c>
      <c r="I3395" s="10" t="n">
        <v>20</v>
      </c>
      <c r="J3395" s="10" t="n">
        <v>0</v>
      </c>
      <c r="K3395" s="10" t="s">
        <v>20</v>
      </c>
      <c r="L3395" s="11" t="n">
        <v>40739.2432175926</v>
      </c>
      <c r="M3395" s="12" t="s">
        <v>253</v>
      </c>
      <c r="N3395" s="12" t="s">
        <v>1694</v>
      </c>
      <c r="O3395" s="9" t="str">
        <f aca="false">HYPERLINK("https://pbs.twimg.com/profile_images/892332317695393792/mb1vLwOa_normal.jpg","View")</f>
        <v>View</v>
      </c>
      <c r="P3395" s="10"/>
    </row>
    <row r="3396" customFormat="false" ht="15.75" hidden="false" customHeight="false" outlineLevel="0" collapsed="false">
      <c r="A3396" s="6" t="n">
        <v>43030.4051157407</v>
      </c>
      <c r="B3396" s="7" t="str">
        <f aca="false">HYPERLINK("https://twitter.com/DAYSIPAOLARC","@DAYSIPAOLARC")</f>
        <v>@DAYSIPAOLARC</v>
      </c>
      <c r="C3396" s="8" t="s">
        <v>8301</v>
      </c>
      <c r="D3396" s="8" t="s">
        <v>7046</v>
      </c>
      <c r="E3396" s="9" t="str">
        <f aca="false">HYPERLINK("https://twitter.com/DAYSIPAOLARC/status/922141338858065920","922141338858065920")</f>
        <v>922141338858065920</v>
      </c>
      <c r="F3396" s="10" t="s">
        <v>25</v>
      </c>
      <c r="G3396" s="10" t="n">
        <v>85</v>
      </c>
      <c r="H3396" s="10" t="n">
        <v>472</v>
      </c>
      <c r="I3396" s="10" t="n">
        <v>53</v>
      </c>
      <c r="J3396" s="10" t="n">
        <v>0</v>
      </c>
      <c r="K3396" s="10" t="s">
        <v>20</v>
      </c>
      <c r="L3396" s="11" t="n">
        <v>40647.5619675926</v>
      </c>
      <c r="M3396" s="12" t="s">
        <v>8302</v>
      </c>
      <c r="N3396" s="12" t="s">
        <v>8303</v>
      </c>
      <c r="O3396" s="9" t="str">
        <f aca="false">HYPERLINK("https://pbs.twimg.com/profile_images/915351251734409217/3TDIAM0X_normal.jpg","View")</f>
        <v>View</v>
      </c>
      <c r="P3396" s="10"/>
    </row>
    <row r="3397" customFormat="false" ht="15.75" hidden="false" customHeight="false" outlineLevel="0" collapsed="false">
      <c r="A3397" s="6" t="n">
        <v>43030.4055439815</v>
      </c>
      <c r="B3397" s="7" t="str">
        <f aca="false">HYPERLINK("https://twitter.com/economyinBoston","@economyinBoston")</f>
        <v>@economyinBoston</v>
      </c>
      <c r="C3397" s="8" t="s">
        <v>8304</v>
      </c>
      <c r="D3397" s="8" t="s">
        <v>8305</v>
      </c>
      <c r="E3397" s="9" t="str">
        <f aca="false">HYPERLINK("https://twitter.com/economyinBoston/status/922141492549902340","922141492549902340")</f>
        <v>922141492549902340</v>
      </c>
      <c r="F3397" s="10" t="s">
        <v>8306</v>
      </c>
      <c r="G3397" s="10" t="n">
        <v>182</v>
      </c>
      <c r="H3397" s="10" t="n">
        <v>436</v>
      </c>
      <c r="I3397" s="10" t="n">
        <v>0</v>
      </c>
      <c r="J3397" s="10" t="n">
        <v>0</v>
      </c>
      <c r="K3397" s="10" t="s">
        <v>20</v>
      </c>
      <c r="L3397" s="11" t="n">
        <v>41840.4800347222</v>
      </c>
      <c r="M3397" s="12"/>
      <c r="N3397" s="12" t="s">
        <v>8307</v>
      </c>
      <c r="O3397" s="9" t="str">
        <f aca="false">HYPERLINK("https://pbs.twimg.com/profile_images/749532092774711296/CM0mqiZk_normal.jpg","View")</f>
        <v>View</v>
      </c>
      <c r="P3397" s="10"/>
    </row>
    <row r="3398" customFormat="false" ht="15.75" hidden="false" customHeight="false" outlineLevel="0" collapsed="false">
      <c r="A3398" s="6" t="n">
        <v>43030.4060069444</v>
      </c>
      <c r="B3398" s="7" t="str">
        <f aca="false">HYPERLINK("https://twitter.com/chanaral","@chanaral")</f>
        <v>@chanaral</v>
      </c>
      <c r="C3398" s="8" t="s">
        <v>8308</v>
      </c>
      <c r="D3398" s="8" t="s">
        <v>8309</v>
      </c>
      <c r="E3398" s="9" t="str">
        <f aca="false">HYPERLINK("https://twitter.com/chanaral/status/922141660296990727","922141660296990727")</f>
        <v>922141660296990727</v>
      </c>
      <c r="F3398" s="10" t="s">
        <v>25</v>
      </c>
      <c r="G3398" s="10" t="n">
        <v>447</v>
      </c>
      <c r="H3398" s="10" t="n">
        <v>573</v>
      </c>
      <c r="I3398" s="10" t="n">
        <v>0</v>
      </c>
      <c r="J3398" s="10" t="n">
        <v>0</v>
      </c>
      <c r="K3398" s="10" t="s">
        <v>20</v>
      </c>
      <c r="L3398" s="11" t="n">
        <v>39949.2744097222</v>
      </c>
      <c r="M3398" s="12" t="s">
        <v>8310</v>
      </c>
      <c r="N3398" s="12" t="s">
        <v>8311</v>
      </c>
      <c r="O3398" s="9" t="str">
        <f aca="false">HYPERLINK("https://pbs.twimg.com/profile_images/512801321238286337/FZG69I8Z_normal.jpeg","View")</f>
        <v>View</v>
      </c>
      <c r="P3398" s="10"/>
    </row>
    <row r="3399" customFormat="false" ht="15.75" hidden="false" customHeight="false" outlineLevel="0" collapsed="false">
      <c r="A3399" s="6" t="n">
        <v>43030.4061458333</v>
      </c>
      <c r="B3399" s="7" t="str">
        <f aca="false">HYPERLINK("https://twitter.com/karimerr","@karimerr")</f>
        <v>@karimerr</v>
      </c>
      <c r="C3399" s="8" t="s">
        <v>8312</v>
      </c>
      <c r="D3399" s="8" t="s">
        <v>4984</v>
      </c>
      <c r="E3399" s="9" t="str">
        <f aca="false">HYPERLINK("https://twitter.com/karimerr/status/922141713996562432","922141713996562432")</f>
        <v>922141713996562432</v>
      </c>
      <c r="F3399" s="10" t="s">
        <v>25</v>
      </c>
      <c r="G3399" s="10" t="n">
        <v>154</v>
      </c>
      <c r="H3399" s="10" t="n">
        <v>175</v>
      </c>
      <c r="I3399" s="10" t="n">
        <v>187</v>
      </c>
      <c r="J3399" s="10" t="n">
        <v>0</v>
      </c>
      <c r="K3399" s="10" t="s">
        <v>20</v>
      </c>
      <c r="L3399" s="11" t="n">
        <v>40719.8197916667</v>
      </c>
      <c r="M3399" s="12" t="s">
        <v>8313</v>
      </c>
      <c r="N3399" s="12" t="s">
        <v>8314</v>
      </c>
      <c r="O3399" s="9" t="str">
        <f aca="false">HYPERLINK("https://pbs.twimg.com/profile_images/914679179060244480/VHjBgoCW_normal.jpg","View")</f>
        <v>View</v>
      </c>
      <c r="P3399" s="10"/>
    </row>
    <row r="3400" customFormat="false" ht="15.75" hidden="false" customHeight="false" outlineLevel="0" collapsed="false">
      <c r="A3400" s="6" t="n">
        <v>43030.4075</v>
      </c>
      <c r="B3400" s="7" t="str">
        <f aca="false">HYPERLINK("https://twitter.com/gortnacul_house","@gortnacul_house")</f>
        <v>@gortnacul_house</v>
      </c>
      <c r="C3400" s="8" t="s">
        <v>8315</v>
      </c>
      <c r="D3400" s="8" t="s">
        <v>8316</v>
      </c>
      <c r="E3400" s="9" t="str">
        <f aca="false">HYPERLINK("https://twitter.com/gortnacul_house/status/922142203555844097","922142203555844097")</f>
        <v>922142203555844097</v>
      </c>
      <c r="F3400" s="10" t="s">
        <v>51</v>
      </c>
      <c r="G3400" s="10" t="n">
        <v>1009</v>
      </c>
      <c r="H3400" s="10" t="n">
        <v>1827</v>
      </c>
      <c r="I3400" s="10" t="n">
        <v>0</v>
      </c>
      <c r="J3400" s="10" t="n">
        <v>0</v>
      </c>
      <c r="K3400" s="10" t="s">
        <v>20</v>
      </c>
      <c r="L3400" s="11" t="n">
        <v>40009.7540972222</v>
      </c>
      <c r="M3400" s="12" t="s">
        <v>8317</v>
      </c>
      <c r="N3400" s="12" t="s">
        <v>8318</v>
      </c>
      <c r="O3400" s="9" t="str">
        <f aca="false">HYPERLINK("https://pbs.twimg.com/profile_images/922841375246311424/qsBfEicr_normal.jpg","View")</f>
        <v>View</v>
      </c>
      <c r="P3400" s="10"/>
    </row>
    <row r="3401" customFormat="false" ht="15.75" hidden="false" customHeight="false" outlineLevel="0" collapsed="false">
      <c r="A3401" s="6" t="n">
        <v>43030.4076273148</v>
      </c>
      <c r="B3401" s="7" t="str">
        <f aca="false">HYPERLINK("https://twitter.com/KetanJain5","@KetanJain5")</f>
        <v>@KetanJain5</v>
      </c>
      <c r="C3401" s="8" t="s">
        <v>8319</v>
      </c>
      <c r="D3401" s="8" t="s">
        <v>6558</v>
      </c>
      <c r="E3401" s="9" t="str">
        <f aca="false">HYPERLINK("https://twitter.com/KetanJain5/status/922142249852555265","922142249852555265")</f>
        <v>922142249852555265</v>
      </c>
      <c r="F3401" s="10" t="s">
        <v>25</v>
      </c>
      <c r="G3401" s="10" t="n">
        <v>54</v>
      </c>
      <c r="H3401" s="10" t="n">
        <v>234</v>
      </c>
      <c r="I3401" s="10" t="n">
        <v>65</v>
      </c>
      <c r="J3401" s="10" t="n">
        <v>0</v>
      </c>
      <c r="K3401" s="10" t="s">
        <v>20</v>
      </c>
      <c r="L3401" s="11" t="n">
        <v>40770.3199074074</v>
      </c>
      <c r="M3401" s="12"/>
      <c r="N3401" s="12" t="s">
        <v>8320</v>
      </c>
      <c r="O3401" s="9" t="str">
        <f aca="false">HYPERLINK("https://pbs.twimg.com/profile_images/595604837141651457/6w1GKctk_normal.jpg","View")</f>
        <v>View</v>
      </c>
      <c r="P3401" s="10"/>
    </row>
    <row r="3402" customFormat="false" ht="15.75" hidden="false" customHeight="false" outlineLevel="0" collapsed="false">
      <c r="A3402" s="6" t="n">
        <v>43030.4078819444</v>
      </c>
      <c r="B3402" s="7" t="str">
        <f aca="false">HYPERLINK("https://twitter.com/matrix____","@matrix____")</f>
        <v>@matrix____</v>
      </c>
      <c r="C3402" s="8" t="s">
        <v>3429</v>
      </c>
      <c r="D3402" s="8" t="s">
        <v>4984</v>
      </c>
      <c r="E3402" s="9" t="str">
        <f aca="false">HYPERLINK("https://twitter.com/matrix____/status/922142343116890113","922142343116890113")</f>
        <v>922142343116890113</v>
      </c>
      <c r="F3402" s="10" t="s">
        <v>25</v>
      </c>
      <c r="G3402" s="10" t="n">
        <v>3025</v>
      </c>
      <c r="H3402" s="10" t="n">
        <v>99</v>
      </c>
      <c r="I3402" s="10" t="n">
        <v>187</v>
      </c>
      <c r="J3402" s="10" t="n">
        <v>0</v>
      </c>
      <c r="K3402" s="10" t="s">
        <v>20</v>
      </c>
      <c r="L3402" s="11" t="n">
        <v>40899.4175231482</v>
      </c>
      <c r="M3402" s="12"/>
      <c r="N3402" s="12" t="s">
        <v>3430</v>
      </c>
      <c r="O3402" s="9" t="str">
        <f aca="false">HYPERLINK("https://pbs.twimg.com/profile_images/2562735424/xehron89ogped2vk6umj_normal.jpeg","View")</f>
        <v>View</v>
      </c>
      <c r="P3402" s="10"/>
    </row>
    <row r="3403" customFormat="false" ht="15.75" hidden="false" customHeight="false" outlineLevel="0" collapsed="false">
      <c r="A3403" s="6" t="n">
        <v>43030.4099537037</v>
      </c>
      <c r="B3403" s="7" t="str">
        <f aca="false">HYPERLINK("https://twitter.com/camtheman113","@camtheman113")</f>
        <v>@camtheman113</v>
      </c>
      <c r="C3403" s="8" t="s">
        <v>8321</v>
      </c>
      <c r="D3403" s="8" t="s">
        <v>4984</v>
      </c>
      <c r="E3403" s="9" t="str">
        <f aca="false">HYPERLINK("https://twitter.com/camtheman113/status/922143090583810048","922143090583810048")</f>
        <v>922143090583810048</v>
      </c>
      <c r="F3403" s="10" t="s">
        <v>39</v>
      </c>
      <c r="G3403" s="10" t="n">
        <v>1593</v>
      </c>
      <c r="H3403" s="10" t="n">
        <v>3523</v>
      </c>
      <c r="I3403" s="10" t="n">
        <v>187</v>
      </c>
      <c r="J3403" s="10" t="n">
        <v>0</v>
      </c>
      <c r="K3403" s="10" t="s">
        <v>20</v>
      </c>
      <c r="L3403" s="11" t="n">
        <v>40410.5513541667</v>
      </c>
      <c r="M3403" s="12" t="s">
        <v>8322</v>
      </c>
      <c r="N3403" s="12" t="s">
        <v>8323</v>
      </c>
      <c r="O3403" s="9" t="str">
        <f aca="false">HYPERLINK("https://pbs.twimg.com/profile_images/905697238180962304/tgZqmwSy_normal.jpg","View")</f>
        <v>View</v>
      </c>
      <c r="P3403" s="10"/>
    </row>
    <row r="3404" customFormat="false" ht="15.75" hidden="false" customHeight="false" outlineLevel="0" collapsed="false">
      <c r="A3404" s="6" t="n">
        <v>43030.4110185185</v>
      </c>
      <c r="B3404" s="7" t="str">
        <f aca="false">HYPERLINK("https://twitter.com/HARDILAZIZ","@HARDILAZIZ")</f>
        <v>@HARDILAZIZ</v>
      </c>
      <c r="C3404" s="8" t="s">
        <v>8324</v>
      </c>
      <c r="D3404" s="8" t="s">
        <v>6558</v>
      </c>
      <c r="E3404" s="9" t="str">
        <f aca="false">HYPERLINK("https://twitter.com/HARDILAZIZ/status/922143477642620928","922143477642620928")</f>
        <v>922143477642620928</v>
      </c>
      <c r="F3404" s="10" t="s">
        <v>25</v>
      </c>
      <c r="G3404" s="10" t="n">
        <v>251</v>
      </c>
      <c r="H3404" s="10" t="n">
        <v>186</v>
      </c>
      <c r="I3404" s="10" t="n">
        <v>65</v>
      </c>
      <c r="J3404" s="10" t="n">
        <v>0</v>
      </c>
      <c r="K3404" s="10" t="s">
        <v>20</v>
      </c>
      <c r="L3404" s="11" t="n">
        <v>40037.4342476852</v>
      </c>
      <c r="M3404" s="12" t="s">
        <v>1877</v>
      </c>
      <c r="N3404" s="12" t="s">
        <v>8325</v>
      </c>
      <c r="O3404" s="9" t="str">
        <f aca="false">HYPERLINK("https://pbs.twimg.com/profile_images/491065881707819011/sIIoHKwy_normal.jpeg","View")</f>
        <v>View</v>
      </c>
      <c r="P3404" s="10"/>
    </row>
    <row r="3405" customFormat="false" ht="15.75" hidden="false" customHeight="false" outlineLevel="0" collapsed="false">
      <c r="A3405" s="6" t="n">
        <v>43030.4117939815</v>
      </c>
      <c r="B3405" s="7" t="str">
        <f aca="false">HYPERLINK("https://twitter.com/NzingaQ","@NzingaQ")</f>
        <v>@NzingaQ</v>
      </c>
      <c r="C3405" s="8" t="s">
        <v>8326</v>
      </c>
      <c r="D3405" s="8" t="s">
        <v>8282</v>
      </c>
      <c r="E3405" s="9" t="str">
        <f aca="false">HYPERLINK("https://twitter.com/NzingaQ/status/922143759114096641","922143759114096641")</f>
        <v>922143759114096641</v>
      </c>
      <c r="F3405" s="10" t="s">
        <v>51</v>
      </c>
      <c r="G3405" s="10" t="n">
        <v>31194</v>
      </c>
      <c r="H3405" s="10" t="n">
        <v>741</v>
      </c>
      <c r="I3405" s="10" t="n">
        <v>2</v>
      </c>
      <c r="J3405" s="10" t="n">
        <v>0</v>
      </c>
      <c r="K3405" s="10" t="s">
        <v>20</v>
      </c>
      <c r="L3405" s="11" t="n">
        <v>39837.5979166667</v>
      </c>
      <c r="M3405" s="12" t="s">
        <v>2593</v>
      </c>
      <c r="N3405" s="12" t="s">
        <v>8327</v>
      </c>
      <c r="O3405" s="9" t="str">
        <f aca="false">HYPERLINK("https://pbs.twimg.com/profile_images/861664642371915776/rqKVY3U1_normal.jpg","View")</f>
        <v>View</v>
      </c>
      <c r="P3405" s="10"/>
    </row>
    <row r="3406" customFormat="false" ht="15.75" hidden="false" customHeight="false" outlineLevel="0" collapsed="false">
      <c r="A3406" s="6" t="n">
        <v>43030.4125925926</v>
      </c>
      <c r="B3406" s="7" t="str">
        <f aca="false">HYPERLINK("https://twitter.com/wakuwakushinta","@wakuwakushinta")</f>
        <v>@wakuwakushinta</v>
      </c>
      <c r="C3406" s="8" t="s">
        <v>8328</v>
      </c>
      <c r="D3406" s="8" t="s">
        <v>8329</v>
      </c>
      <c r="E3406" s="9" t="str">
        <f aca="false">HYPERLINK("https://twitter.com/wakuwakushinta/status/922144050555187200","922144050555187200")</f>
        <v>922144050555187200</v>
      </c>
      <c r="F3406" s="10" t="s">
        <v>51</v>
      </c>
      <c r="G3406" s="10" t="n">
        <v>154</v>
      </c>
      <c r="H3406" s="10" t="n">
        <v>255</v>
      </c>
      <c r="I3406" s="10" t="n">
        <v>0</v>
      </c>
      <c r="J3406" s="10" t="n">
        <v>0</v>
      </c>
      <c r="K3406" s="10" t="s">
        <v>20</v>
      </c>
      <c r="L3406" s="11" t="n">
        <v>40636.1734027778</v>
      </c>
      <c r="M3406" s="12" t="s">
        <v>8330</v>
      </c>
      <c r="N3406" s="13" t="s">
        <v>8331</v>
      </c>
      <c r="O3406" s="9" t="str">
        <f aca="false">HYPERLINK("https://pbs.twimg.com/profile_images/886707471468830720/WvvYVD3__normal.jpg","View")</f>
        <v>View</v>
      </c>
      <c r="P3406" s="10"/>
    </row>
    <row r="3407" customFormat="false" ht="15.75" hidden="false" customHeight="false" outlineLevel="0" collapsed="false">
      <c r="A3407" s="6" t="n">
        <v>43030.4134259259</v>
      </c>
      <c r="B3407" s="7" t="str">
        <f aca="false">HYPERLINK("https://twitter.com/kristoferkawas","@kristoferkawas")</f>
        <v>@kristoferkawas</v>
      </c>
      <c r="C3407" s="8" t="s">
        <v>2132</v>
      </c>
      <c r="D3407" s="8" t="s">
        <v>8332</v>
      </c>
      <c r="E3407" s="9" t="str">
        <f aca="false">HYPERLINK("https://twitter.com/kristoferkawas/status/922144349248475136","922144349248475136")</f>
        <v>922144349248475136</v>
      </c>
      <c r="F3407" s="10" t="s">
        <v>60</v>
      </c>
      <c r="G3407" s="10" t="n">
        <v>3074</v>
      </c>
      <c r="H3407" s="10" t="n">
        <v>14</v>
      </c>
      <c r="I3407" s="10" t="n">
        <v>1</v>
      </c>
      <c r="J3407" s="10" t="n">
        <v>0</v>
      </c>
      <c r="K3407" s="10" t="s">
        <v>20</v>
      </c>
      <c r="L3407" s="11" t="n">
        <v>40432.4156828704</v>
      </c>
      <c r="M3407" s="12" t="s">
        <v>2134</v>
      </c>
      <c r="N3407" s="12" t="s">
        <v>2135</v>
      </c>
      <c r="O3407" s="9" t="str">
        <f aca="false">HYPERLINK("https://pbs.twimg.com/profile_images/662564447542636544/LvMoxlK3_normal.jpg","View")</f>
        <v>View</v>
      </c>
      <c r="P3407" s="10"/>
    </row>
    <row r="3408" customFormat="false" ht="15.75" hidden="false" customHeight="false" outlineLevel="0" collapsed="false">
      <c r="A3408" s="6" t="n">
        <v>43030.414224537</v>
      </c>
      <c r="B3408" s="7" t="str">
        <f aca="false">HYPERLINK("https://twitter.com/SonokHakan","@SonokHakan")</f>
        <v>@SonokHakan</v>
      </c>
      <c r="C3408" s="8" t="s">
        <v>8333</v>
      </c>
      <c r="D3408" s="8" t="s">
        <v>3646</v>
      </c>
      <c r="E3408" s="9" t="str">
        <f aca="false">HYPERLINK("https://twitter.com/SonokHakan/status/922144639502704640","922144639502704640")</f>
        <v>922144639502704640</v>
      </c>
      <c r="F3408" s="10" t="s">
        <v>39</v>
      </c>
      <c r="G3408" s="10" t="n">
        <v>66928</v>
      </c>
      <c r="H3408" s="10" t="n">
        <v>67202</v>
      </c>
      <c r="I3408" s="10" t="n">
        <v>71</v>
      </c>
      <c r="J3408" s="10" t="n">
        <v>0</v>
      </c>
      <c r="K3408" s="10" t="s">
        <v>20</v>
      </c>
      <c r="L3408" s="11" t="n">
        <v>41443.2813657407</v>
      </c>
      <c r="M3408" s="12" t="n">
        <v>5465860886</v>
      </c>
      <c r="N3408" s="12" t="s">
        <v>8334</v>
      </c>
      <c r="O3408" s="9" t="str">
        <f aca="false">HYPERLINK("https://pbs.twimg.com/profile_images/913434952301203460/atMYFs_m_normal.jpg","View")</f>
        <v>View</v>
      </c>
      <c r="P3408" s="10"/>
    </row>
    <row r="3409" customFormat="false" ht="15.75" hidden="false" customHeight="false" outlineLevel="0" collapsed="false">
      <c r="A3409" s="6" t="n">
        <v>43030.4142361111</v>
      </c>
      <c r="B3409" s="7" t="str">
        <f aca="false">HYPERLINK("https://twitter.com/meiyoumayo","@meiyoumayo")</f>
        <v>@meiyoumayo</v>
      </c>
      <c r="C3409" s="8" t="s">
        <v>8335</v>
      </c>
      <c r="D3409" s="8" t="s">
        <v>8336</v>
      </c>
      <c r="E3409" s="9" t="str">
        <f aca="false">HYPERLINK("https://twitter.com/meiyoumayo/status/922144644842098694","922144644842098694")</f>
        <v>922144644842098694</v>
      </c>
      <c r="F3409" s="10" t="s">
        <v>39</v>
      </c>
      <c r="G3409" s="10" t="n">
        <v>38</v>
      </c>
      <c r="H3409" s="10" t="n">
        <v>184</v>
      </c>
      <c r="I3409" s="10" t="n">
        <v>0</v>
      </c>
      <c r="J3409" s="10" t="n">
        <v>0</v>
      </c>
      <c r="K3409" s="10" t="s">
        <v>20</v>
      </c>
      <c r="L3409" s="11" t="n">
        <v>42504.6128587963</v>
      </c>
      <c r="M3409" s="12"/>
      <c r="N3409" s="12" t="s">
        <v>8337</v>
      </c>
      <c r="O3409" s="9" t="str">
        <f aca="false">HYPERLINK("https://pbs.twimg.com/profile_images/731601176504991744/Cj9o35Sq_normal.jpg","View")</f>
        <v>View</v>
      </c>
      <c r="P3409" s="10"/>
    </row>
    <row r="3410" customFormat="false" ht="15.75" hidden="false" customHeight="false" outlineLevel="0" collapsed="false">
      <c r="A3410" s="6" t="n">
        <v>43030.4147800926</v>
      </c>
      <c r="B3410" s="7" t="str">
        <f aca="false">HYPERLINK("https://twitter.com/JanF06","@JanF06")</f>
        <v>@JanF06</v>
      </c>
      <c r="C3410" s="8" t="s">
        <v>8338</v>
      </c>
      <c r="D3410" s="8" t="s">
        <v>3295</v>
      </c>
      <c r="E3410" s="9" t="str">
        <f aca="false">HYPERLINK("https://twitter.com/JanF06/status/922144840414048256","922144840414048256")</f>
        <v>922144840414048256</v>
      </c>
      <c r="F3410" s="10" t="s">
        <v>177</v>
      </c>
      <c r="G3410" s="10" t="n">
        <v>673</v>
      </c>
      <c r="H3410" s="10" t="n">
        <v>735</v>
      </c>
      <c r="I3410" s="10" t="n">
        <v>71</v>
      </c>
      <c r="J3410" s="10" t="n">
        <v>0</v>
      </c>
      <c r="K3410" s="10" t="s">
        <v>20</v>
      </c>
      <c r="L3410" s="11" t="n">
        <v>40085.0044328704</v>
      </c>
      <c r="M3410" s="12"/>
      <c r="N3410" s="12"/>
      <c r="O3410" s="9" t="str">
        <f aca="false">HYPERLINK("https://pbs.twimg.com/profile_images/911702100144480256/NjWirJ3M_normal.jpg","View")</f>
        <v>View</v>
      </c>
      <c r="P3410" s="10"/>
    </row>
    <row r="3411" customFormat="false" ht="15.75" hidden="false" customHeight="false" outlineLevel="0" collapsed="false">
      <c r="A3411" s="6" t="n">
        <v>43030.4157060185</v>
      </c>
      <c r="B3411" s="7" t="str">
        <f aca="false">HYPERLINK("https://twitter.com/gongitunelamp","@gongitunelamp")</f>
        <v>@gongitunelamp</v>
      </c>
      <c r="C3411" s="8" t="s">
        <v>8339</v>
      </c>
      <c r="D3411" s="8" t="s">
        <v>6707</v>
      </c>
      <c r="E3411" s="9" t="str">
        <f aca="false">HYPERLINK("https://twitter.com/gongitunelamp/status/922145176084082688","922145176084082688")</f>
        <v>922145176084082688</v>
      </c>
      <c r="F3411" s="10" t="s">
        <v>51</v>
      </c>
      <c r="G3411" s="10" t="n">
        <v>873</v>
      </c>
      <c r="H3411" s="10" t="n">
        <v>864</v>
      </c>
      <c r="I3411" s="10" t="n">
        <v>97</v>
      </c>
      <c r="J3411" s="10" t="n">
        <v>0</v>
      </c>
      <c r="K3411" s="10" t="s">
        <v>20</v>
      </c>
      <c r="L3411" s="11" t="n">
        <v>40455.3229166667</v>
      </c>
      <c r="M3411" s="13" t="s">
        <v>8340</v>
      </c>
      <c r="N3411" s="13" t="s">
        <v>8341</v>
      </c>
      <c r="O3411" s="9" t="str">
        <f aca="false">HYPERLINK("https://pbs.twimg.com/profile_images/642198978017128449/GycdkDIG_normal.jpg","View")</f>
        <v>View</v>
      </c>
      <c r="P3411" s="10"/>
    </row>
    <row r="3412" customFormat="false" ht="15.75" hidden="false" customHeight="false" outlineLevel="0" collapsed="false">
      <c r="A3412" s="6" t="n">
        <v>43030.4160763889</v>
      </c>
      <c r="B3412" s="7" t="str">
        <f aca="false">HYPERLINK("https://twitter.com/Chisako331","@Chisako331")</f>
        <v>@Chisako331</v>
      </c>
      <c r="C3412" s="8" t="s">
        <v>3216</v>
      </c>
      <c r="D3412" s="8" t="s">
        <v>6707</v>
      </c>
      <c r="E3412" s="9" t="str">
        <f aca="false">HYPERLINK("https://twitter.com/Chisako331/status/922145309739794432","922145309739794432")</f>
        <v>922145309739794432</v>
      </c>
      <c r="F3412" s="10" t="s">
        <v>25</v>
      </c>
      <c r="G3412" s="10" t="n">
        <v>1182</v>
      </c>
      <c r="H3412" s="10" t="n">
        <v>921</v>
      </c>
      <c r="I3412" s="10" t="n">
        <v>97</v>
      </c>
      <c r="J3412" s="10" t="n">
        <v>0</v>
      </c>
      <c r="K3412" s="10" t="s">
        <v>20</v>
      </c>
      <c r="L3412" s="11" t="n">
        <v>41469.2274768519</v>
      </c>
      <c r="M3412" s="12" t="s">
        <v>574</v>
      </c>
      <c r="N3412" s="12" t="s">
        <v>3217</v>
      </c>
      <c r="O3412" s="9" t="str">
        <f aca="false">HYPERLINK("https://pbs.twimg.com/profile_images/860478805982367745/vpXP8SZ2_normal.jpg","View")</f>
        <v>View</v>
      </c>
      <c r="P3412" s="10"/>
    </row>
    <row r="3413" customFormat="false" ht="15.75" hidden="false" customHeight="false" outlineLevel="0" collapsed="false">
      <c r="A3413" s="6" t="n">
        <v>43030.4162268519</v>
      </c>
      <c r="B3413" s="7" t="str">
        <f aca="false">HYPERLINK("https://twitter.com/Chisako331","@Chisako331")</f>
        <v>@Chisako331</v>
      </c>
      <c r="C3413" s="8" t="s">
        <v>3216</v>
      </c>
      <c r="D3413" s="8" t="s">
        <v>7803</v>
      </c>
      <c r="E3413" s="9" t="str">
        <f aca="false">HYPERLINK("https://twitter.com/Chisako331/status/922145364483784705","922145364483784705")</f>
        <v>922145364483784705</v>
      </c>
      <c r="F3413" s="10" t="s">
        <v>25</v>
      </c>
      <c r="G3413" s="10" t="n">
        <v>1182</v>
      </c>
      <c r="H3413" s="10" t="n">
        <v>921</v>
      </c>
      <c r="I3413" s="10" t="n">
        <v>30</v>
      </c>
      <c r="J3413" s="10" t="n">
        <v>0</v>
      </c>
      <c r="K3413" s="10" t="s">
        <v>20</v>
      </c>
      <c r="L3413" s="11" t="n">
        <v>41469.2274768519</v>
      </c>
      <c r="M3413" s="12" t="s">
        <v>574</v>
      </c>
      <c r="N3413" s="12" t="s">
        <v>3217</v>
      </c>
      <c r="O3413" s="9" t="str">
        <f aca="false">HYPERLINK("https://pbs.twimg.com/profile_images/860478805982367745/vpXP8SZ2_normal.jpg","View")</f>
        <v>View</v>
      </c>
      <c r="P3413" s="10"/>
    </row>
    <row r="3414" customFormat="false" ht="15.75" hidden="false" customHeight="false" outlineLevel="0" collapsed="false">
      <c r="A3414" s="6" t="n">
        <v>43030.4168402778</v>
      </c>
      <c r="B3414" s="7" t="str">
        <f aca="false">HYPERLINK("https://twitter.com/Kalkura_B","@Kalkura_B")</f>
        <v>@Kalkura_B</v>
      </c>
      <c r="C3414" s="8" t="s">
        <v>8342</v>
      </c>
      <c r="D3414" s="8" t="s">
        <v>7338</v>
      </c>
      <c r="E3414" s="9" t="str">
        <f aca="false">HYPERLINK("https://twitter.com/Kalkura_B/status/922145588833148928","922145588833148928")</f>
        <v>922145588833148928</v>
      </c>
      <c r="F3414" s="10" t="s">
        <v>25</v>
      </c>
      <c r="G3414" s="10" t="n">
        <v>105</v>
      </c>
      <c r="H3414" s="10" t="n">
        <v>486</v>
      </c>
      <c r="I3414" s="10" t="n">
        <v>3</v>
      </c>
      <c r="J3414" s="10" t="n">
        <v>0</v>
      </c>
      <c r="K3414" s="10" t="s">
        <v>20</v>
      </c>
      <c r="L3414" s="11" t="n">
        <v>40122.9397106482</v>
      </c>
      <c r="M3414" s="12"/>
      <c r="N3414" s="12"/>
      <c r="O3414" s="9" t="str">
        <f aca="false">HYPERLINK("https://pbs.twimg.com/profile_images/759663205157310464/JYKlXH97_normal.jpg","View")</f>
        <v>View</v>
      </c>
      <c r="P3414" s="10"/>
    </row>
    <row r="3415" customFormat="false" ht="15.75" hidden="false" customHeight="false" outlineLevel="0" collapsed="false">
      <c r="A3415" s="6" t="n">
        <v>43030.417037037</v>
      </c>
      <c r="B3415" s="7" t="str">
        <f aca="false">HYPERLINK("https://twitter.com/AzimChaudhry","@AzimChaudhry")</f>
        <v>@AzimChaudhry</v>
      </c>
      <c r="C3415" s="8" t="s">
        <v>8343</v>
      </c>
      <c r="D3415" s="8" t="s">
        <v>8344</v>
      </c>
      <c r="E3415" s="9" t="str">
        <f aca="false">HYPERLINK("https://twitter.com/AzimChaudhry/status/922145660899557376","922145660899557376")</f>
        <v>922145660899557376</v>
      </c>
      <c r="F3415" s="10" t="s">
        <v>51</v>
      </c>
      <c r="G3415" s="10" t="n">
        <v>27</v>
      </c>
      <c r="H3415" s="10" t="n">
        <v>26</v>
      </c>
      <c r="I3415" s="10" t="n">
        <v>0</v>
      </c>
      <c r="J3415" s="10" t="n">
        <v>1</v>
      </c>
      <c r="K3415" s="10" t="s">
        <v>20</v>
      </c>
      <c r="L3415" s="11" t="n">
        <v>40865.5240740741</v>
      </c>
      <c r="M3415" s="12"/>
      <c r="N3415" s="12" t="s">
        <v>8345</v>
      </c>
      <c r="O3415" s="9" t="str">
        <f aca="false">HYPERLINK("https://pbs.twimg.com/profile_images/850547739926687746/x5bGvSCw_normal.jpg","View")</f>
        <v>View</v>
      </c>
      <c r="P3415" s="10"/>
    </row>
    <row r="3416" customFormat="false" ht="15.75" hidden="false" customHeight="false" outlineLevel="0" collapsed="false">
      <c r="A3416" s="6" t="n">
        <v>43030.4172685185</v>
      </c>
      <c r="B3416" s="7" t="str">
        <f aca="false">HYPERLINK("https://twitter.com/vivaswan93","@vivaswan93")</f>
        <v>@vivaswan93</v>
      </c>
      <c r="C3416" s="8" t="s">
        <v>8346</v>
      </c>
      <c r="D3416" s="8" t="s">
        <v>7905</v>
      </c>
      <c r="E3416" s="9" t="str">
        <f aca="false">HYPERLINK("https://twitter.com/vivaswan93/status/922145741216215040","922145741216215040")</f>
        <v>922145741216215040</v>
      </c>
      <c r="F3416" s="10" t="s">
        <v>25</v>
      </c>
      <c r="G3416" s="10" t="n">
        <v>6</v>
      </c>
      <c r="H3416" s="10" t="n">
        <v>61</v>
      </c>
      <c r="I3416" s="10" t="n">
        <v>38</v>
      </c>
      <c r="J3416" s="10" t="n">
        <v>0</v>
      </c>
      <c r="K3416" s="10" t="s">
        <v>20</v>
      </c>
      <c r="L3416" s="11" t="n">
        <v>42773.4654861111</v>
      </c>
      <c r="M3416" s="12" t="s">
        <v>72</v>
      </c>
      <c r="N3416" s="12" t="s">
        <v>8347</v>
      </c>
      <c r="O3416" s="9" t="str">
        <f aca="false">HYPERLINK("https://abs.twimg.com/sticky/default_profile_images/default_profile_normal.png","View")</f>
        <v>View</v>
      </c>
      <c r="P3416" s="10"/>
    </row>
    <row r="3417" customFormat="false" ht="15.75" hidden="false" customHeight="false" outlineLevel="0" collapsed="false">
      <c r="A3417" s="6" t="n">
        <v>43030.4176851852</v>
      </c>
      <c r="B3417" s="7" t="str">
        <f aca="false">HYPERLINK("https://twitter.com/mohitdujari","@mohitdujari")</f>
        <v>@mohitdujari</v>
      </c>
      <c r="C3417" s="8" t="s">
        <v>8348</v>
      </c>
      <c r="D3417" s="8" t="s">
        <v>6558</v>
      </c>
      <c r="E3417" s="9" t="str">
        <f aca="false">HYPERLINK("https://twitter.com/mohitdujari/status/922145893335293952","922145893335293952")</f>
        <v>922145893335293952</v>
      </c>
      <c r="F3417" s="10" t="s">
        <v>25</v>
      </c>
      <c r="G3417" s="10" t="n">
        <v>86</v>
      </c>
      <c r="H3417" s="10" t="n">
        <v>782</v>
      </c>
      <c r="I3417" s="10" t="n">
        <v>65</v>
      </c>
      <c r="J3417" s="10" t="n">
        <v>0</v>
      </c>
      <c r="K3417" s="10" t="s">
        <v>20</v>
      </c>
      <c r="L3417" s="11" t="n">
        <v>40053.1403240741</v>
      </c>
      <c r="M3417" s="12" t="s">
        <v>8349</v>
      </c>
      <c r="N3417" s="12" t="s">
        <v>8350</v>
      </c>
      <c r="O3417" s="9" t="str">
        <f aca="false">HYPERLINK("https://pbs.twimg.com/profile_images/894863347220324352/uAx9taWE_normal.jpg","View")</f>
        <v>View</v>
      </c>
      <c r="P3417" s="10"/>
    </row>
    <row r="3418" customFormat="false" ht="15.75" hidden="false" customHeight="false" outlineLevel="0" collapsed="false">
      <c r="A3418" s="6" t="n">
        <v>43030.4176967593</v>
      </c>
      <c r="B3418" s="7" t="str">
        <f aca="false">HYPERLINK("https://twitter.com/omugiiiiiiii","@omugiiiiiiii")</f>
        <v>@omugiiiiiiii</v>
      </c>
      <c r="C3418" s="14" t="s">
        <v>8351</v>
      </c>
      <c r="D3418" s="8" t="s">
        <v>6707</v>
      </c>
      <c r="E3418" s="9" t="str">
        <f aca="false">HYPERLINK("https://twitter.com/omugiiiiiiii/status/922145897776951297","922145897776951297")</f>
        <v>922145897776951297</v>
      </c>
      <c r="F3418" s="10" t="s">
        <v>51</v>
      </c>
      <c r="G3418" s="10" t="n">
        <v>1343</v>
      </c>
      <c r="H3418" s="10" t="n">
        <v>2205</v>
      </c>
      <c r="I3418" s="10" t="n">
        <v>97</v>
      </c>
      <c r="J3418" s="10" t="n">
        <v>0</v>
      </c>
      <c r="K3418" s="10" t="s">
        <v>20</v>
      </c>
      <c r="L3418" s="11" t="n">
        <v>42109.2903356482</v>
      </c>
      <c r="M3418" s="12" t="s">
        <v>8352</v>
      </c>
      <c r="N3418" s="12"/>
      <c r="O3418" s="9" t="str">
        <f aca="false">HYPERLINK("https://pbs.twimg.com/profile_images/833309217687613440/mnH1TSX8_normal.jpg","View")</f>
        <v>View</v>
      </c>
      <c r="P3418" s="10"/>
    </row>
    <row r="3419" customFormat="false" ht="15.75" hidden="false" customHeight="false" outlineLevel="0" collapsed="false">
      <c r="A3419" s="6" t="n">
        <v>43030.4178703704</v>
      </c>
      <c r="B3419" s="7" t="str">
        <f aca="false">HYPERLINK("https://twitter.com/shahashesh2001","@shahashesh2001")</f>
        <v>@shahashesh2001</v>
      </c>
      <c r="C3419" s="8" t="s">
        <v>8353</v>
      </c>
      <c r="D3419" s="8" t="s">
        <v>6558</v>
      </c>
      <c r="E3419" s="9" t="str">
        <f aca="false">HYPERLINK("https://twitter.com/shahashesh2001/status/922145963489284096","922145963489284096")</f>
        <v>922145963489284096</v>
      </c>
      <c r="F3419" s="10" t="s">
        <v>25</v>
      </c>
      <c r="G3419" s="10" t="n">
        <v>383</v>
      </c>
      <c r="H3419" s="10" t="n">
        <v>217</v>
      </c>
      <c r="I3419" s="10" t="n">
        <v>65</v>
      </c>
      <c r="J3419" s="10" t="n">
        <v>0</v>
      </c>
      <c r="K3419" s="10" t="s">
        <v>20</v>
      </c>
      <c r="L3419" s="11" t="n">
        <v>40798.0844328704</v>
      </c>
      <c r="M3419" s="12" t="s">
        <v>6635</v>
      </c>
      <c r="N3419" s="12" t="s">
        <v>8354</v>
      </c>
      <c r="O3419" s="9" t="str">
        <f aca="false">HYPERLINK("https://pbs.twimg.com/profile_images/853228447505821696/IFh99NSC_normal.jpg","View")</f>
        <v>View</v>
      </c>
      <c r="P3419" s="10"/>
    </row>
    <row r="3420" customFormat="false" ht="15.75" hidden="false" customHeight="false" outlineLevel="0" collapsed="false">
      <c r="A3420" s="6" t="n">
        <v>43030.4182407407</v>
      </c>
      <c r="B3420" s="7" t="str">
        <f aca="false">HYPERLINK("https://twitter.com/NewsDingo","@NewsDingo")</f>
        <v>@NewsDingo</v>
      </c>
      <c r="C3420" s="8" t="s">
        <v>1930</v>
      </c>
      <c r="D3420" s="8" t="s">
        <v>8355</v>
      </c>
      <c r="E3420" s="9" t="str">
        <f aca="false">HYPERLINK("https://twitter.com/NewsDingo/status/922146096494804994","922146096494804994")</f>
        <v>922146096494804994</v>
      </c>
      <c r="F3420" s="10" t="s">
        <v>1932</v>
      </c>
      <c r="G3420" s="10" t="n">
        <v>141</v>
      </c>
      <c r="H3420" s="10" t="n">
        <v>55</v>
      </c>
      <c r="I3420" s="10" t="n">
        <v>0</v>
      </c>
      <c r="J3420" s="10" t="n">
        <v>0</v>
      </c>
      <c r="K3420" s="10" t="s">
        <v>20</v>
      </c>
      <c r="L3420" s="11" t="n">
        <v>40282.5263657407</v>
      </c>
      <c r="M3420" s="12" t="s">
        <v>1933</v>
      </c>
      <c r="N3420" s="12" t="s">
        <v>1934</v>
      </c>
      <c r="O3420" s="9" t="str">
        <f aca="false">HYPERLINK("https://pbs.twimg.com/profile_images/823485261/news_dingo_48_normal.gif","View")</f>
        <v>View</v>
      </c>
      <c r="P3420" s="10"/>
    </row>
    <row r="3421" customFormat="false" ht="15.75" hidden="false" customHeight="false" outlineLevel="0" collapsed="false">
      <c r="A3421" s="6" t="n">
        <v>43030.4184606481</v>
      </c>
      <c r="B3421" s="7" t="str">
        <f aca="false">HYPERLINK("https://twitter.com/EagleStarNET","@EagleStarNET")</f>
        <v>@EagleStarNET</v>
      </c>
      <c r="C3421" s="7" t="s">
        <v>8217</v>
      </c>
      <c r="D3421" s="8" t="s">
        <v>8356</v>
      </c>
      <c r="E3421" s="9" t="str">
        <f aca="false">HYPERLINK("https://twitter.com/EagleStarNET/status/922146175725301762","922146175725301762")</f>
        <v>922146175725301762</v>
      </c>
      <c r="F3421" s="10" t="s">
        <v>8219</v>
      </c>
      <c r="G3421" s="10" t="n">
        <v>113025</v>
      </c>
      <c r="H3421" s="10" t="n">
        <v>10482</v>
      </c>
      <c r="I3421" s="10" t="n">
        <v>0</v>
      </c>
      <c r="J3421" s="10" t="n">
        <v>0</v>
      </c>
      <c r="K3421" s="10" t="s">
        <v>20</v>
      </c>
      <c r="L3421" s="11" t="n">
        <v>39863.6382407407</v>
      </c>
      <c r="M3421" s="12" t="s">
        <v>8220</v>
      </c>
      <c r="N3421" s="12" t="s">
        <v>8221</v>
      </c>
      <c r="O3421" s="9" t="str">
        <f aca="false">HYPERLINK("https://pbs.twimg.com/profile_images/1281792618/es_logo_metallic_gold_2_normal.jpg","View")</f>
        <v>View</v>
      </c>
      <c r="P3421" s="10"/>
    </row>
    <row r="3422" customFormat="false" ht="15.75" hidden="false" customHeight="false" outlineLevel="0" collapsed="false">
      <c r="A3422" s="6" t="n">
        <v>43030.4185416667</v>
      </c>
      <c r="B3422" s="7" t="str">
        <f aca="false">HYPERLINK("https://twitter.com/mbwManzoni","@mbwManzoni")</f>
        <v>@mbwManzoni</v>
      </c>
      <c r="C3422" s="8" t="s">
        <v>45</v>
      </c>
      <c r="D3422" s="8" t="s">
        <v>8357</v>
      </c>
      <c r="E3422" s="9" t="str">
        <f aca="false">HYPERLINK("https://twitter.com/mbwManzoni/status/922146204489744384","922146204489744384")</f>
        <v>922146204489744384</v>
      </c>
      <c r="F3422" s="10" t="s">
        <v>47</v>
      </c>
      <c r="G3422" s="10" t="n">
        <v>503</v>
      </c>
      <c r="H3422" s="10" t="n">
        <v>1161</v>
      </c>
      <c r="I3422" s="10" t="n">
        <v>0</v>
      </c>
      <c r="J3422" s="10" t="n">
        <v>0</v>
      </c>
      <c r="K3422" s="10" t="s">
        <v>20</v>
      </c>
      <c r="L3422" s="11" t="n">
        <v>40440.4984259259</v>
      </c>
      <c r="M3422" s="12" t="s">
        <v>48</v>
      </c>
      <c r="N3422" s="12" t="s">
        <v>49</v>
      </c>
      <c r="O3422" s="9" t="str">
        <f aca="false">HYPERLINK("https://pbs.twimg.com/profile_images/876267141082861569/P5HrOcEH_normal.jpg","View")</f>
        <v>View</v>
      </c>
      <c r="P3422" s="10"/>
    </row>
    <row r="3423" customFormat="false" ht="15.75" hidden="false" customHeight="false" outlineLevel="0" collapsed="false">
      <c r="A3423" s="6" t="n">
        <v>43030.4186342593</v>
      </c>
      <c r="B3423" s="7" t="str">
        <f aca="false">HYPERLINK("https://twitter.com/wfd_wfd","@wfd_wfd")</f>
        <v>@wfd_wfd</v>
      </c>
      <c r="C3423" s="8" t="s">
        <v>8358</v>
      </c>
      <c r="D3423" s="8" t="s">
        <v>8359</v>
      </c>
      <c r="E3423" s="9" t="str">
        <f aca="false">HYPERLINK("https://twitter.com/wfd_wfd/status/922146239122198535","922146239122198535")</f>
        <v>922146239122198535</v>
      </c>
      <c r="F3423" s="10" t="s">
        <v>60</v>
      </c>
      <c r="G3423" s="10" t="n">
        <v>538</v>
      </c>
      <c r="H3423" s="10" t="n">
        <v>4857</v>
      </c>
      <c r="I3423" s="10" t="n">
        <v>0</v>
      </c>
      <c r="J3423" s="10" t="n">
        <v>0</v>
      </c>
      <c r="K3423" s="10" t="s">
        <v>20</v>
      </c>
      <c r="L3423" s="11" t="n">
        <v>42055.4978587963</v>
      </c>
      <c r="M3423" s="12" t="s">
        <v>588</v>
      </c>
      <c r="N3423" s="12" t="s">
        <v>8360</v>
      </c>
      <c r="O3423" s="9" t="str">
        <f aca="false">HYPERLINK("https://pbs.twimg.com/profile_images/568862030237425664/MWEkjKEn_normal.jpeg","View")</f>
        <v>View</v>
      </c>
      <c r="P3423" s="10"/>
    </row>
    <row r="3424" customFormat="false" ht="15.75" hidden="false" customHeight="false" outlineLevel="0" collapsed="false">
      <c r="A3424" s="6" t="n">
        <v>43030.41875</v>
      </c>
      <c r="B3424" s="7" t="str">
        <f aca="false">HYPERLINK("https://twitter.com/JSavoly","@JSavoly")</f>
        <v>@JSavoly</v>
      </c>
      <c r="C3424" s="8" t="s">
        <v>8361</v>
      </c>
      <c r="D3424" s="8" t="s">
        <v>8362</v>
      </c>
      <c r="E3424" s="9" t="str">
        <f aca="false">HYPERLINK("https://twitter.com/JSavoly/status/922146278259208192","922146278259208192")</f>
        <v>922146278259208192</v>
      </c>
      <c r="F3424" s="10" t="s">
        <v>51</v>
      </c>
      <c r="G3424" s="10" t="n">
        <v>12939</v>
      </c>
      <c r="H3424" s="10" t="n">
        <v>4523</v>
      </c>
      <c r="I3424" s="10" t="n">
        <v>0</v>
      </c>
      <c r="J3424" s="10" t="n">
        <v>0</v>
      </c>
      <c r="K3424" s="10" t="s">
        <v>20</v>
      </c>
      <c r="L3424" s="11" t="n">
        <v>40977.4553009259</v>
      </c>
      <c r="M3424" s="12" t="s">
        <v>8363</v>
      </c>
      <c r="N3424" s="12" t="s">
        <v>8364</v>
      </c>
      <c r="O3424" s="9" t="str">
        <f aca="false">HYPERLINK("https://pbs.twimg.com/profile_images/921066354563829760/SBvTToCM_normal.jpg","View")</f>
        <v>View</v>
      </c>
      <c r="P3424" s="10"/>
    </row>
    <row r="3425" customFormat="false" ht="15.75" hidden="false" customHeight="false" outlineLevel="0" collapsed="false">
      <c r="A3425" s="6" t="n">
        <v>43030.4189583333</v>
      </c>
      <c r="B3425" s="7" t="str">
        <f aca="false">HYPERLINK("https://twitter.com/kamen7878","@kamen7878")</f>
        <v>@kamen7878</v>
      </c>
      <c r="C3425" s="8" t="s">
        <v>8365</v>
      </c>
      <c r="D3425" s="8" t="s">
        <v>6707</v>
      </c>
      <c r="E3425" s="9" t="str">
        <f aca="false">HYPERLINK("https://twitter.com/kamen7878/status/922146356554166272","922146356554166272")</f>
        <v>922146356554166272</v>
      </c>
      <c r="F3425" s="10" t="s">
        <v>98</v>
      </c>
      <c r="G3425" s="10" t="n">
        <v>1165</v>
      </c>
      <c r="H3425" s="10" t="n">
        <v>1049</v>
      </c>
      <c r="I3425" s="10" t="n">
        <v>97</v>
      </c>
      <c r="J3425" s="10" t="n">
        <v>0</v>
      </c>
      <c r="K3425" s="10" t="s">
        <v>20</v>
      </c>
      <c r="L3425" s="11" t="n">
        <v>40930.7941550926</v>
      </c>
      <c r="M3425" s="13" t="s">
        <v>8366</v>
      </c>
      <c r="N3425" s="13" t="s">
        <v>8367</v>
      </c>
      <c r="O3425" s="9" t="str">
        <f aca="false">HYPERLINK("https://pbs.twimg.com/profile_images/647124163015016448/4BCJT3bE_normal.jpg","View")</f>
        <v>View</v>
      </c>
      <c r="P3425" s="10"/>
    </row>
    <row r="3426" customFormat="false" ht="15.75" hidden="false" customHeight="false" outlineLevel="0" collapsed="false">
      <c r="A3426" s="6" t="n">
        <v>43030.4200810185</v>
      </c>
      <c r="B3426" s="7" t="str">
        <f aca="false">HYPERLINK("https://twitter.com/53dayo","@53dayo")</f>
        <v>@53dayo</v>
      </c>
      <c r="C3426" s="14" t="s">
        <v>8172</v>
      </c>
      <c r="D3426" s="8" t="s">
        <v>8368</v>
      </c>
      <c r="E3426" s="9" t="str">
        <f aca="false">HYPERLINK("https://twitter.com/53dayo/status/922146762868928512","922146762868928512")</f>
        <v>922146762868928512</v>
      </c>
      <c r="F3426" s="10" t="s">
        <v>39</v>
      </c>
      <c r="G3426" s="10" t="n">
        <v>2024</v>
      </c>
      <c r="H3426" s="10" t="n">
        <v>1382</v>
      </c>
      <c r="I3426" s="10" t="n">
        <v>0</v>
      </c>
      <c r="J3426" s="10" t="n">
        <v>0</v>
      </c>
      <c r="K3426" s="10" t="s">
        <v>20</v>
      </c>
      <c r="L3426" s="11" t="n">
        <v>40262.724375</v>
      </c>
      <c r="M3426" s="13" t="s">
        <v>8174</v>
      </c>
      <c r="N3426" s="13" t="s">
        <v>8175</v>
      </c>
      <c r="O3426" s="9" t="str">
        <f aca="false">HYPERLINK("https://pbs.twimg.com/profile_images/910915960151740416/HPyGivH-_normal.jpg","View")</f>
        <v>View</v>
      </c>
      <c r="P3426" s="10"/>
    </row>
    <row r="3427" customFormat="false" ht="15.75" hidden="false" customHeight="false" outlineLevel="0" collapsed="false">
      <c r="A3427" s="6" t="n">
        <v>43030.4205671296</v>
      </c>
      <c r="B3427" s="7" t="str">
        <f aca="false">HYPERLINK("https://twitter.com/mviworld","@mviworld")</f>
        <v>@mviworld</v>
      </c>
      <c r="C3427" s="8" t="s">
        <v>7854</v>
      </c>
      <c r="D3427" s="8" t="s">
        <v>8369</v>
      </c>
      <c r="E3427" s="9" t="str">
        <f aca="false">HYPERLINK("https://twitter.com/mviworld/status/922146937146675200","922146937146675200")</f>
        <v>922146937146675200</v>
      </c>
      <c r="F3427" s="10" t="s">
        <v>60</v>
      </c>
      <c r="G3427" s="10" t="n">
        <v>10</v>
      </c>
      <c r="H3427" s="10" t="n">
        <v>0</v>
      </c>
      <c r="I3427" s="10" t="n">
        <v>0</v>
      </c>
      <c r="J3427" s="10" t="n">
        <v>0</v>
      </c>
      <c r="K3427" s="10" t="s">
        <v>20</v>
      </c>
      <c r="L3427" s="11" t="n">
        <v>42108.6936458333</v>
      </c>
      <c r="M3427" s="12"/>
      <c r="N3427" s="12" t="s">
        <v>7856</v>
      </c>
      <c r="O3427" s="9" t="str">
        <f aca="false">HYPERLINK("https://pbs.twimg.com/profile_images/917892304836399105/Z1hIAXOo_normal.jpg","View")</f>
        <v>View</v>
      </c>
      <c r="P3427" s="10"/>
    </row>
    <row r="3428" customFormat="false" ht="15.75" hidden="false" customHeight="false" outlineLevel="0" collapsed="false">
      <c r="A3428" s="6" t="n">
        <v>43030.4206944444</v>
      </c>
      <c r="B3428" s="7" t="str">
        <f aca="false">HYPERLINK("https://twitter.com/Taddeibr","@Taddeibr")</f>
        <v>@Taddeibr</v>
      </c>
      <c r="C3428" s="8" t="s">
        <v>8370</v>
      </c>
      <c r="D3428" s="8" t="s">
        <v>8371</v>
      </c>
      <c r="E3428" s="9" t="str">
        <f aca="false">HYPERLINK("https://twitter.com/Taddeibr/status/922146985167282176","922146985167282176")</f>
        <v>922146985167282176</v>
      </c>
      <c r="F3428" s="10" t="s">
        <v>39</v>
      </c>
      <c r="G3428" s="10" t="n">
        <v>206</v>
      </c>
      <c r="H3428" s="10" t="n">
        <v>30</v>
      </c>
      <c r="I3428" s="10" t="n">
        <v>0</v>
      </c>
      <c r="J3428" s="10" t="n">
        <v>0</v>
      </c>
      <c r="K3428" s="10" t="s">
        <v>20</v>
      </c>
      <c r="L3428" s="11" t="n">
        <v>40172.1693287037</v>
      </c>
      <c r="M3428" s="12" t="s">
        <v>8372</v>
      </c>
      <c r="N3428" s="12" t="s">
        <v>8373</v>
      </c>
      <c r="O3428" s="9" t="str">
        <f aca="false">HYPERLINK("https://pbs.twimg.com/profile_images/881560341905367041/B8yamjxv_normal.jpg","View")</f>
        <v>View</v>
      </c>
      <c r="P3428" s="10"/>
    </row>
    <row r="3429" customFormat="false" ht="15.75" hidden="false" customHeight="false" outlineLevel="0" collapsed="false">
      <c r="A3429" s="6" t="n">
        <v>43030.4208449074</v>
      </c>
      <c r="B3429" s="7" t="str">
        <f aca="false">HYPERLINK("https://twitter.com/BalbiJen","@BalbiJen")</f>
        <v>@BalbiJen</v>
      </c>
      <c r="C3429" s="8" t="s">
        <v>8374</v>
      </c>
      <c r="D3429" s="8" t="s">
        <v>7046</v>
      </c>
      <c r="E3429" s="9" t="str">
        <f aca="false">HYPERLINK("https://twitter.com/BalbiJen/status/922147038980165632","922147038980165632")</f>
        <v>922147038980165632</v>
      </c>
      <c r="F3429" s="10" t="s">
        <v>177</v>
      </c>
      <c r="G3429" s="10" t="n">
        <v>656</v>
      </c>
      <c r="H3429" s="10" t="n">
        <v>5001</v>
      </c>
      <c r="I3429" s="10" t="n">
        <v>53</v>
      </c>
      <c r="J3429" s="10" t="n">
        <v>0</v>
      </c>
      <c r="K3429" s="10" t="s">
        <v>20</v>
      </c>
      <c r="L3429" s="11" t="n">
        <v>41734.1606712963</v>
      </c>
      <c r="M3429" s="12" t="s">
        <v>4705</v>
      </c>
      <c r="N3429" s="12" t="s">
        <v>8375</v>
      </c>
      <c r="O3429" s="9" t="str">
        <f aca="false">HYPERLINK("https://pbs.twimg.com/profile_images/681177114218000385/1Xo1b0-d_normal.jpg","View")</f>
        <v>View</v>
      </c>
      <c r="P3429" s="10"/>
    </row>
    <row r="3430" customFormat="false" ht="15.75" hidden="false" customHeight="false" outlineLevel="0" collapsed="false">
      <c r="A3430" s="6" t="n">
        <v>43030.4210532407</v>
      </c>
      <c r="B3430" s="7" t="str">
        <f aca="false">HYPERLINK("https://twitter.com/masayank","@masayank")</f>
        <v>@masayank</v>
      </c>
      <c r="C3430" s="14" t="s">
        <v>8376</v>
      </c>
      <c r="D3430" s="8" t="s">
        <v>6707</v>
      </c>
      <c r="E3430" s="9" t="str">
        <f aca="false">HYPERLINK("https://twitter.com/masayank/status/922147113516990464","922147113516990464")</f>
        <v>922147113516990464</v>
      </c>
      <c r="F3430" s="10" t="s">
        <v>25</v>
      </c>
      <c r="G3430" s="10" t="n">
        <v>1140</v>
      </c>
      <c r="H3430" s="10" t="n">
        <v>1390</v>
      </c>
      <c r="I3430" s="10" t="n">
        <v>97</v>
      </c>
      <c r="J3430" s="10" t="n">
        <v>0</v>
      </c>
      <c r="K3430" s="10" t="s">
        <v>20</v>
      </c>
      <c r="L3430" s="11" t="n">
        <v>40283.4380439815</v>
      </c>
      <c r="M3430" s="12"/>
      <c r="N3430" s="13" t="s">
        <v>8377</v>
      </c>
      <c r="O3430" s="9" t="str">
        <f aca="false">HYPERLINK("https://pbs.twimg.com/profile_images/809121523495636992/WOuBKcfD_normal.jpg","View")</f>
        <v>View</v>
      </c>
      <c r="P3430" s="10"/>
    </row>
    <row r="3431" customFormat="false" ht="15.75" hidden="false" customHeight="false" outlineLevel="0" collapsed="false">
      <c r="A3431" s="6" t="n">
        <v>43030.4210763889</v>
      </c>
      <c r="B3431" s="7" t="str">
        <f aca="false">HYPERLINK("https://twitter.com/GMignucci","@GMignucci")</f>
        <v>@GMignucci</v>
      </c>
      <c r="C3431" s="8" t="s">
        <v>8378</v>
      </c>
      <c r="D3431" s="8" t="s">
        <v>8379</v>
      </c>
      <c r="E3431" s="9" t="str">
        <f aca="false">HYPERLINK("https://twitter.com/GMignucci/status/922147122920808448","922147122920808448")</f>
        <v>922147122920808448</v>
      </c>
      <c r="F3431" s="10" t="s">
        <v>51</v>
      </c>
      <c r="G3431" s="10" t="n">
        <v>19</v>
      </c>
      <c r="H3431" s="10" t="n">
        <v>101</v>
      </c>
      <c r="I3431" s="10" t="n">
        <v>0</v>
      </c>
      <c r="J3431" s="10" t="n">
        <v>0</v>
      </c>
      <c r="K3431" s="10" t="s">
        <v>20</v>
      </c>
      <c r="L3431" s="11" t="n">
        <v>41697.2380439815</v>
      </c>
      <c r="M3431" s="12"/>
      <c r="N3431" s="12"/>
      <c r="O3431" s="9" t="str">
        <f aca="false">HYPERLINK("https://pbs.twimg.com/profile_images/606013812895055872/J7n28Hve_normal.jpg","View")</f>
        <v>View</v>
      </c>
      <c r="P3431" s="10"/>
    </row>
    <row r="3432" customFormat="false" ht="15.75" hidden="false" customHeight="false" outlineLevel="0" collapsed="false">
      <c r="A3432" s="6" t="n">
        <v>43030.4213194444</v>
      </c>
      <c r="B3432" s="7" t="str">
        <f aca="false">HYPERLINK("https://twitter.com/EmilioEsteban06","@EmilioEsteban06")</f>
        <v>@EmilioEsteban06</v>
      </c>
      <c r="C3432" s="8" t="s">
        <v>8380</v>
      </c>
      <c r="D3432" s="8" t="s">
        <v>8381</v>
      </c>
      <c r="E3432" s="9" t="str">
        <f aca="false">HYPERLINK("https://twitter.com/EmilioEsteban06/status/922147210577567744","922147210577567744")</f>
        <v>922147210577567744</v>
      </c>
      <c r="F3432" s="10" t="s">
        <v>331</v>
      </c>
      <c r="G3432" s="10" t="n">
        <v>490</v>
      </c>
      <c r="H3432" s="10" t="n">
        <v>686</v>
      </c>
      <c r="I3432" s="10" t="n">
        <v>0</v>
      </c>
      <c r="J3432" s="10" t="n">
        <v>0</v>
      </c>
      <c r="K3432" s="10" t="s">
        <v>20</v>
      </c>
      <c r="L3432" s="11" t="n">
        <v>40922.8612847222</v>
      </c>
      <c r="M3432" s="12" t="s">
        <v>8382</v>
      </c>
      <c r="N3432" s="12" t="s">
        <v>8383</v>
      </c>
      <c r="O3432" s="9" t="str">
        <f aca="false">HYPERLINK("https://pbs.twimg.com/profile_images/732304310319632384/IxzodeDZ_normal.jpg","View")</f>
        <v>View</v>
      </c>
      <c r="P3432" s="10"/>
    </row>
    <row r="3433" customFormat="false" ht="15.75" hidden="false" customHeight="false" outlineLevel="0" collapsed="false">
      <c r="A3433" s="6" t="n">
        <v>43030.4221064815</v>
      </c>
      <c r="B3433" s="7" t="str">
        <f aca="false">HYPERLINK("https://twitter.com/ajayrashmivyas","@ajayrashmivyas")</f>
        <v>@ajayrashmivyas</v>
      </c>
      <c r="C3433" s="8" t="s">
        <v>8384</v>
      </c>
      <c r="D3433" s="8" t="s">
        <v>8385</v>
      </c>
      <c r="E3433" s="9" t="str">
        <f aca="false">HYPERLINK("https://twitter.com/ajayrashmivyas/status/922147495903457283","922147495903457283")</f>
        <v>922147495903457283</v>
      </c>
      <c r="F3433" s="10" t="s">
        <v>39</v>
      </c>
      <c r="G3433" s="10" t="n">
        <v>261</v>
      </c>
      <c r="H3433" s="10" t="n">
        <v>1125</v>
      </c>
      <c r="I3433" s="10" t="n">
        <v>0</v>
      </c>
      <c r="J3433" s="10" t="n">
        <v>0</v>
      </c>
      <c r="K3433" s="10" t="s">
        <v>20</v>
      </c>
      <c r="L3433" s="11" t="n">
        <v>41502.2759953704</v>
      </c>
      <c r="M3433" s="12" t="s">
        <v>8386</v>
      </c>
      <c r="N3433" s="12" t="s">
        <v>8387</v>
      </c>
      <c r="O3433" s="9" t="str">
        <f aca="false">HYPERLINK("https://pbs.twimg.com/profile_images/378800000324396666/fc67668b3ce36b1cbd83c8bf4b3f717e_normal.jpeg","View")</f>
        <v>View</v>
      </c>
      <c r="P3433" s="10"/>
    </row>
    <row r="3434" customFormat="false" ht="15.75" hidden="false" customHeight="false" outlineLevel="0" collapsed="false">
      <c r="A3434" s="6" t="n">
        <v>43030.4222685185</v>
      </c>
      <c r="B3434" s="7" t="str">
        <f aca="false">HYPERLINK("https://twitter.com/eharaoto","@eharaoto")</f>
        <v>@eharaoto</v>
      </c>
      <c r="C3434" s="14" t="s">
        <v>8388</v>
      </c>
      <c r="D3434" s="8" t="s">
        <v>6707</v>
      </c>
      <c r="E3434" s="9" t="str">
        <f aca="false">HYPERLINK("https://twitter.com/eharaoto/status/922147555907051522","922147555907051522")</f>
        <v>922147555907051522</v>
      </c>
      <c r="F3434" s="10" t="s">
        <v>51</v>
      </c>
      <c r="G3434" s="10" t="n">
        <v>722</v>
      </c>
      <c r="H3434" s="10" t="n">
        <v>1540</v>
      </c>
      <c r="I3434" s="10" t="n">
        <v>97</v>
      </c>
      <c r="J3434" s="10" t="n">
        <v>0</v>
      </c>
      <c r="K3434" s="10" t="s">
        <v>20</v>
      </c>
      <c r="L3434" s="11" t="n">
        <v>40899.087037037</v>
      </c>
      <c r="M3434" s="13" t="s">
        <v>8389</v>
      </c>
      <c r="N3434" s="12" t="s">
        <v>8390</v>
      </c>
      <c r="O3434" s="9" t="str">
        <f aca="false">HYPERLINK("https://pbs.twimg.com/profile_images/875504042499129347/FMO3Exwq_normal.jpg","View")</f>
        <v>View</v>
      </c>
      <c r="P3434" s="10"/>
    </row>
    <row r="3435" customFormat="false" ht="15.75" hidden="false" customHeight="false" outlineLevel="0" collapsed="false">
      <c r="A3435" s="6" t="n">
        <v>43030.4228125</v>
      </c>
      <c r="B3435" s="7" t="str">
        <f aca="false">HYPERLINK("https://twitter.com/Eastasianewsnet","@Eastasianewsnet")</f>
        <v>@Eastasianewsnet</v>
      </c>
      <c r="C3435" s="8" t="s">
        <v>8391</v>
      </c>
      <c r="D3435" s="8" t="s">
        <v>8392</v>
      </c>
      <c r="E3435" s="9" t="str">
        <f aca="false">HYPERLINK("https://twitter.com/Eastasianewsnet/status/922147752770813952","922147752770813952")</f>
        <v>922147752770813952</v>
      </c>
      <c r="F3435" s="10" t="s">
        <v>8393</v>
      </c>
      <c r="G3435" s="10" t="n">
        <v>978</v>
      </c>
      <c r="H3435" s="10" t="n">
        <v>749</v>
      </c>
      <c r="I3435" s="10" t="n">
        <v>0</v>
      </c>
      <c r="J3435" s="10" t="n">
        <v>0</v>
      </c>
      <c r="K3435" s="10" t="s">
        <v>20</v>
      </c>
      <c r="L3435" s="11" t="n">
        <v>41607.2244444444</v>
      </c>
      <c r="M3435" s="13" t="s">
        <v>152</v>
      </c>
      <c r="N3435" s="13" t="s">
        <v>8394</v>
      </c>
      <c r="O3435" s="9" t="str">
        <f aca="false">HYPERLINK("https://pbs.twimg.com/profile_images/378800000809605806/f5179eb39984c67c55fd2ad0d06a6532_normal.png","View")</f>
        <v>View</v>
      </c>
      <c r="P3435" s="10"/>
    </row>
    <row r="3436" customFormat="false" ht="15.75" hidden="false" customHeight="false" outlineLevel="0" collapsed="false">
      <c r="A3436" s="6" t="n">
        <v>43030.4228240741</v>
      </c>
      <c r="B3436" s="7" t="str">
        <f aca="false">HYPERLINK("https://twitter.com/Eastasianewsnet","@Eastasianewsnet")</f>
        <v>@Eastasianewsnet</v>
      </c>
      <c r="C3436" s="8" t="s">
        <v>8391</v>
      </c>
      <c r="D3436" s="8" t="s">
        <v>8395</v>
      </c>
      <c r="E3436" s="9" t="str">
        <f aca="false">HYPERLINK("https://twitter.com/Eastasianewsnet/status/922147754649968640","922147754649968640")</f>
        <v>922147754649968640</v>
      </c>
      <c r="F3436" s="10" t="s">
        <v>8393</v>
      </c>
      <c r="G3436" s="10" t="n">
        <v>978</v>
      </c>
      <c r="H3436" s="10" t="n">
        <v>749</v>
      </c>
      <c r="I3436" s="10" t="n">
        <v>0</v>
      </c>
      <c r="J3436" s="10" t="n">
        <v>0</v>
      </c>
      <c r="K3436" s="10" t="s">
        <v>20</v>
      </c>
      <c r="L3436" s="11" t="n">
        <v>41607.2244444444</v>
      </c>
      <c r="M3436" s="13" t="s">
        <v>152</v>
      </c>
      <c r="N3436" s="13" t="s">
        <v>8394</v>
      </c>
      <c r="O3436" s="9" t="str">
        <f aca="false">HYPERLINK("https://pbs.twimg.com/profile_images/378800000809605806/f5179eb39984c67c55fd2ad0d06a6532_normal.png","View")</f>
        <v>View</v>
      </c>
      <c r="P3436" s="10"/>
    </row>
    <row r="3437" customFormat="false" ht="15.75" hidden="false" customHeight="false" outlineLevel="0" collapsed="false">
      <c r="A3437" s="6" t="n">
        <v>43030.4228356482</v>
      </c>
      <c r="B3437" s="7" t="str">
        <f aca="false">HYPERLINK("https://twitter.com/make_fair","@make_fair")</f>
        <v>@make_fair</v>
      </c>
      <c r="C3437" s="8" t="s">
        <v>8396</v>
      </c>
      <c r="D3437" s="8" t="s">
        <v>8397</v>
      </c>
      <c r="E3437" s="9" t="str">
        <f aca="false">HYPERLINK("https://twitter.com/make_fair/status/922147761583280129","922147761583280129")</f>
        <v>922147761583280129</v>
      </c>
      <c r="F3437" s="10" t="s">
        <v>51</v>
      </c>
      <c r="G3437" s="10" t="n">
        <v>362</v>
      </c>
      <c r="H3437" s="10" t="n">
        <v>1648</v>
      </c>
      <c r="I3437" s="10" t="n">
        <v>0</v>
      </c>
      <c r="J3437" s="10" t="n">
        <v>0</v>
      </c>
      <c r="K3437" s="10" t="s">
        <v>20</v>
      </c>
      <c r="L3437" s="11" t="n">
        <v>42656.3560763889</v>
      </c>
      <c r="M3437" s="12" t="s">
        <v>230</v>
      </c>
      <c r="N3437" s="12" t="s">
        <v>8398</v>
      </c>
      <c r="O3437" s="9" t="str">
        <f aca="false">HYPERLINK("https://pbs.twimg.com/profile_images/800932405150355457/d-ZEYqDj_normal.jpg","View")</f>
        <v>View</v>
      </c>
      <c r="P3437" s="10"/>
    </row>
    <row r="3438" customFormat="false" ht="15.75" hidden="false" customHeight="false" outlineLevel="0" collapsed="false">
      <c r="A3438" s="6" t="n">
        <v>43030.4230902778</v>
      </c>
      <c r="B3438" s="7" t="str">
        <f aca="false">HYPERLINK("https://twitter.com/chata","@chata")</f>
        <v>@chata</v>
      </c>
      <c r="C3438" s="8" t="s">
        <v>8399</v>
      </c>
      <c r="D3438" s="8" t="s">
        <v>7627</v>
      </c>
      <c r="E3438" s="9" t="str">
        <f aca="false">HYPERLINK("https://twitter.com/chata/status/922147851198636032","922147851198636032")</f>
        <v>922147851198636032</v>
      </c>
      <c r="F3438" s="10" t="s">
        <v>51</v>
      </c>
      <c r="G3438" s="10" t="n">
        <v>9274</v>
      </c>
      <c r="H3438" s="10" t="n">
        <v>3858</v>
      </c>
      <c r="I3438" s="10" t="n">
        <v>20</v>
      </c>
      <c r="J3438" s="10" t="n">
        <v>0</v>
      </c>
      <c r="K3438" s="10" t="s">
        <v>20</v>
      </c>
      <c r="L3438" s="11" t="n">
        <v>39181.1299652778</v>
      </c>
      <c r="M3438" s="12" t="s">
        <v>8400</v>
      </c>
      <c r="N3438" s="12" t="s">
        <v>8401</v>
      </c>
      <c r="O3438" s="9" t="str">
        <f aca="false">HYPERLINK("https://pbs.twimg.com/profile_images/794224898373656576/qRnmogry_normal.jpg","View")</f>
        <v>View</v>
      </c>
      <c r="P3438" s="10"/>
    </row>
    <row r="3439" customFormat="false" ht="15.75" hidden="false" customHeight="false" outlineLevel="0" collapsed="false">
      <c r="A3439" s="6" t="n">
        <v>43030.4238425926</v>
      </c>
      <c r="B3439" s="7" t="str">
        <f aca="false">HYPERLINK("https://twitter.com/CABNewsOnline","@CABNewsOnline")</f>
        <v>@CABNewsOnline</v>
      </c>
      <c r="C3439" s="8" t="s">
        <v>8402</v>
      </c>
      <c r="D3439" s="8" t="s">
        <v>8403</v>
      </c>
      <c r="E3439" s="9" t="str">
        <f aca="false">HYPERLINK("https://twitter.com/CABNewsOnline/status/922148126177284096","922148126177284096")</f>
        <v>922148126177284096</v>
      </c>
      <c r="F3439" s="10" t="s">
        <v>39</v>
      </c>
      <c r="G3439" s="10" t="n">
        <v>177</v>
      </c>
      <c r="H3439" s="10" t="n">
        <v>146</v>
      </c>
      <c r="I3439" s="10" t="n">
        <v>0</v>
      </c>
      <c r="J3439" s="10" t="n">
        <v>0</v>
      </c>
      <c r="K3439" s="10" t="s">
        <v>20</v>
      </c>
      <c r="L3439" s="11" t="n">
        <v>40909.5391666667</v>
      </c>
      <c r="M3439" s="12" t="s">
        <v>8404</v>
      </c>
      <c r="N3439" s="12" t="s">
        <v>8405</v>
      </c>
      <c r="O3439" s="9" t="str">
        <f aca="false">HYPERLINK("https://pbs.twimg.com/profile_images/633358772325380097/ThxHAKI9_normal.jpg","View")</f>
        <v>View</v>
      </c>
      <c r="P3439" s="10"/>
    </row>
    <row r="3440" customFormat="false" ht="15.75" hidden="false" customHeight="false" outlineLevel="0" collapsed="false">
      <c r="A3440" s="6" t="n">
        <v>43030.4258564815</v>
      </c>
      <c r="B3440" s="7" t="str">
        <f aca="false">HYPERLINK("https://twitter.com/newl_financial","@newl_financial")</f>
        <v>@newl_financial</v>
      </c>
      <c r="C3440" s="8" t="s">
        <v>8406</v>
      </c>
      <c r="D3440" s="8" t="s">
        <v>8407</v>
      </c>
      <c r="E3440" s="9" t="str">
        <f aca="false">HYPERLINK("https://twitter.com/newl_financial/status/922148855302541313","922148855302541313")</f>
        <v>922148855302541313</v>
      </c>
      <c r="F3440" s="10" t="s">
        <v>3042</v>
      </c>
      <c r="G3440" s="10" t="n">
        <v>576</v>
      </c>
      <c r="H3440" s="10" t="n">
        <v>1022</v>
      </c>
      <c r="I3440" s="10" t="n">
        <v>0</v>
      </c>
      <c r="J3440" s="10" t="n">
        <v>0</v>
      </c>
      <c r="K3440" s="10" t="s">
        <v>20</v>
      </c>
      <c r="L3440" s="11" t="n">
        <v>41050.245462963</v>
      </c>
      <c r="M3440" s="12"/>
      <c r="N3440" s="12"/>
      <c r="O3440" s="9" t="str">
        <f aca="false">HYPERLINK("https://pbs.twimg.com/profile_images/613201217494188032/ViXlcyeI_normal.jpg","View")</f>
        <v>View</v>
      </c>
      <c r="P3440" s="10"/>
    </row>
    <row r="3441" customFormat="false" ht="15.75" hidden="false" customHeight="false" outlineLevel="0" collapsed="false">
      <c r="A3441" s="6" t="n">
        <v>43030.4258796296</v>
      </c>
      <c r="B3441" s="7" t="str">
        <f aca="false">HYPERLINK("https://twitter.com/_kranga","@_kranga")</f>
        <v>@_kranga</v>
      </c>
      <c r="C3441" s="8" t="s">
        <v>8408</v>
      </c>
      <c r="D3441" s="8" t="s">
        <v>6558</v>
      </c>
      <c r="E3441" s="9" t="str">
        <f aca="false">HYPERLINK("https://twitter.com/_kranga/status/922148863481466881","922148863481466881")</f>
        <v>922148863481466881</v>
      </c>
      <c r="F3441" s="10" t="s">
        <v>51</v>
      </c>
      <c r="G3441" s="10" t="n">
        <v>114</v>
      </c>
      <c r="H3441" s="10" t="n">
        <v>75</v>
      </c>
      <c r="I3441" s="10" t="n">
        <v>65</v>
      </c>
      <c r="J3441" s="10" t="n">
        <v>0</v>
      </c>
      <c r="K3441" s="10" t="s">
        <v>20</v>
      </c>
      <c r="L3441" s="11" t="n">
        <v>41784.0769907407</v>
      </c>
      <c r="M3441" s="12" t="s">
        <v>64</v>
      </c>
      <c r="N3441" s="12" t="s">
        <v>8409</v>
      </c>
      <c r="O3441" s="9" t="str">
        <f aca="false">HYPERLINK("https://abs.twimg.com/sticky/default_profile_images/default_profile_normal.png","View")</f>
        <v>View</v>
      </c>
      <c r="P3441" s="10"/>
    </row>
    <row r="3442" customFormat="false" ht="15.75" hidden="false" customHeight="false" outlineLevel="0" collapsed="false">
      <c r="A3442" s="6" t="n">
        <v>43030.4265277778</v>
      </c>
      <c r="B3442" s="7" t="str">
        <f aca="false">HYPERLINK("https://twitter.com/rkumar5386","@rkumar5386")</f>
        <v>@rkumar5386</v>
      </c>
      <c r="C3442" s="8" t="s">
        <v>8410</v>
      </c>
      <c r="D3442" s="8" t="s">
        <v>7350</v>
      </c>
      <c r="E3442" s="9" t="str">
        <f aca="false">HYPERLINK("https://twitter.com/rkumar5386/status/922149098723065856","922149098723065856")</f>
        <v>922149098723065856</v>
      </c>
      <c r="F3442" s="10" t="s">
        <v>98</v>
      </c>
      <c r="G3442" s="10" t="n">
        <v>76</v>
      </c>
      <c r="H3442" s="10" t="n">
        <v>330</v>
      </c>
      <c r="I3442" s="10" t="n">
        <v>62</v>
      </c>
      <c r="J3442" s="10" t="n">
        <v>0</v>
      </c>
      <c r="K3442" s="10" t="s">
        <v>20</v>
      </c>
      <c r="L3442" s="11" t="n">
        <v>40284.5430787037</v>
      </c>
      <c r="M3442" s="12"/>
      <c r="N3442" s="12"/>
      <c r="O3442" s="9" t="str">
        <f aca="false">HYPERLINK("https://pbs.twimg.com/profile_images/528730233545834498/K_gcM3dp_normal.jpeg","View")</f>
        <v>View</v>
      </c>
      <c r="P3442" s="10"/>
    </row>
    <row r="3443" customFormat="false" ht="15.75" hidden="false" customHeight="false" outlineLevel="0" collapsed="false">
      <c r="A3443" s="6" t="n">
        <v>43030.4273263889</v>
      </c>
      <c r="B3443" s="7" t="str">
        <f aca="false">HYPERLINK("https://twitter.com/shigechiko","@shigechiko")</f>
        <v>@shigechiko</v>
      </c>
      <c r="C3443" s="14" t="s">
        <v>8411</v>
      </c>
      <c r="D3443" s="8" t="s">
        <v>8412</v>
      </c>
      <c r="E3443" s="9" t="str">
        <f aca="false">HYPERLINK("https://twitter.com/shigechiko/status/922149389333942273","922149389333942273")</f>
        <v>922149389333942273</v>
      </c>
      <c r="F3443" s="10" t="s">
        <v>51</v>
      </c>
      <c r="G3443" s="10" t="n">
        <v>94</v>
      </c>
      <c r="H3443" s="10" t="n">
        <v>106</v>
      </c>
      <c r="I3443" s="10" t="n">
        <v>0</v>
      </c>
      <c r="J3443" s="10" t="n">
        <v>0</v>
      </c>
      <c r="K3443" s="10" t="s">
        <v>20</v>
      </c>
      <c r="L3443" s="11" t="n">
        <v>40329.8253356481</v>
      </c>
      <c r="M3443" s="12"/>
      <c r="N3443" s="13" t="s">
        <v>8413</v>
      </c>
      <c r="O3443" s="9" t="str">
        <f aca="false">HYPERLINK("https://pbs.twimg.com/profile_images/871239249210638336/Z3wTCQ2x_normal.jpg","View")</f>
        <v>View</v>
      </c>
      <c r="P3443" s="10"/>
    </row>
    <row r="3444" customFormat="false" ht="15.75" hidden="false" customHeight="false" outlineLevel="0" collapsed="false">
      <c r="A3444" s="6" t="n">
        <v>43030.4278125</v>
      </c>
      <c r="B3444" s="7" t="str">
        <f aca="false">HYPERLINK("https://twitter.com/poliinsights","@poliinsights")</f>
        <v>@poliinsights</v>
      </c>
      <c r="C3444" s="8" t="s">
        <v>8414</v>
      </c>
      <c r="D3444" s="8" t="s">
        <v>8415</v>
      </c>
      <c r="E3444" s="9" t="str">
        <f aca="false">HYPERLINK("https://twitter.com/poliinsights/status/922149562525110273","922149562525110273")</f>
        <v>922149562525110273</v>
      </c>
      <c r="F3444" s="10" t="s">
        <v>39</v>
      </c>
      <c r="G3444" s="10" t="n">
        <v>25</v>
      </c>
      <c r="H3444" s="10" t="n">
        <v>154</v>
      </c>
      <c r="I3444" s="10" t="n">
        <v>1</v>
      </c>
      <c r="J3444" s="10" t="n">
        <v>2</v>
      </c>
      <c r="K3444" s="10" t="s">
        <v>20</v>
      </c>
      <c r="L3444" s="11" t="n">
        <v>43023.526724537</v>
      </c>
      <c r="M3444" s="12" t="s">
        <v>8416</v>
      </c>
      <c r="N3444" s="12" t="s">
        <v>8417</v>
      </c>
      <c r="O3444" s="9" t="str">
        <f aca="false">HYPERLINK("https://pbs.twimg.com/profile_images/919650272854421504/Aepqrl3e_normal.jpg","View")</f>
        <v>View</v>
      </c>
      <c r="P3444" s="10"/>
    </row>
    <row r="3445" customFormat="false" ht="15.75" hidden="false" customHeight="false" outlineLevel="0" collapsed="false">
      <c r="A3445" s="6" t="n">
        <v>43030.4278240741</v>
      </c>
      <c r="B3445" s="7" t="str">
        <f aca="false">HYPERLINK("https://twitter.com/sheikismail","@sheikismail")</f>
        <v>@sheikismail</v>
      </c>
      <c r="C3445" s="8" t="s">
        <v>8418</v>
      </c>
      <c r="D3445" s="8" t="s">
        <v>8419</v>
      </c>
      <c r="E3445" s="9" t="str">
        <f aca="false">HYPERLINK("https://twitter.com/sheikismail/status/922149566979358720","922149566979358720")</f>
        <v>922149566979358720</v>
      </c>
      <c r="F3445" s="10" t="s">
        <v>25</v>
      </c>
      <c r="G3445" s="10" t="n">
        <v>66</v>
      </c>
      <c r="H3445" s="10" t="n">
        <v>48</v>
      </c>
      <c r="I3445" s="10" t="n">
        <v>0</v>
      </c>
      <c r="J3445" s="10" t="n">
        <v>0</v>
      </c>
      <c r="K3445" s="10" t="s">
        <v>20</v>
      </c>
      <c r="L3445" s="11" t="n">
        <v>39727.2513310185</v>
      </c>
      <c r="M3445" s="12"/>
      <c r="N3445" s="12" t="s">
        <v>8420</v>
      </c>
      <c r="O3445" s="9" t="str">
        <f aca="false">HYPERLINK("https://pbs.twimg.com/profile_images/893836391708147712/p8xQaEbZ_normal.jpg","View")</f>
        <v>View</v>
      </c>
      <c r="P3445" s="10"/>
    </row>
    <row r="3446" customFormat="false" ht="15.75" hidden="false" customHeight="false" outlineLevel="0" collapsed="false">
      <c r="A3446" s="6" t="n">
        <v>43030.4289236111</v>
      </c>
      <c r="B3446" s="7" t="str">
        <f aca="false">HYPERLINK("https://twitter.com/YasuraskynColin","@YasuraskynColin")</f>
        <v>@YasuraskynColin</v>
      </c>
      <c r="C3446" s="8" t="s">
        <v>8421</v>
      </c>
      <c r="D3446" s="8" t="s">
        <v>4984</v>
      </c>
      <c r="E3446" s="9" t="str">
        <f aca="false">HYPERLINK("https://twitter.com/YasuraskynColin/status/922149968084955137","922149968084955137")</f>
        <v>922149968084955137</v>
      </c>
      <c r="F3446" s="10" t="s">
        <v>39</v>
      </c>
      <c r="G3446" s="10" t="n">
        <v>2371</v>
      </c>
      <c r="H3446" s="10" t="n">
        <v>1638</v>
      </c>
      <c r="I3446" s="10" t="n">
        <v>187</v>
      </c>
      <c r="J3446" s="10" t="n">
        <v>0</v>
      </c>
      <c r="K3446" s="10" t="s">
        <v>20</v>
      </c>
      <c r="L3446" s="11" t="n">
        <v>40654.4610763889</v>
      </c>
      <c r="M3446" s="12" t="s">
        <v>8422</v>
      </c>
      <c r="N3446" s="12"/>
      <c r="O3446" s="9" t="str">
        <f aca="false">HYPERLINK("https://pbs.twimg.com/profile_images/887088971620245506/UcG5Gz_r_normal.jpg","View")</f>
        <v>View</v>
      </c>
      <c r="P3446" s="10"/>
    </row>
    <row r="3447" customFormat="false" ht="15.75" hidden="false" customHeight="false" outlineLevel="0" collapsed="false">
      <c r="A3447" s="6" t="n">
        <v>43030.4291087963</v>
      </c>
      <c r="B3447" s="7" t="str">
        <f aca="false">HYPERLINK("https://twitter.com/kyoto_gift","@kyoto_gift")</f>
        <v>@kyoto_gift</v>
      </c>
      <c r="C3447" s="8" t="s">
        <v>8423</v>
      </c>
      <c r="D3447" s="8" t="s">
        <v>8424</v>
      </c>
      <c r="E3447" s="9" t="str">
        <f aca="false">HYPERLINK("https://twitter.com/kyoto_gift/status/922150035759841286","922150035759841286")</f>
        <v>922150035759841286</v>
      </c>
      <c r="F3447" s="10" t="s">
        <v>51</v>
      </c>
      <c r="G3447" s="10" t="n">
        <v>6</v>
      </c>
      <c r="H3447" s="10" t="n">
        <v>24</v>
      </c>
      <c r="I3447" s="10" t="n">
        <v>1</v>
      </c>
      <c r="J3447" s="10" t="n">
        <v>0</v>
      </c>
      <c r="K3447" s="10" t="s">
        <v>20</v>
      </c>
      <c r="L3447" s="11" t="n">
        <v>43014.6639236111</v>
      </c>
      <c r="M3447" s="12"/>
      <c r="N3447" s="12"/>
      <c r="O3447" s="9" t="str">
        <f aca="false">HYPERLINK("https://abs.twimg.com/sticky/default_profile_images/default_profile_normal.png","View")</f>
        <v>View</v>
      </c>
      <c r="P3447" s="10"/>
    </row>
    <row r="3448" customFormat="false" ht="15.75" hidden="false" customHeight="false" outlineLevel="0" collapsed="false">
      <c r="A3448" s="6" t="n">
        <v>43030.429212963</v>
      </c>
      <c r="B3448" s="7" t="str">
        <f aca="false">HYPERLINK("https://twitter.com/MajorityRights","@MajorityRights")</f>
        <v>@MajorityRights</v>
      </c>
      <c r="C3448" s="8" t="s">
        <v>8425</v>
      </c>
      <c r="D3448" s="8" t="s">
        <v>8426</v>
      </c>
      <c r="E3448" s="9" t="str">
        <f aca="false">HYPERLINK("https://twitter.com/MajorityRights/status/922150070807683073","922150070807683073")</f>
        <v>922150070807683073</v>
      </c>
      <c r="F3448" s="10" t="s">
        <v>39</v>
      </c>
      <c r="G3448" s="10" t="n">
        <v>690</v>
      </c>
      <c r="H3448" s="10" t="n">
        <v>4998</v>
      </c>
      <c r="I3448" s="10" t="n">
        <v>0</v>
      </c>
      <c r="J3448" s="10" t="n">
        <v>0</v>
      </c>
      <c r="K3448" s="10" t="s">
        <v>20</v>
      </c>
      <c r="L3448" s="11" t="n">
        <v>42032.0836458333</v>
      </c>
      <c r="M3448" s="12"/>
      <c r="N3448" s="12"/>
      <c r="O3448" s="9" t="str">
        <f aca="false">HYPERLINK("https://pbs.twimg.com/profile_images/902204311756734464/J6aEaDa1_normal.jpg","View")</f>
        <v>View</v>
      </c>
      <c r="P3448" s="10"/>
    </row>
    <row r="3449" customFormat="false" ht="15.75" hidden="false" customHeight="false" outlineLevel="0" collapsed="false">
      <c r="A3449" s="6" t="n">
        <v>43030.429537037</v>
      </c>
      <c r="B3449" s="7" t="str">
        <f aca="false">HYPERLINK("https://twitter.com/Advisory4Travel","@Advisory4Travel")</f>
        <v>@Advisory4Travel</v>
      </c>
      <c r="C3449" s="8" t="s">
        <v>8427</v>
      </c>
      <c r="D3449" s="8" t="s">
        <v>8428</v>
      </c>
      <c r="E3449" s="9" t="str">
        <f aca="false">HYPERLINK("https://twitter.com/Advisory4Travel/status/922150191054114816","922150191054114816")</f>
        <v>922150191054114816</v>
      </c>
      <c r="F3449" s="10" t="s">
        <v>60</v>
      </c>
      <c r="G3449" s="10" t="n">
        <v>231</v>
      </c>
      <c r="H3449" s="10" t="n">
        <v>26</v>
      </c>
      <c r="I3449" s="10" t="n">
        <v>0</v>
      </c>
      <c r="J3449" s="10" t="n">
        <v>0</v>
      </c>
      <c r="K3449" s="10" t="s">
        <v>20</v>
      </c>
      <c r="L3449" s="11" t="n">
        <v>42405.8118402778</v>
      </c>
      <c r="M3449" s="12"/>
      <c r="N3449" s="12" t="s">
        <v>8429</v>
      </c>
      <c r="O3449" s="9" t="str">
        <f aca="false">HYPERLINK("https://pbs.twimg.com/profile_images/695834348486930432/0U32ia3f_normal.jpg","View")</f>
        <v>View</v>
      </c>
      <c r="P3449" s="10"/>
    </row>
    <row r="3450" customFormat="false" ht="15.75" hidden="false" customHeight="false" outlineLevel="0" collapsed="false">
      <c r="A3450" s="6" t="n">
        <v>43030.4296180556</v>
      </c>
      <c r="B3450" s="7" t="str">
        <f aca="false">HYPERLINK("https://twitter.com/Advisory4Travel","@Advisory4Travel")</f>
        <v>@Advisory4Travel</v>
      </c>
      <c r="C3450" s="8" t="s">
        <v>8427</v>
      </c>
      <c r="D3450" s="8" t="s">
        <v>8430</v>
      </c>
      <c r="E3450" s="9" t="str">
        <f aca="false">HYPERLINK("https://twitter.com/Advisory4Travel/status/922150219118149632","922150219118149632")</f>
        <v>922150219118149632</v>
      </c>
      <c r="F3450" s="10" t="s">
        <v>60</v>
      </c>
      <c r="G3450" s="10" t="n">
        <v>231</v>
      </c>
      <c r="H3450" s="10" t="n">
        <v>26</v>
      </c>
      <c r="I3450" s="10" t="n">
        <v>0</v>
      </c>
      <c r="J3450" s="10" t="n">
        <v>0</v>
      </c>
      <c r="K3450" s="10" t="s">
        <v>20</v>
      </c>
      <c r="L3450" s="11" t="n">
        <v>42405.8118402778</v>
      </c>
      <c r="M3450" s="12"/>
      <c r="N3450" s="12" t="s">
        <v>8429</v>
      </c>
      <c r="O3450" s="9" t="str">
        <f aca="false">HYPERLINK("https://pbs.twimg.com/profile_images/695834348486930432/0U32ia3f_normal.jpg","View")</f>
        <v>View</v>
      </c>
      <c r="P3450" s="10"/>
    </row>
    <row r="3451" customFormat="false" ht="15.75" hidden="false" customHeight="false" outlineLevel="0" collapsed="false">
      <c r="A3451" s="6" t="n">
        <v>43030.4299305556</v>
      </c>
      <c r="B3451" s="7" t="str">
        <f aca="false">HYPERLINK("https://twitter.com/nsevillaus","@nsevillaus")</f>
        <v>@nsevillaus</v>
      </c>
      <c r="C3451" s="8" t="s">
        <v>8431</v>
      </c>
      <c r="D3451" s="8" t="s">
        <v>8432</v>
      </c>
      <c r="E3451" s="9" t="str">
        <f aca="false">HYPERLINK("https://twitter.com/nsevillaus/status/922150333471772672","922150333471772672")</f>
        <v>922150333471772672</v>
      </c>
      <c r="F3451" s="10" t="s">
        <v>25</v>
      </c>
      <c r="G3451" s="10" t="n">
        <v>778</v>
      </c>
      <c r="H3451" s="10" t="n">
        <v>1992</v>
      </c>
      <c r="I3451" s="10" t="n">
        <v>0</v>
      </c>
      <c r="J3451" s="10" t="n">
        <v>1</v>
      </c>
      <c r="K3451" s="10" t="s">
        <v>20</v>
      </c>
      <c r="L3451" s="11" t="n">
        <v>41330.772337963</v>
      </c>
      <c r="M3451" s="12" t="s">
        <v>8433</v>
      </c>
      <c r="N3451" s="12" t="s">
        <v>8434</v>
      </c>
      <c r="O3451" s="9" t="str">
        <f aca="false">HYPERLINK("https://pbs.twimg.com/profile_images/3317988678/70ad9b1903e0afea168245be3af84ce3_normal.jpeg","View")</f>
        <v>View</v>
      </c>
      <c r="P3451" s="10"/>
    </row>
    <row r="3452" customFormat="false" ht="15.75" hidden="false" customHeight="false" outlineLevel="0" collapsed="false">
      <c r="A3452" s="6" t="n">
        <v>43030.4301851852</v>
      </c>
      <c r="B3452" s="7" t="str">
        <f aca="false">HYPERLINK("https://twitter.com/er_ashishk77","@er_ashishk77")</f>
        <v>@er_ashishk77</v>
      </c>
      <c r="C3452" s="8" t="s">
        <v>8435</v>
      </c>
      <c r="D3452" s="8" t="s">
        <v>6558</v>
      </c>
      <c r="E3452" s="9" t="str">
        <f aca="false">HYPERLINK("https://twitter.com/er_ashishk77/status/922150424358010880","922150424358010880")</f>
        <v>922150424358010880</v>
      </c>
      <c r="F3452" s="10" t="s">
        <v>25</v>
      </c>
      <c r="G3452" s="10" t="n">
        <v>22</v>
      </c>
      <c r="H3452" s="10" t="n">
        <v>75</v>
      </c>
      <c r="I3452" s="10" t="n">
        <v>65</v>
      </c>
      <c r="J3452" s="10" t="n">
        <v>0</v>
      </c>
      <c r="K3452" s="10" t="s">
        <v>20</v>
      </c>
      <c r="L3452" s="11" t="n">
        <v>41652.1365277778</v>
      </c>
      <c r="M3452" s="12" t="s">
        <v>72</v>
      </c>
      <c r="N3452" s="12" t="s">
        <v>8436</v>
      </c>
      <c r="O3452" s="9" t="str">
        <f aca="false">HYPERLINK("https://pbs.twimg.com/profile_images/526232820725714945/gowEMtV4_normal.jpeg","View")</f>
        <v>View</v>
      </c>
      <c r="P3452" s="10"/>
    </row>
    <row r="3453" customFormat="false" ht="15.75" hidden="false" customHeight="false" outlineLevel="0" collapsed="false">
      <c r="A3453" s="6" t="n">
        <v>43030.4302893518</v>
      </c>
      <c r="B3453" s="7" t="str">
        <f aca="false">HYPERLINK("https://twitter.com/NeerajK_","@NeerajK_")</f>
        <v>@NeerajK_</v>
      </c>
      <c r="C3453" s="8" t="s">
        <v>6201</v>
      </c>
      <c r="D3453" s="8" t="s">
        <v>6558</v>
      </c>
      <c r="E3453" s="9" t="str">
        <f aca="false">HYPERLINK("https://twitter.com/NeerajK_/status/922150460466765824","922150460466765824")</f>
        <v>922150460466765824</v>
      </c>
      <c r="F3453" s="10" t="s">
        <v>25</v>
      </c>
      <c r="G3453" s="10" t="n">
        <v>314</v>
      </c>
      <c r="H3453" s="10" t="n">
        <v>235</v>
      </c>
      <c r="I3453" s="10" t="n">
        <v>65</v>
      </c>
      <c r="J3453" s="10" t="n">
        <v>0</v>
      </c>
      <c r="K3453" s="10" t="s">
        <v>20</v>
      </c>
      <c r="L3453" s="11" t="n">
        <v>41736.4083101852</v>
      </c>
      <c r="M3453" s="12"/>
      <c r="N3453" s="12" t="s">
        <v>6202</v>
      </c>
      <c r="O3453" s="9" t="str">
        <f aca="false">HYPERLINK("https://pbs.twimg.com/profile_images/702301030474608640/PTULqLV6_normal.jpg","View")</f>
        <v>View</v>
      </c>
      <c r="P3453" s="10"/>
    </row>
    <row r="3454" customFormat="false" ht="15.75" hidden="false" customHeight="false" outlineLevel="0" collapsed="false">
      <c r="A3454" s="6" t="n">
        <v>43030.4303240741</v>
      </c>
      <c r="B3454" s="7" t="str">
        <f aca="false">HYPERLINK("https://twitter.com/KenLWrites","@KenLWrites")</f>
        <v>@KenLWrites</v>
      </c>
      <c r="C3454" s="8" t="s">
        <v>8437</v>
      </c>
      <c r="D3454" s="8" t="s">
        <v>4984</v>
      </c>
      <c r="E3454" s="9" t="str">
        <f aca="false">HYPERLINK("https://twitter.com/KenLWrites/status/922150474446340096","922150474446340096")</f>
        <v>922150474446340096</v>
      </c>
      <c r="F3454" s="10" t="s">
        <v>39</v>
      </c>
      <c r="G3454" s="10" t="n">
        <v>289</v>
      </c>
      <c r="H3454" s="10" t="n">
        <v>210</v>
      </c>
      <c r="I3454" s="10" t="n">
        <v>187</v>
      </c>
      <c r="J3454" s="10" t="n">
        <v>0</v>
      </c>
      <c r="K3454" s="10" t="s">
        <v>20</v>
      </c>
      <c r="L3454" s="11" t="n">
        <v>40027.1959375</v>
      </c>
      <c r="M3454" s="12" t="s">
        <v>8438</v>
      </c>
      <c r="N3454" s="12" t="s">
        <v>8439</v>
      </c>
      <c r="O3454" s="9" t="str">
        <f aca="false">HYPERLINK("https://pbs.twimg.com/profile_images/868781769822150656/zPCnHuKn_normal.jpg","View")</f>
        <v>View</v>
      </c>
      <c r="P3454" s="10"/>
    </row>
    <row r="3455" customFormat="false" ht="15.75" hidden="false" customHeight="false" outlineLevel="0" collapsed="false">
      <c r="A3455" s="6" t="n">
        <v>43030.4307407407</v>
      </c>
      <c r="B3455" s="7" t="str">
        <f aca="false">HYPERLINK("https://twitter.com/masamikam","@masamikam")</f>
        <v>@masamikam</v>
      </c>
      <c r="C3455" s="8" t="s">
        <v>8440</v>
      </c>
      <c r="D3455" s="8" t="s">
        <v>3646</v>
      </c>
      <c r="E3455" s="9" t="str">
        <f aca="false">HYPERLINK("https://twitter.com/masamikam/status/922150626053648384","922150626053648384")</f>
        <v>922150626053648384</v>
      </c>
      <c r="F3455" s="10" t="s">
        <v>51</v>
      </c>
      <c r="G3455" s="10" t="n">
        <v>377</v>
      </c>
      <c r="H3455" s="10" t="n">
        <v>211</v>
      </c>
      <c r="I3455" s="10" t="n">
        <v>71</v>
      </c>
      <c r="J3455" s="10" t="n">
        <v>0</v>
      </c>
      <c r="K3455" s="10" t="s">
        <v>20</v>
      </c>
      <c r="L3455" s="11" t="n">
        <v>40430.3627199074</v>
      </c>
      <c r="M3455" s="13" t="s">
        <v>8441</v>
      </c>
      <c r="N3455" s="13" t="s">
        <v>8442</v>
      </c>
      <c r="O3455" s="9" t="str">
        <f aca="false">HYPERLINK("https://pbs.twimg.com/profile_images/714456238784978945/NvT4LYFu_normal.jpg","View")</f>
        <v>View</v>
      </c>
      <c r="P3455" s="10"/>
    </row>
    <row r="3456" customFormat="false" ht="15.75" hidden="false" customHeight="false" outlineLevel="0" collapsed="false">
      <c r="A3456" s="6" t="n">
        <v>43030.4315393519</v>
      </c>
      <c r="B3456" s="7" t="str">
        <f aca="false">HYPERLINK("https://twitter.com/JPnewsinEng","@JPnewsinEng")</f>
        <v>@JPnewsinEng</v>
      </c>
      <c r="C3456" s="8" t="s">
        <v>6097</v>
      </c>
      <c r="D3456" s="8" t="s">
        <v>8443</v>
      </c>
      <c r="E3456" s="9" t="str">
        <f aca="false">HYPERLINK("https://twitter.com/JPnewsinEng/status/922150913342672897","922150913342672897")</f>
        <v>922150913342672897</v>
      </c>
      <c r="F3456" s="10" t="s">
        <v>60</v>
      </c>
      <c r="G3456" s="10" t="n">
        <v>95</v>
      </c>
      <c r="H3456" s="10" t="n">
        <v>0</v>
      </c>
      <c r="I3456" s="10" t="n">
        <v>0</v>
      </c>
      <c r="J3456" s="10" t="n">
        <v>0</v>
      </c>
      <c r="K3456" s="10" t="s">
        <v>20</v>
      </c>
      <c r="L3456" s="11" t="n">
        <v>42298.2794907407</v>
      </c>
      <c r="M3456" s="13" t="s">
        <v>152</v>
      </c>
      <c r="N3456" s="13" t="s">
        <v>6099</v>
      </c>
      <c r="O3456" s="9" t="str">
        <f aca="false">HYPERLINK("https://pbs.twimg.com/profile_images/658617776026705920/TPmWzjC0_normal.png","View")</f>
        <v>View</v>
      </c>
      <c r="P3456" s="10"/>
    </row>
    <row r="3457" customFormat="false" ht="15.75" hidden="false" customHeight="false" outlineLevel="0" collapsed="false">
      <c r="A3457" s="6" t="n">
        <v>43030.4315740741</v>
      </c>
      <c r="B3457" s="7" t="str">
        <f aca="false">HYPERLINK("https://twitter.com/againprisoner","@againprisoner")</f>
        <v>@againprisoner</v>
      </c>
      <c r="C3457" s="14" t="s">
        <v>8444</v>
      </c>
      <c r="D3457" s="8" t="s">
        <v>8445</v>
      </c>
      <c r="E3457" s="9" t="str">
        <f aca="false">HYPERLINK("https://twitter.com/againprisoner/status/922150928328749056","922150928328749056")</f>
        <v>922150928328749056</v>
      </c>
      <c r="F3457" s="10" t="s">
        <v>39</v>
      </c>
      <c r="G3457" s="10" t="n">
        <v>12</v>
      </c>
      <c r="H3457" s="10" t="n">
        <v>89</v>
      </c>
      <c r="I3457" s="10" t="n">
        <v>0</v>
      </c>
      <c r="J3457" s="10" t="n">
        <v>0</v>
      </c>
      <c r="K3457" s="10" t="s">
        <v>20</v>
      </c>
      <c r="L3457" s="11" t="n">
        <v>42143.0650694445</v>
      </c>
      <c r="M3457" s="13" t="s">
        <v>8446</v>
      </c>
      <c r="N3457" s="13" t="s">
        <v>8447</v>
      </c>
      <c r="O3457" s="9" t="str">
        <f aca="false">HYPERLINK("https://pbs.twimg.com/profile_images/912699587680288768/3N-5S9Mj_normal.jpg","View")</f>
        <v>View</v>
      </c>
      <c r="P3457" s="10"/>
    </row>
    <row r="3458" customFormat="false" ht="15.75" hidden="false" customHeight="false" outlineLevel="0" collapsed="false">
      <c r="A3458" s="6" t="n">
        <v>43030.4317708333</v>
      </c>
      <c r="B3458" s="7" t="str">
        <f aca="false">HYPERLINK("https://twitter.com/miridliylenyez","@miridliylenyez")</f>
        <v>@miridliylenyez</v>
      </c>
      <c r="C3458" s="8" t="s">
        <v>8448</v>
      </c>
      <c r="D3458" s="8" t="s">
        <v>7736</v>
      </c>
      <c r="E3458" s="9" t="str">
        <f aca="false">HYPERLINK("https://twitter.com/miridliylenyez/status/922150999032238080","922150999032238080")</f>
        <v>922150999032238080</v>
      </c>
      <c r="F3458" s="10" t="s">
        <v>25</v>
      </c>
      <c r="G3458" s="10" t="n">
        <v>22694</v>
      </c>
      <c r="H3458" s="10" t="n">
        <v>20873</v>
      </c>
      <c r="I3458" s="10" t="n">
        <v>31</v>
      </c>
      <c r="J3458" s="10" t="n">
        <v>0</v>
      </c>
      <c r="K3458" s="10" t="s">
        <v>20</v>
      </c>
      <c r="L3458" s="11" t="n">
        <v>41494.6207060185</v>
      </c>
      <c r="M3458" s="12"/>
      <c r="N3458" s="12" t="s">
        <v>8449</v>
      </c>
      <c r="O3458" s="9" t="str">
        <f aca="false">HYPERLINK("https://pbs.twimg.com/profile_images/541054895684456448/CfkhqT-c_normal.jpeg","View")</f>
        <v>View</v>
      </c>
      <c r="P3458" s="10"/>
    </row>
    <row r="3459" customFormat="false" ht="15.75" hidden="false" customHeight="false" outlineLevel="0" collapsed="false">
      <c r="A3459" s="6" t="n">
        <v>43030.432025463</v>
      </c>
      <c r="B3459" s="7" t="str">
        <f aca="false">HYPERLINK("https://twitter.com/ASKopite","@ASKopite")</f>
        <v>@ASKopite</v>
      </c>
      <c r="C3459" s="8" t="s">
        <v>8450</v>
      </c>
      <c r="D3459" s="8" t="s">
        <v>6558</v>
      </c>
      <c r="E3459" s="9" t="str">
        <f aca="false">HYPERLINK("https://twitter.com/ASKopite/status/922151091210457088","922151091210457088")</f>
        <v>922151091210457088</v>
      </c>
      <c r="F3459" s="10" t="s">
        <v>25</v>
      </c>
      <c r="G3459" s="10" t="n">
        <v>184</v>
      </c>
      <c r="H3459" s="10" t="n">
        <v>442</v>
      </c>
      <c r="I3459" s="10" t="n">
        <v>65</v>
      </c>
      <c r="J3459" s="10" t="n">
        <v>0</v>
      </c>
      <c r="K3459" s="10" t="s">
        <v>20</v>
      </c>
      <c r="L3459" s="11" t="n">
        <v>40058.1943865741</v>
      </c>
      <c r="M3459" s="12" t="s">
        <v>860</v>
      </c>
      <c r="N3459" s="12"/>
      <c r="O3459" s="9" t="str">
        <f aca="false">HYPERLINK("https://pbs.twimg.com/profile_images/868526342551343104/okXes8w9_normal.jpg","View")</f>
        <v>View</v>
      </c>
      <c r="P3459" s="10"/>
    </row>
    <row r="3460" customFormat="false" ht="15.75" hidden="false" customHeight="false" outlineLevel="0" collapsed="false">
      <c r="A3460" s="6" t="n">
        <v>43030.4322222222</v>
      </c>
      <c r="B3460" s="7" t="str">
        <f aca="false">HYPERLINK("https://twitter.com/klinecj","@klinecj")</f>
        <v>@klinecj</v>
      </c>
      <c r="C3460" s="8" t="s">
        <v>8451</v>
      </c>
      <c r="D3460" s="8" t="s">
        <v>8452</v>
      </c>
      <c r="E3460" s="9" t="str">
        <f aca="false">HYPERLINK("https://twitter.com/klinecj/status/922151163608420357","922151163608420357")</f>
        <v>922151163608420357</v>
      </c>
      <c r="F3460" s="10" t="s">
        <v>51</v>
      </c>
      <c r="G3460" s="10" t="n">
        <v>445</v>
      </c>
      <c r="H3460" s="10" t="n">
        <v>865</v>
      </c>
      <c r="I3460" s="10" t="n">
        <v>0</v>
      </c>
      <c r="J3460" s="10" t="n">
        <v>0</v>
      </c>
      <c r="K3460" s="10" t="s">
        <v>20</v>
      </c>
      <c r="L3460" s="11" t="n">
        <v>41012.5217824074</v>
      </c>
      <c r="M3460" s="12" t="s">
        <v>8453</v>
      </c>
      <c r="N3460" s="12" t="s">
        <v>8454</v>
      </c>
      <c r="O3460" s="9" t="str">
        <f aca="false">HYPERLINK("https://pbs.twimg.com/profile_images/602320742823374848/smABlm3L_normal.jpg","View")</f>
        <v>View</v>
      </c>
      <c r="P3460" s="10"/>
    </row>
    <row r="3461" customFormat="false" ht="15.75" hidden="false" customHeight="false" outlineLevel="0" collapsed="false">
      <c r="A3461" s="6" t="n">
        <v>43030.4363773148</v>
      </c>
      <c r="B3461" s="7" t="str">
        <f aca="false">HYPERLINK("https://twitter.com/007Himself","@007Himself")</f>
        <v>@007Himself</v>
      </c>
      <c r="C3461" s="8" t="s">
        <v>8295</v>
      </c>
      <c r="D3461" s="8" t="s">
        <v>7046</v>
      </c>
      <c r="E3461" s="9" t="str">
        <f aca="false">HYPERLINK("https://twitter.com/007Himself/status/922152670072369156","922152670072369156")</f>
        <v>922152670072369156</v>
      </c>
      <c r="F3461" s="10" t="s">
        <v>51</v>
      </c>
      <c r="G3461" s="10" t="n">
        <v>2365</v>
      </c>
      <c r="H3461" s="10" t="n">
        <v>407</v>
      </c>
      <c r="I3461" s="10" t="n">
        <v>53</v>
      </c>
      <c r="J3461" s="10" t="n">
        <v>0</v>
      </c>
      <c r="K3461" s="10" t="s">
        <v>20</v>
      </c>
      <c r="L3461" s="11" t="n">
        <v>41467.9110069444</v>
      </c>
      <c r="M3461" s="12" t="s">
        <v>1843</v>
      </c>
      <c r="N3461" s="12" t="s">
        <v>8297</v>
      </c>
      <c r="O3461" s="9" t="str">
        <f aca="false">HYPERLINK("https://pbs.twimg.com/profile_images/922209246137249794/U2o5gWpD_normal.jpg","View")</f>
        <v>View</v>
      </c>
      <c r="P3461" s="10"/>
    </row>
    <row r="3462" customFormat="false" ht="15.75" hidden="false" customHeight="false" outlineLevel="0" collapsed="false">
      <c r="A3462" s="6" t="n">
        <v>43030.4365277778</v>
      </c>
      <c r="B3462" s="7" t="str">
        <f aca="false">HYPERLINK("https://twitter.com/tutv_mexico","@tutv_mexico")</f>
        <v>@tutv_mexico</v>
      </c>
      <c r="C3462" s="8" t="s">
        <v>8455</v>
      </c>
      <c r="D3462" s="8" t="s">
        <v>8456</v>
      </c>
      <c r="E3462" s="9" t="str">
        <f aca="false">HYPERLINK("https://twitter.com/tutv_mexico/status/922152722362757120","922152722362757120")</f>
        <v>922152722362757120</v>
      </c>
      <c r="F3462" s="10" t="s">
        <v>8457</v>
      </c>
      <c r="G3462" s="10" t="n">
        <v>12022</v>
      </c>
      <c r="H3462" s="10" t="n">
        <v>9785</v>
      </c>
      <c r="I3462" s="10" t="n">
        <v>0</v>
      </c>
      <c r="J3462" s="10" t="n">
        <v>0</v>
      </c>
      <c r="K3462" s="10" t="s">
        <v>20</v>
      </c>
      <c r="L3462" s="11" t="n">
        <v>42173.2777314815</v>
      </c>
      <c r="M3462" s="12" t="s">
        <v>8146</v>
      </c>
      <c r="N3462" s="12" t="s">
        <v>8458</v>
      </c>
      <c r="O3462" s="9" t="str">
        <f aca="false">HYPERLINK("https://pbs.twimg.com/profile_images/611530043358117889/g0xyscdu_normal.png","View")</f>
        <v>View</v>
      </c>
      <c r="P3462" s="10"/>
    </row>
    <row r="3463" customFormat="false" ht="15.75" hidden="false" customHeight="false" outlineLevel="0" collapsed="false">
      <c r="A3463" s="6" t="n">
        <v>43030.437025463</v>
      </c>
      <c r="B3463" s="7" t="str">
        <f aca="false">HYPERLINK("https://twitter.com/majidalkh","@majidalkh")</f>
        <v>@majidalkh</v>
      </c>
      <c r="C3463" s="8" t="s">
        <v>8459</v>
      </c>
      <c r="D3463" s="8" t="s">
        <v>8460</v>
      </c>
      <c r="E3463" s="9" t="str">
        <f aca="false">HYPERLINK("https://twitter.com/majidalkh/status/922152901551804416","922152901551804416")</f>
        <v>922152901551804416</v>
      </c>
      <c r="F3463" s="10" t="s">
        <v>51</v>
      </c>
      <c r="G3463" s="10" t="n">
        <v>11</v>
      </c>
      <c r="H3463" s="10" t="n">
        <v>50</v>
      </c>
      <c r="I3463" s="10" t="n">
        <v>0</v>
      </c>
      <c r="J3463" s="10" t="n">
        <v>0</v>
      </c>
      <c r="K3463" s="10" t="s">
        <v>20</v>
      </c>
      <c r="L3463" s="11" t="n">
        <v>42566.686400463</v>
      </c>
      <c r="M3463" s="12"/>
      <c r="N3463" s="12"/>
      <c r="O3463" s="9" t="str">
        <f aca="false">HYPERLINK("https://pbs.twimg.com/profile_images/891257820540133376/7kE4K9Up_normal.jpg","View")</f>
        <v>View</v>
      </c>
      <c r="P3463" s="10"/>
    </row>
    <row r="3464" customFormat="false" ht="15.75" hidden="false" customHeight="false" outlineLevel="0" collapsed="false">
      <c r="A3464" s="6" t="n">
        <v>43030.4382638889</v>
      </c>
      <c r="B3464" s="7" t="str">
        <f aca="false">HYPERLINK("https://twitter.com/DAVIDCESAR3","@DAVIDCESAR3")</f>
        <v>@DAVIDCESAR3</v>
      </c>
      <c r="C3464" s="8" t="s">
        <v>8461</v>
      </c>
      <c r="D3464" s="8" t="s">
        <v>8462</v>
      </c>
      <c r="E3464" s="9" t="str">
        <f aca="false">HYPERLINK("https://twitter.com/DAVIDCESAR3/status/922153353643163649","922153353643163649")</f>
        <v>922153353643163649</v>
      </c>
      <c r="F3464" s="10" t="s">
        <v>25</v>
      </c>
      <c r="G3464" s="10" t="n">
        <v>11199</v>
      </c>
      <c r="H3464" s="10" t="n">
        <v>12165</v>
      </c>
      <c r="I3464" s="10" t="n">
        <v>0</v>
      </c>
      <c r="J3464" s="10" t="n">
        <v>0</v>
      </c>
      <c r="K3464" s="10" t="s">
        <v>20</v>
      </c>
      <c r="L3464" s="11" t="n">
        <v>39834.4318865741</v>
      </c>
      <c r="M3464" s="12" t="s">
        <v>8463</v>
      </c>
      <c r="N3464" s="12" t="s">
        <v>8464</v>
      </c>
      <c r="O3464" s="9" t="str">
        <f aca="false">HYPERLINK("https://pbs.twimg.com/profile_images/633125334813134848/aAiN-4Ew_normal.jpg","View")</f>
        <v>View</v>
      </c>
      <c r="P3464" s="10"/>
    </row>
    <row r="3465" customFormat="false" ht="15.75" hidden="false" customHeight="false" outlineLevel="0" collapsed="false">
      <c r="A3465" s="6" t="n">
        <v>43030.4394560185</v>
      </c>
      <c r="B3465" s="7" t="str">
        <f aca="false">HYPERLINK("https://twitter.com/paka3u","@paka3u")</f>
        <v>@paka3u</v>
      </c>
      <c r="C3465" s="14" t="s">
        <v>8465</v>
      </c>
      <c r="D3465" s="8" t="s">
        <v>3646</v>
      </c>
      <c r="E3465" s="9" t="str">
        <f aca="false">HYPERLINK("https://twitter.com/paka3u/status/922153785694105600","922153785694105600")</f>
        <v>922153785694105600</v>
      </c>
      <c r="F3465" s="10" t="s">
        <v>51</v>
      </c>
      <c r="G3465" s="10" t="n">
        <v>317</v>
      </c>
      <c r="H3465" s="10" t="n">
        <v>284</v>
      </c>
      <c r="I3465" s="10" t="n">
        <v>71</v>
      </c>
      <c r="J3465" s="10" t="n">
        <v>0</v>
      </c>
      <c r="K3465" s="10" t="s">
        <v>20</v>
      </c>
      <c r="L3465" s="11" t="n">
        <v>42866.3394097222</v>
      </c>
      <c r="M3465" s="13" t="s">
        <v>8466</v>
      </c>
      <c r="N3465" s="13" t="s">
        <v>8467</v>
      </c>
      <c r="O3465" s="9" t="str">
        <f aca="false">HYPERLINK("https://pbs.twimg.com/profile_images/914556832739319808/fYCI613W_normal.jpg","View")</f>
        <v>View</v>
      </c>
      <c r="P3465" s="10"/>
    </row>
    <row r="3466" customFormat="false" ht="15.75" hidden="false" customHeight="false" outlineLevel="0" collapsed="false">
      <c r="A3466" s="6" t="n">
        <v>43030.4400810185</v>
      </c>
      <c r="B3466" s="7" t="str">
        <f aca="false">HYPERLINK("https://twitter.com/Solgaumi","@Solgaumi")</f>
        <v>@Solgaumi</v>
      </c>
      <c r="C3466" s="14" t="s">
        <v>8468</v>
      </c>
      <c r="D3466" s="8" t="s">
        <v>8469</v>
      </c>
      <c r="E3466" s="9" t="str">
        <f aca="false">HYPERLINK("https://twitter.com/Solgaumi/status/922154009946873856","922154009946873856")</f>
        <v>922154009946873856</v>
      </c>
      <c r="F3466" s="10" t="s">
        <v>8470</v>
      </c>
      <c r="G3466" s="10" t="n">
        <v>115</v>
      </c>
      <c r="H3466" s="10" t="n">
        <v>63</v>
      </c>
      <c r="I3466" s="10" t="n">
        <v>0</v>
      </c>
      <c r="J3466" s="10" t="n">
        <v>0</v>
      </c>
      <c r="K3466" s="10" t="s">
        <v>20</v>
      </c>
      <c r="L3466" s="11" t="n">
        <v>42566.9680324074</v>
      </c>
      <c r="M3466" s="13" t="s">
        <v>7151</v>
      </c>
      <c r="N3466" s="13" t="s">
        <v>8471</v>
      </c>
      <c r="O3466" s="9" t="str">
        <f aca="false">HYPERLINK("https://pbs.twimg.com/profile_images/903254577335623680/tCYpbOia_normal.jpg","View")</f>
        <v>View</v>
      </c>
      <c r="P3466" s="10"/>
    </row>
    <row r="3467" customFormat="false" ht="15.75" hidden="false" customHeight="false" outlineLevel="0" collapsed="false">
      <c r="A3467" s="6" t="n">
        <v>43030.4409490741</v>
      </c>
      <c r="B3467" s="7" t="str">
        <f aca="false">HYPERLINK("https://twitter.com/iancowie","@iancowie")</f>
        <v>@iancowie</v>
      </c>
      <c r="C3467" s="8" t="s">
        <v>8472</v>
      </c>
      <c r="D3467" s="8" t="s">
        <v>8473</v>
      </c>
      <c r="E3467" s="9" t="str">
        <f aca="false">HYPERLINK("https://twitter.com/iancowie/status/922154326499516417","922154326499516417")</f>
        <v>922154326499516417</v>
      </c>
      <c r="F3467" s="10" t="s">
        <v>39</v>
      </c>
      <c r="G3467" s="10" t="n">
        <v>14411</v>
      </c>
      <c r="H3467" s="10" t="n">
        <v>7089</v>
      </c>
      <c r="I3467" s="10" t="n">
        <v>0</v>
      </c>
      <c r="J3467" s="10" t="n">
        <v>3</v>
      </c>
      <c r="K3467" s="10" t="s">
        <v>20</v>
      </c>
      <c r="L3467" s="11" t="n">
        <v>39860.3913194444</v>
      </c>
      <c r="M3467" s="12" t="s">
        <v>893</v>
      </c>
      <c r="N3467" s="12" t="s">
        <v>8474</v>
      </c>
      <c r="O3467" s="9" t="str">
        <f aca="false">HYPERLINK("https://pbs.twimg.com/profile_images/781116564884058112/Wb9fdWHj_normal.jpg","View")</f>
        <v>View</v>
      </c>
      <c r="P3467" s="10"/>
    </row>
    <row r="3468" customFormat="false" ht="15.75" hidden="false" customHeight="false" outlineLevel="0" collapsed="false">
      <c r="A3468" s="6" t="n">
        <v>43030.4413310185</v>
      </c>
      <c r="B3468" s="7" t="str">
        <f aca="false">HYPERLINK("https://twitter.com/CuriousSuricate","@CuriousSuricate")</f>
        <v>@CuriousSuricate</v>
      </c>
      <c r="C3468" s="8" t="s">
        <v>8475</v>
      </c>
      <c r="D3468" s="8" t="s">
        <v>8476</v>
      </c>
      <c r="E3468" s="9" t="str">
        <f aca="false">HYPERLINK("https://twitter.com/CuriousSuricate/status/922154464118788096","922154464118788096")</f>
        <v>922154464118788096</v>
      </c>
      <c r="F3468" s="10" t="s">
        <v>51</v>
      </c>
      <c r="G3468" s="10" t="n">
        <v>1951</v>
      </c>
      <c r="H3468" s="10" t="n">
        <v>1501</v>
      </c>
      <c r="I3468" s="10" t="n">
        <v>0</v>
      </c>
      <c r="J3468" s="10" t="n">
        <v>4</v>
      </c>
      <c r="K3468" s="10" t="s">
        <v>20</v>
      </c>
      <c r="L3468" s="11" t="n">
        <v>43005.2867361111</v>
      </c>
      <c r="M3468" s="12" t="s">
        <v>1670</v>
      </c>
      <c r="N3468" s="12" t="s">
        <v>8477</v>
      </c>
      <c r="O3468" s="9" t="str">
        <f aca="false">HYPERLINK("https://pbs.twimg.com/profile_images/913381464313679874/oaXyT3JK_normal.jpg","View")</f>
        <v>View</v>
      </c>
      <c r="P3468" s="10"/>
    </row>
    <row r="3469" customFormat="false" ht="15.75" hidden="false" customHeight="false" outlineLevel="0" collapsed="false">
      <c r="A3469" s="6" t="n">
        <v>43030.4417361111</v>
      </c>
      <c r="B3469" s="7" t="str">
        <f aca="false">HYPERLINK("https://twitter.com/Smita_Shri","@Smita_Shri")</f>
        <v>@Smita_Shri</v>
      </c>
      <c r="C3469" s="8" t="s">
        <v>8478</v>
      </c>
      <c r="D3469" s="8" t="s">
        <v>7350</v>
      </c>
      <c r="E3469" s="9" t="str">
        <f aca="false">HYPERLINK("https://twitter.com/Smita_Shri/status/922154609099051008","922154609099051008")</f>
        <v>922154609099051008</v>
      </c>
      <c r="F3469" s="10" t="s">
        <v>25</v>
      </c>
      <c r="G3469" s="10" t="n">
        <v>233</v>
      </c>
      <c r="H3469" s="10" t="n">
        <v>64</v>
      </c>
      <c r="I3469" s="10" t="n">
        <v>62</v>
      </c>
      <c r="J3469" s="10" t="n">
        <v>0</v>
      </c>
      <c r="K3469" s="10" t="s">
        <v>20</v>
      </c>
      <c r="L3469" s="11" t="n">
        <v>41424.4748148148</v>
      </c>
      <c r="M3469" s="12" t="s">
        <v>2340</v>
      </c>
      <c r="N3469" s="12" t="s">
        <v>8479</v>
      </c>
      <c r="O3469" s="9" t="str">
        <f aca="false">HYPERLINK("https://pbs.twimg.com/profile_images/3759113537/5bf2f3b63a56f05ad574f7090dc4827e_normal.jpeg","View")</f>
        <v>View</v>
      </c>
      <c r="P3469" s="10"/>
    </row>
    <row r="3470" customFormat="false" ht="15.75" hidden="false" customHeight="false" outlineLevel="0" collapsed="false">
      <c r="A3470" s="6" t="n">
        <v>43030.4420833333</v>
      </c>
      <c r="B3470" s="7" t="str">
        <f aca="false">HYPERLINK("https://twitter.com/Truth2Pwer","@Truth2Pwer")</f>
        <v>@Truth2Pwer</v>
      </c>
      <c r="C3470" s="8" t="s">
        <v>8480</v>
      </c>
      <c r="D3470" s="8" t="s">
        <v>7754</v>
      </c>
      <c r="E3470" s="9" t="str">
        <f aca="false">HYPERLINK("https://twitter.com/Truth2Pwer/status/922154734173040645","922154734173040645")</f>
        <v>922154734173040645</v>
      </c>
      <c r="F3470" s="10" t="s">
        <v>39</v>
      </c>
      <c r="G3470" s="10" t="n">
        <v>1771</v>
      </c>
      <c r="H3470" s="10" t="n">
        <v>922</v>
      </c>
      <c r="I3470" s="10" t="n">
        <v>20</v>
      </c>
      <c r="J3470" s="10" t="n">
        <v>0</v>
      </c>
      <c r="K3470" s="10" t="s">
        <v>20</v>
      </c>
      <c r="L3470" s="11" t="n">
        <v>41727.8664814815</v>
      </c>
      <c r="M3470" s="12" t="s">
        <v>8481</v>
      </c>
      <c r="N3470" s="12" t="s">
        <v>8482</v>
      </c>
      <c r="O3470" s="9" t="str">
        <f aca="false">HYPERLINK("https://pbs.twimg.com/profile_images/509433015714332672/nziWuVxr_normal.png","View")</f>
        <v>View</v>
      </c>
      <c r="P3470" s="10"/>
    </row>
    <row r="3471" customFormat="false" ht="15.75" hidden="false" customHeight="false" outlineLevel="0" collapsed="false">
      <c r="A3471" s="6" t="n">
        <v>43030.4423032407</v>
      </c>
      <c r="B3471" s="7" t="str">
        <f aca="false">HYPERLINK("https://twitter.com/twilight2000","@twilight2000")</f>
        <v>@twilight2000</v>
      </c>
      <c r="C3471" s="8" t="s">
        <v>8483</v>
      </c>
      <c r="D3471" s="8" t="s">
        <v>8484</v>
      </c>
      <c r="E3471" s="9" t="str">
        <f aca="false">HYPERLINK("https://twitter.com/twilight2000/status/922154817237028864","922154817237028864")</f>
        <v>922154817237028864</v>
      </c>
      <c r="F3471" s="10" t="s">
        <v>25</v>
      </c>
      <c r="G3471" s="10" t="n">
        <v>1797</v>
      </c>
      <c r="H3471" s="10" t="n">
        <v>543</v>
      </c>
      <c r="I3471" s="10" t="n">
        <v>0</v>
      </c>
      <c r="J3471" s="10" t="n">
        <v>1</v>
      </c>
      <c r="K3471" s="10" t="s">
        <v>20</v>
      </c>
      <c r="L3471" s="11" t="n">
        <v>39584.4656481482</v>
      </c>
      <c r="M3471" s="12" t="s">
        <v>8485</v>
      </c>
      <c r="N3471" s="12" t="s">
        <v>8486</v>
      </c>
      <c r="O3471" s="9" t="str">
        <f aca="false">HYPERLINK("https://pbs.twimg.com/profile_images/2815372342/7b3782ea80e9d6532875773fc99a4dce_normal.png","View")</f>
        <v>View</v>
      </c>
      <c r="P3471" s="10"/>
    </row>
    <row r="3472" customFormat="false" ht="15.75" hidden="false" customHeight="false" outlineLevel="0" collapsed="false">
      <c r="A3472" s="6" t="n">
        <v>43030.4432060185</v>
      </c>
      <c r="B3472" s="7" t="str">
        <f aca="false">HYPERLINK("https://twitter.com/xtriadx","@xtriadx")</f>
        <v>@xtriadx</v>
      </c>
      <c r="C3472" s="8" t="s">
        <v>8487</v>
      </c>
      <c r="D3472" s="8" t="s">
        <v>3514</v>
      </c>
      <c r="E3472" s="9" t="str">
        <f aca="false">HYPERLINK("https://twitter.com/xtriadx/status/922155143335878656","922155143335878656")</f>
        <v>922155143335878656</v>
      </c>
      <c r="F3472" s="10" t="s">
        <v>39</v>
      </c>
      <c r="G3472" s="10" t="n">
        <v>2038</v>
      </c>
      <c r="H3472" s="10" t="n">
        <v>3008</v>
      </c>
      <c r="I3472" s="10" t="n">
        <v>19</v>
      </c>
      <c r="J3472" s="10" t="n">
        <v>0</v>
      </c>
      <c r="K3472" s="10" t="s">
        <v>20</v>
      </c>
      <c r="L3472" s="11" t="n">
        <v>40421.8066435185</v>
      </c>
      <c r="M3472" s="12" t="s">
        <v>8488</v>
      </c>
      <c r="N3472" s="12" t="s">
        <v>8489</v>
      </c>
      <c r="O3472" s="9" t="str">
        <f aca="false">HYPERLINK("https://pbs.twimg.com/profile_images/1134159887/slowpoke_w_gun_normal.jpg","View")</f>
        <v>View</v>
      </c>
      <c r="P3472" s="10"/>
    </row>
    <row r="3473" customFormat="false" ht="15.75" hidden="false" customHeight="false" outlineLevel="0" collapsed="false">
      <c r="A3473" s="6" t="n">
        <v>43030.4432986111</v>
      </c>
      <c r="B3473" s="7" t="str">
        <f aca="false">HYPERLINK("https://twitter.com/sundarpearl","@sundarpearl")</f>
        <v>@sundarpearl</v>
      </c>
      <c r="C3473" s="8" t="s">
        <v>8490</v>
      </c>
      <c r="D3473" s="8" t="s">
        <v>7905</v>
      </c>
      <c r="E3473" s="9" t="str">
        <f aca="false">HYPERLINK("https://twitter.com/sundarpearl/status/922155176026243072","922155176026243072")</f>
        <v>922155176026243072</v>
      </c>
      <c r="F3473" s="10" t="s">
        <v>25</v>
      </c>
      <c r="G3473" s="10" t="n">
        <v>190</v>
      </c>
      <c r="H3473" s="10" t="n">
        <v>343</v>
      </c>
      <c r="I3473" s="10" t="n">
        <v>38</v>
      </c>
      <c r="J3473" s="10" t="n">
        <v>0</v>
      </c>
      <c r="K3473" s="10" t="s">
        <v>20</v>
      </c>
      <c r="L3473" s="11" t="n">
        <v>41711.1460416667</v>
      </c>
      <c r="M3473" s="12" t="s">
        <v>7961</v>
      </c>
      <c r="N3473" s="12" t="s">
        <v>8491</v>
      </c>
      <c r="O3473" s="9" t="str">
        <f aca="false">HYPERLINK("https://pbs.twimg.com/profile_images/888425704014073857/5WIIb3Ao_normal.jpg","View")</f>
        <v>View</v>
      </c>
      <c r="P3473" s="10"/>
    </row>
    <row r="3474" customFormat="false" ht="15.75" hidden="false" customHeight="false" outlineLevel="0" collapsed="false">
      <c r="A3474" s="6" t="n">
        <v>43030.4434953704</v>
      </c>
      <c r="B3474" s="7" t="str">
        <f aca="false">HYPERLINK("https://twitter.com/9b3OR2qdITMbDcd","@9b3OR2qdITMbDcd")</f>
        <v>@9b3OR2qdITMbDcd</v>
      </c>
      <c r="C3474" s="14" t="s">
        <v>3796</v>
      </c>
      <c r="D3474" s="8" t="s">
        <v>4984</v>
      </c>
      <c r="E3474" s="9" t="str">
        <f aca="false">HYPERLINK("https://twitter.com/9b3OR2qdITMbDcd/status/922155246914125824","922155246914125824")</f>
        <v>922155246914125824</v>
      </c>
      <c r="F3474" s="10" t="s">
        <v>177</v>
      </c>
      <c r="G3474" s="10" t="n">
        <v>1260334</v>
      </c>
      <c r="H3474" s="10" t="n">
        <v>2287</v>
      </c>
      <c r="I3474" s="10" t="n">
        <v>187</v>
      </c>
      <c r="J3474" s="10" t="n">
        <v>0</v>
      </c>
      <c r="K3474" s="10" t="s">
        <v>20</v>
      </c>
      <c r="L3474" s="11" t="n">
        <v>42581.3831712963</v>
      </c>
      <c r="M3474" s="13" t="s">
        <v>3797</v>
      </c>
      <c r="N3474" s="13" t="s">
        <v>3798</v>
      </c>
      <c r="O3474" s="9" t="str">
        <f aca="false">HYPERLINK("https://pbs.twimg.com/profile_images/759426044512178176/e8MouqvM_normal.jpg","View")</f>
        <v>View</v>
      </c>
      <c r="P3474" s="10"/>
    </row>
    <row r="3475" customFormat="false" ht="15.75" hidden="false" customHeight="false" outlineLevel="0" collapsed="false">
      <c r="A3475" s="6" t="n">
        <v>43030.4445023148</v>
      </c>
      <c r="B3475" s="7" t="str">
        <f aca="false">HYPERLINK("https://twitter.com/savinay1986","@savinay1986")</f>
        <v>@savinay1986</v>
      </c>
      <c r="C3475" s="8" t="s">
        <v>8492</v>
      </c>
      <c r="D3475" s="8" t="s">
        <v>6558</v>
      </c>
      <c r="E3475" s="9" t="str">
        <f aca="false">HYPERLINK("https://twitter.com/savinay1986/status/922155613278179328","922155613278179328")</f>
        <v>922155613278179328</v>
      </c>
      <c r="F3475" s="10" t="s">
        <v>25</v>
      </c>
      <c r="G3475" s="10" t="n">
        <v>57</v>
      </c>
      <c r="H3475" s="10" t="n">
        <v>274</v>
      </c>
      <c r="I3475" s="10" t="n">
        <v>65</v>
      </c>
      <c r="J3475" s="10" t="n">
        <v>0</v>
      </c>
      <c r="K3475" s="10" t="s">
        <v>20</v>
      </c>
      <c r="L3475" s="11" t="n">
        <v>39895.3006944444</v>
      </c>
      <c r="M3475" s="12"/>
      <c r="N3475" s="12" t="s">
        <v>8493</v>
      </c>
      <c r="O3475" s="9" t="str">
        <f aca="false">HYPERLINK("https://pbs.twimg.com/profile_images/478973186319462400/qSkEwQIl_normal.jpeg","View")</f>
        <v>View</v>
      </c>
      <c r="P3475" s="10"/>
    </row>
    <row r="3476" customFormat="false" ht="15.75" hidden="false" customHeight="false" outlineLevel="0" collapsed="false">
      <c r="A3476" s="6" t="n">
        <v>43030.4445717593</v>
      </c>
      <c r="B3476" s="7" t="str">
        <f aca="false">HYPERLINK("https://twitter.com/jhajiten","@jhajiten")</f>
        <v>@jhajiten</v>
      </c>
      <c r="C3476" s="8" t="s">
        <v>8494</v>
      </c>
      <c r="D3476" s="8" t="s">
        <v>7905</v>
      </c>
      <c r="E3476" s="9" t="str">
        <f aca="false">HYPERLINK("https://twitter.com/jhajiten/status/922155639438065664","922155639438065664")</f>
        <v>922155639438065664</v>
      </c>
      <c r="F3476" s="10" t="s">
        <v>25</v>
      </c>
      <c r="G3476" s="10" t="n">
        <v>308</v>
      </c>
      <c r="H3476" s="10" t="n">
        <v>124</v>
      </c>
      <c r="I3476" s="10" t="n">
        <v>38</v>
      </c>
      <c r="J3476" s="10" t="n">
        <v>0</v>
      </c>
      <c r="K3476" s="10" t="s">
        <v>20</v>
      </c>
      <c r="L3476" s="11" t="n">
        <v>41486.0875115741</v>
      </c>
      <c r="M3476" s="12" t="s">
        <v>87</v>
      </c>
      <c r="N3476" s="12" t="s">
        <v>8495</v>
      </c>
      <c r="O3476" s="9" t="str">
        <f aca="false">HYPERLINK("https://pbs.twimg.com/profile_images/421887209608728577/RBdDkeJG_normal.jpeg","View")</f>
        <v>View</v>
      </c>
      <c r="P3476" s="10"/>
    </row>
    <row r="3477" customFormat="false" ht="15.75" hidden="false" customHeight="false" outlineLevel="0" collapsed="false">
      <c r="A3477" s="6" t="n">
        <v>43030.4452546296</v>
      </c>
      <c r="B3477" s="7" t="str">
        <f aca="false">HYPERLINK("https://twitter.com/Economy_newsUS","@Economy_newsUS")</f>
        <v>@Economy_newsUS</v>
      </c>
      <c r="C3477" s="8" t="s">
        <v>7379</v>
      </c>
      <c r="D3477" s="8" t="s">
        <v>8496</v>
      </c>
      <c r="E3477" s="9" t="str">
        <f aca="false">HYPERLINK("https://twitter.com/Economy_newsUS/status/922155886218498050","922155886218498050")</f>
        <v>922155886218498050</v>
      </c>
      <c r="F3477" s="10" t="s">
        <v>3042</v>
      </c>
      <c r="G3477" s="10" t="n">
        <v>555</v>
      </c>
      <c r="H3477" s="10" t="n">
        <v>682</v>
      </c>
      <c r="I3477" s="10" t="n">
        <v>0</v>
      </c>
      <c r="J3477" s="10" t="n">
        <v>0</v>
      </c>
      <c r="K3477" s="10" t="s">
        <v>20</v>
      </c>
      <c r="L3477" s="11" t="n">
        <v>41930.5407060185</v>
      </c>
      <c r="M3477" s="12"/>
      <c r="N3477" s="12" t="s">
        <v>7381</v>
      </c>
      <c r="O3477" s="9" t="str">
        <f aca="false">HYPERLINK("https://pbs.twimg.com/profile_images/523563985313218560/-AUuKV17_normal.png","View")</f>
        <v>View</v>
      </c>
      <c r="P3477" s="10"/>
    </row>
    <row r="3478" customFormat="false" ht="15.75" hidden="false" customHeight="false" outlineLevel="0" collapsed="false">
      <c r="A3478" s="6" t="n">
        <v>43030.4475462963</v>
      </c>
      <c r="B3478" s="7" t="str">
        <f aca="false">HYPERLINK("https://twitter.com/davidajansen","@davidajansen")</f>
        <v>@davidajansen</v>
      </c>
      <c r="C3478" s="8" t="s">
        <v>8497</v>
      </c>
      <c r="D3478" s="8" t="s">
        <v>8498</v>
      </c>
      <c r="E3478" s="9" t="str">
        <f aca="false">HYPERLINK("https://twitter.com/davidajansen/status/922156714912227328","922156714912227328")</f>
        <v>922156714912227328</v>
      </c>
      <c r="F3478" s="10" t="s">
        <v>51</v>
      </c>
      <c r="G3478" s="10" t="n">
        <v>314</v>
      </c>
      <c r="H3478" s="10" t="n">
        <v>537</v>
      </c>
      <c r="I3478" s="10" t="n">
        <v>0</v>
      </c>
      <c r="J3478" s="10" t="n">
        <v>0</v>
      </c>
      <c r="K3478" s="10" t="s">
        <v>20</v>
      </c>
      <c r="L3478" s="11" t="n">
        <v>41054.219525463</v>
      </c>
      <c r="M3478" s="12" t="s">
        <v>8499</v>
      </c>
      <c r="N3478" s="12" t="s">
        <v>8500</v>
      </c>
      <c r="O3478" s="9" t="str">
        <f aca="false">HYPERLINK("https://pbs.twimg.com/profile_images/2347239662/she8b1zs7k6z389r809n_normal.jpeg","View")</f>
        <v>View</v>
      </c>
      <c r="P3478" s="10"/>
    </row>
    <row r="3479" customFormat="false" ht="15.75" hidden="false" customHeight="false" outlineLevel="0" collapsed="false">
      <c r="A3479" s="6" t="n">
        <v>43030.4481018519</v>
      </c>
      <c r="B3479" s="7" t="str">
        <f aca="false">HYPERLINK("https://twitter.com/sefekl","@sefekl")</f>
        <v>@sefekl</v>
      </c>
      <c r="C3479" s="8" t="s">
        <v>8501</v>
      </c>
      <c r="D3479" s="8" t="s">
        <v>3541</v>
      </c>
      <c r="E3479" s="9" t="str">
        <f aca="false">HYPERLINK("https://twitter.com/sefekl/status/922156917287473152","922156917287473152")</f>
        <v>922156917287473152</v>
      </c>
      <c r="F3479" s="10" t="s">
        <v>25</v>
      </c>
      <c r="G3479" s="10" t="n">
        <v>17</v>
      </c>
      <c r="H3479" s="10" t="n">
        <v>25</v>
      </c>
      <c r="I3479" s="10" t="n">
        <v>18</v>
      </c>
      <c r="J3479" s="10" t="n">
        <v>0</v>
      </c>
      <c r="K3479" s="10" t="s">
        <v>20</v>
      </c>
      <c r="L3479" s="11" t="n">
        <v>42180.2510416667</v>
      </c>
      <c r="M3479" s="12"/>
      <c r="N3479" s="12"/>
      <c r="O3479" s="9" t="str">
        <f aca="false">HYPERLINK("https://pbs.twimg.com/profile_images/614748337577791488/nrPIpkGE_normal.jpg","View")</f>
        <v>View</v>
      </c>
      <c r="P3479" s="10"/>
    </row>
    <row r="3480" customFormat="false" ht="15.75" hidden="false" customHeight="false" outlineLevel="0" collapsed="false">
      <c r="A3480" s="6" t="n">
        <v>43030.448275463</v>
      </c>
      <c r="B3480" s="7" t="str">
        <f aca="false">HYPERLINK("https://twitter.com/armchairvoyeur","@armchairvoyeur")</f>
        <v>@armchairvoyeur</v>
      </c>
      <c r="C3480" s="8" t="s">
        <v>8502</v>
      </c>
      <c r="D3480" s="8" t="s">
        <v>8503</v>
      </c>
      <c r="E3480" s="9" t="str">
        <f aca="false">HYPERLINK("https://twitter.com/armchairvoyeur/status/922156981183549441","922156981183549441")</f>
        <v>922156981183549441</v>
      </c>
      <c r="F3480" s="10" t="s">
        <v>51</v>
      </c>
      <c r="G3480" s="10" t="n">
        <v>42</v>
      </c>
      <c r="H3480" s="10" t="n">
        <v>54</v>
      </c>
      <c r="I3480" s="10" t="n">
        <v>0</v>
      </c>
      <c r="J3480" s="10" t="n">
        <v>1</v>
      </c>
      <c r="K3480" s="10" t="s">
        <v>20</v>
      </c>
      <c r="L3480" s="11" t="n">
        <v>39895.4831597222</v>
      </c>
      <c r="M3480" s="12" t="s">
        <v>8504</v>
      </c>
      <c r="N3480" s="12" t="s">
        <v>8505</v>
      </c>
      <c r="O3480" s="9" t="str">
        <f aca="false">HYPERLINK("https://pbs.twimg.com/profile_images/817901773100908544/YY8PwFqT_normal.jpg","View")</f>
        <v>View</v>
      </c>
      <c r="P3480" s="10"/>
    </row>
    <row r="3481" customFormat="false" ht="15.75" hidden="false" customHeight="false" outlineLevel="0" collapsed="false">
      <c r="A3481" s="6" t="n">
        <v>43030.448599537</v>
      </c>
      <c r="B3481" s="7" t="str">
        <f aca="false">HYPERLINK("https://twitter.com/MalindaMichell1","@MalindaMichell1")</f>
        <v>@MalindaMichell1</v>
      </c>
      <c r="C3481" s="8" t="s">
        <v>8506</v>
      </c>
      <c r="D3481" s="8" t="s">
        <v>8507</v>
      </c>
      <c r="E3481" s="9" t="str">
        <f aca="false">HYPERLINK("https://twitter.com/MalindaMichell1/status/922157099299328001","922157099299328001")</f>
        <v>922157099299328001</v>
      </c>
      <c r="F3481" s="10" t="s">
        <v>51</v>
      </c>
      <c r="G3481" s="10" t="n">
        <v>251</v>
      </c>
      <c r="H3481" s="10" t="n">
        <v>974</v>
      </c>
      <c r="I3481" s="10" t="n">
        <v>0</v>
      </c>
      <c r="J3481" s="10" t="n">
        <v>0</v>
      </c>
      <c r="K3481" s="10" t="s">
        <v>20</v>
      </c>
      <c r="L3481" s="11" t="n">
        <v>40957.4790393519</v>
      </c>
      <c r="M3481" s="12" t="s">
        <v>8508</v>
      </c>
      <c r="N3481" s="12" t="s">
        <v>8509</v>
      </c>
      <c r="O3481" s="9" t="str">
        <f aca="false">HYPERLINK("https://pbs.twimg.com/profile_images/914510225469829120/wPnYQMMG_normal.jpg","View")</f>
        <v>View</v>
      </c>
      <c r="P3481" s="10"/>
    </row>
    <row r="3482" customFormat="false" ht="15.75" hidden="false" customHeight="false" outlineLevel="0" collapsed="false">
      <c r="A3482" s="6" t="n">
        <v>43030.4486921296</v>
      </c>
      <c r="B3482" s="7" t="str">
        <f aca="false">HYPERLINK("https://twitter.com/JapanUnmasked","@JapanUnmasked")</f>
        <v>@JapanUnmasked</v>
      </c>
      <c r="C3482" s="8" t="s">
        <v>1869</v>
      </c>
      <c r="D3482" s="8" t="s">
        <v>8510</v>
      </c>
      <c r="E3482" s="9" t="str">
        <f aca="false">HYPERLINK("https://twitter.com/JapanUnmasked/status/922157131494805506","922157131494805506")</f>
        <v>922157131494805506</v>
      </c>
      <c r="F3482" s="10" t="s">
        <v>60</v>
      </c>
      <c r="G3482" s="10" t="n">
        <v>80718</v>
      </c>
      <c r="H3482" s="10" t="n">
        <v>1</v>
      </c>
      <c r="I3482" s="10" t="n">
        <v>0</v>
      </c>
      <c r="J3482" s="10" t="n">
        <v>0</v>
      </c>
      <c r="K3482" s="10" t="s">
        <v>20</v>
      </c>
      <c r="L3482" s="11" t="n">
        <v>40392.5348148148</v>
      </c>
      <c r="M3482" s="12" t="s">
        <v>574</v>
      </c>
      <c r="N3482" s="12" t="s">
        <v>1871</v>
      </c>
      <c r="O3482" s="9" t="str">
        <f aca="false">HYPERLINK("https://pbs.twimg.com/profile_images/789409489128607745/43ijRGjc_normal.jpg","View")</f>
        <v>View</v>
      </c>
      <c r="P3482" s="10"/>
    </row>
    <row r="3483" customFormat="false" ht="15.75" hidden="false" customHeight="false" outlineLevel="0" collapsed="false">
      <c r="A3483" s="6" t="n">
        <v>43030.4487152778</v>
      </c>
      <c r="B3483" s="7" t="str">
        <f aca="false">HYPERLINK("https://twitter.com/BeingHinDuzZ2","@BeingHinDuzZ2")</f>
        <v>@BeingHinDuzZ2</v>
      </c>
      <c r="C3483" s="8" t="s">
        <v>8511</v>
      </c>
      <c r="D3483" s="8" t="s">
        <v>7905</v>
      </c>
      <c r="E3483" s="9" t="str">
        <f aca="false">HYPERLINK("https://twitter.com/BeingHinDuzZ2/status/922157140231446528","922157140231446528")</f>
        <v>922157140231446528</v>
      </c>
      <c r="F3483" s="10" t="s">
        <v>25</v>
      </c>
      <c r="G3483" s="10" t="n">
        <v>638</v>
      </c>
      <c r="H3483" s="10" t="n">
        <v>372</v>
      </c>
      <c r="I3483" s="10" t="n">
        <v>38</v>
      </c>
      <c r="J3483" s="10" t="n">
        <v>0</v>
      </c>
      <c r="K3483" s="10" t="s">
        <v>20</v>
      </c>
      <c r="L3483" s="11" t="n">
        <v>42445.8839467593</v>
      </c>
      <c r="M3483" s="12" t="s">
        <v>8512</v>
      </c>
      <c r="N3483" s="12" t="s">
        <v>8513</v>
      </c>
      <c r="O3483" s="9" t="str">
        <f aca="false">HYPERLINK("https://pbs.twimg.com/profile_images/836809725899653121/D4AXc9ab_normal.jpg","View")</f>
        <v>View</v>
      </c>
      <c r="P3483" s="10"/>
    </row>
    <row r="3484" customFormat="false" ht="15.75" hidden="false" customHeight="false" outlineLevel="0" collapsed="false">
      <c r="A3484" s="6" t="n">
        <v>43030.4491435185</v>
      </c>
      <c r="B3484" s="7" t="str">
        <f aca="false">HYPERLINK("https://twitter.com/archilys_1st","@archilys_1st")</f>
        <v>@archilys_1st</v>
      </c>
      <c r="C3484" s="8" t="s">
        <v>8514</v>
      </c>
      <c r="D3484" s="8" t="s">
        <v>6797</v>
      </c>
      <c r="E3484" s="9" t="str">
        <f aca="false">HYPERLINK("https://twitter.com/archilys_1st/status/922157295131176960","922157295131176960")</f>
        <v>922157295131176960</v>
      </c>
      <c r="F3484" s="10" t="s">
        <v>51</v>
      </c>
      <c r="G3484" s="10" t="n">
        <v>1173</v>
      </c>
      <c r="H3484" s="10" t="n">
        <v>1354</v>
      </c>
      <c r="I3484" s="10" t="n">
        <v>4</v>
      </c>
      <c r="J3484" s="10" t="n">
        <v>0</v>
      </c>
      <c r="K3484" s="10" t="s">
        <v>20</v>
      </c>
      <c r="L3484" s="11" t="n">
        <v>41166.3416203704</v>
      </c>
      <c r="M3484" s="12" t="s">
        <v>8515</v>
      </c>
      <c r="N3484" s="12" t="s">
        <v>8516</v>
      </c>
      <c r="O3484" s="9" t="str">
        <f aca="false">HYPERLINK("https://pbs.twimg.com/profile_images/633465889707266048/UvcGQkgk_normal.jpg","View")</f>
        <v>View</v>
      </c>
      <c r="P3484" s="10"/>
    </row>
    <row r="3485" customFormat="false" ht="15.75" hidden="false" customHeight="false" outlineLevel="0" collapsed="false">
      <c r="A3485" s="6" t="n">
        <v>43030.4491782407</v>
      </c>
      <c r="B3485" s="7" t="str">
        <f aca="false">HYPERLINK("https://twitter.com/RajanKumarSing6","@RajanKumarSing6")</f>
        <v>@RajanKumarSing6</v>
      </c>
      <c r="C3485" s="8" t="s">
        <v>8517</v>
      </c>
      <c r="D3485" s="8" t="s">
        <v>6707</v>
      </c>
      <c r="E3485" s="9" t="str">
        <f aca="false">HYPERLINK("https://twitter.com/RajanKumarSing6/status/922157306183221248","922157306183221248")</f>
        <v>922157306183221248</v>
      </c>
      <c r="F3485" s="10" t="s">
        <v>51</v>
      </c>
      <c r="G3485" s="10" t="n">
        <v>1245</v>
      </c>
      <c r="H3485" s="10" t="n">
        <v>2236</v>
      </c>
      <c r="I3485" s="10" t="n">
        <v>97</v>
      </c>
      <c r="J3485" s="10" t="n">
        <v>0</v>
      </c>
      <c r="K3485" s="10" t="s">
        <v>20</v>
      </c>
      <c r="L3485" s="11" t="n">
        <v>40845.2390277778</v>
      </c>
      <c r="M3485" s="12" t="s">
        <v>8518</v>
      </c>
      <c r="N3485" s="12" t="s">
        <v>8519</v>
      </c>
      <c r="O3485" s="9" t="str">
        <f aca="false">HYPERLINK("https://pbs.twimg.com/profile_images/897172723058827264/fsRGP9li_normal.jpg","View")</f>
        <v>View</v>
      </c>
      <c r="P3485" s="10"/>
    </row>
    <row r="3486" customFormat="false" ht="15.75" hidden="false" customHeight="false" outlineLevel="0" collapsed="false">
      <c r="A3486" s="6" t="n">
        <v>43030.4501273148</v>
      </c>
      <c r="B3486" s="7" t="str">
        <f aca="false">HYPERLINK("https://twitter.com/indian24news","@indian24news")</f>
        <v>@indian24news</v>
      </c>
      <c r="C3486" s="8" t="s">
        <v>8520</v>
      </c>
      <c r="D3486" s="8" t="s">
        <v>8521</v>
      </c>
      <c r="E3486" s="9" t="str">
        <f aca="false">HYPERLINK("https://twitter.com/indian24news/status/922157650481119232","922157650481119232")</f>
        <v>922157650481119232</v>
      </c>
      <c r="F3486" s="10" t="s">
        <v>8522</v>
      </c>
      <c r="G3486" s="10" t="n">
        <v>51547</v>
      </c>
      <c r="H3486" s="10" t="n">
        <v>50096</v>
      </c>
      <c r="I3486" s="10" t="n">
        <v>0</v>
      </c>
      <c r="J3486" s="10" t="n">
        <v>0</v>
      </c>
      <c r="K3486" s="10" t="s">
        <v>20</v>
      </c>
      <c r="L3486" s="11" t="n">
        <v>42053.546400463</v>
      </c>
      <c r="M3486" s="12" t="s">
        <v>72</v>
      </c>
      <c r="N3486" s="12" t="s">
        <v>8523</v>
      </c>
      <c r="O3486" s="9" t="str">
        <f aca="false">HYPERLINK("https://pbs.twimg.com/profile_images/812759050601504768/ND4RvJf0_normal.jpg","View")</f>
        <v>View</v>
      </c>
      <c r="P3486" s="10"/>
    </row>
    <row r="3487" customFormat="false" ht="15.75" hidden="false" customHeight="false" outlineLevel="0" collapsed="false">
      <c r="A3487" s="6" t="n">
        <v>43030.450162037</v>
      </c>
      <c r="B3487" s="7" t="str">
        <f aca="false">HYPERLINK("https://twitter.com/Chandra_bhs","@Chandra_bhs")</f>
        <v>@Chandra_bhs</v>
      </c>
      <c r="C3487" s="8" t="s">
        <v>7361</v>
      </c>
      <c r="D3487" s="8" t="s">
        <v>7905</v>
      </c>
      <c r="E3487" s="9" t="str">
        <f aca="false">HYPERLINK("https://twitter.com/Chandra_bhs/status/922157663164624896","922157663164624896")</f>
        <v>922157663164624896</v>
      </c>
      <c r="F3487" s="10" t="s">
        <v>25</v>
      </c>
      <c r="G3487" s="10" t="n">
        <v>1076</v>
      </c>
      <c r="H3487" s="10" t="n">
        <v>589</v>
      </c>
      <c r="I3487" s="10" t="n">
        <v>38</v>
      </c>
      <c r="J3487" s="10" t="n">
        <v>0</v>
      </c>
      <c r="K3487" s="10" t="s">
        <v>20</v>
      </c>
      <c r="L3487" s="11" t="n">
        <v>40974.4741782407</v>
      </c>
      <c r="M3487" s="12" t="s">
        <v>72</v>
      </c>
      <c r="N3487" s="12" t="s">
        <v>7362</v>
      </c>
      <c r="O3487" s="9" t="str">
        <f aca="false">HYPERLINK("https://pbs.twimg.com/profile_images/765640570941214720/nl8KhIem_normal.jpg","View")</f>
        <v>View</v>
      </c>
      <c r="P3487" s="10"/>
    </row>
    <row r="3488" customFormat="false" ht="15.75" hidden="false" customHeight="false" outlineLevel="0" collapsed="false">
      <c r="A3488" s="6" t="n">
        <v>43030.4521064815</v>
      </c>
      <c r="B3488" s="7" t="str">
        <f aca="false">HYPERLINK("https://twitter.com/mattiaswac","@mattiaswac")</f>
        <v>@mattiaswac</v>
      </c>
      <c r="C3488" s="8" t="s">
        <v>1248</v>
      </c>
      <c r="D3488" s="8" t="s">
        <v>8524</v>
      </c>
      <c r="E3488" s="9" t="str">
        <f aca="false">HYPERLINK("https://twitter.com/mattiaswac/status/922158368273391616","922158368273391616")</f>
        <v>922158368273391616</v>
      </c>
      <c r="F3488" s="10" t="s">
        <v>1167</v>
      </c>
      <c r="G3488" s="10" t="n">
        <v>2298</v>
      </c>
      <c r="H3488" s="10" t="n">
        <v>4451</v>
      </c>
      <c r="I3488" s="10" t="n">
        <v>1</v>
      </c>
      <c r="J3488" s="10" t="n">
        <v>0</v>
      </c>
      <c r="K3488" s="10" t="s">
        <v>20</v>
      </c>
      <c r="L3488" s="11" t="n">
        <v>39180.2304050926</v>
      </c>
      <c r="M3488" s="12" t="s">
        <v>1250</v>
      </c>
      <c r="N3488" s="12" t="s">
        <v>1251</v>
      </c>
      <c r="O3488" s="9" t="str">
        <f aca="false">HYPERLINK("https://pbs.twimg.com/profile_images/916727723615248385/grn_cTGH_normal.jpg","View")</f>
        <v>View</v>
      </c>
      <c r="P3488" s="10"/>
    </row>
    <row r="3489" customFormat="false" ht="15.75" hidden="false" customHeight="false" outlineLevel="0" collapsed="false">
      <c r="A3489" s="6" t="n">
        <v>43030.4521180556</v>
      </c>
      <c r="B3489" s="7" t="str">
        <f aca="false">HYPERLINK("https://twitter.com/temptha","@temptha")</f>
        <v>@temptha</v>
      </c>
      <c r="C3489" s="8" t="s">
        <v>8525</v>
      </c>
      <c r="D3489" s="8" t="s">
        <v>8526</v>
      </c>
      <c r="E3489" s="9" t="str">
        <f aca="false">HYPERLINK("https://twitter.com/temptha/status/922158373541425155","922158373541425155")</f>
        <v>922158373541425155</v>
      </c>
      <c r="F3489" s="10" t="s">
        <v>39</v>
      </c>
      <c r="G3489" s="10" t="n">
        <v>1416</v>
      </c>
      <c r="H3489" s="10" t="n">
        <v>3440</v>
      </c>
      <c r="I3489" s="10" t="n">
        <v>0</v>
      </c>
      <c r="J3489" s="10" t="n">
        <v>0</v>
      </c>
      <c r="K3489" s="10" t="s">
        <v>20</v>
      </c>
      <c r="L3489" s="11" t="n">
        <v>40597.634212963</v>
      </c>
      <c r="M3489" s="12" t="s">
        <v>8527</v>
      </c>
      <c r="N3489" s="12" t="s">
        <v>8528</v>
      </c>
      <c r="O3489" s="9" t="str">
        <f aca="false">HYPERLINK("https://pbs.twimg.com/profile_images/744512558841864193/lmpx_qYy_normal.jpg","View")</f>
        <v>View</v>
      </c>
      <c r="P3489" s="10"/>
    </row>
    <row r="3490" customFormat="false" ht="15.75" hidden="false" customHeight="false" outlineLevel="0" collapsed="false">
      <c r="A3490" s="6" t="n">
        <v>43030.4522453704</v>
      </c>
      <c r="B3490" s="7" t="str">
        <f aca="false">HYPERLINK("https://twitter.com/vikaskarunakara","@vikaskarunakara")</f>
        <v>@vikaskarunakara</v>
      </c>
      <c r="C3490" s="8" t="s">
        <v>8529</v>
      </c>
      <c r="D3490" s="8" t="s">
        <v>6558</v>
      </c>
      <c r="E3490" s="9" t="str">
        <f aca="false">HYPERLINK("https://twitter.com/vikaskarunakara/status/922158418319814656","922158418319814656")</f>
        <v>922158418319814656</v>
      </c>
      <c r="F3490" s="10" t="s">
        <v>51</v>
      </c>
      <c r="G3490" s="10" t="n">
        <v>169</v>
      </c>
      <c r="H3490" s="10" t="n">
        <v>191</v>
      </c>
      <c r="I3490" s="10" t="n">
        <v>65</v>
      </c>
      <c r="J3490" s="10" t="n">
        <v>0</v>
      </c>
      <c r="K3490" s="10" t="s">
        <v>20</v>
      </c>
      <c r="L3490" s="11" t="n">
        <v>40431.8824652778</v>
      </c>
      <c r="M3490" s="12" t="s">
        <v>230</v>
      </c>
      <c r="N3490" s="12" t="s">
        <v>8530</v>
      </c>
      <c r="O3490" s="9" t="str">
        <f aca="false">HYPERLINK("https://pbs.twimg.com/profile_images/837823653232398337/Sw50pORy_normal.jpg","View")</f>
        <v>View</v>
      </c>
      <c r="P3490" s="10"/>
    </row>
    <row r="3491" customFormat="false" ht="15.75" hidden="false" customHeight="false" outlineLevel="0" collapsed="false">
      <c r="A3491" s="6" t="n">
        <v>43030.4523032407</v>
      </c>
      <c r="B3491" s="7" t="str">
        <f aca="false">HYPERLINK("https://twitter.com/JPnewsinEng","@JPnewsinEng")</f>
        <v>@JPnewsinEng</v>
      </c>
      <c r="C3491" s="8" t="s">
        <v>6097</v>
      </c>
      <c r="D3491" s="8" t="s">
        <v>8531</v>
      </c>
      <c r="E3491" s="9" t="str">
        <f aca="false">HYPERLINK("https://twitter.com/JPnewsinEng/status/922158441124253696","922158441124253696")</f>
        <v>922158441124253696</v>
      </c>
      <c r="F3491" s="10" t="s">
        <v>60</v>
      </c>
      <c r="G3491" s="10" t="n">
        <v>95</v>
      </c>
      <c r="H3491" s="10" t="n">
        <v>0</v>
      </c>
      <c r="I3491" s="10" t="n">
        <v>0</v>
      </c>
      <c r="J3491" s="10" t="n">
        <v>0</v>
      </c>
      <c r="K3491" s="10" t="s">
        <v>20</v>
      </c>
      <c r="L3491" s="11" t="n">
        <v>42298.2794907407</v>
      </c>
      <c r="M3491" s="13" t="s">
        <v>152</v>
      </c>
      <c r="N3491" s="13" t="s">
        <v>6099</v>
      </c>
      <c r="O3491" s="9" t="str">
        <f aca="false">HYPERLINK("https://pbs.twimg.com/profile_images/658617776026705920/TPmWzjC0_normal.png","View")</f>
        <v>View</v>
      </c>
      <c r="P3491" s="10"/>
    </row>
    <row r="3492" customFormat="false" ht="15.75" hidden="false" customHeight="false" outlineLevel="0" collapsed="false">
      <c r="A3492" s="6" t="n">
        <v>43030.4525810185</v>
      </c>
      <c r="B3492" s="7" t="str">
        <f aca="false">HYPERLINK("https://twitter.com/XLJCL","@XLJCL")</f>
        <v>@XLJCL</v>
      </c>
      <c r="C3492" s="8" t="s">
        <v>8532</v>
      </c>
      <c r="D3492" s="8" t="s">
        <v>4984</v>
      </c>
      <c r="E3492" s="9" t="str">
        <f aca="false">HYPERLINK("https://twitter.com/XLJCL/status/922158540495626240","922158540495626240")</f>
        <v>922158540495626240</v>
      </c>
      <c r="F3492" s="10" t="s">
        <v>39</v>
      </c>
      <c r="G3492" s="10" t="n">
        <v>2</v>
      </c>
      <c r="H3492" s="10" t="n">
        <v>85</v>
      </c>
      <c r="I3492" s="10" t="n">
        <v>187</v>
      </c>
      <c r="J3492" s="10" t="n">
        <v>0</v>
      </c>
      <c r="K3492" s="10" t="s">
        <v>20</v>
      </c>
      <c r="L3492" s="11" t="n">
        <v>43001.2846296296</v>
      </c>
      <c r="M3492" s="12" t="s">
        <v>8533</v>
      </c>
      <c r="N3492" s="12"/>
      <c r="O3492" s="9" t="str">
        <f aca="false">HYPERLINK("https://pbs.twimg.com/profile_images/912297902722080769/HsYTkae3_normal.jpg","View")</f>
        <v>View</v>
      </c>
      <c r="P3492" s="10"/>
    </row>
    <row r="3493" customFormat="false" ht="15.75" hidden="false" customHeight="false" outlineLevel="0" collapsed="false">
      <c r="A3493" s="6" t="n">
        <v>43030.4527430556</v>
      </c>
      <c r="B3493" s="7" t="str">
        <f aca="false">HYPERLINK("https://twitter.com/sgurumurthy","@sgurumurthy")</f>
        <v>@sgurumurthy</v>
      </c>
      <c r="C3493" s="8" t="s">
        <v>8534</v>
      </c>
      <c r="D3493" s="8" t="s">
        <v>8535</v>
      </c>
      <c r="E3493" s="9" t="str">
        <f aca="false">HYPERLINK("https://twitter.com/sgurumurthy/status/922158599568314368","922158599568314368")</f>
        <v>922158599568314368</v>
      </c>
      <c r="F3493" s="10" t="s">
        <v>25</v>
      </c>
      <c r="G3493" s="10" t="n">
        <v>172348</v>
      </c>
      <c r="H3493" s="10" t="n">
        <v>86</v>
      </c>
      <c r="I3493" s="10" t="n">
        <v>1015</v>
      </c>
      <c r="J3493" s="10" t="n">
        <v>1872</v>
      </c>
      <c r="K3493" s="10" t="s">
        <v>20</v>
      </c>
      <c r="L3493" s="11" t="n">
        <v>40270.7916087963</v>
      </c>
      <c r="M3493" s="12" t="s">
        <v>5883</v>
      </c>
      <c r="N3493" s="12" t="s">
        <v>8536</v>
      </c>
      <c r="O3493" s="9" t="str">
        <f aca="false">HYPERLINK("https://pbs.twimg.com/profile_images/2731575058/2c3b563aeed0b82007506ffa9f733069_normal.jpeg","View")</f>
        <v>View</v>
      </c>
      <c r="P3493" s="10"/>
    </row>
    <row r="3494" customFormat="false" ht="15.75" hidden="false" customHeight="false" outlineLevel="0" collapsed="false">
      <c r="A3494" s="6" t="n">
        <v>43030.4528587963</v>
      </c>
      <c r="B3494" s="7" t="str">
        <f aca="false">HYPERLINK("https://twitter.com/amitsinghai16","@amitsinghai16")</f>
        <v>@amitsinghai16</v>
      </c>
      <c r="C3494" s="8" t="s">
        <v>8537</v>
      </c>
      <c r="D3494" s="8" t="s">
        <v>8538</v>
      </c>
      <c r="E3494" s="9" t="str">
        <f aca="false">HYPERLINK("https://twitter.com/amitsinghai16/status/922158639938285568","922158639938285568")</f>
        <v>922158639938285568</v>
      </c>
      <c r="F3494" s="10" t="s">
        <v>25</v>
      </c>
      <c r="G3494" s="10" t="n">
        <v>177</v>
      </c>
      <c r="H3494" s="10" t="n">
        <v>183</v>
      </c>
      <c r="I3494" s="10" t="n">
        <v>1015</v>
      </c>
      <c r="J3494" s="10" t="n">
        <v>0</v>
      </c>
      <c r="K3494" s="10" t="s">
        <v>20</v>
      </c>
      <c r="L3494" s="11" t="n">
        <v>40499.4737615741</v>
      </c>
      <c r="M3494" s="12" t="s">
        <v>72</v>
      </c>
      <c r="N3494" s="12" t="s">
        <v>8539</v>
      </c>
      <c r="O3494" s="9" t="str">
        <f aca="false">HYPERLINK("https://pbs.twimg.com/profile_images/482632244721246209/oiv_jU8R_normal.jpeg","View")</f>
        <v>View</v>
      </c>
      <c r="P3494" s="10"/>
    </row>
    <row r="3495" customFormat="false" ht="15.75" hidden="false" customHeight="false" outlineLevel="0" collapsed="false">
      <c r="A3495" s="6" t="n">
        <v>43030.4529976852</v>
      </c>
      <c r="B3495" s="7" t="str">
        <f aca="false">HYPERLINK("https://twitter.com/SANJAYVOHRA1","@SANJAYVOHRA1")</f>
        <v>@SANJAYVOHRA1</v>
      </c>
      <c r="C3495" s="8" t="s">
        <v>8540</v>
      </c>
      <c r="D3495" s="8" t="s">
        <v>8538</v>
      </c>
      <c r="E3495" s="9" t="str">
        <f aca="false">HYPERLINK("https://twitter.com/SANJAYVOHRA1/status/922158690429489152","922158690429489152")</f>
        <v>922158690429489152</v>
      </c>
      <c r="F3495" s="10" t="s">
        <v>51</v>
      </c>
      <c r="G3495" s="10" t="n">
        <v>129</v>
      </c>
      <c r="H3495" s="10" t="n">
        <v>564</v>
      </c>
      <c r="I3495" s="10" t="n">
        <v>1015</v>
      </c>
      <c r="J3495" s="10" t="n">
        <v>0</v>
      </c>
      <c r="K3495" s="10" t="s">
        <v>20</v>
      </c>
      <c r="L3495" s="11" t="n">
        <v>40696.3009143519</v>
      </c>
      <c r="M3495" s="12" t="s">
        <v>8541</v>
      </c>
      <c r="N3495" s="12" t="s">
        <v>8542</v>
      </c>
      <c r="O3495" s="9" t="str">
        <f aca="false">HYPERLINK("https://pbs.twimg.com/profile_images/867374809746997248/ax787WfK_normal.jpg","View")</f>
        <v>View</v>
      </c>
      <c r="P3495" s="10"/>
    </row>
    <row r="3496" customFormat="false" ht="15.75" hidden="false" customHeight="false" outlineLevel="0" collapsed="false">
      <c r="A3496" s="6" t="n">
        <v>43030.453125</v>
      </c>
      <c r="B3496" s="7" t="str">
        <f aca="false">HYPERLINK("https://twitter.com/marketstocknews","@marketstocknews")</f>
        <v>@marketstocknews</v>
      </c>
      <c r="C3496" s="8" t="s">
        <v>8543</v>
      </c>
      <c r="D3496" s="8" t="s">
        <v>8544</v>
      </c>
      <c r="E3496" s="9" t="str">
        <f aca="false">HYPERLINK("https://twitter.com/marketstocknews/status/922158735988068353","922158735988068353")</f>
        <v>922158735988068353</v>
      </c>
      <c r="F3496" s="10" t="s">
        <v>60</v>
      </c>
      <c r="G3496" s="10" t="n">
        <v>1159</v>
      </c>
      <c r="H3496" s="10" t="n">
        <v>865</v>
      </c>
      <c r="I3496" s="10" t="n">
        <v>0</v>
      </c>
      <c r="J3496" s="10" t="n">
        <v>0</v>
      </c>
      <c r="K3496" s="10" t="s">
        <v>20</v>
      </c>
      <c r="L3496" s="11" t="n">
        <v>41911.5685300926</v>
      </c>
      <c r="M3496" s="12"/>
      <c r="N3496" s="12" t="s">
        <v>8545</v>
      </c>
      <c r="O3496" s="9" t="str">
        <f aca="false">HYPERLINK("https://pbs.twimg.com/profile_images/659111213465382912/yfS3diNs_normal.jpg","View")</f>
        <v>View</v>
      </c>
      <c r="P3496" s="10"/>
    </row>
    <row r="3497" customFormat="false" ht="15.75" hidden="false" customHeight="false" outlineLevel="0" collapsed="false">
      <c r="A3497" s="6" t="n">
        <v>43030.4532060185</v>
      </c>
      <c r="B3497" s="7" t="str">
        <f aca="false">HYPERLINK("https://twitter.com/AjjayKadian","@AjjayKadian")</f>
        <v>@AjjayKadian</v>
      </c>
      <c r="C3497" s="8" t="s">
        <v>8546</v>
      </c>
      <c r="D3497" s="8" t="s">
        <v>8538</v>
      </c>
      <c r="E3497" s="9" t="str">
        <f aca="false">HYPERLINK("https://twitter.com/AjjayKadian/status/922158767726366722","922158767726366722")</f>
        <v>922158767726366722</v>
      </c>
      <c r="F3497" s="10" t="s">
        <v>25</v>
      </c>
      <c r="G3497" s="10" t="n">
        <v>176</v>
      </c>
      <c r="H3497" s="10" t="n">
        <v>25</v>
      </c>
      <c r="I3497" s="10" t="n">
        <v>1015</v>
      </c>
      <c r="J3497" s="10" t="n">
        <v>0</v>
      </c>
      <c r="K3497" s="10" t="s">
        <v>20</v>
      </c>
      <c r="L3497" s="11" t="n">
        <v>42416.9491666667</v>
      </c>
      <c r="M3497" s="12" t="s">
        <v>72</v>
      </c>
      <c r="N3497" s="12" t="s">
        <v>8547</v>
      </c>
      <c r="O3497" s="9" t="str">
        <f aca="false">HYPERLINK("https://pbs.twimg.com/profile_images/915863652623929344/Xwv3iWpl_normal.jpg","View")</f>
        <v>View</v>
      </c>
      <c r="P3497" s="10"/>
    </row>
    <row r="3498" customFormat="false" ht="15.75" hidden="false" customHeight="false" outlineLevel="0" collapsed="false">
      <c r="A3498" s="6" t="n">
        <v>43030.4532523148</v>
      </c>
      <c r="B3498" s="7" t="str">
        <f aca="false">HYPERLINK("https://twitter.com/namangokhroo","@namangokhroo")</f>
        <v>@namangokhroo</v>
      </c>
      <c r="C3498" s="8" t="s">
        <v>8548</v>
      </c>
      <c r="D3498" s="8" t="s">
        <v>8538</v>
      </c>
      <c r="E3498" s="9" t="str">
        <f aca="false">HYPERLINK("https://twitter.com/namangokhroo/status/922158784578961409","922158784578961409")</f>
        <v>922158784578961409</v>
      </c>
      <c r="F3498" s="10" t="s">
        <v>25</v>
      </c>
      <c r="G3498" s="10" t="n">
        <v>71</v>
      </c>
      <c r="H3498" s="10" t="n">
        <v>472</v>
      </c>
      <c r="I3498" s="10" t="n">
        <v>1015</v>
      </c>
      <c r="J3498" s="10" t="n">
        <v>0</v>
      </c>
      <c r="K3498" s="10" t="s">
        <v>20</v>
      </c>
      <c r="L3498" s="11" t="n">
        <v>40093.1343171296</v>
      </c>
      <c r="M3498" s="12" t="s">
        <v>8549</v>
      </c>
      <c r="N3498" s="12" t="s">
        <v>8550</v>
      </c>
      <c r="O3498" s="9" t="str">
        <f aca="false">HYPERLINK("https://pbs.twimg.com/profile_images/922157958137503746/7ogLXIaT_normal.jpg","View")</f>
        <v>View</v>
      </c>
      <c r="P3498" s="10"/>
    </row>
    <row r="3499" customFormat="false" ht="15.75" hidden="false" customHeight="false" outlineLevel="0" collapsed="false">
      <c r="A3499" s="6" t="n">
        <v>43030.4532986111</v>
      </c>
      <c r="B3499" s="7" t="str">
        <f aca="false">HYPERLINK("https://twitter.com/pushkar_nk","@pushkar_nk")</f>
        <v>@pushkar_nk</v>
      </c>
      <c r="C3499" s="8" t="s">
        <v>8551</v>
      </c>
      <c r="D3499" s="8" t="s">
        <v>8538</v>
      </c>
      <c r="E3499" s="9" t="str">
        <f aca="false">HYPERLINK("https://twitter.com/pushkar_nk/status/922158801188372481","922158801188372481")</f>
        <v>922158801188372481</v>
      </c>
      <c r="F3499" s="10" t="s">
        <v>51</v>
      </c>
      <c r="G3499" s="10" t="n">
        <v>601</v>
      </c>
      <c r="H3499" s="10" t="n">
        <v>833</v>
      </c>
      <c r="I3499" s="10" t="n">
        <v>1015</v>
      </c>
      <c r="J3499" s="10" t="n">
        <v>0</v>
      </c>
      <c r="K3499" s="10" t="s">
        <v>20</v>
      </c>
      <c r="L3499" s="11" t="n">
        <v>40013.4215625</v>
      </c>
      <c r="M3499" s="12" t="s">
        <v>6635</v>
      </c>
      <c r="N3499" s="12"/>
      <c r="O3499" s="9" t="str">
        <f aca="false">HYPERLINK("https://pbs.twimg.com/profile_images/900583612579332096/7K-R52b0_normal.jpg","View")</f>
        <v>View</v>
      </c>
      <c r="P3499" s="10"/>
    </row>
    <row r="3500" customFormat="false" ht="15.75" hidden="false" customHeight="false" outlineLevel="0" collapsed="false">
      <c r="A3500" s="6" t="n">
        <v>43030.4535763889</v>
      </c>
      <c r="B3500" s="7" t="str">
        <f aca="false">HYPERLINK("https://twitter.com/Kevandal94","@Kevandal94")</f>
        <v>@Kevandal94</v>
      </c>
      <c r="C3500" s="8" t="s">
        <v>8552</v>
      </c>
      <c r="D3500" s="8" t="s">
        <v>8553</v>
      </c>
      <c r="E3500" s="9" t="str">
        <f aca="false">HYPERLINK("https://twitter.com/Kevandal94/status/922158900102729729","922158900102729729")</f>
        <v>922158900102729729</v>
      </c>
      <c r="F3500" s="10" t="s">
        <v>25</v>
      </c>
      <c r="G3500" s="10" t="n">
        <v>10</v>
      </c>
      <c r="H3500" s="10" t="n">
        <v>94</v>
      </c>
      <c r="I3500" s="10" t="n">
        <v>1</v>
      </c>
      <c r="J3500" s="10" t="n">
        <v>0</v>
      </c>
      <c r="K3500" s="10" t="s">
        <v>20</v>
      </c>
      <c r="L3500" s="11" t="n">
        <v>42762.3866782407</v>
      </c>
      <c r="M3500" s="12" t="s">
        <v>1754</v>
      </c>
      <c r="N3500" s="12"/>
      <c r="O3500" s="9" t="str">
        <f aca="false">HYPERLINK("https://abs.twimg.com/sticky/default_profile_images/default_profile_normal.png","View")</f>
        <v>View</v>
      </c>
      <c r="P3500" s="10"/>
    </row>
    <row r="3501" customFormat="false" ht="15.75" hidden="false" customHeight="false" outlineLevel="0" collapsed="false">
      <c r="A3501" s="6" t="n">
        <v>43030.453599537</v>
      </c>
      <c r="B3501" s="7" t="str">
        <f aca="false">HYPERLINK("https://twitter.com/1BuDdHuJiVi","@1BuDdHuJiVi")</f>
        <v>@1BuDdHuJiVi</v>
      </c>
      <c r="C3501" s="8" t="s">
        <v>8554</v>
      </c>
      <c r="D3501" s="8" t="s">
        <v>8538</v>
      </c>
      <c r="E3501" s="9" t="str">
        <f aca="false">HYPERLINK("https://twitter.com/1BuDdHuJiVi/status/922158911309910016","922158911309910016")</f>
        <v>922158911309910016</v>
      </c>
      <c r="F3501" s="10" t="s">
        <v>39</v>
      </c>
      <c r="G3501" s="10" t="n">
        <v>200</v>
      </c>
      <c r="H3501" s="10" t="n">
        <v>534</v>
      </c>
      <c r="I3501" s="10" t="n">
        <v>1015</v>
      </c>
      <c r="J3501" s="10" t="n">
        <v>0</v>
      </c>
      <c r="K3501" s="10" t="s">
        <v>20</v>
      </c>
      <c r="L3501" s="11" t="n">
        <v>42007.4246643519</v>
      </c>
      <c r="M3501" s="12" t="s">
        <v>8555</v>
      </c>
      <c r="N3501" s="12" t="s">
        <v>8556</v>
      </c>
      <c r="O3501" s="9" t="str">
        <f aca="false">HYPERLINK("https://pbs.twimg.com/profile_images/909469702442901504/wALnRwmQ_normal.jpg","View")</f>
        <v>View</v>
      </c>
      <c r="P3501" s="10"/>
    </row>
    <row r="3502" customFormat="false" ht="15.75" hidden="false" customHeight="false" outlineLevel="0" collapsed="false">
      <c r="A3502" s="6" t="n">
        <v>43030.4536458333</v>
      </c>
      <c r="B3502" s="7" t="str">
        <f aca="false">HYPERLINK("https://twitter.com/arunmcops","@arunmcops")</f>
        <v>@arunmcops</v>
      </c>
      <c r="C3502" s="8" t="s">
        <v>8557</v>
      </c>
      <c r="D3502" s="8" t="s">
        <v>8538</v>
      </c>
      <c r="E3502" s="9" t="str">
        <f aca="false">HYPERLINK("https://twitter.com/arunmcops/status/922158924060532736","922158924060532736")</f>
        <v>922158924060532736</v>
      </c>
      <c r="F3502" s="10" t="s">
        <v>25</v>
      </c>
      <c r="G3502" s="10" t="n">
        <v>1734</v>
      </c>
      <c r="H3502" s="10" t="n">
        <v>560</v>
      </c>
      <c r="I3502" s="10" t="n">
        <v>1015</v>
      </c>
      <c r="J3502" s="10" t="n">
        <v>0</v>
      </c>
      <c r="K3502" s="10" t="s">
        <v>20</v>
      </c>
      <c r="L3502" s="11" t="n">
        <v>40618.1318402778</v>
      </c>
      <c r="M3502" s="12" t="s">
        <v>8558</v>
      </c>
      <c r="N3502" s="12" t="s">
        <v>8559</v>
      </c>
      <c r="O3502" s="9" t="str">
        <f aca="false">HYPERLINK("https://pbs.twimg.com/profile_images/815931178515431424/AaO0fiSN_normal.jpg","View")</f>
        <v>View</v>
      </c>
      <c r="P3502" s="10"/>
    </row>
    <row r="3503" customFormat="false" ht="15.75" hidden="false" customHeight="false" outlineLevel="0" collapsed="false">
      <c r="A3503" s="6" t="n">
        <v>43030.4538078704</v>
      </c>
      <c r="B3503" s="7" t="str">
        <f aca="false">HYPERLINK("https://twitter.com/iVimalPandey","@iVimalPandey")</f>
        <v>@iVimalPandey</v>
      </c>
      <c r="C3503" s="8" t="s">
        <v>8560</v>
      </c>
      <c r="D3503" s="8" t="s">
        <v>8538</v>
      </c>
      <c r="E3503" s="9" t="str">
        <f aca="false">HYPERLINK("https://twitter.com/iVimalPandey/status/922158984328486912","922158984328486912")</f>
        <v>922158984328486912</v>
      </c>
      <c r="F3503" s="10" t="s">
        <v>51</v>
      </c>
      <c r="G3503" s="10" t="n">
        <v>273</v>
      </c>
      <c r="H3503" s="10" t="n">
        <v>70</v>
      </c>
      <c r="I3503" s="10" t="n">
        <v>1015</v>
      </c>
      <c r="J3503" s="10" t="n">
        <v>0</v>
      </c>
      <c r="K3503" s="10" t="s">
        <v>20</v>
      </c>
      <c r="L3503" s="11" t="n">
        <v>40004.704224537</v>
      </c>
      <c r="M3503" s="12" t="s">
        <v>8561</v>
      </c>
      <c r="N3503" s="12" t="s">
        <v>8562</v>
      </c>
      <c r="O3503" s="9" t="str">
        <f aca="false">HYPERLINK("https://pbs.twimg.com/profile_images/814151145622884353/VXF_jo_I_normal.jpg","View")</f>
        <v>View</v>
      </c>
      <c r="P3503" s="10"/>
    </row>
    <row r="3504" customFormat="false" ht="15.75" hidden="false" customHeight="false" outlineLevel="0" collapsed="false">
      <c r="A3504" s="6" t="n">
        <v>43030.4541319444</v>
      </c>
      <c r="B3504" s="7" t="str">
        <f aca="false">HYPERLINK("https://twitter.com/Kuvalayamala","@Kuvalayamala")</f>
        <v>@Kuvalayamala</v>
      </c>
      <c r="C3504" s="8" t="s">
        <v>8563</v>
      </c>
      <c r="D3504" s="8" t="s">
        <v>8538</v>
      </c>
      <c r="E3504" s="9" t="str">
        <f aca="false">HYPERLINK("https://twitter.com/Kuvalayamala/status/922159104038187014","922159104038187014")</f>
        <v>922159104038187014</v>
      </c>
      <c r="F3504" s="10" t="s">
        <v>39</v>
      </c>
      <c r="G3504" s="10" t="n">
        <v>15430</v>
      </c>
      <c r="H3504" s="10" t="n">
        <v>476</v>
      </c>
      <c r="I3504" s="10" t="n">
        <v>1015</v>
      </c>
      <c r="J3504" s="10" t="n">
        <v>0</v>
      </c>
      <c r="K3504" s="10" t="s">
        <v>20</v>
      </c>
      <c r="L3504" s="11" t="n">
        <v>41476.8481712963</v>
      </c>
      <c r="M3504" s="12" t="s">
        <v>8564</v>
      </c>
      <c r="N3504" s="12"/>
      <c r="O3504" s="9" t="str">
        <f aca="false">HYPERLINK("https://pbs.twimg.com/profile_images/921490351461994498/yzO9EfCk_normal.jpg","View")</f>
        <v>View</v>
      </c>
      <c r="P3504" s="10"/>
    </row>
    <row r="3505" customFormat="false" ht="15.75" hidden="false" customHeight="false" outlineLevel="0" collapsed="false">
      <c r="A3505" s="6" t="n">
        <v>43030.4541782407</v>
      </c>
      <c r="B3505" s="7" t="str">
        <f aca="false">HYPERLINK("https://twitter.com/JCharrison","@JCharrison")</f>
        <v>@JCharrison</v>
      </c>
      <c r="C3505" s="8" t="s">
        <v>8565</v>
      </c>
      <c r="D3505" s="8" t="s">
        <v>7627</v>
      </c>
      <c r="E3505" s="9" t="str">
        <f aca="false">HYPERLINK("https://twitter.com/JCharrison/status/922159118068125696","922159118068125696")</f>
        <v>922159118068125696</v>
      </c>
      <c r="F3505" s="10" t="s">
        <v>51</v>
      </c>
      <c r="G3505" s="10" t="n">
        <v>256</v>
      </c>
      <c r="H3505" s="10" t="n">
        <v>39</v>
      </c>
      <c r="I3505" s="10" t="n">
        <v>20</v>
      </c>
      <c r="J3505" s="10" t="n">
        <v>0</v>
      </c>
      <c r="K3505" s="10" t="s">
        <v>20</v>
      </c>
      <c r="L3505" s="11" t="n">
        <v>39860.2751967593</v>
      </c>
      <c r="M3505" s="12" t="s">
        <v>1319</v>
      </c>
      <c r="N3505" s="12" t="s">
        <v>8566</v>
      </c>
      <c r="O3505" s="9" t="str">
        <f aca="false">HYPERLINK("https://pbs.twimg.com/profile_images/486234378/100x_x_100_normal.jpg","View")</f>
        <v>View</v>
      </c>
      <c r="P3505" s="10"/>
    </row>
    <row r="3506" customFormat="false" ht="15.75" hidden="false" customHeight="false" outlineLevel="0" collapsed="false">
      <c r="A3506" s="6" t="n">
        <v>43030.4542476852</v>
      </c>
      <c r="B3506" s="7" t="str">
        <f aca="false">HYPERLINK("https://twitter.com/ksyadavadvocate","@ksyadavadvocate")</f>
        <v>@ksyadavadvocate</v>
      </c>
      <c r="C3506" s="8" t="s">
        <v>8567</v>
      </c>
      <c r="D3506" s="8" t="s">
        <v>8538</v>
      </c>
      <c r="E3506" s="9" t="str">
        <f aca="false">HYPERLINK("https://twitter.com/ksyadavadvocate/status/922159142785105920","922159142785105920")</f>
        <v>922159142785105920</v>
      </c>
      <c r="F3506" s="10" t="s">
        <v>25</v>
      </c>
      <c r="G3506" s="10" t="n">
        <v>179</v>
      </c>
      <c r="H3506" s="10" t="n">
        <v>414</v>
      </c>
      <c r="I3506" s="10" t="n">
        <v>1015</v>
      </c>
      <c r="J3506" s="10" t="n">
        <v>0</v>
      </c>
      <c r="K3506" s="10" t="s">
        <v>20</v>
      </c>
      <c r="L3506" s="11" t="n">
        <v>40974.7934375</v>
      </c>
      <c r="M3506" s="12" t="s">
        <v>8568</v>
      </c>
      <c r="N3506" s="12" t="s">
        <v>8569</v>
      </c>
      <c r="O3506" s="9" t="str">
        <f aca="false">HYPERLINK("https://pbs.twimg.com/profile_images/869889822776754176/b731koRE_normal.jpg","View")</f>
        <v>View</v>
      </c>
      <c r="P3506" s="10"/>
    </row>
    <row r="3507" customFormat="false" ht="15.75" hidden="false" customHeight="false" outlineLevel="0" collapsed="false">
      <c r="A3507" s="6" t="n">
        <v>43030.4542592593</v>
      </c>
      <c r="B3507" s="7" t="str">
        <f aca="false">HYPERLINK("https://twitter.com/_srivatava","@_srivatava")</f>
        <v>@_srivatava</v>
      </c>
      <c r="C3507" s="8" t="s">
        <v>8570</v>
      </c>
      <c r="D3507" s="8" t="s">
        <v>8538</v>
      </c>
      <c r="E3507" s="9" t="str">
        <f aca="false">HYPERLINK("https://twitter.com/_srivatava/status/922159146299826176","922159146299826176")</f>
        <v>922159146299826176</v>
      </c>
      <c r="F3507" s="10" t="s">
        <v>51</v>
      </c>
      <c r="G3507" s="10" t="n">
        <v>85</v>
      </c>
      <c r="H3507" s="10" t="n">
        <v>1565</v>
      </c>
      <c r="I3507" s="10" t="n">
        <v>1015</v>
      </c>
      <c r="J3507" s="10" t="n">
        <v>0</v>
      </c>
      <c r="K3507" s="10" t="s">
        <v>20</v>
      </c>
      <c r="L3507" s="11" t="n">
        <v>42183.2879282407</v>
      </c>
      <c r="M3507" s="12" t="s">
        <v>8571</v>
      </c>
      <c r="N3507" s="12" t="s">
        <v>8572</v>
      </c>
      <c r="O3507" s="9" t="str">
        <f aca="false">HYPERLINK("https://pbs.twimg.com/profile_images/617318023196622848/Vwq1jpWp_normal.jpg","View")</f>
        <v>View</v>
      </c>
      <c r="P3507" s="10"/>
    </row>
    <row r="3508" customFormat="false" ht="15.75" hidden="false" customHeight="false" outlineLevel="0" collapsed="false">
      <c r="A3508" s="6" t="n">
        <v>43030.4542939815</v>
      </c>
      <c r="B3508" s="7" t="str">
        <f aca="false">HYPERLINK("https://twitter.com/AjayRaj00","@AjayRaj00")</f>
        <v>@AjayRaj00</v>
      </c>
      <c r="C3508" s="8" t="s">
        <v>8573</v>
      </c>
      <c r="D3508" s="8" t="s">
        <v>8538</v>
      </c>
      <c r="E3508" s="9" t="str">
        <f aca="false">HYPERLINK("https://twitter.com/AjayRaj00/status/922159159746879488","922159159746879488")</f>
        <v>922159159746879488</v>
      </c>
      <c r="F3508" s="10" t="s">
        <v>25</v>
      </c>
      <c r="G3508" s="10" t="n">
        <v>259</v>
      </c>
      <c r="H3508" s="10" t="n">
        <v>717</v>
      </c>
      <c r="I3508" s="10" t="n">
        <v>1015</v>
      </c>
      <c r="J3508" s="10" t="n">
        <v>0</v>
      </c>
      <c r="K3508" s="10" t="s">
        <v>20</v>
      </c>
      <c r="L3508" s="11" t="n">
        <v>41695.2496643519</v>
      </c>
      <c r="M3508" s="12"/>
      <c r="N3508" s="12" t="s">
        <v>8574</v>
      </c>
      <c r="O3508" s="9" t="str">
        <f aca="false">HYPERLINK("https://pbs.twimg.com/profile_images/698754441575403520/PKz4cM_P_normal.jpg","View")</f>
        <v>View</v>
      </c>
      <c r="P3508" s="10"/>
    </row>
    <row r="3509" customFormat="false" ht="15.75" hidden="false" customHeight="false" outlineLevel="0" collapsed="false">
      <c r="A3509" s="6" t="n">
        <v>43030.4543055556</v>
      </c>
      <c r="B3509" s="7" t="str">
        <f aca="false">HYPERLINK("https://twitter.com/yatharthpurohit","@yatharthpurohit")</f>
        <v>@yatharthpurohit</v>
      </c>
      <c r="C3509" s="8" t="s">
        <v>8575</v>
      </c>
      <c r="D3509" s="8" t="s">
        <v>8538</v>
      </c>
      <c r="E3509" s="9" t="str">
        <f aca="false">HYPERLINK("https://twitter.com/yatharthpurohit/status/922159164612157440","922159164612157440")</f>
        <v>922159164612157440</v>
      </c>
      <c r="F3509" s="10" t="s">
        <v>98</v>
      </c>
      <c r="G3509" s="10" t="n">
        <v>206</v>
      </c>
      <c r="H3509" s="10" t="n">
        <v>486</v>
      </c>
      <c r="I3509" s="10" t="n">
        <v>1015</v>
      </c>
      <c r="J3509" s="10" t="n">
        <v>0</v>
      </c>
      <c r="K3509" s="10" t="s">
        <v>20</v>
      </c>
      <c r="L3509" s="11" t="n">
        <v>40903.9402662037</v>
      </c>
      <c r="M3509" s="12" t="s">
        <v>4400</v>
      </c>
      <c r="N3509" s="12" t="s">
        <v>8576</v>
      </c>
      <c r="O3509" s="9" t="str">
        <f aca="false">HYPERLINK("https://pbs.twimg.com/profile_images/920896890480181254/Hl5EU_Qu_normal.jpg","View")</f>
        <v>View</v>
      </c>
      <c r="P3509" s="10"/>
    </row>
    <row r="3510" customFormat="false" ht="15.75" hidden="false" customHeight="false" outlineLevel="0" collapsed="false">
      <c r="A3510" s="6" t="n">
        <v>43030.4543634259</v>
      </c>
      <c r="B3510" s="7" t="str">
        <f aca="false">HYPERLINK("https://twitter.com/RenukaJain6","@RenukaJain6")</f>
        <v>@RenukaJain6</v>
      </c>
      <c r="C3510" s="8" t="s">
        <v>8577</v>
      </c>
      <c r="D3510" s="8" t="s">
        <v>8538</v>
      </c>
      <c r="E3510" s="9" t="str">
        <f aca="false">HYPERLINK("https://twitter.com/RenukaJain6/status/922159186934243328","922159186934243328")</f>
        <v>922159186934243328</v>
      </c>
      <c r="F3510" s="10" t="s">
        <v>51</v>
      </c>
      <c r="G3510" s="10" t="n">
        <v>16146</v>
      </c>
      <c r="H3510" s="10" t="n">
        <v>25</v>
      </c>
      <c r="I3510" s="10" t="n">
        <v>1015</v>
      </c>
      <c r="J3510" s="10" t="n">
        <v>0</v>
      </c>
      <c r="K3510" s="10" t="s">
        <v>20</v>
      </c>
      <c r="L3510" s="11" t="n">
        <v>42229.2806365741</v>
      </c>
      <c r="M3510" s="12" t="s">
        <v>7908</v>
      </c>
      <c r="N3510" s="12" t="s">
        <v>8578</v>
      </c>
      <c r="O3510" s="9" t="str">
        <f aca="false">HYPERLINK("https://pbs.twimg.com/profile_images/919170103802871811/uFg6AiyG_normal.jpg","View")</f>
        <v>View</v>
      </c>
      <c r="P3510" s="10"/>
    </row>
    <row r="3511" customFormat="false" ht="15.75" hidden="false" customHeight="false" outlineLevel="0" collapsed="false">
      <c r="A3511" s="6" t="n">
        <v>43030.454375</v>
      </c>
      <c r="B3511" s="7" t="str">
        <f aca="false">HYPERLINK("https://twitter.com/jogakhichudi","@jogakhichudi")</f>
        <v>@jogakhichudi</v>
      </c>
      <c r="C3511" s="8" t="s">
        <v>8579</v>
      </c>
      <c r="D3511" s="8" t="s">
        <v>8538</v>
      </c>
      <c r="E3511" s="9" t="str">
        <f aca="false">HYPERLINK("https://twitter.com/jogakhichudi/status/922159192231763969","922159192231763969")</f>
        <v>922159192231763969</v>
      </c>
      <c r="F3511" s="10" t="s">
        <v>25</v>
      </c>
      <c r="G3511" s="10" t="n">
        <v>2419</v>
      </c>
      <c r="H3511" s="10" t="n">
        <v>225</v>
      </c>
      <c r="I3511" s="10" t="n">
        <v>1015</v>
      </c>
      <c r="J3511" s="10" t="n">
        <v>0</v>
      </c>
      <c r="K3511" s="10" t="s">
        <v>20</v>
      </c>
      <c r="L3511" s="11" t="n">
        <v>39781.2775925926</v>
      </c>
      <c r="M3511" s="12" t="s">
        <v>72</v>
      </c>
      <c r="N3511" s="12" t="s">
        <v>8580</v>
      </c>
      <c r="O3511" s="9" t="str">
        <f aca="false">HYPERLINK("https://pbs.twimg.com/profile_images/923094947737112577/sNg_WfuN_normal.jpg","View")</f>
        <v>View</v>
      </c>
      <c r="P3511" s="10"/>
    </row>
    <row r="3512" customFormat="false" ht="15.75" hidden="false" customHeight="false" outlineLevel="0" collapsed="false">
      <c r="A3512" s="6" t="n">
        <v>43030.4544097222</v>
      </c>
      <c r="B3512" s="7" t="str">
        <f aca="false">HYPERLINK("https://twitter.com/skdeshpande","@skdeshpande")</f>
        <v>@skdeshpande</v>
      </c>
      <c r="C3512" s="8" t="s">
        <v>8581</v>
      </c>
      <c r="D3512" s="8" t="s">
        <v>8538</v>
      </c>
      <c r="E3512" s="9" t="str">
        <f aca="false">HYPERLINK("https://twitter.com/skdeshpande/status/922159201580920836","922159201580920836")</f>
        <v>922159201580920836</v>
      </c>
      <c r="F3512" s="10" t="s">
        <v>39</v>
      </c>
      <c r="G3512" s="10" t="n">
        <v>188</v>
      </c>
      <c r="H3512" s="10" t="n">
        <v>44</v>
      </c>
      <c r="I3512" s="10" t="n">
        <v>1015</v>
      </c>
      <c r="J3512" s="10" t="n">
        <v>0</v>
      </c>
      <c r="K3512" s="10" t="s">
        <v>20</v>
      </c>
      <c r="L3512" s="11" t="n">
        <v>40238.037974537</v>
      </c>
      <c r="M3512" s="12" t="s">
        <v>7761</v>
      </c>
      <c r="N3512" s="12" t="s">
        <v>8582</v>
      </c>
      <c r="O3512" s="9" t="str">
        <f aca="false">HYPERLINK("https://pbs.twimg.com/profile_images/483621652102537216/8UFIneDN_normal.jpeg","View")</f>
        <v>View</v>
      </c>
      <c r="P3512" s="10"/>
    </row>
    <row r="3513" customFormat="false" ht="15.75" hidden="false" customHeight="false" outlineLevel="0" collapsed="false">
      <c r="A3513" s="6" t="n">
        <v>43030.4544675926</v>
      </c>
      <c r="B3513" s="7" t="str">
        <f aca="false">HYPERLINK("https://twitter.com/KPiiyush","@KPiiyush")</f>
        <v>@KPiiyush</v>
      </c>
      <c r="C3513" s="8" t="s">
        <v>8583</v>
      </c>
      <c r="D3513" s="8" t="s">
        <v>8538</v>
      </c>
      <c r="E3513" s="9" t="str">
        <f aca="false">HYPERLINK("https://twitter.com/KPiiyush/status/922159222237753344","922159222237753344")</f>
        <v>922159222237753344</v>
      </c>
      <c r="F3513" s="10" t="s">
        <v>25</v>
      </c>
      <c r="G3513" s="10" t="n">
        <v>629</v>
      </c>
      <c r="H3513" s="10" t="n">
        <v>522</v>
      </c>
      <c r="I3513" s="10" t="n">
        <v>1015</v>
      </c>
      <c r="J3513" s="10" t="n">
        <v>0</v>
      </c>
      <c r="K3513" s="10" t="s">
        <v>20</v>
      </c>
      <c r="L3513" s="11" t="n">
        <v>42333.4306481481</v>
      </c>
      <c r="M3513" s="12" t="s">
        <v>8584</v>
      </c>
      <c r="N3513" s="12" t="s">
        <v>8585</v>
      </c>
      <c r="O3513" s="9" t="str">
        <f aca="false">HYPERLINK("https://pbs.twimg.com/profile_images/916004597180723200/BExzDBPS_normal.jpg","View")</f>
        <v>View</v>
      </c>
      <c r="P3513" s="10"/>
    </row>
    <row r="3514" customFormat="false" ht="15.75" hidden="false" customHeight="false" outlineLevel="0" collapsed="false">
      <c r="A3514" s="6" t="n">
        <v>43030.4545138889</v>
      </c>
      <c r="B3514" s="7" t="str">
        <f aca="false">HYPERLINK("https://twitter.com/a261_a","@a261_a")</f>
        <v>@a261_a</v>
      </c>
      <c r="C3514" s="8" t="s">
        <v>8586</v>
      </c>
      <c r="D3514" s="8" t="s">
        <v>8538</v>
      </c>
      <c r="E3514" s="9" t="str">
        <f aca="false">HYPERLINK("https://twitter.com/a261_a/status/922159240936087552","922159240936087552")</f>
        <v>922159240936087552</v>
      </c>
      <c r="F3514" s="10" t="s">
        <v>25</v>
      </c>
      <c r="G3514" s="10" t="n">
        <v>51</v>
      </c>
      <c r="H3514" s="10" t="n">
        <v>71</v>
      </c>
      <c r="I3514" s="10" t="n">
        <v>1015</v>
      </c>
      <c r="J3514" s="10" t="n">
        <v>0</v>
      </c>
      <c r="K3514" s="10" t="s">
        <v>20</v>
      </c>
      <c r="L3514" s="11" t="n">
        <v>42258.232025463</v>
      </c>
      <c r="M3514" s="12" t="s">
        <v>8587</v>
      </c>
      <c r="N3514" s="12" t="s">
        <v>8588</v>
      </c>
      <c r="O3514" s="9" t="str">
        <f aca="false">HYPERLINK("https://pbs.twimg.com/profile_images/807926429652389893/8eWD5Cby_normal.jpg","View")</f>
        <v>View</v>
      </c>
      <c r="P3514" s="10"/>
    </row>
    <row r="3515" customFormat="false" ht="15.75" hidden="false" customHeight="false" outlineLevel="0" collapsed="false">
      <c r="A3515" s="6" t="n">
        <v>43030.4546180556</v>
      </c>
      <c r="B3515" s="7" t="str">
        <f aca="false">HYPERLINK("https://twitter.com/nishahindu5","@nishahindu5")</f>
        <v>@nishahindu5</v>
      </c>
      <c r="C3515" s="8" t="s">
        <v>8589</v>
      </c>
      <c r="D3515" s="8" t="s">
        <v>8538</v>
      </c>
      <c r="E3515" s="9" t="str">
        <f aca="false">HYPERLINK("https://twitter.com/nishahindu5/status/922159276247859200","922159276247859200")</f>
        <v>922159276247859200</v>
      </c>
      <c r="F3515" s="10" t="s">
        <v>25</v>
      </c>
      <c r="G3515" s="10" t="n">
        <v>262</v>
      </c>
      <c r="H3515" s="10" t="n">
        <v>131</v>
      </c>
      <c r="I3515" s="10" t="n">
        <v>1015</v>
      </c>
      <c r="J3515" s="10" t="n">
        <v>0</v>
      </c>
      <c r="K3515" s="10" t="s">
        <v>20</v>
      </c>
      <c r="L3515" s="11" t="n">
        <v>42898.239212963</v>
      </c>
      <c r="M3515" s="12" t="s">
        <v>8590</v>
      </c>
      <c r="N3515" s="12" t="s">
        <v>8591</v>
      </c>
      <c r="O3515" s="9" t="str">
        <f aca="false">HYPERLINK("https://pbs.twimg.com/profile_images/874250820019253249/ym78uJgu_normal.jpg","View")</f>
        <v>View</v>
      </c>
      <c r="P3515" s="10"/>
    </row>
    <row r="3516" customFormat="false" ht="15.75" hidden="false" customHeight="false" outlineLevel="0" collapsed="false">
      <c r="A3516" s="6" t="n">
        <v>43030.4546527778</v>
      </c>
      <c r="B3516" s="7" t="str">
        <f aca="false">HYPERLINK("https://twitter.com/CarolNDrake1","@CarolNDrake1")</f>
        <v>@CarolNDrake1</v>
      </c>
      <c r="C3516" s="8" t="s">
        <v>8592</v>
      </c>
      <c r="D3516" s="8" t="s">
        <v>8593</v>
      </c>
      <c r="E3516" s="9" t="str">
        <f aca="false">HYPERLINK("https://twitter.com/CarolNDrake1/status/922159292765130752","922159292765130752")</f>
        <v>922159292765130752</v>
      </c>
      <c r="F3516" s="10" t="s">
        <v>51</v>
      </c>
      <c r="G3516" s="10" t="n">
        <v>42</v>
      </c>
      <c r="H3516" s="10" t="n">
        <v>84</v>
      </c>
      <c r="I3516" s="10" t="n">
        <v>0</v>
      </c>
      <c r="J3516" s="10" t="n">
        <v>0</v>
      </c>
      <c r="K3516" s="10" t="s">
        <v>20</v>
      </c>
      <c r="L3516" s="11" t="n">
        <v>42738.6025810185</v>
      </c>
      <c r="M3516" s="12" t="s">
        <v>8594</v>
      </c>
      <c r="N3516" s="12"/>
      <c r="O3516" s="9" t="str">
        <f aca="false">HYPERLINK("https://abs.twimg.com/sticky/default_profile_images/default_profile_normal.png","View")</f>
        <v>View</v>
      </c>
      <c r="P3516" s="10"/>
    </row>
    <row r="3517" customFormat="false" ht="15.75" hidden="false" customHeight="false" outlineLevel="0" collapsed="false">
      <c r="A3517" s="6" t="n">
        <v>43030.4546643519</v>
      </c>
      <c r="B3517" s="7" t="str">
        <f aca="false">HYPERLINK("https://twitter.com/amitsharma101","@amitsharma101")</f>
        <v>@amitsharma101</v>
      </c>
      <c r="C3517" s="8" t="s">
        <v>8595</v>
      </c>
      <c r="D3517" s="8" t="s">
        <v>8538</v>
      </c>
      <c r="E3517" s="9" t="str">
        <f aca="false">HYPERLINK("https://twitter.com/amitsharma101/status/922159296128868352","922159296128868352")</f>
        <v>922159296128868352</v>
      </c>
      <c r="F3517" s="10" t="s">
        <v>25</v>
      </c>
      <c r="G3517" s="10" t="n">
        <v>325</v>
      </c>
      <c r="H3517" s="10" t="n">
        <v>686</v>
      </c>
      <c r="I3517" s="10" t="n">
        <v>1015</v>
      </c>
      <c r="J3517" s="10" t="n">
        <v>0</v>
      </c>
      <c r="K3517" s="10" t="s">
        <v>20</v>
      </c>
      <c r="L3517" s="11" t="n">
        <v>39997.2513657407</v>
      </c>
      <c r="M3517" s="12" t="s">
        <v>8596</v>
      </c>
      <c r="N3517" s="12"/>
      <c r="O3517" s="9" t="str">
        <f aca="false">HYPERLINK("https://pbs.twimg.com/profile_images/616168674051764224/6Rd_NgAo_normal.jpg","View")</f>
        <v>View</v>
      </c>
      <c r="P3517" s="10"/>
    </row>
    <row r="3518" customFormat="false" ht="15.75" hidden="false" customHeight="false" outlineLevel="0" collapsed="false">
      <c r="A3518" s="6" t="n">
        <v>43030.4547106482</v>
      </c>
      <c r="B3518" s="7" t="str">
        <f aca="false">HYPERLINK("https://twitter.com/sameergupta1480","@sameergupta1480")</f>
        <v>@sameergupta1480</v>
      </c>
      <c r="C3518" s="8" t="s">
        <v>8597</v>
      </c>
      <c r="D3518" s="8" t="s">
        <v>8538</v>
      </c>
      <c r="E3518" s="9" t="str">
        <f aca="false">HYPERLINK("https://twitter.com/sameergupta1480/status/922159313715687424","922159313715687424")</f>
        <v>922159313715687424</v>
      </c>
      <c r="F3518" s="10" t="s">
        <v>25</v>
      </c>
      <c r="G3518" s="10" t="n">
        <v>226</v>
      </c>
      <c r="H3518" s="10" t="n">
        <v>397</v>
      </c>
      <c r="I3518" s="10" t="n">
        <v>1015</v>
      </c>
      <c r="J3518" s="10" t="n">
        <v>0</v>
      </c>
      <c r="K3518" s="10" t="s">
        <v>20</v>
      </c>
      <c r="L3518" s="11" t="n">
        <v>41619.0703819444</v>
      </c>
      <c r="M3518" s="12"/>
      <c r="N3518" s="12" t="s">
        <v>8598</v>
      </c>
      <c r="O3518" s="9" t="str">
        <f aca="false">HYPERLINK("https://pbs.twimg.com/profile_images/662677515886964737/lo_cOX6E_normal.jpg","View")</f>
        <v>View</v>
      </c>
      <c r="P3518" s="10"/>
    </row>
    <row r="3519" customFormat="false" ht="15.75" hidden="false" customHeight="false" outlineLevel="0" collapsed="false">
      <c r="A3519" s="6" t="n">
        <v>43030.4547222222</v>
      </c>
      <c r="B3519" s="7" t="str">
        <f aca="false">HYPERLINK("https://twitter.com/AamadmiGs","@AamadmiGs")</f>
        <v>@AamadmiGs</v>
      </c>
      <c r="C3519" s="8" t="s">
        <v>8599</v>
      </c>
      <c r="D3519" s="8" t="s">
        <v>8538</v>
      </c>
      <c r="E3519" s="9" t="str">
        <f aca="false">HYPERLINK("https://twitter.com/AamadmiGs/status/922159316085358592","922159316085358592")</f>
        <v>922159316085358592</v>
      </c>
      <c r="F3519" s="10" t="s">
        <v>25</v>
      </c>
      <c r="G3519" s="10" t="n">
        <v>3831</v>
      </c>
      <c r="H3519" s="10" t="n">
        <v>1979</v>
      </c>
      <c r="I3519" s="10" t="n">
        <v>1015</v>
      </c>
      <c r="J3519" s="10" t="n">
        <v>0</v>
      </c>
      <c r="K3519" s="10" t="s">
        <v>20</v>
      </c>
      <c r="L3519" s="11" t="n">
        <v>41436.8608449074</v>
      </c>
      <c r="M3519" s="12"/>
      <c r="N3519" s="12"/>
      <c r="O3519" s="9" t="str">
        <f aca="false">HYPERLINK("https://pbs.twimg.com/profile_images/493399903272308737/U8IAxS7L_normal.jpeg","View")</f>
        <v>View</v>
      </c>
      <c r="P3519" s="10"/>
    </row>
    <row r="3520" customFormat="false" ht="15.75" hidden="false" customHeight="false" outlineLevel="0" collapsed="false">
      <c r="A3520" s="6" t="n">
        <v>43030.4547453704</v>
      </c>
      <c r="B3520" s="7" t="str">
        <f aca="false">HYPERLINK("https://twitter.com/Snobfather","@Snobfather")</f>
        <v>@Snobfather</v>
      </c>
      <c r="C3520" s="8" t="s">
        <v>8600</v>
      </c>
      <c r="D3520" s="8" t="s">
        <v>8538</v>
      </c>
      <c r="E3520" s="9" t="str">
        <f aca="false">HYPERLINK("https://twitter.com/Snobfather/status/922159325275189250","922159325275189250")</f>
        <v>922159325275189250</v>
      </c>
      <c r="F3520" s="10" t="s">
        <v>25</v>
      </c>
      <c r="G3520" s="10" t="n">
        <v>351</v>
      </c>
      <c r="H3520" s="10" t="n">
        <v>2220</v>
      </c>
      <c r="I3520" s="10" t="n">
        <v>1015</v>
      </c>
      <c r="J3520" s="10" t="n">
        <v>0</v>
      </c>
      <c r="K3520" s="10" t="s">
        <v>20</v>
      </c>
      <c r="L3520" s="11" t="n">
        <v>40304.2413541667</v>
      </c>
      <c r="M3520" s="12" t="s">
        <v>64</v>
      </c>
      <c r="N3520" s="12" t="s">
        <v>8601</v>
      </c>
      <c r="O3520" s="9" t="str">
        <f aca="false">HYPERLINK("https://pbs.twimg.com/profile_images/923525385240956928/_q8UmzsO_normal.jpg","View")</f>
        <v>View</v>
      </c>
      <c r="P3520" s="10"/>
    </row>
    <row r="3521" customFormat="false" ht="15.75" hidden="false" customHeight="false" outlineLevel="0" collapsed="false">
      <c r="A3521" s="6" t="n">
        <v>43030.4547569444</v>
      </c>
      <c r="B3521" s="7" t="str">
        <f aca="false">HYPERLINK("https://twitter.com/aanand77","@aanand77")</f>
        <v>@aanand77</v>
      </c>
      <c r="C3521" s="8" t="s">
        <v>8602</v>
      </c>
      <c r="D3521" s="8" t="s">
        <v>8538</v>
      </c>
      <c r="E3521" s="9" t="str">
        <f aca="false">HYPERLINK("https://twitter.com/aanand77/status/922159327657345025","922159327657345025")</f>
        <v>922159327657345025</v>
      </c>
      <c r="F3521" s="10" t="s">
        <v>51</v>
      </c>
      <c r="G3521" s="10" t="n">
        <v>219</v>
      </c>
      <c r="H3521" s="10" t="n">
        <v>95</v>
      </c>
      <c r="I3521" s="10" t="n">
        <v>1015</v>
      </c>
      <c r="J3521" s="10" t="n">
        <v>0</v>
      </c>
      <c r="K3521" s="10" t="s">
        <v>20</v>
      </c>
      <c r="L3521" s="11" t="n">
        <v>40778.0966782407</v>
      </c>
      <c r="M3521" s="12" t="s">
        <v>8603</v>
      </c>
      <c r="N3521" s="12" t="s">
        <v>8604</v>
      </c>
      <c r="O3521" s="9" t="str">
        <f aca="false">HYPERLINK("https://pbs.twimg.com/profile_images/915615478399172608/S1RmMZ4Y_normal.jpg","View")</f>
        <v>View</v>
      </c>
      <c r="P3521" s="10"/>
    </row>
    <row r="3522" customFormat="false" ht="15.75" hidden="false" customHeight="false" outlineLevel="0" collapsed="false">
      <c r="A3522" s="6" t="n">
        <v>43030.4547916667</v>
      </c>
      <c r="B3522" s="7" t="str">
        <f aca="false">HYPERLINK("https://twitter.com/plmvijaykumar","@plmvijaykumar")</f>
        <v>@plmvijaykumar</v>
      </c>
      <c r="C3522" s="8" t="s">
        <v>8605</v>
      </c>
      <c r="D3522" s="8" t="s">
        <v>8538</v>
      </c>
      <c r="E3522" s="9" t="str">
        <f aca="false">HYPERLINK("https://twitter.com/plmvijaykumar/status/922159342429679617","922159342429679617")</f>
        <v>922159342429679617</v>
      </c>
      <c r="F3522" s="10" t="s">
        <v>25</v>
      </c>
      <c r="G3522" s="10" t="n">
        <v>172</v>
      </c>
      <c r="H3522" s="10" t="n">
        <v>854</v>
      </c>
      <c r="I3522" s="10" t="n">
        <v>1015</v>
      </c>
      <c r="J3522" s="10" t="n">
        <v>0</v>
      </c>
      <c r="K3522" s="10" t="s">
        <v>20</v>
      </c>
      <c r="L3522" s="11" t="n">
        <v>40886.354537037</v>
      </c>
      <c r="M3522" s="12" t="s">
        <v>8606</v>
      </c>
      <c r="N3522" s="12" t="s">
        <v>8607</v>
      </c>
      <c r="O3522" s="9" t="str">
        <f aca="false">HYPERLINK("https://pbs.twimg.com/profile_images/877247782528065540/Ac0oHtvv_normal.jpg","View")</f>
        <v>View</v>
      </c>
      <c r="P3522" s="10"/>
    </row>
    <row r="3523" customFormat="false" ht="15.75" hidden="false" customHeight="false" outlineLevel="0" collapsed="false">
      <c r="A3523" s="6" t="n">
        <v>43030.4549652778</v>
      </c>
      <c r="B3523" s="7" t="str">
        <f aca="false">HYPERLINK("https://twitter.com/KoutsHimanshu","@KoutsHimanshu")</f>
        <v>@KoutsHimanshu</v>
      </c>
      <c r="C3523" s="8" t="s">
        <v>8608</v>
      </c>
      <c r="D3523" s="8" t="s">
        <v>8538</v>
      </c>
      <c r="E3523" s="9" t="str">
        <f aca="false">HYPERLINK("https://twitter.com/KoutsHimanshu/status/922159404325023744","922159404325023744")</f>
        <v>922159404325023744</v>
      </c>
      <c r="F3523" s="10" t="s">
        <v>25</v>
      </c>
      <c r="G3523" s="10" t="n">
        <v>38</v>
      </c>
      <c r="H3523" s="10" t="n">
        <v>310</v>
      </c>
      <c r="I3523" s="10" t="n">
        <v>1015</v>
      </c>
      <c r="J3523" s="10" t="n">
        <v>0</v>
      </c>
      <c r="K3523" s="10" t="s">
        <v>20</v>
      </c>
      <c r="L3523" s="11" t="n">
        <v>41525.4534953704</v>
      </c>
      <c r="M3523" s="12" t="s">
        <v>8609</v>
      </c>
      <c r="N3523" s="12" t="s">
        <v>8610</v>
      </c>
      <c r="O3523" s="9" t="str">
        <f aca="false">HYPERLINK("https://pbs.twimg.com/profile_images/898447983611478016/H7OHnjxs_normal.jpg","View")</f>
        <v>View</v>
      </c>
      <c r="P3523" s="10"/>
    </row>
    <row r="3524" customFormat="false" ht="15.75" hidden="false" customHeight="false" outlineLevel="0" collapsed="false">
      <c r="A3524" s="6" t="n">
        <v>43030.455</v>
      </c>
      <c r="B3524" s="7" t="str">
        <f aca="false">HYPERLINK("https://twitter.com/BhavikShrimal","@BhavikShrimal")</f>
        <v>@BhavikShrimal</v>
      </c>
      <c r="C3524" s="8" t="s">
        <v>8611</v>
      </c>
      <c r="D3524" s="8" t="s">
        <v>8538</v>
      </c>
      <c r="E3524" s="9" t="str">
        <f aca="false">HYPERLINK("https://twitter.com/BhavikShrimal/status/922159414932488192","922159414932488192")</f>
        <v>922159414932488192</v>
      </c>
      <c r="F3524" s="10" t="s">
        <v>25</v>
      </c>
      <c r="G3524" s="10" t="n">
        <v>145</v>
      </c>
      <c r="H3524" s="10" t="n">
        <v>332</v>
      </c>
      <c r="I3524" s="10" t="n">
        <v>1015</v>
      </c>
      <c r="J3524" s="10" t="n">
        <v>0</v>
      </c>
      <c r="K3524" s="10" t="s">
        <v>20</v>
      </c>
      <c r="L3524" s="11" t="n">
        <v>40197.9753356482</v>
      </c>
      <c r="M3524" s="12" t="s">
        <v>8612</v>
      </c>
      <c r="N3524" s="12" t="s">
        <v>8613</v>
      </c>
      <c r="O3524" s="9" t="str">
        <f aca="false">HYPERLINK("https://pbs.twimg.com/profile_images/668679843937030144/g68CWUNZ_normal.jpg","View")</f>
        <v>View</v>
      </c>
      <c r="P3524" s="10"/>
    </row>
    <row r="3525" customFormat="false" ht="15.75" hidden="false" customHeight="false" outlineLevel="0" collapsed="false">
      <c r="A3525" s="6" t="n">
        <v>43030.4550462963</v>
      </c>
      <c r="B3525" s="7" t="str">
        <f aca="false">HYPERLINK("https://twitter.com/TMJeyaGanesh12","@TMJeyaGanesh12")</f>
        <v>@TMJeyaGanesh12</v>
      </c>
      <c r="C3525" s="8" t="s">
        <v>8614</v>
      </c>
      <c r="D3525" s="8" t="s">
        <v>8538</v>
      </c>
      <c r="E3525" s="9" t="str">
        <f aca="false">HYPERLINK("https://twitter.com/TMJeyaGanesh12/status/922159433341329410","922159433341329410")</f>
        <v>922159433341329410</v>
      </c>
      <c r="F3525" s="10" t="s">
        <v>25</v>
      </c>
      <c r="G3525" s="10" t="n">
        <v>97</v>
      </c>
      <c r="H3525" s="10" t="n">
        <v>266</v>
      </c>
      <c r="I3525" s="10" t="n">
        <v>1015</v>
      </c>
      <c r="J3525" s="10" t="n">
        <v>0</v>
      </c>
      <c r="K3525" s="10" t="s">
        <v>20</v>
      </c>
      <c r="L3525" s="11" t="n">
        <v>42682.4238194445</v>
      </c>
      <c r="M3525" s="12" t="s">
        <v>3588</v>
      </c>
      <c r="N3525" s="12" t="s">
        <v>8615</v>
      </c>
      <c r="O3525" s="9" t="str">
        <f aca="false">HYPERLINK("https://pbs.twimg.com/profile_images/901416026558013442/IfLp4Ibv_normal.jpg","View")</f>
        <v>View</v>
      </c>
      <c r="P3525" s="10"/>
    </row>
    <row r="3526" customFormat="false" ht="15.75" hidden="false" customHeight="false" outlineLevel="0" collapsed="false">
      <c r="A3526" s="6" t="n">
        <v>43030.4551157407</v>
      </c>
      <c r="B3526" s="7" t="str">
        <f aca="false">HYPERLINK("https://twitter.com/YiAOrg","@YiAOrg")</f>
        <v>@YiAOrg</v>
      </c>
      <c r="C3526" s="8" t="s">
        <v>8616</v>
      </c>
      <c r="D3526" s="8" t="s">
        <v>8538</v>
      </c>
      <c r="E3526" s="9" t="str">
        <f aca="false">HYPERLINK("https://twitter.com/YiAOrg/status/922159458293202944","922159458293202944")</f>
        <v>922159458293202944</v>
      </c>
      <c r="F3526" s="10" t="s">
        <v>39</v>
      </c>
      <c r="G3526" s="10" t="n">
        <v>895</v>
      </c>
      <c r="H3526" s="10" t="n">
        <v>2348</v>
      </c>
      <c r="I3526" s="10" t="n">
        <v>1015</v>
      </c>
      <c r="J3526" s="10" t="n">
        <v>0</v>
      </c>
      <c r="K3526" s="10" t="s">
        <v>20</v>
      </c>
      <c r="L3526" s="11" t="n">
        <v>40842.1702893519</v>
      </c>
      <c r="M3526" s="12"/>
      <c r="N3526" s="12" t="s">
        <v>8617</v>
      </c>
      <c r="O3526" s="9" t="str">
        <f aca="false">HYPERLINK("https://pbs.twimg.com/profile_images/701795139035869184/tattzl8r_normal.jpg","View")</f>
        <v>View</v>
      </c>
      <c r="P3526" s="10"/>
    </row>
    <row r="3527" customFormat="false" ht="15.75" hidden="false" customHeight="false" outlineLevel="0" collapsed="false">
      <c r="A3527" s="6" t="n">
        <v>43030.4552662037</v>
      </c>
      <c r="B3527" s="7" t="str">
        <f aca="false">HYPERLINK("https://twitter.com/shelanne_hepp","@shelanne_hepp")</f>
        <v>@shelanne_hepp</v>
      </c>
      <c r="C3527" s="8" t="s">
        <v>8618</v>
      </c>
      <c r="D3527" s="8" t="s">
        <v>4984</v>
      </c>
      <c r="E3527" s="9" t="str">
        <f aca="false">HYPERLINK("https://twitter.com/shelanne_hepp/status/922159512332595200","922159512332595200")</f>
        <v>922159512332595200</v>
      </c>
      <c r="F3527" s="10" t="s">
        <v>51</v>
      </c>
      <c r="G3527" s="10" t="n">
        <v>73</v>
      </c>
      <c r="H3527" s="10" t="n">
        <v>39</v>
      </c>
      <c r="I3527" s="10" t="n">
        <v>187</v>
      </c>
      <c r="J3527" s="10" t="n">
        <v>0</v>
      </c>
      <c r="K3527" s="10" t="s">
        <v>20</v>
      </c>
      <c r="L3527" s="11" t="n">
        <v>42195.4806481482</v>
      </c>
      <c r="M3527" s="12"/>
      <c r="N3527" s="12"/>
      <c r="O3527" s="9" t="str">
        <f aca="false">HYPERLINK("https://pbs.twimg.com/profile_images/749753561672589312/1EKdGn58_normal.jpg","View")</f>
        <v>View</v>
      </c>
      <c r="P3527" s="10"/>
    </row>
    <row r="3528" customFormat="false" ht="15.75" hidden="false" customHeight="false" outlineLevel="0" collapsed="false">
      <c r="A3528" s="6" t="n">
        <v>43030.4553703704</v>
      </c>
      <c r="B3528" s="7" t="str">
        <f aca="false">HYPERLINK("https://twitter.com/mywave18","@mywave18")</f>
        <v>@mywave18</v>
      </c>
      <c r="C3528" s="8" t="s">
        <v>8619</v>
      </c>
      <c r="D3528" s="8" t="s">
        <v>8538</v>
      </c>
      <c r="E3528" s="9" t="str">
        <f aca="false">HYPERLINK("https://twitter.com/mywave18/status/922159551473790976","922159551473790976")</f>
        <v>922159551473790976</v>
      </c>
      <c r="F3528" s="10" t="s">
        <v>25</v>
      </c>
      <c r="G3528" s="10" t="n">
        <v>268</v>
      </c>
      <c r="H3528" s="10" t="n">
        <v>429</v>
      </c>
      <c r="I3528" s="10" t="n">
        <v>1015</v>
      </c>
      <c r="J3528" s="10" t="n">
        <v>0</v>
      </c>
      <c r="K3528" s="10" t="s">
        <v>20</v>
      </c>
      <c r="L3528" s="11" t="n">
        <v>42733.2688888889</v>
      </c>
      <c r="M3528" s="12"/>
      <c r="N3528" s="12" t="s">
        <v>8620</v>
      </c>
      <c r="O3528" s="9" t="str">
        <f aca="false">HYPERLINK("https://pbs.twimg.com/profile_images/827395204944523265/lsulGkYi_normal.jpg","View")</f>
        <v>View</v>
      </c>
      <c r="P3528" s="10"/>
    </row>
    <row r="3529" customFormat="false" ht="15.75" hidden="false" customHeight="false" outlineLevel="0" collapsed="false">
      <c r="A3529" s="6" t="n">
        <v>43030.4555324074</v>
      </c>
      <c r="B3529" s="7" t="str">
        <f aca="false">HYPERLINK("https://twitter.com/ASchneider_HPM","@ASchneider_HPM")</f>
        <v>@ASchneider_HPM</v>
      </c>
      <c r="C3529" s="8" t="s">
        <v>8621</v>
      </c>
      <c r="D3529" s="8" t="s">
        <v>8622</v>
      </c>
      <c r="E3529" s="9" t="str">
        <f aca="false">HYPERLINK("https://twitter.com/ASchneider_HPM/status/922159611460939776","922159611460939776")</f>
        <v>922159611460939776</v>
      </c>
      <c r="F3529" s="10" t="s">
        <v>51</v>
      </c>
      <c r="G3529" s="10" t="n">
        <v>1154</v>
      </c>
      <c r="H3529" s="10" t="n">
        <v>596</v>
      </c>
      <c r="I3529" s="10" t="n">
        <v>0</v>
      </c>
      <c r="J3529" s="10" t="n">
        <v>0</v>
      </c>
      <c r="K3529" s="10" t="s">
        <v>20</v>
      </c>
      <c r="L3529" s="11" t="n">
        <v>40951.7625462963</v>
      </c>
      <c r="M3529" s="12" t="s">
        <v>8623</v>
      </c>
      <c r="N3529" s="12" t="s">
        <v>8624</v>
      </c>
      <c r="O3529" s="9" t="str">
        <f aca="false">HYPERLINK("https://pbs.twimg.com/profile_images/624027471831171072/Q5Qv1STJ_normal.jpg","View")</f>
        <v>View</v>
      </c>
      <c r="P3529" s="10"/>
    </row>
    <row r="3530" customFormat="false" ht="15.75" hidden="false" customHeight="false" outlineLevel="0" collapsed="false">
      <c r="A3530" s="6" t="n">
        <v>43030.4556134259</v>
      </c>
      <c r="B3530" s="7" t="str">
        <f aca="false">HYPERLINK("https://twitter.com/watsupeurope","@watsupeurope")</f>
        <v>@watsupeurope</v>
      </c>
      <c r="C3530" s="8" t="s">
        <v>1632</v>
      </c>
      <c r="D3530" s="8" t="s">
        <v>8625</v>
      </c>
      <c r="E3530" s="9" t="str">
        <f aca="false">HYPERLINK("https://twitter.com/watsupeurope/status/922159640598769664","922159640598769664")</f>
        <v>922159640598769664</v>
      </c>
      <c r="F3530" s="10" t="s">
        <v>1634</v>
      </c>
      <c r="G3530" s="10" t="n">
        <v>4230</v>
      </c>
      <c r="H3530" s="10" t="n">
        <v>3115</v>
      </c>
      <c r="I3530" s="10" t="n">
        <v>0</v>
      </c>
      <c r="J3530" s="10" t="n">
        <v>0</v>
      </c>
      <c r="K3530" s="10" t="s">
        <v>20</v>
      </c>
      <c r="L3530" s="11" t="n">
        <v>42178.4099421296</v>
      </c>
      <c r="M3530" s="12" t="s">
        <v>1635</v>
      </c>
      <c r="N3530" s="12" t="s">
        <v>1636</v>
      </c>
      <c r="O3530" s="9" t="str">
        <f aca="false">HYPERLINK("https://pbs.twimg.com/profile_images/613389327758815233/tfFM56SD_normal.jpg","View")</f>
        <v>View</v>
      </c>
      <c r="P3530" s="10"/>
    </row>
    <row r="3531" customFormat="false" ht="15.75" hidden="false" customHeight="false" outlineLevel="0" collapsed="false">
      <c r="A3531" s="6" t="n">
        <v>43030.4556828704</v>
      </c>
      <c r="B3531" s="7" t="str">
        <f aca="false">HYPERLINK("https://twitter.com/aditya5bahl","@aditya5bahl")</f>
        <v>@aditya5bahl</v>
      </c>
      <c r="C3531" s="8" t="s">
        <v>7584</v>
      </c>
      <c r="D3531" s="8" t="s">
        <v>8538</v>
      </c>
      <c r="E3531" s="9" t="str">
        <f aca="false">HYPERLINK("https://twitter.com/aditya5bahl/status/922159663537360899","922159663537360899")</f>
        <v>922159663537360899</v>
      </c>
      <c r="F3531" s="10" t="s">
        <v>25</v>
      </c>
      <c r="G3531" s="10" t="n">
        <v>952</v>
      </c>
      <c r="H3531" s="10" t="n">
        <v>2073</v>
      </c>
      <c r="I3531" s="10" t="n">
        <v>1015</v>
      </c>
      <c r="J3531" s="10" t="n">
        <v>0</v>
      </c>
      <c r="K3531" s="10" t="s">
        <v>20</v>
      </c>
      <c r="L3531" s="11" t="n">
        <v>40669.4562615741</v>
      </c>
      <c r="M3531" s="12" t="s">
        <v>7585</v>
      </c>
      <c r="N3531" s="12" t="s">
        <v>7586</v>
      </c>
      <c r="O3531" s="9" t="str">
        <f aca="false">HYPERLINK("https://pbs.twimg.com/profile_images/567576624074215425/N4fsbc_p_normal.jpeg","View")</f>
        <v>View</v>
      </c>
      <c r="P3531" s="10"/>
    </row>
    <row r="3532" customFormat="false" ht="15.75" hidden="false" customHeight="false" outlineLevel="0" collapsed="false">
      <c r="A3532" s="6" t="n">
        <v>43030.4557291667</v>
      </c>
      <c r="B3532" s="7" t="str">
        <f aca="false">HYPERLINK("https://twitter.com/bhasaby","@bhasaby")</f>
        <v>@bhasaby</v>
      </c>
      <c r="C3532" s="8" t="s">
        <v>8626</v>
      </c>
      <c r="D3532" s="8" t="s">
        <v>8538</v>
      </c>
      <c r="E3532" s="9" t="str">
        <f aca="false">HYPERLINK("https://twitter.com/bhasaby/status/922159681732300801","922159681732300801")</f>
        <v>922159681732300801</v>
      </c>
      <c r="F3532" s="10" t="s">
        <v>25</v>
      </c>
      <c r="G3532" s="10" t="n">
        <v>820</v>
      </c>
      <c r="H3532" s="10" t="n">
        <v>355</v>
      </c>
      <c r="I3532" s="10" t="n">
        <v>1015</v>
      </c>
      <c r="J3532" s="10" t="n">
        <v>0</v>
      </c>
      <c r="K3532" s="10" t="s">
        <v>20</v>
      </c>
      <c r="L3532" s="11" t="n">
        <v>40154.8785648148</v>
      </c>
      <c r="M3532" s="12"/>
      <c r="N3532" s="12" t="s">
        <v>8627</v>
      </c>
      <c r="O3532" s="9" t="str">
        <f aca="false">HYPERLINK("https://pbs.twimg.com/profile_images/842006490361683969/3q3GgQ7a_normal.jpg","View")</f>
        <v>View</v>
      </c>
      <c r="P3532" s="10"/>
    </row>
    <row r="3533" customFormat="false" ht="15.75" hidden="false" customHeight="false" outlineLevel="0" collapsed="false">
      <c r="A3533" s="6" t="n">
        <v>43030.4558680556</v>
      </c>
      <c r="B3533" s="7" t="str">
        <f aca="false">HYPERLINK("https://twitter.com/jivaishwar","@jivaishwar")</f>
        <v>@jivaishwar</v>
      </c>
      <c r="C3533" s="8" t="s">
        <v>8628</v>
      </c>
      <c r="D3533" s="8" t="s">
        <v>8538</v>
      </c>
      <c r="E3533" s="9" t="str">
        <f aca="false">HYPERLINK("https://twitter.com/jivaishwar/status/922159731392774145","922159731392774145")</f>
        <v>922159731392774145</v>
      </c>
      <c r="F3533" s="10" t="s">
        <v>51</v>
      </c>
      <c r="G3533" s="10" t="n">
        <v>1895</v>
      </c>
      <c r="H3533" s="10" t="n">
        <v>47</v>
      </c>
      <c r="I3533" s="10" t="n">
        <v>1015</v>
      </c>
      <c r="J3533" s="10" t="n">
        <v>0</v>
      </c>
      <c r="K3533" s="10" t="s">
        <v>20</v>
      </c>
      <c r="L3533" s="11" t="n">
        <v>40950.4846527778</v>
      </c>
      <c r="M3533" s="12"/>
      <c r="N3533" s="12" t="s">
        <v>8629</v>
      </c>
      <c r="O3533" s="9" t="str">
        <f aca="false">HYPERLINK("https://pbs.twimg.com/profile_images/921009449569017856/pnaIePr3_normal.jpg","View")</f>
        <v>View</v>
      </c>
      <c r="P3533" s="10"/>
    </row>
    <row r="3534" customFormat="false" ht="15.75" hidden="false" customHeight="false" outlineLevel="0" collapsed="false">
      <c r="A3534" s="6" t="n">
        <v>43030.456087963</v>
      </c>
      <c r="B3534" s="7" t="str">
        <f aca="false">HYPERLINK("https://twitter.com/monty_chadha","@monty_chadha")</f>
        <v>@monty_chadha</v>
      </c>
      <c r="C3534" s="8" t="s">
        <v>8630</v>
      </c>
      <c r="D3534" s="8" t="s">
        <v>8538</v>
      </c>
      <c r="E3534" s="9" t="str">
        <f aca="false">HYPERLINK("https://twitter.com/monty_chadha/status/922159812133003264","922159812133003264")</f>
        <v>922159812133003264</v>
      </c>
      <c r="F3534" s="10" t="s">
        <v>25</v>
      </c>
      <c r="G3534" s="10" t="n">
        <v>1578</v>
      </c>
      <c r="H3534" s="10" t="n">
        <v>3135</v>
      </c>
      <c r="I3534" s="10" t="n">
        <v>1015</v>
      </c>
      <c r="J3534" s="10" t="n">
        <v>0</v>
      </c>
      <c r="K3534" s="10" t="s">
        <v>20</v>
      </c>
      <c r="L3534" s="11" t="n">
        <v>41015.3778819444</v>
      </c>
      <c r="M3534" s="12" t="s">
        <v>8631</v>
      </c>
      <c r="N3534" s="12" t="s">
        <v>8632</v>
      </c>
      <c r="O3534" s="9" t="str">
        <f aca="false">HYPERLINK("https://pbs.twimg.com/profile_images/712614110928613376/d01XQAaY_normal.jpg","View")</f>
        <v>View</v>
      </c>
      <c r="P3534" s="10"/>
    </row>
    <row r="3535" customFormat="false" ht="15.75" hidden="false" customHeight="false" outlineLevel="0" collapsed="false">
      <c r="A3535" s="6" t="n">
        <v>43030.4563078704</v>
      </c>
      <c r="B3535" s="7" t="str">
        <f aca="false">HYPERLINK("https://twitter.com/freddyncalm","@freddyncalm")</f>
        <v>@freddyncalm</v>
      </c>
      <c r="C3535" s="14" t="s">
        <v>8633</v>
      </c>
      <c r="D3535" s="8" t="s">
        <v>8634</v>
      </c>
      <c r="E3535" s="9" t="str">
        <f aca="false">HYPERLINK("https://twitter.com/freddyncalm/status/922159891036418049","922159891036418049")</f>
        <v>922159891036418049</v>
      </c>
      <c r="F3535" s="10" t="s">
        <v>39</v>
      </c>
      <c r="G3535" s="10" t="n">
        <v>406</v>
      </c>
      <c r="H3535" s="10" t="n">
        <v>343</v>
      </c>
      <c r="I3535" s="10" t="n">
        <v>1</v>
      </c>
      <c r="J3535" s="10" t="n">
        <v>0</v>
      </c>
      <c r="K3535" s="10" t="s">
        <v>20</v>
      </c>
      <c r="L3535" s="11" t="n">
        <v>39732.4326157407</v>
      </c>
      <c r="M3535" s="13" t="s">
        <v>8635</v>
      </c>
      <c r="N3535" s="12" t="s">
        <v>8636</v>
      </c>
      <c r="O3535" s="9" t="str">
        <f aca="false">HYPERLINK("https://pbs.twimg.com/profile_images/804421458659344384/bzinclKd_normal.jpg","View")</f>
        <v>View</v>
      </c>
      <c r="P3535" s="10"/>
    </row>
    <row r="3536" customFormat="false" ht="15.75" hidden="false" customHeight="false" outlineLevel="0" collapsed="false">
      <c r="A3536" s="6" t="n">
        <v>43030.4563425926</v>
      </c>
      <c r="B3536" s="7" t="str">
        <f aca="false">HYPERLINK("https://twitter.com/kkohli29","@kkohli29")</f>
        <v>@kkohli29</v>
      </c>
      <c r="C3536" s="8" t="s">
        <v>8637</v>
      </c>
      <c r="D3536" s="8" t="s">
        <v>8538</v>
      </c>
      <c r="E3536" s="9" t="str">
        <f aca="false">HYPERLINK("https://twitter.com/kkohli29/status/922159901882826752","922159901882826752")</f>
        <v>922159901882826752</v>
      </c>
      <c r="F3536" s="10" t="s">
        <v>25</v>
      </c>
      <c r="G3536" s="10" t="n">
        <v>25</v>
      </c>
      <c r="H3536" s="10" t="n">
        <v>203</v>
      </c>
      <c r="I3536" s="10" t="n">
        <v>1015</v>
      </c>
      <c r="J3536" s="10" t="n">
        <v>0</v>
      </c>
      <c r="K3536" s="10" t="s">
        <v>20</v>
      </c>
      <c r="L3536" s="11" t="n">
        <v>40289.0114236111</v>
      </c>
      <c r="M3536" s="12" t="s">
        <v>64</v>
      </c>
      <c r="N3536" s="12" t="s">
        <v>8638</v>
      </c>
      <c r="O3536" s="9" t="str">
        <f aca="false">HYPERLINK("https://pbs.twimg.com/profile_images/836647841195970560/QYaz5rD3_normal.jpg","View")</f>
        <v>View</v>
      </c>
      <c r="P3536" s="10"/>
    </row>
    <row r="3537" customFormat="false" ht="15.75" hidden="false" customHeight="false" outlineLevel="0" collapsed="false">
      <c r="A3537" s="6" t="n">
        <v>43030.4566550926</v>
      </c>
      <c r="B3537" s="7" t="str">
        <f aca="false">HYPERLINK("https://twitter.com/anshulguptaias","@anshulguptaias")</f>
        <v>@anshulguptaias</v>
      </c>
      <c r="C3537" s="8" t="s">
        <v>8639</v>
      </c>
      <c r="D3537" s="8" t="s">
        <v>8538</v>
      </c>
      <c r="E3537" s="9" t="str">
        <f aca="false">HYPERLINK("https://twitter.com/anshulguptaias/status/922160018480230400","922160018480230400")</f>
        <v>922160018480230400</v>
      </c>
      <c r="F3537" s="10" t="s">
        <v>25</v>
      </c>
      <c r="G3537" s="10" t="n">
        <v>1118</v>
      </c>
      <c r="H3537" s="10" t="n">
        <v>1253</v>
      </c>
      <c r="I3537" s="10" t="n">
        <v>1015</v>
      </c>
      <c r="J3537" s="10" t="n">
        <v>0</v>
      </c>
      <c r="K3537" s="10" t="s">
        <v>20</v>
      </c>
      <c r="L3537" s="11" t="n">
        <v>42518.9340277778</v>
      </c>
      <c r="M3537" s="12" t="s">
        <v>8640</v>
      </c>
      <c r="N3537" s="12" t="s">
        <v>8641</v>
      </c>
      <c r="O3537" s="9" t="str">
        <f aca="false">HYPERLINK("https://pbs.twimg.com/profile_images/736791506732879872/CnxUIyKb_normal.jpg","View")</f>
        <v>View</v>
      </c>
      <c r="P3537" s="10"/>
    </row>
    <row r="3538" customFormat="false" ht="15.75" hidden="false" customHeight="false" outlineLevel="0" collapsed="false">
      <c r="A3538" s="6" t="n">
        <v>43030.456712963</v>
      </c>
      <c r="B3538" s="7" t="str">
        <f aca="false">HYPERLINK("https://twitter.com/rajnish_t","@rajnish_t")</f>
        <v>@rajnish_t</v>
      </c>
      <c r="C3538" s="8" t="s">
        <v>8642</v>
      </c>
      <c r="D3538" s="8" t="s">
        <v>8538</v>
      </c>
      <c r="E3538" s="9" t="str">
        <f aca="false">HYPERLINK("https://twitter.com/rajnish_t/status/922160037769879552","922160037769879552")</f>
        <v>922160037769879552</v>
      </c>
      <c r="F3538" s="10" t="s">
        <v>25</v>
      </c>
      <c r="G3538" s="10" t="n">
        <v>267</v>
      </c>
      <c r="H3538" s="10" t="n">
        <v>367</v>
      </c>
      <c r="I3538" s="10" t="n">
        <v>1015</v>
      </c>
      <c r="J3538" s="10" t="n">
        <v>0</v>
      </c>
      <c r="K3538" s="10" t="s">
        <v>20</v>
      </c>
      <c r="L3538" s="11" t="n">
        <v>40052.3412152778</v>
      </c>
      <c r="M3538" s="12"/>
      <c r="N3538" s="12" t="s">
        <v>8643</v>
      </c>
      <c r="O3538" s="9" t="str">
        <f aca="false">HYPERLINK("https://pbs.twimg.com/profile_images/861143211695251456/vtVlnNlT_normal.jpg","View")</f>
        <v>View</v>
      </c>
      <c r="P3538" s="10"/>
    </row>
    <row r="3539" customFormat="false" ht="15.75" hidden="false" customHeight="false" outlineLevel="0" collapsed="false">
      <c r="A3539" s="6" t="n">
        <v>43030.4567824074</v>
      </c>
      <c r="B3539" s="7" t="str">
        <f aca="false">HYPERLINK("https://twitter.com/mahyu211","@mahyu211")</f>
        <v>@mahyu211</v>
      </c>
      <c r="C3539" s="8" t="s">
        <v>8644</v>
      </c>
      <c r="D3539" s="8" t="s">
        <v>8538</v>
      </c>
      <c r="E3539" s="9" t="str">
        <f aca="false">HYPERLINK("https://twitter.com/mahyu211/status/922160060653903872","922160060653903872")</f>
        <v>922160060653903872</v>
      </c>
      <c r="F3539" s="10" t="s">
        <v>25</v>
      </c>
      <c r="G3539" s="10" t="n">
        <v>251</v>
      </c>
      <c r="H3539" s="10" t="n">
        <v>582</v>
      </c>
      <c r="I3539" s="10" t="n">
        <v>1015</v>
      </c>
      <c r="J3539" s="10" t="n">
        <v>0</v>
      </c>
      <c r="K3539" s="10" t="s">
        <v>20</v>
      </c>
      <c r="L3539" s="11" t="n">
        <v>41794.1604398148</v>
      </c>
      <c r="M3539" s="12" t="s">
        <v>8645</v>
      </c>
      <c r="N3539" s="12" t="s">
        <v>8646</v>
      </c>
      <c r="O3539" s="9" t="str">
        <f aca="false">HYPERLINK("https://pbs.twimg.com/profile_images/867440519617687552/UrmHzB8X_normal.jpg","View")</f>
        <v>View</v>
      </c>
      <c r="P3539" s="10"/>
    </row>
    <row r="3540" customFormat="false" ht="15.75" hidden="false" customHeight="false" outlineLevel="0" collapsed="false">
      <c r="A3540" s="6" t="n">
        <v>43030.4568634259</v>
      </c>
      <c r="B3540" s="7" t="str">
        <f aca="false">HYPERLINK("https://twitter.com/Janvi00007","@Janvi00007")</f>
        <v>@Janvi00007</v>
      </c>
      <c r="C3540" s="8" t="s">
        <v>8647</v>
      </c>
      <c r="D3540" s="8" t="s">
        <v>8538</v>
      </c>
      <c r="E3540" s="9" t="str">
        <f aca="false">HYPERLINK("https://twitter.com/Janvi00007/status/922160090890649600","922160090890649600")</f>
        <v>922160090890649600</v>
      </c>
      <c r="F3540" s="10" t="s">
        <v>25</v>
      </c>
      <c r="G3540" s="10" t="n">
        <v>564</v>
      </c>
      <c r="H3540" s="10" t="n">
        <v>836</v>
      </c>
      <c r="I3540" s="10" t="n">
        <v>1015</v>
      </c>
      <c r="J3540" s="10" t="n">
        <v>0</v>
      </c>
      <c r="K3540" s="10" t="s">
        <v>20</v>
      </c>
      <c r="L3540" s="11" t="n">
        <v>42914.1225925926</v>
      </c>
      <c r="M3540" s="12"/>
      <c r="N3540" s="12" t="s">
        <v>8648</v>
      </c>
      <c r="O3540" s="9" t="str">
        <f aca="false">HYPERLINK("https://pbs.twimg.com/profile_images/917978818320715776/utiXFxZ1_normal.jpg","View")</f>
        <v>View</v>
      </c>
      <c r="P3540" s="10"/>
    </row>
    <row r="3541" customFormat="false" ht="15.75" hidden="false" customHeight="false" outlineLevel="0" collapsed="false">
      <c r="A3541" s="6" t="n">
        <v>43030.4569791667</v>
      </c>
      <c r="B3541" s="7" t="str">
        <f aca="false">HYPERLINK("https://twitter.com/gaganpodar","@gaganpodar")</f>
        <v>@gaganpodar</v>
      </c>
      <c r="C3541" s="8" t="s">
        <v>8649</v>
      </c>
      <c r="D3541" s="8" t="s">
        <v>8538</v>
      </c>
      <c r="E3541" s="9" t="str">
        <f aca="false">HYPERLINK("https://twitter.com/gaganpodar/status/922160132175183872","922160132175183872")</f>
        <v>922160132175183872</v>
      </c>
      <c r="F3541" s="10" t="s">
        <v>51</v>
      </c>
      <c r="G3541" s="10" t="n">
        <v>331</v>
      </c>
      <c r="H3541" s="10" t="n">
        <v>697</v>
      </c>
      <c r="I3541" s="10" t="n">
        <v>1015</v>
      </c>
      <c r="J3541" s="10" t="n">
        <v>0</v>
      </c>
      <c r="K3541" s="10" t="s">
        <v>20</v>
      </c>
      <c r="L3541" s="11" t="n">
        <v>40017.8976041667</v>
      </c>
      <c r="M3541" s="12" t="s">
        <v>8650</v>
      </c>
      <c r="N3541" s="12" t="s">
        <v>8651</v>
      </c>
      <c r="O3541" s="9" t="str">
        <f aca="false">HYPERLINK("https://pbs.twimg.com/profile_images/867106341655109637/ftwPald5_normal.jpg","View")</f>
        <v>View</v>
      </c>
      <c r="P3541" s="10"/>
    </row>
    <row r="3542" customFormat="false" ht="15.75" hidden="false" customHeight="false" outlineLevel="0" collapsed="false">
      <c r="A3542" s="6" t="n">
        <v>43030.4570138889</v>
      </c>
      <c r="B3542" s="7" t="str">
        <f aca="false">HYPERLINK("https://twitter.com/aseemj1","@aseemj1")</f>
        <v>@aseemj1</v>
      </c>
      <c r="C3542" s="8" t="s">
        <v>8652</v>
      </c>
      <c r="D3542" s="8" t="s">
        <v>8538</v>
      </c>
      <c r="E3542" s="9" t="str">
        <f aca="false">HYPERLINK("https://twitter.com/aseemj1/status/922160144963768320","922160144963768320")</f>
        <v>922160144963768320</v>
      </c>
      <c r="F3542" s="10" t="s">
        <v>25</v>
      </c>
      <c r="G3542" s="10" t="n">
        <v>214</v>
      </c>
      <c r="H3542" s="10" t="n">
        <v>1380</v>
      </c>
      <c r="I3542" s="10" t="n">
        <v>1015</v>
      </c>
      <c r="J3542" s="10" t="n">
        <v>0</v>
      </c>
      <c r="K3542" s="10" t="s">
        <v>20</v>
      </c>
      <c r="L3542" s="11" t="n">
        <v>41775.4128125</v>
      </c>
      <c r="M3542" s="12"/>
      <c r="N3542" s="12" t="s">
        <v>8653</v>
      </c>
      <c r="O3542" s="9" t="str">
        <f aca="false">HYPERLINK("https://pbs.twimg.com/profile_images/495835926963032064/dNaBRqJM_normal.png","View")</f>
        <v>View</v>
      </c>
      <c r="P3542" s="10"/>
    </row>
    <row r="3543" customFormat="false" ht="15.75" hidden="false" customHeight="false" outlineLevel="0" collapsed="false">
      <c r="A3543" s="6" t="n">
        <v>43030.4570717593</v>
      </c>
      <c r="B3543" s="7" t="str">
        <f aca="false">HYPERLINK("https://twitter.com/ManishSanklecha","@ManishSanklecha")</f>
        <v>@ManishSanklecha</v>
      </c>
      <c r="C3543" s="8" t="s">
        <v>8654</v>
      </c>
      <c r="D3543" s="8" t="s">
        <v>8538</v>
      </c>
      <c r="E3543" s="9" t="str">
        <f aca="false">HYPERLINK("https://twitter.com/ManishSanklecha/status/922160166614659072","922160166614659072")</f>
        <v>922160166614659072</v>
      </c>
      <c r="F3543" s="10" t="s">
        <v>51</v>
      </c>
      <c r="G3543" s="10" t="n">
        <v>136</v>
      </c>
      <c r="H3543" s="10" t="n">
        <v>213</v>
      </c>
      <c r="I3543" s="10" t="n">
        <v>1015</v>
      </c>
      <c r="J3543" s="10" t="n">
        <v>0</v>
      </c>
      <c r="K3543" s="10" t="s">
        <v>20</v>
      </c>
      <c r="L3543" s="11" t="n">
        <v>42362.9757060185</v>
      </c>
      <c r="M3543" s="12"/>
      <c r="N3543" s="12" t="s">
        <v>8655</v>
      </c>
      <c r="O3543" s="9" t="str">
        <f aca="false">HYPERLINK("https://pbs.twimg.com/profile_images/868166546446852097/6Wvxel_1_normal.jpg","View")</f>
        <v>View</v>
      </c>
      <c r="P3543" s="10"/>
    </row>
    <row r="3544" customFormat="false" ht="15.75" hidden="false" customHeight="false" outlineLevel="0" collapsed="false">
      <c r="A3544" s="6" t="n">
        <v>43030.4571990741</v>
      </c>
      <c r="B3544" s="7" t="str">
        <f aca="false">HYPERLINK("https://twitter.com/satyastp_satya","@satyastp_satya")</f>
        <v>@satyastp_satya</v>
      </c>
      <c r="C3544" s="8" t="s">
        <v>8656</v>
      </c>
      <c r="D3544" s="8" t="s">
        <v>8538</v>
      </c>
      <c r="E3544" s="9" t="str">
        <f aca="false">HYPERLINK("https://twitter.com/satyastp_satya/status/922160212609441792","922160212609441792")</f>
        <v>922160212609441792</v>
      </c>
      <c r="F3544" s="10" t="s">
        <v>25</v>
      </c>
      <c r="G3544" s="10" t="n">
        <v>1817</v>
      </c>
      <c r="H3544" s="10" t="n">
        <v>770</v>
      </c>
      <c r="I3544" s="10" t="n">
        <v>1015</v>
      </c>
      <c r="J3544" s="10" t="n">
        <v>0</v>
      </c>
      <c r="K3544" s="10" t="s">
        <v>20</v>
      </c>
      <c r="L3544" s="11" t="n">
        <v>41796.4451157407</v>
      </c>
      <c r="M3544" s="12" t="s">
        <v>8657</v>
      </c>
      <c r="N3544" s="12" t="s">
        <v>8658</v>
      </c>
      <c r="O3544" s="9" t="str">
        <f aca="false">HYPERLINK("https://pbs.twimg.com/profile_images/593066617573019648/efGQbzvS_normal.jpg","View")</f>
        <v>View</v>
      </c>
      <c r="P3544" s="10"/>
    </row>
    <row r="3545" customFormat="false" ht="15.75" hidden="false" customHeight="false" outlineLevel="0" collapsed="false">
      <c r="A3545" s="6" t="n">
        <v>43030.457337963</v>
      </c>
      <c r="B3545" s="7" t="str">
        <f aca="false">HYPERLINK("https://twitter.com/Me_Mumbaiker","@Me_Mumbaiker")</f>
        <v>@Me_Mumbaiker</v>
      </c>
      <c r="C3545" s="8" t="s">
        <v>8659</v>
      </c>
      <c r="D3545" s="8" t="s">
        <v>8538</v>
      </c>
      <c r="E3545" s="9" t="str">
        <f aca="false">HYPERLINK("https://twitter.com/Me_Mumbaiker/status/922160264115638276","922160264115638276")</f>
        <v>922160264115638276</v>
      </c>
      <c r="F3545" s="10" t="s">
        <v>25</v>
      </c>
      <c r="G3545" s="10" t="n">
        <v>25</v>
      </c>
      <c r="H3545" s="10" t="n">
        <v>142</v>
      </c>
      <c r="I3545" s="10" t="n">
        <v>1015</v>
      </c>
      <c r="J3545" s="10" t="n">
        <v>0</v>
      </c>
      <c r="K3545" s="10" t="s">
        <v>20</v>
      </c>
      <c r="L3545" s="11" t="n">
        <v>42994.1454513889</v>
      </c>
      <c r="M3545" s="12" t="s">
        <v>8660</v>
      </c>
      <c r="N3545" s="12"/>
      <c r="O3545" s="9" t="str">
        <f aca="false">HYPERLINK("https://pbs.twimg.com/profile_images/913969613532102656/bBbWoFTO_normal.jpg","View")</f>
        <v>View</v>
      </c>
      <c r="P3545" s="10"/>
    </row>
    <row r="3546" customFormat="false" ht="15.75" hidden="false" customHeight="false" outlineLevel="0" collapsed="false">
      <c r="A3546" s="6" t="n">
        <v>43030.4574074074</v>
      </c>
      <c r="B3546" s="7" t="str">
        <f aca="false">HYPERLINK("https://twitter.com/AM004","@AM004")</f>
        <v>@AM004</v>
      </c>
      <c r="C3546" s="8" t="s">
        <v>8661</v>
      </c>
      <c r="D3546" s="8" t="s">
        <v>8538</v>
      </c>
      <c r="E3546" s="9" t="str">
        <f aca="false">HYPERLINK("https://twitter.com/AM004/status/922160288627154944","922160288627154944")</f>
        <v>922160288627154944</v>
      </c>
      <c r="F3546" s="10" t="s">
        <v>98</v>
      </c>
      <c r="G3546" s="10" t="n">
        <v>139</v>
      </c>
      <c r="H3546" s="10" t="n">
        <v>12</v>
      </c>
      <c r="I3546" s="10" t="n">
        <v>1015</v>
      </c>
      <c r="J3546" s="10" t="n">
        <v>0</v>
      </c>
      <c r="K3546" s="10" t="s">
        <v>20</v>
      </c>
      <c r="L3546" s="11" t="n">
        <v>40283.9949768519</v>
      </c>
      <c r="M3546" s="12" t="s">
        <v>8662</v>
      </c>
      <c r="N3546" s="12" t="s">
        <v>8663</v>
      </c>
      <c r="O3546" s="9" t="str">
        <f aca="false">HYPERLINK("https://pbs.twimg.com/profile_images/678821468403187712/FJx5yxJU_normal.jpg","View")</f>
        <v>View</v>
      </c>
      <c r="P3546" s="10"/>
    </row>
    <row r="3547" customFormat="false" ht="15.75" hidden="false" customHeight="false" outlineLevel="0" collapsed="false">
      <c r="A3547" s="6" t="n">
        <v>43030.4575694444</v>
      </c>
      <c r="B3547" s="7" t="str">
        <f aca="false">HYPERLINK("https://twitter.com/drgopijvs","@drgopijvs")</f>
        <v>@drgopijvs</v>
      </c>
      <c r="C3547" s="8" t="s">
        <v>8664</v>
      </c>
      <c r="D3547" s="8" t="s">
        <v>8538</v>
      </c>
      <c r="E3547" s="9" t="str">
        <f aca="false">HYPERLINK("https://twitter.com/drgopijvs/status/922160348915908608","922160348915908608")</f>
        <v>922160348915908608</v>
      </c>
      <c r="F3547" s="10" t="s">
        <v>25</v>
      </c>
      <c r="G3547" s="10" t="n">
        <v>900</v>
      </c>
      <c r="H3547" s="10" t="n">
        <v>1053</v>
      </c>
      <c r="I3547" s="10" t="n">
        <v>1015</v>
      </c>
      <c r="J3547" s="10" t="n">
        <v>0</v>
      </c>
      <c r="K3547" s="10" t="s">
        <v>20</v>
      </c>
      <c r="L3547" s="11" t="n">
        <v>40705.0171527778</v>
      </c>
      <c r="M3547" s="12" t="s">
        <v>8665</v>
      </c>
      <c r="N3547" s="12" t="s">
        <v>8666</v>
      </c>
      <c r="O3547" s="9" t="str">
        <f aca="false">HYPERLINK("https://pbs.twimg.com/profile_images/1551234076/me_normal.jpg","View")</f>
        <v>View</v>
      </c>
      <c r="P3547" s="10"/>
    </row>
    <row r="3548" customFormat="false" ht="15.75" hidden="false" customHeight="false" outlineLevel="0" collapsed="false">
      <c r="A3548" s="6" t="n">
        <v>43030.4576157407</v>
      </c>
      <c r="B3548" s="7" t="str">
        <f aca="false">HYPERLINK("https://twitter.com/Naive_rookie","@Naive_rookie")</f>
        <v>@Naive_rookie</v>
      </c>
      <c r="C3548" s="8" t="s">
        <v>8667</v>
      </c>
      <c r="D3548" s="8" t="s">
        <v>8538</v>
      </c>
      <c r="E3548" s="9" t="str">
        <f aca="false">HYPERLINK("https://twitter.com/Naive_rookie/status/922160365198131200","922160365198131200")</f>
        <v>922160365198131200</v>
      </c>
      <c r="F3548" s="10" t="s">
        <v>39</v>
      </c>
      <c r="G3548" s="10" t="n">
        <v>49</v>
      </c>
      <c r="H3548" s="10" t="n">
        <v>143</v>
      </c>
      <c r="I3548" s="10" t="n">
        <v>1015</v>
      </c>
      <c r="J3548" s="10" t="n">
        <v>0</v>
      </c>
      <c r="K3548" s="10" t="s">
        <v>20</v>
      </c>
      <c r="L3548" s="11" t="n">
        <v>41622.2942013889</v>
      </c>
      <c r="M3548" s="12" t="s">
        <v>8668</v>
      </c>
      <c r="N3548" s="12" t="s">
        <v>8669</v>
      </c>
      <c r="O3548" s="9" t="str">
        <f aca="false">HYPERLINK("https://pbs.twimg.com/profile_images/862275659598397441/DjTkOYMp_normal.jpg","View")</f>
        <v>View</v>
      </c>
      <c r="P3548" s="10"/>
    </row>
    <row r="3549" customFormat="false" ht="15.75" hidden="false" customHeight="false" outlineLevel="0" collapsed="false">
      <c r="A3549" s="6" t="n">
        <v>43030.4576273148</v>
      </c>
      <c r="B3549" s="7" t="str">
        <f aca="false">HYPERLINK("https://twitter.com/samir_patil","@samir_patil")</f>
        <v>@samir_patil</v>
      </c>
      <c r="C3549" s="7" t="s">
        <v>8670</v>
      </c>
      <c r="D3549" s="8" t="s">
        <v>8538</v>
      </c>
      <c r="E3549" s="9" t="str">
        <f aca="false">HYPERLINK("https://twitter.com/samir_patil/status/922160368503291905","922160368503291905")</f>
        <v>922160368503291905</v>
      </c>
      <c r="F3549" s="10" t="s">
        <v>25</v>
      </c>
      <c r="G3549" s="10" t="n">
        <v>400</v>
      </c>
      <c r="H3549" s="10" t="n">
        <v>432</v>
      </c>
      <c r="I3549" s="10" t="n">
        <v>1015</v>
      </c>
      <c r="J3549" s="10" t="n">
        <v>0</v>
      </c>
      <c r="K3549" s="10" t="s">
        <v>20</v>
      </c>
      <c r="L3549" s="11" t="n">
        <v>39662.1282291667</v>
      </c>
      <c r="M3549" s="12" t="s">
        <v>8671</v>
      </c>
      <c r="N3549" s="12" t="s">
        <v>8672</v>
      </c>
      <c r="O3549" s="9" t="str">
        <f aca="false">HYPERLINK("https://pbs.twimg.com/profile_images/629483152243716096/7aVjxuL5_normal.jpg","View")</f>
        <v>View</v>
      </c>
      <c r="P3549" s="10"/>
    </row>
    <row r="3550" customFormat="false" ht="15.75" hidden="false" customHeight="false" outlineLevel="0" collapsed="false">
      <c r="A3550" s="6" t="n">
        <v>43030.4576273148</v>
      </c>
      <c r="B3550" s="7" t="str">
        <f aca="false">HYPERLINK("https://twitter.com/Ankineedu1A","@Ankineedu1A")</f>
        <v>@Ankineedu1A</v>
      </c>
      <c r="C3550" s="8" t="s">
        <v>8673</v>
      </c>
      <c r="D3550" s="8" t="s">
        <v>8538</v>
      </c>
      <c r="E3550" s="9" t="str">
        <f aca="false">HYPERLINK("https://twitter.com/Ankineedu1A/status/922160369057107969","922160369057107969")</f>
        <v>922160369057107969</v>
      </c>
      <c r="F3550" s="10" t="s">
        <v>25</v>
      </c>
      <c r="G3550" s="10" t="n">
        <v>836</v>
      </c>
      <c r="H3550" s="10" t="n">
        <v>496</v>
      </c>
      <c r="I3550" s="10" t="n">
        <v>1015</v>
      </c>
      <c r="J3550" s="10" t="n">
        <v>0</v>
      </c>
      <c r="K3550" s="10" t="s">
        <v>20</v>
      </c>
      <c r="L3550" s="11" t="n">
        <v>41486.1824884259</v>
      </c>
      <c r="M3550" s="12" t="s">
        <v>8674</v>
      </c>
      <c r="N3550" s="12" t="s">
        <v>8675</v>
      </c>
      <c r="O3550" s="9" t="str">
        <f aca="false">HYPERLINK("https://pbs.twimg.com/profile_images/918442207668977664/Rk-KGOut_normal.jpg","View")</f>
        <v>View</v>
      </c>
      <c r="P3550" s="10"/>
    </row>
    <row r="3551" customFormat="false" ht="15.75" hidden="false" customHeight="false" outlineLevel="0" collapsed="false">
      <c r="A3551" s="6" t="n">
        <v>43030.4577083333</v>
      </c>
      <c r="B3551" s="7" t="str">
        <f aca="false">HYPERLINK("https://twitter.com/Jaswinder0303","@Jaswinder0303")</f>
        <v>@Jaswinder0303</v>
      </c>
      <c r="C3551" s="8" t="s">
        <v>8676</v>
      </c>
      <c r="D3551" s="8" t="s">
        <v>8538</v>
      </c>
      <c r="E3551" s="9" t="str">
        <f aca="false">HYPERLINK("https://twitter.com/Jaswinder0303/status/922160399608373248","922160399608373248")</f>
        <v>922160399608373248</v>
      </c>
      <c r="F3551" s="10" t="s">
        <v>25</v>
      </c>
      <c r="G3551" s="10" t="n">
        <v>252</v>
      </c>
      <c r="H3551" s="10" t="n">
        <v>255</v>
      </c>
      <c r="I3551" s="10" t="n">
        <v>1015</v>
      </c>
      <c r="J3551" s="10" t="n">
        <v>0</v>
      </c>
      <c r="K3551" s="10" t="s">
        <v>20</v>
      </c>
      <c r="L3551" s="11" t="n">
        <v>42143.2125115741</v>
      </c>
      <c r="M3551" s="12"/>
      <c r="N3551" s="12" t="s">
        <v>8677</v>
      </c>
      <c r="O3551" s="9" t="str">
        <f aca="false">HYPERLINK("https://pbs.twimg.com/profile_images/892965732962648065/G8p5Ty0u_normal.jpg","View")</f>
        <v>View</v>
      </c>
      <c r="P3551" s="10"/>
    </row>
    <row r="3552" customFormat="false" ht="15.75" hidden="false" customHeight="false" outlineLevel="0" collapsed="false">
      <c r="A3552" s="6" t="n">
        <v>43030.4577199074</v>
      </c>
      <c r="B3552" s="7" t="str">
        <f aca="false">HYPERLINK("https://twitter.com/jyotirs86","@jyotirs86")</f>
        <v>@jyotirs86</v>
      </c>
      <c r="C3552" s="8" t="s">
        <v>8678</v>
      </c>
      <c r="D3552" s="8" t="s">
        <v>8538</v>
      </c>
      <c r="E3552" s="9" t="str">
        <f aca="false">HYPERLINK("https://twitter.com/jyotirs86/status/922160402628087808","922160402628087808")</f>
        <v>922160402628087808</v>
      </c>
      <c r="F3552" s="10" t="s">
        <v>25</v>
      </c>
      <c r="G3552" s="10" t="n">
        <v>56</v>
      </c>
      <c r="H3552" s="10" t="n">
        <v>197</v>
      </c>
      <c r="I3552" s="10" t="n">
        <v>1015</v>
      </c>
      <c r="J3552" s="10" t="n">
        <v>0</v>
      </c>
      <c r="K3552" s="10" t="s">
        <v>20</v>
      </c>
      <c r="L3552" s="11" t="n">
        <v>42190.4722569444</v>
      </c>
      <c r="M3552" s="12"/>
      <c r="N3552" s="12"/>
      <c r="O3552" s="9" t="str">
        <f aca="false">HYPERLINK("https://abs.twimg.com/sticky/default_profile_images/default_profile_normal.png","View")</f>
        <v>View</v>
      </c>
      <c r="P3552" s="10"/>
    </row>
    <row r="3553" customFormat="false" ht="15.75" hidden="false" customHeight="false" outlineLevel="0" collapsed="false">
      <c r="A3553" s="6" t="n">
        <v>43030.4578356482</v>
      </c>
      <c r="B3553" s="7" t="str">
        <f aca="false">HYPERLINK("https://twitter.com/AtulMohan2","@AtulMohan2")</f>
        <v>@AtulMohan2</v>
      </c>
      <c r="C3553" s="8" t="s">
        <v>8152</v>
      </c>
      <c r="D3553" s="8" t="s">
        <v>8538</v>
      </c>
      <c r="E3553" s="9" t="str">
        <f aca="false">HYPERLINK("https://twitter.com/AtulMohan2/status/922160444877312000","922160444877312000")</f>
        <v>922160444877312000</v>
      </c>
      <c r="F3553" s="10" t="s">
        <v>25</v>
      </c>
      <c r="G3553" s="10" t="n">
        <v>295</v>
      </c>
      <c r="H3553" s="10" t="n">
        <v>150</v>
      </c>
      <c r="I3553" s="10" t="n">
        <v>1015</v>
      </c>
      <c r="J3553" s="10" t="n">
        <v>0</v>
      </c>
      <c r="K3553" s="10" t="s">
        <v>20</v>
      </c>
      <c r="L3553" s="11" t="n">
        <v>40736.0524074074</v>
      </c>
      <c r="M3553" s="12" t="s">
        <v>72</v>
      </c>
      <c r="N3553" s="12" t="s">
        <v>8153</v>
      </c>
      <c r="O3553" s="9" t="str">
        <f aca="false">HYPERLINK("https://pbs.twimg.com/profile_images/1541910485/atul5_normal.jpg","View")</f>
        <v>View</v>
      </c>
      <c r="P3553" s="10"/>
    </row>
    <row r="3554" customFormat="false" ht="15.75" hidden="false" customHeight="false" outlineLevel="0" collapsed="false">
      <c r="A3554" s="6" t="n">
        <v>43030.4579282407</v>
      </c>
      <c r="B3554" s="7" t="str">
        <f aca="false">HYPERLINK("https://twitter.com/LalithKris","@LalithKris")</f>
        <v>@LalithKris</v>
      </c>
      <c r="C3554" s="8" t="s">
        <v>8206</v>
      </c>
      <c r="D3554" s="8" t="s">
        <v>8538</v>
      </c>
      <c r="E3554" s="9" t="str">
        <f aca="false">HYPERLINK("https://twitter.com/LalithKris/status/922160476297089024","922160476297089024")</f>
        <v>922160476297089024</v>
      </c>
      <c r="F3554" s="10" t="s">
        <v>25</v>
      </c>
      <c r="G3554" s="10" t="n">
        <v>396</v>
      </c>
      <c r="H3554" s="10" t="n">
        <v>10</v>
      </c>
      <c r="I3554" s="10" t="n">
        <v>1015</v>
      </c>
      <c r="J3554" s="10" t="n">
        <v>0</v>
      </c>
      <c r="K3554" s="10" t="s">
        <v>20</v>
      </c>
      <c r="L3554" s="11" t="n">
        <v>42419.0413888889</v>
      </c>
      <c r="M3554" s="12"/>
      <c r="N3554" s="12" t="s">
        <v>8208</v>
      </c>
      <c r="O3554" s="9" t="str">
        <f aca="false">HYPERLINK("https://pbs.twimg.com/profile_images/923787226575540224/laQBsztd_normal.jpg","View")</f>
        <v>View</v>
      </c>
      <c r="P3554" s="10"/>
    </row>
    <row r="3555" customFormat="false" ht="15.75" hidden="false" customHeight="false" outlineLevel="0" collapsed="false">
      <c r="A3555" s="6" t="n">
        <v>43030.4580787037</v>
      </c>
      <c r="B3555" s="7" t="str">
        <f aca="false">HYPERLINK("https://twitter.com/AkhaiP","@AkhaiP")</f>
        <v>@AkhaiP</v>
      </c>
      <c r="C3555" s="8" t="s">
        <v>8679</v>
      </c>
      <c r="D3555" s="8" t="s">
        <v>8538</v>
      </c>
      <c r="E3555" s="9" t="str">
        <f aca="false">HYPERLINK("https://twitter.com/AkhaiP/status/922160530525011968","922160530525011968")</f>
        <v>922160530525011968</v>
      </c>
      <c r="F3555" s="10" t="s">
        <v>25</v>
      </c>
      <c r="G3555" s="10" t="n">
        <v>666</v>
      </c>
      <c r="H3555" s="10" t="n">
        <v>646</v>
      </c>
      <c r="I3555" s="10" t="n">
        <v>1015</v>
      </c>
      <c r="J3555" s="10" t="n">
        <v>0</v>
      </c>
      <c r="K3555" s="10" t="s">
        <v>20</v>
      </c>
      <c r="L3555" s="11" t="n">
        <v>42002.0759490741</v>
      </c>
      <c r="M3555" s="12"/>
      <c r="N3555" s="12"/>
      <c r="O3555" s="9" t="str">
        <f aca="false">HYPERLINK("https://pbs.twimg.com/profile_images/883345089652805632/QjQx83Vc_normal.jpg","View")</f>
        <v>View</v>
      </c>
      <c r="P3555" s="10"/>
    </row>
    <row r="3556" customFormat="false" ht="15.75" hidden="false" customHeight="false" outlineLevel="0" collapsed="false">
      <c r="A3556" s="6" t="n">
        <v>43030.4580787037</v>
      </c>
      <c r="B3556" s="7" t="str">
        <f aca="false">HYPERLINK("https://twitter.com/MithunTejasvi","@MithunTejasvi")</f>
        <v>@MithunTejasvi</v>
      </c>
      <c r="C3556" s="8" t="s">
        <v>8680</v>
      </c>
      <c r="D3556" s="8" t="s">
        <v>8538</v>
      </c>
      <c r="E3556" s="9" t="str">
        <f aca="false">HYPERLINK("https://twitter.com/MithunTejasvi/status/922160533058371584","922160533058371584")</f>
        <v>922160533058371584</v>
      </c>
      <c r="F3556" s="10" t="s">
        <v>51</v>
      </c>
      <c r="G3556" s="10" t="n">
        <v>419</v>
      </c>
      <c r="H3556" s="10" t="n">
        <v>416</v>
      </c>
      <c r="I3556" s="10" t="n">
        <v>1015</v>
      </c>
      <c r="J3556" s="10" t="n">
        <v>0</v>
      </c>
      <c r="K3556" s="10" t="s">
        <v>20</v>
      </c>
      <c r="L3556" s="11" t="n">
        <v>40040.3905787037</v>
      </c>
      <c r="M3556" s="12" t="s">
        <v>8681</v>
      </c>
      <c r="N3556" s="12" t="s">
        <v>8682</v>
      </c>
      <c r="O3556" s="9" t="str">
        <f aca="false">HYPERLINK("https://pbs.twimg.com/profile_images/890394123160526849/vuILJY81_normal.jpg","View")</f>
        <v>View</v>
      </c>
      <c r="P3556" s="10"/>
    </row>
    <row r="3557" customFormat="false" ht="15.75" hidden="false" customHeight="false" outlineLevel="0" collapsed="false">
      <c r="A3557" s="6" t="n">
        <v>43030.4583101852</v>
      </c>
      <c r="B3557" s="7" t="str">
        <f aca="false">HYPERLINK("https://twitter.com/JaphyRyder","@JaphyRyder")</f>
        <v>@JaphyRyder</v>
      </c>
      <c r="C3557" s="8" t="s">
        <v>8683</v>
      </c>
      <c r="D3557" s="8" t="s">
        <v>8684</v>
      </c>
      <c r="E3557" s="9" t="str">
        <f aca="false">HYPERLINK("https://twitter.com/JaphyRyder/status/922160617020100610","922160617020100610")</f>
        <v>922160617020100610</v>
      </c>
      <c r="F3557" s="10" t="s">
        <v>177</v>
      </c>
      <c r="G3557" s="10" t="n">
        <v>1359</v>
      </c>
      <c r="H3557" s="10" t="n">
        <v>5000</v>
      </c>
      <c r="I3557" s="10" t="n">
        <v>0</v>
      </c>
      <c r="J3557" s="10" t="n">
        <v>1</v>
      </c>
      <c r="K3557" s="10" t="s">
        <v>20</v>
      </c>
      <c r="L3557" s="11" t="n">
        <v>40341.5067013889</v>
      </c>
      <c r="M3557" s="12" t="s">
        <v>8685</v>
      </c>
      <c r="N3557" s="12" t="s">
        <v>8686</v>
      </c>
      <c r="O3557" s="9" t="str">
        <f aca="false">HYPERLINK("https://pbs.twimg.com/profile_images/920514788031070208/Rs7fbKPr_normal.jpg","View")</f>
        <v>View</v>
      </c>
      <c r="P3557" s="10"/>
    </row>
    <row r="3558" customFormat="false" ht="15.75" hidden="false" customHeight="false" outlineLevel="0" collapsed="false">
      <c r="A3558" s="6" t="n">
        <v>43030.4583680556</v>
      </c>
      <c r="B3558" s="7" t="str">
        <f aca="false">HYPERLINK("https://twitter.com/newsibly","@newsibly")</f>
        <v>@newsibly</v>
      </c>
      <c r="C3558" s="7" t="s">
        <v>8687</v>
      </c>
      <c r="D3558" s="8" t="s">
        <v>8688</v>
      </c>
      <c r="E3558" s="9" t="str">
        <f aca="false">HYPERLINK("https://twitter.com/newsibly/status/922160636846411776","922160636846411776")</f>
        <v>922160636846411776</v>
      </c>
      <c r="F3558" s="10" t="s">
        <v>8689</v>
      </c>
      <c r="G3558" s="10" t="n">
        <v>107</v>
      </c>
      <c r="H3558" s="10" t="n">
        <v>36</v>
      </c>
      <c r="I3558" s="10" t="n">
        <v>0</v>
      </c>
      <c r="J3558" s="10" t="n">
        <v>0</v>
      </c>
      <c r="K3558" s="10" t="s">
        <v>20</v>
      </c>
      <c r="L3558" s="11" t="n">
        <v>41421.5112384259</v>
      </c>
      <c r="M3558" s="12"/>
      <c r="N3558" s="12" t="s">
        <v>8690</v>
      </c>
      <c r="O3558" s="9" t="str">
        <f aca="false">HYPERLINK("https://pbs.twimg.com/profile_images/517054322912157697/1wtI0mat_normal.png","View")</f>
        <v>View</v>
      </c>
      <c r="P3558" s="10"/>
    </row>
    <row r="3559" customFormat="false" ht="15.75" hidden="false" customHeight="false" outlineLevel="0" collapsed="false">
      <c r="A3559" s="6" t="n">
        <v>43030.4584375</v>
      </c>
      <c r="B3559" s="7" t="str">
        <f aca="false">HYPERLINK("https://twitter.com/ksridhar72","@ksridhar72")</f>
        <v>@ksridhar72</v>
      </c>
      <c r="C3559" s="8" t="s">
        <v>8691</v>
      </c>
      <c r="D3559" s="8" t="s">
        <v>8538</v>
      </c>
      <c r="E3559" s="9" t="str">
        <f aca="false">HYPERLINK("https://twitter.com/ksridhar72/status/922160661513191424","922160661513191424")</f>
        <v>922160661513191424</v>
      </c>
      <c r="F3559" s="10" t="s">
        <v>25</v>
      </c>
      <c r="G3559" s="10" t="n">
        <v>12</v>
      </c>
      <c r="H3559" s="10" t="n">
        <v>118</v>
      </c>
      <c r="I3559" s="10" t="n">
        <v>1015</v>
      </c>
      <c r="J3559" s="10" t="n">
        <v>0</v>
      </c>
      <c r="K3559" s="10" t="s">
        <v>20</v>
      </c>
      <c r="L3559" s="11" t="n">
        <v>41406.8167361111</v>
      </c>
      <c r="M3559" s="12" t="s">
        <v>72</v>
      </c>
      <c r="N3559" s="12" t="s">
        <v>8692</v>
      </c>
      <c r="O3559" s="9" t="str">
        <f aca="false">HYPERLINK("https://pbs.twimg.com/profile_images/3652565697/ab5c9f83d32d741859ce31e1ec494fb5_normal.jpeg","View")</f>
        <v>View</v>
      </c>
      <c r="P3559" s="10"/>
    </row>
    <row r="3560" customFormat="false" ht="15.75" hidden="false" customHeight="false" outlineLevel="0" collapsed="false">
      <c r="A3560" s="6" t="n">
        <v>43030.4585763889</v>
      </c>
      <c r="B3560" s="7" t="str">
        <f aca="false">HYPERLINK("https://twitter.com/abhi_bpl78","@abhi_bpl78")</f>
        <v>@abhi_bpl78</v>
      </c>
      <c r="C3560" s="8" t="s">
        <v>8693</v>
      </c>
      <c r="D3560" s="8" t="s">
        <v>8538</v>
      </c>
      <c r="E3560" s="9" t="str">
        <f aca="false">HYPERLINK("https://twitter.com/abhi_bpl78/status/922160712121688064","922160712121688064")</f>
        <v>922160712121688064</v>
      </c>
      <c r="F3560" s="10" t="s">
        <v>25</v>
      </c>
      <c r="G3560" s="10" t="n">
        <v>677</v>
      </c>
      <c r="H3560" s="10" t="n">
        <v>622</v>
      </c>
      <c r="I3560" s="10" t="n">
        <v>1015</v>
      </c>
      <c r="J3560" s="10" t="n">
        <v>0</v>
      </c>
      <c r="K3560" s="10" t="s">
        <v>20</v>
      </c>
      <c r="L3560" s="11" t="n">
        <v>42362.3300347222</v>
      </c>
      <c r="M3560" s="12" t="s">
        <v>8694</v>
      </c>
      <c r="N3560" s="12" t="s">
        <v>8695</v>
      </c>
      <c r="O3560" s="9" t="str">
        <f aca="false">HYPERLINK("https://pbs.twimg.com/profile_images/916406587136253952/XDlqzKuN_normal.jpg","View")</f>
        <v>View</v>
      </c>
      <c r="P3560" s="10"/>
    </row>
    <row r="3561" customFormat="false" ht="15.75" hidden="false" customHeight="false" outlineLevel="0" collapsed="false">
      <c r="A3561" s="6" t="n">
        <v>43030.4586458333</v>
      </c>
      <c r="B3561" s="7" t="str">
        <f aca="false">HYPERLINK("https://twitter.com/EXSKF","@EXSKF")</f>
        <v>@EXSKF</v>
      </c>
      <c r="C3561" s="8" t="s">
        <v>8696</v>
      </c>
      <c r="D3561" s="8" t="s">
        <v>6707</v>
      </c>
      <c r="E3561" s="9" t="str">
        <f aca="false">HYPERLINK("https://twitter.com/EXSKF/status/922160739644612608","922160739644612608")</f>
        <v>922160739644612608</v>
      </c>
      <c r="F3561" s="10" t="s">
        <v>39</v>
      </c>
      <c r="G3561" s="10" t="n">
        <v>5008</v>
      </c>
      <c r="H3561" s="10" t="n">
        <v>120</v>
      </c>
      <c r="I3561" s="10" t="n">
        <v>97</v>
      </c>
      <c r="J3561" s="10" t="n">
        <v>0</v>
      </c>
      <c r="K3561" s="10" t="s">
        <v>20</v>
      </c>
      <c r="L3561" s="11" t="n">
        <v>40289.9484606481</v>
      </c>
      <c r="M3561" s="12"/>
      <c r="N3561" s="12" t="s">
        <v>8697</v>
      </c>
      <c r="O3561" s="9" t="str">
        <f aca="false">HYPERLINK("https://pbs.twimg.com/profile_images/1742331384/favicon_normal.jpg","View")</f>
        <v>View</v>
      </c>
      <c r="P3561" s="10"/>
    </row>
    <row r="3562" customFormat="false" ht="15.75" hidden="false" customHeight="false" outlineLevel="0" collapsed="false">
      <c r="A3562" s="6" t="n">
        <v>43030.4587731481</v>
      </c>
      <c r="B3562" s="7" t="str">
        <f aca="false">HYPERLINK("https://twitter.com/asiatimesonline","@asiatimesonline")</f>
        <v>@asiatimesonline</v>
      </c>
      <c r="C3562" s="8" t="s">
        <v>66</v>
      </c>
      <c r="D3562" s="8" t="s">
        <v>8698</v>
      </c>
      <c r="E3562" s="9" t="str">
        <f aca="false">HYPERLINK("https://twitter.com/asiatimesonline/status/922160782988718080","922160782988718080")</f>
        <v>922160782988718080</v>
      </c>
      <c r="F3562" s="10" t="s">
        <v>110</v>
      </c>
      <c r="G3562" s="10" t="n">
        <v>13340</v>
      </c>
      <c r="H3562" s="10" t="n">
        <v>485</v>
      </c>
      <c r="I3562" s="10" t="n">
        <v>0</v>
      </c>
      <c r="J3562" s="10" t="n">
        <v>0</v>
      </c>
      <c r="K3562" s="10" t="s">
        <v>20</v>
      </c>
      <c r="L3562" s="11" t="n">
        <v>40211.9324421296</v>
      </c>
      <c r="M3562" s="12" t="s">
        <v>68</v>
      </c>
      <c r="N3562" s="12" t="s">
        <v>69</v>
      </c>
      <c r="O3562" s="9" t="str">
        <f aca="false">HYPERLINK("https://pbs.twimg.com/profile_images/783976339602800640/IRukaym2_normal.jpg","View")</f>
        <v>View</v>
      </c>
      <c r="P3562" s="10"/>
    </row>
    <row r="3563" customFormat="false" ht="15.75" hidden="false" customHeight="false" outlineLevel="0" collapsed="false">
      <c r="A3563" s="6" t="n">
        <v>43030.4590972222</v>
      </c>
      <c r="B3563" s="7" t="str">
        <f aca="false">HYPERLINK("https://twitter.com/indergopal","@indergopal")</f>
        <v>@indergopal</v>
      </c>
      <c r="C3563" s="8" t="s">
        <v>8699</v>
      </c>
      <c r="D3563" s="8" t="s">
        <v>8538</v>
      </c>
      <c r="E3563" s="9" t="str">
        <f aca="false">HYPERLINK("https://twitter.com/indergopal/status/922160900626300928","922160900626300928")</f>
        <v>922160900626300928</v>
      </c>
      <c r="F3563" s="10" t="s">
        <v>39</v>
      </c>
      <c r="G3563" s="10" t="n">
        <v>1145</v>
      </c>
      <c r="H3563" s="10" t="n">
        <v>534</v>
      </c>
      <c r="I3563" s="10" t="n">
        <v>1015</v>
      </c>
      <c r="J3563" s="10" t="n">
        <v>0</v>
      </c>
      <c r="K3563" s="10" t="s">
        <v>20</v>
      </c>
      <c r="L3563" s="11" t="n">
        <v>39914.9886921296</v>
      </c>
      <c r="M3563" s="12" t="s">
        <v>64</v>
      </c>
      <c r="N3563" s="12" t="s">
        <v>8700</v>
      </c>
      <c r="O3563" s="9" t="str">
        <f aca="false">HYPERLINK("https://pbs.twimg.com/profile_images/755119512698122244/B02HzqhK_normal.jpg","View")</f>
        <v>View</v>
      </c>
      <c r="P3563" s="10"/>
    </row>
    <row r="3564" customFormat="false" ht="15.75" hidden="false" customHeight="false" outlineLevel="0" collapsed="false">
      <c r="A3564" s="6" t="n">
        <v>43030.4591435185</v>
      </c>
      <c r="B3564" s="7" t="str">
        <f aca="false">HYPERLINK("https://twitter.com/NewsyNewsworld","@NewsyNewsworld")</f>
        <v>@NewsyNewsworld</v>
      </c>
      <c r="C3564" s="8" t="s">
        <v>1375</v>
      </c>
      <c r="D3564" s="8" t="s">
        <v>8701</v>
      </c>
      <c r="E3564" s="9" t="str">
        <f aca="false">HYPERLINK("https://twitter.com/NewsyNewsworld/status/922160917193875457","922160917193875457")</f>
        <v>922160917193875457</v>
      </c>
      <c r="F3564" s="10" t="s">
        <v>60</v>
      </c>
      <c r="G3564" s="10" t="n">
        <v>516</v>
      </c>
      <c r="H3564" s="10" t="n">
        <v>9</v>
      </c>
      <c r="I3564" s="10" t="n">
        <v>0</v>
      </c>
      <c r="J3564" s="10" t="n">
        <v>0</v>
      </c>
      <c r="K3564" s="10" t="s">
        <v>20</v>
      </c>
      <c r="L3564" s="11" t="n">
        <v>41631.6942939815</v>
      </c>
      <c r="M3564" s="12"/>
      <c r="N3564" s="12"/>
      <c r="O3564" s="9" t="str">
        <f aca="false">HYPERLINK("https://pbs.twimg.com/profile_images/415285432658579457/t8NoToc__normal.png","View")</f>
        <v>View</v>
      </c>
      <c r="P3564" s="10"/>
    </row>
    <row r="3565" customFormat="false" ht="15.75" hidden="false" customHeight="false" outlineLevel="0" collapsed="false">
      <c r="A3565" s="6" t="n">
        <v>43030.4592476852</v>
      </c>
      <c r="B3565" s="7" t="str">
        <f aca="false">HYPERLINK("https://twitter.com/kamalPCM","@kamalPCM")</f>
        <v>@kamalPCM</v>
      </c>
      <c r="C3565" s="8" t="s">
        <v>8702</v>
      </c>
      <c r="D3565" s="8" t="s">
        <v>8538</v>
      </c>
      <c r="E3565" s="9" t="str">
        <f aca="false">HYPERLINK("https://twitter.com/kamalPCM/status/922160956095987712","922160956095987712")</f>
        <v>922160956095987712</v>
      </c>
      <c r="F3565" s="10" t="s">
        <v>25</v>
      </c>
      <c r="G3565" s="10" t="n">
        <v>688</v>
      </c>
      <c r="H3565" s="10" t="n">
        <v>181</v>
      </c>
      <c r="I3565" s="10" t="n">
        <v>1015</v>
      </c>
      <c r="J3565" s="10" t="n">
        <v>0</v>
      </c>
      <c r="K3565" s="10" t="s">
        <v>20</v>
      </c>
      <c r="L3565" s="11" t="n">
        <v>42819.2353587963</v>
      </c>
      <c r="M3565" s="12" t="s">
        <v>87</v>
      </c>
      <c r="N3565" s="12" t="s">
        <v>8703</v>
      </c>
      <c r="O3565" s="9" t="str">
        <f aca="false">HYPERLINK("https://pbs.twimg.com/profile_images/878344863888007168/o13YUqI2_normal.jpg","View")</f>
        <v>View</v>
      </c>
      <c r="P3565" s="10"/>
    </row>
    <row r="3566" customFormat="false" ht="15.75" hidden="false" customHeight="false" outlineLevel="0" collapsed="false">
      <c r="A3566" s="6" t="n">
        <v>43030.4593055556</v>
      </c>
      <c r="B3566" s="7" t="str">
        <f aca="false">HYPERLINK("https://twitter.com/Krishragavan","@Krishragavan")</f>
        <v>@Krishragavan</v>
      </c>
      <c r="C3566" s="8" t="s">
        <v>8704</v>
      </c>
      <c r="D3566" s="8" t="s">
        <v>8538</v>
      </c>
      <c r="E3566" s="9" t="str">
        <f aca="false">HYPERLINK("https://twitter.com/Krishragavan/status/922160978166415360","922160978166415360")</f>
        <v>922160978166415360</v>
      </c>
      <c r="F3566" s="10" t="s">
        <v>25</v>
      </c>
      <c r="G3566" s="10" t="n">
        <v>1273</v>
      </c>
      <c r="H3566" s="10" t="n">
        <v>1770</v>
      </c>
      <c r="I3566" s="10" t="n">
        <v>1015</v>
      </c>
      <c r="J3566" s="10" t="n">
        <v>0</v>
      </c>
      <c r="K3566" s="10" t="s">
        <v>20</v>
      </c>
      <c r="L3566" s="11" t="n">
        <v>41229.5977430556</v>
      </c>
      <c r="M3566" s="12" t="s">
        <v>8705</v>
      </c>
      <c r="N3566" s="12" t="s">
        <v>8706</v>
      </c>
      <c r="O3566" s="9" t="str">
        <f aca="false">HYPERLINK("https://pbs.twimg.com/profile_images/604070412746641410/C7G-A-4q_normal.jpg","View")</f>
        <v>View</v>
      </c>
      <c r="P3566" s="10"/>
    </row>
    <row r="3567" customFormat="false" ht="15.75" hidden="false" customHeight="false" outlineLevel="0" collapsed="false">
      <c r="A3567" s="6" t="n">
        <v>43030.4593287037</v>
      </c>
      <c r="B3567" s="7" t="str">
        <f aca="false">HYPERLINK("https://twitter.com/zerohour47","@zerohour47")</f>
        <v>@zerohour47</v>
      </c>
      <c r="C3567" s="8" t="s">
        <v>8707</v>
      </c>
      <c r="D3567" s="8" t="s">
        <v>8538</v>
      </c>
      <c r="E3567" s="9" t="str">
        <f aca="false">HYPERLINK("https://twitter.com/zerohour47/status/922160983413366784","922160983413366784")</f>
        <v>922160983413366784</v>
      </c>
      <c r="F3567" s="10" t="s">
        <v>25</v>
      </c>
      <c r="G3567" s="10" t="n">
        <v>3</v>
      </c>
      <c r="H3567" s="10" t="n">
        <v>12</v>
      </c>
      <c r="I3567" s="10" t="n">
        <v>1015</v>
      </c>
      <c r="J3567" s="10" t="n">
        <v>0</v>
      </c>
      <c r="K3567" s="10" t="s">
        <v>20</v>
      </c>
      <c r="L3567" s="11" t="n">
        <v>43027.425625</v>
      </c>
      <c r="M3567" s="12"/>
      <c r="N3567" s="12"/>
      <c r="O3567" s="9" t="str">
        <f aca="false">HYPERLINK("https://abs.twimg.com/sticky/default_profile_images/default_profile_normal.png","View")</f>
        <v>View</v>
      </c>
      <c r="P3567" s="10"/>
    </row>
    <row r="3568" customFormat="false" ht="15.75" hidden="false" customHeight="false" outlineLevel="0" collapsed="false">
      <c r="A3568" s="6" t="n">
        <v>43030.4593981481</v>
      </c>
      <c r="B3568" s="7" t="str">
        <f aca="false">HYPERLINK("https://twitter.com/AashishMisra","@AashishMisra")</f>
        <v>@AashishMisra</v>
      </c>
      <c r="C3568" s="8" t="s">
        <v>8708</v>
      </c>
      <c r="D3568" s="8" t="s">
        <v>8538</v>
      </c>
      <c r="E3568" s="9" t="str">
        <f aca="false">HYPERLINK("https://twitter.com/AashishMisra/status/922161012643545089","922161012643545089")</f>
        <v>922161012643545089</v>
      </c>
      <c r="F3568" s="10" t="s">
        <v>51</v>
      </c>
      <c r="G3568" s="10" t="n">
        <v>333</v>
      </c>
      <c r="H3568" s="10" t="n">
        <v>178</v>
      </c>
      <c r="I3568" s="10" t="n">
        <v>1015</v>
      </c>
      <c r="J3568" s="10" t="n">
        <v>0</v>
      </c>
      <c r="K3568" s="10" t="s">
        <v>20</v>
      </c>
      <c r="L3568" s="11" t="n">
        <v>39973.0513657407</v>
      </c>
      <c r="M3568" s="12" t="s">
        <v>253</v>
      </c>
      <c r="N3568" s="12" t="s">
        <v>8709</v>
      </c>
      <c r="O3568" s="9" t="str">
        <f aca="false">HYPERLINK("https://pbs.twimg.com/profile_images/868847454988505089/_TKpgNGa_normal.jpg","View")</f>
        <v>View</v>
      </c>
      <c r="P3568" s="10"/>
    </row>
    <row r="3569" customFormat="false" ht="15.75" hidden="false" customHeight="false" outlineLevel="0" collapsed="false">
      <c r="A3569" s="6" t="n">
        <v>43030.4594444444</v>
      </c>
      <c r="B3569" s="7" t="str">
        <f aca="false">HYPERLINK("https://twitter.com/cerebral_junkie","@cerebral_junkie")</f>
        <v>@cerebral_junkie</v>
      </c>
      <c r="C3569" s="8" t="s">
        <v>8710</v>
      </c>
      <c r="D3569" s="8" t="s">
        <v>8538</v>
      </c>
      <c r="E3569" s="9" t="str">
        <f aca="false">HYPERLINK("https://twitter.com/cerebral_junkie/status/922161027034243074","922161027034243074")</f>
        <v>922161027034243074</v>
      </c>
      <c r="F3569" s="10" t="s">
        <v>39</v>
      </c>
      <c r="G3569" s="10" t="n">
        <v>34</v>
      </c>
      <c r="H3569" s="10" t="n">
        <v>268</v>
      </c>
      <c r="I3569" s="10" t="n">
        <v>1015</v>
      </c>
      <c r="J3569" s="10" t="n">
        <v>0</v>
      </c>
      <c r="K3569" s="10" t="s">
        <v>20</v>
      </c>
      <c r="L3569" s="11" t="n">
        <v>43017.5668287037</v>
      </c>
      <c r="M3569" s="12" t="s">
        <v>8711</v>
      </c>
      <c r="N3569" s="12" t="s">
        <v>8712</v>
      </c>
      <c r="O3569" s="9" t="str">
        <f aca="false">HYPERLINK("https://pbs.twimg.com/profile_images/922365078887809025/bPgHW6mM_normal.jpg","View")</f>
        <v>View</v>
      </c>
      <c r="P3569" s="10"/>
    </row>
    <row r="3570" customFormat="false" ht="15.75" hidden="false" customHeight="false" outlineLevel="0" collapsed="false">
      <c r="A3570" s="6" t="n">
        <v>43030.4594444444</v>
      </c>
      <c r="B3570" s="7" t="str">
        <f aca="false">HYPERLINK("https://twitter.com/rachitst","@rachitst")</f>
        <v>@rachitst</v>
      </c>
      <c r="C3570" s="8" t="s">
        <v>6903</v>
      </c>
      <c r="D3570" s="8" t="s">
        <v>8538</v>
      </c>
      <c r="E3570" s="9" t="str">
        <f aca="false">HYPERLINK("https://twitter.com/rachitst/status/922161028737019905","922161028737019905")</f>
        <v>922161028737019905</v>
      </c>
      <c r="F3570" s="10" t="s">
        <v>25</v>
      </c>
      <c r="G3570" s="10" t="n">
        <v>660</v>
      </c>
      <c r="H3570" s="10" t="n">
        <v>632</v>
      </c>
      <c r="I3570" s="10" t="n">
        <v>1015</v>
      </c>
      <c r="J3570" s="10" t="n">
        <v>0</v>
      </c>
      <c r="K3570" s="10" t="s">
        <v>20</v>
      </c>
      <c r="L3570" s="11" t="n">
        <v>40299.0678935185</v>
      </c>
      <c r="M3570" s="12" t="s">
        <v>6904</v>
      </c>
      <c r="N3570" s="12" t="s">
        <v>6905</v>
      </c>
      <c r="O3570" s="9" t="str">
        <f aca="false">HYPERLINK("https://pbs.twimg.com/profile_images/899730048927776768/WCMpLkcW_normal.jpg","View")</f>
        <v>View</v>
      </c>
      <c r="P3570" s="10"/>
    </row>
    <row r="3571" customFormat="false" ht="15.75" hidden="false" customHeight="false" outlineLevel="0" collapsed="false">
      <c r="A3571" s="6" t="n">
        <v>43030.4597106482</v>
      </c>
      <c r="B3571" s="7" t="str">
        <f aca="false">HYPERLINK("https://twitter.com/vinayak_jain","@vinayak_jain")</f>
        <v>@vinayak_jain</v>
      </c>
      <c r="C3571" s="8" t="s">
        <v>8713</v>
      </c>
      <c r="D3571" s="8" t="s">
        <v>8714</v>
      </c>
      <c r="E3571" s="9" t="str">
        <f aca="false">HYPERLINK("https://twitter.com/vinayak_jain/status/922161121892716544","922161121892716544")</f>
        <v>922161121892716544</v>
      </c>
      <c r="F3571" s="10" t="s">
        <v>25</v>
      </c>
      <c r="G3571" s="10" t="n">
        <v>3167</v>
      </c>
      <c r="H3571" s="10" t="n">
        <v>155</v>
      </c>
      <c r="I3571" s="10" t="n">
        <v>4</v>
      </c>
      <c r="J3571" s="10" t="n">
        <v>13</v>
      </c>
      <c r="K3571" s="10" t="s">
        <v>20</v>
      </c>
      <c r="L3571" s="11" t="n">
        <v>41125.9978935185</v>
      </c>
      <c r="M3571" s="12" t="s">
        <v>72</v>
      </c>
      <c r="N3571" s="12" t="s">
        <v>8715</v>
      </c>
      <c r="O3571" s="9" t="str">
        <f aca="false">HYPERLINK("https://pbs.twimg.com/profile_images/920545548523802624/Xcwt5az2_normal.jpg","View")</f>
        <v>View</v>
      </c>
      <c r="P3571" s="10"/>
    </row>
    <row r="3572" customFormat="false" ht="15.75" hidden="false" customHeight="false" outlineLevel="0" collapsed="false">
      <c r="A3572" s="6" t="n">
        <v>43030.4597916667</v>
      </c>
      <c r="B3572" s="7" t="str">
        <f aca="false">HYPERLINK("https://twitter.com/parin_an","@parin_an")</f>
        <v>@parin_an</v>
      </c>
      <c r="C3572" s="8" t="s">
        <v>8716</v>
      </c>
      <c r="D3572" s="8" t="s">
        <v>8538</v>
      </c>
      <c r="E3572" s="9" t="str">
        <f aca="false">HYPERLINK("https://twitter.com/parin_an/status/922161154096541696","922161154096541696")</f>
        <v>922161154096541696</v>
      </c>
      <c r="F3572" s="10" t="s">
        <v>25</v>
      </c>
      <c r="G3572" s="10" t="n">
        <v>44</v>
      </c>
      <c r="H3572" s="10" t="n">
        <v>163</v>
      </c>
      <c r="I3572" s="10" t="n">
        <v>1015</v>
      </c>
      <c r="J3572" s="10" t="n">
        <v>0</v>
      </c>
      <c r="K3572" s="10" t="s">
        <v>20</v>
      </c>
      <c r="L3572" s="11" t="n">
        <v>42275.5611226852</v>
      </c>
      <c r="M3572" s="12" t="s">
        <v>8717</v>
      </c>
      <c r="N3572" s="12" t="s">
        <v>8718</v>
      </c>
      <c r="O3572" s="9" t="str">
        <f aca="false">HYPERLINK("https://pbs.twimg.com/profile_images/917462359073083395/20_7LBaY_normal.jpg","View")</f>
        <v>View</v>
      </c>
      <c r="P3572" s="10"/>
    </row>
    <row r="3573" customFormat="false" ht="15.75" hidden="false" customHeight="false" outlineLevel="0" collapsed="false">
      <c r="A3573" s="6" t="n">
        <v>43030.4598032407</v>
      </c>
      <c r="B3573" s="7" t="str">
        <f aca="false">HYPERLINK("https://twitter.com/YASHK1989","@YASHK1989")</f>
        <v>@YASHK1989</v>
      </c>
      <c r="C3573" s="8" t="s">
        <v>8719</v>
      </c>
      <c r="D3573" s="8" t="s">
        <v>8538</v>
      </c>
      <c r="E3573" s="9" t="str">
        <f aca="false">HYPERLINK("https://twitter.com/YASHK1989/status/922161156323557376","922161156323557376")</f>
        <v>922161156323557376</v>
      </c>
      <c r="F3573" s="10" t="s">
        <v>25</v>
      </c>
      <c r="G3573" s="10" t="n">
        <v>340</v>
      </c>
      <c r="H3573" s="10" t="n">
        <v>528</v>
      </c>
      <c r="I3573" s="10" t="n">
        <v>1015</v>
      </c>
      <c r="J3573" s="10" t="n">
        <v>0</v>
      </c>
      <c r="K3573" s="10" t="s">
        <v>20</v>
      </c>
      <c r="L3573" s="11" t="n">
        <v>41689.0382523148</v>
      </c>
      <c r="M3573" s="12" t="s">
        <v>8720</v>
      </c>
      <c r="N3573" s="12" t="s">
        <v>8721</v>
      </c>
      <c r="O3573" s="9" t="str">
        <f aca="false">HYPERLINK("https://pbs.twimg.com/profile_images/877482061317234688/_4QruH63_normal.jpg","View")</f>
        <v>View</v>
      </c>
      <c r="P3573" s="10"/>
    </row>
    <row r="3574" customFormat="false" ht="15.75" hidden="false" customHeight="false" outlineLevel="0" collapsed="false">
      <c r="A3574" s="6" t="n">
        <v>43030.4598148148</v>
      </c>
      <c r="B3574" s="7" t="str">
        <f aca="false">HYPERLINK("https://twitter.com/NTKRNow","@NTKRNow")</f>
        <v>@NTKRNow</v>
      </c>
      <c r="C3574" s="8" t="s">
        <v>829</v>
      </c>
      <c r="D3574" s="8" t="s">
        <v>8722</v>
      </c>
      <c r="E3574" s="9" t="str">
        <f aca="false">HYPERLINK("https://twitter.com/NTKRNow/status/922161162506133504","922161162506133504")</f>
        <v>922161162506133504</v>
      </c>
      <c r="F3574" s="10" t="s">
        <v>60</v>
      </c>
      <c r="G3574" s="10" t="n">
        <v>610</v>
      </c>
      <c r="H3574" s="10" t="n">
        <v>4</v>
      </c>
      <c r="I3574" s="10" t="n">
        <v>0</v>
      </c>
      <c r="J3574" s="10" t="n">
        <v>0</v>
      </c>
      <c r="K3574" s="10" t="s">
        <v>20</v>
      </c>
      <c r="L3574" s="11" t="n">
        <v>42402.810625</v>
      </c>
      <c r="M3574" s="12"/>
      <c r="N3574" s="12"/>
      <c r="O3574" s="9" t="str">
        <f aca="false">HYPERLINK("https://abs.twimg.com/sticky/default_profile_images/default_profile_normal.png","View")</f>
        <v>View</v>
      </c>
      <c r="P3574" s="10"/>
    </row>
    <row r="3575" customFormat="false" ht="15.75" hidden="false" customHeight="false" outlineLevel="0" collapsed="false">
      <c r="A3575" s="6" t="n">
        <v>43030.4598958333</v>
      </c>
      <c r="B3575" s="7" t="str">
        <f aca="false">HYPERLINK("https://twitter.com/t_okada","@t_okada")</f>
        <v>@t_okada</v>
      </c>
      <c r="C3575" s="14" t="s">
        <v>8723</v>
      </c>
      <c r="D3575" s="8" t="s">
        <v>8724</v>
      </c>
      <c r="E3575" s="9" t="str">
        <f aca="false">HYPERLINK("https://twitter.com/t_okada/status/922161192772059136","922161192772059136")</f>
        <v>922161192772059136</v>
      </c>
      <c r="F3575" s="10" t="s">
        <v>39</v>
      </c>
      <c r="G3575" s="10" t="n">
        <v>2966</v>
      </c>
      <c r="H3575" s="10" t="n">
        <v>1061</v>
      </c>
      <c r="I3575" s="10" t="n">
        <v>0</v>
      </c>
      <c r="J3575" s="10" t="n">
        <v>0</v>
      </c>
      <c r="K3575" s="10" t="s">
        <v>20</v>
      </c>
      <c r="L3575" s="11" t="n">
        <v>40017.118125</v>
      </c>
      <c r="M3575" s="13" t="s">
        <v>8725</v>
      </c>
      <c r="N3575" s="13" t="s">
        <v>8726</v>
      </c>
      <c r="O3575" s="9" t="str">
        <f aca="false">HYPERLINK("https://pbs.twimg.com/profile_images/672302563392249856/Zcg53zru_normal.jpg","View")</f>
        <v>View</v>
      </c>
      <c r="P3575" s="10"/>
    </row>
    <row r="3576" customFormat="false" ht="15.75" hidden="false" customHeight="false" outlineLevel="0" collapsed="false">
      <c r="A3576" s="6" t="n">
        <v>43030.4599074074</v>
      </c>
      <c r="B3576" s="7" t="str">
        <f aca="false">HYPERLINK("https://twitter.com/GOmasumi1","@GOmasumi1")</f>
        <v>@GOmasumi1</v>
      </c>
      <c r="C3576" s="8" t="s">
        <v>6827</v>
      </c>
      <c r="D3576" s="8" t="s">
        <v>6707</v>
      </c>
      <c r="E3576" s="9" t="str">
        <f aca="false">HYPERLINK("https://twitter.com/GOmasumi1/status/922161196236541953","922161196236541953")</f>
        <v>922161196236541953</v>
      </c>
      <c r="F3576" s="10" t="s">
        <v>25</v>
      </c>
      <c r="G3576" s="10" t="n">
        <v>238</v>
      </c>
      <c r="H3576" s="10" t="n">
        <v>261</v>
      </c>
      <c r="I3576" s="10" t="n">
        <v>97</v>
      </c>
      <c r="J3576" s="10" t="n">
        <v>0</v>
      </c>
      <c r="K3576" s="10" t="s">
        <v>20</v>
      </c>
      <c r="L3576" s="11" t="n">
        <v>41075.9577430556</v>
      </c>
      <c r="M3576" s="13" t="s">
        <v>6828</v>
      </c>
      <c r="N3576" s="13" t="s">
        <v>6829</v>
      </c>
      <c r="O3576" s="9" t="str">
        <f aca="false">HYPERLINK("https://pbs.twimg.com/profile_images/638437224132947968/mwkWgV5i_normal.jpg","View")</f>
        <v>View</v>
      </c>
      <c r="P3576" s="10"/>
    </row>
    <row r="3577" customFormat="false" ht="15.75" hidden="false" customHeight="false" outlineLevel="0" collapsed="false">
      <c r="A3577" s="6" t="n">
        <v>43030.4600231481</v>
      </c>
      <c r="B3577" s="7" t="str">
        <f aca="false">HYPERLINK("https://twitter.com/neelamrr1974","@neelamrr1974")</f>
        <v>@neelamrr1974</v>
      </c>
      <c r="C3577" s="8" t="s">
        <v>8727</v>
      </c>
      <c r="D3577" s="8" t="s">
        <v>8538</v>
      </c>
      <c r="E3577" s="9" t="str">
        <f aca="false">HYPERLINK("https://twitter.com/neelamrr1974/status/922161237642768385","922161237642768385")</f>
        <v>922161237642768385</v>
      </c>
      <c r="F3577" s="10" t="s">
        <v>25</v>
      </c>
      <c r="G3577" s="10" t="n">
        <v>913</v>
      </c>
      <c r="H3577" s="10" t="n">
        <v>224</v>
      </c>
      <c r="I3577" s="10" t="n">
        <v>1015</v>
      </c>
      <c r="J3577" s="10" t="n">
        <v>0</v>
      </c>
      <c r="K3577" s="10" t="s">
        <v>20</v>
      </c>
      <c r="L3577" s="11" t="n">
        <v>41510.1790625</v>
      </c>
      <c r="M3577" s="12" t="s">
        <v>8728</v>
      </c>
      <c r="N3577" s="12"/>
      <c r="O3577" s="9" t="str">
        <f aca="false">HYPERLINK("https://pbs.twimg.com/profile_images/894662179571384320/m_9IaNho_normal.jpg","View")</f>
        <v>View</v>
      </c>
      <c r="P3577" s="10"/>
    </row>
    <row r="3578" customFormat="false" ht="15.75" hidden="false" customHeight="false" outlineLevel="0" collapsed="false">
      <c r="A3578" s="6" t="n">
        <v>43030.4601736111</v>
      </c>
      <c r="B3578" s="7" t="str">
        <f aca="false">HYPERLINK("https://twitter.com/arunabhalahiri","@arunabhalahiri")</f>
        <v>@arunabhalahiri</v>
      </c>
      <c r="C3578" s="8" t="s">
        <v>8729</v>
      </c>
      <c r="D3578" s="8" t="s">
        <v>8538</v>
      </c>
      <c r="E3578" s="9" t="str">
        <f aca="false">HYPERLINK("https://twitter.com/arunabhalahiri/status/922161292709838848","922161292709838848")</f>
        <v>922161292709838848</v>
      </c>
      <c r="F3578" s="10" t="s">
        <v>98</v>
      </c>
      <c r="G3578" s="10" t="n">
        <v>23</v>
      </c>
      <c r="H3578" s="10" t="n">
        <v>1595</v>
      </c>
      <c r="I3578" s="10" t="n">
        <v>1015</v>
      </c>
      <c r="J3578" s="10" t="n">
        <v>0</v>
      </c>
      <c r="K3578" s="10" t="s">
        <v>20</v>
      </c>
      <c r="L3578" s="11" t="n">
        <v>41459.3814583333</v>
      </c>
      <c r="M3578" s="12" t="s">
        <v>8730</v>
      </c>
      <c r="N3578" s="12" t="s">
        <v>8731</v>
      </c>
      <c r="O3578" s="9" t="str">
        <f aca="false">HYPERLINK("https://abs.twimg.com/sticky/default_profile_images/default_profile_normal.png","View")</f>
        <v>View</v>
      </c>
      <c r="P3578" s="10"/>
    </row>
    <row r="3579" customFormat="false" ht="15.75" hidden="false" customHeight="false" outlineLevel="0" collapsed="false">
      <c r="A3579" s="6" t="n">
        <v>43030.4601851852</v>
      </c>
      <c r="B3579" s="7" t="str">
        <f aca="false">HYPERLINK("https://twitter.com/ms_vels","@ms_vels")</f>
        <v>@ms_vels</v>
      </c>
      <c r="C3579" s="8" t="s">
        <v>8732</v>
      </c>
      <c r="D3579" s="8" t="s">
        <v>8538</v>
      </c>
      <c r="E3579" s="9" t="str">
        <f aca="false">HYPERLINK("https://twitter.com/ms_vels/status/922161297051045888","922161297051045888")</f>
        <v>922161297051045888</v>
      </c>
      <c r="F3579" s="10" t="s">
        <v>39</v>
      </c>
      <c r="G3579" s="10" t="n">
        <v>301</v>
      </c>
      <c r="H3579" s="10" t="n">
        <v>1153</v>
      </c>
      <c r="I3579" s="10" t="n">
        <v>1015</v>
      </c>
      <c r="J3579" s="10" t="n">
        <v>0</v>
      </c>
      <c r="K3579" s="10" t="s">
        <v>20</v>
      </c>
      <c r="L3579" s="11" t="n">
        <v>40850.1969791667</v>
      </c>
      <c r="M3579" s="12" t="s">
        <v>8733</v>
      </c>
      <c r="N3579" s="12" t="s">
        <v>8734</v>
      </c>
      <c r="O3579" s="9" t="str">
        <f aca="false">HYPERLINK("https://pbs.twimg.com/profile_images/922645789201108992/sULlY3T0_normal.jpg","View")</f>
        <v>View</v>
      </c>
      <c r="P3579" s="10"/>
    </row>
    <row r="3580" customFormat="false" ht="15.75" hidden="false" customHeight="false" outlineLevel="0" collapsed="false">
      <c r="A3580" s="6" t="n">
        <v>43030.4602430556</v>
      </c>
      <c r="B3580" s="7" t="str">
        <f aca="false">HYPERLINK("https://twitter.com/FAquila","@FAquila")</f>
        <v>@FAquila</v>
      </c>
      <c r="C3580" s="8" t="s">
        <v>2557</v>
      </c>
      <c r="D3580" s="8" t="s">
        <v>8735</v>
      </c>
      <c r="E3580" s="9" t="str">
        <f aca="false">HYPERLINK("https://twitter.com/FAquila/status/922161318832033792","922161318832033792")</f>
        <v>922161318832033792</v>
      </c>
      <c r="F3580" s="10" t="s">
        <v>51</v>
      </c>
      <c r="G3580" s="10" t="n">
        <v>4668</v>
      </c>
      <c r="H3580" s="10" t="n">
        <v>75</v>
      </c>
      <c r="I3580" s="10" t="n">
        <v>2</v>
      </c>
      <c r="J3580" s="10" t="n">
        <v>1</v>
      </c>
      <c r="K3580" s="10" t="s">
        <v>20</v>
      </c>
      <c r="L3580" s="11" t="n">
        <v>39908.4122800926</v>
      </c>
      <c r="M3580" s="12" t="s">
        <v>319</v>
      </c>
      <c r="N3580" s="12" t="s">
        <v>2559</v>
      </c>
      <c r="O3580" s="9" t="str">
        <f aca="false">HYPERLINK("https://pbs.twimg.com/profile_images/561543841040592898/3xVOyZei_normal.jpeg","View")</f>
        <v>View</v>
      </c>
      <c r="P3580" s="10"/>
    </row>
    <row r="3581" customFormat="false" ht="15.75" hidden="false" customHeight="false" outlineLevel="0" collapsed="false">
      <c r="A3581" s="6" t="n">
        <v>43030.460474537</v>
      </c>
      <c r="B3581" s="7" t="str">
        <f aca="false">HYPERLINK("https://twitter.com/Ubrangala","@Ubrangala")</f>
        <v>@Ubrangala</v>
      </c>
      <c r="C3581" s="8" t="s">
        <v>8736</v>
      </c>
      <c r="D3581" s="8" t="s">
        <v>8538</v>
      </c>
      <c r="E3581" s="9" t="str">
        <f aca="false">HYPERLINK("https://twitter.com/Ubrangala/status/922161401677856768","922161401677856768")</f>
        <v>922161401677856768</v>
      </c>
      <c r="F3581" s="10" t="s">
        <v>39</v>
      </c>
      <c r="G3581" s="10" t="n">
        <v>79</v>
      </c>
      <c r="H3581" s="10" t="n">
        <v>205</v>
      </c>
      <c r="I3581" s="10" t="n">
        <v>1015</v>
      </c>
      <c r="J3581" s="10" t="n">
        <v>0</v>
      </c>
      <c r="K3581" s="10" t="s">
        <v>20</v>
      </c>
      <c r="L3581" s="11" t="n">
        <v>41334.295162037</v>
      </c>
      <c r="M3581" s="12" t="s">
        <v>8737</v>
      </c>
      <c r="N3581" s="12" t="s">
        <v>8738</v>
      </c>
      <c r="O3581" s="9" t="str">
        <f aca="false">HYPERLINK("https://pbs.twimg.com/profile_images/628647055833980929/FzLlgiyU_normal.jpg","View")</f>
        <v>View</v>
      </c>
      <c r="P3581" s="10"/>
    </row>
    <row r="3582" customFormat="false" ht="15.75" hidden="false" customHeight="false" outlineLevel="0" collapsed="false">
      <c r="A3582" s="6" t="n">
        <v>43030.4604976852</v>
      </c>
      <c r="B3582" s="7" t="str">
        <f aca="false">HYPERLINK("https://twitter.com/akv1179","@akv1179")</f>
        <v>@akv1179</v>
      </c>
      <c r="C3582" s="8" t="s">
        <v>8739</v>
      </c>
      <c r="D3582" s="8" t="s">
        <v>8538</v>
      </c>
      <c r="E3582" s="9" t="str">
        <f aca="false">HYPERLINK("https://twitter.com/akv1179/status/922161408845914112","922161408845914112")</f>
        <v>922161408845914112</v>
      </c>
      <c r="F3582" s="10" t="s">
        <v>51</v>
      </c>
      <c r="G3582" s="10" t="n">
        <v>434</v>
      </c>
      <c r="H3582" s="10" t="n">
        <v>1178</v>
      </c>
      <c r="I3582" s="10" t="n">
        <v>1015</v>
      </c>
      <c r="J3582" s="10" t="n">
        <v>0</v>
      </c>
      <c r="K3582" s="10" t="s">
        <v>20</v>
      </c>
      <c r="L3582" s="11" t="n">
        <v>41757.0604166667</v>
      </c>
      <c r="M3582" s="12"/>
      <c r="N3582" s="12" t="s">
        <v>8740</v>
      </c>
      <c r="O3582" s="9" t="str">
        <f aca="false">HYPERLINK("https://pbs.twimg.com/profile_images/870971260674514944/ycZ91bGw_normal.jpg","View")</f>
        <v>View</v>
      </c>
      <c r="P3582" s="10"/>
    </row>
    <row r="3583" customFormat="false" ht="15.75" hidden="false" customHeight="false" outlineLevel="0" collapsed="false">
      <c r="A3583" s="6" t="n">
        <v>43030.460775463</v>
      </c>
      <c r="B3583" s="7" t="str">
        <f aca="false">HYPERLINK("https://twitter.com/skribjohn","@skribjohn")</f>
        <v>@skribjohn</v>
      </c>
      <c r="C3583" s="8" t="s">
        <v>8741</v>
      </c>
      <c r="D3583" s="8" t="s">
        <v>8742</v>
      </c>
      <c r="E3583" s="9" t="str">
        <f aca="false">HYPERLINK("https://twitter.com/skribjohn/status/922161509421277184","922161509421277184")</f>
        <v>922161509421277184</v>
      </c>
      <c r="F3583" s="10" t="s">
        <v>25</v>
      </c>
      <c r="G3583" s="10" t="n">
        <v>692</v>
      </c>
      <c r="H3583" s="10" t="n">
        <v>2200</v>
      </c>
      <c r="I3583" s="10" t="n">
        <v>2</v>
      </c>
      <c r="J3583" s="10" t="n">
        <v>0</v>
      </c>
      <c r="K3583" s="10" t="s">
        <v>20</v>
      </c>
      <c r="L3583" s="11" t="n">
        <v>41374.1310532407</v>
      </c>
      <c r="M3583" s="12" t="s">
        <v>8743</v>
      </c>
      <c r="N3583" s="12" t="s">
        <v>8744</v>
      </c>
      <c r="O3583" s="9" t="str">
        <f aca="false">HYPERLINK("https://pbs.twimg.com/profile_images/875269926055022593/BpKkWBSd_normal.jpg","View")</f>
        <v>View</v>
      </c>
      <c r="P3583" s="10"/>
    </row>
    <row r="3584" customFormat="false" ht="15.75" hidden="false" customHeight="false" outlineLevel="0" collapsed="false">
      <c r="A3584" s="6" t="n">
        <v>43030.460787037</v>
      </c>
      <c r="B3584" s="7" t="str">
        <f aca="false">HYPERLINK("https://twitter.com/yesbabunni","@yesbabunni")</f>
        <v>@yesbabunni</v>
      </c>
      <c r="C3584" s="8" t="s">
        <v>8745</v>
      </c>
      <c r="D3584" s="8" t="s">
        <v>8538</v>
      </c>
      <c r="E3584" s="9" t="str">
        <f aca="false">HYPERLINK("https://twitter.com/yesbabunni/status/922161511950254080","922161511950254080")</f>
        <v>922161511950254080</v>
      </c>
      <c r="F3584" s="10" t="s">
        <v>39</v>
      </c>
      <c r="G3584" s="10" t="n">
        <v>2581</v>
      </c>
      <c r="H3584" s="10" t="n">
        <v>850</v>
      </c>
      <c r="I3584" s="10" t="n">
        <v>1015</v>
      </c>
      <c r="J3584" s="10" t="n">
        <v>0</v>
      </c>
      <c r="K3584" s="10" t="s">
        <v>20</v>
      </c>
      <c r="L3584" s="11" t="n">
        <v>40817.3663657407</v>
      </c>
      <c r="M3584" s="12"/>
      <c r="N3584" s="12" t="s">
        <v>8746</v>
      </c>
      <c r="O3584" s="9" t="str">
        <f aca="false">HYPERLINK("https://pbs.twimg.com/profile_images/559205489037148160/dR0NOE1k_normal.jpeg","View")</f>
        <v>View</v>
      </c>
      <c r="P3584" s="10"/>
    </row>
    <row r="3585" customFormat="false" ht="15.75" hidden="false" customHeight="false" outlineLevel="0" collapsed="false">
      <c r="A3585" s="6" t="n">
        <v>43030.4608680556</v>
      </c>
      <c r="B3585" s="7" t="str">
        <f aca="false">HYPERLINK("https://twitter.com/kailaspk","@kailaspk")</f>
        <v>@kailaspk</v>
      </c>
      <c r="C3585" s="8" t="s">
        <v>8747</v>
      </c>
      <c r="D3585" s="8" t="s">
        <v>8538</v>
      </c>
      <c r="E3585" s="9" t="str">
        <f aca="false">HYPERLINK("https://twitter.com/kailaspk/status/922161542522474496","922161542522474496")</f>
        <v>922161542522474496</v>
      </c>
      <c r="F3585" s="10" t="s">
        <v>25</v>
      </c>
      <c r="G3585" s="10" t="n">
        <v>342</v>
      </c>
      <c r="H3585" s="10" t="n">
        <v>385</v>
      </c>
      <c r="I3585" s="10" t="n">
        <v>1015</v>
      </c>
      <c r="J3585" s="10" t="n">
        <v>0</v>
      </c>
      <c r="K3585" s="10" t="s">
        <v>20</v>
      </c>
      <c r="L3585" s="11" t="n">
        <v>40293.9187384259</v>
      </c>
      <c r="M3585" s="12"/>
      <c r="N3585" s="12" t="s">
        <v>8748</v>
      </c>
      <c r="O3585" s="9" t="str">
        <f aca="false">HYPERLINK("https://pbs.twimg.com/profile_images/797881243454951424/urDDlMZh_normal.jpg","View")</f>
        <v>View</v>
      </c>
      <c r="P3585" s="10"/>
    </row>
    <row r="3586" customFormat="false" ht="15.75" hidden="false" customHeight="false" outlineLevel="0" collapsed="false">
      <c r="A3586" s="6" t="n">
        <v>43030.4609490741</v>
      </c>
      <c r="B3586" s="7" t="str">
        <f aca="false">HYPERLINK("https://twitter.com/newsonreddit","@newsonreddit")</f>
        <v>@newsonreddit</v>
      </c>
      <c r="C3586" s="8" t="s">
        <v>1388</v>
      </c>
      <c r="D3586" s="8" t="s">
        <v>8749</v>
      </c>
      <c r="E3586" s="9" t="str">
        <f aca="false">HYPERLINK("https://twitter.com/newsonreddit/status/922161570733592579","922161570733592579")</f>
        <v>922161570733592579</v>
      </c>
      <c r="F3586" s="10" t="s">
        <v>60</v>
      </c>
      <c r="G3586" s="10" t="n">
        <v>106</v>
      </c>
      <c r="H3586" s="10" t="n">
        <v>0</v>
      </c>
      <c r="I3586" s="10" t="n">
        <v>0</v>
      </c>
      <c r="J3586" s="10" t="n">
        <v>0</v>
      </c>
      <c r="K3586" s="10" t="s">
        <v>20</v>
      </c>
      <c r="L3586" s="11" t="n">
        <v>42557.4315856481</v>
      </c>
      <c r="M3586" s="12"/>
      <c r="N3586" s="12" t="s">
        <v>1390</v>
      </c>
      <c r="O3586" s="9" t="str">
        <f aca="false">HYPERLINK("https://pbs.twimg.com/profile_images/750875730444189696/U36MDaYz_normal.jpg","View")</f>
        <v>View</v>
      </c>
      <c r="P3586" s="10"/>
    </row>
    <row r="3587" customFormat="false" ht="15.75" hidden="false" customHeight="false" outlineLevel="0" collapsed="false">
      <c r="A3587" s="6" t="n">
        <v>43030.4610763889</v>
      </c>
      <c r="B3587" s="7" t="str">
        <f aca="false">HYPERLINK("https://twitter.com/honestology","@honestology")</f>
        <v>@honestology</v>
      </c>
      <c r="C3587" s="8" t="s">
        <v>8750</v>
      </c>
      <c r="D3587" s="8" t="s">
        <v>8538</v>
      </c>
      <c r="E3587" s="9" t="str">
        <f aca="false">HYPERLINK("https://twitter.com/honestology/status/922161617546108930","922161617546108930")</f>
        <v>922161617546108930</v>
      </c>
      <c r="F3587" s="10" t="s">
        <v>51</v>
      </c>
      <c r="G3587" s="10" t="n">
        <v>293</v>
      </c>
      <c r="H3587" s="10" t="n">
        <v>289</v>
      </c>
      <c r="I3587" s="10" t="n">
        <v>1015</v>
      </c>
      <c r="J3587" s="10" t="n">
        <v>0</v>
      </c>
      <c r="K3587" s="10" t="s">
        <v>20</v>
      </c>
      <c r="L3587" s="11" t="n">
        <v>41272.8670601852</v>
      </c>
      <c r="M3587" s="12"/>
      <c r="N3587" s="12" t="s">
        <v>8751</v>
      </c>
      <c r="O3587" s="9" t="str">
        <f aca="false">HYPERLINK("https://pbs.twimg.com/profile_images/914892463298375680/SrxlVYou_normal.jpg","View")</f>
        <v>View</v>
      </c>
      <c r="P3587" s="10"/>
    </row>
    <row r="3588" customFormat="false" ht="15.75" hidden="false" customHeight="false" outlineLevel="0" collapsed="false">
      <c r="A3588" s="6" t="n">
        <v>43030.46125</v>
      </c>
      <c r="B3588" s="7" t="str">
        <f aca="false">HYPERLINK("https://twitter.com/6angel9699","@6angel9699")</f>
        <v>@6angel9699</v>
      </c>
      <c r="C3588" s="8" t="s">
        <v>8752</v>
      </c>
      <c r="D3588" s="8" t="s">
        <v>8538</v>
      </c>
      <c r="E3588" s="9" t="str">
        <f aca="false">HYPERLINK("https://twitter.com/6angel9699/status/922161680368287744","922161680368287744")</f>
        <v>922161680368287744</v>
      </c>
      <c r="F3588" s="10" t="s">
        <v>51</v>
      </c>
      <c r="G3588" s="10" t="n">
        <v>28</v>
      </c>
      <c r="H3588" s="10" t="n">
        <v>163</v>
      </c>
      <c r="I3588" s="10" t="n">
        <v>1015</v>
      </c>
      <c r="J3588" s="10" t="n">
        <v>0</v>
      </c>
      <c r="K3588" s="10" t="s">
        <v>20</v>
      </c>
      <c r="L3588" s="11" t="n">
        <v>42599.4636111111</v>
      </c>
      <c r="M3588" s="12"/>
      <c r="N3588" s="12"/>
      <c r="O3588" s="9" t="str">
        <f aca="false">HYPERLINK("https://pbs.twimg.com/profile_images/910482057687478273/SC70wKAy_normal.jpg","View")</f>
        <v>View</v>
      </c>
      <c r="P3588" s="10"/>
    </row>
    <row r="3589" customFormat="false" ht="15.75" hidden="false" customHeight="false" outlineLevel="0" collapsed="false">
      <c r="A3589" s="6" t="n">
        <v>43030.4613078704</v>
      </c>
      <c r="B3589" s="7" t="str">
        <f aca="false">HYPERLINK("https://twitter.com/adn_guizar","@adn_guizar")</f>
        <v>@adn_guizar</v>
      </c>
      <c r="C3589" s="8" t="s">
        <v>8753</v>
      </c>
      <c r="D3589" s="8" t="s">
        <v>8754</v>
      </c>
      <c r="E3589" s="9" t="str">
        <f aca="false">HYPERLINK("https://twitter.com/adn_guizar/status/922161703118426112","922161703118426112")</f>
        <v>922161703118426112</v>
      </c>
      <c r="F3589" s="10" t="s">
        <v>25</v>
      </c>
      <c r="G3589" s="10" t="n">
        <v>92</v>
      </c>
      <c r="H3589" s="10" t="n">
        <v>163</v>
      </c>
      <c r="I3589" s="10" t="n">
        <v>0</v>
      </c>
      <c r="J3589" s="10" t="n">
        <v>0</v>
      </c>
      <c r="K3589" s="10" t="s">
        <v>20</v>
      </c>
      <c r="L3589" s="11" t="n">
        <v>40427.6342361111</v>
      </c>
      <c r="M3589" s="12"/>
      <c r="N3589" s="12" t="s">
        <v>8755</v>
      </c>
      <c r="O3589" s="9" t="str">
        <f aca="false">HYPERLINK("https://pbs.twimg.com/profile_images/914948395583852544/FiPbvdu5_normal.jpg","View")</f>
        <v>View</v>
      </c>
      <c r="P3589" s="10"/>
    </row>
    <row r="3590" customFormat="false" ht="15.75" hidden="false" customHeight="false" outlineLevel="0" collapsed="false">
      <c r="A3590" s="6" t="n">
        <v>43030.4614930556</v>
      </c>
      <c r="B3590" s="7" t="str">
        <f aca="false">HYPERLINK("https://twitter.com/codeprss","@codeprss")</f>
        <v>@codeprss</v>
      </c>
      <c r="C3590" s="8" t="s">
        <v>8756</v>
      </c>
      <c r="D3590" s="8" t="s">
        <v>8538</v>
      </c>
      <c r="E3590" s="9" t="str">
        <f aca="false">HYPERLINK("https://twitter.com/codeprss/status/922161768478019584","922161768478019584")</f>
        <v>922161768478019584</v>
      </c>
      <c r="F3590" s="10" t="s">
        <v>39</v>
      </c>
      <c r="G3590" s="10" t="n">
        <v>182</v>
      </c>
      <c r="H3590" s="10" t="n">
        <v>2755</v>
      </c>
      <c r="I3590" s="10" t="n">
        <v>1015</v>
      </c>
      <c r="J3590" s="10" t="n">
        <v>0</v>
      </c>
      <c r="K3590" s="10" t="s">
        <v>20</v>
      </c>
      <c r="L3590" s="11" t="n">
        <v>40801.5834259259</v>
      </c>
      <c r="M3590" s="12"/>
      <c r="N3590" s="12" t="s">
        <v>8757</v>
      </c>
      <c r="O3590" s="9" t="str">
        <f aca="false">HYPERLINK("https://pbs.twimg.com/profile_images/378800000470586833/7d2a376ce14cb5259b5072bf9ade30d9_normal.jpeg","View")</f>
        <v>View</v>
      </c>
      <c r="P3590" s="10"/>
    </row>
    <row r="3591" customFormat="false" ht="15.75" hidden="false" customHeight="false" outlineLevel="0" collapsed="false">
      <c r="A3591" s="6" t="n">
        <v>43030.4615625</v>
      </c>
      <c r="B3591" s="7" t="str">
        <f aca="false">HYPERLINK("https://twitter.com/rooopsing","@rooopsing")</f>
        <v>@rooopsing</v>
      </c>
      <c r="C3591" s="8" t="s">
        <v>8758</v>
      </c>
      <c r="D3591" s="8" t="s">
        <v>8538</v>
      </c>
      <c r="E3591" s="9" t="str">
        <f aca="false">HYPERLINK("https://twitter.com/rooopsing/status/922161792964485120","922161792964485120")</f>
        <v>922161792964485120</v>
      </c>
      <c r="F3591" s="10" t="s">
        <v>25</v>
      </c>
      <c r="G3591" s="10" t="n">
        <v>444</v>
      </c>
      <c r="H3591" s="10" t="n">
        <v>638</v>
      </c>
      <c r="I3591" s="10" t="n">
        <v>1015</v>
      </c>
      <c r="J3591" s="10" t="n">
        <v>0</v>
      </c>
      <c r="K3591" s="10" t="s">
        <v>20</v>
      </c>
      <c r="L3591" s="11" t="n">
        <v>40217.0725347222</v>
      </c>
      <c r="M3591" s="12"/>
      <c r="N3591" s="12" t="s">
        <v>8759</v>
      </c>
      <c r="O3591" s="9" t="str">
        <f aca="false">HYPERLINK("https://pbs.twimg.com/profile_images/848571623363891200/DnsEp1V9_normal.jpg","View")</f>
        <v>View</v>
      </c>
      <c r="P3591" s="10"/>
    </row>
    <row r="3592" customFormat="false" ht="15.75" hidden="false" customHeight="false" outlineLevel="0" collapsed="false">
      <c r="A3592" s="6" t="n">
        <v>43030.4615625</v>
      </c>
      <c r="B3592" s="7" t="str">
        <f aca="false">HYPERLINK("https://twitter.com/AIOISOIA","@AIOISOIA")</f>
        <v>@AIOISOIA</v>
      </c>
      <c r="C3592" s="8" t="s">
        <v>8760</v>
      </c>
      <c r="D3592" s="8" t="s">
        <v>8538</v>
      </c>
      <c r="E3592" s="9" t="str">
        <f aca="false">HYPERLINK("https://twitter.com/AIOISOIA/status/922161795145482240","922161795145482240")</f>
        <v>922161795145482240</v>
      </c>
      <c r="F3592" s="10" t="s">
        <v>39</v>
      </c>
      <c r="G3592" s="10" t="n">
        <v>92</v>
      </c>
      <c r="H3592" s="10" t="n">
        <v>145</v>
      </c>
      <c r="I3592" s="10" t="n">
        <v>1015</v>
      </c>
      <c r="J3592" s="10" t="n">
        <v>0</v>
      </c>
      <c r="K3592" s="10" t="s">
        <v>20</v>
      </c>
      <c r="L3592" s="11" t="n">
        <v>42697.4668171296</v>
      </c>
      <c r="M3592" s="12"/>
      <c r="N3592" s="12"/>
      <c r="O3592" s="9" t="str">
        <f aca="false">HYPERLINK("https://pbs.twimg.com/profile_images/857489649589035008/bX7E4N3p_normal.jpg","View")</f>
        <v>View</v>
      </c>
      <c r="P3592" s="10"/>
    </row>
    <row r="3593" customFormat="false" ht="15.75" hidden="false" customHeight="false" outlineLevel="0" collapsed="false">
      <c r="A3593" s="6" t="n">
        <v>43030.4616319445</v>
      </c>
      <c r="B3593" s="7" t="str">
        <f aca="false">HYPERLINK("https://twitter.com/CllrBGentry","@CllrBGentry")</f>
        <v>@CllrBGentry</v>
      </c>
      <c r="C3593" s="8" t="s">
        <v>8761</v>
      </c>
      <c r="D3593" s="8" t="s">
        <v>3295</v>
      </c>
      <c r="E3593" s="9" t="str">
        <f aca="false">HYPERLINK("https://twitter.com/CllrBGentry/status/922161820110028800","922161820110028800")</f>
        <v>922161820110028800</v>
      </c>
      <c r="F3593" s="10" t="s">
        <v>177</v>
      </c>
      <c r="G3593" s="10" t="n">
        <v>695</v>
      </c>
      <c r="H3593" s="10" t="n">
        <v>463</v>
      </c>
      <c r="I3593" s="10" t="n">
        <v>71</v>
      </c>
      <c r="J3593" s="10" t="n">
        <v>0</v>
      </c>
      <c r="K3593" s="10" t="s">
        <v>20</v>
      </c>
      <c r="L3593" s="11" t="n">
        <v>41465.4092013889</v>
      </c>
      <c r="M3593" s="12" t="s">
        <v>8762</v>
      </c>
      <c r="N3593" s="12" t="s">
        <v>8763</v>
      </c>
      <c r="O3593" s="9" t="str">
        <f aca="false">HYPERLINK("https://pbs.twimg.com/profile_images/584003549467713538/cDtJ6G2g_normal.jpg","View")</f>
        <v>View</v>
      </c>
      <c r="P3593" s="10"/>
    </row>
    <row r="3594" customFormat="false" ht="15.75" hidden="false" customHeight="false" outlineLevel="0" collapsed="false">
      <c r="A3594" s="6" t="n">
        <v>43030.461712963</v>
      </c>
      <c r="B3594" s="7" t="str">
        <f aca="false">HYPERLINK("https://twitter.com/francey52","@francey52")</f>
        <v>@francey52</v>
      </c>
      <c r="C3594" s="8" t="s">
        <v>8764</v>
      </c>
      <c r="D3594" s="8" t="s">
        <v>8765</v>
      </c>
      <c r="E3594" s="9" t="str">
        <f aca="false">HYPERLINK("https://twitter.com/francey52/status/922161850271322113","922161850271322113")</f>
        <v>922161850271322113</v>
      </c>
      <c r="F3594" s="10" t="s">
        <v>51</v>
      </c>
      <c r="G3594" s="10" t="n">
        <v>1030</v>
      </c>
      <c r="H3594" s="10" t="n">
        <v>2111</v>
      </c>
      <c r="I3594" s="10" t="n">
        <v>0</v>
      </c>
      <c r="J3594" s="10" t="n">
        <v>0</v>
      </c>
      <c r="K3594" s="10" t="s">
        <v>20</v>
      </c>
      <c r="L3594" s="11" t="n">
        <v>39952.5971527778</v>
      </c>
      <c r="M3594" s="12" t="s">
        <v>8766</v>
      </c>
      <c r="N3594" s="12"/>
      <c r="O3594" s="9" t="str">
        <f aca="false">HYPERLINK("https://pbs.twimg.com/profile_images/896592342374731776/lM6A_2Qz_normal.jpg","View")</f>
        <v>View</v>
      </c>
      <c r="P3594" s="10"/>
    </row>
    <row r="3595" customFormat="false" ht="15.75" hidden="false" customHeight="false" outlineLevel="0" collapsed="false">
      <c r="A3595" s="6" t="n">
        <v>43030.4618981482</v>
      </c>
      <c r="B3595" s="7" t="str">
        <f aca="false">HYPERLINK("https://twitter.com/PrasadKarwa","@PrasadKarwa")</f>
        <v>@PrasadKarwa</v>
      </c>
      <c r="C3595" s="8" t="s">
        <v>8767</v>
      </c>
      <c r="D3595" s="8" t="s">
        <v>8538</v>
      </c>
      <c r="E3595" s="9" t="str">
        <f aca="false">HYPERLINK("https://twitter.com/PrasadKarwa/status/922161916075679744","922161916075679744")</f>
        <v>922161916075679744</v>
      </c>
      <c r="F3595" s="10" t="s">
        <v>25</v>
      </c>
      <c r="G3595" s="10" t="n">
        <v>1674</v>
      </c>
      <c r="H3595" s="10" t="n">
        <v>276</v>
      </c>
      <c r="I3595" s="10" t="n">
        <v>1015</v>
      </c>
      <c r="J3595" s="10" t="n">
        <v>0</v>
      </c>
      <c r="K3595" s="10" t="s">
        <v>20</v>
      </c>
      <c r="L3595" s="11" t="n">
        <v>41277.2873958333</v>
      </c>
      <c r="M3595" s="12" t="s">
        <v>8768</v>
      </c>
      <c r="N3595" s="12" t="s">
        <v>8769</v>
      </c>
      <c r="O3595" s="9" t="str">
        <f aca="false">HYPERLINK("https://pbs.twimg.com/profile_images/913047183062048769/Nc6oJzKx_normal.jpg","View")</f>
        <v>View</v>
      </c>
      <c r="P3595" s="10"/>
    </row>
    <row r="3596" customFormat="false" ht="15.75" hidden="false" customHeight="false" outlineLevel="0" collapsed="false">
      <c r="A3596" s="6" t="n">
        <v>43030.4623032407</v>
      </c>
      <c r="B3596" s="7" t="str">
        <f aca="false">HYPERLINK("https://twitter.com/2004Raman","@2004Raman")</f>
        <v>@2004Raman</v>
      </c>
      <c r="C3596" s="8" t="s">
        <v>8770</v>
      </c>
      <c r="D3596" s="8" t="s">
        <v>8538</v>
      </c>
      <c r="E3596" s="9" t="str">
        <f aca="false">HYPERLINK("https://twitter.com/2004Raman/status/922162065137004545","922162065137004545")</f>
        <v>922162065137004545</v>
      </c>
      <c r="F3596" s="10" t="s">
        <v>25</v>
      </c>
      <c r="G3596" s="10" t="n">
        <v>171</v>
      </c>
      <c r="H3596" s="10" t="n">
        <v>158</v>
      </c>
      <c r="I3596" s="10" t="n">
        <v>1015</v>
      </c>
      <c r="J3596" s="10" t="n">
        <v>0</v>
      </c>
      <c r="K3596" s="10" t="s">
        <v>20</v>
      </c>
      <c r="L3596" s="11" t="n">
        <v>41895.4166203704</v>
      </c>
      <c r="M3596" s="12" t="s">
        <v>186</v>
      </c>
      <c r="N3596" s="12" t="s">
        <v>8771</v>
      </c>
      <c r="O3596" s="9" t="str">
        <f aca="false">HYPERLINK("https://pbs.twimg.com/profile_images/694739580226940928/K3K-KiZr_normal.jpg","View")</f>
        <v>View</v>
      </c>
      <c r="P3596" s="10"/>
    </row>
    <row r="3597" customFormat="false" ht="15.75" hidden="false" customHeight="false" outlineLevel="0" collapsed="false">
      <c r="A3597" s="6" t="n">
        <v>43030.4623726852</v>
      </c>
      <c r="B3597" s="7" t="str">
        <f aca="false">HYPERLINK("https://twitter.com/ahmadmuzhir","@ahmadmuzhir")</f>
        <v>@ahmadmuzhir</v>
      </c>
      <c r="C3597" s="8" t="s">
        <v>8772</v>
      </c>
      <c r="D3597" s="8" t="s">
        <v>3514</v>
      </c>
      <c r="E3597" s="9" t="str">
        <f aca="false">HYPERLINK("https://twitter.com/ahmadmuzhir/status/922162088516108288","922162088516108288")</f>
        <v>922162088516108288</v>
      </c>
      <c r="F3597" s="10" t="s">
        <v>51</v>
      </c>
      <c r="G3597" s="10" t="n">
        <v>781</v>
      </c>
      <c r="H3597" s="10" t="n">
        <v>1584</v>
      </c>
      <c r="I3597" s="10" t="n">
        <v>19</v>
      </c>
      <c r="J3597" s="10" t="n">
        <v>0</v>
      </c>
      <c r="K3597" s="10" t="s">
        <v>20</v>
      </c>
      <c r="L3597" s="11" t="n">
        <v>40417.762337963</v>
      </c>
      <c r="M3597" s="12" t="s">
        <v>8773</v>
      </c>
      <c r="N3597" s="12" t="s">
        <v>8774</v>
      </c>
      <c r="O3597" s="9" t="str">
        <f aca="false">HYPERLINK("https://pbs.twimg.com/profile_images/918818862048661505/jLK0u14T_normal.jpg","View")</f>
        <v>View</v>
      </c>
      <c r="P3597" s="10"/>
    </row>
    <row r="3598" customFormat="false" ht="15.75" hidden="false" customHeight="false" outlineLevel="0" collapsed="false">
      <c r="A3598" s="6" t="n">
        <v>43030.4625231481</v>
      </c>
      <c r="B3598" s="7" t="str">
        <f aca="false">HYPERLINK("https://twitter.com/Gandhi_RKK","@Gandhi_RKK")</f>
        <v>@Gandhi_RKK</v>
      </c>
      <c r="C3598" s="8" t="s">
        <v>8775</v>
      </c>
      <c r="D3598" s="8" t="s">
        <v>8538</v>
      </c>
      <c r="E3598" s="9" t="str">
        <f aca="false">HYPERLINK("https://twitter.com/Gandhi_RKK/status/922162145122504706","922162145122504706")</f>
        <v>922162145122504706</v>
      </c>
      <c r="F3598" s="10" t="s">
        <v>98</v>
      </c>
      <c r="G3598" s="10" t="n">
        <v>229</v>
      </c>
      <c r="H3598" s="10" t="n">
        <v>502</v>
      </c>
      <c r="I3598" s="10" t="n">
        <v>1015</v>
      </c>
      <c r="J3598" s="10" t="n">
        <v>0</v>
      </c>
      <c r="K3598" s="10" t="s">
        <v>20</v>
      </c>
      <c r="L3598" s="11" t="n">
        <v>41049.437337963</v>
      </c>
      <c r="M3598" s="12" t="s">
        <v>8776</v>
      </c>
      <c r="N3598" s="12" t="s">
        <v>8777</v>
      </c>
      <c r="O3598" s="9" t="str">
        <f aca="false">HYPERLINK("https://pbs.twimg.com/profile_images/819541524899708928/Y2mcUzKd_normal.jpg","View")</f>
        <v>View</v>
      </c>
      <c r="P3598" s="10"/>
    </row>
    <row r="3599" customFormat="false" ht="15.75" hidden="false" customHeight="false" outlineLevel="0" collapsed="false">
      <c r="A3599" s="6" t="n">
        <v>43030.4630208333</v>
      </c>
      <c r="B3599" s="7" t="str">
        <f aca="false">HYPERLINK("https://twitter.com/pushpak_desai","@pushpak_desai")</f>
        <v>@pushpak_desai</v>
      </c>
      <c r="C3599" s="8" t="s">
        <v>8778</v>
      </c>
      <c r="D3599" s="8" t="s">
        <v>8779</v>
      </c>
      <c r="E3599" s="9" t="str">
        <f aca="false">HYPERLINK("https://twitter.com/pushpak_desai/status/922162325351669760","922162325351669760")</f>
        <v>922162325351669760</v>
      </c>
      <c r="F3599" s="10" t="s">
        <v>51</v>
      </c>
      <c r="G3599" s="10" t="n">
        <v>318</v>
      </c>
      <c r="H3599" s="10" t="n">
        <v>2463</v>
      </c>
      <c r="I3599" s="10" t="n">
        <v>4</v>
      </c>
      <c r="J3599" s="10" t="n">
        <v>0</v>
      </c>
      <c r="K3599" s="10" t="s">
        <v>20</v>
      </c>
      <c r="L3599" s="11" t="n">
        <v>41672.1186574074</v>
      </c>
      <c r="M3599" s="12" t="s">
        <v>8780</v>
      </c>
      <c r="N3599" s="12"/>
      <c r="O3599" s="9" t="str">
        <f aca="false">HYPERLINK("https://pbs.twimg.com/profile_images/766943972577120256/k08TUS12_normal.jpg","View")</f>
        <v>View</v>
      </c>
      <c r="P3599" s="10"/>
    </row>
    <row r="3600" customFormat="false" ht="15.75" hidden="false" customHeight="false" outlineLevel="0" collapsed="false">
      <c r="A3600" s="6" t="n">
        <v>43030.4630902778</v>
      </c>
      <c r="B3600" s="7" t="str">
        <f aca="false">HYPERLINK("https://twitter.com/__avadhoot__","@__avadhoot__")</f>
        <v>@__avadhoot__</v>
      </c>
      <c r="C3600" s="8" t="s">
        <v>8781</v>
      </c>
      <c r="D3600" s="8" t="s">
        <v>8538</v>
      </c>
      <c r="E3600" s="9" t="str">
        <f aca="false">HYPERLINK("https://twitter.com/__avadhoot__/status/922162348365725696","922162348365725696")</f>
        <v>922162348365725696</v>
      </c>
      <c r="F3600" s="10" t="s">
        <v>25</v>
      </c>
      <c r="G3600" s="10" t="n">
        <v>52</v>
      </c>
      <c r="H3600" s="10" t="n">
        <v>394</v>
      </c>
      <c r="I3600" s="10" t="n">
        <v>1015</v>
      </c>
      <c r="J3600" s="10" t="n">
        <v>0</v>
      </c>
      <c r="K3600" s="10" t="s">
        <v>20</v>
      </c>
      <c r="L3600" s="11" t="n">
        <v>42946.3269212963</v>
      </c>
      <c r="M3600" s="12"/>
      <c r="N3600" s="12"/>
      <c r="O3600" s="9" t="str">
        <f aca="false">HYPERLINK("https://pbs.twimg.com/profile_images/891718366984978432/JIdAwySl_normal.jpg","View")</f>
        <v>View</v>
      </c>
      <c r="P3600" s="10"/>
    </row>
    <row r="3601" customFormat="false" ht="15.75" hidden="false" customHeight="false" outlineLevel="0" collapsed="false">
      <c r="A3601" s="6" t="n">
        <v>43030.4636226852</v>
      </c>
      <c r="B3601" s="7" t="str">
        <f aca="false">HYPERLINK("https://twitter.com/realbhartiya","@realbhartiya")</f>
        <v>@realbhartiya</v>
      </c>
      <c r="C3601" s="8" t="s">
        <v>8782</v>
      </c>
      <c r="D3601" s="8" t="s">
        <v>8538</v>
      </c>
      <c r="E3601" s="9" t="str">
        <f aca="false">HYPERLINK("https://twitter.com/realbhartiya/status/922162542008569856","922162542008569856")</f>
        <v>922162542008569856</v>
      </c>
      <c r="F3601" s="10" t="s">
        <v>51</v>
      </c>
      <c r="G3601" s="10" t="n">
        <v>320</v>
      </c>
      <c r="H3601" s="10" t="n">
        <v>94</v>
      </c>
      <c r="I3601" s="10" t="n">
        <v>1015</v>
      </c>
      <c r="J3601" s="10" t="n">
        <v>0</v>
      </c>
      <c r="K3601" s="10" t="s">
        <v>20</v>
      </c>
      <c r="L3601" s="11" t="n">
        <v>40601.3438888889</v>
      </c>
      <c r="M3601" s="12" t="s">
        <v>72</v>
      </c>
      <c r="N3601" s="12" t="s">
        <v>8783</v>
      </c>
      <c r="O3601" s="9" t="str">
        <f aca="false">HYPERLINK("https://pbs.twimg.com/profile_images/1529283035/bharat_normal.jpg","View")</f>
        <v>View</v>
      </c>
      <c r="P3601" s="10"/>
    </row>
    <row r="3602" customFormat="false" ht="15.75" hidden="false" customHeight="false" outlineLevel="0" collapsed="false">
      <c r="A3602" s="6" t="n">
        <v>43030.4642013889</v>
      </c>
      <c r="B3602" s="7" t="str">
        <f aca="false">HYPERLINK("https://twitter.com/aasare1","@aasare1")</f>
        <v>@aasare1</v>
      </c>
      <c r="C3602" s="8" t="s">
        <v>8784</v>
      </c>
      <c r="D3602" s="8" t="s">
        <v>8538</v>
      </c>
      <c r="E3602" s="9" t="str">
        <f aca="false">HYPERLINK("https://twitter.com/aasare1/status/922162753107824643","922162753107824643")</f>
        <v>922162753107824643</v>
      </c>
      <c r="F3602" s="10" t="s">
        <v>98</v>
      </c>
      <c r="G3602" s="10" t="n">
        <v>366</v>
      </c>
      <c r="H3602" s="10" t="n">
        <v>864</v>
      </c>
      <c r="I3602" s="10" t="n">
        <v>1015</v>
      </c>
      <c r="J3602" s="10" t="n">
        <v>0</v>
      </c>
      <c r="K3602" s="10" t="s">
        <v>20</v>
      </c>
      <c r="L3602" s="11" t="n">
        <v>41611.236400463</v>
      </c>
      <c r="M3602" s="12"/>
      <c r="N3602" s="12"/>
      <c r="O3602" s="9" t="str">
        <f aca="false">HYPERLINK("https://pbs.twimg.com/profile_images/649067407525285888/PUvfXTqW_normal.jpg","View")</f>
        <v>View</v>
      </c>
      <c r="P3602" s="10"/>
    </row>
    <row r="3603" customFormat="false" ht="15.75" hidden="false" customHeight="false" outlineLevel="0" collapsed="false">
      <c r="A3603" s="6" t="n">
        <v>43030.4642708333</v>
      </c>
      <c r="B3603" s="7" t="str">
        <f aca="false">HYPERLINK("https://twitter.com/rajjorani","@rajjorani")</f>
        <v>@rajjorani</v>
      </c>
      <c r="C3603" s="8" t="s">
        <v>8785</v>
      </c>
      <c r="D3603" s="8" t="s">
        <v>8538</v>
      </c>
      <c r="E3603" s="9" t="str">
        <f aca="false">HYPERLINK("https://twitter.com/rajjorani/status/922162777829068801","922162777829068801")</f>
        <v>922162777829068801</v>
      </c>
      <c r="F3603" s="10" t="s">
        <v>51</v>
      </c>
      <c r="G3603" s="10" t="n">
        <v>1551</v>
      </c>
      <c r="H3603" s="10" t="n">
        <v>927</v>
      </c>
      <c r="I3603" s="10" t="n">
        <v>1015</v>
      </c>
      <c r="J3603" s="10" t="n">
        <v>0</v>
      </c>
      <c r="K3603" s="10" t="s">
        <v>20</v>
      </c>
      <c r="L3603" s="11" t="n">
        <v>40222.2338310185</v>
      </c>
      <c r="M3603" s="12" t="s">
        <v>8786</v>
      </c>
      <c r="N3603" s="12"/>
      <c r="O3603" s="9" t="str">
        <f aca="false">HYPERLINK("https://pbs.twimg.com/profile_images/911242286083694592/qKPAnjRQ_normal.jpg","View")</f>
        <v>View</v>
      </c>
      <c r="P3603" s="10"/>
    </row>
    <row r="3604" customFormat="false" ht="15.75" hidden="false" customHeight="false" outlineLevel="0" collapsed="false">
      <c r="A3604" s="6" t="n">
        <v>43030.4644791667</v>
      </c>
      <c r="B3604" s="7" t="str">
        <f aca="false">HYPERLINK("https://twitter.com/DrHarryLime","@DrHarryLime")</f>
        <v>@DrHarryLime</v>
      </c>
      <c r="C3604" s="8" t="s">
        <v>8787</v>
      </c>
      <c r="D3604" s="8" t="s">
        <v>8788</v>
      </c>
      <c r="E3604" s="9" t="str">
        <f aca="false">HYPERLINK("https://twitter.com/DrHarryLime/status/922162851254435840","922162851254435840")</f>
        <v>922162851254435840</v>
      </c>
      <c r="F3604" s="10" t="s">
        <v>51</v>
      </c>
      <c r="G3604" s="10" t="n">
        <v>3659</v>
      </c>
      <c r="H3604" s="10" t="n">
        <v>2400</v>
      </c>
      <c r="I3604" s="10" t="n">
        <v>0</v>
      </c>
      <c r="J3604" s="10" t="n">
        <v>1</v>
      </c>
      <c r="K3604" s="10" t="s">
        <v>20</v>
      </c>
      <c r="L3604" s="11" t="n">
        <v>40583.4088888889</v>
      </c>
      <c r="M3604" s="12" t="s">
        <v>8789</v>
      </c>
      <c r="N3604" s="12" t="s">
        <v>8790</v>
      </c>
      <c r="O3604" s="9" t="str">
        <f aca="false">HYPERLINK("https://pbs.twimg.com/profile_images/819945933374767104/Navqldbw_normal.jpg","View")</f>
        <v>View</v>
      </c>
      <c r="P3604" s="10"/>
    </row>
    <row r="3605" customFormat="false" ht="15.75" hidden="false" customHeight="false" outlineLevel="0" collapsed="false">
      <c r="A3605" s="6" t="n">
        <v>43030.4646759259</v>
      </c>
      <c r="B3605" s="7" t="str">
        <f aca="false">HYPERLINK("https://twitter.com/selvisampath1","@selvisampath1")</f>
        <v>@selvisampath1</v>
      </c>
      <c r="C3605" s="8" t="s">
        <v>8791</v>
      </c>
      <c r="D3605" s="8" t="s">
        <v>8538</v>
      </c>
      <c r="E3605" s="9" t="str">
        <f aca="false">HYPERLINK("https://twitter.com/selvisampath1/status/922162924470153217","922162924470153217")</f>
        <v>922162924470153217</v>
      </c>
      <c r="F3605" s="10" t="s">
        <v>25</v>
      </c>
      <c r="G3605" s="10" t="n">
        <v>62</v>
      </c>
      <c r="H3605" s="10" t="n">
        <v>56</v>
      </c>
      <c r="I3605" s="10" t="n">
        <v>1015</v>
      </c>
      <c r="J3605" s="10" t="n">
        <v>0</v>
      </c>
      <c r="K3605" s="10" t="s">
        <v>20</v>
      </c>
      <c r="L3605" s="11" t="n">
        <v>42825.9610069444</v>
      </c>
      <c r="M3605" s="12"/>
      <c r="N3605" s="12" t="s">
        <v>8792</v>
      </c>
      <c r="O3605" s="9" t="str">
        <f aca="false">HYPERLINK("https://pbs.twimg.com/profile_images/875341313918369792/uGADJnLw_normal.jpg","View")</f>
        <v>View</v>
      </c>
      <c r="P3605" s="10"/>
    </row>
    <row r="3606" customFormat="false" ht="15.75" hidden="false" customHeight="false" outlineLevel="0" collapsed="false">
      <c r="A3606" s="6" t="n">
        <v>43030.4647106482</v>
      </c>
      <c r="B3606" s="7" t="str">
        <f aca="false">HYPERLINK("https://twitter.com/Australia1Gold2","@Australia1Gold2")</f>
        <v>@Australia1Gold2</v>
      </c>
      <c r="C3606" s="8" t="s">
        <v>8793</v>
      </c>
      <c r="D3606" s="8" t="s">
        <v>8538</v>
      </c>
      <c r="E3606" s="9" t="str">
        <f aca="false">HYPERLINK("https://twitter.com/Australia1Gold2/status/922162935945871360","922162935945871360")</f>
        <v>922162935945871360</v>
      </c>
      <c r="F3606" s="10" t="s">
        <v>25</v>
      </c>
      <c r="G3606" s="10" t="n">
        <v>536</v>
      </c>
      <c r="H3606" s="10" t="n">
        <v>3911</v>
      </c>
      <c r="I3606" s="10" t="n">
        <v>1015</v>
      </c>
      <c r="J3606" s="10" t="n">
        <v>0</v>
      </c>
      <c r="K3606" s="10" t="s">
        <v>20</v>
      </c>
      <c r="L3606" s="11" t="n">
        <v>41743.0959837963</v>
      </c>
      <c r="M3606" s="12" t="s">
        <v>8794</v>
      </c>
      <c r="N3606" s="12" t="s">
        <v>8795</v>
      </c>
      <c r="O3606" s="9" t="str">
        <f aca="false">HYPERLINK("https://pbs.twimg.com/profile_images/725382557445943296/OMFhexOc_normal.jpg","View")</f>
        <v>View</v>
      </c>
      <c r="P3606" s="10"/>
    </row>
    <row r="3607" customFormat="false" ht="15.75" hidden="false" customHeight="false" outlineLevel="0" collapsed="false">
      <c r="A3607" s="6" t="n">
        <v>43030.4648263889</v>
      </c>
      <c r="B3607" s="7" t="str">
        <f aca="false">HYPERLINK("https://twitter.com/kullaswami","@kullaswami")</f>
        <v>@kullaswami</v>
      </c>
      <c r="C3607" s="8" t="s">
        <v>8796</v>
      </c>
      <c r="D3607" s="8" t="s">
        <v>8538</v>
      </c>
      <c r="E3607" s="9" t="str">
        <f aca="false">HYPERLINK("https://twitter.com/kullaswami/status/922162977301659648","922162977301659648")</f>
        <v>922162977301659648</v>
      </c>
      <c r="F3607" s="10" t="s">
        <v>25</v>
      </c>
      <c r="G3607" s="10" t="n">
        <v>290</v>
      </c>
      <c r="H3607" s="10" t="n">
        <v>240</v>
      </c>
      <c r="I3607" s="10" t="n">
        <v>1015</v>
      </c>
      <c r="J3607" s="10" t="n">
        <v>0</v>
      </c>
      <c r="K3607" s="10" t="s">
        <v>20</v>
      </c>
      <c r="L3607" s="11" t="n">
        <v>42742.3536574074</v>
      </c>
      <c r="M3607" s="12"/>
      <c r="N3607" s="12" t="s">
        <v>8797</v>
      </c>
      <c r="O3607" s="9" t="str">
        <f aca="false">HYPERLINK("https://pbs.twimg.com/profile_images/919741921370652673/1gyU-Qm9_normal.jpg","View")</f>
        <v>View</v>
      </c>
      <c r="P3607" s="10"/>
    </row>
    <row r="3608" customFormat="false" ht="15.75" hidden="false" customHeight="false" outlineLevel="0" collapsed="false">
      <c r="A3608" s="6" t="n">
        <v>43030.4649189815</v>
      </c>
      <c r="B3608" s="7" t="str">
        <f aca="false">HYPERLINK("https://twitter.com/vinirish","@vinirish")</f>
        <v>@vinirish</v>
      </c>
      <c r="C3608" s="8" t="s">
        <v>8798</v>
      </c>
      <c r="D3608" s="8" t="s">
        <v>8538</v>
      </c>
      <c r="E3608" s="9" t="str">
        <f aca="false">HYPERLINK("https://twitter.com/vinirish/status/922163010633793536","922163010633793536")</f>
        <v>922163010633793536</v>
      </c>
      <c r="F3608" s="10" t="s">
        <v>51</v>
      </c>
      <c r="G3608" s="10" t="n">
        <v>7780</v>
      </c>
      <c r="H3608" s="10" t="n">
        <v>173</v>
      </c>
      <c r="I3608" s="10" t="n">
        <v>1015</v>
      </c>
      <c r="J3608" s="10" t="n">
        <v>0</v>
      </c>
      <c r="K3608" s="10" t="s">
        <v>20</v>
      </c>
      <c r="L3608" s="11" t="n">
        <v>40282.299537037</v>
      </c>
      <c r="M3608" s="12" t="s">
        <v>7908</v>
      </c>
      <c r="N3608" s="12" t="s">
        <v>8799</v>
      </c>
      <c r="O3608" s="9" t="str">
        <f aca="false">HYPERLINK("https://pbs.twimg.com/profile_images/887034356404895748/S1NbZfgv_normal.jpg","View")</f>
        <v>View</v>
      </c>
      <c r="P3608" s="10"/>
    </row>
    <row r="3609" customFormat="false" ht="15.75" hidden="false" customHeight="false" outlineLevel="0" collapsed="false">
      <c r="A3609" s="6" t="n">
        <v>43030.465</v>
      </c>
      <c r="B3609" s="7" t="str">
        <f aca="false">HYPERLINK("https://twitter.com/visna123","@visna123")</f>
        <v>@visna123</v>
      </c>
      <c r="C3609" s="8" t="s">
        <v>3629</v>
      </c>
      <c r="D3609" s="8" t="s">
        <v>8538</v>
      </c>
      <c r="E3609" s="9" t="str">
        <f aca="false">HYPERLINK("https://twitter.com/visna123/status/922163038580490240","922163038580490240")</f>
        <v>922163038580490240</v>
      </c>
      <c r="F3609" s="10" t="s">
        <v>98</v>
      </c>
      <c r="G3609" s="10" t="n">
        <v>122</v>
      </c>
      <c r="H3609" s="10" t="n">
        <v>488</v>
      </c>
      <c r="I3609" s="10" t="n">
        <v>1015</v>
      </c>
      <c r="J3609" s="10" t="n">
        <v>0</v>
      </c>
      <c r="K3609" s="10" t="s">
        <v>20</v>
      </c>
      <c r="L3609" s="11" t="n">
        <v>41788.2306597222</v>
      </c>
      <c r="M3609" s="12"/>
      <c r="N3609" s="12"/>
      <c r="O3609" s="9" t="str">
        <f aca="false">HYPERLINK("https://abs.twimg.com/sticky/default_profile_images/default_profile_normal.png","View")</f>
        <v>View</v>
      </c>
      <c r="P3609" s="10"/>
    </row>
    <row r="3610" customFormat="false" ht="15.75" hidden="false" customHeight="false" outlineLevel="0" collapsed="false">
      <c r="A3610" s="6" t="n">
        <v>43030.465150463</v>
      </c>
      <c r="B3610" s="7" t="str">
        <f aca="false">HYPERLINK("https://twitter.com/rsvasudevan","@rsvasudevan")</f>
        <v>@rsvasudevan</v>
      </c>
      <c r="C3610" s="8" t="s">
        <v>8800</v>
      </c>
      <c r="D3610" s="8" t="s">
        <v>8538</v>
      </c>
      <c r="E3610" s="9" t="str">
        <f aca="false">HYPERLINK("https://twitter.com/rsvasudevan/status/922163093421068290","922163093421068290")</f>
        <v>922163093421068290</v>
      </c>
      <c r="F3610" s="10" t="s">
        <v>177</v>
      </c>
      <c r="G3610" s="10" t="n">
        <v>151</v>
      </c>
      <c r="H3610" s="10" t="n">
        <v>145</v>
      </c>
      <c r="I3610" s="10" t="n">
        <v>1015</v>
      </c>
      <c r="J3610" s="10" t="n">
        <v>0</v>
      </c>
      <c r="K3610" s="10" t="s">
        <v>20</v>
      </c>
      <c r="L3610" s="11" t="n">
        <v>40670.8696527778</v>
      </c>
      <c r="M3610" s="12" t="s">
        <v>5883</v>
      </c>
      <c r="N3610" s="12" t="s">
        <v>8801</v>
      </c>
      <c r="O3610" s="9" t="str">
        <f aca="false">HYPERLINK("https://pbs.twimg.com/profile_images/757581854736195585/uzTPt78u_normal.jpg","View")</f>
        <v>View</v>
      </c>
      <c r="P3610" s="10"/>
    </row>
    <row r="3611" customFormat="false" ht="15.75" hidden="false" customHeight="false" outlineLevel="0" collapsed="false">
      <c r="A3611" s="6" t="n">
        <v>43030.4651851852</v>
      </c>
      <c r="B3611" s="7" t="str">
        <f aca="false">HYPERLINK("https://twitter.com/RamsamVenkat","@RamsamVenkat")</f>
        <v>@RamsamVenkat</v>
      </c>
      <c r="C3611" s="8" t="s">
        <v>8802</v>
      </c>
      <c r="D3611" s="8" t="s">
        <v>8538</v>
      </c>
      <c r="E3611" s="9" t="str">
        <f aca="false">HYPERLINK("https://twitter.com/RamsamVenkat/status/922163106318397440","922163106318397440")</f>
        <v>922163106318397440</v>
      </c>
      <c r="F3611" s="10" t="s">
        <v>25</v>
      </c>
      <c r="G3611" s="10" t="n">
        <v>70</v>
      </c>
      <c r="H3611" s="10" t="n">
        <v>90</v>
      </c>
      <c r="I3611" s="10" t="n">
        <v>1015</v>
      </c>
      <c r="J3611" s="10" t="n">
        <v>0</v>
      </c>
      <c r="K3611" s="10" t="s">
        <v>20</v>
      </c>
      <c r="L3611" s="11" t="n">
        <v>42432.0971759259</v>
      </c>
      <c r="M3611" s="12"/>
      <c r="N3611" s="12"/>
      <c r="O3611" s="9" t="str">
        <f aca="false">HYPERLINK("https://pbs.twimg.com/profile_images/705763933722836997/4h40r9-4_normal.jpg","View")</f>
        <v>View</v>
      </c>
      <c r="P3611" s="10"/>
    </row>
    <row r="3612" customFormat="false" ht="15.75" hidden="false" customHeight="false" outlineLevel="0" collapsed="false">
      <c r="A3612" s="6" t="n">
        <v>43030.4653587963</v>
      </c>
      <c r="B3612" s="7" t="str">
        <f aca="false">HYPERLINK("https://twitter.com/rajeevmalik1960","@rajeevmalik1960")</f>
        <v>@rajeevmalik1960</v>
      </c>
      <c r="C3612" s="8" t="s">
        <v>8803</v>
      </c>
      <c r="D3612" s="8" t="s">
        <v>8538</v>
      </c>
      <c r="E3612" s="9" t="str">
        <f aca="false">HYPERLINK("https://twitter.com/rajeevmalik1960/status/922163169107132416","922163169107132416")</f>
        <v>922163169107132416</v>
      </c>
      <c r="F3612" s="10" t="s">
        <v>25</v>
      </c>
      <c r="G3612" s="10" t="n">
        <v>538</v>
      </c>
      <c r="H3612" s="10" t="n">
        <v>520</v>
      </c>
      <c r="I3612" s="10" t="n">
        <v>1015</v>
      </c>
      <c r="J3612" s="10" t="n">
        <v>0</v>
      </c>
      <c r="K3612" s="10" t="s">
        <v>20</v>
      </c>
      <c r="L3612" s="11" t="n">
        <v>42572.1119212963</v>
      </c>
      <c r="M3612" s="12"/>
      <c r="N3612" s="12" t="s">
        <v>8804</v>
      </c>
      <c r="O3612" s="9" t="str">
        <f aca="false">HYPERLINK("https://pbs.twimg.com/profile_images/757277227302215680/cXZLWbQU_normal.jpg","View")</f>
        <v>View</v>
      </c>
      <c r="P3612" s="10"/>
    </row>
    <row r="3613" customFormat="false" ht="15.75" hidden="false" customHeight="false" outlineLevel="0" collapsed="false">
      <c r="A3613" s="6" t="n">
        <v>43030.465462963</v>
      </c>
      <c r="B3613" s="7" t="str">
        <f aca="false">HYPERLINK("https://twitter.com/jbcharnay","@jbcharnay")</f>
        <v>@jbcharnay</v>
      </c>
      <c r="C3613" s="8" t="s">
        <v>8805</v>
      </c>
      <c r="D3613" s="8" t="s">
        <v>8806</v>
      </c>
      <c r="E3613" s="9" t="str">
        <f aca="false">HYPERLINK("https://twitter.com/jbcharnay/status/922163206302265344","922163206302265344")</f>
        <v>922163206302265344</v>
      </c>
      <c r="F3613" s="10" t="s">
        <v>51</v>
      </c>
      <c r="G3613" s="10" t="n">
        <v>1891</v>
      </c>
      <c r="H3613" s="10" t="n">
        <v>4999</v>
      </c>
      <c r="I3613" s="10" t="n">
        <v>0</v>
      </c>
      <c r="J3613" s="10" t="n">
        <v>0</v>
      </c>
      <c r="K3613" s="10" t="s">
        <v>20</v>
      </c>
      <c r="L3613" s="11" t="n">
        <v>40233.7296064815</v>
      </c>
      <c r="M3613" s="12" t="s">
        <v>1363</v>
      </c>
      <c r="N3613" s="12" t="s">
        <v>8807</v>
      </c>
      <c r="O3613" s="9" t="str">
        <f aca="false">HYPERLINK("https://pbs.twimg.com/profile_images/3681787800/15e44edb1b444c004676f9c05fe626e7_normal.jpeg","View")</f>
        <v>View</v>
      </c>
      <c r="P3613" s="10"/>
    </row>
    <row r="3614" customFormat="false" ht="15.75" hidden="false" customHeight="false" outlineLevel="0" collapsed="false">
      <c r="A3614" s="6" t="n">
        <v>43030.465474537</v>
      </c>
      <c r="B3614" s="7" t="str">
        <f aca="false">HYPERLINK("https://twitter.com/SavetheUSNation","@SavetheUSNation")</f>
        <v>@SavetheUSNation</v>
      </c>
      <c r="C3614" s="8" t="s">
        <v>8808</v>
      </c>
      <c r="D3614" s="8" t="s">
        <v>8809</v>
      </c>
      <c r="E3614" s="9" t="str">
        <f aca="false">HYPERLINK("https://twitter.com/SavetheUSNation/status/922163211528437760","922163211528437760")</f>
        <v>922163211528437760</v>
      </c>
      <c r="F3614" s="10" t="s">
        <v>60</v>
      </c>
      <c r="G3614" s="10" t="n">
        <v>1014</v>
      </c>
      <c r="H3614" s="10" t="n">
        <v>361</v>
      </c>
      <c r="I3614" s="10" t="n">
        <v>0</v>
      </c>
      <c r="J3614" s="10" t="n">
        <v>0</v>
      </c>
      <c r="K3614" s="10" t="s">
        <v>20</v>
      </c>
      <c r="L3614" s="11" t="n">
        <v>42071.6278472222</v>
      </c>
      <c r="M3614" s="12" t="s">
        <v>230</v>
      </c>
      <c r="N3614" s="12" t="s">
        <v>8810</v>
      </c>
      <c r="O3614" s="9" t="str">
        <f aca="false">HYPERLINK("https://pbs.twimg.com/profile_images/886025562833027072/7NlPkmM6_normal.jpg","View")</f>
        <v>View</v>
      </c>
      <c r="P3614" s="10"/>
    </row>
    <row r="3615" customFormat="false" ht="15.75" hidden="false" customHeight="false" outlineLevel="0" collapsed="false">
      <c r="A3615" s="6" t="n">
        <v>43030.4656944444</v>
      </c>
      <c r="B3615" s="7" t="str">
        <f aca="false">HYPERLINK("https://twitter.com/praveengarg3","@praveengarg3")</f>
        <v>@praveengarg3</v>
      </c>
      <c r="C3615" s="8" t="s">
        <v>8811</v>
      </c>
      <c r="D3615" s="8" t="s">
        <v>8538</v>
      </c>
      <c r="E3615" s="9" t="str">
        <f aca="false">HYPERLINK("https://twitter.com/praveengarg3/status/922163291102646272","922163291102646272")</f>
        <v>922163291102646272</v>
      </c>
      <c r="F3615" s="10" t="s">
        <v>25</v>
      </c>
      <c r="G3615" s="10" t="n">
        <v>481</v>
      </c>
      <c r="H3615" s="10" t="n">
        <v>41</v>
      </c>
      <c r="I3615" s="10" t="n">
        <v>1015</v>
      </c>
      <c r="J3615" s="10" t="n">
        <v>0</v>
      </c>
      <c r="K3615" s="10" t="s">
        <v>20</v>
      </c>
      <c r="L3615" s="11" t="n">
        <v>40683.1530208333</v>
      </c>
      <c r="M3615" s="12" t="s">
        <v>8812</v>
      </c>
      <c r="N3615" s="12" t="s">
        <v>8813</v>
      </c>
      <c r="O3615" s="9" t="str">
        <f aca="false">HYPERLINK("https://pbs.twimg.com/profile_images/894926059753193474/FxtEZYMW_normal.jpg","View")</f>
        <v>View</v>
      </c>
      <c r="P3615" s="10"/>
    </row>
    <row r="3616" customFormat="false" ht="15.75" hidden="false" customHeight="false" outlineLevel="0" collapsed="false">
      <c r="A3616" s="6" t="n">
        <v>43030.4657986111</v>
      </c>
      <c r="B3616" s="7" t="str">
        <f aca="false">HYPERLINK("https://twitter.com/GuptaMahesh93","@GuptaMahesh93")</f>
        <v>@GuptaMahesh93</v>
      </c>
      <c r="C3616" s="8" t="s">
        <v>8814</v>
      </c>
      <c r="D3616" s="8" t="s">
        <v>8538</v>
      </c>
      <c r="E3616" s="9" t="str">
        <f aca="false">HYPERLINK("https://twitter.com/GuptaMahesh93/status/922163331904892928","922163331904892928")</f>
        <v>922163331904892928</v>
      </c>
      <c r="F3616" s="10" t="s">
        <v>25</v>
      </c>
      <c r="G3616" s="10" t="n">
        <v>170</v>
      </c>
      <c r="H3616" s="10" t="n">
        <v>586</v>
      </c>
      <c r="I3616" s="10" t="n">
        <v>1015</v>
      </c>
      <c r="J3616" s="10" t="n">
        <v>0</v>
      </c>
      <c r="K3616" s="10" t="s">
        <v>20</v>
      </c>
      <c r="L3616" s="11" t="n">
        <v>41423.0215972222</v>
      </c>
      <c r="M3616" s="12" t="s">
        <v>1877</v>
      </c>
      <c r="N3616" s="12" t="s">
        <v>8815</v>
      </c>
      <c r="O3616" s="9" t="str">
        <f aca="false">HYPERLINK("https://pbs.twimg.com/profile_images/917448538564337664/aqF4Gb4u_normal.jpg","View")</f>
        <v>View</v>
      </c>
      <c r="P3616" s="10"/>
    </row>
    <row r="3617" customFormat="false" ht="15.75" hidden="false" customHeight="false" outlineLevel="0" collapsed="false">
      <c r="A3617" s="6" t="n">
        <v>43030.4658564815</v>
      </c>
      <c r="B3617" s="7" t="str">
        <f aca="false">HYPERLINK("https://twitter.com/YuriHiranuma","@YuriHiranuma")</f>
        <v>@YuriHiranuma</v>
      </c>
      <c r="C3617" s="8" t="s">
        <v>8816</v>
      </c>
      <c r="D3617" s="8" t="s">
        <v>8817</v>
      </c>
      <c r="E3617" s="9" t="str">
        <f aca="false">HYPERLINK("https://twitter.com/YuriHiranuma/status/922163351886503936","922163351886503936")</f>
        <v>922163351886503936</v>
      </c>
      <c r="F3617" s="10" t="s">
        <v>39</v>
      </c>
      <c r="G3617" s="10" t="n">
        <v>6796</v>
      </c>
      <c r="H3617" s="10" t="n">
        <v>627</v>
      </c>
      <c r="I3617" s="10" t="n">
        <v>0</v>
      </c>
      <c r="J3617" s="10" t="n">
        <v>0</v>
      </c>
      <c r="K3617" s="10" t="s">
        <v>20</v>
      </c>
      <c r="L3617" s="11" t="n">
        <v>40903.9356134259</v>
      </c>
      <c r="M3617" s="12" t="s">
        <v>8818</v>
      </c>
      <c r="N3617" s="12" t="s">
        <v>8819</v>
      </c>
      <c r="O3617" s="9" t="str">
        <f aca="false">HYPERLINK("https://pbs.twimg.com/profile_images/681095908025434112/0eudnDyT_normal.png","View")</f>
        <v>View</v>
      </c>
      <c r="P3617" s="10"/>
    </row>
    <row r="3618" customFormat="false" ht="15.75" hidden="false" customHeight="false" outlineLevel="0" collapsed="false">
      <c r="A3618" s="6" t="n">
        <v>43030.4659953704</v>
      </c>
      <c r="B3618" s="7" t="str">
        <f aca="false">HYPERLINK("https://twitter.com/radhika_arun","@radhika_arun")</f>
        <v>@radhika_arun</v>
      </c>
      <c r="C3618" s="8" t="s">
        <v>8820</v>
      </c>
      <c r="D3618" s="8" t="s">
        <v>8538</v>
      </c>
      <c r="E3618" s="9" t="str">
        <f aca="false">HYPERLINK("https://twitter.com/radhika_arun/status/922163402096758785","922163402096758785")</f>
        <v>922163402096758785</v>
      </c>
      <c r="F3618" s="10" t="s">
        <v>25</v>
      </c>
      <c r="G3618" s="10" t="n">
        <v>224</v>
      </c>
      <c r="H3618" s="10" t="n">
        <v>850</v>
      </c>
      <c r="I3618" s="10" t="n">
        <v>1015</v>
      </c>
      <c r="J3618" s="10" t="n">
        <v>0</v>
      </c>
      <c r="K3618" s="10" t="s">
        <v>20</v>
      </c>
      <c r="L3618" s="11" t="n">
        <v>41696.1277893519</v>
      </c>
      <c r="M3618" s="12" t="s">
        <v>72</v>
      </c>
      <c r="N3618" s="12" t="s">
        <v>8821</v>
      </c>
      <c r="O3618" s="9" t="str">
        <f aca="false">HYPERLINK("https://pbs.twimg.com/profile_images/907565859853320192/qeVMh3pz_normal.jpg","View")</f>
        <v>View</v>
      </c>
      <c r="P3618" s="10"/>
    </row>
    <row r="3619" customFormat="false" ht="15.75" hidden="false" customHeight="false" outlineLevel="0" collapsed="false">
      <c r="A3619" s="6" t="n">
        <v>43030.4661342593</v>
      </c>
      <c r="B3619" s="7" t="str">
        <f aca="false">HYPERLINK("https://twitter.com/NetHindu1","@NetHindu1")</f>
        <v>@NetHindu1</v>
      </c>
      <c r="C3619" s="8" t="s">
        <v>8822</v>
      </c>
      <c r="D3619" s="8" t="s">
        <v>8538</v>
      </c>
      <c r="E3619" s="9" t="str">
        <f aca="false">HYPERLINK("https://twitter.com/NetHindu1/status/922163453288177664","922163453288177664")</f>
        <v>922163453288177664</v>
      </c>
      <c r="F3619" s="10" t="s">
        <v>51</v>
      </c>
      <c r="G3619" s="10" t="n">
        <v>346</v>
      </c>
      <c r="H3619" s="10" t="n">
        <v>974</v>
      </c>
      <c r="I3619" s="10" t="n">
        <v>1015</v>
      </c>
      <c r="J3619" s="10" t="n">
        <v>0</v>
      </c>
      <c r="K3619" s="10" t="s">
        <v>20</v>
      </c>
      <c r="L3619" s="11" t="n">
        <v>41282.5165162037</v>
      </c>
      <c r="M3619" s="12" t="s">
        <v>8823</v>
      </c>
      <c r="N3619" s="12" t="s">
        <v>8824</v>
      </c>
      <c r="O3619" s="9" t="str">
        <f aca="false">HYPERLINK("https://pbs.twimg.com/profile_images/889301401905631232/spgTQF-R_normal.jpg","View")</f>
        <v>View</v>
      </c>
      <c r="P3619" s="10"/>
    </row>
    <row r="3620" customFormat="false" ht="15.75" hidden="false" customHeight="false" outlineLevel="0" collapsed="false">
      <c r="A3620" s="6" t="n">
        <v>43030.4661689815</v>
      </c>
      <c r="B3620" s="7" t="str">
        <f aca="false">HYPERLINK("https://twitter.com/vipin1977shukla","@vipin1977shukla")</f>
        <v>@vipin1977shukla</v>
      </c>
      <c r="C3620" s="8" t="s">
        <v>8825</v>
      </c>
      <c r="D3620" s="8" t="s">
        <v>8538</v>
      </c>
      <c r="E3620" s="9" t="str">
        <f aca="false">HYPERLINK("https://twitter.com/vipin1977shukla/status/922163462939336704","922163462939336704")</f>
        <v>922163462939336704</v>
      </c>
      <c r="F3620" s="10" t="s">
        <v>25</v>
      </c>
      <c r="G3620" s="10" t="n">
        <v>500</v>
      </c>
      <c r="H3620" s="10" t="n">
        <v>242</v>
      </c>
      <c r="I3620" s="10" t="n">
        <v>1015</v>
      </c>
      <c r="J3620" s="10" t="n">
        <v>0</v>
      </c>
      <c r="K3620" s="10" t="s">
        <v>20</v>
      </c>
      <c r="L3620" s="11" t="n">
        <v>41001.3872337963</v>
      </c>
      <c r="M3620" s="12" t="s">
        <v>8826</v>
      </c>
      <c r="N3620" s="12" t="s">
        <v>8827</v>
      </c>
      <c r="O3620" s="9" t="str">
        <f aca="false">HYPERLINK("https://pbs.twimg.com/profile_images/896914371904851968/_crZ7zcL_normal.jpg","View")</f>
        <v>View</v>
      </c>
      <c r="P3620" s="10"/>
    </row>
    <row r="3621" customFormat="false" ht="15.75" hidden="false" customHeight="false" outlineLevel="0" collapsed="false">
      <c r="A3621" s="6" t="n">
        <v>43030.4663425926</v>
      </c>
      <c r="B3621" s="7" t="str">
        <f aca="false">HYPERLINK("https://twitter.com/GVSURESHBABU","@GVSURESHBABU")</f>
        <v>@GVSURESHBABU</v>
      </c>
      <c r="C3621" s="8" t="s">
        <v>8828</v>
      </c>
      <c r="D3621" s="8" t="s">
        <v>8538</v>
      </c>
      <c r="E3621" s="9" t="str">
        <f aca="false">HYPERLINK("https://twitter.com/GVSURESHBABU/status/922163526839312384","922163526839312384")</f>
        <v>922163526839312384</v>
      </c>
      <c r="F3621" s="10" t="s">
        <v>51</v>
      </c>
      <c r="G3621" s="10" t="n">
        <v>681</v>
      </c>
      <c r="H3621" s="10" t="n">
        <v>249</v>
      </c>
      <c r="I3621" s="10" t="n">
        <v>1015</v>
      </c>
      <c r="J3621" s="10" t="n">
        <v>0</v>
      </c>
      <c r="K3621" s="10" t="s">
        <v>20</v>
      </c>
      <c r="L3621" s="11" t="n">
        <v>40800.1861574074</v>
      </c>
      <c r="M3621" s="12" t="s">
        <v>8829</v>
      </c>
      <c r="N3621" s="12" t="s">
        <v>8830</v>
      </c>
      <c r="O3621" s="9" t="str">
        <f aca="false">HYPERLINK("https://pbs.twimg.com/profile_images/855100596101185536/iCIgOvF1_normal.jpg","View")</f>
        <v>View</v>
      </c>
      <c r="P3621" s="10"/>
    </row>
    <row r="3622" customFormat="false" ht="15.75" hidden="false" customHeight="false" outlineLevel="0" collapsed="false">
      <c r="A3622" s="6" t="n">
        <v>43030.466412037</v>
      </c>
      <c r="B3622" s="7" t="str">
        <f aca="false">HYPERLINK("https://twitter.com/ashokp1105","@ashokp1105")</f>
        <v>@ashokp1105</v>
      </c>
      <c r="C3622" s="8" t="s">
        <v>8831</v>
      </c>
      <c r="D3622" s="8" t="s">
        <v>8538</v>
      </c>
      <c r="E3622" s="9" t="str">
        <f aca="false">HYPERLINK("https://twitter.com/ashokp1105/status/922163553854824448","922163553854824448")</f>
        <v>922163553854824448</v>
      </c>
      <c r="F3622" s="10" t="s">
        <v>25</v>
      </c>
      <c r="G3622" s="10" t="n">
        <v>86</v>
      </c>
      <c r="H3622" s="10" t="n">
        <v>60</v>
      </c>
      <c r="I3622" s="10" t="n">
        <v>1015</v>
      </c>
      <c r="J3622" s="10" t="n">
        <v>0</v>
      </c>
      <c r="K3622" s="10" t="s">
        <v>20</v>
      </c>
      <c r="L3622" s="11" t="n">
        <v>42602.3502546296</v>
      </c>
      <c r="M3622" s="12"/>
      <c r="N3622" s="12"/>
      <c r="O3622" s="9" t="str">
        <f aca="false">HYPERLINK("https://pbs.twimg.com/profile_images/824511331353059328/wuzbYk6L_normal.jpg","View")</f>
        <v>View</v>
      </c>
      <c r="P3622" s="10"/>
    </row>
    <row r="3623" customFormat="false" ht="15.75" hidden="false" customHeight="false" outlineLevel="0" collapsed="false">
      <c r="A3623" s="6" t="n">
        <v>43030.4666550926</v>
      </c>
      <c r="B3623" s="7" t="str">
        <f aca="false">HYPERLINK("https://twitter.com/MahabirBhati","@MahabirBhati")</f>
        <v>@MahabirBhati</v>
      </c>
      <c r="C3623" s="8" t="s">
        <v>8832</v>
      </c>
      <c r="D3623" s="8" t="s">
        <v>8538</v>
      </c>
      <c r="E3623" s="9" t="str">
        <f aca="false">HYPERLINK("https://twitter.com/MahabirBhati/status/922163638961451008","922163638961451008")</f>
        <v>922163638961451008</v>
      </c>
      <c r="F3623" s="10" t="s">
        <v>25</v>
      </c>
      <c r="G3623" s="10" t="n">
        <v>189</v>
      </c>
      <c r="H3623" s="10" t="n">
        <v>273</v>
      </c>
      <c r="I3623" s="10" t="n">
        <v>1015</v>
      </c>
      <c r="J3623" s="10" t="n">
        <v>0</v>
      </c>
      <c r="K3623" s="10" t="s">
        <v>20</v>
      </c>
      <c r="L3623" s="11" t="n">
        <v>41397.3597222222</v>
      </c>
      <c r="M3623" s="12" t="s">
        <v>8833</v>
      </c>
      <c r="N3623" s="12" t="s">
        <v>8834</v>
      </c>
      <c r="O3623" s="9" t="str">
        <f aca="false">HYPERLINK("https://pbs.twimg.com/profile_images/907157682364096512/EER8WYUK_normal.jpg","View")</f>
        <v>View</v>
      </c>
      <c r="P3623" s="10"/>
    </row>
    <row r="3624" customFormat="false" ht="15.75" hidden="false" customHeight="false" outlineLevel="0" collapsed="false">
      <c r="A3624" s="6" t="n">
        <v>43030.4666550926</v>
      </c>
      <c r="B3624" s="7" t="str">
        <f aca="false">HYPERLINK("https://twitter.com/pranavgurav7","@pranavgurav7")</f>
        <v>@pranavgurav7</v>
      </c>
      <c r="C3624" s="8" t="s">
        <v>8835</v>
      </c>
      <c r="D3624" s="8" t="s">
        <v>8538</v>
      </c>
      <c r="E3624" s="9" t="str">
        <f aca="false">HYPERLINK("https://twitter.com/pranavgurav7/status/922163639582302208","922163639582302208")</f>
        <v>922163639582302208</v>
      </c>
      <c r="F3624" s="10" t="s">
        <v>25</v>
      </c>
      <c r="G3624" s="10" t="n">
        <v>1681</v>
      </c>
      <c r="H3624" s="10" t="n">
        <v>1142</v>
      </c>
      <c r="I3624" s="10" t="n">
        <v>1015</v>
      </c>
      <c r="J3624" s="10" t="n">
        <v>0</v>
      </c>
      <c r="K3624" s="10" t="s">
        <v>20</v>
      </c>
      <c r="L3624" s="11" t="n">
        <v>42018.7648148148</v>
      </c>
      <c r="M3624" s="12" t="s">
        <v>8836</v>
      </c>
      <c r="N3624" s="12" t="s">
        <v>8837</v>
      </c>
      <c r="O3624" s="9" t="str">
        <f aca="false">HYPERLINK("https://pbs.twimg.com/profile_images/864172925967978496/VqDvNrok_normal.jpg","View")</f>
        <v>View</v>
      </c>
      <c r="P3624" s="10"/>
    </row>
    <row r="3625" customFormat="false" ht="15.75" hidden="false" customHeight="false" outlineLevel="0" collapsed="false">
      <c r="A3625" s="6" t="n">
        <v>43030.466724537</v>
      </c>
      <c r="B3625" s="7" t="str">
        <f aca="false">HYPERLINK("https://twitter.com/jdrcsm","@jdrcsm")</f>
        <v>@jdrcsm</v>
      </c>
      <c r="C3625" s="8" t="s">
        <v>8838</v>
      </c>
      <c r="D3625" s="8" t="s">
        <v>8538</v>
      </c>
      <c r="E3625" s="9" t="str">
        <f aca="false">HYPERLINK("https://twitter.com/jdrcsm/status/922163666329280517","922163666329280517")</f>
        <v>922163666329280517</v>
      </c>
      <c r="F3625" s="10" t="s">
        <v>51</v>
      </c>
      <c r="G3625" s="10" t="n">
        <v>53</v>
      </c>
      <c r="H3625" s="10" t="n">
        <v>134</v>
      </c>
      <c r="I3625" s="10" t="n">
        <v>1015</v>
      </c>
      <c r="J3625" s="10" t="n">
        <v>0</v>
      </c>
      <c r="K3625" s="10" t="s">
        <v>20</v>
      </c>
      <c r="L3625" s="11" t="n">
        <v>40405.3450925926</v>
      </c>
      <c r="M3625" s="12"/>
      <c r="N3625" s="12" t="s">
        <v>8839</v>
      </c>
      <c r="O3625" s="9" t="str">
        <f aca="false">HYPERLINK("https://pbs.twimg.com/profile_images/906594343275786240/PFAnHUj__normal.jpg","View")</f>
        <v>View</v>
      </c>
      <c r="P3625" s="10"/>
    </row>
    <row r="3626" customFormat="false" ht="15.75" hidden="false" customHeight="false" outlineLevel="0" collapsed="false">
      <c r="A3626" s="6" t="n">
        <v>43030.466724537</v>
      </c>
      <c r="B3626" s="7" t="str">
        <f aca="false">HYPERLINK("https://twitter.com/YesDee123","@YesDee123")</f>
        <v>@YesDee123</v>
      </c>
      <c r="C3626" s="8" t="s">
        <v>8840</v>
      </c>
      <c r="D3626" s="8" t="s">
        <v>8538</v>
      </c>
      <c r="E3626" s="9" t="str">
        <f aca="false">HYPERLINK("https://twitter.com/YesDee123/status/922163666459299840","922163666459299840")</f>
        <v>922163666459299840</v>
      </c>
      <c r="F3626" s="10" t="s">
        <v>25</v>
      </c>
      <c r="G3626" s="10" t="n">
        <v>212</v>
      </c>
      <c r="H3626" s="10" t="n">
        <v>469</v>
      </c>
      <c r="I3626" s="10" t="n">
        <v>1015</v>
      </c>
      <c r="J3626" s="10" t="n">
        <v>0</v>
      </c>
      <c r="K3626" s="10" t="s">
        <v>20</v>
      </c>
      <c r="L3626" s="11" t="n">
        <v>42469.0575810185</v>
      </c>
      <c r="M3626" s="12"/>
      <c r="N3626" s="12" t="s">
        <v>8841</v>
      </c>
      <c r="O3626" s="9" t="str">
        <f aca="false">HYPERLINK("https://pbs.twimg.com/profile_images/873527774690000898/6U-zjkXb_normal.jpg","View")</f>
        <v>View</v>
      </c>
      <c r="P3626" s="10"/>
    </row>
    <row r="3627" customFormat="false" ht="15.75" hidden="false" customHeight="false" outlineLevel="0" collapsed="false">
      <c r="A3627" s="6" t="n">
        <v>43030.4667708333</v>
      </c>
      <c r="B3627" s="7" t="str">
        <f aca="false">HYPERLINK("https://twitter.com/rithikmanoj","@rithikmanoj")</f>
        <v>@rithikmanoj</v>
      </c>
      <c r="C3627" s="8" t="s">
        <v>8842</v>
      </c>
      <c r="D3627" s="8" t="s">
        <v>8538</v>
      </c>
      <c r="E3627" s="9" t="str">
        <f aca="false">HYPERLINK("https://twitter.com/rithikmanoj/status/922163682087497730","922163682087497730")</f>
        <v>922163682087497730</v>
      </c>
      <c r="F3627" s="10" t="s">
        <v>51</v>
      </c>
      <c r="G3627" s="10" t="n">
        <v>83</v>
      </c>
      <c r="H3627" s="10" t="n">
        <v>1387</v>
      </c>
      <c r="I3627" s="10" t="n">
        <v>1015</v>
      </c>
      <c r="J3627" s="10" t="n">
        <v>0</v>
      </c>
      <c r="K3627" s="10" t="s">
        <v>20</v>
      </c>
      <c r="L3627" s="11" t="n">
        <v>41734.3240972222</v>
      </c>
      <c r="M3627" s="12" t="s">
        <v>8843</v>
      </c>
      <c r="N3627" s="12" t="s">
        <v>8844</v>
      </c>
      <c r="O3627" s="9" t="str">
        <f aca="false">HYPERLINK("https://pbs.twimg.com/profile_images/777232249209163776/J9t43m7a_normal.jpg","View")</f>
        <v>View</v>
      </c>
      <c r="P3627" s="10"/>
    </row>
    <row r="3628" customFormat="false" ht="15.75" hidden="false" customHeight="false" outlineLevel="0" collapsed="false">
      <c r="A3628" s="6" t="n">
        <v>43030.467025463</v>
      </c>
      <c r="B3628" s="7" t="str">
        <f aca="false">HYPERLINK("https://twitter.com/spati2012","@spati2012")</f>
        <v>@spati2012</v>
      </c>
      <c r="C3628" s="8" t="s">
        <v>8845</v>
      </c>
      <c r="D3628" s="8" t="s">
        <v>8538</v>
      </c>
      <c r="E3628" s="9" t="str">
        <f aca="false">HYPERLINK("https://twitter.com/spati2012/status/922163776694005760","922163776694005760")</f>
        <v>922163776694005760</v>
      </c>
      <c r="F3628" s="10" t="s">
        <v>25</v>
      </c>
      <c r="G3628" s="10" t="n">
        <v>12595</v>
      </c>
      <c r="H3628" s="10" t="n">
        <v>2923</v>
      </c>
      <c r="I3628" s="10" t="n">
        <v>1015</v>
      </c>
      <c r="J3628" s="10" t="n">
        <v>0</v>
      </c>
      <c r="K3628" s="10" t="s">
        <v>20</v>
      </c>
      <c r="L3628" s="11" t="n">
        <v>40934.3570138889</v>
      </c>
      <c r="M3628" s="12" t="s">
        <v>87</v>
      </c>
      <c r="N3628" s="12" t="s">
        <v>8846</v>
      </c>
      <c r="O3628" s="9" t="str">
        <f aca="false">HYPERLINK("https://pbs.twimg.com/profile_images/716960689416372224/DIvBaBXU_normal.jpg","View")</f>
        <v>View</v>
      </c>
      <c r="P3628" s="10"/>
    </row>
    <row r="3629" customFormat="false" ht="15.75" hidden="false" customHeight="false" outlineLevel="0" collapsed="false">
      <c r="A3629" s="6" t="n">
        <v>43030.467037037</v>
      </c>
      <c r="B3629" s="7" t="str">
        <f aca="false">HYPERLINK("https://twitter.com/vjqmar","@vjqmar")</f>
        <v>@vjqmar</v>
      </c>
      <c r="C3629" s="8" t="s">
        <v>8847</v>
      </c>
      <c r="D3629" s="8" t="s">
        <v>8538</v>
      </c>
      <c r="E3629" s="9" t="str">
        <f aca="false">HYPERLINK("https://twitter.com/vjqmar/status/922163777772154881","922163777772154881")</f>
        <v>922163777772154881</v>
      </c>
      <c r="F3629" s="10" t="s">
        <v>25</v>
      </c>
      <c r="G3629" s="10" t="n">
        <v>296</v>
      </c>
      <c r="H3629" s="10" t="n">
        <v>462</v>
      </c>
      <c r="I3629" s="10" t="n">
        <v>1015</v>
      </c>
      <c r="J3629" s="10" t="n">
        <v>0</v>
      </c>
      <c r="K3629" s="10" t="s">
        <v>20</v>
      </c>
      <c r="L3629" s="11" t="n">
        <v>39826.0081018519</v>
      </c>
      <c r="M3629" s="12" t="s">
        <v>5883</v>
      </c>
      <c r="N3629" s="12"/>
      <c r="O3629" s="9" t="str">
        <f aca="false">HYPERLINK("https://pbs.twimg.com/profile_images/2638251488/550083d70669719cc057813fc2e0baba_normal.jpeg","View")</f>
        <v>View</v>
      </c>
      <c r="P3629" s="10"/>
    </row>
    <row r="3630" customFormat="false" ht="15.75" hidden="false" customHeight="false" outlineLevel="0" collapsed="false">
      <c r="A3630" s="6" t="n">
        <v>43030.4672106481</v>
      </c>
      <c r="B3630" s="7" t="str">
        <f aca="false">HYPERLINK("https://twitter.com/anuraag_saxena","@anuraag_saxena")</f>
        <v>@anuraag_saxena</v>
      </c>
      <c r="C3630" s="8" t="s">
        <v>8848</v>
      </c>
      <c r="D3630" s="8" t="s">
        <v>8538</v>
      </c>
      <c r="E3630" s="9" t="str">
        <f aca="false">HYPERLINK("https://twitter.com/anuraag_saxena/status/922163842725003269","922163842725003269")</f>
        <v>922163842725003269</v>
      </c>
      <c r="F3630" s="10" t="s">
        <v>51</v>
      </c>
      <c r="G3630" s="10" t="n">
        <v>7268</v>
      </c>
      <c r="H3630" s="10" t="n">
        <v>191</v>
      </c>
      <c r="I3630" s="10" t="n">
        <v>1015</v>
      </c>
      <c r="J3630" s="10" t="n">
        <v>0</v>
      </c>
      <c r="K3630" s="10" t="s">
        <v>20</v>
      </c>
      <c r="L3630" s="11" t="n">
        <v>41340.3947800926</v>
      </c>
      <c r="M3630" s="12" t="s">
        <v>186</v>
      </c>
      <c r="N3630" s="12" t="s">
        <v>8849</v>
      </c>
      <c r="O3630" s="9" t="str">
        <f aca="false">HYPERLINK("https://pbs.twimg.com/profile_images/633226075191930880/mWi6SPdA_normal.jpg","View")</f>
        <v>View</v>
      </c>
      <c r="P3630" s="10"/>
    </row>
    <row r="3631" customFormat="false" ht="15.75" hidden="false" customHeight="false" outlineLevel="0" collapsed="false">
      <c r="A3631" s="6" t="n">
        <v>43030.4673032407</v>
      </c>
      <c r="B3631" s="7" t="str">
        <f aca="false">HYPERLINK("https://twitter.com/TradeNewsCentre","@TradeNewsCentre")</f>
        <v>@TradeNewsCentre</v>
      </c>
      <c r="C3631" s="8" t="s">
        <v>8850</v>
      </c>
      <c r="D3631" s="8" t="s">
        <v>8851</v>
      </c>
      <c r="E3631" s="9" t="str">
        <f aca="false">HYPERLINK("https://twitter.com/TradeNewsCentre/status/922163874618642439","922163874618642439")</f>
        <v>922163874618642439</v>
      </c>
      <c r="F3631" s="10" t="s">
        <v>39</v>
      </c>
      <c r="G3631" s="10" t="n">
        <v>86754</v>
      </c>
      <c r="H3631" s="10" t="n">
        <v>8010</v>
      </c>
      <c r="I3631" s="10" t="n">
        <v>7</v>
      </c>
      <c r="J3631" s="10" t="n">
        <v>5</v>
      </c>
      <c r="K3631" s="10" t="s">
        <v>20</v>
      </c>
      <c r="L3631" s="11" t="n">
        <v>42299.5133217593</v>
      </c>
      <c r="M3631" s="12" t="s">
        <v>5254</v>
      </c>
      <c r="N3631" s="12" t="s">
        <v>8852</v>
      </c>
      <c r="O3631" s="9" t="str">
        <f aca="false">HYPERLINK("https://pbs.twimg.com/profile_images/860824186490675204/BE3UQ6ab_normal.jpg","View")</f>
        <v>View</v>
      </c>
      <c r="P3631" s="10"/>
    </row>
    <row r="3632" customFormat="false" ht="15.75" hidden="false" customHeight="false" outlineLevel="0" collapsed="false">
      <c r="A3632" s="6" t="n">
        <v>43030.4673842593</v>
      </c>
      <c r="B3632" s="7" t="str">
        <f aca="false">HYPERLINK("https://twitter.com/Dewbispeaks","@Dewbispeaks")</f>
        <v>@Dewbispeaks</v>
      </c>
      <c r="C3632" s="8" t="s">
        <v>8853</v>
      </c>
      <c r="D3632" s="8" t="s">
        <v>8538</v>
      </c>
      <c r="E3632" s="9" t="str">
        <f aca="false">HYPERLINK("https://twitter.com/Dewbispeaks/status/922163902921687040","922163902921687040")</f>
        <v>922163902921687040</v>
      </c>
      <c r="F3632" s="10" t="s">
        <v>98</v>
      </c>
      <c r="G3632" s="10" t="n">
        <v>132</v>
      </c>
      <c r="H3632" s="10" t="n">
        <v>1866</v>
      </c>
      <c r="I3632" s="10" t="n">
        <v>1015</v>
      </c>
      <c r="J3632" s="10" t="n">
        <v>0</v>
      </c>
      <c r="K3632" s="10" t="s">
        <v>20</v>
      </c>
      <c r="L3632" s="11" t="n">
        <v>42927.169525463</v>
      </c>
      <c r="M3632" s="12"/>
      <c r="N3632" s="12"/>
      <c r="O3632" s="9" t="str">
        <f aca="false">HYPERLINK("https://pbs.twimg.com/profile_images/906128197669892096/N7eR4xr9_normal.jpg","View")</f>
        <v>View</v>
      </c>
      <c r="P3632" s="10"/>
    </row>
    <row r="3633" customFormat="false" ht="15.75" hidden="false" customHeight="false" outlineLevel="0" collapsed="false">
      <c r="A3633" s="6" t="n">
        <v>43030.4676157407</v>
      </c>
      <c r="B3633" s="7" t="str">
        <f aca="false">HYPERLINK("https://twitter.com/shweta_ohri","@shweta_ohri")</f>
        <v>@shweta_ohri</v>
      </c>
      <c r="C3633" s="8" t="s">
        <v>8854</v>
      </c>
      <c r="D3633" s="8" t="s">
        <v>8538</v>
      </c>
      <c r="E3633" s="9" t="str">
        <f aca="false">HYPERLINK("https://twitter.com/shweta_ohri/status/922163989630586880","922163989630586880")</f>
        <v>922163989630586880</v>
      </c>
      <c r="F3633" s="10" t="s">
        <v>51</v>
      </c>
      <c r="G3633" s="10" t="n">
        <v>751</v>
      </c>
      <c r="H3633" s="10" t="n">
        <v>410</v>
      </c>
      <c r="I3633" s="10" t="n">
        <v>1015</v>
      </c>
      <c r="J3633" s="10" t="n">
        <v>0</v>
      </c>
      <c r="K3633" s="10" t="s">
        <v>20</v>
      </c>
      <c r="L3633" s="11" t="n">
        <v>40902.1511226852</v>
      </c>
      <c r="M3633" s="12"/>
      <c r="N3633" s="12" t="s">
        <v>8855</v>
      </c>
      <c r="O3633" s="9" t="str">
        <f aca="false">HYPERLINK("https://pbs.twimg.com/profile_images/909493756877000704/77fKyR8K_normal.jpg","View")</f>
        <v>View</v>
      </c>
      <c r="P3633" s="10"/>
    </row>
    <row r="3634" customFormat="false" ht="15.75" hidden="false" customHeight="false" outlineLevel="0" collapsed="false">
      <c r="A3634" s="6" t="n">
        <v>43030.4677893519</v>
      </c>
      <c r="B3634" s="7" t="str">
        <f aca="false">HYPERLINK("https://twitter.com/sujit2405_IN","@sujit2405_IN")</f>
        <v>@sujit2405_IN</v>
      </c>
      <c r="C3634" s="8" t="s">
        <v>8856</v>
      </c>
      <c r="D3634" s="8" t="s">
        <v>8538</v>
      </c>
      <c r="E3634" s="9" t="str">
        <f aca="false">HYPERLINK("https://twitter.com/sujit2405_IN/status/922164050225532928","922164050225532928")</f>
        <v>922164050225532928</v>
      </c>
      <c r="F3634" s="10" t="s">
        <v>25</v>
      </c>
      <c r="G3634" s="10" t="n">
        <v>152</v>
      </c>
      <c r="H3634" s="10" t="n">
        <v>135</v>
      </c>
      <c r="I3634" s="10" t="n">
        <v>1015</v>
      </c>
      <c r="J3634" s="10" t="n">
        <v>0</v>
      </c>
      <c r="K3634" s="10" t="s">
        <v>20</v>
      </c>
      <c r="L3634" s="11" t="n">
        <v>40043.2136689815</v>
      </c>
      <c r="M3634" s="12"/>
      <c r="N3634" s="12" t="s">
        <v>8857</v>
      </c>
      <c r="O3634" s="9" t="str">
        <f aca="false">HYPERLINK("https://pbs.twimg.com/profile_images/799267115903565824/vAJxBlc5_normal.jpg","View")</f>
        <v>View</v>
      </c>
      <c r="P3634" s="10"/>
    </row>
    <row r="3635" customFormat="false" ht="15.75" hidden="false" customHeight="false" outlineLevel="0" collapsed="false">
      <c r="A3635" s="6" t="n">
        <v>43030.4678009259</v>
      </c>
      <c r="B3635" s="7" t="str">
        <f aca="false">HYPERLINK("https://twitter.com/arajhauns","@arajhauns")</f>
        <v>@arajhauns</v>
      </c>
      <c r="C3635" s="8" t="s">
        <v>1521</v>
      </c>
      <c r="D3635" s="8" t="s">
        <v>8538</v>
      </c>
      <c r="E3635" s="9" t="str">
        <f aca="false">HYPERLINK("https://twitter.com/arajhauns/status/922164057054040064","922164057054040064")</f>
        <v>922164057054040064</v>
      </c>
      <c r="F3635" s="10" t="s">
        <v>51</v>
      </c>
      <c r="G3635" s="10" t="n">
        <v>128</v>
      </c>
      <c r="H3635" s="10" t="n">
        <v>345</v>
      </c>
      <c r="I3635" s="10" t="n">
        <v>1015</v>
      </c>
      <c r="J3635" s="10" t="n">
        <v>0</v>
      </c>
      <c r="K3635" s="10" t="s">
        <v>20</v>
      </c>
      <c r="L3635" s="11" t="n">
        <v>40303.0954398148</v>
      </c>
      <c r="M3635" s="12" t="s">
        <v>1522</v>
      </c>
      <c r="N3635" s="12" t="s">
        <v>1523</v>
      </c>
      <c r="O3635" s="9" t="str">
        <f aca="false">HYPERLINK("https://pbs.twimg.com/profile_images/469107861033734144/lh0f-bwf_normal.png","View")</f>
        <v>View</v>
      </c>
      <c r="P3635" s="10"/>
    </row>
    <row r="3636" customFormat="false" ht="15.75" hidden="false" customHeight="false" outlineLevel="0" collapsed="false">
      <c r="A3636" s="6" t="n">
        <v>43030.4678125</v>
      </c>
      <c r="B3636" s="7" t="str">
        <f aca="false">HYPERLINK("https://twitter.com/JoshiRakesh2004","@JoshiRakesh2004")</f>
        <v>@JoshiRakesh2004</v>
      </c>
      <c r="C3636" s="8" t="s">
        <v>8858</v>
      </c>
      <c r="D3636" s="8" t="s">
        <v>8538</v>
      </c>
      <c r="E3636" s="9" t="str">
        <f aca="false">HYPERLINK("https://twitter.com/JoshiRakesh2004/status/922164061608882176","922164061608882176")</f>
        <v>922164061608882176</v>
      </c>
      <c r="F3636" s="10" t="s">
        <v>51</v>
      </c>
      <c r="G3636" s="10" t="n">
        <v>2401</v>
      </c>
      <c r="H3636" s="10" t="n">
        <v>1854</v>
      </c>
      <c r="I3636" s="10" t="n">
        <v>1015</v>
      </c>
      <c r="J3636" s="10" t="n">
        <v>0</v>
      </c>
      <c r="K3636" s="10" t="s">
        <v>20</v>
      </c>
      <c r="L3636" s="11" t="n">
        <v>41154.4554282407</v>
      </c>
      <c r="M3636" s="12"/>
      <c r="N3636" s="12" t="s">
        <v>8859</v>
      </c>
      <c r="O3636" s="9" t="str">
        <f aca="false">HYPERLINK("https://pbs.twimg.com/profile_images/882265944990470144/pCH677h__normal.jpg","View")</f>
        <v>View</v>
      </c>
      <c r="P3636" s="10"/>
    </row>
    <row r="3637" customFormat="false" ht="15.75" hidden="false" customHeight="false" outlineLevel="0" collapsed="false">
      <c r="A3637" s="6" t="n">
        <v>43030.4678587963</v>
      </c>
      <c r="B3637" s="7" t="str">
        <f aca="false">HYPERLINK("https://twitter.com/vaibhavg10","@vaibhavg10")</f>
        <v>@vaibhavg10</v>
      </c>
      <c r="C3637" s="8" t="s">
        <v>8860</v>
      </c>
      <c r="D3637" s="8" t="s">
        <v>8538</v>
      </c>
      <c r="E3637" s="9" t="str">
        <f aca="false">HYPERLINK("https://twitter.com/vaibhavg10/status/922164077417418752","922164077417418752")</f>
        <v>922164077417418752</v>
      </c>
      <c r="F3637" s="10" t="s">
        <v>25</v>
      </c>
      <c r="G3637" s="10" t="n">
        <v>358</v>
      </c>
      <c r="H3637" s="10" t="n">
        <v>367</v>
      </c>
      <c r="I3637" s="10" t="n">
        <v>1015</v>
      </c>
      <c r="J3637" s="10" t="n">
        <v>0</v>
      </c>
      <c r="K3637" s="10" t="s">
        <v>20</v>
      </c>
      <c r="L3637" s="11" t="n">
        <v>40203.294849537</v>
      </c>
      <c r="M3637" s="12"/>
      <c r="N3637" s="12"/>
      <c r="O3637" s="9" t="str">
        <f aca="false">HYPERLINK("https://pbs.twimg.com/profile_images/655907149/vaibhav_normal.jpg","View")</f>
        <v>View</v>
      </c>
      <c r="P3637" s="10"/>
    </row>
    <row r="3638" customFormat="false" ht="15.75" hidden="false" customHeight="false" outlineLevel="0" collapsed="false">
      <c r="A3638" s="6" t="n">
        <v>43030.4679166667</v>
      </c>
      <c r="B3638" s="7" t="str">
        <f aca="false">HYPERLINK("https://twitter.com/ChandraKuanar","@ChandraKuanar")</f>
        <v>@ChandraKuanar</v>
      </c>
      <c r="C3638" s="8" t="s">
        <v>8861</v>
      </c>
      <c r="D3638" s="8" t="s">
        <v>8538</v>
      </c>
      <c r="E3638" s="9" t="str">
        <f aca="false">HYPERLINK("https://twitter.com/ChandraKuanar/status/922164096732221440","922164096732221440")</f>
        <v>922164096732221440</v>
      </c>
      <c r="F3638" s="10" t="s">
        <v>25</v>
      </c>
      <c r="G3638" s="10" t="n">
        <v>28</v>
      </c>
      <c r="H3638" s="10" t="n">
        <v>170</v>
      </c>
      <c r="I3638" s="10" t="n">
        <v>1015</v>
      </c>
      <c r="J3638" s="10" t="n">
        <v>0</v>
      </c>
      <c r="K3638" s="10" t="s">
        <v>20</v>
      </c>
      <c r="L3638" s="11" t="n">
        <v>39991.3995023148</v>
      </c>
      <c r="M3638" s="12"/>
      <c r="N3638" s="12"/>
      <c r="O3638" s="9" t="str">
        <f aca="false">HYPERLINK("https://pbs.twimg.com/profile_images/769942335803297793/Kgfrq-1M_normal.jpg","View")</f>
        <v>View</v>
      </c>
      <c r="P3638" s="10"/>
    </row>
    <row r="3639" customFormat="false" ht="15.75" hidden="false" customHeight="false" outlineLevel="0" collapsed="false">
      <c r="A3639" s="6" t="n">
        <v>43030.4680902778</v>
      </c>
      <c r="B3639" s="7" t="str">
        <f aca="false">HYPERLINK("https://twitter.com/arupjena13","@arupjena13")</f>
        <v>@arupjena13</v>
      </c>
      <c r="C3639" s="8" t="s">
        <v>8862</v>
      </c>
      <c r="D3639" s="8" t="s">
        <v>8538</v>
      </c>
      <c r="E3639" s="9" t="str">
        <f aca="false">HYPERLINK("https://twitter.com/arupjena13/status/922164159650729984","922164159650729984")</f>
        <v>922164159650729984</v>
      </c>
      <c r="F3639" s="10" t="s">
        <v>25</v>
      </c>
      <c r="G3639" s="10" t="n">
        <v>49</v>
      </c>
      <c r="H3639" s="10" t="n">
        <v>107</v>
      </c>
      <c r="I3639" s="10" t="n">
        <v>1015</v>
      </c>
      <c r="J3639" s="10" t="n">
        <v>0</v>
      </c>
      <c r="K3639" s="10" t="s">
        <v>20</v>
      </c>
      <c r="L3639" s="11" t="n">
        <v>40478.3144675926</v>
      </c>
      <c r="M3639" s="12" t="s">
        <v>8863</v>
      </c>
      <c r="N3639" s="12"/>
      <c r="O3639" s="9" t="str">
        <f aca="false">HYPERLINK("https://pbs.twimg.com/profile_images/793468953578311680/xsUo363k_normal.jpg","View")</f>
        <v>View</v>
      </c>
      <c r="P3639" s="10"/>
    </row>
    <row r="3640" customFormat="false" ht="15.75" hidden="false" customHeight="false" outlineLevel="0" collapsed="false">
      <c r="A3640" s="6" t="n">
        <v>43030.4683217593</v>
      </c>
      <c r="B3640" s="7" t="str">
        <f aca="false">HYPERLINK("https://twitter.com/pedoprav","@pedoprav")</f>
        <v>@pedoprav</v>
      </c>
      <c r="C3640" s="8" t="s">
        <v>8864</v>
      </c>
      <c r="D3640" s="8" t="s">
        <v>8538</v>
      </c>
      <c r="E3640" s="9" t="str">
        <f aca="false">HYPERLINK("https://twitter.com/pedoprav/status/922164242702155776","922164242702155776")</f>
        <v>922164242702155776</v>
      </c>
      <c r="F3640" s="10" t="s">
        <v>51</v>
      </c>
      <c r="G3640" s="10" t="n">
        <v>48</v>
      </c>
      <c r="H3640" s="10" t="n">
        <v>169</v>
      </c>
      <c r="I3640" s="10" t="n">
        <v>1015</v>
      </c>
      <c r="J3640" s="10" t="n">
        <v>0</v>
      </c>
      <c r="K3640" s="10" t="s">
        <v>20</v>
      </c>
      <c r="L3640" s="11" t="n">
        <v>40213.1600810185</v>
      </c>
      <c r="M3640" s="12"/>
      <c r="N3640" s="12" t="s">
        <v>8865</v>
      </c>
      <c r="O3640" s="9" t="str">
        <f aca="false">HYPERLINK("https://pbs.twimg.com/profile_images/909439038666432514/pa9ZC0rJ_normal.jpg","View")</f>
        <v>View</v>
      </c>
      <c r="P3640" s="10"/>
    </row>
    <row r="3641" customFormat="false" ht="15.75" hidden="false" customHeight="false" outlineLevel="0" collapsed="false">
      <c r="A3641" s="6" t="n">
        <v>43030.4683796296</v>
      </c>
      <c r="B3641" s="7" t="str">
        <f aca="false">HYPERLINK("https://twitter.com/Makehapen","@Makehapen")</f>
        <v>@Makehapen</v>
      </c>
      <c r="C3641" s="8" t="s">
        <v>8866</v>
      </c>
      <c r="D3641" s="8" t="s">
        <v>8867</v>
      </c>
      <c r="E3641" s="9" t="str">
        <f aca="false">HYPERLINK("https://twitter.com/Makehapen/status/922164265339031552","922164265339031552")</f>
        <v>922164265339031552</v>
      </c>
      <c r="F3641" s="10" t="s">
        <v>51</v>
      </c>
      <c r="G3641" s="10" t="n">
        <v>787</v>
      </c>
      <c r="H3641" s="10" t="n">
        <v>1794</v>
      </c>
      <c r="I3641" s="10" t="n">
        <v>0</v>
      </c>
      <c r="J3641" s="10" t="n">
        <v>0</v>
      </c>
      <c r="K3641" s="10" t="s">
        <v>20</v>
      </c>
      <c r="L3641" s="11" t="n">
        <v>40379.642025463</v>
      </c>
      <c r="M3641" s="12" t="s">
        <v>8868</v>
      </c>
      <c r="N3641" s="12" t="s">
        <v>8869</v>
      </c>
      <c r="O3641" s="9" t="str">
        <f aca="false">HYPERLINK("https://pbs.twimg.com/profile_images/378800000467700811/f03a44fd18605686dda2a5255d099a4c_normal.jpeg","View")</f>
        <v>View</v>
      </c>
      <c r="P3641" s="10"/>
    </row>
    <row r="3642" customFormat="false" ht="15.75" hidden="false" customHeight="false" outlineLevel="0" collapsed="false">
      <c r="A3642" s="6" t="n">
        <v>43030.4685763889</v>
      </c>
      <c r="B3642" s="7" t="str">
        <f aca="false">HYPERLINK("https://twitter.com/TPP_live","@TPP_live")</f>
        <v>@TPP_live</v>
      </c>
      <c r="C3642" s="8" t="s">
        <v>8870</v>
      </c>
      <c r="D3642" s="8" t="s">
        <v>8871</v>
      </c>
      <c r="E3642" s="9" t="str">
        <f aca="false">HYPERLINK("https://twitter.com/TPP_live/status/922164338546429952","922164338546429952")</f>
        <v>922164338546429952</v>
      </c>
      <c r="F3642" s="10" t="s">
        <v>39</v>
      </c>
      <c r="G3642" s="10" t="n">
        <v>6291</v>
      </c>
      <c r="H3642" s="10" t="n">
        <v>3803</v>
      </c>
      <c r="I3642" s="10" t="n">
        <v>7</v>
      </c>
      <c r="J3642" s="10" t="n">
        <v>0</v>
      </c>
      <c r="K3642" s="10" t="s">
        <v>20</v>
      </c>
      <c r="L3642" s="11" t="n">
        <v>42440.0035648148</v>
      </c>
      <c r="M3642" s="12" t="s">
        <v>723</v>
      </c>
      <c r="N3642" s="12" t="s">
        <v>8872</v>
      </c>
      <c r="O3642" s="9" t="str">
        <f aca="false">HYPERLINK("https://pbs.twimg.com/profile_images/708781589061357568/YwHHBUo4_normal.jpg","View")</f>
        <v>View</v>
      </c>
      <c r="P3642" s="10"/>
    </row>
    <row r="3643" customFormat="false" ht="15.75" hidden="false" customHeight="false" outlineLevel="0" collapsed="false">
      <c r="A3643" s="6" t="n">
        <v>43030.4687384259</v>
      </c>
      <c r="B3643" s="7" t="str">
        <f aca="false">HYPERLINK("https://twitter.com/tnmukundan","@tnmukundan")</f>
        <v>@tnmukundan</v>
      </c>
      <c r="C3643" s="8" t="s">
        <v>8017</v>
      </c>
      <c r="D3643" s="8" t="s">
        <v>8538</v>
      </c>
      <c r="E3643" s="9" t="str">
        <f aca="false">HYPERLINK("https://twitter.com/tnmukundan/status/922164397283229697","922164397283229697")</f>
        <v>922164397283229697</v>
      </c>
      <c r="F3643" s="10" t="s">
        <v>51</v>
      </c>
      <c r="G3643" s="10" t="n">
        <v>83</v>
      </c>
      <c r="H3643" s="10" t="n">
        <v>263</v>
      </c>
      <c r="I3643" s="10" t="n">
        <v>1015</v>
      </c>
      <c r="J3643" s="10" t="n">
        <v>0</v>
      </c>
      <c r="K3643" s="10" t="s">
        <v>20</v>
      </c>
      <c r="L3643" s="11" t="n">
        <v>40761.2110648148</v>
      </c>
      <c r="M3643" s="12" t="s">
        <v>868</v>
      </c>
      <c r="N3643" s="12" t="s">
        <v>8018</v>
      </c>
      <c r="O3643" s="9" t="str">
        <f aca="false">HYPERLINK("https://pbs.twimg.com/profile_images/791684853641060352/RKHlEXJ1_normal.jpg","View")</f>
        <v>View</v>
      </c>
      <c r="P3643" s="10"/>
    </row>
    <row r="3644" customFormat="false" ht="15.75" hidden="false" customHeight="false" outlineLevel="0" collapsed="false">
      <c r="A3644" s="6" t="n">
        <v>43030.4688425926</v>
      </c>
      <c r="B3644" s="7" t="str">
        <f aca="false">HYPERLINK("https://twitter.com/11spdubey","@11spdubey")</f>
        <v>@11spdubey</v>
      </c>
      <c r="C3644" s="8" t="s">
        <v>8873</v>
      </c>
      <c r="D3644" s="8" t="s">
        <v>8538</v>
      </c>
      <c r="E3644" s="9" t="str">
        <f aca="false">HYPERLINK("https://twitter.com/11spdubey/status/922164431160672256","922164431160672256")</f>
        <v>922164431160672256</v>
      </c>
      <c r="F3644" s="10" t="s">
        <v>3790</v>
      </c>
      <c r="G3644" s="10" t="n">
        <v>220</v>
      </c>
      <c r="H3644" s="10" t="n">
        <v>219</v>
      </c>
      <c r="I3644" s="10" t="n">
        <v>1015</v>
      </c>
      <c r="J3644" s="10" t="n">
        <v>0</v>
      </c>
      <c r="K3644" s="10" t="s">
        <v>20</v>
      </c>
      <c r="L3644" s="11" t="n">
        <v>41965.0867939815</v>
      </c>
      <c r="M3644" s="12" t="s">
        <v>8874</v>
      </c>
      <c r="N3644" s="12" t="n">
        <v>8896969651</v>
      </c>
      <c r="O3644" s="9" t="str">
        <f aca="false">HYPERLINK("https://pbs.twimg.com/profile_images/892876490416693253/vjaOK5i9_normal.jpg","View")</f>
        <v>View</v>
      </c>
      <c r="P3644" s="10"/>
    </row>
    <row r="3645" customFormat="false" ht="15.75" hidden="false" customHeight="false" outlineLevel="0" collapsed="false">
      <c r="A3645" s="6" t="n">
        <v>43030.4688425926</v>
      </c>
      <c r="B3645" s="7" t="str">
        <f aca="false">HYPERLINK("https://twitter.com/hudsonmarek","@hudsonmarek")</f>
        <v>@hudsonmarek</v>
      </c>
      <c r="C3645" s="8" t="s">
        <v>8875</v>
      </c>
      <c r="D3645" s="8" t="s">
        <v>8876</v>
      </c>
      <c r="E3645" s="9" t="str">
        <f aca="false">HYPERLINK("https://twitter.com/hudsonmarek/status/922164431181766658","922164431181766658")</f>
        <v>922164431181766658</v>
      </c>
      <c r="F3645" s="10" t="s">
        <v>51</v>
      </c>
      <c r="G3645" s="10" t="n">
        <v>20</v>
      </c>
      <c r="H3645" s="10" t="n">
        <v>35</v>
      </c>
      <c r="I3645" s="10" t="n">
        <v>0</v>
      </c>
      <c r="J3645" s="10" t="n">
        <v>0</v>
      </c>
      <c r="K3645" s="10" t="s">
        <v>20</v>
      </c>
      <c r="L3645" s="11" t="n">
        <v>41635.0407291667</v>
      </c>
      <c r="M3645" s="12" t="s">
        <v>380</v>
      </c>
      <c r="N3645" s="12" t="s">
        <v>8877</v>
      </c>
      <c r="O3645" s="9" t="str">
        <f aca="false">HYPERLINK("https://pbs.twimg.com/profile_images/905101021051015168/KxkzLqun_normal.jpg","View")</f>
        <v>View</v>
      </c>
      <c r="P3645" s="10"/>
    </row>
    <row r="3646" customFormat="false" ht="15.75" hidden="false" customHeight="false" outlineLevel="0" collapsed="false">
      <c r="A3646" s="6" t="n">
        <v>43030.4689699074</v>
      </c>
      <c r="B3646" s="7" t="str">
        <f aca="false">HYPERLINK("https://twitter.com/f7tsu8","@f7tsu8")</f>
        <v>@f7tsu8</v>
      </c>
      <c r="C3646" s="8" t="s">
        <v>8878</v>
      </c>
      <c r="D3646" s="8" t="s">
        <v>8879</v>
      </c>
      <c r="E3646" s="9" t="str">
        <f aca="false">HYPERLINK("https://twitter.com/f7tsu8/status/922164481085489153","922164481085489153")</f>
        <v>922164481085489153</v>
      </c>
      <c r="F3646" s="10" t="s">
        <v>25</v>
      </c>
      <c r="G3646" s="10" t="n">
        <v>63</v>
      </c>
      <c r="H3646" s="10" t="n">
        <v>88</v>
      </c>
      <c r="I3646" s="10" t="n">
        <v>0</v>
      </c>
      <c r="J3646" s="10" t="n">
        <v>0</v>
      </c>
      <c r="K3646" s="10" t="s">
        <v>20</v>
      </c>
      <c r="L3646" s="11" t="n">
        <v>42667.1516898148</v>
      </c>
      <c r="M3646" s="12" t="s">
        <v>4050</v>
      </c>
      <c r="N3646" s="13" t="s">
        <v>8880</v>
      </c>
      <c r="O3646" s="9" t="str">
        <f aca="false">HYPERLINK("https://pbs.twimg.com/profile_images/830030496000331776/ImuZu3cg_normal.jpg","View")</f>
        <v>View</v>
      </c>
      <c r="P3646" s="10"/>
    </row>
    <row r="3647" customFormat="false" ht="15.75" hidden="false" customHeight="false" outlineLevel="0" collapsed="false">
      <c r="A3647" s="6" t="n">
        <v>43030.4691203704</v>
      </c>
      <c r="B3647" s="7" t="str">
        <f aca="false">HYPERLINK("https://twitter.com/Sathamudhu","@Sathamudhu")</f>
        <v>@Sathamudhu</v>
      </c>
      <c r="C3647" s="8" t="s">
        <v>8881</v>
      </c>
      <c r="D3647" s="8" t="s">
        <v>8538</v>
      </c>
      <c r="E3647" s="9" t="str">
        <f aca="false">HYPERLINK("https://twitter.com/Sathamudhu/status/922164535376662528","922164535376662528")</f>
        <v>922164535376662528</v>
      </c>
      <c r="F3647" s="10" t="s">
        <v>39</v>
      </c>
      <c r="G3647" s="10" t="n">
        <v>70</v>
      </c>
      <c r="H3647" s="10" t="n">
        <v>70</v>
      </c>
      <c r="I3647" s="10" t="n">
        <v>1015</v>
      </c>
      <c r="J3647" s="10" t="n">
        <v>0</v>
      </c>
      <c r="K3647" s="10" t="s">
        <v>20</v>
      </c>
      <c r="L3647" s="11" t="n">
        <v>42866.3523032407</v>
      </c>
      <c r="M3647" s="12" t="s">
        <v>8882</v>
      </c>
      <c r="N3647" s="12" t="s">
        <v>8883</v>
      </c>
      <c r="O3647" s="9" t="str">
        <f aca="false">HYPERLINK("https://pbs.twimg.com/profile_images/906026178984591360/uZefVwI2_normal.jpg","View")</f>
        <v>View</v>
      </c>
      <c r="P3647" s="10"/>
    </row>
    <row r="3648" customFormat="false" ht="15.75" hidden="false" customHeight="false" outlineLevel="0" collapsed="false">
      <c r="A3648" s="6" t="n">
        <v>43030.4692939815</v>
      </c>
      <c r="B3648" s="7" t="str">
        <f aca="false">HYPERLINK("https://twitter.com/SinghPramod2784","@SinghPramod2784")</f>
        <v>@SinghPramod2784</v>
      </c>
      <c r="C3648" s="8" t="s">
        <v>8884</v>
      </c>
      <c r="D3648" s="8" t="s">
        <v>8538</v>
      </c>
      <c r="E3648" s="9" t="str">
        <f aca="false">HYPERLINK("https://twitter.com/SinghPramod2784/status/922164597942992897","922164597942992897")</f>
        <v>922164597942992897</v>
      </c>
      <c r="F3648" s="10" t="s">
        <v>25</v>
      </c>
      <c r="G3648" s="10" t="n">
        <v>3023</v>
      </c>
      <c r="H3648" s="10" t="n">
        <v>2064</v>
      </c>
      <c r="I3648" s="10" t="n">
        <v>1015</v>
      </c>
      <c r="J3648" s="10" t="n">
        <v>0</v>
      </c>
      <c r="K3648" s="10" t="s">
        <v>20</v>
      </c>
      <c r="L3648" s="11" t="n">
        <v>39783.0890856482</v>
      </c>
      <c r="M3648" s="12" t="s">
        <v>2340</v>
      </c>
      <c r="N3648" s="12" t="s">
        <v>8885</v>
      </c>
      <c r="O3648" s="9" t="str">
        <f aca="false">HYPERLINK("https://pbs.twimg.com/profile_images/922073376578879488/g027VgO7_normal.jpg","View")</f>
        <v>View</v>
      </c>
      <c r="P3648" s="10"/>
    </row>
    <row r="3649" customFormat="false" ht="15.75" hidden="false" customHeight="false" outlineLevel="0" collapsed="false">
      <c r="A3649" s="6" t="n">
        <v>43030.4693287037</v>
      </c>
      <c r="B3649" s="7" t="str">
        <f aca="false">HYPERLINK("https://twitter.com/ravishankar_iam","@ravishankar_iam")</f>
        <v>@ravishankar_iam</v>
      </c>
      <c r="C3649" s="8" t="s">
        <v>8886</v>
      </c>
      <c r="D3649" s="8" t="s">
        <v>8538</v>
      </c>
      <c r="E3649" s="9" t="str">
        <f aca="false">HYPERLINK("https://twitter.com/ravishankar_iam/status/922164610072842240","922164610072842240")</f>
        <v>922164610072842240</v>
      </c>
      <c r="F3649" s="10" t="s">
        <v>25</v>
      </c>
      <c r="G3649" s="10" t="n">
        <v>265</v>
      </c>
      <c r="H3649" s="10" t="n">
        <v>345</v>
      </c>
      <c r="I3649" s="10" t="n">
        <v>1015</v>
      </c>
      <c r="J3649" s="10" t="n">
        <v>0</v>
      </c>
      <c r="K3649" s="10" t="s">
        <v>20</v>
      </c>
      <c r="L3649" s="11" t="n">
        <v>42140.1129282407</v>
      </c>
      <c r="M3649" s="12"/>
      <c r="N3649" s="12"/>
      <c r="O3649" s="9" t="str">
        <f aca="false">HYPERLINK("https://pbs.twimg.com/profile_images/682011761046757376/kXYnKe_s_normal.jpg","View")</f>
        <v>View</v>
      </c>
      <c r="P3649" s="10"/>
    </row>
    <row r="3650" customFormat="false" ht="15.75" hidden="false" customHeight="false" outlineLevel="0" collapsed="false">
      <c r="A3650" s="6" t="n">
        <v>43030.4695833333</v>
      </c>
      <c r="B3650" s="7" t="str">
        <f aca="false">HYPERLINK("https://twitter.com/CodeBreaker4","@CodeBreaker4")</f>
        <v>@CodeBreaker4</v>
      </c>
      <c r="C3650" s="8" t="s">
        <v>8887</v>
      </c>
      <c r="D3650" s="8" t="s">
        <v>8538</v>
      </c>
      <c r="E3650" s="9" t="str">
        <f aca="false">HYPERLINK("https://twitter.com/CodeBreaker4/status/922164701143945216","922164701143945216")</f>
        <v>922164701143945216</v>
      </c>
      <c r="F3650" s="10" t="s">
        <v>39</v>
      </c>
      <c r="G3650" s="10" t="n">
        <v>857</v>
      </c>
      <c r="H3650" s="10" t="n">
        <v>2029</v>
      </c>
      <c r="I3650" s="10" t="n">
        <v>1015</v>
      </c>
      <c r="J3650" s="10" t="n">
        <v>0</v>
      </c>
      <c r="K3650" s="10" t="s">
        <v>20</v>
      </c>
      <c r="L3650" s="11" t="n">
        <v>40110.5391782407</v>
      </c>
      <c r="M3650" s="12"/>
      <c r="N3650" s="12" t="s">
        <v>8888</v>
      </c>
      <c r="O3650" s="9" t="str">
        <f aca="false">HYPERLINK("https://pbs.twimg.com/profile_images/918215283290099712/IFkeXOzZ_normal.jpg","View")</f>
        <v>View</v>
      </c>
      <c r="P3650" s="10"/>
    </row>
    <row r="3651" customFormat="false" ht="15.75" hidden="false" customHeight="false" outlineLevel="0" collapsed="false">
      <c r="A3651" s="6" t="n">
        <v>43030.4698958333</v>
      </c>
      <c r="B3651" s="7" t="str">
        <f aca="false">HYPERLINK("https://twitter.com/_XPeaceful_","@_XPeaceful_")</f>
        <v>@_XPeaceful_</v>
      </c>
      <c r="C3651" s="8" t="s">
        <v>7602</v>
      </c>
      <c r="D3651" s="8" t="s">
        <v>7905</v>
      </c>
      <c r="E3651" s="9" t="str">
        <f aca="false">HYPERLINK("https://twitter.com/_XPeaceful_/status/922164813521936384","922164813521936384")</f>
        <v>922164813521936384</v>
      </c>
      <c r="F3651" s="10" t="s">
        <v>25</v>
      </c>
      <c r="G3651" s="10" t="n">
        <v>48</v>
      </c>
      <c r="H3651" s="10" t="n">
        <v>22</v>
      </c>
      <c r="I3651" s="10" t="n">
        <v>38</v>
      </c>
      <c r="J3651" s="10" t="n">
        <v>0</v>
      </c>
      <c r="K3651" s="10" t="s">
        <v>20</v>
      </c>
      <c r="L3651" s="11" t="n">
        <v>42959.4218402778</v>
      </c>
      <c r="M3651" s="12"/>
      <c r="N3651" s="12"/>
      <c r="O3651" s="9" t="str">
        <f aca="false">HYPERLINK("https://abs.twimg.com/sticky/default_profile_images/default_profile_normal.png","View")</f>
        <v>View</v>
      </c>
      <c r="P3651" s="10"/>
    </row>
    <row r="3652" customFormat="false" ht="15.75" hidden="false" customHeight="false" outlineLevel="0" collapsed="false">
      <c r="A3652" s="6" t="n">
        <v>43030.4699189815</v>
      </c>
      <c r="B3652" s="7" t="str">
        <f aca="false">HYPERLINK("https://twitter.com/johnsweaver47","@johnsweaver47")</f>
        <v>@johnsweaver47</v>
      </c>
      <c r="C3652" s="8" t="s">
        <v>8889</v>
      </c>
      <c r="D3652" s="8" t="s">
        <v>8890</v>
      </c>
      <c r="E3652" s="9" t="str">
        <f aca="false">HYPERLINK("https://twitter.com/johnsweaver47/status/922164822212407296","922164822212407296")</f>
        <v>922164822212407296</v>
      </c>
      <c r="F3652" s="10" t="s">
        <v>177</v>
      </c>
      <c r="G3652" s="10" t="n">
        <v>413</v>
      </c>
      <c r="H3652" s="10" t="n">
        <v>962</v>
      </c>
      <c r="I3652" s="10" t="n">
        <v>0</v>
      </c>
      <c r="J3652" s="10" t="n">
        <v>0</v>
      </c>
      <c r="K3652" s="10" t="s">
        <v>20</v>
      </c>
      <c r="L3652" s="11" t="n">
        <v>41819.4038773148</v>
      </c>
      <c r="M3652" s="12" t="s">
        <v>8891</v>
      </c>
      <c r="N3652" s="12" t="s">
        <v>8892</v>
      </c>
      <c r="O3652" s="9" t="str">
        <f aca="false">HYPERLINK("https://pbs.twimg.com/profile_images/854601389825183744/LpctprK5_normal.jpg","View")</f>
        <v>View</v>
      </c>
      <c r="P3652" s="10"/>
    </row>
    <row r="3653" customFormat="false" ht="15.75" hidden="false" customHeight="false" outlineLevel="0" collapsed="false">
      <c r="A3653" s="6" t="n">
        <v>43030.4701851852</v>
      </c>
      <c r="B3653" s="7" t="str">
        <f aca="false">HYPERLINK("https://twitter.com/joshmachine1973","@joshmachine1973")</f>
        <v>@joshmachine1973</v>
      </c>
      <c r="C3653" s="8" t="s">
        <v>8893</v>
      </c>
      <c r="D3653" s="8" t="s">
        <v>8538</v>
      </c>
      <c r="E3653" s="9" t="str">
        <f aca="false">HYPERLINK("https://twitter.com/joshmachine1973/status/922164918442430464","922164918442430464")</f>
        <v>922164918442430464</v>
      </c>
      <c r="F3653" s="10" t="s">
        <v>25</v>
      </c>
      <c r="G3653" s="10" t="n">
        <v>496</v>
      </c>
      <c r="H3653" s="10" t="n">
        <v>1826</v>
      </c>
      <c r="I3653" s="10" t="n">
        <v>1015</v>
      </c>
      <c r="J3653" s="10" t="n">
        <v>0</v>
      </c>
      <c r="K3653" s="10" t="s">
        <v>20</v>
      </c>
      <c r="L3653" s="11" t="n">
        <v>42179.7859259259</v>
      </c>
      <c r="M3653" s="12" t="s">
        <v>72</v>
      </c>
      <c r="N3653" s="12" t="s">
        <v>8894</v>
      </c>
      <c r="O3653" s="9" t="str">
        <f aca="false">HYPERLINK("https://pbs.twimg.com/profile_images/614709010994872320/AfLTfc5r_normal.jpg","View")</f>
        <v>View</v>
      </c>
      <c r="P3653" s="10"/>
    </row>
    <row r="3654" customFormat="false" ht="15.75" hidden="false" customHeight="false" outlineLevel="0" collapsed="false">
      <c r="A3654" s="6" t="n">
        <v>43030.4703935185</v>
      </c>
      <c r="B3654" s="7" t="str">
        <f aca="false">HYPERLINK("https://twitter.com/AranchaGlezLaya","@AranchaGlezLaya")</f>
        <v>@AranchaGlezLaya</v>
      </c>
      <c r="C3654" s="8" t="s">
        <v>8895</v>
      </c>
      <c r="D3654" s="8" t="s">
        <v>8871</v>
      </c>
      <c r="E3654" s="9" t="str">
        <f aca="false">HYPERLINK("https://twitter.com/AranchaGlezLaya/status/922164997156999169","922164997156999169")</f>
        <v>922164997156999169</v>
      </c>
      <c r="F3654" s="10" t="s">
        <v>39</v>
      </c>
      <c r="G3654" s="10" t="n">
        <v>12414</v>
      </c>
      <c r="H3654" s="10" t="n">
        <v>1521</v>
      </c>
      <c r="I3654" s="10" t="n">
        <v>7</v>
      </c>
      <c r="J3654" s="10" t="n">
        <v>0</v>
      </c>
      <c r="K3654" s="10" t="s">
        <v>20</v>
      </c>
      <c r="L3654" s="11" t="n">
        <v>41238.5298263889</v>
      </c>
      <c r="M3654" s="12" t="s">
        <v>5254</v>
      </c>
      <c r="N3654" s="12" t="s">
        <v>8896</v>
      </c>
      <c r="O3654" s="9" t="str">
        <f aca="false">HYPERLINK("https://pbs.twimg.com/profile_images/544190445320810496/a74oQ6yk_normal.jpeg","View")</f>
        <v>View</v>
      </c>
      <c r="P3654" s="10"/>
    </row>
    <row r="3655" customFormat="false" ht="15.75" hidden="false" customHeight="false" outlineLevel="0" collapsed="false">
      <c r="A3655" s="6" t="n">
        <v>43030.4706828704</v>
      </c>
      <c r="B3655" s="7" t="str">
        <f aca="false">HYPERLINK("https://twitter.com/lakshay65141901","@lakshay65141901")</f>
        <v>@lakshay65141901</v>
      </c>
      <c r="C3655" s="8" t="s">
        <v>8897</v>
      </c>
      <c r="D3655" s="8" t="s">
        <v>8538</v>
      </c>
      <c r="E3655" s="9" t="str">
        <f aca="false">HYPERLINK("https://twitter.com/lakshay65141901/status/922165101750374401","922165101750374401")</f>
        <v>922165101750374401</v>
      </c>
      <c r="F3655" s="10" t="s">
        <v>25</v>
      </c>
      <c r="G3655" s="10" t="n">
        <v>345</v>
      </c>
      <c r="H3655" s="10" t="n">
        <v>130</v>
      </c>
      <c r="I3655" s="10" t="n">
        <v>1015</v>
      </c>
      <c r="J3655" s="10" t="n">
        <v>0</v>
      </c>
      <c r="K3655" s="10" t="s">
        <v>20</v>
      </c>
      <c r="L3655" s="11" t="n">
        <v>42717.2977777778</v>
      </c>
      <c r="M3655" s="12" t="s">
        <v>72</v>
      </c>
      <c r="N3655" s="12" t="s">
        <v>8898</v>
      </c>
      <c r="O3655" s="9" t="str">
        <f aca="false">HYPERLINK("https://pbs.twimg.com/profile_images/923013883182354433/6r35EYGW_normal.jpg","View")</f>
        <v>View</v>
      </c>
      <c r="P3655" s="10"/>
    </row>
    <row r="3656" customFormat="false" ht="15.75" hidden="false" customHeight="false" outlineLevel="0" collapsed="false">
      <c r="A3656" s="6" t="n">
        <v>43030.4707291667</v>
      </c>
      <c r="B3656" s="7" t="str">
        <f aca="false">HYPERLINK("https://twitter.com/samips129","@samips129")</f>
        <v>@samips129</v>
      </c>
      <c r="C3656" s="8" t="s">
        <v>8899</v>
      </c>
      <c r="D3656" s="8" t="s">
        <v>8538</v>
      </c>
      <c r="E3656" s="9" t="str">
        <f aca="false">HYPERLINK("https://twitter.com/samips129/status/922165114895077376","922165114895077376")</f>
        <v>922165114895077376</v>
      </c>
      <c r="F3656" s="10" t="s">
        <v>98</v>
      </c>
      <c r="G3656" s="10" t="n">
        <v>320</v>
      </c>
      <c r="H3656" s="10" t="n">
        <v>702</v>
      </c>
      <c r="I3656" s="10" t="n">
        <v>1015</v>
      </c>
      <c r="J3656" s="10" t="n">
        <v>0</v>
      </c>
      <c r="K3656" s="10" t="s">
        <v>20</v>
      </c>
      <c r="L3656" s="11" t="n">
        <v>41501.0497916667</v>
      </c>
      <c r="M3656" s="12" t="s">
        <v>72</v>
      </c>
      <c r="N3656" s="12" t="s">
        <v>8900</v>
      </c>
      <c r="O3656" s="9" t="str">
        <f aca="false">HYPERLINK("https://pbs.twimg.com/profile_images/914377326577594368/8NwbzdUg_normal.jpg","View")</f>
        <v>View</v>
      </c>
      <c r="P3656" s="10"/>
    </row>
    <row r="3657" customFormat="false" ht="15.75" hidden="false" customHeight="false" outlineLevel="0" collapsed="false">
      <c r="A3657" s="6" t="n">
        <v>43030.4713425926</v>
      </c>
      <c r="B3657" s="7" t="str">
        <f aca="false">HYPERLINK("https://twitter.com/skfreethinker","@skfreethinker")</f>
        <v>@skfreethinker</v>
      </c>
      <c r="C3657" s="8" t="s">
        <v>8901</v>
      </c>
      <c r="D3657" s="8" t="s">
        <v>8538</v>
      </c>
      <c r="E3657" s="9" t="str">
        <f aca="false">HYPERLINK("https://twitter.com/skfreethinker/status/922165340200562688","922165340200562688")</f>
        <v>922165340200562688</v>
      </c>
      <c r="F3657" s="10" t="s">
        <v>98</v>
      </c>
      <c r="G3657" s="10" t="n">
        <v>183</v>
      </c>
      <c r="H3657" s="10" t="n">
        <v>131</v>
      </c>
      <c r="I3657" s="10" t="n">
        <v>1015</v>
      </c>
      <c r="J3657" s="10" t="n">
        <v>0</v>
      </c>
      <c r="K3657" s="10" t="s">
        <v>20</v>
      </c>
      <c r="L3657" s="11" t="n">
        <v>42564.0911921296</v>
      </c>
      <c r="M3657" s="12"/>
      <c r="N3657" s="12"/>
      <c r="O3657" s="9" t="str">
        <f aca="false">HYPERLINK("https://pbs.twimg.com/profile_images/919131561907273728/4j7DXWx4_normal.jpg","View")</f>
        <v>View</v>
      </c>
      <c r="P3657" s="10"/>
    </row>
    <row r="3658" customFormat="false" ht="15.75" hidden="false" customHeight="false" outlineLevel="0" collapsed="false">
      <c r="A3658" s="6" t="n">
        <v>43030.4715625</v>
      </c>
      <c r="B3658" s="7" t="str">
        <f aca="false">HYPERLINK("https://twitter.com/pushne_savitur","@pushne_savitur")</f>
        <v>@pushne_savitur</v>
      </c>
      <c r="C3658" s="8" t="s">
        <v>6123</v>
      </c>
      <c r="D3658" s="8" t="s">
        <v>7905</v>
      </c>
      <c r="E3658" s="9" t="str">
        <f aca="false">HYPERLINK("https://twitter.com/pushne_savitur/status/922165419141611520","922165419141611520")</f>
        <v>922165419141611520</v>
      </c>
      <c r="F3658" s="10" t="s">
        <v>25</v>
      </c>
      <c r="G3658" s="10" t="n">
        <v>204</v>
      </c>
      <c r="H3658" s="10" t="n">
        <v>546</v>
      </c>
      <c r="I3658" s="10" t="n">
        <v>38</v>
      </c>
      <c r="J3658" s="10" t="n">
        <v>0</v>
      </c>
      <c r="K3658" s="10" t="s">
        <v>20</v>
      </c>
      <c r="L3658" s="11" t="n">
        <v>41875.4896527778</v>
      </c>
      <c r="M3658" s="12"/>
      <c r="N3658" s="12" t="s">
        <v>6124</v>
      </c>
      <c r="O3658" s="9" t="str">
        <f aca="false">HYPERLINK("https://pbs.twimg.com/profile_images/503628445415260161/uKoitu3H_normal.jpeg","View")</f>
        <v>View</v>
      </c>
      <c r="P3658" s="10"/>
    </row>
    <row r="3659" customFormat="false" ht="15.75" hidden="false" customHeight="false" outlineLevel="0" collapsed="false">
      <c r="A3659" s="6" t="n">
        <v>43030.4716666667</v>
      </c>
      <c r="B3659" s="7" t="str">
        <f aca="false">HYPERLINK("https://twitter.com/ManshiSwiftie","@ManshiSwiftie")</f>
        <v>@ManshiSwiftie</v>
      </c>
      <c r="C3659" s="8" t="s">
        <v>8902</v>
      </c>
      <c r="D3659" s="8" t="s">
        <v>8779</v>
      </c>
      <c r="E3659" s="9" t="str">
        <f aca="false">HYPERLINK("https://twitter.com/ManshiSwiftie/status/922165456391114752","922165456391114752")</f>
        <v>922165456391114752</v>
      </c>
      <c r="F3659" s="10" t="s">
        <v>25</v>
      </c>
      <c r="G3659" s="10" t="n">
        <v>795</v>
      </c>
      <c r="H3659" s="10" t="n">
        <v>312</v>
      </c>
      <c r="I3659" s="10" t="n">
        <v>4</v>
      </c>
      <c r="J3659" s="10" t="n">
        <v>0</v>
      </c>
      <c r="K3659" s="10" t="s">
        <v>20</v>
      </c>
      <c r="L3659" s="11" t="n">
        <v>41793.2093287037</v>
      </c>
      <c r="M3659" s="12" t="s">
        <v>8603</v>
      </c>
      <c r="N3659" s="12" t="s">
        <v>8903</v>
      </c>
      <c r="O3659" s="9" t="str">
        <f aca="false">HYPERLINK("https://pbs.twimg.com/profile_images/911834329101230080/YqYKtqrh_normal.jpg","View")</f>
        <v>View</v>
      </c>
      <c r="P3659" s="10"/>
    </row>
    <row r="3660" customFormat="false" ht="15.75" hidden="false" customHeight="false" outlineLevel="0" collapsed="false">
      <c r="A3660" s="6" t="n">
        <v>43030.4718171296</v>
      </c>
      <c r="B3660" s="7" t="str">
        <f aca="false">HYPERLINK("https://twitter.com/prashantrathi08","@prashantrathi08")</f>
        <v>@prashantrathi08</v>
      </c>
      <c r="C3660" s="8" t="s">
        <v>8904</v>
      </c>
      <c r="D3660" s="8" t="s">
        <v>8538</v>
      </c>
      <c r="E3660" s="9" t="str">
        <f aca="false">HYPERLINK("https://twitter.com/prashantrathi08/status/922165509134598144","922165509134598144")</f>
        <v>922165509134598144</v>
      </c>
      <c r="F3660" s="10" t="s">
        <v>25</v>
      </c>
      <c r="G3660" s="10" t="n">
        <v>2496</v>
      </c>
      <c r="H3660" s="10" t="n">
        <v>903</v>
      </c>
      <c r="I3660" s="10" t="n">
        <v>1015</v>
      </c>
      <c r="J3660" s="10" t="n">
        <v>0</v>
      </c>
      <c r="K3660" s="10" t="s">
        <v>20</v>
      </c>
      <c r="L3660" s="11" t="n">
        <v>40033.5198726852</v>
      </c>
      <c r="M3660" s="12" t="s">
        <v>8541</v>
      </c>
      <c r="N3660" s="12" t="s">
        <v>8905</v>
      </c>
      <c r="O3660" s="9" t="str">
        <f aca="false">HYPERLINK("https://pbs.twimg.com/profile_images/824161392836177921/pIIYnqEl_normal.jpg","View")</f>
        <v>View</v>
      </c>
      <c r="P3660" s="10"/>
    </row>
    <row r="3661" customFormat="false" ht="15.75" hidden="false" customHeight="false" outlineLevel="0" collapsed="false">
      <c r="A3661" s="6" t="n">
        <v>43030.4718518519</v>
      </c>
      <c r="B3661" s="7" t="str">
        <f aca="false">HYPERLINK("https://twitter.com/sat_gollapudi","@sat_gollapudi")</f>
        <v>@sat_gollapudi</v>
      </c>
      <c r="C3661" s="8" t="s">
        <v>7447</v>
      </c>
      <c r="D3661" s="8" t="s">
        <v>8538</v>
      </c>
      <c r="E3661" s="9" t="str">
        <f aca="false">HYPERLINK("https://twitter.com/sat_gollapudi/status/922165522510225408","922165522510225408")</f>
        <v>922165522510225408</v>
      </c>
      <c r="F3661" s="10" t="s">
        <v>25</v>
      </c>
      <c r="G3661" s="10" t="n">
        <v>96</v>
      </c>
      <c r="H3661" s="10" t="n">
        <v>129</v>
      </c>
      <c r="I3661" s="10" t="n">
        <v>1015</v>
      </c>
      <c r="J3661" s="10" t="n">
        <v>0</v>
      </c>
      <c r="K3661" s="10" t="s">
        <v>20</v>
      </c>
      <c r="L3661" s="11" t="n">
        <v>40570.3246990741</v>
      </c>
      <c r="M3661" s="12"/>
      <c r="N3661" s="12" t="s">
        <v>7448</v>
      </c>
      <c r="O3661" s="9" t="str">
        <f aca="false">HYPERLINK("https://pbs.twimg.com/profile_images/917953021824212992/wjg3eQeF_normal.jpg","View")</f>
        <v>View</v>
      </c>
      <c r="P3661" s="10"/>
    </row>
    <row r="3662" customFormat="false" ht="15.75" hidden="false" customHeight="false" outlineLevel="0" collapsed="false">
      <c r="A3662" s="6" t="n">
        <v>43030.4718981482</v>
      </c>
      <c r="B3662" s="7" t="str">
        <f aca="false">HYPERLINK("https://twitter.com/riotta","@riotta")</f>
        <v>@riotta</v>
      </c>
      <c r="C3662" s="8" t="s">
        <v>8906</v>
      </c>
      <c r="D3662" s="8" t="s">
        <v>8907</v>
      </c>
      <c r="E3662" s="9" t="str">
        <f aca="false">HYPERLINK("https://twitter.com/riotta/status/922165540856172544","922165540856172544")</f>
        <v>922165540856172544</v>
      </c>
      <c r="F3662" s="10" t="s">
        <v>39</v>
      </c>
      <c r="G3662" s="10" t="n">
        <v>269637</v>
      </c>
      <c r="H3662" s="10" t="n">
        <v>2343</v>
      </c>
      <c r="I3662" s="10" t="n">
        <v>0</v>
      </c>
      <c r="J3662" s="10" t="n">
        <v>4</v>
      </c>
      <c r="K3662" s="10" t="s">
        <v>20</v>
      </c>
      <c r="L3662" s="11" t="n">
        <v>40069.576412037</v>
      </c>
      <c r="M3662" s="12"/>
      <c r="N3662" s="12" t="s">
        <v>8908</v>
      </c>
      <c r="O3662" s="9" t="str">
        <f aca="false">HYPERLINK("https://pbs.twimg.com/profile_images/847443214776717317/kgeNYZIP_normal.jpg","View")</f>
        <v>View</v>
      </c>
      <c r="P3662" s="10"/>
    </row>
    <row r="3663" customFormat="false" ht="15.75" hidden="false" customHeight="false" outlineLevel="0" collapsed="false">
      <c r="A3663" s="6" t="n">
        <v>43030.4719212963</v>
      </c>
      <c r="B3663" s="7" t="str">
        <f aca="false">HYPERLINK("https://twitter.com/connelly20131","@connelly20131")</f>
        <v>@connelly20131</v>
      </c>
      <c r="C3663" s="8" t="s">
        <v>8909</v>
      </c>
      <c r="D3663" s="8" t="s">
        <v>7803</v>
      </c>
      <c r="E3663" s="9" t="str">
        <f aca="false">HYPERLINK("https://twitter.com/connelly20131/status/922165549399863296","922165549399863296")</f>
        <v>922165549399863296</v>
      </c>
      <c r="F3663" s="10" t="s">
        <v>39</v>
      </c>
      <c r="G3663" s="10" t="n">
        <v>232</v>
      </c>
      <c r="H3663" s="10" t="n">
        <v>69</v>
      </c>
      <c r="I3663" s="10" t="n">
        <v>30</v>
      </c>
      <c r="J3663" s="10" t="n">
        <v>0</v>
      </c>
      <c r="K3663" s="10" t="s">
        <v>20</v>
      </c>
      <c r="L3663" s="11" t="n">
        <v>42822.6173726852</v>
      </c>
      <c r="M3663" s="12"/>
      <c r="N3663" s="12"/>
      <c r="O3663" s="9" t="str">
        <f aca="false">HYPERLINK("https://pbs.twimg.com/profile_images/922191340028309504/R1zj7MK3_normal.jpg","View")</f>
        <v>View</v>
      </c>
      <c r="P3663" s="10"/>
    </row>
    <row r="3664" customFormat="false" ht="15.75" hidden="false" customHeight="false" outlineLevel="0" collapsed="false">
      <c r="A3664" s="6" t="n">
        <v>43030.472337963</v>
      </c>
      <c r="B3664" s="7" t="str">
        <f aca="false">HYPERLINK("https://twitter.com/mwcnews","@mwcnews")</f>
        <v>@mwcnews</v>
      </c>
      <c r="C3664" s="8" t="s">
        <v>8910</v>
      </c>
      <c r="D3664" s="8" t="s">
        <v>8911</v>
      </c>
      <c r="E3664" s="9" t="str">
        <f aca="false">HYPERLINK("https://twitter.com/mwcnews/status/922165699677773824","922165699677773824")</f>
        <v>922165699677773824</v>
      </c>
      <c r="F3664" s="10" t="s">
        <v>1167</v>
      </c>
      <c r="G3664" s="10" t="n">
        <v>642</v>
      </c>
      <c r="H3664" s="10" t="n">
        <v>663</v>
      </c>
      <c r="I3664" s="10" t="n">
        <v>0</v>
      </c>
      <c r="J3664" s="10" t="n">
        <v>0</v>
      </c>
      <c r="K3664" s="10" t="s">
        <v>20</v>
      </c>
      <c r="L3664" s="11" t="n">
        <v>39736.5395833333</v>
      </c>
      <c r="M3664" s="12" t="s">
        <v>4050</v>
      </c>
      <c r="N3664" s="12" t="s">
        <v>8912</v>
      </c>
      <c r="O3664" s="9" t="str">
        <f aca="false">HYPERLINK("https://pbs.twimg.com/profile_images/567499566983815168/-qalMxCT_normal.jpeg","View")</f>
        <v>View</v>
      </c>
      <c r="P3664" s="10"/>
    </row>
    <row r="3665" customFormat="false" ht="15.75" hidden="false" customHeight="false" outlineLevel="0" collapsed="false">
      <c r="A3665" s="6" t="n">
        <v>43030.4725</v>
      </c>
      <c r="B3665" s="7" t="str">
        <f aca="false">HYPERLINK("https://twitter.com/arajhauns","@arajhauns")</f>
        <v>@arajhauns</v>
      </c>
      <c r="C3665" s="8" t="s">
        <v>1521</v>
      </c>
      <c r="D3665" s="8" t="s">
        <v>7905</v>
      </c>
      <c r="E3665" s="9" t="str">
        <f aca="false">HYPERLINK("https://twitter.com/arajhauns/status/922165759543009280","922165759543009280")</f>
        <v>922165759543009280</v>
      </c>
      <c r="F3665" s="10" t="s">
        <v>51</v>
      </c>
      <c r="G3665" s="10" t="n">
        <v>128</v>
      </c>
      <c r="H3665" s="10" t="n">
        <v>345</v>
      </c>
      <c r="I3665" s="10" t="n">
        <v>38</v>
      </c>
      <c r="J3665" s="10" t="n">
        <v>0</v>
      </c>
      <c r="K3665" s="10" t="s">
        <v>20</v>
      </c>
      <c r="L3665" s="11" t="n">
        <v>40303.0954398148</v>
      </c>
      <c r="M3665" s="12" t="s">
        <v>1522</v>
      </c>
      <c r="N3665" s="12" t="s">
        <v>1523</v>
      </c>
      <c r="O3665" s="9" t="str">
        <f aca="false">HYPERLINK("https://pbs.twimg.com/profile_images/469107861033734144/lh0f-bwf_normal.png","View")</f>
        <v>View</v>
      </c>
      <c r="P3665" s="10"/>
    </row>
    <row r="3666" customFormat="false" ht="15.75" hidden="false" customHeight="false" outlineLevel="0" collapsed="false">
      <c r="A3666" s="6" t="n">
        <v>43030.4726851852</v>
      </c>
      <c r="B3666" s="7" t="str">
        <f aca="false">HYPERLINK("https://twitter.com/CKP_Vignesh","@CKP_Vignesh")</f>
        <v>@CKP_Vignesh</v>
      </c>
      <c r="C3666" s="8" t="s">
        <v>8913</v>
      </c>
      <c r="D3666" s="8" t="s">
        <v>8538</v>
      </c>
      <c r="E3666" s="9" t="str">
        <f aca="false">HYPERLINK("https://twitter.com/CKP_Vignesh/status/922165826802683905","922165826802683905")</f>
        <v>922165826802683905</v>
      </c>
      <c r="F3666" s="10" t="s">
        <v>25</v>
      </c>
      <c r="G3666" s="10" t="n">
        <v>761</v>
      </c>
      <c r="H3666" s="10" t="n">
        <v>401</v>
      </c>
      <c r="I3666" s="10" t="n">
        <v>1015</v>
      </c>
      <c r="J3666" s="10" t="n">
        <v>0</v>
      </c>
      <c r="K3666" s="10" t="s">
        <v>20</v>
      </c>
      <c r="L3666" s="11" t="n">
        <v>42637.1658912037</v>
      </c>
      <c r="M3666" s="12" t="s">
        <v>72</v>
      </c>
      <c r="N3666" s="12" t="s">
        <v>8914</v>
      </c>
      <c r="O3666" s="9" t="str">
        <f aca="false">HYPERLINK("https://pbs.twimg.com/profile_images/897626249501134848/3dIsRL8s_normal.jpg","View")</f>
        <v>View</v>
      </c>
      <c r="P3666" s="10"/>
    </row>
    <row r="3667" customFormat="false" ht="15.75" hidden="false" customHeight="false" outlineLevel="0" collapsed="false">
      <c r="A3667" s="6" t="n">
        <v>43030.4728009259</v>
      </c>
      <c r="B3667" s="7" t="str">
        <f aca="false">HYPERLINK("https://twitter.com/srini_ramanuj","@srini_ramanuj")</f>
        <v>@srini_ramanuj</v>
      </c>
      <c r="C3667" s="8" t="s">
        <v>8915</v>
      </c>
      <c r="D3667" s="8" t="s">
        <v>8538</v>
      </c>
      <c r="E3667" s="9" t="str">
        <f aca="false">HYPERLINK("https://twitter.com/srini_ramanuj/status/922165869219901440","922165869219901440")</f>
        <v>922165869219901440</v>
      </c>
      <c r="F3667" s="10" t="s">
        <v>98</v>
      </c>
      <c r="G3667" s="10" t="n">
        <v>68</v>
      </c>
      <c r="H3667" s="10" t="n">
        <v>219</v>
      </c>
      <c r="I3667" s="10" t="n">
        <v>1015</v>
      </c>
      <c r="J3667" s="10" t="n">
        <v>0</v>
      </c>
      <c r="K3667" s="10" t="s">
        <v>20</v>
      </c>
      <c r="L3667" s="11" t="n">
        <v>40983.0593171296</v>
      </c>
      <c r="M3667" s="12" t="s">
        <v>5883</v>
      </c>
      <c r="N3667" s="12" t="s">
        <v>8916</v>
      </c>
      <c r="O3667" s="9" t="str">
        <f aca="false">HYPERLINK("https://pbs.twimg.com/profile_images/3164848906/31fb31399dfb618ba98b0f7f04578a21_normal.jpeg","View")</f>
        <v>View</v>
      </c>
      <c r="P3667" s="10"/>
    </row>
    <row r="3668" customFormat="false" ht="15.75" hidden="false" customHeight="false" outlineLevel="0" collapsed="false">
      <c r="A3668" s="6" t="n">
        <v>43030.4728356481</v>
      </c>
      <c r="B3668" s="7" t="str">
        <f aca="false">HYPERLINK("https://twitter.com/sugandhk870","@sugandhk870")</f>
        <v>@sugandhk870</v>
      </c>
      <c r="C3668" s="8" t="s">
        <v>8917</v>
      </c>
      <c r="D3668" s="8" t="s">
        <v>8538</v>
      </c>
      <c r="E3668" s="9" t="str">
        <f aca="false">HYPERLINK("https://twitter.com/sugandhk870/status/922165880510873600","922165880510873600")</f>
        <v>922165880510873600</v>
      </c>
      <c r="F3668" s="10" t="s">
        <v>98</v>
      </c>
      <c r="G3668" s="10" t="n">
        <v>885</v>
      </c>
      <c r="H3668" s="10" t="n">
        <v>216</v>
      </c>
      <c r="I3668" s="10" t="n">
        <v>1015</v>
      </c>
      <c r="J3668" s="10" t="n">
        <v>0</v>
      </c>
      <c r="K3668" s="10" t="s">
        <v>20</v>
      </c>
      <c r="L3668" s="11" t="n">
        <v>40607.4038541667</v>
      </c>
      <c r="M3668" s="12" t="s">
        <v>8918</v>
      </c>
      <c r="N3668" s="12" t="s">
        <v>8919</v>
      </c>
      <c r="O3668" s="9" t="str">
        <f aca="false">HYPERLINK("https://pbs.twimg.com/profile_images/599933386392784896/nE2V0kjx_normal.png","View")</f>
        <v>View</v>
      </c>
      <c r="P3668" s="10"/>
    </row>
    <row r="3669" customFormat="false" ht="15.75" hidden="false" customHeight="false" outlineLevel="0" collapsed="false">
      <c r="A3669" s="6" t="n">
        <v>43030.472962963</v>
      </c>
      <c r="B3669" s="7" t="str">
        <f aca="false">HYPERLINK("https://twitter.com/bearlypawsing","@bearlypawsing")</f>
        <v>@bearlypawsing</v>
      </c>
      <c r="C3669" s="8" t="s">
        <v>8920</v>
      </c>
      <c r="D3669" s="8" t="s">
        <v>8921</v>
      </c>
      <c r="E3669" s="9" t="str">
        <f aca="false">HYPERLINK("https://twitter.com/bearlypawsing/status/922165925792702464","922165925792702464")</f>
        <v>922165925792702464</v>
      </c>
      <c r="F3669" s="10" t="s">
        <v>110</v>
      </c>
      <c r="G3669" s="10" t="n">
        <v>11</v>
      </c>
      <c r="H3669" s="10" t="n">
        <v>17</v>
      </c>
      <c r="I3669" s="10" t="n">
        <v>0</v>
      </c>
      <c r="J3669" s="10" t="n">
        <v>0</v>
      </c>
      <c r="K3669" s="10" t="s">
        <v>20</v>
      </c>
      <c r="L3669" s="11" t="n">
        <v>41222.6520486111</v>
      </c>
      <c r="M3669" s="12"/>
      <c r="N3669" s="12"/>
      <c r="O3669" s="9" t="str">
        <f aca="false">HYPERLINK("https://pbs.twimg.com/profile_images/479782489267777536/tLa31IsZ_normal.jpeg","View")</f>
        <v>View</v>
      </c>
      <c r="P3669" s="10"/>
    </row>
    <row r="3670" customFormat="false" ht="15.75" hidden="false" customHeight="false" outlineLevel="0" collapsed="false">
      <c r="A3670" s="6" t="n">
        <v>43030.4731944444</v>
      </c>
      <c r="B3670" s="7" t="str">
        <f aca="false">HYPERLINK("https://twitter.com/perfectindian1","@perfectindian1")</f>
        <v>@perfectindian1</v>
      </c>
      <c r="C3670" s="8" t="s">
        <v>8922</v>
      </c>
      <c r="D3670" s="8" t="s">
        <v>8538</v>
      </c>
      <c r="E3670" s="9" t="str">
        <f aca="false">HYPERLINK("https://twitter.com/perfectindian1/status/922166009993162752","922166009993162752")</f>
        <v>922166009993162752</v>
      </c>
      <c r="F3670" s="10" t="s">
        <v>51</v>
      </c>
      <c r="G3670" s="10" t="n">
        <v>543</v>
      </c>
      <c r="H3670" s="10" t="n">
        <v>1320</v>
      </c>
      <c r="I3670" s="10" t="n">
        <v>1015</v>
      </c>
      <c r="J3670" s="10" t="n">
        <v>0</v>
      </c>
      <c r="K3670" s="10" t="s">
        <v>20</v>
      </c>
      <c r="L3670" s="11" t="n">
        <v>41967.5840046296</v>
      </c>
      <c r="M3670" s="12"/>
      <c r="N3670" s="12" t="s">
        <v>8923</v>
      </c>
      <c r="O3670" s="9" t="str">
        <f aca="false">HYPERLINK("https://pbs.twimg.com/profile_images/889949060232167425/xx2sHSsC_normal.jpg","View")</f>
        <v>View</v>
      </c>
      <c r="P3670" s="10"/>
    </row>
    <row r="3671" customFormat="false" ht="15.75" hidden="false" customHeight="false" outlineLevel="0" collapsed="false">
      <c r="A3671" s="6" t="n">
        <v>43030.4732638889</v>
      </c>
      <c r="B3671" s="7" t="str">
        <f aca="false">HYPERLINK("https://twitter.com/KumarPruthiraj","@KumarPruthiraj")</f>
        <v>@KumarPruthiraj</v>
      </c>
      <c r="C3671" s="8" t="s">
        <v>8924</v>
      </c>
      <c r="D3671" s="8" t="s">
        <v>8538</v>
      </c>
      <c r="E3671" s="9" t="str">
        <f aca="false">HYPERLINK("https://twitter.com/KumarPruthiraj/status/922166034383060992","922166034383060992")</f>
        <v>922166034383060992</v>
      </c>
      <c r="F3671" s="10" t="s">
        <v>25</v>
      </c>
      <c r="G3671" s="10" t="n">
        <v>14</v>
      </c>
      <c r="H3671" s="10" t="n">
        <v>28</v>
      </c>
      <c r="I3671" s="10" t="n">
        <v>1015</v>
      </c>
      <c r="J3671" s="10" t="n">
        <v>0</v>
      </c>
      <c r="K3671" s="10" t="s">
        <v>20</v>
      </c>
      <c r="L3671" s="11" t="n">
        <v>42694.956412037</v>
      </c>
      <c r="M3671" s="12" t="s">
        <v>8925</v>
      </c>
      <c r="N3671" s="12" t="s">
        <v>8926</v>
      </c>
      <c r="O3671" s="9" t="str">
        <f aca="false">HYPERLINK("https://pbs.twimg.com/profile_images/859015579100999680/xJCDYOPu_normal.jpg","View")</f>
        <v>View</v>
      </c>
      <c r="P3671" s="10"/>
    </row>
    <row r="3672" customFormat="false" ht="15.75" hidden="false" customHeight="false" outlineLevel="0" collapsed="false">
      <c r="A3672" s="6" t="n">
        <v>43030.473287037</v>
      </c>
      <c r="B3672" s="7" t="str">
        <f aca="false">HYPERLINK("https://twitter.com/i9EXT","@i9EXT")</f>
        <v>@i9EXT</v>
      </c>
      <c r="C3672" s="14" t="s">
        <v>8927</v>
      </c>
      <c r="D3672" s="8" t="s">
        <v>3138</v>
      </c>
      <c r="E3672" s="9" t="str">
        <f aca="false">HYPERLINK("https://twitter.com/i9EXT/status/922166042754875392","922166042754875392")</f>
        <v>922166042754875392</v>
      </c>
      <c r="F3672" s="10" t="s">
        <v>51</v>
      </c>
      <c r="G3672" s="10" t="n">
        <v>11</v>
      </c>
      <c r="H3672" s="10" t="n">
        <v>15</v>
      </c>
      <c r="I3672" s="10" t="n">
        <v>31</v>
      </c>
      <c r="J3672" s="10" t="n">
        <v>0</v>
      </c>
      <c r="K3672" s="10" t="s">
        <v>20</v>
      </c>
      <c r="L3672" s="11" t="n">
        <v>42322.1953240741</v>
      </c>
      <c r="M3672" s="12"/>
      <c r="N3672" s="12"/>
      <c r="O3672" s="9" t="str">
        <f aca="false">HYPERLINK("https://pbs.twimg.com/profile_images/887432493724344320/9EcOZFq-_normal.jpg","View")</f>
        <v>View</v>
      </c>
      <c r="P3672" s="10"/>
    </row>
    <row r="3673" customFormat="false" ht="15.75" hidden="false" customHeight="false" outlineLevel="0" collapsed="false">
      <c r="A3673" s="6" t="n">
        <v>43030.4735069444</v>
      </c>
      <c r="B3673" s="7" t="str">
        <f aca="false">HYPERLINK("https://twitter.com/metzano","@metzano")</f>
        <v>@metzano</v>
      </c>
      <c r="C3673" s="8" t="s">
        <v>8928</v>
      </c>
      <c r="D3673" s="8" t="s">
        <v>8929</v>
      </c>
      <c r="E3673" s="9" t="str">
        <f aca="false">HYPERLINK("https://twitter.com/metzano/status/922166123067576323","922166123067576323")</f>
        <v>922166123067576323</v>
      </c>
      <c r="F3673" s="10" t="s">
        <v>60</v>
      </c>
      <c r="G3673" s="10" t="n">
        <v>1946</v>
      </c>
      <c r="H3673" s="10" t="n">
        <v>2081</v>
      </c>
      <c r="I3673" s="10" t="n">
        <v>0</v>
      </c>
      <c r="J3673" s="10" t="n">
        <v>0</v>
      </c>
      <c r="K3673" s="10" t="s">
        <v>20</v>
      </c>
      <c r="L3673" s="11" t="n">
        <v>42207.7836458333</v>
      </c>
      <c r="M3673" s="12" t="s">
        <v>4839</v>
      </c>
      <c r="N3673" s="12" t="s">
        <v>8930</v>
      </c>
      <c r="O3673" s="9" t="str">
        <f aca="false">HYPERLINK("https://pbs.twimg.com/profile_images/695273931146563585/Kmoa4jfv_normal.png","View")</f>
        <v>View</v>
      </c>
      <c r="P3673" s="10"/>
    </row>
    <row r="3674" customFormat="false" ht="15.75" hidden="false" customHeight="false" outlineLevel="0" collapsed="false">
      <c r="A3674" s="6" t="n">
        <v>43030.4736921296</v>
      </c>
      <c r="B3674" s="7" t="str">
        <f aca="false">HYPERLINK("https://twitter.com/thomasasma","@thomasasma")</f>
        <v>@thomasasma</v>
      </c>
      <c r="C3674" s="8" t="s">
        <v>8931</v>
      </c>
      <c r="D3674" s="8" t="s">
        <v>4068</v>
      </c>
      <c r="E3674" s="9" t="str">
        <f aca="false">HYPERLINK("https://twitter.com/thomasasma/status/922166188670668802","922166188670668802")</f>
        <v>922166188670668802</v>
      </c>
      <c r="F3674" s="10" t="s">
        <v>25</v>
      </c>
      <c r="G3674" s="10" t="n">
        <v>19</v>
      </c>
      <c r="H3674" s="10" t="n">
        <v>137</v>
      </c>
      <c r="I3674" s="10" t="n">
        <v>50</v>
      </c>
      <c r="J3674" s="10" t="n">
        <v>0</v>
      </c>
      <c r="K3674" s="10" t="s">
        <v>20</v>
      </c>
      <c r="L3674" s="11" t="n">
        <v>41395.7467708333</v>
      </c>
      <c r="M3674" s="12" t="s">
        <v>8932</v>
      </c>
      <c r="N3674" s="12" t="s">
        <v>8933</v>
      </c>
      <c r="O3674" s="9" t="str">
        <f aca="false">HYPERLINK("https://pbs.twimg.com/profile_images/465415035158687744/2k_5mfW9_normal.jpeg","View")</f>
        <v>View</v>
      </c>
      <c r="P3674" s="10"/>
    </row>
    <row r="3675" customFormat="false" ht="15.75" hidden="false" customHeight="false" outlineLevel="0" collapsed="false">
      <c r="A3675" s="6" t="n">
        <v>43030.4736921296</v>
      </c>
      <c r="B3675" s="7" t="str">
        <f aca="false">HYPERLINK("https://twitter.com/SSP79","@SSP79")</f>
        <v>@SSP79</v>
      </c>
      <c r="C3675" s="8" t="s">
        <v>8934</v>
      </c>
      <c r="D3675" s="8" t="s">
        <v>8538</v>
      </c>
      <c r="E3675" s="9" t="str">
        <f aca="false">HYPERLINK("https://twitter.com/SSP79/status/922166190490902528","922166190490902528")</f>
        <v>922166190490902528</v>
      </c>
      <c r="F3675" s="10" t="s">
        <v>51</v>
      </c>
      <c r="G3675" s="10" t="n">
        <v>195</v>
      </c>
      <c r="H3675" s="10" t="n">
        <v>179</v>
      </c>
      <c r="I3675" s="10" t="n">
        <v>1015</v>
      </c>
      <c r="J3675" s="10" t="n">
        <v>0</v>
      </c>
      <c r="K3675" s="10" t="s">
        <v>20</v>
      </c>
      <c r="L3675" s="11" t="n">
        <v>39983.2096180556</v>
      </c>
      <c r="M3675" s="12"/>
      <c r="N3675" s="12"/>
      <c r="O3675" s="9" t="str">
        <f aca="false">HYPERLINK("https://abs.twimg.com/sticky/default_profile_images/default_profile_normal.png","View")</f>
        <v>View</v>
      </c>
      <c r="P3675" s="10"/>
    </row>
    <row r="3676" customFormat="false" ht="15.75" hidden="false" customHeight="false" outlineLevel="0" collapsed="false">
      <c r="A3676" s="6" t="n">
        <v>43030.47375</v>
      </c>
      <c r="B3676" s="7" t="str">
        <f aca="false">HYPERLINK("https://twitter.com/marcoleofrigio","@marcoleofrigio")</f>
        <v>@marcoleofrigio</v>
      </c>
      <c r="C3676" s="8" t="s">
        <v>8935</v>
      </c>
      <c r="D3676" s="8" t="s">
        <v>7803</v>
      </c>
      <c r="E3676" s="9" t="str">
        <f aca="false">HYPERLINK("https://twitter.com/marcoleofrigio/status/922166212313968641","922166212313968641")</f>
        <v>922166212313968641</v>
      </c>
      <c r="F3676" s="10" t="s">
        <v>25</v>
      </c>
      <c r="G3676" s="10" t="n">
        <v>743</v>
      </c>
      <c r="H3676" s="10" t="n">
        <v>852</v>
      </c>
      <c r="I3676" s="10" t="n">
        <v>30</v>
      </c>
      <c r="J3676" s="10" t="n">
        <v>0</v>
      </c>
      <c r="K3676" s="10" t="s">
        <v>20</v>
      </c>
      <c r="L3676" s="11" t="n">
        <v>41904.9844328704</v>
      </c>
      <c r="M3676" s="12"/>
      <c r="N3676" s="12" t="s">
        <v>8936</v>
      </c>
      <c r="O3676" s="9" t="str">
        <f aca="false">HYPERLINK("https://pbs.twimg.com/profile_images/514304921164709889/pinE6ioW_normal.jpeg","View")</f>
        <v>View</v>
      </c>
      <c r="P3676" s="10"/>
    </row>
    <row r="3677" customFormat="false" ht="15.75" hidden="false" customHeight="false" outlineLevel="0" collapsed="false">
      <c r="A3677" s="6" t="n">
        <v>43030.4738078704</v>
      </c>
      <c r="B3677" s="7" t="str">
        <f aca="false">HYPERLINK("https://twitter.com/pushne_savitur","@pushne_savitur")</f>
        <v>@pushne_savitur</v>
      </c>
      <c r="C3677" s="8" t="s">
        <v>6123</v>
      </c>
      <c r="D3677" s="8" t="s">
        <v>8538</v>
      </c>
      <c r="E3677" s="9" t="str">
        <f aca="false">HYPERLINK("https://twitter.com/pushne_savitur/status/922166231217487873","922166231217487873")</f>
        <v>922166231217487873</v>
      </c>
      <c r="F3677" s="10" t="s">
        <v>25</v>
      </c>
      <c r="G3677" s="10" t="n">
        <v>204</v>
      </c>
      <c r="H3677" s="10" t="n">
        <v>546</v>
      </c>
      <c r="I3677" s="10" t="n">
        <v>1015</v>
      </c>
      <c r="J3677" s="10" t="n">
        <v>0</v>
      </c>
      <c r="K3677" s="10" t="s">
        <v>20</v>
      </c>
      <c r="L3677" s="11" t="n">
        <v>41875.4896527778</v>
      </c>
      <c r="M3677" s="12"/>
      <c r="N3677" s="12" t="s">
        <v>6124</v>
      </c>
      <c r="O3677" s="9" t="str">
        <f aca="false">HYPERLINK("https://pbs.twimg.com/profile_images/503628445415260161/uKoitu3H_normal.jpeg","View")</f>
        <v>View</v>
      </c>
      <c r="P3677" s="10"/>
    </row>
    <row r="3678" customFormat="false" ht="15.75" hidden="false" customHeight="false" outlineLevel="0" collapsed="false">
      <c r="A3678" s="6" t="n">
        <v>43030.4738541667</v>
      </c>
      <c r="B3678" s="7" t="str">
        <f aca="false">HYPERLINK("https://twitter.com/everywordNYT","@everywordNYT")</f>
        <v>@everywordNYT</v>
      </c>
      <c r="C3678" s="8" t="s">
        <v>5184</v>
      </c>
      <c r="D3678" s="8" t="s">
        <v>8937</v>
      </c>
      <c r="E3678" s="9" t="str">
        <f aca="false">HYPERLINK("https://twitter.com/everywordNYT/status/922166249966227456","922166249966227456")</f>
        <v>922166249966227456</v>
      </c>
      <c r="F3678" s="10" t="s">
        <v>5184</v>
      </c>
      <c r="G3678" s="10" t="n">
        <v>71</v>
      </c>
      <c r="H3678" s="10" t="n">
        <v>0</v>
      </c>
      <c r="I3678" s="10" t="n">
        <v>0</v>
      </c>
      <c r="J3678" s="10" t="n">
        <v>0</v>
      </c>
      <c r="K3678" s="10" t="s">
        <v>20</v>
      </c>
      <c r="L3678" s="11" t="n">
        <v>41797.5241087963</v>
      </c>
      <c r="M3678" s="12"/>
      <c r="N3678" s="12" t="s">
        <v>5186</v>
      </c>
      <c r="O3678" s="9" t="str">
        <f aca="false">HYPERLINK("https://pbs.twimg.com/profile_images/475371411830079488/7LX3TyMa_normal.png","View")</f>
        <v>View</v>
      </c>
      <c r="P3678" s="10"/>
    </row>
    <row r="3679" customFormat="false" ht="15.75" hidden="false" customHeight="false" outlineLevel="0" collapsed="false">
      <c r="A3679" s="6" t="n">
        <v>43030.473912037</v>
      </c>
      <c r="B3679" s="7" t="str">
        <f aca="false">HYPERLINK("https://twitter.com/rxndnl","@rxndnl")</f>
        <v>@rxndnl</v>
      </c>
      <c r="C3679" s="8" t="s">
        <v>8938</v>
      </c>
      <c r="D3679" s="8" t="s">
        <v>8939</v>
      </c>
      <c r="E3679" s="9" t="str">
        <f aca="false">HYPERLINK("https://twitter.com/rxndnl/status/922166271805968385","922166271805968385")</f>
        <v>922166271805968385</v>
      </c>
      <c r="F3679" s="10" t="s">
        <v>60</v>
      </c>
      <c r="G3679" s="10" t="n">
        <v>11</v>
      </c>
      <c r="H3679" s="10" t="n">
        <v>43</v>
      </c>
      <c r="I3679" s="10" t="n">
        <v>0</v>
      </c>
      <c r="J3679" s="10" t="n">
        <v>0</v>
      </c>
      <c r="K3679" s="10" t="s">
        <v>20</v>
      </c>
      <c r="L3679" s="11" t="n">
        <v>39923.826412037</v>
      </c>
      <c r="M3679" s="12" t="s">
        <v>8940</v>
      </c>
      <c r="N3679" s="12"/>
      <c r="O3679" s="9" t="str">
        <f aca="false">HYPERLINK("https://pbs.twimg.com/profile_images/2388218482/56x7jvf0z0kg8c2w6vr0_normal.jpeg","View")</f>
        <v>View</v>
      </c>
      <c r="P3679" s="10"/>
    </row>
    <row r="3680" customFormat="false" ht="15.75" hidden="false" customHeight="false" outlineLevel="0" collapsed="false">
      <c r="A3680" s="6" t="n">
        <v>43030.4739351852</v>
      </c>
      <c r="B3680" s="7" t="str">
        <f aca="false">HYPERLINK("https://twitter.com/marcoleofrigio","@marcoleofrigio")</f>
        <v>@marcoleofrigio</v>
      </c>
      <c r="C3680" s="8" t="s">
        <v>8935</v>
      </c>
      <c r="D3680" s="8" t="s">
        <v>4124</v>
      </c>
      <c r="E3680" s="9" t="str">
        <f aca="false">HYPERLINK("https://twitter.com/marcoleofrigio/status/922166279179563008","922166279179563008")</f>
        <v>922166279179563008</v>
      </c>
      <c r="F3680" s="10" t="s">
        <v>25</v>
      </c>
      <c r="G3680" s="10" t="n">
        <v>743</v>
      </c>
      <c r="H3680" s="10" t="n">
        <v>852</v>
      </c>
      <c r="I3680" s="10" t="n">
        <v>111</v>
      </c>
      <c r="J3680" s="10" t="n">
        <v>0</v>
      </c>
      <c r="K3680" s="10" t="s">
        <v>20</v>
      </c>
      <c r="L3680" s="11" t="n">
        <v>41904.9844328704</v>
      </c>
      <c r="M3680" s="12"/>
      <c r="N3680" s="12" t="s">
        <v>8936</v>
      </c>
      <c r="O3680" s="9" t="str">
        <f aca="false">HYPERLINK("https://pbs.twimg.com/profile_images/514304921164709889/pinE6ioW_normal.jpeg","View")</f>
        <v>View</v>
      </c>
      <c r="P3680" s="10"/>
    </row>
    <row r="3681" customFormat="false" ht="15.75" hidden="false" customHeight="false" outlineLevel="0" collapsed="false">
      <c r="A3681" s="6" t="n">
        <v>43030.4739467593</v>
      </c>
      <c r="B3681" s="7" t="str">
        <f aca="false">HYPERLINK("https://twitter.com/iamashishjha","@iamashishjha")</f>
        <v>@iamashishjha</v>
      </c>
      <c r="C3681" s="8" t="s">
        <v>8941</v>
      </c>
      <c r="D3681" s="8" t="s">
        <v>8538</v>
      </c>
      <c r="E3681" s="9" t="str">
        <f aca="false">HYPERLINK("https://twitter.com/iamashishjha/status/922166282916687873","922166282916687873")</f>
        <v>922166282916687873</v>
      </c>
      <c r="F3681" s="10" t="s">
        <v>51</v>
      </c>
      <c r="G3681" s="10" t="n">
        <v>143</v>
      </c>
      <c r="H3681" s="10" t="n">
        <v>339</v>
      </c>
      <c r="I3681" s="10" t="n">
        <v>1015</v>
      </c>
      <c r="J3681" s="10" t="n">
        <v>0</v>
      </c>
      <c r="K3681" s="10" t="s">
        <v>20</v>
      </c>
      <c r="L3681" s="11" t="n">
        <v>40717.8747337963</v>
      </c>
      <c r="M3681" s="12" t="s">
        <v>8942</v>
      </c>
      <c r="N3681" s="12" t="s">
        <v>8943</v>
      </c>
      <c r="O3681" s="9" t="str">
        <f aca="false">HYPERLINK("https://pbs.twimg.com/profile_images/1410610950/pic_normal.jpg","View")</f>
        <v>View</v>
      </c>
      <c r="P3681" s="10"/>
    </row>
    <row r="3682" customFormat="false" ht="15.75" hidden="false" customHeight="false" outlineLevel="0" collapsed="false">
      <c r="A3682" s="6" t="n">
        <v>43030.4739699074</v>
      </c>
      <c r="B3682" s="7" t="str">
        <f aca="false">HYPERLINK("https://twitter.com/LoreleiChick","@LoreleiChick")</f>
        <v>@LoreleiChick</v>
      </c>
      <c r="C3682" s="8" t="s">
        <v>8944</v>
      </c>
      <c r="D3682" s="8" t="s">
        <v>8945</v>
      </c>
      <c r="E3682" s="9" t="str">
        <f aca="false">HYPERLINK("https://twitter.com/LoreleiChick/status/922166292970377216","922166292970377216")</f>
        <v>922166292970377216</v>
      </c>
      <c r="F3682" s="10" t="s">
        <v>60</v>
      </c>
      <c r="G3682" s="10" t="n">
        <v>14</v>
      </c>
      <c r="H3682" s="10" t="n">
        <v>36</v>
      </c>
      <c r="I3682" s="10" t="n">
        <v>0</v>
      </c>
      <c r="J3682" s="10" t="n">
        <v>0</v>
      </c>
      <c r="K3682" s="10" t="s">
        <v>20</v>
      </c>
      <c r="L3682" s="11" t="n">
        <v>42364.1395601852</v>
      </c>
      <c r="M3682" s="12" t="s">
        <v>6162</v>
      </c>
      <c r="N3682" s="12" t="s">
        <v>8946</v>
      </c>
      <c r="O3682" s="9" t="str">
        <f aca="false">HYPERLINK("https://pbs.twimg.com/profile_images/708179671385374720/2jIn4nXy_normal.jpg","View")</f>
        <v>View</v>
      </c>
      <c r="P3682" s="10"/>
    </row>
    <row r="3683" customFormat="false" ht="15.75" hidden="false" customHeight="false" outlineLevel="0" collapsed="false">
      <c r="A3683" s="6" t="n">
        <v>43030.4740277778</v>
      </c>
      <c r="B3683" s="7" t="str">
        <f aca="false">HYPERLINK("https://twitter.com/ClureCorinna","@ClureCorinna")</f>
        <v>@ClureCorinna</v>
      </c>
      <c r="C3683" s="8" t="s">
        <v>8947</v>
      </c>
      <c r="D3683" s="8" t="s">
        <v>8948</v>
      </c>
      <c r="E3683" s="9" t="str">
        <f aca="false">HYPERLINK("https://twitter.com/ClureCorinna/status/922166311630921730","922166311630921730")</f>
        <v>922166311630921730</v>
      </c>
      <c r="F3683" s="10" t="s">
        <v>60</v>
      </c>
      <c r="G3683" s="10" t="n">
        <v>0</v>
      </c>
      <c r="H3683" s="10" t="n">
        <v>0</v>
      </c>
      <c r="I3683" s="10" t="n">
        <v>0</v>
      </c>
      <c r="J3683" s="10" t="n">
        <v>0</v>
      </c>
      <c r="K3683" s="10" t="s">
        <v>20</v>
      </c>
      <c r="L3683" s="11" t="n">
        <v>42968.1811689815</v>
      </c>
      <c r="M3683" s="12"/>
      <c r="N3683" s="12"/>
      <c r="O3683" s="9" t="str">
        <f aca="false">HYPERLINK("https://pbs.twimg.com/profile_images/909520785387044864/o-swOzVQ_normal.jpg","View")</f>
        <v>View</v>
      </c>
      <c r="P3683" s="10"/>
    </row>
    <row r="3684" customFormat="false" ht="15.75" hidden="false" customHeight="false" outlineLevel="0" collapsed="false">
      <c r="A3684" s="6" t="n">
        <v>43030.4741087963</v>
      </c>
      <c r="B3684" s="7" t="str">
        <f aca="false">HYPERLINK("https://twitter.com/anshumapandit90","@anshumapandit90")</f>
        <v>@anshumapandit90</v>
      </c>
      <c r="C3684" s="8" t="s">
        <v>8949</v>
      </c>
      <c r="D3684" s="8" t="s">
        <v>8538</v>
      </c>
      <c r="E3684" s="9" t="str">
        <f aca="false">HYPERLINK("https://twitter.com/anshumapandit90/status/922166341901193217","922166341901193217")</f>
        <v>922166341901193217</v>
      </c>
      <c r="F3684" s="10" t="s">
        <v>1017</v>
      </c>
      <c r="G3684" s="10" t="n">
        <v>65</v>
      </c>
      <c r="H3684" s="10" t="n">
        <v>834</v>
      </c>
      <c r="I3684" s="10" t="n">
        <v>1015</v>
      </c>
      <c r="J3684" s="10" t="n">
        <v>0</v>
      </c>
      <c r="K3684" s="10" t="s">
        <v>20</v>
      </c>
      <c r="L3684" s="11" t="n">
        <v>41728.1403356482</v>
      </c>
      <c r="M3684" s="12" t="s">
        <v>7908</v>
      </c>
      <c r="N3684" s="12"/>
      <c r="O3684" s="9" t="str">
        <f aca="false">HYPERLINK("https://abs.twimg.com/sticky/default_profile_images/default_profile_normal.png","View")</f>
        <v>View</v>
      </c>
      <c r="P3684" s="10"/>
    </row>
    <row r="3685" customFormat="false" ht="15.75" hidden="false" customHeight="false" outlineLevel="0" collapsed="false">
      <c r="A3685" s="6" t="n">
        <v>43030.4741203704</v>
      </c>
      <c r="B3685" s="7" t="str">
        <f aca="false">HYPERLINK("https://twitter.com/timclark209f","@timclark209f")</f>
        <v>@timclark209f</v>
      </c>
      <c r="C3685" s="8" t="s">
        <v>8950</v>
      </c>
      <c r="D3685" s="8" t="s">
        <v>8951</v>
      </c>
      <c r="E3685" s="9" t="str">
        <f aca="false">HYPERLINK("https://twitter.com/timclark209f/status/922166345826996225","922166345826996225")</f>
        <v>922166345826996225</v>
      </c>
      <c r="F3685" s="10" t="s">
        <v>60</v>
      </c>
      <c r="G3685" s="10" t="n">
        <v>0</v>
      </c>
      <c r="H3685" s="10" t="n">
        <v>0</v>
      </c>
      <c r="I3685" s="10" t="n">
        <v>0</v>
      </c>
      <c r="J3685" s="10" t="n">
        <v>0</v>
      </c>
      <c r="K3685" s="10" t="s">
        <v>20</v>
      </c>
      <c r="L3685" s="11" t="n">
        <v>42950.8911458333</v>
      </c>
      <c r="M3685" s="12"/>
      <c r="N3685" s="12"/>
      <c r="O3685" s="9" t="str">
        <f aca="false">HYPERLINK("https://pbs.twimg.com/profile_images/897316361990397952/0_KVO10W_normal.jpg","View")</f>
        <v>View</v>
      </c>
      <c r="P3685" s="10"/>
    </row>
    <row r="3686" customFormat="false" ht="15.75" hidden="false" customHeight="false" outlineLevel="0" collapsed="false">
      <c r="A3686" s="6" t="n">
        <v>43030.4741782407</v>
      </c>
      <c r="B3686" s="7" t="str">
        <f aca="false">HYPERLINK("https://twitter.com/ssagar_satpute","@ssagar_satpute")</f>
        <v>@ssagar_satpute</v>
      </c>
      <c r="C3686" s="8" t="s">
        <v>7609</v>
      </c>
      <c r="D3686" s="8" t="s">
        <v>8538</v>
      </c>
      <c r="E3686" s="9" t="str">
        <f aca="false">HYPERLINK("https://twitter.com/ssagar_satpute/status/922166364831227905","922166364831227905")</f>
        <v>922166364831227905</v>
      </c>
      <c r="F3686" s="10" t="s">
        <v>25</v>
      </c>
      <c r="G3686" s="10" t="n">
        <v>287</v>
      </c>
      <c r="H3686" s="10" t="n">
        <v>797</v>
      </c>
      <c r="I3686" s="10" t="n">
        <v>1015</v>
      </c>
      <c r="J3686" s="10" t="n">
        <v>0</v>
      </c>
      <c r="K3686" s="10" t="s">
        <v>20</v>
      </c>
      <c r="L3686" s="11" t="n">
        <v>40606.2192824074</v>
      </c>
      <c r="M3686" s="12" t="s">
        <v>1522</v>
      </c>
      <c r="N3686" s="12" t="s">
        <v>7610</v>
      </c>
      <c r="O3686" s="9" t="str">
        <f aca="false">HYPERLINK("https://pbs.twimg.com/profile_images/921699184821944320/HbfTwNJr_normal.jpg","View")</f>
        <v>View</v>
      </c>
      <c r="P3686" s="10"/>
    </row>
    <row r="3687" customFormat="false" ht="15.75" hidden="false" customHeight="false" outlineLevel="0" collapsed="false">
      <c r="A3687" s="6" t="n">
        <v>43030.4742708333</v>
      </c>
      <c r="B3687" s="7" t="str">
        <f aca="false">HYPERLINK("https://twitter.com/Anuyesh","@Anuyesh")</f>
        <v>@Anuyesh</v>
      </c>
      <c r="C3687" s="8" t="s">
        <v>8952</v>
      </c>
      <c r="D3687" s="8" t="s">
        <v>3514</v>
      </c>
      <c r="E3687" s="9" t="str">
        <f aca="false">HYPERLINK("https://twitter.com/Anuyesh/status/922166400566804480","922166400566804480")</f>
        <v>922166400566804480</v>
      </c>
      <c r="F3687" s="10" t="s">
        <v>98</v>
      </c>
      <c r="G3687" s="10" t="n">
        <v>10</v>
      </c>
      <c r="H3687" s="10" t="n">
        <v>14</v>
      </c>
      <c r="I3687" s="10" t="n">
        <v>19</v>
      </c>
      <c r="J3687" s="10" t="n">
        <v>0</v>
      </c>
      <c r="K3687" s="10" t="s">
        <v>20</v>
      </c>
      <c r="L3687" s="11" t="n">
        <v>40779.0367592593</v>
      </c>
      <c r="M3687" s="12" t="s">
        <v>8953</v>
      </c>
      <c r="N3687" s="12" t="s">
        <v>8954</v>
      </c>
      <c r="O3687" s="9" t="str">
        <f aca="false">HYPERLINK("https://pbs.twimg.com/profile_images/378800000614961196/409dc4b6fb8de536cea0db22ee5bbbf2_normal.jpeg","View")</f>
        <v>View</v>
      </c>
      <c r="P3687" s="10"/>
    </row>
    <row r="3688" customFormat="false" ht="15.75" hidden="false" customHeight="false" outlineLevel="0" collapsed="false">
      <c r="A3688" s="6" t="n">
        <v>43030.4743865741</v>
      </c>
      <c r="B3688" s="7" t="str">
        <f aca="false">HYPERLINK("https://twitter.com/ganapati23","@ganapati23")</f>
        <v>@ganapati23</v>
      </c>
      <c r="C3688" s="8" t="s">
        <v>8955</v>
      </c>
      <c r="D3688" s="8" t="s">
        <v>8538</v>
      </c>
      <c r="E3688" s="9" t="str">
        <f aca="false">HYPERLINK("https://twitter.com/ganapati23/status/922166442761449472","922166442761449472")</f>
        <v>922166442761449472</v>
      </c>
      <c r="F3688" s="10" t="s">
        <v>39</v>
      </c>
      <c r="G3688" s="10" t="n">
        <v>1848</v>
      </c>
      <c r="H3688" s="10" t="n">
        <v>1002</v>
      </c>
      <c r="I3688" s="10" t="n">
        <v>1015</v>
      </c>
      <c r="J3688" s="10" t="n">
        <v>0</v>
      </c>
      <c r="K3688" s="10" t="s">
        <v>20</v>
      </c>
      <c r="L3688" s="11" t="n">
        <v>40525.9831134259</v>
      </c>
      <c r="M3688" s="12" t="s">
        <v>1846</v>
      </c>
      <c r="N3688" s="12" t="s">
        <v>8956</v>
      </c>
      <c r="O3688" s="9" t="str">
        <f aca="false">HYPERLINK("https://pbs.twimg.com/profile_images/378800000829414761/790e42cf3ec5c266a098f6391167e113_normal.jpeg","View")</f>
        <v>View</v>
      </c>
      <c r="P3688" s="10"/>
    </row>
    <row r="3689" customFormat="false" ht="15.75" hidden="false" customHeight="false" outlineLevel="0" collapsed="false">
      <c r="A3689" s="6" t="n">
        <v>43030.4743981481</v>
      </c>
      <c r="B3689" s="7" t="str">
        <f aca="false">HYPERLINK("https://twitter.com/kylieshort589o","@kylieshort589o")</f>
        <v>@kylieshort589o</v>
      </c>
      <c r="C3689" s="8" t="s">
        <v>8957</v>
      </c>
      <c r="D3689" s="8" t="s">
        <v>8958</v>
      </c>
      <c r="E3689" s="9" t="str">
        <f aca="false">HYPERLINK("https://twitter.com/kylieshort589o/status/922166445039144968","922166445039144968")</f>
        <v>922166445039144968</v>
      </c>
      <c r="F3689" s="10" t="s">
        <v>60</v>
      </c>
      <c r="G3689" s="10" t="n">
        <v>1</v>
      </c>
      <c r="H3689" s="10" t="n">
        <v>35</v>
      </c>
      <c r="I3689" s="10" t="n">
        <v>0</v>
      </c>
      <c r="J3689" s="10" t="n">
        <v>0</v>
      </c>
      <c r="K3689" s="10" t="s">
        <v>20</v>
      </c>
      <c r="L3689" s="11" t="n">
        <v>42950.8669791667</v>
      </c>
      <c r="M3689" s="12"/>
      <c r="N3689" s="12"/>
      <c r="O3689" s="9" t="str">
        <f aca="false">HYPERLINK("https://pbs.twimg.com/profile_images/897060443641987073/de8nSiUx_normal.jpg","View")</f>
        <v>View</v>
      </c>
      <c r="P3689" s="10"/>
    </row>
    <row r="3690" customFormat="false" ht="15.75" hidden="false" customHeight="false" outlineLevel="0" collapsed="false">
      <c r="A3690" s="6" t="n">
        <v>43030.4743981481</v>
      </c>
      <c r="B3690" s="7" t="str">
        <f aca="false">HYPERLINK("https://twitter.com/TheDeepOffice","@TheDeepOffice")</f>
        <v>@TheDeepOffice</v>
      </c>
      <c r="C3690" s="8" t="s">
        <v>8959</v>
      </c>
      <c r="D3690" s="8" t="s">
        <v>8742</v>
      </c>
      <c r="E3690" s="9" t="str">
        <f aca="false">HYPERLINK("https://twitter.com/TheDeepOffice/status/922166447735848960","922166447735848960")</f>
        <v>922166447735848960</v>
      </c>
      <c r="F3690" s="10" t="s">
        <v>25</v>
      </c>
      <c r="G3690" s="10" t="n">
        <v>307</v>
      </c>
      <c r="H3690" s="10" t="n">
        <v>839</v>
      </c>
      <c r="I3690" s="10" t="n">
        <v>2</v>
      </c>
      <c r="J3690" s="10" t="n">
        <v>0</v>
      </c>
      <c r="K3690" s="10" t="s">
        <v>20</v>
      </c>
      <c r="L3690" s="11" t="n">
        <v>42635.9494560185</v>
      </c>
      <c r="M3690" s="12" t="s">
        <v>8960</v>
      </c>
      <c r="N3690" s="12" t="s">
        <v>8961</v>
      </c>
      <c r="O3690" s="9" t="str">
        <f aca="false">HYPERLINK("https://pbs.twimg.com/profile_images/811132998657548288/dsohhmMf_normal.jpg","View")</f>
        <v>View</v>
      </c>
      <c r="P3690" s="10"/>
    </row>
    <row r="3691" customFormat="false" ht="15.75" hidden="false" customHeight="false" outlineLevel="0" collapsed="false">
      <c r="A3691" s="6" t="n">
        <v>43030.4744097222</v>
      </c>
      <c r="B3691" s="7" t="str">
        <f aca="false">HYPERLINK("https://twitter.com/carolin71201464","@carolin71201464")</f>
        <v>@carolin71201464</v>
      </c>
      <c r="C3691" s="8" t="s">
        <v>8962</v>
      </c>
      <c r="D3691" s="8" t="s">
        <v>8963</v>
      </c>
      <c r="E3691" s="9" t="str">
        <f aca="false">HYPERLINK("https://twitter.com/carolin71201464/status/922166449644408834","922166449644408834")</f>
        <v>922166449644408834</v>
      </c>
      <c r="F3691" s="10" t="s">
        <v>60</v>
      </c>
      <c r="G3691" s="10" t="n">
        <v>0</v>
      </c>
      <c r="H3691" s="10" t="n">
        <v>0</v>
      </c>
      <c r="I3691" s="10" t="n">
        <v>0</v>
      </c>
      <c r="J3691" s="10" t="n">
        <v>0</v>
      </c>
      <c r="K3691" s="10" t="s">
        <v>20</v>
      </c>
      <c r="L3691" s="11" t="n">
        <v>42950.8711689815</v>
      </c>
      <c r="M3691" s="12"/>
      <c r="N3691" s="12"/>
      <c r="O3691" s="9" t="str">
        <f aca="false">HYPERLINK("https://pbs.twimg.com/profile_images/899899461328977920/8dPLl-TQ_normal.jpg","View")</f>
        <v>View</v>
      </c>
      <c r="P3691" s="10"/>
    </row>
    <row r="3692" customFormat="false" ht="15.75" hidden="false" customHeight="false" outlineLevel="0" collapsed="false">
      <c r="A3692" s="6" t="n">
        <v>43030.4744097222</v>
      </c>
      <c r="B3692" s="7" t="str">
        <f aca="false">HYPERLINK("https://twitter.com/CarenaThoma","@CarenaThoma")</f>
        <v>@CarenaThoma</v>
      </c>
      <c r="C3692" s="8" t="s">
        <v>8964</v>
      </c>
      <c r="D3692" s="8" t="s">
        <v>8965</v>
      </c>
      <c r="E3692" s="9" t="str">
        <f aca="false">HYPERLINK("https://twitter.com/CarenaThoma/status/922166451007565824","922166451007565824")</f>
        <v>922166451007565824</v>
      </c>
      <c r="F3692" s="10" t="s">
        <v>60</v>
      </c>
      <c r="G3692" s="10" t="n">
        <v>0</v>
      </c>
      <c r="H3692" s="10" t="n">
        <v>0</v>
      </c>
      <c r="I3692" s="10" t="n">
        <v>0</v>
      </c>
      <c r="J3692" s="10" t="n">
        <v>0</v>
      </c>
      <c r="K3692" s="10" t="s">
        <v>20</v>
      </c>
      <c r="L3692" s="11" t="n">
        <v>43022.0998726852</v>
      </c>
      <c r="M3692" s="12" t="s">
        <v>8966</v>
      </c>
      <c r="N3692" s="12" t="s">
        <v>8967</v>
      </c>
      <c r="O3692" s="9" t="str">
        <f aca="false">HYPERLINK("https://pbs.twimg.com/profile_images/921265926997123072/tf2iRyLM_normal.jpg","View")</f>
        <v>View</v>
      </c>
      <c r="P3692" s="10"/>
    </row>
    <row r="3693" customFormat="false" ht="15.75" hidden="false" customHeight="false" outlineLevel="0" collapsed="false">
      <c r="A3693" s="6" t="n">
        <v>43030.4744097222</v>
      </c>
      <c r="B3693" s="7" t="str">
        <f aca="false">HYPERLINK("https://twitter.com/theresadavies2n","@theresadavies2n")</f>
        <v>@theresadavies2n</v>
      </c>
      <c r="C3693" s="8" t="s">
        <v>8968</v>
      </c>
      <c r="D3693" s="8" t="s">
        <v>8969</v>
      </c>
      <c r="E3693" s="9" t="str">
        <f aca="false">HYPERLINK("https://twitter.com/theresadavies2n/status/922166451930390534","922166451930390534")</f>
        <v>922166451930390534</v>
      </c>
      <c r="F3693" s="10" t="s">
        <v>60</v>
      </c>
      <c r="G3693" s="10" t="n">
        <v>1</v>
      </c>
      <c r="H3693" s="10" t="n">
        <v>0</v>
      </c>
      <c r="I3693" s="10" t="n">
        <v>0</v>
      </c>
      <c r="J3693" s="10" t="n">
        <v>0</v>
      </c>
      <c r="K3693" s="10" t="s">
        <v>20</v>
      </c>
      <c r="L3693" s="11" t="n">
        <v>42950.9391898148</v>
      </c>
      <c r="M3693" s="12"/>
      <c r="N3693" s="12"/>
      <c r="O3693" s="9" t="str">
        <f aca="false">HYPERLINK("https://pbs.twimg.com/profile_images/906598614440361984/YSOXbg7__normal.jpg","View")</f>
        <v>View</v>
      </c>
      <c r="P3693" s="10"/>
    </row>
    <row r="3694" customFormat="false" ht="15.75" hidden="false" customHeight="false" outlineLevel="0" collapsed="false">
      <c r="A3694" s="6" t="n">
        <v>43030.4744212963</v>
      </c>
      <c r="B3694" s="7" t="str">
        <f aca="false">HYPERLINK("https://twitter.com/rebecca48586348","@rebecca48586348")</f>
        <v>@rebecca48586348</v>
      </c>
      <c r="C3694" s="8" t="s">
        <v>8970</v>
      </c>
      <c r="D3694" s="8" t="s">
        <v>8971</v>
      </c>
      <c r="E3694" s="9" t="str">
        <f aca="false">HYPERLINK("https://twitter.com/rebecca48586348/status/922166455843647492","922166455843647492")</f>
        <v>922166455843647492</v>
      </c>
      <c r="F3694" s="10" t="s">
        <v>60</v>
      </c>
      <c r="G3694" s="10" t="n">
        <v>1</v>
      </c>
      <c r="H3694" s="10" t="n">
        <v>0</v>
      </c>
      <c r="I3694" s="10" t="n">
        <v>0</v>
      </c>
      <c r="J3694" s="10" t="n">
        <v>0</v>
      </c>
      <c r="K3694" s="10" t="s">
        <v>20</v>
      </c>
      <c r="L3694" s="11" t="n">
        <v>42950.9195949074</v>
      </c>
      <c r="M3694" s="12"/>
      <c r="N3694" s="12"/>
      <c r="O3694" s="9" t="str">
        <f aca="false">HYPERLINK("https://pbs.twimg.com/profile_images/898407781446819843/2qG0ysCj_normal.jpg","View")</f>
        <v>View</v>
      </c>
      <c r="P3694" s="10"/>
    </row>
    <row r="3695" customFormat="false" ht="15.75" hidden="false" customHeight="false" outlineLevel="0" collapsed="false">
      <c r="A3695" s="6" t="n">
        <v>43030.4744212963</v>
      </c>
      <c r="B3695" s="7" t="str">
        <f aca="false">HYPERLINK("https://twitter.com/Feedex_","@Feedex_")</f>
        <v>@Feedex_</v>
      </c>
      <c r="C3695" s="8" t="s">
        <v>5235</v>
      </c>
      <c r="D3695" s="8" t="s">
        <v>8972</v>
      </c>
      <c r="E3695" s="9" t="str">
        <f aca="false">HYPERLINK("https://twitter.com/Feedex_/status/922166455877160960","922166455877160960")</f>
        <v>922166455877160960</v>
      </c>
      <c r="F3695" s="10" t="s">
        <v>60</v>
      </c>
      <c r="G3695" s="10" t="n">
        <v>245</v>
      </c>
      <c r="H3695" s="10" t="n">
        <v>28</v>
      </c>
      <c r="I3695" s="10" t="n">
        <v>0</v>
      </c>
      <c r="J3695" s="10" t="n">
        <v>0</v>
      </c>
      <c r="K3695" s="10" t="s">
        <v>20</v>
      </c>
      <c r="L3695" s="11" t="n">
        <v>41173.2116550926</v>
      </c>
      <c r="M3695" s="12"/>
      <c r="N3695" s="12" t="s">
        <v>5237</v>
      </c>
      <c r="O3695" s="9" t="str">
        <f aca="false">HYPERLINK("https://pbs.twimg.com/profile_images/2633803773/d7e19f2aabb45794eb64fa7935a90d33_normal.jpeg","View")</f>
        <v>View</v>
      </c>
      <c r="P3695" s="10"/>
    </row>
    <row r="3696" customFormat="false" ht="15.75" hidden="false" customHeight="false" outlineLevel="0" collapsed="false">
      <c r="A3696" s="6" t="n">
        <v>43030.4744560185</v>
      </c>
      <c r="B3696" s="7" t="str">
        <f aca="false">HYPERLINK("https://twitter.com/BishopSandy1","@BishopSandy1")</f>
        <v>@BishopSandy1</v>
      </c>
      <c r="C3696" s="8" t="s">
        <v>8973</v>
      </c>
      <c r="D3696" s="8" t="s">
        <v>8974</v>
      </c>
      <c r="E3696" s="9" t="str">
        <f aca="false">HYPERLINK("https://twitter.com/BishopSandy1/status/922166468313321472","922166468313321472")</f>
        <v>922166468313321472</v>
      </c>
      <c r="F3696" s="10" t="s">
        <v>60</v>
      </c>
      <c r="G3696" s="10" t="n">
        <v>0</v>
      </c>
      <c r="H3696" s="10" t="n">
        <v>0</v>
      </c>
      <c r="I3696" s="10" t="n">
        <v>0</v>
      </c>
      <c r="J3696" s="10" t="n">
        <v>0</v>
      </c>
      <c r="K3696" s="10" t="s">
        <v>20</v>
      </c>
      <c r="L3696" s="11" t="n">
        <v>42950.9611342593</v>
      </c>
      <c r="M3696" s="12"/>
      <c r="N3696" s="12"/>
      <c r="O3696" s="9" t="str">
        <f aca="false">HYPERLINK("https://pbs.twimg.com/profile_images/902477150481072129/wynDZTGe_normal.jpg","View")</f>
        <v>View</v>
      </c>
      <c r="P3696" s="10"/>
    </row>
    <row r="3697" customFormat="false" ht="15.75" hidden="false" customHeight="false" outlineLevel="0" collapsed="false">
      <c r="A3697" s="6" t="n">
        <v>43030.4745023148</v>
      </c>
      <c r="B3697" s="7" t="str">
        <f aca="false">HYPERLINK("https://twitter.com/CoronaNoggle","@CoronaNoggle")</f>
        <v>@CoronaNoggle</v>
      </c>
      <c r="C3697" s="8" t="s">
        <v>8975</v>
      </c>
      <c r="D3697" s="8" t="s">
        <v>8976</v>
      </c>
      <c r="E3697" s="9" t="str">
        <f aca="false">HYPERLINK("https://twitter.com/CoronaNoggle/status/922166485350539265","922166485350539265")</f>
        <v>922166485350539265</v>
      </c>
      <c r="F3697" s="10" t="s">
        <v>60</v>
      </c>
      <c r="G3697" s="10" t="n">
        <v>0</v>
      </c>
      <c r="H3697" s="10" t="n">
        <v>8</v>
      </c>
      <c r="I3697" s="10" t="n">
        <v>0</v>
      </c>
      <c r="J3697" s="10" t="n">
        <v>0</v>
      </c>
      <c r="K3697" s="10" t="s">
        <v>20</v>
      </c>
      <c r="L3697" s="11" t="n">
        <v>42933.8825578704</v>
      </c>
      <c r="M3697" s="12" t="s">
        <v>230</v>
      </c>
      <c r="N3697" s="12" t="s">
        <v>8977</v>
      </c>
      <c r="O3697" s="9" t="str">
        <f aca="false">HYPERLINK("https://pbs.twimg.com/profile_images/895306425924165633/5Q_v6eUI_normal.jpg","View")</f>
        <v>View</v>
      </c>
      <c r="P3697" s="10"/>
    </row>
    <row r="3698" customFormat="false" ht="15.75" hidden="false" customHeight="false" outlineLevel="0" collapsed="false">
      <c r="A3698" s="6" t="n">
        <v>43030.4745023148</v>
      </c>
      <c r="B3698" s="7" t="str">
        <f aca="false">HYPERLINK("https://twitter.com/paco_rheba","@paco_rheba")</f>
        <v>@paco_rheba</v>
      </c>
      <c r="C3698" s="8" t="s">
        <v>8978</v>
      </c>
      <c r="D3698" s="8" t="s">
        <v>8979</v>
      </c>
      <c r="E3698" s="9" t="str">
        <f aca="false">HYPERLINK("https://twitter.com/paco_rheba/status/922166485753257986","922166485753257986")</f>
        <v>922166485753257986</v>
      </c>
      <c r="F3698" s="10" t="s">
        <v>60</v>
      </c>
      <c r="G3698" s="10" t="n">
        <v>0</v>
      </c>
      <c r="H3698" s="10" t="n">
        <v>56</v>
      </c>
      <c r="I3698" s="10" t="n">
        <v>0</v>
      </c>
      <c r="J3698" s="10" t="n">
        <v>0</v>
      </c>
      <c r="K3698" s="10" t="s">
        <v>20</v>
      </c>
      <c r="L3698" s="11" t="n">
        <v>43021.9819212963</v>
      </c>
      <c r="M3698" s="12" t="s">
        <v>8966</v>
      </c>
      <c r="N3698" s="12" t="s">
        <v>8980</v>
      </c>
      <c r="O3698" s="9" t="str">
        <f aca="false">HYPERLINK("https://pbs.twimg.com/profile_images/919872474820460544/U-peGP8__normal.jpg","View")</f>
        <v>View</v>
      </c>
      <c r="P3698" s="10"/>
    </row>
    <row r="3699" customFormat="false" ht="15.75" hidden="false" customHeight="false" outlineLevel="0" collapsed="false">
      <c r="A3699" s="6" t="n">
        <v>43030.474537037</v>
      </c>
      <c r="B3699" s="7" t="str">
        <f aca="false">HYPERLINK("https://twitter.com/melindahgar","@melindahgar")</f>
        <v>@melindahgar</v>
      </c>
      <c r="C3699" s="8" t="s">
        <v>8981</v>
      </c>
      <c r="D3699" s="8" t="s">
        <v>8982</v>
      </c>
      <c r="E3699" s="9" t="str">
        <f aca="false">HYPERLINK("https://twitter.com/melindahgar/status/922166497455366144","922166497455366144")</f>
        <v>922166497455366144</v>
      </c>
      <c r="F3699" s="10" t="s">
        <v>60</v>
      </c>
      <c r="G3699" s="10" t="n">
        <v>1</v>
      </c>
      <c r="H3699" s="10" t="n">
        <v>8</v>
      </c>
      <c r="I3699" s="10" t="n">
        <v>0</v>
      </c>
      <c r="J3699" s="10" t="n">
        <v>0</v>
      </c>
      <c r="K3699" s="10" t="s">
        <v>20</v>
      </c>
      <c r="L3699" s="11" t="n">
        <v>43000.2244212963</v>
      </c>
      <c r="M3699" s="12" t="s">
        <v>230</v>
      </c>
      <c r="N3699" s="12" t="s">
        <v>8983</v>
      </c>
      <c r="O3699" s="9" t="str">
        <f aca="false">HYPERLINK("https://pbs.twimg.com/profile_images/913206967304282112/xT-LVoXz_normal.jpg","View")</f>
        <v>View</v>
      </c>
      <c r="P3699" s="10"/>
    </row>
    <row r="3700" customFormat="false" ht="15.75" hidden="false" customHeight="false" outlineLevel="0" collapsed="false">
      <c r="A3700" s="6" t="n">
        <v>43030.4745486111</v>
      </c>
      <c r="B3700" s="7" t="str">
        <f aca="false">HYPERLINK("https://twitter.com/madelei43513305","@madelei43513305")</f>
        <v>@madelei43513305</v>
      </c>
      <c r="C3700" s="8" t="s">
        <v>8984</v>
      </c>
      <c r="D3700" s="8" t="s">
        <v>8985</v>
      </c>
      <c r="E3700" s="9" t="str">
        <f aca="false">HYPERLINK("https://twitter.com/madelei43513305/status/922166502417162243","922166502417162243")</f>
        <v>922166502417162243</v>
      </c>
      <c r="F3700" s="10" t="s">
        <v>60</v>
      </c>
      <c r="G3700" s="10" t="n">
        <v>1</v>
      </c>
      <c r="H3700" s="10" t="n">
        <v>0</v>
      </c>
      <c r="I3700" s="10" t="n">
        <v>0</v>
      </c>
      <c r="J3700" s="10" t="n">
        <v>0</v>
      </c>
      <c r="K3700" s="10" t="s">
        <v>20</v>
      </c>
      <c r="L3700" s="11" t="n">
        <v>42950.8803240741</v>
      </c>
      <c r="M3700" s="12"/>
      <c r="N3700" s="12"/>
      <c r="O3700" s="9" t="str">
        <f aca="false">HYPERLINK("https://pbs.twimg.com/profile_images/899945529387270146/iZyiCd4q_normal.jpg","View")</f>
        <v>View</v>
      </c>
      <c r="P3700" s="10"/>
    </row>
    <row r="3701" customFormat="false" ht="15.75" hidden="false" customHeight="false" outlineLevel="0" collapsed="false">
      <c r="A3701" s="6" t="n">
        <v>43030.4745601852</v>
      </c>
      <c r="B3701" s="7" t="str">
        <f aca="false">HYPERLINK("https://twitter.com/LenaLisia","@LenaLisia")</f>
        <v>@LenaLisia</v>
      </c>
      <c r="C3701" s="8" t="s">
        <v>8986</v>
      </c>
      <c r="D3701" s="8" t="s">
        <v>8987</v>
      </c>
      <c r="E3701" s="9" t="str">
        <f aca="false">HYPERLINK("https://twitter.com/LenaLisia/status/922166506661834755","922166506661834755")</f>
        <v>922166506661834755</v>
      </c>
      <c r="F3701" s="10" t="s">
        <v>60</v>
      </c>
      <c r="G3701" s="10" t="n">
        <v>0</v>
      </c>
      <c r="H3701" s="10" t="n">
        <v>10</v>
      </c>
      <c r="I3701" s="10" t="n">
        <v>0</v>
      </c>
      <c r="J3701" s="10" t="n">
        <v>0</v>
      </c>
      <c r="K3701" s="10" t="s">
        <v>20</v>
      </c>
      <c r="L3701" s="11" t="n">
        <v>43011.9325347222</v>
      </c>
      <c r="M3701" s="12" t="s">
        <v>230</v>
      </c>
      <c r="N3701" s="12" t="s">
        <v>8988</v>
      </c>
      <c r="O3701" s="9" t="str">
        <f aca="false">HYPERLINK("https://pbs.twimg.com/profile_images/918306956019765248/v8_waFAQ_normal.jpg","View")</f>
        <v>View</v>
      </c>
      <c r="P3701" s="10"/>
    </row>
    <row r="3702" customFormat="false" ht="15.75" hidden="false" customHeight="false" outlineLevel="0" collapsed="false">
      <c r="A3702" s="6" t="n">
        <v>43030.4745949074</v>
      </c>
      <c r="B3702" s="7" t="str">
        <f aca="false">HYPERLINK("https://twitter.com/FeliciaDougher1","@FeliciaDougher1")</f>
        <v>@FeliciaDougher1</v>
      </c>
      <c r="C3702" s="8" t="s">
        <v>8989</v>
      </c>
      <c r="D3702" s="8" t="s">
        <v>8990</v>
      </c>
      <c r="E3702" s="9" t="str">
        <f aca="false">HYPERLINK("https://twitter.com/FeliciaDougher1/status/922166518288351232","922166518288351232")</f>
        <v>922166518288351232</v>
      </c>
      <c r="F3702" s="10" t="s">
        <v>60</v>
      </c>
      <c r="G3702" s="10" t="n">
        <v>3</v>
      </c>
      <c r="H3702" s="10" t="n">
        <v>48</v>
      </c>
      <c r="I3702" s="10" t="n">
        <v>0</v>
      </c>
      <c r="J3702" s="10" t="n">
        <v>0</v>
      </c>
      <c r="K3702" s="10" t="s">
        <v>20</v>
      </c>
      <c r="L3702" s="11" t="n">
        <v>42980.2049189815</v>
      </c>
      <c r="M3702" s="12"/>
      <c r="N3702" s="12"/>
      <c r="O3702" s="9" t="str">
        <f aca="false">HYPERLINK("https://pbs.twimg.com/profile_images/912052599632695296/HfhP8YZ__normal.jpg","View")</f>
        <v>View</v>
      </c>
      <c r="P3702" s="10"/>
    </row>
    <row r="3703" customFormat="false" ht="15.75" hidden="false" customHeight="false" outlineLevel="0" collapsed="false">
      <c r="A3703" s="6" t="n">
        <v>43030.4746064815</v>
      </c>
      <c r="B3703" s="7" t="str">
        <f aca="false">HYPERLINK("https://twitter.com/happy_prinz","@happy_prinz")</f>
        <v>@happy_prinz</v>
      </c>
      <c r="C3703" s="8" t="s">
        <v>8991</v>
      </c>
      <c r="D3703" s="8" t="s">
        <v>8992</v>
      </c>
      <c r="E3703" s="9" t="str">
        <f aca="false">HYPERLINK("https://twitter.com/happy_prinz/status/922166522436562946","922166522436562946")</f>
        <v>922166522436562946</v>
      </c>
      <c r="F3703" s="10" t="s">
        <v>60</v>
      </c>
      <c r="G3703" s="10" t="n">
        <v>0</v>
      </c>
      <c r="H3703" s="10" t="n">
        <v>0</v>
      </c>
      <c r="I3703" s="10" t="n">
        <v>0</v>
      </c>
      <c r="J3703" s="10" t="n">
        <v>0</v>
      </c>
      <c r="K3703" s="10" t="s">
        <v>20</v>
      </c>
      <c r="L3703" s="11" t="n">
        <v>43022.149212963</v>
      </c>
      <c r="M3703" s="12" t="s">
        <v>295</v>
      </c>
      <c r="N3703" s="12" t="s">
        <v>5697</v>
      </c>
      <c r="O3703" s="9" t="str">
        <f aca="false">HYPERLINK("https://pbs.twimg.com/profile_images/920240928094224385/qrYtItD1_normal.jpg","View")</f>
        <v>View</v>
      </c>
      <c r="P3703" s="10"/>
    </row>
    <row r="3704" customFormat="false" ht="15.75" hidden="false" customHeight="false" outlineLevel="0" collapsed="false">
      <c r="A3704" s="6" t="n">
        <v>43030.4746180556</v>
      </c>
      <c r="B3704" s="7" t="str">
        <f aca="false">HYPERLINK("https://twitter.com/shrips_rao","@shrips_rao")</f>
        <v>@shrips_rao</v>
      </c>
      <c r="C3704" s="8" t="s">
        <v>8993</v>
      </c>
      <c r="D3704" s="8" t="s">
        <v>8538</v>
      </c>
      <c r="E3704" s="9" t="str">
        <f aca="false">HYPERLINK("https://twitter.com/shrips_rao/status/922166524433063943","922166524433063943")</f>
        <v>922166524433063943</v>
      </c>
      <c r="F3704" s="10" t="s">
        <v>51</v>
      </c>
      <c r="G3704" s="10" t="n">
        <v>54</v>
      </c>
      <c r="H3704" s="10" t="n">
        <v>323</v>
      </c>
      <c r="I3704" s="10" t="n">
        <v>1015</v>
      </c>
      <c r="J3704" s="10" t="n">
        <v>0</v>
      </c>
      <c r="K3704" s="10" t="s">
        <v>20</v>
      </c>
      <c r="L3704" s="11" t="n">
        <v>40304.4605671296</v>
      </c>
      <c r="M3704" s="12" t="s">
        <v>8994</v>
      </c>
      <c r="N3704" s="12"/>
      <c r="O3704" s="9" t="str">
        <f aca="false">HYPERLINK("https://pbs.twimg.com/profile_images/378800000750817437/addefd428a5c24a6bd739994c7a7d548_normal.jpeg","View")</f>
        <v>View</v>
      </c>
      <c r="P3704" s="10"/>
    </row>
    <row r="3705" customFormat="false" ht="15.75" hidden="false" customHeight="false" outlineLevel="0" collapsed="false">
      <c r="A3705" s="6" t="n">
        <v>43030.4746643519</v>
      </c>
      <c r="B3705" s="7" t="str">
        <f aca="false">HYPERLINK("https://twitter.com/jasminegsh","@jasminegsh")</f>
        <v>@jasminegsh</v>
      </c>
      <c r="C3705" s="8" t="s">
        <v>8995</v>
      </c>
      <c r="D3705" s="8" t="s">
        <v>8996</v>
      </c>
      <c r="E3705" s="9" t="str">
        <f aca="false">HYPERLINK("https://twitter.com/jasminegsh/status/922166541818519552","922166541818519552")</f>
        <v>922166541818519552</v>
      </c>
      <c r="F3705" s="10" t="s">
        <v>60</v>
      </c>
      <c r="G3705" s="10" t="n">
        <v>0</v>
      </c>
      <c r="H3705" s="10" t="n">
        <v>9</v>
      </c>
      <c r="I3705" s="10" t="n">
        <v>0</v>
      </c>
      <c r="J3705" s="10" t="n">
        <v>0</v>
      </c>
      <c r="K3705" s="10" t="s">
        <v>20</v>
      </c>
      <c r="L3705" s="11" t="n">
        <v>42933.2558217593</v>
      </c>
      <c r="M3705" s="12" t="s">
        <v>230</v>
      </c>
      <c r="N3705" s="12" t="s">
        <v>8997</v>
      </c>
      <c r="O3705" s="9" t="str">
        <f aca="false">HYPERLINK("https://pbs.twimg.com/profile_images/893244391422283776/3nw2KVPP_normal.jpg","View")</f>
        <v>View</v>
      </c>
      <c r="P3705" s="10"/>
    </row>
    <row r="3706" customFormat="false" ht="15.75" hidden="false" customHeight="false" outlineLevel="0" collapsed="false">
      <c r="A3706" s="6" t="n">
        <v>43030.4748032407</v>
      </c>
      <c r="B3706" s="7" t="str">
        <f aca="false">HYPERLINK("https://twitter.com/AnnieTyndalla","@AnnieTyndalla")</f>
        <v>@AnnieTyndalla</v>
      </c>
      <c r="C3706" s="8" t="s">
        <v>8998</v>
      </c>
      <c r="D3706" s="8" t="s">
        <v>8999</v>
      </c>
      <c r="E3706" s="9" t="str">
        <f aca="false">HYPERLINK("https://twitter.com/AnnieTyndalla/status/922166593693585409","922166593693585409")</f>
        <v>922166593693585409</v>
      </c>
      <c r="F3706" s="10" t="s">
        <v>60</v>
      </c>
      <c r="G3706" s="10" t="n">
        <v>0</v>
      </c>
      <c r="H3706" s="10" t="n">
        <v>13</v>
      </c>
      <c r="I3706" s="10" t="n">
        <v>0</v>
      </c>
      <c r="J3706" s="10" t="n">
        <v>0</v>
      </c>
      <c r="K3706" s="10" t="s">
        <v>20</v>
      </c>
      <c r="L3706" s="11" t="n">
        <v>43011.9693055556</v>
      </c>
      <c r="M3706" s="12" t="s">
        <v>230</v>
      </c>
      <c r="N3706" s="12" t="s">
        <v>9000</v>
      </c>
      <c r="O3706" s="9" t="str">
        <f aca="false">HYPERLINK("https://pbs.twimg.com/profile_images/918409165114023936/ie1KfOWH_normal.jpg","View")</f>
        <v>View</v>
      </c>
      <c r="P3706" s="10"/>
    </row>
    <row r="3707" customFormat="false" ht="15.75" hidden="false" customHeight="false" outlineLevel="0" collapsed="false">
      <c r="A3707" s="6" t="n">
        <v>43030.4748263889</v>
      </c>
      <c r="B3707" s="7" t="str">
        <f aca="false">HYPERLINK("https://twitter.com/CSiddarth4","@CSiddarth4")</f>
        <v>@CSiddarth4</v>
      </c>
      <c r="C3707" s="8" t="s">
        <v>9001</v>
      </c>
      <c r="D3707" s="8" t="s">
        <v>8538</v>
      </c>
      <c r="E3707" s="9" t="str">
        <f aca="false">HYPERLINK("https://twitter.com/CSiddarth4/status/922166601344016384","922166601344016384")</f>
        <v>922166601344016384</v>
      </c>
      <c r="F3707" s="10" t="s">
        <v>25</v>
      </c>
      <c r="G3707" s="10" t="n">
        <v>463</v>
      </c>
      <c r="H3707" s="10" t="n">
        <v>2239</v>
      </c>
      <c r="I3707" s="10" t="n">
        <v>1015</v>
      </c>
      <c r="J3707" s="10" t="n">
        <v>0</v>
      </c>
      <c r="K3707" s="10" t="s">
        <v>20</v>
      </c>
      <c r="L3707" s="11" t="n">
        <v>40705.9842361111</v>
      </c>
      <c r="M3707" s="12" t="s">
        <v>253</v>
      </c>
      <c r="N3707" s="12" t="s">
        <v>9002</v>
      </c>
      <c r="O3707" s="9" t="str">
        <f aca="false">HYPERLINK("https://pbs.twimg.com/profile_images/744968085828886529/Nn0a5J_T_normal.jpg","View")</f>
        <v>View</v>
      </c>
      <c r="P3707" s="10"/>
    </row>
    <row r="3708" customFormat="false" ht="15.75" hidden="false" customHeight="false" outlineLevel="0" collapsed="false">
      <c r="A3708" s="6" t="n">
        <v>43030.4748958333</v>
      </c>
      <c r="B3708" s="7" t="str">
        <f aca="false">HYPERLINK("https://twitter.com/AlexandraCornis","@AlexandraCornis")</f>
        <v>@AlexandraCornis</v>
      </c>
      <c r="C3708" s="8" t="s">
        <v>9003</v>
      </c>
      <c r="D3708" s="8" t="s">
        <v>9004</v>
      </c>
      <c r="E3708" s="9" t="str">
        <f aca="false">HYPERLINK("https://twitter.com/AlexandraCornis/status/922166626858012672","922166626858012672")</f>
        <v>922166626858012672</v>
      </c>
      <c r="F3708" s="10" t="s">
        <v>60</v>
      </c>
      <c r="G3708" s="10" t="n">
        <v>1</v>
      </c>
      <c r="H3708" s="10" t="n">
        <v>8</v>
      </c>
      <c r="I3708" s="10" t="n">
        <v>0</v>
      </c>
      <c r="J3708" s="10" t="n">
        <v>0</v>
      </c>
      <c r="K3708" s="10" t="s">
        <v>20</v>
      </c>
      <c r="L3708" s="11" t="n">
        <v>43011.1123726852</v>
      </c>
      <c r="M3708" s="12" t="s">
        <v>230</v>
      </c>
      <c r="N3708" s="12" t="s">
        <v>9005</v>
      </c>
      <c r="O3708" s="9" t="str">
        <f aca="false">HYPERLINK("https://pbs.twimg.com/profile_images/917105465820979200/TBx2RUVw_normal.jpg","View")</f>
        <v>View</v>
      </c>
      <c r="P3708" s="10"/>
    </row>
    <row r="3709" customFormat="false" ht="15.75" hidden="false" customHeight="false" outlineLevel="0" collapsed="false">
      <c r="A3709" s="6" t="n">
        <v>43030.4750578704</v>
      </c>
      <c r="B3709" s="7" t="str">
        <f aca="false">HYPERLINK("https://twitter.com/Balbonilla","@Balbonilla")</f>
        <v>@Balbonilla</v>
      </c>
      <c r="C3709" s="8" t="s">
        <v>9006</v>
      </c>
      <c r="D3709" s="8" t="s">
        <v>9007</v>
      </c>
      <c r="E3709" s="9" t="str">
        <f aca="false">HYPERLINK("https://twitter.com/Balbonilla/status/922166686819672064","922166686819672064")</f>
        <v>922166686819672064</v>
      </c>
      <c r="F3709" s="9" t="s">
        <v>1147</v>
      </c>
      <c r="G3709" s="10" t="n">
        <v>624</v>
      </c>
      <c r="H3709" s="10" t="n">
        <v>718</v>
      </c>
      <c r="I3709" s="10" t="n">
        <v>0</v>
      </c>
      <c r="J3709" s="10" t="n">
        <v>0</v>
      </c>
      <c r="K3709" s="10" t="s">
        <v>20</v>
      </c>
      <c r="L3709" s="11" t="n">
        <v>41317.5232407407</v>
      </c>
      <c r="M3709" s="12" t="s">
        <v>3891</v>
      </c>
      <c r="N3709" s="12" t="s">
        <v>9008</v>
      </c>
      <c r="O3709" s="9" t="str">
        <f aca="false">HYPERLINK("https://pbs.twimg.com/profile_images/3245136360/0a93f96a725bb80c9383c200ccfab5fa_normal.jpeg","View")</f>
        <v>View</v>
      </c>
      <c r="P3709" s="10"/>
    </row>
    <row r="3710" customFormat="false" ht="15.75" hidden="false" customHeight="false" outlineLevel="0" collapsed="false">
      <c r="A3710" s="6" t="n">
        <v>43030.4750694444</v>
      </c>
      <c r="B3710" s="7" t="str">
        <f aca="false">HYPERLINK("https://twitter.com/torreslopezjos4","@torreslopezjos4")</f>
        <v>@torreslopezjos4</v>
      </c>
      <c r="C3710" s="8" t="s">
        <v>9009</v>
      </c>
      <c r="D3710" s="8" t="s">
        <v>9010</v>
      </c>
      <c r="E3710" s="9" t="str">
        <f aca="false">HYPERLINK("https://twitter.com/torreslopezjos4/status/922166691022258176","922166691022258176")</f>
        <v>922166691022258176</v>
      </c>
      <c r="F3710" s="9" t="s">
        <v>1147</v>
      </c>
      <c r="G3710" s="10" t="n">
        <v>178</v>
      </c>
      <c r="H3710" s="10" t="n">
        <v>413</v>
      </c>
      <c r="I3710" s="10" t="n">
        <v>0</v>
      </c>
      <c r="J3710" s="10" t="n">
        <v>0</v>
      </c>
      <c r="K3710" s="10" t="s">
        <v>20</v>
      </c>
      <c r="L3710" s="11" t="n">
        <v>42544.714849537</v>
      </c>
      <c r="M3710" s="12" t="s">
        <v>9011</v>
      </c>
      <c r="N3710" s="12" t="s">
        <v>9012</v>
      </c>
      <c r="O3710" s="9" t="str">
        <f aca="false">HYPERLINK("https://pbs.twimg.com/profile_images/746169852600025089/AWikbS7T_normal.jpg","View")</f>
        <v>View</v>
      </c>
      <c r="P3710" s="10"/>
    </row>
    <row r="3711" customFormat="false" ht="15.75" hidden="false" customHeight="false" outlineLevel="0" collapsed="false">
      <c r="A3711" s="6" t="n">
        <v>43030.4751157407</v>
      </c>
      <c r="B3711" s="7" t="str">
        <f aca="false">HYPERLINK("https://twitter.com/WorldNewsGPS","@WorldNewsGPS")</f>
        <v>@WorldNewsGPS</v>
      </c>
      <c r="C3711" s="8" t="s">
        <v>2573</v>
      </c>
      <c r="D3711" s="8" t="s">
        <v>9013</v>
      </c>
      <c r="E3711" s="9" t="str">
        <f aca="false">HYPERLINK("https://twitter.com/WorldNewsGPS/status/922166704628572160","922166704628572160")</f>
        <v>922166704628572160</v>
      </c>
      <c r="F3711" s="9" t="s">
        <v>1147</v>
      </c>
      <c r="G3711" s="10" t="n">
        <v>5082</v>
      </c>
      <c r="H3711" s="10" t="n">
        <v>3634</v>
      </c>
      <c r="I3711" s="10" t="n">
        <v>0</v>
      </c>
      <c r="J3711" s="10" t="n">
        <v>0</v>
      </c>
      <c r="K3711" s="10" t="s">
        <v>20</v>
      </c>
      <c r="L3711" s="11" t="n">
        <v>41855.6448263889</v>
      </c>
      <c r="M3711" s="12" t="s">
        <v>2575</v>
      </c>
      <c r="N3711" s="12" t="s">
        <v>2576</v>
      </c>
      <c r="O3711" s="9" t="str">
        <f aca="false">HYPERLINK("https://pbs.twimg.com/profile_images/923461394355257344/b0o17ueG_normal.jpg","View")</f>
        <v>View</v>
      </c>
      <c r="P3711" s="10"/>
    </row>
    <row r="3712" customFormat="false" ht="15.75" hidden="false" customHeight="false" outlineLevel="0" collapsed="false">
      <c r="A3712" s="6" t="n">
        <v>43030.4751157407</v>
      </c>
      <c r="B3712" s="7" t="str">
        <f aca="false">HYPERLINK("https://twitter.com/angeladkha","@angeladkha")</f>
        <v>@angeladkha</v>
      </c>
      <c r="C3712" s="8" t="s">
        <v>9014</v>
      </c>
      <c r="D3712" s="8" t="s">
        <v>9015</v>
      </c>
      <c r="E3712" s="9" t="str">
        <f aca="false">HYPERLINK("https://twitter.com/angeladkha/status/922166706377838592","922166706377838592")</f>
        <v>922166706377838592</v>
      </c>
      <c r="F3712" s="10" t="s">
        <v>60</v>
      </c>
      <c r="G3712" s="10" t="n">
        <v>2</v>
      </c>
      <c r="H3712" s="10" t="n">
        <v>8</v>
      </c>
      <c r="I3712" s="10" t="n">
        <v>0</v>
      </c>
      <c r="J3712" s="10" t="n">
        <v>0</v>
      </c>
      <c r="K3712" s="10" t="s">
        <v>20</v>
      </c>
      <c r="L3712" s="11" t="n">
        <v>42933.2293518519</v>
      </c>
      <c r="M3712" s="12" t="s">
        <v>230</v>
      </c>
      <c r="N3712" s="12" t="s">
        <v>9016</v>
      </c>
      <c r="O3712" s="9" t="str">
        <f aca="false">HYPERLINK("https://pbs.twimg.com/profile_images/893219347375693826/w7IdH5ju_normal.jpg","View")</f>
        <v>View</v>
      </c>
      <c r="P3712" s="10"/>
    </row>
    <row r="3713" customFormat="false" ht="15.75" hidden="false" customHeight="false" outlineLevel="0" collapsed="false">
      <c r="A3713" s="6" t="n">
        <v>43030.4751388889</v>
      </c>
      <c r="B3713" s="7" t="str">
        <f aca="false">HYPERLINK("https://twitter.com/anil_prongs","@anil_prongs")</f>
        <v>@anil_prongs</v>
      </c>
      <c r="C3713" s="8" t="s">
        <v>9017</v>
      </c>
      <c r="D3713" s="8" t="s">
        <v>8538</v>
      </c>
      <c r="E3713" s="9" t="str">
        <f aca="false">HYPERLINK("https://twitter.com/anil_prongs/status/922166714883649536","922166714883649536")</f>
        <v>922166714883649536</v>
      </c>
      <c r="F3713" s="10" t="s">
        <v>25</v>
      </c>
      <c r="G3713" s="10" t="n">
        <v>894</v>
      </c>
      <c r="H3713" s="10" t="n">
        <v>526</v>
      </c>
      <c r="I3713" s="10" t="n">
        <v>1015</v>
      </c>
      <c r="J3713" s="10" t="n">
        <v>0</v>
      </c>
      <c r="K3713" s="10" t="s">
        <v>20</v>
      </c>
      <c r="L3713" s="11" t="n">
        <v>39977.326412037</v>
      </c>
      <c r="M3713" s="12" t="s">
        <v>9018</v>
      </c>
      <c r="N3713" s="12" t="s">
        <v>9019</v>
      </c>
      <c r="O3713" s="9" t="str">
        <f aca="false">HYPERLINK("https://pbs.twimg.com/profile_images/920323229582897152/Do7c2mdm_normal.jpg","View")</f>
        <v>View</v>
      </c>
      <c r="P3713" s="10"/>
    </row>
    <row r="3714" customFormat="false" ht="15.75" hidden="false" customHeight="false" outlineLevel="0" collapsed="false">
      <c r="A3714" s="6" t="n">
        <v>43030.475150463</v>
      </c>
      <c r="B3714" s="7" t="str">
        <f aca="false">HYPERLINK("https://twitter.com/mckinneysophie2","@mckinneysophie2")</f>
        <v>@mckinneysophie2</v>
      </c>
      <c r="C3714" s="8" t="s">
        <v>9020</v>
      </c>
      <c r="D3714" s="8" t="s">
        <v>9021</v>
      </c>
      <c r="E3714" s="9" t="str">
        <f aca="false">HYPERLINK("https://twitter.com/mckinneysophie2/status/922166718474211328","922166718474211328")</f>
        <v>922166718474211328</v>
      </c>
      <c r="F3714" s="10" t="s">
        <v>60</v>
      </c>
      <c r="G3714" s="10" t="n">
        <v>0</v>
      </c>
      <c r="H3714" s="10" t="n">
        <v>13</v>
      </c>
      <c r="I3714" s="10" t="n">
        <v>0</v>
      </c>
      <c r="J3714" s="10" t="n">
        <v>0</v>
      </c>
      <c r="K3714" s="10" t="s">
        <v>20</v>
      </c>
      <c r="L3714" s="11" t="n">
        <v>42950.8681597222</v>
      </c>
      <c r="M3714" s="12"/>
      <c r="N3714" s="12"/>
      <c r="O3714" s="9" t="str">
        <f aca="false">HYPERLINK("https://pbs.twimg.com/profile_images/900677012204826624/wm6jpmEu_normal.jpg","View")</f>
        <v>View</v>
      </c>
      <c r="P3714" s="10"/>
    </row>
    <row r="3715" customFormat="false" ht="15.75" hidden="false" customHeight="false" outlineLevel="0" collapsed="false">
      <c r="A3715" s="6" t="n">
        <v>43030.475162037</v>
      </c>
      <c r="B3715" s="7" t="str">
        <f aca="false">HYPERLINK("https://twitter.com/sgvkp21","@sgvkp21")</f>
        <v>@sgvkp21</v>
      </c>
      <c r="C3715" s="8" t="s">
        <v>9022</v>
      </c>
      <c r="D3715" s="8" t="s">
        <v>8538</v>
      </c>
      <c r="E3715" s="9" t="str">
        <f aca="false">HYPERLINK("https://twitter.com/sgvkp21/status/922166723502940160","922166723502940160")</f>
        <v>922166723502940160</v>
      </c>
      <c r="F3715" s="10" t="s">
        <v>177</v>
      </c>
      <c r="G3715" s="10" t="n">
        <v>130</v>
      </c>
      <c r="H3715" s="10" t="n">
        <v>331</v>
      </c>
      <c r="I3715" s="10" t="n">
        <v>1015</v>
      </c>
      <c r="J3715" s="10" t="n">
        <v>0</v>
      </c>
      <c r="K3715" s="10" t="s">
        <v>20</v>
      </c>
      <c r="L3715" s="11" t="n">
        <v>42264.9198726852</v>
      </c>
      <c r="M3715" s="12"/>
      <c r="N3715" s="12"/>
      <c r="O3715" s="9" t="str">
        <f aca="false">HYPERLINK("https://pbs.twimg.com/profile_images/679544216846901248/-fX920tz_normal.jpg","View")</f>
        <v>View</v>
      </c>
      <c r="P3715" s="10"/>
    </row>
    <row r="3716" customFormat="false" ht="15.75" hidden="false" customHeight="false" outlineLevel="0" collapsed="false">
      <c r="A3716" s="6" t="n">
        <v>43030.4751736111</v>
      </c>
      <c r="B3716" s="7" t="str">
        <f aca="false">HYPERLINK("https://twitter.com/jackshort958t","@jackshort958t")</f>
        <v>@jackshort958t</v>
      </c>
      <c r="C3716" s="8" t="s">
        <v>9023</v>
      </c>
      <c r="D3716" s="8" t="s">
        <v>9024</v>
      </c>
      <c r="E3716" s="9" t="str">
        <f aca="false">HYPERLINK("https://twitter.com/jackshort958t/status/922166725793198082","922166725793198082")</f>
        <v>922166725793198082</v>
      </c>
      <c r="F3716" s="10" t="s">
        <v>60</v>
      </c>
      <c r="G3716" s="10" t="n">
        <v>0</v>
      </c>
      <c r="H3716" s="10" t="n">
        <v>0</v>
      </c>
      <c r="I3716" s="10" t="n">
        <v>0</v>
      </c>
      <c r="J3716" s="10" t="n">
        <v>0</v>
      </c>
      <c r="K3716" s="10" t="s">
        <v>20</v>
      </c>
      <c r="L3716" s="11" t="n">
        <v>42950.9093171296</v>
      </c>
      <c r="M3716" s="12"/>
      <c r="N3716" s="12"/>
      <c r="O3716" s="9" t="str">
        <f aca="false">HYPERLINK("https://pbs.twimg.com/profile_images/898078361880100864/LwcGT5QZ_normal.jpg","View")</f>
        <v>View</v>
      </c>
      <c r="P3716" s="10"/>
    </row>
    <row r="3717" customFormat="false" ht="15.75" hidden="false" customHeight="false" outlineLevel="0" collapsed="false">
      <c r="A3717" s="6" t="n">
        <v>43030.4751736111</v>
      </c>
      <c r="B3717" s="7" t="str">
        <f aca="false">HYPERLINK("https://twitter.com/georgeyanev2","@georgeyanev2")</f>
        <v>@georgeyanev2</v>
      </c>
      <c r="C3717" s="8" t="s">
        <v>9025</v>
      </c>
      <c r="D3717" s="8" t="s">
        <v>9026</v>
      </c>
      <c r="E3717" s="9" t="str">
        <f aca="false">HYPERLINK("https://twitter.com/georgeyanev2/status/922166726531334144","922166726531334144")</f>
        <v>922166726531334144</v>
      </c>
      <c r="F3717" s="10" t="s">
        <v>51</v>
      </c>
      <c r="G3717" s="10" t="n">
        <v>3857</v>
      </c>
      <c r="H3717" s="10" t="n">
        <v>5002</v>
      </c>
      <c r="I3717" s="10" t="n">
        <v>0</v>
      </c>
      <c r="J3717" s="10" t="n">
        <v>0</v>
      </c>
      <c r="K3717" s="10" t="s">
        <v>20</v>
      </c>
      <c r="L3717" s="11" t="n">
        <v>40868.4736805556</v>
      </c>
      <c r="M3717" s="12" t="s">
        <v>9027</v>
      </c>
      <c r="N3717" s="12" t="s">
        <v>9028</v>
      </c>
      <c r="O3717" s="9" t="str">
        <f aca="false">HYPERLINK("https://pbs.twimg.com/profile_images/419931154746060800/vMwmO_vd_normal.jpeg","View")</f>
        <v>View</v>
      </c>
      <c r="P3717" s="10"/>
    </row>
    <row r="3718" customFormat="false" ht="15.75" hidden="false" customHeight="false" outlineLevel="0" collapsed="false">
      <c r="A3718" s="6" t="n">
        <v>43030.4751736111</v>
      </c>
      <c r="B3718" s="7" t="str">
        <f aca="false">HYPERLINK("https://twitter.com/michellevma","@michellevma")</f>
        <v>@michellevma</v>
      </c>
      <c r="C3718" s="8" t="s">
        <v>9029</v>
      </c>
      <c r="D3718" s="8" t="s">
        <v>9030</v>
      </c>
      <c r="E3718" s="9" t="str">
        <f aca="false">HYPERLINK("https://twitter.com/michellevma/status/922166727915565057","922166727915565057")</f>
        <v>922166727915565057</v>
      </c>
      <c r="F3718" s="10" t="s">
        <v>60</v>
      </c>
      <c r="G3718" s="10" t="n">
        <v>1</v>
      </c>
      <c r="H3718" s="10" t="n">
        <v>8</v>
      </c>
      <c r="I3718" s="10" t="n">
        <v>0</v>
      </c>
      <c r="J3718" s="10" t="n">
        <v>0</v>
      </c>
      <c r="K3718" s="10" t="s">
        <v>20</v>
      </c>
      <c r="L3718" s="11" t="n">
        <v>42933.9149652778</v>
      </c>
      <c r="M3718" s="12" t="s">
        <v>230</v>
      </c>
      <c r="N3718" s="12" t="s">
        <v>9031</v>
      </c>
      <c r="O3718" s="9" t="str">
        <f aca="false">HYPERLINK("https://pbs.twimg.com/profile_images/894878037681950721/A7ETSlQI_normal.jpg","View")</f>
        <v>View</v>
      </c>
      <c r="P3718" s="10"/>
    </row>
    <row r="3719" customFormat="false" ht="15.75" hidden="false" customHeight="false" outlineLevel="0" collapsed="false">
      <c r="A3719" s="6" t="n">
        <v>43030.4751736111</v>
      </c>
      <c r="B3719" s="7" t="str">
        <f aca="false">HYPERLINK("https://twitter.com/MyShandie","@MyShandie")</f>
        <v>@MyShandie</v>
      </c>
      <c r="C3719" s="8" t="s">
        <v>9032</v>
      </c>
      <c r="D3719" s="8" t="s">
        <v>9033</v>
      </c>
      <c r="E3719" s="9" t="str">
        <f aca="false">HYPERLINK("https://twitter.com/MyShandie/status/922166728326631424","922166728326631424")</f>
        <v>922166728326631424</v>
      </c>
      <c r="F3719" s="10" t="s">
        <v>60</v>
      </c>
      <c r="G3719" s="10" t="n">
        <v>0</v>
      </c>
      <c r="H3719" s="10" t="n">
        <v>0</v>
      </c>
      <c r="I3719" s="10" t="n">
        <v>0</v>
      </c>
      <c r="J3719" s="10" t="n">
        <v>0</v>
      </c>
      <c r="K3719" s="10" t="s">
        <v>20</v>
      </c>
      <c r="L3719" s="11" t="n">
        <v>42966.1950231481</v>
      </c>
      <c r="M3719" s="12" t="s">
        <v>9034</v>
      </c>
      <c r="N3719" s="12" t="s">
        <v>9035</v>
      </c>
      <c r="O3719" s="9" t="str">
        <f aca="false">HYPERLINK("https://pbs.twimg.com/profile_images/911005695167799296/6r6TCulN_normal.jpg","View")</f>
        <v>View</v>
      </c>
      <c r="P3719" s="10"/>
    </row>
    <row r="3720" customFormat="false" ht="15.75" hidden="false" customHeight="false" outlineLevel="0" collapsed="false">
      <c r="A3720" s="6" t="n">
        <v>43030.4751851852</v>
      </c>
      <c r="B3720" s="7" t="str">
        <f aca="false">HYPERLINK("https://twitter.com/JericaSeats","@JericaSeats")</f>
        <v>@JericaSeats</v>
      </c>
      <c r="C3720" s="8" t="s">
        <v>9036</v>
      </c>
      <c r="D3720" s="8" t="s">
        <v>9037</v>
      </c>
      <c r="E3720" s="9" t="str">
        <f aca="false">HYPERLINK("https://twitter.com/JericaSeats/status/922166733544226816","922166733544226816")</f>
        <v>922166733544226816</v>
      </c>
      <c r="F3720" s="10" t="s">
        <v>60</v>
      </c>
      <c r="G3720" s="10" t="n">
        <v>0</v>
      </c>
      <c r="H3720" s="10" t="n">
        <v>9</v>
      </c>
      <c r="I3720" s="10" t="n">
        <v>0</v>
      </c>
      <c r="J3720" s="10" t="n">
        <v>0</v>
      </c>
      <c r="K3720" s="10" t="s">
        <v>20</v>
      </c>
      <c r="L3720" s="11" t="n">
        <v>43011.946875</v>
      </c>
      <c r="M3720" s="12" t="s">
        <v>230</v>
      </c>
      <c r="N3720" s="12" t="s">
        <v>9038</v>
      </c>
      <c r="O3720" s="9" t="str">
        <f aca="false">HYPERLINK("https://pbs.twimg.com/profile_images/918309811871088640/0oGr8NCY_normal.jpg","View")</f>
        <v>View</v>
      </c>
      <c r="P3720" s="10"/>
    </row>
    <row r="3721" customFormat="false" ht="15.75" hidden="false" customHeight="false" outlineLevel="0" collapsed="false">
      <c r="A3721" s="6" t="n">
        <v>43030.4752083333</v>
      </c>
      <c r="B3721" s="7" t="str">
        <f aca="false">HYPERLINK("https://twitter.com/Esmeralsay","@Esmeralsay")</f>
        <v>@Esmeralsay</v>
      </c>
      <c r="C3721" s="8" t="s">
        <v>9039</v>
      </c>
      <c r="D3721" s="8" t="s">
        <v>9040</v>
      </c>
      <c r="E3721" s="9" t="str">
        <f aca="false">HYPERLINK("https://twitter.com/Esmeralsay/status/922166741265940480","922166741265940480")</f>
        <v>922166741265940480</v>
      </c>
      <c r="F3721" s="10" t="s">
        <v>60</v>
      </c>
      <c r="G3721" s="10" t="n">
        <v>0</v>
      </c>
      <c r="H3721" s="10" t="n">
        <v>8</v>
      </c>
      <c r="I3721" s="10" t="n">
        <v>0</v>
      </c>
      <c r="J3721" s="10" t="n">
        <v>0</v>
      </c>
      <c r="K3721" s="10" t="s">
        <v>20</v>
      </c>
      <c r="L3721" s="11" t="n">
        <v>42933.914525463</v>
      </c>
      <c r="M3721" s="12" t="s">
        <v>485</v>
      </c>
      <c r="N3721" s="12" t="s">
        <v>9041</v>
      </c>
      <c r="O3721" s="9" t="str">
        <f aca="false">HYPERLINK("https://pbs.twimg.com/profile_images/894498994784579584/1S-Oh8PB_normal.jpg","View")</f>
        <v>View</v>
      </c>
      <c r="P3721" s="10"/>
    </row>
    <row r="3722" customFormat="false" ht="15.75" hidden="false" customHeight="false" outlineLevel="0" collapsed="false">
      <c r="A3722" s="6" t="n">
        <v>43030.4752083333</v>
      </c>
      <c r="B3722" s="7" t="str">
        <f aca="false">HYPERLINK("https://twitter.com/riskinfo","@riskinfo")</f>
        <v>@riskinfo</v>
      </c>
      <c r="C3722" s="8" t="s">
        <v>9042</v>
      </c>
      <c r="D3722" s="8" t="s">
        <v>9043</v>
      </c>
      <c r="E3722" s="9" t="str">
        <f aca="false">HYPERLINK("https://twitter.com/riskinfo/status/922166741790273542","922166741790273542")</f>
        <v>922166741790273542</v>
      </c>
      <c r="F3722" s="10" t="s">
        <v>60</v>
      </c>
      <c r="G3722" s="10" t="n">
        <v>36928</v>
      </c>
      <c r="H3722" s="10" t="n">
        <v>36607</v>
      </c>
      <c r="I3722" s="10" t="n">
        <v>0</v>
      </c>
      <c r="J3722" s="10" t="n">
        <v>0</v>
      </c>
      <c r="K3722" s="10" t="s">
        <v>20</v>
      </c>
      <c r="L3722" s="11" t="n">
        <v>40078.5738425926</v>
      </c>
      <c r="M3722" s="12" t="s">
        <v>1466</v>
      </c>
      <c r="N3722" s="12" t="s">
        <v>9044</v>
      </c>
      <c r="O3722" s="9" t="str">
        <f aca="false">HYPERLINK("https://pbs.twimg.com/profile_images/634614471286099968/viYYc73a_normal.png","View")</f>
        <v>View</v>
      </c>
      <c r="P3722" s="10"/>
    </row>
    <row r="3723" customFormat="false" ht="15.75" hidden="false" customHeight="false" outlineLevel="0" collapsed="false">
      <c r="A3723" s="6" t="n">
        <v>43030.4752199074</v>
      </c>
      <c r="B3723" s="7" t="str">
        <f aca="false">HYPERLINK("https://twitter.com/YvonneG76806464","@YvonneG76806464")</f>
        <v>@YvonneG76806464</v>
      </c>
      <c r="C3723" s="8" t="s">
        <v>9045</v>
      </c>
      <c r="D3723" s="8" t="s">
        <v>9046</v>
      </c>
      <c r="E3723" s="9" t="str">
        <f aca="false">HYPERLINK("https://twitter.com/YvonneG76806464/status/922166742092218368","922166742092218368")</f>
        <v>922166742092218368</v>
      </c>
      <c r="F3723" s="10" t="s">
        <v>60</v>
      </c>
      <c r="G3723" s="10" t="n">
        <v>0</v>
      </c>
      <c r="H3723" s="10" t="n">
        <v>0</v>
      </c>
      <c r="I3723" s="10" t="n">
        <v>0</v>
      </c>
      <c r="J3723" s="10" t="n">
        <v>0</v>
      </c>
      <c r="K3723" s="10" t="s">
        <v>20</v>
      </c>
      <c r="L3723" s="11" t="n">
        <v>42950.8917013889</v>
      </c>
      <c r="M3723" s="12"/>
      <c r="N3723" s="12"/>
      <c r="O3723" s="9" t="str">
        <f aca="false">HYPERLINK("https://pbs.twimg.com/profile_images/905026912371720192/Na04tUaZ_normal.jpg","View")</f>
        <v>View</v>
      </c>
      <c r="P3723" s="10"/>
    </row>
    <row r="3724" customFormat="false" ht="15.75" hidden="false" customHeight="false" outlineLevel="0" collapsed="false">
      <c r="A3724" s="6" t="n">
        <v>43030.4752893519</v>
      </c>
      <c r="B3724" s="7" t="str">
        <f aca="false">HYPERLINK("https://twitter.com/amyking201h","@amyking201h")</f>
        <v>@amyking201h</v>
      </c>
      <c r="C3724" s="8" t="s">
        <v>9047</v>
      </c>
      <c r="D3724" s="8" t="s">
        <v>9048</v>
      </c>
      <c r="E3724" s="9" t="str">
        <f aca="false">HYPERLINK("https://twitter.com/amyking201h/status/922166771175522304","922166771175522304")</f>
        <v>922166771175522304</v>
      </c>
      <c r="F3724" s="10" t="s">
        <v>60</v>
      </c>
      <c r="G3724" s="10" t="n">
        <v>0</v>
      </c>
      <c r="H3724" s="10" t="n">
        <v>0</v>
      </c>
      <c r="I3724" s="10" t="n">
        <v>0</v>
      </c>
      <c r="J3724" s="10" t="n">
        <v>0</v>
      </c>
      <c r="K3724" s="10" t="s">
        <v>20</v>
      </c>
      <c r="L3724" s="11" t="n">
        <v>42950.896400463</v>
      </c>
      <c r="M3724" s="12"/>
      <c r="N3724" s="12"/>
      <c r="O3724" s="9" t="str">
        <f aca="false">HYPERLINK("https://pbs.twimg.com/profile_images/900266031821709312/nDmPneiX_normal.jpg","View")</f>
        <v>View</v>
      </c>
      <c r="P3724" s="10"/>
    </row>
    <row r="3725" customFormat="false" ht="15.75" hidden="false" customHeight="false" outlineLevel="0" collapsed="false">
      <c r="A3725" s="6" t="n">
        <v>43030.4753240741</v>
      </c>
      <c r="B3725" s="7" t="str">
        <f aca="false">HYPERLINK("https://twitter.com/GooberCornie","@GooberCornie")</f>
        <v>@GooberCornie</v>
      </c>
      <c r="C3725" s="8" t="s">
        <v>9049</v>
      </c>
      <c r="D3725" s="8" t="s">
        <v>9050</v>
      </c>
      <c r="E3725" s="9" t="str">
        <f aca="false">HYPERLINK("https://twitter.com/GooberCornie/status/922166783213219840","922166783213219840")</f>
        <v>922166783213219840</v>
      </c>
      <c r="F3725" s="10" t="s">
        <v>60</v>
      </c>
      <c r="G3725" s="10" t="n">
        <v>1</v>
      </c>
      <c r="H3725" s="10" t="n">
        <v>32</v>
      </c>
      <c r="I3725" s="10" t="n">
        <v>0</v>
      </c>
      <c r="J3725" s="10" t="n">
        <v>0</v>
      </c>
      <c r="K3725" s="10" t="s">
        <v>20</v>
      </c>
      <c r="L3725" s="11" t="n">
        <v>43000.8964930556</v>
      </c>
      <c r="M3725" s="12" t="s">
        <v>9034</v>
      </c>
      <c r="N3725" s="12" t="s">
        <v>9051</v>
      </c>
      <c r="O3725" s="9" t="str">
        <f aca="false">HYPERLINK("https://pbs.twimg.com/profile_images/920129428176347137/wTK5i3dM_normal.jpg","View")</f>
        <v>View</v>
      </c>
      <c r="P3725" s="10"/>
    </row>
    <row r="3726" customFormat="false" ht="15.75" hidden="false" customHeight="false" outlineLevel="0" collapsed="false">
      <c r="A3726" s="6" t="n">
        <v>43030.4753703704</v>
      </c>
      <c r="B3726" s="7" t="str">
        <f aca="false">HYPERLINK("https://twitter.com/MarionS09483259","@MarionS09483259")</f>
        <v>@MarionS09483259</v>
      </c>
      <c r="C3726" s="8" t="s">
        <v>9052</v>
      </c>
      <c r="D3726" s="8" t="s">
        <v>9053</v>
      </c>
      <c r="E3726" s="9" t="str">
        <f aca="false">HYPERLINK("https://twitter.com/MarionS09483259/status/922166800623730688","922166800623730688")</f>
        <v>922166800623730688</v>
      </c>
      <c r="F3726" s="10" t="s">
        <v>60</v>
      </c>
      <c r="G3726" s="10" t="n">
        <v>0</v>
      </c>
      <c r="H3726" s="10" t="n">
        <v>0</v>
      </c>
      <c r="I3726" s="10" t="n">
        <v>0</v>
      </c>
      <c r="J3726" s="10" t="n">
        <v>0</v>
      </c>
      <c r="K3726" s="10" t="s">
        <v>20</v>
      </c>
      <c r="L3726" s="11" t="n">
        <v>42984.8932523148</v>
      </c>
      <c r="M3726" s="12"/>
      <c r="N3726" s="12" t="s">
        <v>9054</v>
      </c>
      <c r="O3726" s="9" t="str">
        <f aca="false">HYPERLINK("https://pbs.twimg.com/profile_images/910991084062261248/tjxz_eiM_normal.jpg","View")</f>
        <v>View</v>
      </c>
      <c r="P3726" s="10"/>
    </row>
    <row r="3727" customFormat="false" ht="15.75" hidden="false" customHeight="false" outlineLevel="0" collapsed="false">
      <c r="A3727" s="6" t="n">
        <v>43030.4754282407</v>
      </c>
      <c r="B3727" s="7" t="str">
        <f aca="false">HYPERLINK("https://twitter.com/DierdreFalito","@DierdreFalito")</f>
        <v>@DierdreFalito</v>
      </c>
      <c r="C3727" s="8" t="s">
        <v>9055</v>
      </c>
      <c r="D3727" s="8" t="s">
        <v>9056</v>
      </c>
      <c r="E3727" s="9" t="str">
        <f aca="false">HYPERLINK("https://twitter.com/DierdreFalito/status/922166821230391297","922166821230391297")</f>
        <v>922166821230391297</v>
      </c>
      <c r="F3727" s="10" t="s">
        <v>60</v>
      </c>
      <c r="G3727" s="10" t="n">
        <v>0</v>
      </c>
      <c r="H3727" s="10" t="n">
        <v>0</v>
      </c>
      <c r="I3727" s="10" t="n">
        <v>0</v>
      </c>
      <c r="J3727" s="10" t="n">
        <v>0</v>
      </c>
      <c r="K3727" s="10" t="s">
        <v>20</v>
      </c>
      <c r="L3727" s="11" t="n">
        <v>42966.2405671296</v>
      </c>
      <c r="M3727" s="12" t="s">
        <v>295</v>
      </c>
      <c r="N3727" s="12" t="s">
        <v>9057</v>
      </c>
      <c r="O3727" s="9" t="str">
        <f aca="false">HYPERLINK("https://pbs.twimg.com/profile_images/910282150649278470/pJf5_T_O_normal.jpg","View")</f>
        <v>View</v>
      </c>
      <c r="P3727" s="10"/>
    </row>
    <row r="3728" customFormat="false" ht="15.75" hidden="false" customHeight="false" outlineLevel="0" collapsed="false">
      <c r="A3728" s="6" t="n">
        <v>43030.4755439815</v>
      </c>
      <c r="B3728" s="7" t="str">
        <f aca="false">HYPERLINK("https://twitter.com/JamesAgkhan","@JamesAgkhan")</f>
        <v>@JamesAgkhan</v>
      </c>
      <c r="C3728" s="8" t="s">
        <v>9058</v>
      </c>
      <c r="D3728" s="8" t="s">
        <v>9059</v>
      </c>
      <c r="E3728" s="9" t="str">
        <f aca="false">HYPERLINK("https://twitter.com/JamesAgkhan/status/922166863186006018","922166863186006018")</f>
        <v>922166863186006018</v>
      </c>
      <c r="F3728" s="10" t="s">
        <v>60</v>
      </c>
      <c r="G3728" s="10" t="n">
        <v>3</v>
      </c>
      <c r="H3728" s="10" t="n">
        <v>8</v>
      </c>
      <c r="I3728" s="10" t="n">
        <v>0</v>
      </c>
      <c r="J3728" s="10" t="n">
        <v>0</v>
      </c>
      <c r="K3728" s="10" t="s">
        <v>20</v>
      </c>
      <c r="L3728" s="11" t="n">
        <v>43011.1203240741</v>
      </c>
      <c r="M3728" s="12" t="s">
        <v>230</v>
      </c>
      <c r="N3728" s="12" t="s">
        <v>9060</v>
      </c>
      <c r="O3728" s="9" t="str">
        <f aca="false">HYPERLINK("https://pbs.twimg.com/profile_images/917595129606684672/tcT9f6M-_normal.jpg","View")</f>
        <v>View</v>
      </c>
      <c r="P3728" s="10"/>
    </row>
    <row r="3729" customFormat="false" ht="15.75" hidden="false" customHeight="false" outlineLevel="0" collapsed="false">
      <c r="A3729" s="6" t="n">
        <v>43030.475625</v>
      </c>
      <c r="B3729" s="7" t="str">
        <f aca="false">HYPERLINK("https://twitter.com/bellarussell731","@bellarussell731")</f>
        <v>@bellarussell731</v>
      </c>
      <c r="C3729" s="8" t="s">
        <v>9061</v>
      </c>
      <c r="D3729" s="8" t="s">
        <v>9062</v>
      </c>
      <c r="E3729" s="9" t="str">
        <f aca="false">HYPERLINK("https://twitter.com/bellarussell731/status/922166890394472448","922166890394472448")</f>
        <v>922166890394472448</v>
      </c>
      <c r="F3729" s="10" t="s">
        <v>60</v>
      </c>
      <c r="G3729" s="10" t="n">
        <v>1</v>
      </c>
      <c r="H3729" s="10" t="n">
        <v>0</v>
      </c>
      <c r="I3729" s="10" t="n">
        <v>0</v>
      </c>
      <c r="J3729" s="10" t="n">
        <v>0</v>
      </c>
      <c r="K3729" s="10" t="s">
        <v>20</v>
      </c>
      <c r="L3729" s="11" t="n">
        <v>42950.969375</v>
      </c>
      <c r="M3729" s="12"/>
      <c r="N3729" s="12"/>
      <c r="O3729" s="9" t="str">
        <f aca="false">HYPERLINK("https://pbs.twimg.com/profile_images/906845706719182848/h94z7OxW_normal.jpg","View")</f>
        <v>View</v>
      </c>
      <c r="P3729" s="10"/>
    </row>
    <row r="3730" customFormat="false" ht="15.75" hidden="false" customHeight="false" outlineLevel="0" collapsed="false">
      <c r="A3730" s="6" t="n">
        <v>43030.475775463</v>
      </c>
      <c r="B3730" s="7" t="str">
        <f aca="false">HYPERLINK("https://twitter.com/SCMP_News","@SCMP_News")</f>
        <v>@SCMP_News</v>
      </c>
      <c r="C3730" s="8" t="s">
        <v>2290</v>
      </c>
      <c r="D3730" s="8" t="s">
        <v>9063</v>
      </c>
      <c r="E3730" s="9" t="str">
        <f aca="false">HYPERLINK("https://twitter.com/SCMP_News/status/922166946736558081","922166946736558081")</f>
        <v>922166946736558081</v>
      </c>
      <c r="F3730" s="10" t="s">
        <v>1167</v>
      </c>
      <c r="G3730" s="10" t="n">
        <v>506530</v>
      </c>
      <c r="H3730" s="10" t="n">
        <v>345</v>
      </c>
      <c r="I3730" s="10" t="n">
        <v>7</v>
      </c>
      <c r="J3730" s="10" t="n">
        <v>6</v>
      </c>
      <c r="K3730" s="10" t="s">
        <v>20</v>
      </c>
      <c r="L3730" s="11" t="n">
        <v>39884.077662037</v>
      </c>
      <c r="M3730" s="12" t="s">
        <v>68</v>
      </c>
      <c r="N3730" s="12" t="s">
        <v>2292</v>
      </c>
      <c r="O3730" s="9" t="str">
        <f aca="false">HYPERLINK("https://pbs.twimg.com/profile_images/593315521707159552/nSAjByJO_normal.png","View")</f>
        <v>View</v>
      </c>
      <c r="P3730" s="10"/>
    </row>
    <row r="3731" customFormat="false" ht="15.75" hidden="false" customHeight="false" outlineLevel="0" collapsed="false">
      <c r="A3731" s="6" t="n">
        <v>43030.475775463</v>
      </c>
      <c r="B3731" s="7" t="str">
        <f aca="false">HYPERLINK("https://twitter.com/mchellap","@mchellap")</f>
        <v>@mchellap</v>
      </c>
      <c r="C3731" s="8" t="s">
        <v>9064</v>
      </c>
      <c r="D3731" s="8" t="s">
        <v>8538</v>
      </c>
      <c r="E3731" s="9" t="str">
        <f aca="false">HYPERLINK("https://twitter.com/mchellap/status/922166947554488320","922166947554488320")</f>
        <v>922166947554488320</v>
      </c>
      <c r="F3731" s="10" t="s">
        <v>25</v>
      </c>
      <c r="G3731" s="10" t="n">
        <v>97</v>
      </c>
      <c r="H3731" s="10" t="n">
        <v>401</v>
      </c>
      <c r="I3731" s="10" t="n">
        <v>1015</v>
      </c>
      <c r="J3731" s="10" t="n">
        <v>0</v>
      </c>
      <c r="K3731" s="10" t="s">
        <v>20</v>
      </c>
      <c r="L3731" s="11" t="n">
        <v>40072.6985532407</v>
      </c>
      <c r="M3731" s="12" t="s">
        <v>6635</v>
      </c>
      <c r="N3731" s="12" t="s">
        <v>9065</v>
      </c>
      <c r="O3731" s="9" t="str">
        <f aca="false">HYPERLINK("https://pbs.twimg.com/profile_images/806533671905693696/z2cu0tIU_normal.jpg","View")</f>
        <v>View</v>
      </c>
      <c r="P3731" s="10"/>
    </row>
    <row r="3732" customFormat="false" ht="15.75" hidden="false" customHeight="false" outlineLevel="0" collapsed="false">
      <c r="A3732" s="6" t="n">
        <v>43030.4757986111</v>
      </c>
      <c r="B3732" s="7" t="str">
        <f aca="false">HYPERLINK("https://twitter.com/DanielTamib","@DanielTamib")</f>
        <v>@DanielTamib</v>
      </c>
      <c r="C3732" s="8" t="s">
        <v>9066</v>
      </c>
      <c r="D3732" s="8" t="s">
        <v>9067</v>
      </c>
      <c r="E3732" s="9" t="str">
        <f aca="false">HYPERLINK("https://twitter.com/DanielTamib/status/922166954659667968","922166954659667968")</f>
        <v>922166954659667968</v>
      </c>
      <c r="F3732" s="10" t="s">
        <v>60</v>
      </c>
      <c r="G3732" s="10" t="n">
        <v>2</v>
      </c>
      <c r="H3732" s="10" t="n">
        <v>14</v>
      </c>
      <c r="I3732" s="10" t="n">
        <v>0</v>
      </c>
      <c r="J3732" s="10" t="n">
        <v>0</v>
      </c>
      <c r="K3732" s="10" t="s">
        <v>20</v>
      </c>
      <c r="L3732" s="11" t="n">
        <v>42933.9149421296</v>
      </c>
      <c r="M3732" s="12" t="s">
        <v>230</v>
      </c>
      <c r="N3732" s="12" t="s">
        <v>9068</v>
      </c>
      <c r="O3732" s="9" t="str">
        <f aca="false">HYPERLINK("https://pbs.twimg.com/profile_images/895251152027107328/F764VRu8_normal.jpg","View")</f>
        <v>View</v>
      </c>
      <c r="P3732" s="10"/>
    </row>
    <row r="3733" customFormat="false" ht="15.75" hidden="false" customHeight="false" outlineLevel="0" collapsed="false">
      <c r="A3733" s="6" t="n">
        <v>43030.4758333333</v>
      </c>
      <c r="B3733" s="7" t="str">
        <f aca="false">HYPERLINK("https://twitter.com/KatherynYehudit","@KatherynYehudit")</f>
        <v>@KatherynYehudit</v>
      </c>
      <c r="C3733" s="8" t="s">
        <v>9069</v>
      </c>
      <c r="D3733" s="8" t="s">
        <v>9070</v>
      </c>
      <c r="E3733" s="9" t="str">
        <f aca="false">HYPERLINK("https://twitter.com/KatherynYehudit/status/922166967078879238","922166967078879238")</f>
        <v>922166967078879238</v>
      </c>
      <c r="F3733" s="10" t="s">
        <v>60</v>
      </c>
      <c r="G3733" s="10" t="n">
        <v>0</v>
      </c>
      <c r="H3733" s="10" t="n">
        <v>0</v>
      </c>
      <c r="I3733" s="10" t="n">
        <v>0</v>
      </c>
      <c r="J3733" s="10" t="n">
        <v>0</v>
      </c>
      <c r="K3733" s="10" t="s">
        <v>20</v>
      </c>
      <c r="L3733" s="11" t="n">
        <v>42982.1960185185</v>
      </c>
      <c r="M3733" s="12" t="s">
        <v>9034</v>
      </c>
      <c r="N3733" s="12" t="s">
        <v>9071</v>
      </c>
      <c r="O3733" s="9" t="str">
        <f aca="false">HYPERLINK("https://pbs.twimg.com/profile_images/909886176152109056/fTmAZfcG_normal.jpg","View")</f>
        <v>View</v>
      </c>
      <c r="P3733" s="10"/>
    </row>
    <row r="3734" customFormat="false" ht="15.75" hidden="false" customHeight="false" outlineLevel="0" collapsed="false">
      <c r="A3734" s="6" t="n">
        <v>43030.4758680556</v>
      </c>
      <c r="B3734" s="7" t="str">
        <f aca="false">HYPERLINK("https://twitter.com/ClorisGoran","@ClorisGoran")</f>
        <v>@ClorisGoran</v>
      </c>
      <c r="C3734" s="8" t="s">
        <v>9072</v>
      </c>
      <c r="D3734" s="8" t="s">
        <v>9073</v>
      </c>
      <c r="E3734" s="9" t="str">
        <f aca="false">HYPERLINK("https://twitter.com/ClorisGoran/status/922166978089029639","922166978089029639")</f>
        <v>922166978089029639</v>
      </c>
      <c r="F3734" s="10" t="s">
        <v>60</v>
      </c>
      <c r="G3734" s="10" t="n">
        <v>1</v>
      </c>
      <c r="H3734" s="10" t="n">
        <v>0</v>
      </c>
      <c r="I3734" s="10" t="n">
        <v>0</v>
      </c>
      <c r="J3734" s="10" t="n">
        <v>0</v>
      </c>
      <c r="K3734" s="10" t="s">
        <v>20</v>
      </c>
      <c r="L3734" s="11" t="n">
        <v>43021.9273263889</v>
      </c>
      <c r="M3734" s="12" t="s">
        <v>9034</v>
      </c>
      <c r="N3734" s="12" t="s">
        <v>8980</v>
      </c>
      <c r="O3734" s="9" t="str">
        <f aca="false">HYPERLINK("https://pbs.twimg.com/profile_images/920126559582748673/E9FnNIWB_normal.jpg","View")</f>
        <v>View</v>
      </c>
      <c r="P3734" s="10"/>
    </row>
    <row r="3735" customFormat="false" ht="15.75" hidden="false" customHeight="false" outlineLevel="0" collapsed="false">
      <c r="A3735" s="6" t="n">
        <v>43030.4758680556</v>
      </c>
      <c r="B3735" s="7" t="str">
        <f aca="false">HYPERLINK("https://twitter.com/jeffers75109741","@jeffers75109741")</f>
        <v>@jeffers75109741</v>
      </c>
      <c r="C3735" s="8" t="s">
        <v>9074</v>
      </c>
      <c r="D3735" s="8" t="s">
        <v>9075</v>
      </c>
      <c r="E3735" s="9" t="str">
        <f aca="false">HYPERLINK("https://twitter.com/jeffers75109741/status/922166978487369728","922166978487369728")</f>
        <v>922166978487369728</v>
      </c>
      <c r="F3735" s="10" t="s">
        <v>39</v>
      </c>
      <c r="G3735" s="10" t="n">
        <v>8</v>
      </c>
      <c r="H3735" s="10" t="n">
        <v>52</v>
      </c>
      <c r="I3735" s="10" t="n">
        <v>7</v>
      </c>
      <c r="J3735" s="10" t="n">
        <v>0</v>
      </c>
      <c r="K3735" s="10" t="s">
        <v>20</v>
      </c>
      <c r="L3735" s="11" t="n">
        <v>43020.2811111111</v>
      </c>
      <c r="M3735" s="12"/>
      <c r="N3735" s="12"/>
      <c r="O3735" s="9" t="str">
        <f aca="false">HYPERLINK("https://pbs.twimg.com/profile_images/920298934626426882/2opxO_ju_normal.jpg","View")</f>
        <v>View</v>
      </c>
      <c r="P3735" s="10"/>
    </row>
    <row r="3736" customFormat="false" ht="15.75" hidden="false" customHeight="false" outlineLevel="0" collapsed="false">
      <c r="A3736" s="6" t="n">
        <v>43030.4758680556</v>
      </c>
      <c r="B3736" s="7" t="str">
        <f aca="false">HYPERLINK("https://twitter.com/jzca1l","@jzca1l")</f>
        <v>@jzca1l</v>
      </c>
      <c r="C3736" s="8" t="s">
        <v>9076</v>
      </c>
      <c r="D3736" s="8" t="s">
        <v>9075</v>
      </c>
      <c r="E3736" s="9" t="str">
        <f aca="false">HYPERLINK("https://twitter.com/jzca1l/status/922166979166855168","922166979166855168")</f>
        <v>922166979166855168</v>
      </c>
      <c r="F3736" s="10" t="s">
        <v>39</v>
      </c>
      <c r="G3736" s="10" t="n">
        <v>12</v>
      </c>
      <c r="H3736" s="10" t="n">
        <v>45</v>
      </c>
      <c r="I3736" s="10" t="n">
        <v>7</v>
      </c>
      <c r="J3736" s="10" t="n">
        <v>0</v>
      </c>
      <c r="K3736" s="10" t="s">
        <v>20</v>
      </c>
      <c r="L3736" s="11" t="n">
        <v>43002.0697106482</v>
      </c>
      <c r="M3736" s="12" t="s">
        <v>9077</v>
      </c>
      <c r="N3736" s="12" t="s">
        <v>9078</v>
      </c>
      <c r="O3736" s="9" t="str">
        <f aca="false">HYPERLINK("https://pbs.twimg.com/profile_images/911873755105837056/GuymLny2_normal.jpg","View")</f>
        <v>View</v>
      </c>
      <c r="P3736" s="10"/>
    </row>
    <row r="3737" customFormat="false" ht="15.75" hidden="false" customHeight="false" outlineLevel="0" collapsed="false">
      <c r="A3737" s="6" t="n">
        <v>43030.4758796296</v>
      </c>
      <c r="B3737" s="7" t="str">
        <f aca="false">HYPERLINK("https://twitter.com/Uskeus","@Uskeus")</f>
        <v>@Uskeus</v>
      </c>
      <c r="C3737" s="8" t="s">
        <v>9079</v>
      </c>
      <c r="D3737" s="8" t="s">
        <v>9080</v>
      </c>
      <c r="E3737" s="9" t="str">
        <f aca="false">HYPERLINK("https://twitter.com/Uskeus/status/922166983004745728","922166983004745728")</f>
        <v>922166983004745728</v>
      </c>
      <c r="F3737" s="10" t="s">
        <v>60</v>
      </c>
      <c r="G3737" s="10" t="n">
        <v>5696</v>
      </c>
      <c r="H3737" s="10" t="n">
        <v>220</v>
      </c>
      <c r="I3737" s="10" t="n">
        <v>0</v>
      </c>
      <c r="J3737" s="10" t="n">
        <v>0</v>
      </c>
      <c r="K3737" s="10" t="s">
        <v>20</v>
      </c>
      <c r="L3737" s="11" t="n">
        <v>41205.6555208333</v>
      </c>
      <c r="M3737" s="12" t="s">
        <v>2102</v>
      </c>
      <c r="N3737" s="12" t="s">
        <v>9081</v>
      </c>
      <c r="O3737" s="9" t="str">
        <f aca="false">HYPERLINK("https://pbs.twimg.com/profile_images/846077056089837570/9DcO0UTl_normal.jpg","View")</f>
        <v>View</v>
      </c>
      <c r="P3737" s="10"/>
    </row>
    <row r="3738" customFormat="false" ht="15.75" hidden="false" customHeight="false" outlineLevel="0" collapsed="false">
      <c r="A3738" s="6" t="n">
        <v>43030.4758912037</v>
      </c>
      <c r="B3738" s="7" t="str">
        <f aca="false">HYPERLINK("https://twitter.com/dianahamilton92","@dianahamilton92")</f>
        <v>@dianahamilton92</v>
      </c>
      <c r="C3738" s="8" t="s">
        <v>9082</v>
      </c>
      <c r="D3738" s="8" t="s">
        <v>9083</v>
      </c>
      <c r="E3738" s="9" t="str">
        <f aca="false">HYPERLINK("https://twitter.com/dianahamilton92/status/922166985777172481","922166985777172481")</f>
        <v>922166985777172481</v>
      </c>
      <c r="F3738" s="10" t="s">
        <v>60</v>
      </c>
      <c r="G3738" s="10" t="n">
        <v>1</v>
      </c>
      <c r="H3738" s="10" t="n">
        <v>22</v>
      </c>
      <c r="I3738" s="10" t="n">
        <v>0</v>
      </c>
      <c r="J3738" s="10" t="n">
        <v>0</v>
      </c>
      <c r="K3738" s="10" t="s">
        <v>20</v>
      </c>
      <c r="L3738" s="11" t="n">
        <v>42950.9803935185</v>
      </c>
      <c r="M3738" s="12"/>
      <c r="N3738" s="12"/>
      <c r="O3738" s="9" t="str">
        <f aca="false">HYPERLINK("https://pbs.twimg.com/profile_images/907199168904437761/qX4ANjs9_normal.jpg","View")</f>
        <v>View</v>
      </c>
      <c r="P3738" s="10"/>
    </row>
    <row r="3739" customFormat="false" ht="15.75" hidden="false" customHeight="false" outlineLevel="0" collapsed="false">
      <c r="A3739" s="6" t="n">
        <v>43030.4759259259</v>
      </c>
      <c r="B3739" s="7" t="str">
        <f aca="false">HYPERLINK("https://twitter.com/rudolph_lucinda","@rudolph_lucinda")</f>
        <v>@rudolph_lucinda</v>
      </c>
      <c r="C3739" s="8" t="s">
        <v>9084</v>
      </c>
      <c r="D3739" s="8" t="s">
        <v>9085</v>
      </c>
      <c r="E3739" s="9" t="str">
        <f aca="false">HYPERLINK("https://twitter.com/rudolph_lucinda/status/922167001610584064","922167001610584064")</f>
        <v>922167001610584064</v>
      </c>
      <c r="F3739" s="10" t="s">
        <v>60</v>
      </c>
      <c r="G3739" s="10" t="n">
        <v>9</v>
      </c>
      <c r="H3739" s="10" t="n">
        <v>39</v>
      </c>
      <c r="I3739" s="10" t="n">
        <v>0</v>
      </c>
      <c r="J3739" s="10" t="n">
        <v>0</v>
      </c>
      <c r="K3739" s="10" t="s">
        <v>20</v>
      </c>
      <c r="L3739" s="11" t="n">
        <v>42364.1720949074</v>
      </c>
      <c r="M3739" s="12" t="s">
        <v>9086</v>
      </c>
      <c r="N3739" s="12" t="s">
        <v>9087</v>
      </c>
      <c r="O3739" s="9" t="str">
        <f aca="false">HYPERLINK("https://pbs.twimg.com/profile_images/700282959694180352/d-cntike_normal.png","View")</f>
        <v>View</v>
      </c>
      <c r="P3739" s="10"/>
    </row>
    <row r="3740" customFormat="false" ht="15.75" hidden="false" customHeight="false" outlineLevel="0" collapsed="false">
      <c r="A3740" s="6" t="n">
        <v>43030.4759375</v>
      </c>
      <c r="B3740" s="7" t="str">
        <f aca="false">HYPERLINK("https://twitter.com/tammieachu","@tammieachu")</f>
        <v>@tammieachu</v>
      </c>
      <c r="C3740" s="8" t="s">
        <v>9088</v>
      </c>
      <c r="D3740" s="8" t="s">
        <v>9089</v>
      </c>
      <c r="E3740" s="9" t="str">
        <f aca="false">HYPERLINK("https://twitter.com/tammieachu/status/922167004253040640","922167004253040640")</f>
        <v>922167004253040640</v>
      </c>
      <c r="F3740" s="10" t="s">
        <v>60</v>
      </c>
      <c r="G3740" s="10" t="n">
        <v>0</v>
      </c>
      <c r="H3740" s="10" t="n">
        <v>8</v>
      </c>
      <c r="I3740" s="10" t="n">
        <v>0</v>
      </c>
      <c r="J3740" s="10" t="n">
        <v>0</v>
      </c>
      <c r="K3740" s="10" t="s">
        <v>20</v>
      </c>
      <c r="L3740" s="11" t="n">
        <v>42933.8970023148</v>
      </c>
      <c r="M3740" s="12" t="s">
        <v>5500</v>
      </c>
      <c r="N3740" s="12" t="s">
        <v>9090</v>
      </c>
      <c r="O3740" s="9" t="str">
        <f aca="false">HYPERLINK("https://pbs.twimg.com/profile_images/894756827560202240/w2aToBQv_normal.jpg","View")</f>
        <v>View</v>
      </c>
      <c r="P3740" s="10"/>
    </row>
    <row r="3741" customFormat="false" ht="15.75" hidden="false" customHeight="false" outlineLevel="0" collapsed="false">
      <c r="A3741" s="6" t="n">
        <v>43030.4759490741</v>
      </c>
      <c r="B3741" s="7" t="str">
        <f aca="false">HYPERLINK("https://twitter.com/riotta","@riotta")</f>
        <v>@riotta</v>
      </c>
      <c r="C3741" s="8" t="s">
        <v>8906</v>
      </c>
      <c r="D3741" s="8" t="s">
        <v>9091</v>
      </c>
      <c r="E3741" s="9" t="str">
        <f aca="false">HYPERLINK("https://twitter.com/riotta/status/922167009265225728","922167009265225728")</f>
        <v>922167009265225728</v>
      </c>
      <c r="F3741" s="10" t="s">
        <v>39</v>
      </c>
      <c r="G3741" s="10" t="n">
        <v>269640</v>
      </c>
      <c r="H3741" s="10" t="n">
        <v>2343</v>
      </c>
      <c r="I3741" s="10" t="n">
        <v>1</v>
      </c>
      <c r="J3741" s="10" t="n">
        <v>3</v>
      </c>
      <c r="K3741" s="10" t="s">
        <v>20</v>
      </c>
      <c r="L3741" s="11" t="n">
        <v>40069.576412037</v>
      </c>
      <c r="M3741" s="12"/>
      <c r="N3741" s="12" t="s">
        <v>8908</v>
      </c>
      <c r="O3741" s="9" t="str">
        <f aca="false">HYPERLINK("https://pbs.twimg.com/profile_images/847443214776717317/kgeNYZIP_normal.jpg","View")</f>
        <v>View</v>
      </c>
      <c r="P3741" s="10"/>
    </row>
    <row r="3742" customFormat="false" ht="15.75" hidden="false" customHeight="false" outlineLevel="0" collapsed="false">
      <c r="A3742" s="6" t="n">
        <v>43030.4760300926</v>
      </c>
      <c r="B3742" s="7" t="str">
        <f aca="false">HYPERLINK("https://twitter.com/dianemiller730l","@dianemiller730l")</f>
        <v>@dianemiller730l</v>
      </c>
      <c r="C3742" s="8" t="s">
        <v>9092</v>
      </c>
      <c r="D3742" s="8" t="s">
        <v>9093</v>
      </c>
      <c r="E3742" s="9" t="str">
        <f aca="false">HYPERLINK("https://twitter.com/dianemiller730l/status/922167039200030721","922167039200030721")</f>
        <v>922167039200030721</v>
      </c>
      <c r="F3742" s="10" t="s">
        <v>60</v>
      </c>
      <c r="G3742" s="10" t="n">
        <v>0</v>
      </c>
      <c r="H3742" s="10" t="n">
        <v>0</v>
      </c>
      <c r="I3742" s="10" t="n">
        <v>0</v>
      </c>
      <c r="J3742" s="10" t="n">
        <v>0</v>
      </c>
      <c r="K3742" s="10" t="s">
        <v>20</v>
      </c>
      <c r="L3742" s="11" t="n">
        <v>42950.9207986111</v>
      </c>
      <c r="M3742" s="12"/>
      <c r="N3742" s="12"/>
      <c r="O3742" s="9" t="str">
        <f aca="false">HYPERLINK("https://pbs.twimg.com/profile_images/905805544614543361/cq5pisvF_normal.jpg","View")</f>
        <v>View</v>
      </c>
      <c r="P3742" s="10"/>
    </row>
    <row r="3743" customFormat="false" ht="15.75" hidden="false" customHeight="false" outlineLevel="0" collapsed="false">
      <c r="A3743" s="6" t="n">
        <v>43030.4760648148</v>
      </c>
      <c r="B3743" s="7" t="str">
        <f aca="false">HYPERLINK("https://twitter.com/mariawalsh83u","@mariawalsh83u")</f>
        <v>@mariawalsh83u</v>
      </c>
      <c r="C3743" s="8" t="s">
        <v>9094</v>
      </c>
      <c r="D3743" s="8" t="s">
        <v>9095</v>
      </c>
      <c r="E3743" s="9" t="str">
        <f aca="false">HYPERLINK("https://twitter.com/mariawalsh83u/status/922167051237625858","922167051237625858")</f>
        <v>922167051237625858</v>
      </c>
      <c r="F3743" s="10" t="s">
        <v>60</v>
      </c>
      <c r="G3743" s="10" t="n">
        <v>2</v>
      </c>
      <c r="H3743" s="10" t="n">
        <v>24</v>
      </c>
      <c r="I3743" s="10" t="n">
        <v>0</v>
      </c>
      <c r="J3743" s="10" t="n">
        <v>0</v>
      </c>
      <c r="K3743" s="10" t="s">
        <v>20</v>
      </c>
      <c r="L3743" s="11" t="n">
        <v>42950.9426041667</v>
      </c>
      <c r="M3743" s="12"/>
      <c r="N3743" s="12"/>
      <c r="O3743" s="9" t="str">
        <f aca="false">HYPERLINK("https://pbs.twimg.com/profile_images/906657671339577344/P1vPdiKR_normal.jpg","View")</f>
        <v>View</v>
      </c>
      <c r="P3743" s="10"/>
    </row>
    <row r="3744" customFormat="false" ht="15.75" hidden="false" customHeight="false" outlineLevel="0" collapsed="false">
      <c r="A3744" s="6" t="n">
        <v>43030.4761111111</v>
      </c>
      <c r="B3744" s="7" t="str">
        <f aca="false">HYPERLINK("https://twitter.com/Global____News","@Global____News")</f>
        <v>@Global____News</v>
      </c>
      <c r="C3744" s="8" t="s">
        <v>9096</v>
      </c>
      <c r="D3744" s="8" t="s">
        <v>9097</v>
      </c>
      <c r="E3744" s="9" t="str">
        <f aca="false">HYPERLINK("https://twitter.com/Global____News/status/922167068233003011","922167068233003011")</f>
        <v>922167068233003011</v>
      </c>
      <c r="F3744" s="10" t="s">
        <v>60</v>
      </c>
      <c r="G3744" s="10" t="n">
        <v>5783</v>
      </c>
      <c r="H3744" s="10" t="n">
        <v>2903</v>
      </c>
      <c r="I3744" s="10" t="n">
        <v>0</v>
      </c>
      <c r="J3744" s="10" t="n">
        <v>0</v>
      </c>
      <c r="K3744" s="10" t="s">
        <v>20</v>
      </c>
      <c r="L3744" s="11" t="n">
        <v>42003.5207523148</v>
      </c>
      <c r="M3744" s="12" t="s">
        <v>9098</v>
      </c>
      <c r="N3744" s="12" t="s">
        <v>9099</v>
      </c>
      <c r="O3744" s="9" t="str">
        <f aca="false">HYPERLINK("https://pbs.twimg.com/profile_images/553154855804481537/PP1npsIT_normal.jpeg","View")</f>
        <v>View</v>
      </c>
      <c r="P3744" s="10"/>
    </row>
    <row r="3745" customFormat="false" ht="15.75" hidden="false" customHeight="false" outlineLevel="0" collapsed="false">
      <c r="A3745" s="6" t="n">
        <v>43030.4761574074</v>
      </c>
      <c r="B3745" s="7" t="str">
        <f aca="false">HYPERLINK("https://twitter.com/crosspam151g","@crosspam151g")</f>
        <v>@crosspam151g</v>
      </c>
      <c r="C3745" s="8" t="s">
        <v>9100</v>
      </c>
      <c r="D3745" s="8" t="s">
        <v>9101</v>
      </c>
      <c r="E3745" s="9" t="str">
        <f aca="false">HYPERLINK("https://twitter.com/crosspam151g/status/922167082153840641","922167082153840641")</f>
        <v>922167082153840641</v>
      </c>
      <c r="F3745" s="10" t="s">
        <v>60</v>
      </c>
      <c r="G3745" s="10" t="n">
        <v>0</v>
      </c>
      <c r="H3745" s="10" t="n">
        <v>44</v>
      </c>
      <c r="I3745" s="10" t="n">
        <v>0</v>
      </c>
      <c r="J3745" s="10" t="n">
        <v>0</v>
      </c>
      <c r="K3745" s="10" t="s">
        <v>20</v>
      </c>
      <c r="L3745" s="11" t="n">
        <v>42950.9390046296</v>
      </c>
      <c r="M3745" s="12"/>
      <c r="N3745" s="12"/>
      <c r="O3745" s="9" t="str">
        <f aca="false">HYPERLINK("https://pbs.twimg.com/profile_images/902093764692295680/I3MGJt7R_normal.jpg","View")</f>
        <v>View</v>
      </c>
      <c r="P3745" s="10"/>
    </row>
    <row r="3746" customFormat="false" ht="15.75" hidden="false" customHeight="false" outlineLevel="0" collapsed="false">
      <c r="A3746" s="6" t="n">
        <v>43030.4763773148</v>
      </c>
      <c r="B3746" s="7" t="str">
        <f aca="false">HYPERLINK("https://twitter.com/patels_ca","@patels_ca")</f>
        <v>@patels_ca</v>
      </c>
      <c r="C3746" s="8" t="s">
        <v>9102</v>
      </c>
      <c r="D3746" s="8" t="s">
        <v>8538</v>
      </c>
      <c r="E3746" s="9" t="str">
        <f aca="false">HYPERLINK("https://twitter.com/patels_ca/status/922167162915004416","922167162915004416")</f>
        <v>922167162915004416</v>
      </c>
      <c r="F3746" s="10" t="s">
        <v>25</v>
      </c>
      <c r="G3746" s="10" t="n">
        <v>66</v>
      </c>
      <c r="H3746" s="10" t="n">
        <v>42</v>
      </c>
      <c r="I3746" s="10" t="n">
        <v>1015</v>
      </c>
      <c r="J3746" s="10" t="n">
        <v>0</v>
      </c>
      <c r="K3746" s="10" t="s">
        <v>20</v>
      </c>
      <c r="L3746" s="11" t="n">
        <v>40321.5327893519</v>
      </c>
      <c r="M3746" s="12"/>
      <c r="N3746" s="12" t="s">
        <v>9103</v>
      </c>
      <c r="O3746" s="9" t="str">
        <f aca="false">HYPERLINK("https://abs.twimg.com/sticky/default_profile_images/default_profile_normal.png","View")</f>
        <v>View</v>
      </c>
      <c r="P3746" s="10"/>
    </row>
    <row r="3747" customFormat="false" ht="15.75" hidden="false" customHeight="false" outlineLevel="0" collapsed="false">
      <c r="A3747" s="6" t="n">
        <v>43030.476400463</v>
      </c>
      <c r="B3747" s="7" t="str">
        <f aca="false">HYPERLINK("https://twitter.com/krunox123","@krunox123")</f>
        <v>@krunox123</v>
      </c>
      <c r="C3747" s="8" t="s">
        <v>1049</v>
      </c>
      <c r="D3747" s="8" t="s">
        <v>9104</v>
      </c>
      <c r="E3747" s="9" t="str">
        <f aca="false">HYPERLINK("https://twitter.com/krunox123/status/922167172125855747","922167172125855747")</f>
        <v>922167172125855747</v>
      </c>
      <c r="F3747" s="10" t="s">
        <v>60</v>
      </c>
      <c r="G3747" s="10" t="n">
        <v>10225</v>
      </c>
      <c r="H3747" s="10" t="n">
        <v>2</v>
      </c>
      <c r="I3747" s="10" t="n">
        <v>0</v>
      </c>
      <c r="J3747" s="10" t="n">
        <v>0</v>
      </c>
      <c r="K3747" s="10" t="s">
        <v>20</v>
      </c>
      <c r="L3747" s="11" t="n">
        <v>40938.2278935185</v>
      </c>
      <c r="M3747" s="12" t="s">
        <v>1051</v>
      </c>
      <c r="N3747" s="12" t="s">
        <v>1052</v>
      </c>
      <c r="O3747" s="9" t="str">
        <f aca="false">HYPERLINK("https://pbs.twimg.com/profile_images/824952382618349568/2SFIkM2x_normal.jpg","View")</f>
        <v>View</v>
      </c>
      <c r="P3747" s="10"/>
    </row>
    <row r="3748" customFormat="false" ht="15.75" hidden="false" customHeight="false" outlineLevel="0" collapsed="false">
      <c r="A3748" s="6" t="n">
        <v>43030.4764236111</v>
      </c>
      <c r="B3748" s="7" t="str">
        <f aca="false">HYPERLINK("https://twitter.com/ClaireS94618552","@ClaireS94618552")</f>
        <v>@ClaireS94618552</v>
      </c>
      <c r="C3748" s="8" t="s">
        <v>9105</v>
      </c>
      <c r="D3748" s="8" t="s">
        <v>9106</v>
      </c>
      <c r="E3748" s="9" t="str">
        <f aca="false">HYPERLINK("https://twitter.com/ClaireS94618552/status/922167180933857280","922167180933857280")</f>
        <v>922167180933857280</v>
      </c>
      <c r="F3748" s="10" t="s">
        <v>60</v>
      </c>
      <c r="G3748" s="10" t="n">
        <v>0</v>
      </c>
      <c r="H3748" s="10" t="n">
        <v>0</v>
      </c>
      <c r="I3748" s="10" t="n">
        <v>0</v>
      </c>
      <c r="J3748" s="10" t="n">
        <v>0</v>
      </c>
      <c r="K3748" s="10" t="s">
        <v>20</v>
      </c>
      <c r="L3748" s="11" t="n">
        <v>42950.9724421296</v>
      </c>
      <c r="M3748" s="12"/>
      <c r="N3748" s="12"/>
      <c r="O3748" s="9" t="str">
        <f aca="false">HYPERLINK("https://pbs.twimg.com/profile_images/906873470214062080/NaZVCqMo_normal.jpg","View")</f>
        <v>View</v>
      </c>
      <c r="P3748" s="10"/>
    </row>
    <row r="3749" customFormat="false" ht="15.75" hidden="false" customHeight="false" outlineLevel="0" collapsed="false">
      <c r="A3749" s="6" t="n">
        <v>43030.4764467593</v>
      </c>
      <c r="B3749" s="7" t="str">
        <f aca="false">HYPERLINK("https://twitter.com/sanderhalls","@sanderhalls")</f>
        <v>@sanderhalls</v>
      </c>
      <c r="C3749" s="8" t="s">
        <v>9107</v>
      </c>
      <c r="D3749" s="8" t="s">
        <v>9108</v>
      </c>
      <c r="E3749" s="9" t="str">
        <f aca="false">HYPERLINK("https://twitter.com/sanderhalls/status/922167189381287942","922167189381287942")</f>
        <v>922167189381287942</v>
      </c>
      <c r="F3749" s="10" t="s">
        <v>60</v>
      </c>
      <c r="G3749" s="10" t="n">
        <v>1</v>
      </c>
      <c r="H3749" s="10" t="n">
        <v>8</v>
      </c>
      <c r="I3749" s="10" t="n">
        <v>0</v>
      </c>
      <c r="J3749" s="10" t="n">
        <v>0</v>
      </c>
      <c r="K3749" s="10" t="s">
        <v>20</v>
      </c>
      <c r="L3749" s="11" t="n">
        <v>42933.9033333333</v>
      </c>
      <c r="M3749" s="12" t="s">
        <v>230</v>
      </c>
      <c r="N3749" s="12" t="s">
        <v>9109</v>
      </c>
      <c r="O3749" s="9" t="str">
        <f aca="false">HYPERLINK("https://pbs.twimg.com/profile_images/895613773645402112/7AZlAt2D_normal.jpg","View")</f>
        <v>View</v>
      </c>
      <c r="P3749" s="10"/>
    </row>
    <row r="3750" customFormat="false" ht="15.75" hidden="false" customHeight="false" outlineLevel="0" collapsed="false">
      <c r="A3750" s="6" t="n">
        <v>43030.4764814815</v>
      </c>
      <c r="B3750" s="7" t="str">
        <f aca="false">HYPERLINK("https://twitter.com/latimesfirehose","@latimesfirehose")</f>
        <v>@latimesfirehose</v>
      </c>
      <c r="C3750" s="8" t="s">
        <v>9110</v>
      </c>
      <c r="D3750" s="8" t="s">
        <v>9111</v>
      </c>
      <c r="E3750" s="9" t="str">
        <f aca="false">HYPERLINK("https://twitter.com/latimesfirehose/status/922167201066446848","922167201066446848")</f>
        <v>922167201066446848</v>
      </c>
      <c r="F3750" s="9" t="s">
        <v>1147</v>
      </c>
      <c r="G3750" s="10" t="n">
        <v>4117</v>
      </c>
      <c r="H3750" s="10" t="n">
        <v>72</v>
      </c>
      <c r="I3750" s="10" t="n">
        <v>0</v>
      </c>
      <c r="J3750" s="10" t="n">
        <v>0</v>
      </c>
      <c r="K3750" s="10" t="s">
        <v>20</v>
      </c>
      <c r="L3750" s="11" t="n">
        <v>39788.0264467593</v>
      </c>
      <c r="M3750" s="12" t="s">
        <v>752</v>
      </c>
      <c r="N3750" s="12" t="s">
        <v>9112</v>
      </c>
      <c r="O3750" s="9" t="str">
        <f aca="false">HYPERLINK("https://pbs.twimg.com/profile_images/547146220443926528/mXEhNhBA_normal.jpeg","View")</f>
        <v>View</v>
      </c>
      <c r="P3750" s="10"/>
    </row>
    <row r="3751" customFormat="false" ht="15.75" hidden="false" customHeight="false" outlineLevel="0" collapsed="false">
      <c r="A3751" s="6" t="n">
        <v>43030.4764814815</v>
      </c>
      <c r="B3751" s="7" t="str">
        <f aca="false">HYPERLINK("https://twitter.com/prems68","@prems68")</f>
        <v>@prems68</v>
      </c>
      <c r="C3751" s="8" t="s">
        <v>9113</v>
      </c>
      <c r="D3751" s="8" t="s">
        <v>8538</v>
      </c>
      <c r="E3751" s="9" t="str">
        <f aca="false">HYPERLINK("https://twitter.com/prems68/status/922167202584805376","922167202584805376")</f>
        <v>922167202584805376</v>
      </c>
      <c r="F3751" s="10" t="s">
        <v>25</v>
      </c>
      <c r="G3751" s="10" t="n">
        <v>47</v>
      </c>
      <c r="H3751" s="10" t="n">
        <v>556</v>
      </c>
      <c r="I3751" s="10" t="n">
        <v>1015</v>
      </c>
      <c r="J3751" s="10" t="n">
        <v>0</v>
      </c>
      <c r="K3751" s="10" t="s">
        <v>20</v>
      </c>
      <c r="L3751" s="11" t="n">
        <v>40075.1715277778</v>
      </c>
      <c r="M3751" s="12" t="s">
        <v>9114</v>
      </c>
      <c r="N3751" s="12" t="s">
        <v>9115</v>
      </c>
      <c r="O3751" s="9" t="str">
        <f aca="false">HYPERLINK("https://pbs.twimg.com/profile_images/1144486619/prem_normal.jpg","View")</f>
        <v>View</v>
      </c>
      <c r="P3751" s="10"/>
    </row>
    <row r="3752" customFormat="false" ht="15.75" hidden="false" customHeight="false" outlineLevel="0" collapsed="false">
      <c r="A3752" s="6" t="n">
        <v>43030.4764930556</v>
      </c>
      <c r="B3752" s="7" t="str">
        <f aca="false">HYPERLINK("https://twitter.com/AsianTheatre","@AsianTheatre")</f>
        <v>@AsianTheatre</v>
      </c>
      <c r="C3752" s="8" t="s">
        <v>9116</v>
      </c>
      <c r="D3752" s="8" t="s">
        <v>9117</v>
      </c>
      <c r="E3752" s="9" t="str">
        <f aca="false">HYPERLINK("https://twitter.com/AsianTheatre/status/922167205088804865","922167205088804865")</f>
        <v>922167205088804865</v>
      </c>
      <c r="F3752" s="9" t="s">
        <v>1147</v>
      </c>
      <c r="G3752" s="10" t="n">
        <v>1696</v>
      </c>
      <c r="H3752" s="10" t="n">
        <v>1741</v>
      </c>
      <c r="I3752" s="10" t="n">
        <v>0</v>
      </c>
      <c r="J3752" s="10" t="n">
        <v>0</v>
      </c>
      <c r="K3752" s="10" t="s">
        <v>20</v>
      </c>
      <c r="L3752" s="11" t="n">
        <v>39884.6336921296</v>
      </c>
      <c r="M3752" s="12" t="s">
        <v>752</v>
      </c>
      <c r="N3752" s="12" t="s">
        <v>9118</v>
      </c>
      <c r="O3752" s="9" t="str">
        <f aca="false">HYPERLINK("https://pbs.twimg.com/profile_images/828708955949932544/xMF3ysN-_normal.jpg","View")</f>
        <v>View</v>
      </c>
      <c r="P3752" s="10"/>
    </row>
    <row r="3753" customFormat="false" ht="15.75" hidden="false" customHeight="false" outlineLevel="0" collapsed="false">
      <c r="A3753" s="6" t="n">
        <v>43030.4765277778</v>
      </c>
      <c r="B3753" s="7" t="str">
        <f aca="false">HYPERLINK("https://twitter.com/BGanduri","@BGanduri")</f>
        <v>@BGanduri</v>
      </c>
      <c r="C3753" s="8" t="s">
        <v>9119</v>
      </c>
      <c r="D3753" s="8" t="s">
        <v>7350</v>
      </c>
      <c r="E3753" s="9" t="str">
        <f aca="false">HYPERLINK("https://twitter.com/BGanduri/status/922167216157667331","922167216157667331")</f>
        <v>922167216157667331</v>
      </c>
      <c r="F3753" s="10" t="s">
        <v>51</v>
      </c>
      <c r="G3753" s="10" t="n">
        <v>170</v>
      </c>
      <c r="H3753" s="10" t="n">
        <v>183</v>
      </c>
      <c r="I3753" s="10" t="n">
        <v>62</v>
      </c>
      <c r="J3753" s="10" t="n">
        <v>0</v>
      </c>
      <c r="K3753" s="10" t="s">
        <v>20</v>
      </c>
      <c r="L3753" s="11" t="n">
        <v>40107.217349537</v>
      </c>
      <c r="M3753" s="12" t="s">
        <v>6635</v>
      </c>
      <c r="N3753" s="12" t="s">
        <v>9120</v>
      </c>
      <c r="O3753" s="9" t="str">
        <f aca="false">HYPERLINK("https://pbs.twimg.com/profile_images/891606282720772097/sa2rI8-H_normal.jpg","View")</f>
        <v>View</v>
      </c>
      <c r="P3753" s="10"/>
    </row>
    <row r="3754" customFormat="false" ht="15.75" hidden="false" customHeight="false" outlineLevel="0" collapsed="false">
      <c r="A3754" s="6" t="n">
        <v>43030.4765393518</v>
      </c>
      <c r="B3754" s="7" t="str">
        <f aca="false">HYPERLINK("https://twitter.com/WorldNews7777","@WorldNews7777")</f>
        <v>@WorldNews7777</v>
      </c>
      <c r="C3754" s="8" t="s">
        <v>1749</v>
      </c>
      <c r="D3754" s="8" t="s">
        <v>9121</v>
      </c>
      <c r="E3754" s="9" t="str">
        <f aca="false">HYPERLINK("https://twitter.com/WorldNews7777/status/922167222864408586","922167222864408586")</f>
        <v>922167222864408586</v>
      </c>
      <c r="F3754" s="10" t="s">
        <v>60</v>
      </c>
      <c r="G3754" s="10" t="n">
        <v>6456</v>
      </c>
      <c r="H3754" s="10" t="n">
        <v>6318</v>
      </c>
      <c r="I3754" s="10" t="n">
        <v>0</v>
      </c>
      <c r="J3754" s="10" t="n">
        <v>0</v>
      </c>
      <c r="K3754" s="10" t="s">
        <v>20</v>
      </c>
      <c r="L3754" s="11" t="n">
        <v>42489.1319444444</v>
      </c>
      <c r="M3754" s="12" t="s">
        <v>230</v>
      </c>
      <c r="N3754" s="12" t="s">
        <v>1751</v>
      </c>
      <c r="O3754" s="9" t="str">
        <f aca="false">HYPERLINK("https://pbs.twimg.com/profile_images/736884749566889984/BtAvBgS4_normal.jpg","View")</f>
        <v>View</v>
      </c>
      <c r="P3754" s="10"/>
    </row>
    <row r="3755" customFormat="false" ht="15.75" hidden="false" customHeight="false" outlineLevel="0" collapsed="false">
      <c r="A3755" s="6" t="n">
        <v>43030.4765509259</v>
      </c>
      <c r="B3755" s="7" t="str">
        <f aca="false">HYPERLINK("https://twitter.com/piyushkaul","@piyushkaul")</f>
        <v>@piyushkaul</v>
      </c>
      <c r="C3755" s="8" t="s">
        <v>9122</v>
      </c>
      <c r="D3755" s="8" t="s">
        <v>8538</v>
      </c>
      <c r="E3755" s="9" t="str">
        <f aca="false">HYPERLINK("https://twitter.com/piyushkaul/status/922167228149071872","922167228149071872")</f>
        <v>922167228149071872</v>
      </c>
      <c r="F3755" s="10" t="s">
        <v>51</v>
      </c>
      <c r="G3755" s="10" t="n">
        <v>770</v>
      </c>
      <c r="H3755" s="10" t="n">
        <v>943</v>
      </c>
      <c r="I3755" s="10" t="n">
        <v>1015</v>
      </c>
      <c r="J3755" s="10" t="n">
        <v>0</v>
      </c>
      <c r="K3755" s="10" t="s">
        <v>20</v>
      </c>
      <c r="L3755" s="11" t="n">
        <v>40160.4592939815</v>
      </c>
      <c r="M3755" s="12" t="s">
        <v>87</v>
      </c>
      <c r="N3755" s="12" t="s">
        <v>9123</v>
      </c>
      <c r="O3755" s="9" t="str">
        <f aca="false">HYPERLINK("https://pbs.twimg.com/profile_images/868763443486113792/PNXsTYIj_normal.jpg","View")</f>
        <v>View</v>
      </c>
      <c r="P3755" s="10"/>
    </row>
    <row r="3756" customFormat="false" ht="15.75" hidden="false" customHeight="false" outlineLevel="0" collapsed="false">
      <c r="A3756" s="6" t="n">
        <v>43030.476724537</v>
      </c>
      <c r="B3756" s="7" t="str">
        <f aca="false">HYPERLINK("https://twitter.com/nelly_hoover","@nelly_hoover")</f>
        <v>@nelly_hoover</v>
      </c>
      <c r="C3756" s="8" t="s">
        <v>9124</v>
      </c>
      <c r="D3756" s="8" t="s">
        <v>9125</v>
      </c>
      <c r="E3756" s="9" t="str">
        <f aca="false">HYPERLINK("https://twitter.com/nelly_hoover/status/922167288807206912","922167288807206912")</f>
        <v>922167288807206912</v>
      </c>
      <c r="F3756" s="10" t="s">
        <v>60</v>
      </c>
      <c r="G3756" s="10" t="n">
        <v>1</v>
      </c>
      <c r="H3756" s="10" t="n">
        <v>0</v>
      </c>
      <c r="I3756" s="10" t="n">
        <v>0</v>
      </c>
      <c r="J3756" s="10" t="n">
        <v>0</v>
      </c>
      <c r="K3756" s="10" t="s">
        <v>20</v>
      </c>
      <c r="L3756" s="11" t="n">
        <v>42985.0135763889</v>
      </c>
      <c r="M3756" s="12"/>
      <c r="N3756" s="12" t="s">
        <v>9126</v>
      </c>
      <c r="O3756" s="9" t="str">
        <f aca="false">HYPERLINK("https://pbs.twimg.com/profile_images/911755837403676672/ghOGPF7V_normal.jpg","View")</f>
        <v>View</v>
      </c>
      <c r="P3756" s="10"/>
    </row>
    <row r="3757" customFormat="false" ht="15.75" hidden="false" customHeight="false" outlineLevel="0" collapsed="false">
      <c r="A3757" s="6" t="n">
        <v>43030.4767708333</v>
      </c>
      <c r="B3757" s="7" t="str">
        <f aca="false">HYPERLINK("https://twitter.com/latimesworld","@latimesworld")</f>
        <v>@latimesworld</v>
      </c>
      <c r="C3757" s="8" t="s">
        <v>9127</v>
      </c>
      <c r="D3757" s="8" t="s">
        <v>9128</v>
      </c>
      <c r="E3757" s="9" t="str">
        <f aca="false">HYPERLINK("https://twitter.com/latimesworld/status/922167305911406592","922167305911406592")</f>
        <v>922167305911406592</v>
      </c>
      <c r="F3757" s="9" t="s">
        <v>1147</v>
      </c>
      <c r="G3757" s="10" t="n">
        <v>95586</v>
      </c>
      <c r="H3757" s="10" t="n">
        <v>1302</v>
      </c>
      <c r="I3757" s="10" t="n">
        <v>2</v>
      </c>
      <c r="J3757" s="10" t="n">
        <v>0</v>
      </c>
      <c r="K3757" s="10" t="s">
        <v>20</v>
      </c>
      <c r="L3757" s="11" t="n">
        <v>39394.5844907407</v>
      </c>
      <c r="M3757" s="12" t="s">
        <v>6917</v>
      </c>
      <c r="N3757" s="12" t="s">
        <v>9129</v>
      </c>
      <c r="O3757" s="9" t="str">
        <f aca="false">HYPERLINK("https://pbs.twimg.com/profile_images/547143862561427456/7bEZeSrZ_normal.jpeg","View")</f>
        <v>View</v>
      </c>
      <c r="P3757" s="10"/>
    </row>
    <row r="3758" customFormat="false" ht="15.75" hidden="false" customHeight="false" outlineLevel="0" collapsed="false">
      <c r="A3758" s="6" t="n">
        <v>43030.4768171296</v>
      </c>
      <c r="B3758" s="7" t="str">
        <f aca="false">HYPERLINK("https://twitter.com/usanews2017","@usanews2017")</f>
        <v>@usanews2017</v>
      </c>
      <c r="C3758" s="8" t="s">
        <v>9130</v>
      </c>
      <c r="D3758" s="8" t="s">
        <v>9131</v>
      </c>
      <c r="E3758" s="9" t="str">
        <f aca="false">HYPERLINK("https://twitter.com/usanews2017/status/922167324735553536","922167324735553536")</f>
        <v>922167324735553536</v>
      </c>
      <c r="F3758" s="9" t="s">
        <v>1147</v>
      </c>
      <c r="G3758" s="10" t="n">
        <v>543</v>
      </c>
      <c r="H3758" s="10" t="n">
        <v>1913</v>
      </c>
      <c r="I3758" s="10" t="n">
        <v>0</v>
      </c>
      <c r="J3758" s="10" t="n">
        <v>0</v>
      </c>
      <c r="K3758" s="10" t="s">
        <v>20</v>
      </c>
      <c r="L3758" s="11" t="n">
        <v>41730.6495486111</v>
      </c>
      <c r="M3758" s="12" t="s">
        <v>2217</v>
      </c>
      <c r="N3758" s="12" t="s">
        <v>9132</v>
      </c>
      <c r="O3758" s="9" t="str">
        <f aca="false">HYPERLINK("https://pbs.twimg.com/profile_images/879123056215633920/3YLTJBnm_normal.jpg","View")</f>
        <v>View</v>
      </c>
      <c r="P3758" s="10"/>
    </row>
    <row r="3759" customFormat="false" ht="15.75" hidden="false" customHeight="false" outlineLevel="0" collapsed="false">
      <c r="A3759" s="6" t="n">
        <v>43030.4768518519</v>
      </c>
      <c r="B3759" s="7" t="str">
        <f aca="false">HYPERLINK("https://twitter.com/SNavani26","@SNavani26")</f>
        <v>@SNavani26</v>
      </c>
      <c r="C3759" s="8" t="s">
        <v>9133</v>
      </c>
      <c r="D3759" s="8" t="s">
        <v>8538</v>
      </c>
      <c r="E3759" s="9" t="str">
        <f aca="false">HYPERLINK("https://twitter.com/SNavani26/status/922167336035119104","922167336035119104")</f>
        <v>922167336035119104</v>
      </c>
      <c r="F3759" s="10" t="s">
        <v>39</v>
      </c>
      <c r="G3759" s="10" t="n">
        <v>18</v>
      </c>
      <c r="H3759" s="10" t="n">
        <v>54</v>
      </c>
      <c r="I3759" s="10" t="n">
        <v>1015</v>
      </c>
      <c r="J3759" s="10" t="n">
        <v>0</v>
      </c>
      <c r="K3759" s="10" t="s">
        <v>20</v>
      </c>
      <c r="L3759" s="11" t="n">
        <v>42992.6108217593</v>
      </c>
      <c r="M3759" s="12" t="s">
        <v>7761</v>
      </c>
      <c r="N3759" s="12" t="s">
        <v>9134</v>
      </c>
      <c r="O3759" s="9" t="str">
        <f aca="false">HYPERLINK("https://pbs.twimg.com/profile_images/917392332541927429/6OHlcBTi_normal.jpg","View")</f>
        <v>View</v>
      </c>
      <c r="P3759" s="10"/>
    </row>
    <row r="3760" customFormat="false" ht="15.75" hidden="false" customHeight="false" outlineLevel="0" collapsed="false">
      <c r="A3760" s="6" t="n">
        <v>43030.4769444444</v>
      </c>
      <c r="B3760" s="7" t="str">
        <f aca="false">HYPERLINK("https://twitter.com/mysourcespot","@mysourcespot")</f>
        <v>@mysourcespot</v>
      </c>
      <c r="C3760" s="8" t="s">
        <v>1939</v>
      </c>
      <c r="D3760" s="8" t="s">
        <v>9135</v>
      </c>
      <c r="E3760" s="9" t="str">
        <f aca="false">HYPERLINK("https://twitter.com/mysourcespot/status/922167369346187264","922167369346187264")</f>
        <v>922167369346187264</v>
      </c>
      <c r="F3760" s="9" t="s">
        <v>979</v>
      </c>
      <c r="G3760" s="10" t="n">
        <v>77</v>
      </c>
      <c r="H3760" s="10" t="n">
        <v>784</v>
      </c>
      <c r="I3760" s="10" t="n">
        <v>0</v>
      </c>
      <c r="J3760" s="10" t="n">
        <v>0</v>
      </c>
      <c r="K3760" s="10" t="s">
        <v>20</v>
      </c>
      <c r="L3760" s="11" t="n">
        <v>42766.0634027778</v>
      </c>
      <c r="M3760" s="12"/>
      <c r="N3760" s="12"/>
      <c r="O3760" s="9" t="str">
        <f aca="false">HYPERLINK("https://pbs.twimg.com/profile_images/826363423927713794/FKQplekc_normal.jpg","View")</f>
        <v>View</v>
      </c>
      <c r="P3760" s="10"/>
    </row>
    <row r="3761" customFormat="false" ht="15.75" hidden="false" customHeight="false" outlineLevel="0" collapsed="false">
      <c r="A3761" s="6" t="n">
        <v>43030.4772222222</v>
      </c>
      <c r="B3761" s="7" t="str">
        <f aca="false">HYPERLINK("https://twitter.com/HotChkNewsTweet","@HotChkNewsTweet")</f>
        <v>@HotChkNewsTweet</v>
      </c>
      <c r="C3761" s="8" t="s">
        <v>5219</v>
      </c>
      <c r="D3761" s="8" t="s">
        <v>9136</v>
      </c>
      <c r="E3761" s="9" t="str">
        <f aca="false">HYPERLINK("https://twitter.com/HotChkNewsTweet/status/922167468906418178","922167468906418178")</f>
        <v>922167468906418178</v>
      </c>
      <c r="F3761" s="10" t="s">
        <v>60</v>
      </c>
      <c r="G3761" s="10" t="n">
        <v>405</v>
      </c>
      <c r="H3761" s="10" t="n">
        <v>4</v>
      </c>
      <c r="I3761" s="10" t="n">
        <v>0</v>
      </c>
      <c r="J3761" s="10" t="n">
        <v>0</v>
      </c>
      <c r="K3761" s="10" t="s">
        <v>20</v>
      </c>
      <c r="L3761" s="11" t="n">
        <v>41515.7534606482</v>
      </c>
      <c r="M3761" s="12"/>
      <c r="N3761" s="12" t="s">
        <v>5221</v>
      </c>
      <c r="O3761" s="9" t="str">
        <f aca="false">HYPERLINK("https://pbs.twimg.com/profile_images/923610255963156484/bbQ8YCgg_normal.jpg","View")</f>
        <v>View</v>
      </c>
      <c r="P3761" s="10"/>
    </row>
    <row r="3762" customFormat="false" ht="15.75" hidden="false" customHeight="false" outlineLevel="0" collapsed="false">
      <c r="A3762" s="6" t="n">
        <v>43030.4772337963</v>
      </c>
      <c r="B3762" s="7" t="str">
        <f aca="false">HYPERLINK("https://twitter.com/KathrynOntiver4","@KathrynOntiver4")</f>
        <v>@KathrynOntiver4</v>
      </c>
      <c r="C3762" s="8" t="s">
        <v>9137</v>
      </c>
      <c r="D3762" s="8" t="s">
        <v>9138</v>
      </c>
      <c r="E3762" s="9" t="str">
        <f aca="false">HYPERLINK("https://twitter.com/KathrynOntiver4/status/922167472760946688","922167472760946688")</f>
        <v>922167472760946688</v>
      </c>
      <c r="F3762" s="10" t="s">
        <v>60</v>
      </c>
      <c r="G3762" s="10" t="n">
        <v>0</v>
      </c>
      <c r="H3762" s="10" t="n">
        <v>0</v>
      </c>
      <c r="I3762" s="10" t="n">
        <v>0</v>
      </c>
      <c r="J3762" s="10" t="n">
        <v>0</v>
      </c>
      <c r="K3762" s="10" t="s">
        <v>20</v>
      </c>
      <c r="L3762" s="11" t="n">
        <v>42984.9413888889</v>
      </c>
      <c r="M3762" s="12"/>
      <c r="N3762" s="12" t="s">
        <v>9139</v>
      </c>
      <c r="O3762" s="9" t="str">
        <f aca="false">HYPERLINK("https://pbs.twimg.com/profile_images/907980240986693633/X8YodoYh_normal.jpg","View")</f>
        <v>View</v>
      </c>
      <c r="P3762" s="10"/>
    </row>
    <row r="3763" customFormat="false" ht="15.75" hidden="false" customHeight="false" outlineLevel="0" collapsed="false">
      <c r="A3763" s="6" t="n">
        <v>43030.4772453704</v>
      </c>
      <c r="B3763" s="7" t="str">
        <f aca="false">HYPERLINK("https://twitter.com/shooth74","@shooth74")</f>
        <v>@shooth74</v>
      </c>
      <c r="C3763" s="8" t="s">
        <v>9140</v>
      </c>
      <c r="D3763" s="8" t="s">
        <v>9141</v>
      </c>
      <c r="E3763" s="9" t="str">
        <f aca="false">HYPERLINK("https://twitter.com/shooth74/status/922167478125514752","922167478125514752")</f>
        <v>922167478125514752</v>
      </c>
      <c r="F3763" s="10" t="s">
        <v>60</v>
      </c>
      <c r="G3763" s="10" t="n">
        <v>0</v>
      </c>
      <c r="H3763" s="10" t="n">
        <v>0</v>
      </c>
      <c r="I3763" s="10" t="n">
        <v>0</v>
      </c>
      <c r="J3763" s="10" t="n">
        <v>0</v>
      </c>
      <c r="K3763" s="10" t="s">
        <v>20</v>
      </c>
      <c r="L3763" s="11" t="n">
        <v>42967.9960648148</v>
      </c>
      <c r="M3763" s="12"/>
      <c r="N3763" s="12" t="s">
        <v>9142</v>
      </c>
      <c r="O3763" s="9" t="str">
        <f aca="false">HYPERLINK("https://pbs.twimg.com/profile_images/910613006408495104/tLapGObt_normal.jpg","View")</f>
        <v>View</v>
      </c>
      <c r="P3763" s="10"/>
    </row>
    <row r="3764" customFormat="false" ht="15.75" hidden="false" customHeight="false" outlineLevel="0" collapsed="false">
      <c r="A3764" s="6" t="n">
        <v>43030.4772800926</v>
      </c>
      <c r="B3764" s="7" t="str">
        <f aca="false">HYPERLINK("https://twitter.com/avabailey151q","@avabailey151q")</f>
        <v>@avabailey151q</v>
      </c>
      <c r="C3764" s="8" t="s">
        <v>9143</v>
      </c>
      <c r="D3764" s="8" t="s">
        <v>9144</v>
      </c>
      <c r="E3764" s="9" t="str">
        <f aca="false">HYPERLINK("https://twitter.com/avabailey151q/status/922167488695193600","922167488695193600")</f>
        <v>922167488695193600</v>
      </c>
      <c r="F3764" s="10" t="s">
        <v>60</v>
      </c>
      <c r="G3764" s="10" t="n">
        <v>0</v>
      </c>
      <c r="H3764" s="10" t="n">
        <v>0</v>
      </c>
      <c r="I3764" s="10" t="n">
        <v>0</v>
      </c>
      <c r="J3764" s="10" t="n">
        <v>0</v>
      </c>
      <c r="K3764" s="10" t="s">
        <v>20</v>
      </c>
      <c r="L3764" s="11" t="n">
        <v>42950.8648611111</v>
      </c>
      <c r="M3764" s="12"/>
      <c r="N3764" s="12"/>
      <c r="O3764" s="9" t="str">
        <f aca="false">HYPERLINK("https://pbs.twimg.com/profile_images/899578497227661312/_8w0YS8Z_normal.jpg","View")</f>
        <v>View</v>
      </c>
      <c r="P3764" s="10"/>
    </row>
    <row r="3765" customFormat="false" ht="15.75" hidden="false" customHeight="false" outlineLevel="0" collapsed="false">
      <c r="A3765" s="6" t="n">
        <v>43030.4773611111</v>
      </c>
      <c r="B3765" s="7" t="str">
        <f aca="false">HYPERLINK("https://twitter.com/djgoodlook","@djgoodlook")</f>
        <v>@djgoodlook</v>
      </c>
      <c r="C3765" s="8" t="s">
        <v>9145</v>
      </c>
      <c r="D3765" s="8" t="s">
        <v>8538</v>
      </c>
      <c r="E3765" s="9" t="str">
        <f aca="false">HYPERLINK("https://twitter.com/djgoodlook/status/922167521607741440","922167521607741440")</f>
        <v>922167521607741440</v>
      </c>
      <c r="F3765" s="10" t="s">
        <v>25</v>
      </c>
      <c r="G3765" s="10" t="n">
        <v>182</v>
      </c>
      <c r="H3765" s="10" t="n">
        <v>186</v>
      </c>
      <c r="I3765" s="10" t="n">
        <v>1015</v>
      </c>
      <c r="J3765" s="10" t="n">
        <v>0</v>
      </c>
      <c r="K3765" s="10" t="s">
        <v>20</v>
      </c>
      <c r="L3765" s="11" t="n">
        <v>40188.0923958333</v>
      </c>
      <c r="M3765" s="12" t="s">
        <v>1522</v>
      </c>
      <c r="N3765" s="12"/>
      <c r="O3765" s="9" t="str">
        <f aca="false">HYPERLINK("https://abs.twimg.com/sticky/default_profile_images/default_profile_normal.png","View")</f>
        <v>View</v>
      </c>
      <c r="P3765" s="10"/>
    </row>
    <row r="3766" customFormat="false" ht="15.75" hidden="false" customHeight="false" outlineLevel="0" collapsed="false">
      <c r="A3766" s="6" t="n">
        <v>43030.4773842593</v>
      </c>
      <c r="B3766" s="7" t="str">
        <f aca="false">HYPERLINK("https://twitter.com/NTKRNow","@NTKRNow")</f>
        <v>@NTKRNow</v>
      </c>
      <c r="C3766" s="8" t="s">
        <v>829</v>
      </c>
      <c r="D3766" s="8" t="s">
        <v>9146</v>
      </c>
      <c r="E3766" s="9" t="str">
        <f aca="false">HYPERLINK("https://twitter.com/NTKRNow/status/922167529153409024","922167529153409024")</f>
        <v>922167529153409024</v>
      </c>
      <c r="F3766" s="10" t="s">
        <v>60</v>
      </c>
      <c r="G3766" s="10" t="n">
        <v>610</v>
      </c>
      <c r="H3766" s="10" t="n">
        <v>4</v>
      </c>
      <c r="I3766" s="10" t="n">
        <v>0</v>
      </c>
      <c r="J3766" s="10" t="n">
        <v>0</v>
      </c>
      <c r="K3766" s="10" t="s">
        <v>20</v>
      </c>
      <c r="L3766" s="11" t="n">
        <v>42402.810625</v>
      </c>
      <c r="M3766" s="12"/>
      <c r="N3766" s="12"/>
      <c r="O3766" s="9" t="str">
        <f aca="false">HYPERLINK("https://abs.twimg.com/sticky/default_profile_images/default_profile_normal.png","View")</f>
        <v>View</v>
      </c>
      <c r="P3766" s="10"/>
    </row>
    <row r="3767" customFormat="false" ht="15.75" hidden="false" customHeight="false" outlineLevel="0" collapsed="false">
      <c r="A3767" s="6" t="n">
        <v>43030.4773958333</v>
      </c>
      <c r="B3767" s="7" t="str">
        <f aca="false">HYPERLINK("https://twitter.com/singhh_ashutosh","@singhh_ashutosh")</f>
        <v>@singhh_ashutosh</v>
      </c>
      <c r="C3767" s="8" t="s">
        <v>9147</v>
      </c>
      <c r="D3767" s="8" t="s">
        <v>8538</v>
      </c>
      <c r="E3767" s="9" t="str">
        <f aca="false">HYPERLINK("https://twitter.com/singhh_ashutosh/status/922167531741122560","922167531741122560")</f>
        <v>922167531741122560</v>
      </c>
      <c r="F3767" s="10" t="s">
        <v>25</v>
      </c>
      <c r="G3767" s="10" t="n">
        <v>157</v>
      </c>
      <c r="H3767" s="10" t="n">
        <v>313</v>
      </c>
      <c r="I3767" s="10" t="n">
        <v>1015</v>
      </c>
      <c r="J3767" s="10" t="n">
        <v>0</v>
      </c>
      <c r="K3767" s="10" t="s">
        <v>20</v>
      </c>
      <c r="L3767" s="11" t="n">
        <v>40497.9751041667</v>
      </c>
      <c r="M3767" s="12" t="s">
        <v>9148</v>
      </c>
      <c r="N3767" s="12" t="s">
        <v>9149</v>
      </c>
      <c r="O3767" s="9" t="str">
        <f aca="false">HYPERLINK("https://pbs.twimg.com/profile_images/921214616440410112/eNILXO0q_normal.jpg","View")</f>
        <v>View</v>
      </c>
      <c r="P3767" s="10"/>
    </row>
    <row r="3768" customFormat="false" ht="15.75" hidden="false" customHeight="false" outlineLevel="0" collapsed="false">
      <c r="A3768" s="6" t="n">
        <v>43030.4774074074</v>
      </c>
      <c r="B3768" s="7" t="str">
        <f aca="false">HYPERLINK("https://twitter.com/JPsingh12","@JPsingh12")</f>
        <v>@JPsingh12</v>
      </c>
      <c r="C3768" s="8" t="s">
        <v>9150</v>
      </c>
      <c r="D3768" s="8" t="s">
        <v>6707</v>
      </c>
      <c r="E3768" s="9" t="str">
        <f aca="false">HYPERLINK("https://twitter.com/JPsingh12/status/922167535369314304","922167535369314304")</f>
        <v>922167535369314304</v>
      </c>
      <c r="F3768" s="10" t="s">
        <v>25</v>
      </c>
      <c r="G3768" s="10" t="n">
        <v>711</v>
      </c>
      <c r="H3768" s="10" t="n">
        <v>687</v>
      </c>
      <c r="I3768" s="10" t="n">
        <v>97</v>
      </c>
      <c r="J3768" s="10" t="n">
        <v>0</v>
      </c>
      <c r="K3768" s="10" t="s">
        <v>20</v>
      </c>
      <c r="L3768" s="11" t="n">
        <v>40360.2938541667</v>
      </c>
      <c r="M3768" s="12" t="s">
        <v>4037</v>
      </c>
      <c r="N3768" s="12" t="s">
        <v>9151</v>
      </c>
      <c r="O3768" s="9" t="str">
        <f aca="false">HYPERLINK("https://pbs.twimg.com/profile_images/560339793247080448/KkLfVRxi_normal.jpeg","View")</f>
        <v>View</v>
      </c>
      <c r="P3768" s="10"/>
    </row>
    <row r="3769" customFormat="false" ht="15.75" hidden="false" customHeight="false" outlineLevel="0" collapsed="false">
      <c r="A3769" s="6" t="n">
        <v>43030.4774305556</v>
      </c>
      <c r="B3769" s="7" t="str">
        <f aca="false">HYPERLINK("https://twitter.com/GriffinWeilliam","@GriffinWeilliam")</f>
        <v>@GriffinWeilliam</v>
      </c>
      <c r="C3769" s="8" t="s">
        <v>9152</v>
      </c>
      <c r="D3769" s="8" t="s">
        <v>9153</v>
      </c>
      <c r="E3769" s="9" t="str">
        <f aca="false">HYPERLINK("https://twitter.com/GriffinWeilliam/status/922167545066610694","922167545066610694")</f>
        <v>922167545066610694</v>
      </c>
      <c r="F3769" s="10" t="s">
        <v>60</v>
      </c>
      <c r="G3769" s="10" t="n">
        <v>0</v>
      </c>
      <c r="H3769" s="10" t="n">
        <v>8</v>
      </c>
      <c r="I3769" s="10" t="n">
        <v>0</v>
      </c>
      <c r="J3769" s="10" t="n">
        <v>0</v>
      </c>
      <c r="K3769" s="10" t="s">
        <v>20</v>
      </c>
      <c r="L3769" s="11" t="n">
        <v>42933.2525115741</v>
      </c>
      <c r="M3769" s="12" t="s">
        <v>230</v>
      </c>
      <c r="N3769" s="12" t="s">
        <v>9154</v>
      </c>
      <c r="O3769" s="9" t="str">
        <f aca="false">HYPERLINK("https://pbs.twimg.com/profile_images/894108914500775936/UrLKu-Q2_normal.jpg","View")</f>
        <v>View</v>
      </c>
      <c r="P3769" s="10"/>
    </row>
    <row r="3770" customFormat="false" ht="15.75" hidden="false" customHeight="false" outlineLevel="0" collapsed="false">
      <c r="A3770" s="6" t="n">
        <v>43030.4774768519</v>
      </c>
      <c r="B3770" s="7" t="str">
        <f aca="false">HYPERLINK("https://twitter.com/thorntonlola841","@thorntonlola841")</f>
        <v>@thorntonlola841</v>
      </c>
      <c r="C3770" s="8" t="s">
        <v>9155</v>
      </c>
      <c r="D3770" s="8" t="s">
        <v>9156</v>
      </c>
      <c r="E3770" s="9" t="str">
        <f aca="false">HYPERLINK("https://twitter.com/thorntonlola841/status/922167563609694209","922167563609694209")</f>
        <v>922167563609694209</v>
      </c>
      <c r="F3770" s="10" t="s">
        <v>60</v>
      </c>
      <c r="G3770" s="10" t="n">
        <v>0</v>
      </c>
      <c r="H3770" s="10" t="n">
        <v>13</v>
      </c>
      <c r="I3770" s="10" t="n">
        <v>0</v>
      </c>
      <c r="J3770" s="10" t="n">
        <v>0</v>
      </c>
      <c r="K3770" s="10" t="s">
        <v>20</v>
      </c>
      <c r="L3770" s="11" t="n">
        <v>42950.8969907407</v>
      </c>
      <c r="M3770" s="12"/>
      <c r="N3770" s="12"/>
      <c r="O3770" s="9" t="str">
        <f aca="false">HYPERLINK("https://pbs.twimg.com/profile_images/901007355697012737/Qkf5iLDx_normal.jpg","View")</f>
        <v>View</v>
      </c>
      <c r="P3770" s="10"/>
    </row>
    <row r="3771" customFormat="false" ht="15.75" hidden="false" customHeight="false" outlineLevel="0" collapsed="false">
      <c r="A3771" s="6" t="n">
        <v>43030.4775115741</v>
      </c>
      <c r="B3771" s="7" t="str">
        <f aca="false">HYPERLINK("https://twitter.com/ElizabethBodif3","@ElizabethBodif3")</f>
        <v>@ElizabethBodif3</v>
      </c>
      <c r="C3771" s="8" t="s">
        <v>9157</v>
      </c>
      <c r="D3771" s="8" t="s">
        <v>9158</v>
      </c>
      <c r="E3771" s="9" t="str">
        <f aca="false">HYPERLINK("https://twitter.com/ElizabethBodif3/status/922167576502861825","922167576502861825")</f>
        <v>922167576502861825</v>
      </c>
      <c r="F3771" s="10" t="s">
        <v>60</v>
      </c>
      <c r="G3771" s="10" t="n">
        <v>0</v>
      </c>
      <c r="H3771" s="10" t="n">
        <v>0</v>
      </c>
      <c r="I3771" s="10" t="n">
        <v>0</v>
      </c>
      <c r="J3771" s="10" t="n">
        <v>0</v>
      </c>
      <c r="K3771" s="10" t="s">
        <v>20</v>
      </c>
      <c r="L3771" s="11" t="n">
        <v>42984.8915972222</v>
      </c>
      <c r="M3771" s="12"/>
      <c r="N3771" s="12" t="s">
        <v>9159</v>
      </c>
      <c r="O3771" s="9" t="str">
        <f aca="false">HYPERLINK("https://pbs.twimg.com/profile_images/907693097873637378/Luy7y3Ej_normal.jpg","View")</f>
        <v>View</v>
      </c>
      <c r="P3771" s="10"/>
    </row>
    <row r="3772" customFormat="false" ht="15.75" hidden="false" customHeight="false" outlineLevel="0" collapsed="false">
      <c r="A3772" s="6" t="n">
        <v>43030.4775462963</v>
      </c>
      <c r="B3772" s="7" t="str">
        <f aca="false">HYPERLINK("https://twitter.com/LaTulipomanie","@LaTulipomanie")</f>
        <v>@LaTulipomanie</v>
      </c>
      <c r="C3772" s="14" t="s">
        <v>9160</v>
      </c>
      <c r="D3772" s="8" t="s">
        <v>9075</v>
      </c>
      <c r="E3772" s="9" t="str">
        <f aca="false">HYPERLINK("https://twitter.com/LaTulipomanie/status/922167585830879232","922167585830879232")</f>
        <v>922167585830879232</v>
      </c>
      <c r="F3772" s="10" t="s">
        <v>51</v>
      </c>
      <c r="G3772" s="10" t="n">
        <v>228</v>
      </c>
      <c r="H3772" s="10" t="n">
        <v>221</v>
      </c>
      <c r="I3772" s="10" t="n">
        <v>7</v>
      </c>
      <c r="J3772" s="10" t="n">
        <v>0</v>
      </c>
      <c r="K3772" s="10" t="s">
        <v>20</v>
      </c>
      <c r="L3772" s="11" t="n">
        <v>40880.9488425926</v>
      </c>
      <c r="M3772" s="13" t="s">
        <v>9161</v>
      </c>
      <c r="N3772" s="13" t="s">
        <v>9162</v>
      </c>
      <c r="O3772" s="9" t="str">
        <f aca="false">HYPERLINK("https://pbs.twimg.com/profile_images/467688244415459329/wxVUvwfh_normal.jpeg","View")</f>
        <v>View</v>
      </c>
      <c r="P3772" s="10"/>
    </row>
    <row r="3773" customFormat="false" ht="15.75" hidden="false" customHeight="false" outlineLevel="0" collapsed="false">
      <c r="A3773" s="6" t="n">
        <v>43030.4776041667</v>
      </c>
      <c r="B3773" s="7" t="str">
        <f aca="false">HYPERLINK("https://twitter.com/PhamNguyenly","@PhamNguyenly")</f>
        <v>@PhamNguyenly</v>
      </c>
      <c r="C3773" s="8" t="s">
        <v>1538</v>
      </c>
      <c r="D3773" s="8" t="s">
        <v>9163</v>
      </c>
      <c r="E3773" s="9" t="str">
        <f aca="false">HYPERLINK("https://twitter.com/PhamNguyenly/status/922167609486987264","922167609486987264")</f>
        <v>922167609486987264</v>
      </c>
      <c r="F3773" s="10" t="s">
        <v>55</v>
      </c>
      <c r="G3773" s="10" t="n">
        <v>174</v>
      </c>
      <c r="H3773" s="10" t="n">
        <v>48</v>
      </c>
      <c r="I3773" s="10" t="n">
        <v>0</v>
      </c>
      <c r="J3773" s="10" t="n">
        <v>0</v>
      </c>
      <c r="K3773" s="10" t="s">
        <v>20</v>
      </c>
      <c r="L3773" s="11" t="n">
        <v>42379.075162037</v>
      </c>
      <c r="M3773" s="12"/>
      <c r="N3773" s="12"/>
      <c r="O3773" s="9" t="str">
        <f aca="false">HYPERLINK("https://pbs.twimg.com/profile_images/686123123029053440/tlIsdN69_normal.jpg","View")</f>
        <v>View</v>
      </c>
      <c r="P3773" s="10"/>
    </row>
    <row r="3774" customFormat="false" ht="15.75" hidden="false" customHeight="false" outlineLevel="0" collapsed="false">
      <c r="A3774" s="6" t="n">
        <v>43030.4780324074</v>
      </c>
      <c r="B3774" s="7" t="str">
        <f aca="false">HYPERLINK("https://twitter.com/himash_r","@himash_r")</f>
        <v>@himash_r</v>
      </c>
      <c r="C3774" s="8" t="s">
        <v>9164</v>
      </c>
      <c r="D3774" s="8" t="s">
        <v>8538</v>
      </c>
      <c r="E3774" s="9" t="str">
        <f aca="false">HYPERLINK("https://twitter.com/himash_r/status/922167765326356480","922167765326356480")</f>
        <v>922167765326356480</v>
      </c>
      <c r="F3774" s="10" t="s">
        <v>25</v>
      </c>
      <c r="G3774" s="10" t="n">
        <v>48</v>
      </c>
      <c r="H3774" s="10" t="n">
        <v>353</v>
      </c>
      <c r="I3774" s="10" t="n">
        <v>1015</v>
      </c>
      <c r="J3774" s="10" t="n">
        <v>0</v>
      </c>
      <c r="K3774" s="10" t="s">
        <v>20</v>
      </c>
      <c r="L3774" s="11" t="n">
        <v>40952.4451157407</v>
      </c>
      <c r="M3774" s="12" t="s">
        <v>7908</v>
      </c>
      <c r="N3774" s="12" t="s">
        <v>9165</v>
      </c>
      <c r="O3774" s="9" t="str">
        <f aca="false">HYPERLINK("https://pbs.twimg.com/profile_images/474925270382559233/1fJGPOFH_normal.jpeg","View")</f>
        <v>View</v>
      </c>
      <c r="P3774" s="10"/>
    </row>
    <row r="3775" customFormat="false" ht="15.75" hidden="false" customHeight="false" outlineLevel="0" collapsed="false">
      <c r="A3775" s="6" t="n">
        <v>43030.4781018519</v>
      </c>
      <c r="B3775" s="7" t="str">
        <f aca="false">HYPERLINK("https://twitter.com/KdZfj","@KdZfj")</f>
        <v>@KdZfj</v>
      </c>
      <c r="C3775" s="14" t="s">
        <v>9166</v>
      </c>
      <c r="D3775" s="8" t="s">
        <v>9167</v>
      </c>
      <c r="E3775" s="9" t="str">
        <f aca="false">HYPERLINK("https://twitter.com/KdZfj/status/922167789649002496","922167789649002496")</f>
        <v>922167789649002496</v>
      </c>
      <c r="F3775" s="10" t="s">
        <v>39</v>
      </c>
      <c r="G3775" s="10" t="n">
        <v>9</v>
      </c>
      <c r="H3775" s="10" t="n">
        <v>76</v>
      </c>
      <c r="I3775" s="10" t="n">
        <v>0</v>
      </c>
      <c r="J3775" s="10" t="n">
        <v>1</v>
      </c>
      <c r="K3775" s="10" t="s">
        <v>20</v>
      </c>
      <c r="L3775" s="11" t="n">
        <v>42790.2717361111</v>
      </c>
      <c r="M3775" s="12" t="s">
        <v>9168</v>
      </c>
      <c r="N3775" s="12" t="s">
        <v>9169</v>
      </c>
      <c r="O3775" s="9" t="str">
        <f aca="false">HYPERLINK("https://pbs.twimg.com/profile_images/835135826916864003/3hGptON5_normal.jpg","View")</f>
        <v>View</v>
      </c>
      <c r="P3775" s="10"/>
    </row>
    <row r="3776" customFormat="false" ht="15.75" hidden="false" customHeight="false" outlineLevel="0" collapsed="false">
      <c r="A3776" s="6" t="n">
        <v>43030.4781018519</v>
      </c>
      <c r="B3776" s="7" t="str">
        <f aca="false">HYPERLINK("https://twitter.com/DebDip00","@DebDip00")</f>
        <v>@DebDip00</v>
      </c>
      <c r="C3776" s="8" t="s">
        <v>9170</v>
      </c>
      <c r="D3776" s="8" t="s">
        <v>8538</v>
      </c>
      <c r="E3776" s="9" t="str">
        <f aca="false">HYPERLINK("https://twitter.com/DebDip00/status/922167790135533568","922167790135533568")</f>
        <v>922167790135533568</v>
      </c>
      <c r="F3776" s="10" t="s">
        <v>25</v>
      </c>
      <c r="G3776" s="10" t="n">
        <v>781</v>
      </c>
      <c r="H3776" s="10" t="n">
        <v>672</v>
      </c>
      <c r="I3776" s="10" t="n">
        <v>1015</v>
      </c>
      <c r="J3776" s="10" t="n">
        <v>0</v>
      </c>
      <c r="K3776" s="10" t="s">
        <v>20</v>
      </c>
      <c r="L3776" s="11" t="n">
        <v>40651.395474537</v>
      </c>
      <c r="M3776" s="12"/>
      <c r="N3776" s="12" t="s">
        <v>9171</v>
      </c>
      <c r="O3776" s="9" t="str">
        <f aca="false">HYPERLINK("https://pbs.twimg.com/profile_images/833989423318577155/KrwlIQ0C_normal.jpg","View")</f>
        <v>View</v>
      </c>
      <c r="P3776" s="10"/>
    </row>
    <row r="3777" customFormat="false" ht="15.75" hidden="false" customHeight="false" outlineLevel="0" collapsed="false">
      <c r="A3777" s="6" t="n">
        <v>43030.4781134259</v>
      </c>
      <c r="B3777" s="7" t="str">
        <f aca="false">HYPERLINK("https://twitter.com/WilliamMungall","@WilliamMungall")</f>
        <v>@WilliamMungall</v>
      </c>
      <c r="C3777" s="8" t="s">
        <v>9172</v>
      </c>
      <c r="D3777" s="8" t="s">
        <v>9173</v>
      </c>
      <c r="E3777" s="9" t="str">
        <f aca="false">HYPERLINK("https://twitter.com/WilliamMungall/status/922167793138749440","922167793138749440")</f>
        <v>922167793138749440</v>
      </c>
      <c r="F3777" s="10" t="s">
        <v>60</v>
      </c>
      <c r="G3777" s="10" t="n">
        <v>390</v>
      </c>
      <c r="H3777" s="10" t="n">
        <v>198</v>
      </c>
      <c r="I3777" s="10" t="n">
        <v>0</v>
      </c>
      <c r="J3777" s="10" t="n">
        <v>0</v>
      </c>
      <c r="K3777" s="10" t="s">
        <v>20</v>
      </c>
      <c r="L3777" s="11" t="n">
        <v>41522.6358101852</v>
      </c>
      <c r="M3777" s="12" t="s">
        <v>752</v>
      </c>
      <c r="N3777" s="12" t="s">
        <v>9174</v>
      </c>
      <c r="O3777" s="9" t="str">
        <f aca="false">HYPERLINK("https://pbs.twimg.com/profile_images/378800000416696029/22c96417ebd5e797814af40a2a9e0bda_normal.jpeg","View")</f>
        <v>View</v>
      </c>
      <c r="P3777" s="10"/>
    </row>
    <row r="3778" customFormat="false" ht="15.75" hidden="false" customHeight="false" outlineLevel="0" collapsed="false">
      <c r="A3778" s="6" t="n">
        <v>43030.4790393519</v>
      </c>
      <c r="B3778" s="7" t="str">
        <f aca="false">HYPERLINK("https://twitter.com/TimMelino","@TimMelino")</f>
        <v>@TimMelino</v>
      </c>
      <c r="C3778" s="8" t="s">
        <v>9175</v>
      </c>
      <c r="D3778" s="8" t="s">
        <v>9176</v>
      </c>
      <c r="E3778" s="9" t="str">
        <f aca="false">HYPERLINK("https://twitter.com/TimMelino/status/922168126606925826","922168126606925826")</f>
        <v>922168126606925826</v>
      </c>
      <c r="F3778" s="10" t="s">
        <v>9177</v>
      </c>
      <c r="G3778" s="10" t="n">
        <v>13628</v>
      </c>
      <c r="H3778" s="10" t="n">
        <v>10354</v>
      </c>
      <c r="I3778" s="10" t="n">
        <v>1</v>
      </c>
      <c r="J3778" s="10" t="n">
        <v>0</v>
      </c>
      <c r="K3778" s="10" t="s">
        <v>20</v>
      </c>
      <c r="L3778" s="11" t="n">
        <v>42090.5397916667</v>
      </c>
      <c r="M3778" s="12" t="s">
        <v>9178</v>
      </c>
      <c r="N3778" s="12" t="s">
        <v>9179</v>
      </c>
      <c r="O3778" s="9" t="str">
        <f aca="false">HYPERLINK("https://pbs.twimg.com/profile_images/648258713208365056/Ubohi9nq_normal.jpg","View")</f>
        <v>View</v>
      </c>
      <c r="P3778" s="10"/>
    </row>
    <row r="3779" customFormat="false" ht="15.75" hidden="false" customHeight="false" outlineLevel="0" collapsed="false">
      <c r="A3779" s="6" t="n">
        <v>43030.4790625</v>
      </c>
      <c r="B3779" s="7" t="str">
        <f aca="false">HYPERLINK("https://twitter.com/rsametan","@rsametan")</f>
        <v>@rsametan</v>
      </c>
      <c r="C3779" s="8" t="s">
        <v>9180</v>
      </c>
      <c r="D3779" s="8" t="s">
        <v>8538</v>
      </c>
      <c r="E3779" s="9" t="str">
        <f aca="false">HYPERLINK("https://twitter.com/rsametan/status/922168136761098240","922168136761098240")</f>
        <v>922168136761098240</v>
      </c>
      <c r="F3779" s="10" t="s">
        <v>51</v>
      </c>
      <c r="G3779" s="10" t="n">
        <v>115</v>
      </c>
      <c r="H3779" s="10" t="n">
        <v>93</v>
      </c>
      <c r="I3779" s="10" t="n">
        <v>1015</v>
      </c>
      <c r="J3779" s="10" t="n">
        <v>0</v>
      </c>
      <c r="K3779" s="10" t="s">
        <v>20</v>
      </c>
      <c r="L3779" s="11" t="n">
        <v>41333.2432291667</v>
      </c>
      <c r="M3779" s="12" t="s">
        <v>9181</v>
      </c>
      <c r="N3779" s="12" t="s">
        <v>9182</v>
      </c>
      <c r="O3779" s="9" t="str">
        <f aca="false">HYPERLINK("https://pbs.twimg.com/profile_images/378800000838554496/7449fc55c997b52e71ba6bf09cbd2d26_normal.jpeg","View")</f>
        <v>View</v>
      </c>
      <c r="P3779" s="10"/>
    </row>
    <row r="3780" customFormat="false" ht="15.75" hidden="false" customHeight="false" outlineLevel="0" collapsed="false">
      <c r="A3780" s="6" t="n">
        <v>43030.4792013889</v>
      </c>
      <c r="B3780" s="7" t="str">
        <f aca="false">HYPERLINK("https://twitter.com/durga0000008","@durga0000008")</f>
        <v>@durga0000008</v>
      </c>
      <c r="C3780" s="8" t="s">
        <v>9183</v>
      </c>
      <c r="D3780" s="8" t="s">
        <v>8538</v>
      </c>
      <c r="E3780" s="9" t="str">
        <f aca="false">HYPERLINK("https://twitter.com/durga0000008/status/922168187331887104","922168187331887104")</f>
        <v>922168187331887104</v>
      </c>
      <c r="F3780" s="10" t="s">
        <v>25</v>
      </c>
      <c r="G3780" s="10" t="n">
        <v>54</v>
      </c>
      <c r="H3780" s="10" t="n">
        <v>37</v>
      </c>
      <c r="I3780" s="10" t="n">
        <v>1015</v>
      </c>
      <c r="J3780" s="10" t="n">
        <v>0</v>
      </c>
      <c r="K3780" s="10" t="s">
        <v>20</v>
      </c>
      <c r="L3780" s="11" t="n">
        <v>42102.8334027778</v>
      </c>
      <c r="M3780" s="12" t="s">
        <v>72</v>
      </c>
      <c r="N3780" s="12" t="s">
        <v>9184</v>
      </c>
      <c r="O3780" s="9" t="str">
        <f aca="false">HYPERLINK("https://abs.twimg.com/sticky/default_profile_images/default_profile_normal.png","View")</f>
        <v>View</v>
      </c>
      <c r="P3780" s="10"/>
    </row>
    <row r="3781" customFormat="false" ht="15.75" hidden="false" customHeight="false" outlineLevel="0" collapsed="false">
      <c r="A3781" s="6" t="n">
        <v>43030.4792361111</v>
      </c>
      <c r="B3781" s="7" t="str">
        <f aca="false">HYPERLINK("https://twitter.com/gridpointwx","@gridpointwx")</f>
        <v>@gridpointwx</v>
      </c>
      <c r="C3781" s="8" t="s">
        <v>9185</v>
      </c>
      <c r="D3781" s="8" t="s">
        <v>9186</v>
      </c>
      <c r="E3781" s="9" t="str">
        <f aca="false">HYPERLINK("https://twitter.com/gridpointwx/status/922168197603905536","922168197603905536")</f>
        <v>922168197603905536</v>
      </c>
      <c r="F3781" s="10" t="s">
        <v>9187</v>
      </c>
      <c r="G3781" s="10" t="n">
        <v>150</v>
      </c>
      <c r="H3781" s="10" t="n">
        <v>63</v>
      </c>
      <c r="I3781" s="10" t="n">
        <v>0</v>
      </c>
      <c r="J3781" s="10" t="n">
        <v>0</v>
      </c>
      <c r="K3781" s="10" t="s">
        <v>20</v>
      </c>
      <c r="L3781" s="11" t="n">
        <v>42215.7249884259</v>
      </c>
      <c r="M3781" s="12" t="s">
        <v>312</v>
      </c>
      <c r="N3781" s="12" t="s">
        <v>9188</v>
      </c>
      <c r="O3781" s="9" t="str">
        <f aca="false">HYPERLINK("https://pbs.twimg.com/profile_images/640522168246255616/vwsQNm-R_normal.png","View")</f>
        <v>View</v>
      </c>
      <c r="P3781" s="10"/>
    </row>
    <row r="3782" customFormat="false" ht="15.75" hidden="false" customHeight="false" outlineLevel="0" collapsed="false">
      <c r="A3782" s="6" t="n">
        <v>43030.4792476852</v>
      </c>
      <c r="B3782" s="7" t="str">
        <f aca="false">HYPERLINK("https://twitter.com/nilleo007","@nilleo007")</f>
        <v>@nilleo007</v>
      </c>
      <c r="C3782" s="8" t="s">
        <v>9189</v>
      </c>
      <c r="D3782" s="8" t="s">
        <v>8538</v>
      </c>
      <c r="E3782" s="9" t="str">
        <f aca="false">HYPERLINK("https://twitter.com/nilleo007/status/922168202452496384","922168202452496384")</f>
        <v>922168202452496384</v>
      </c>
      <c r="F3782" s="10" t="s">
        <v>25</v>
      </c>
      <c r="G3782" s="10" t="n">
        <v>784</v>
      </c>
      <c r="H3782" s="10" t="n">
        <v>223</v>
      </c>
      <c r="I3782" s="10" t="n">
        <v>1015</v>
      </c>
      <c r="J3782" s="10" t="n">
        <v>0</v>
      </c>
      <c r="K3782" s="10" t="s">
        <v>20</v>
      </c>
      <c r="L3782" s="11" t="n">
        <v>41590.2045486111</v>
      </c>
      <c r="M3782" s="12"/>
      <c r="N3782" s="12" t="s">
        <v>9190</v>
      </c>
      <c r="O3782" s="9" t="str">
        <f aca="false">HYPERLINK("https://abs.twimg.com/sticky/default_profile_images/default_profile_normal.png","View")</f>
        <v>View</v>
      </c>
      <c r="P3782" s="10"/>
    </row>
    <row r="3783" customFormat="false" ht="15.75" hidden="false" customHeight="false" outlineLevel="0" collapsed="false">
      <c r="A3783" s="6" t="n">
        <v>43030.4792939815</v>
      </c>
      <c r="B3783" s="7" t="str">
        <f aca="false">HYPERLINK("https://twitter.com/MyDailyReporter","@MyDailyReporter")</f>
        <v>@MyDailyReporter</v>
      </c>
      <c r="C3783" s="8" t="s">
        <v>2125</v>
      </c>
      <c r="D3783" s="8" t="s">
        <v>9191</v>
      </c>
      <c r="E3783" s="9" t="str">
        <f aca="false">HYPERLINK("https://twitter.com/MyDailyReporter/status/922168222287265793","922168222287265793")</f>
        <v>922168222287265793</v>
      </c>
      <c r="F3783" s="10" t="s">
        <v>60</v>
      </c>
      <c r="G3783" s="10" t="n">
        <v>298</v>
      </c>
      <c r="H3783" s="10" t="n">
        <v>0</v>
      </c>
      <c r="I3783" s="10" t="n">
        <v>0</v>
      </c>
      <c r="J3783" s="10" t="n">
        <v>0</v>
      </c>
      <c r="K3783" s="10" t="s">
        <v>20</v>
      </c>
      <c r="L3783" s="11" t="n">
        <v>42308.4636458333</v>
      </c>
      <c r="M3783" s="12"/>
      <c r="N3783" s="12"/>
      <c r="O3783" s="9" t="str">
        <f aca="false">HYPERLINK("https://pbs.twimg.com/profile_images/660520809585315841/YEKGmz9g_normal.png","View")</f>
        <v>View</v>
      </c>
      <c r="P3783" s="10"/>
    </row>
    <row r="3784" customFormat="false" ht="15.75" hidden="false" customHeight="false" outlineLevel="0" collapsed="false">
      <c r="A3784" s="6" t="n">
        <v>43030.4793402778</v>
      </c>
      <c r="B3784" s="7" t="str">
        <f aca="false">HYPERLINK("https://twitter.com/bpolitics","@bpolitics")</f>
        <v>@bpolitics</v>
      </c>
      <c r="C3784" s="8" t="s">
        <v>266</v>
      </c>
      <c r="D3784" s="8" t="s">
        <v>9192</v>
      </c>
      <c r="E3784" s="9" t="str">
        <f aca="false">HYPERLINK("https://twitter.com/bpolitics/status/922168239387480064","922168239387480064")</f>
        <v>922168239387480064</v>
      </c>
      <c r="F3784" s="10" t="s">
        <v>268</v>
      </c>
      <c r="G3784" s="10" t="n">
        <v>221392</v>
      </c>
      <c r="H3784" s="10" t="n">
        <v>868</v>
      </c>
      <c r="I3784" s="10" t="n">
        <v>6</v>
      </c>
      <c r="J3784" s="10" t="n">
        <v>4</v>
      </c>
      <c r="K3784" s="10" t="s">
        <v>20</v>
      </c>
      <c r="L3784" s="11" t="n">
        <v>41025.576400463</v>
      </c>
      <c r="M3784" s="12"/>
      <c r="N3784" s="12" t="s">
        <v>269</v>
      </c>
      <c r="O3784" s="9" t="str">
        <f aca="false">HYPERLINK("https://pbs.twimg.com/profile_images/714804098890133504/cUO4gD1A_normal.jpg","View")</f>
        <v>View</v>
      </c>
      <c r="P3784" s="10"/>
    </row>
    <row r="3785" customFormat="false" ht="15.75" hidden="false" customHeight="false" outlineLevel="0" collapsed="false">
      <c r="A3785" s="6" t="n">
        <v>43030.4793518519</v>
      </c>
      <c r="B3785" s="7" t="str">
        <f aca="false">HYPERLINK("https://twitter.com/DebashishHiTs","@DebashishHiTs")</f>
        <v>@DebashishHiTs</v>
      </c>
      <c r="C3785" s="8" t="s">
        <v>9193</v>
      </c>
      <c r="D3785" s="8" t="s">
        <v>8538</v>
      </c>
      <c r="E3785" s="9" t="str">
        <f aca="false">HYPERLINK("https://twitter.com/DebashishHiTs/status/922168243095158784","922168243095158784")</f>
        <v>922168243095158784</v>
      </c>
      <c r="F3785" s="10" t="s">
        <v>25</v>
      </c>
      <c r="G3785" s="10" t="n">
        <v>6764</v>
      </c>
      <c r="H3785" s="10" t="n">
        <v>2720</v>
      </c>
      <c r="I3785" s="10" t="n">
        <v>1015</v>
      </c>
      <c r="J3785" s="10" t="n">
        <v>0</v>
      </c>
      <c r="K3785" s="10" t="s">
        <v>20</v>
      </c>
      <c r="L3785" s="11" t="n">
        <v>40882.8733912037</v>
      </c>
      <c r="M3785" s="12" t="s">
        <v>72</v>
      </c>
      <c r="N3785" s="12" t="s">
        <v>9194</v>
      </c>
      <c r="O3785" s="9" t="str">
        <f aca="false">HYPERLINK("https://pbs.twimg.com/profile_images/868669300793643008/lK3ob_bM_normal.jpg","View")</f>
        <v>View</v>
      </c>
      <c r="P3785" s="10"/>
    </row>
    <row r="3786" customFormat="false" ht="15.75" hidden="false" customHeight="false" outlineLevel="0" collapsed="false">
      <c r="A3786" s="6" t="n">
        <v>43030.4797453704</v>
      </c>
      <c r="B3786" s="7" t="str">
        <f aca="false">HYPERLINK("https://twitter.com/sapdxgifts","@sapdxgifts")</f>
        <v>@sapdxgifts</v>
      </c>
      <c r="C3786" s="8" t="s">
        <v>9195</v>
      </c>
      <c r="D3786" s="8" t="s">
        <v>9196</v>
      </c>
      <c r="E3786" s="9" t="str">
        <f aca="false">HYPERLINK("https://twitter.com/sapdxgifts/status/922168386230149126","922168386230149126")</f>
        <v>922168386230149126</v>
      </c>
      <c r="F3786" s="10" t="s">
        <v>110</v>
      </c>
      <c r="G3786" s="10" t="n">
        <v>8185</v>
      </c>
      <c r="H3786" s="10" t="n">
        <v>344</v>
      </c>
      <c r="I3786" s="10" t="n">
        <v>0</v>
      </c>
      <c r="J3786" s="10" t="n">
        <v>0</v>
      </c>
      <c r="K3786" s="10" t="s">
        <v>20</v>
      </c>
      <c r="L3786" s="11" t="n">
        <v>41869.502662037</v>
      </c>
      <c r="M3786" s="12"/>
      <c r="N3786" s="12"/>
      <c r="O3786" s="9" t="str">
        <f aca="false">HYPERLINK("https://pbs.twimg.com/profile_images/590283383017713664/1zzFCQ4X_normal.png","View")</f>
        <v>View</v>
      </c>
      <c r="P3786" s="10"/>
    </row>
    <row r="3787" customFormat="false" ht="15.75" hidden="false" customHeight="false" outlineLevel="0" collapsed="false">
      <c r="A3787" s="6" t="n">
        <v>43030.4798611111</v>
      </c>
      <c r="B3787" s="7" t="str">
        <f aca="false">HYPERLINK("https://twitter.com/Uskeus","@Uskeus")</f>
        <v>@Uskeus</v>
      </c>
      <c r="C3787" s="8" t="s">
        <v>9079</v>
      </c>
      <c r="D3787" s="8" t="s">
        <v>9197</v>
      </c>
      <c r="E3787" s="9" t="str">
        <f aca="false">HYPERLINK("https://twitter.com/Uskeus/status/922168425685880833","922168425685880833")</f>
        <v>922168425685880833</v>
      </c>
      <c r="F3787" s="10" t="s">
        <v>60</v>
      </c>
      <c r="G3787" s="10" t="n">
        <v>5696</v>
      </c>
      <c r="H3787" s="10" t="n">
        <v>220</v>
      </c>
      <c r="I3787" s="10" t="n">
        <v>0</v>
      </c>
      <c r="J3787" s="10" t="n">
        <v>0</v>
      </c>
      <c r="K3787" s="10" t="s">
        <v>20</v>
      </c>
      <c r="L3787" s="11" t="n">
        <v>41205.6555208333</v>
      </c>
      <c r="M3787" s="12" t="s">
        <v>2102</v>
      </c>
      <c r="N3787" s="12" t="s">
        <v>9081</v>
      </c>
      <c r="O3787" s="9" t="str">
        <f aca="false">HYPERLINK("https://pbs.twimg.com/profile_images/846077056089837570/9DcO0UTl_normal.jpg","View")</f>
        <v>View</v>
      </c>
      <c r="P3787" s="10"/>
    </row>
    <row r="3788" customFormat="false" ht="15.75" hidden="false" customHeight="false" outlineLevel="0" collapsed="false">
      <c r="A3788" s="6" t="n">
        <v>43030.4798611111</v>
      </c>
      <c r="B3788" s="7" t="str">
        <f aca="false">HYPERLINK("https://twitter.com/myRadioIntl","@myRadioIntl")</f>
        <v>@myRadioIntl</v>
      </c>
      <c r="C3788" s="8" t="s">
        <v>9198</v>
      </c>
      <c r="D3788" s="8" t="s">
        <v>9199</v>
      </c>
      <c r="E3788" s="9" t="str">
        <f aca="false">HYPERLINK("https://twitter.com/myRadioIntl/status/922168425786552321","922168425786552321")</f>
        <v>922168425786552321</v>
      </c>
      <c r="F3788" s="10" t="s">
        <v>110</v>
      </c>
      <c r="G3788" s="10" t="n">
        <v>20968</v>
      </c>
      <c r="H3788" s="10" t="n">
        <v>13694</v>
      </c>
      <c r="I3788" s="10" t="n">
        <v>0</v>
      </c>
      <c r="J3788" s="10" t="n">
        <v>0</v>
      </c>
      <c r="K3788" s="10" t="s">
        <v>20</v>
      </c>
      <c r="L3788" s="11" t="n">
        <v>39892.8785069444</v>
      </c>
      <c r="M3788" s="12" t="s">
        <v>370</v>
      </c>
      <c r="N3788" s="12" t="s">
        <v>9200</v>
      </c>
      <c r="O3788" s="9" t="str">
        <f aca="false">HYPERLINK("https://pbs.twimg.com/profile_images/624186278033031168/7hCqaL72_normal.jpg","View")</f>
        <v>View</v>
      </c>
      <c r="P3788" s="10"/>
    </row>
    <row r="3789" customFormat="false" ht="15.75" hidden="false" customHeight="false" outlineLevel="0" collapsed="false">
      <c r="A3789" s="6" t="n">
        <v>43030.4800347222</v>
      </c>
      <c r="B3789" s="7" t="str">
        <f aca="false">HYPERLINK("https://twitter.com/vegavnc","@vegavnc")</f>
        <v>@vegavnc</v>
      </c>
      <c r="C3789" s="8" t="s">
        <v>7923</v>
      </c>
      <c r="D3789" s="8" t="s">
        <v>8538</v>
      </c>
      <c r="E3789" s="9" t="str">
        <f aca="false">HYPERLINK("https://twitter.com/vegavnc/status/922168489896316928","922168489896316928")</f>
        <v>922168489896316928</v>
      </c>
      <c r="F3789" s="10" t="s">
        <v>25</v>
      </c>
      <c r="G3789" s="10" t="n">
        <v>355</v>
      </c>
      <c r="H3789" s="10" t="n">
        <v>205</v>
      </c>
      <c r="I3789" s="10" t="n">
        <v>1015</v>
      </c>
      <c r="J3789" s="10" t="n">
        <v>0</v>
      </c>
      <c r="K3789" s="10" t="s">
        <v>20</v>
      </c>
      <c r="L3789" s="11" t="n">
        <v>41292.3846643518</v>
      </c>
      <c r="M3789" s="12" t="s">
        <v>7924</v>
      </c>
      <c r="N3789" s="12" t="s">
        <v>7925</v>
      </c>
      <c r="O3789" s="9" t="str">
        <f aca="false">HYPERLINK("https://pbs.twimg.com/profile_images/620307658730397696/Iw2h71j0_normal.jpg","View")</f>
        <v>View</v>
      </c>
      <c r="P3789" s="10"/>
    </row>
    <row r="3790" customFormat="false" ht="15.75" hidden="false" customHeight="false" outlineLevel="0" collapsed="false">
      <c r="A3790" s="6" t="n">
        <v>43030.480162037</v>
      </c>
      <c r="B3790" s="7" t="str">
        <f aca="false">HYPERLINK("https://twitter.com/vyomika_","@vyomika_")</f>
        <v>@vyomika_</v>
      </c>
      <c r="C3790" s="8" t="s">
        <v>9201</v>
      </c>
      <c r="D3790" s="8" t="s">
        <v>8538</v>
      </c>
      <c r="E3790" s="9" t="str">
        <f aca="false">HYPERLINK("https://twitter.com/vyomika_/status/922168536570609665","922168536570609665")</f>
        <v>922168536570609665</v>
      </c>
      <c r="F3790" s="10" t="s">
        <v>25</v>
      </c>
      <c r="G3790" s="10" t="n">
        <v>972</v>
      </c>
      <c r="H3790" s="10" t="n">
        <v>575</v>
      </c>
      <c r="I3790" s="10" t="n">
        <v>1015</v>
      </c>
      <c r="J3790" s="10" t="n">
        <v>0</v>
      </c>
      <c r="K3790" s="10" t="s">
        <v>20</v>
      </c>
      <c r="L3790" s="11" t="n">
        <v>40987.4218981481</v>
      </c>
      <c r="M3790" s="12" t="s">
        <v>9202</v>
      </c>
      <c r="N3790" s="12" t="s">
        <v>9203</v>
      </c>
      <c r="O3790" s="9" t="str">
        <f aca="false">HYPERLINK("https://pbs.twimg.com/profile_images/860928178210164736/RRLg69MG_normal.jpg","View")</f>
        <v>View</v>
      </c>
      <c r="P3790" s="10"/>
    </row>
    <row r="3791" customFormat="false" ht="15.75" hidden="false" customHeight="false" outlineLevel="0" collapsed="false">
      <c r="A3791" s="6" t="n">
        <v>43030.4801851852</v>
      </c>
      <c r="B3791" s="7" t="str">
        <f aca="false">HYPERLINK("https://twitter.com/KaplanBen_Fr","@KaplanBen_Fr")</f>
        <v>@KaplanBen_Fr</v>
      </c>
      <c r="C3791" s="8" t="s">
        <v>9204</v>
      </c>
      <c r="D3791" s="8" t="s">
        <v>9205</v>
      </c>
      <c r="E3791" s="9" t="str">
        <f aca="false">HYPERLINK("https://twitter.com/KaplanBen_Fr/status/922168543885582336","922168543885582336")</f>
        <v>922168543885582336</v>
      </c>
      <c r="F3791" s="10" t="s">
        <v>39</v>
      </c>
      <c r="G3791" s="10" t="n">
        <v>1845</v>
      </c>
      <c r="H3791" s="10" t="n">
        <v>2867</v>
      </c>
      <c r="I3791" s="10" t="n">
        <v>6</v>
      </c>
      <c r="J3791" s="10" t="n">
        <v>0</v>
      </c>
      <c r="K3791" s="10" t="s">
        <v>20</v>
      </c>
      <c r="L3791" s="11" t="n">
        <v>41083.4093981481</v>
      </c>
      <c r="M3791" s="12" t="s">
        <v>567</v>
      </c>
      <c r="N3791" s="12" t="s">
        <v>9206</v>
      </c>
      <c r="O3791" s="9" t="str">
        <f aca="false">HYPERLINK("https://pbs.twimg.com/profile_images/641684158033620993/Vm_rJxOG_normal.jpg","View")</f>
        <v>View</v>
      </c>
      <c r="P3791" s="10"/>
    </row>
    <row r="3792" customFormat="false" ht="15.75" hidden="false" customHeight="false" outlineLevel="0" collapsed="false">
      <c r="A3792" s="6" t="n">
        <v>43030.4802777778</v>
      </c>
      <c r="B3792" s="7" t="str">
        <f aca="false">HYPERLINK("https://twitter.com/joaonsalvador","@joaonsalvador")</f>
        <v>@joaonsalvador</v>
      </c>
      <c r="C3792" s="8" t="s">
        <v>9207</v>
      </c>
      <c r="D3792" s="8" t="s">
        <v>9208</v>
      </c>
      <c r="E3792" s="9" t="str">
        <f aca="false">HYPERLINK("https://twitter.com/joaonsalvador/status/922168577951756289","922168577951756289")</f>
        <v>922168577951756289</v>
      </c>
      <c r="F3792" s="10" t="s">
        <v>39</v>
      </c>
      <c r="G3792" s="10" t="n">
        <v>329</v>
      </c>
      <c r="H3792" s="10" t="n">
        <v>1648</v>
      </c>
      <c r="I3792" s="10" t="n">
        <v>0</v>
      </c>
      <c r="J3792" s="10" t="n">
        <v>0</v>
      </c>
      <c r="K3792" s="10" t="s">
        <v>20</v>
      </c>
      <c r="L3792" s="11" t="n">
        <v>41985.1808564815</v>
      </c>
      <c r="M3792" s="12" t="s">
        <v>9209</v>
      </c>
      <c r="N3792" s="12" t="s">
        <v>9210</v>
      </c>
      <c r="O3792" s="9" t="str">
        <f aca="false">HYPERLINK("https://pbs.twimg.com/profile_images/576824411069661184/QIPg3HYu_normal.jpeg","View")</f>
        <v>View</v>
      </c>
      <c r="P3792" s="10"/>
    </row>
    <row r="3793" customFormat="false" ht="15.75" hidden="false" customHeight="false" outlineLevel="0" collapsed="false">
      <c r="A3793" s="6" t="n">
        <v>43030.4803125</v>
      </c>
      <c r="B3793" s="7" t="str">
        <f aca="false">HYPERLINK("https://twitter.com/yamini_jyoti","@yamini_jyoti")</f>
        <v>@yamini_jyoti</v>
      </c>
      <c r="C3793" s="8" t="s">
        <v>9211</v>
      </c>
      <c r="D3793" s="8" t="s">
        <v>8538</v>
      </c>
      <c r="E3793" s="9" t="str">
        <f aca="false">HYPERLINK("https://twitter.com/yamini_jyoti/status/922168589641072640","922168589641072640")</f>
        <v>922168589641072640</v>
      </c>
      <c r="F3793" s="10" t="s">
        <v>25</v>
      </c>
      <c r="G3793" s="10" t="n">
        <v>2910</v>
      </c>
      <c r="H3793" s="10" t="n">
        <v>415</v>
      </c>
      <c r="I3793" s="10" t="n">
        <v>1015</v>
      </c>
      <c r="J3793" s="10" t="n">
        <v>0</v>
      </c>
      <c r="K3793" s="10" t="s">
        <v>20</v>
      </c>
      <c r="L3793" s="11" t="n">
        <v>41957.2407638889</v>
      </c>
      <c r="M3793" s="12"/>
      <c r="N3793" s="12" t="s">
        <v>9212</v>
      </c>
      <c r="O3793" s="9" t="str">
        <f aca="false">HYPERLINK("https://pbs.twimg.com/profile_images/660517561960783872/J2brzrKF_normal.jpg","View")</f>
        <v>View</v>
      </c>
      <c r="P3793" s="10"/>
    </row>
    <row r="3794" customFormat="false" ht="15.75" hidden="false" customHeight="false" outlineLevel="0" collapsed="false">
      <c r="A3794" s="6" t="n">
        <v>43030.4803703704</v>
      </c>
      <c r="B3794" s="7" t="str">
        <f aca="false">HYPERLINK("https://twitter.com/bernt149","@bernt149")</f>
        <v>@bernt149</v>
      </c>
      <c r="C3794" s="8" t="s">
        <v>9213</v>
      </c>
      <c r="D3794" s="8" t="s">
        <v>3971</v>
      </c>
      <c r="E3794" s="9" t="str">
        <f aca="false">HYPERLINK("https://twitter.com/bernt149/status/922168611506216961","922168611506216961")</f>
        <v>922168611506216961</v>
      </c>
      <c r="F3794" s="10" t="s">
        <v>25</v>
      </c>
      <c r="G3794" s="10" t="n">
        <v>930</v>
      </c>
      <c r="H3794" s="10" t="n">
        <v>1820</v>
      </c>
      <c r="I3794" s="10" t="n">
        <v>24</v>
      </c>
      <c r="J3794" s="10" t="n">
        <v>0</v>
      </c>
      <c r="K3794" s="10" t="s">
        <v>20</v>
      </c>
      <c r="L3794" s="11" t="n">
        <v>41862.3559837963</v>
      </c>
      <c r="M3794" s="12" t="s">
        <v>9214</v>
      </c>
      <c r="N3794" s="18" t="n">
        <v>42840</v>
      </c>
      <c r="O3794" s="9" t="str">
        <f aca="false">HYPERLINK("https://pbs.twimg.com/profile_images/498854820913356800/Xn0Mtjq__normal.jpeg","View")</f>
        <v>View</v>
      </c>
      <c r="P3794" s="10"/>
    </row>
    <row r="3795" customFormat="false" ht="15.75" hidden="false" customHeight="false" outlineLevel="0" collapsed="false">
      <c r="A3795" s="6" t="n">
        <v>43030.4805671296</v>
      </c>
      <c r="B3795" s="7" t="str">
        <f aca="false">HYPERLINK("https://twitter.com/AmitabhPoddar1","@AmitabhPoddar1")</f>
        <v>@AmitabhPoddar1</v>
      </c>
      <c r="C3795" s="8" t="s">
        <v>9215</v>
      </c>
      <c r="D3795" s="8" t="s">
        <v>8538</v>
      </c>
      <c r="E3795" s="9" t="str">
        <f aca="false">HYPERLINK("https://twitter.com/AmitabhPoddar1/status/922168682050023424","922168682050023424")</f>
        <v>922168682050023424</v>
      </c>
      <c r="F3795" s="10" t="s">
        <v>25</v>
      </c>
      <c r="G3795" s="10" t="n">
        <v>470</v>
      </c>
      <c r="H3795" s="10" t="n">
        <v>1022</v>
      </c>
      <c r="I3795" s="10" t="n">
        <v>1015</v>
      </c>
      <c r="J3795" s="10" t="n">
        <v>0</v>
      </c>
      <c r="K3795" s="10" t="s">
        <v>20</v>
      </c>
      <c r="L3795" s="11" t="n">
        <v>41279.0749074074</v>
      </c>
      <c r="M3795" s="12"/>
      <c r="N3795" s="12" t="s">
        <v>9216</v>
      </c>
      <c r="O3795" s="9" t="str">
        <f aca="false">HYPERLINK("https://pbs.twimg.com/profile_images/654757117929218052/YO-FVum5_normal.jpg","View")</f>
        <v>View</v>
      </c>
      <c r="P3795" s="10"/>
    </row>
    <row r="3796" customFormat="false" ht="15.75" hidden="false" customHeight="false" outlineLevel="0" collapsed="false">
      <c r="A3796" s="6" t="n">
        <v>43030.4805787037</v>
      </c>
      <c r="B3796" s="7" t="str">
        <f aca="false">HYPERLINK("https://twitter.com/UK_ElectionNews","@UK_ElectionNews")</f>
        <v>@UK_ElectionNews</v>
      </c>
      <c r="C3796" s="8" t="s">
        <v>9217</v>
      </c>
      <c r="D3796" s="8" t="s">
        <v>9218</v>
      </c>
      <c r="E3796" s="9" t="str">
        <f aca="false">HYPERLINK("https://twitter.com/UK_ElectionNews/status/922168688085741568","922168688085741568")</f>
        <v>922168688085741568</v>
      </c>
      <c r="F3796" s="10" t="s">
        <v>55</v>
      </c>
      <c r="G3796" s="10" t="n">
        <v>4575</v>
      </c>
      <c r="H3796" s="10" t="n">
        <v>4563</v>
      </c>
      <c r="I3796" s="10" t="n">
        <v>0</v>
      </c>
      <c r="J3796" s="10" t="n">
        <v>0</v>
      </c>
      <c r="K3796" s="10" t="s">
        <v>20</v>
      </c>
      <c r="L3796" s="11" t="n">
        <v>40523.1095833333</v>
      </c>
      <c r="M3796" s="12" t="s">
        <v>203</v>
      </c>
      <c r="N3796" s="12" t="s">
        <v>9219</v>
      </c>
      <c r="O3796" s="9" t="str">
        <f aca="false">HYPERLINK("https://pbs.twimg.com/profile_images/780392995321413632/GLtnGrr__normal.jpg","View")</f>
        <v>View</v>
      </c>
      <c r="P3796" s="10"/>
    </row>
    <row r="3797" customFormat="false" ht="15.75" hidden="false" customHeight="false" outlineLevel="0" collapsed="false">
      <c r="A3797" s="6" t="n">
        <v>43030.4806018519</v>
      </c>
      <c r="B3797" s="7" t="str">
        <f aca="false">HYPERLINK("https://twitter.com/ajitshah0482","@ajitshah0482")</f>
        <v>@ajitshah0482</v>
      </c>
      <c r="C3797" s="8" t="s">
        <v>9220</v>
      </c>
      <c r="D3797" s="8" t="s">
        <v>8538</v>
      </c>
      <c r="E3797" s="9" t="str">
        <f aca="false">HYPERLINK("https://twitter.com/ajitshah0482/status/922168695769784322","922168695769784322")</f>
        <v>922168695769784322</v>
      </c>
      <c r="F3797" s="10" t="s">
        <v>25</v>
      </c>
      <c r="G3797" s="10" t="n">
        <v>232</v>
      </c>
      <c r="H3797" s="10" t="n">
        <v>409</v>
      </c>
      <c r="I3797" s="10" t="n">
        <v>1015</v>
      </c>
      <c r="J3797" s="10" t="n">
        <v>0</v>
      </c>
      <c r="K3797" s="10" t="s">
        <v>20</v>
      </c>
      <c r="L3797" s="11" t="n">
        <v>42631.9244907407</v>
      </c>
      <c r="M3797" s="12" t="s">
        <v>8603</v>
      </c>
      <c r="N3797" s="12" t="s">
        <v>9221</v>
      </c>
      <c r="O3797" s="9" t="str">
        <f aca="false">HYPERLINK("https://pbs.twimg.com/profile_images/882631330390974464/dd3fP2x5_normal.jpg","View")</f>
        <v>View</v>
      </c>
      <c r="P3797" s="10"/>
    </row>
    <row r="3798" customFormat="false" ht="15.75" hidden="false" customHeight="false" outlineLevel="0" collapsed="false">
      <c r="A3798" s="6" t="n">
        <v>43030.4812847222</v>
      </c>
      <c r="B3798" s="7" t="str">
        <f aca="false">HYPERLINK("https://twitter.com/sank_uma","@sank_uma")</f>
        <v>@sank_uma</v>
      </c>
      <c r="C3798" s="8" t="s">
        <v>9222</v>
      </c>
      <c r="D3798" s="8" t="s">
        <v>8538</v>
      </c>
      <c r="E3798" s="9" t="str">
        <f aca="false">HYPERLINK("https://twitter.com/sank_uma/status/922168941753126913","922168941753126913")</f>
        <v>922168941753126913</v>
      </c>
      <c r="F3798" s="10" t="s">
        <v>25</v>
      </c>
      <c r="G3798" s="10" t="n">
        <v>245</v>
      </c>
      <c r="H3798" s="10" t="n">
        <v>1340</v>
      </c>
      <c r="I3798" s="10" t="n">
        <v>1015</v>
      </c>
      <c r="J3798" s="10" t="n">
        <v>0</v>
      </c>
      <c r="K3798" s="10" t="s">
        <v>20</v>
      </c>
      <c r="L3798" s="11" t="n">
        <v>41566.9905902778</v>
      </c>
      <c r="M3798" s="12"/>
      <c r="N3798" s="12"/>
      <c r="O3798" s="9" t="str">
        <f aca="false">HYPERLINK("https://pbs.twimg.com/profile_images/512097953868042240/HOHobmZ5_normal.jpeg","View")</f>
        <v>View</v>
      </c>
      <c r="P3798" s="10"/>
    </row>
    <row r="3799" customFormat="false" ht="15.75" hidden="false" customHeight="false" outlineLevel="0" collapsed="false">
      <c r="A3799" s="6" t="n">
        <v>43030.4813425926</v>
      </c>
      <c r="B3799" s="7" t="str">
        <f aca="false">HYPERLINK("https://twitter.com/abioleonardi","@abioleonardi")</f>
        <v>@abioleonardi</v>
      </c>
      <c r="C3799" s="8" t="s">
        <v>9223</v>
      </c>
      <c r="D3799" s="8" t="s">
        <v>9224</v>
      </c>
      <c r="E3799" s="9" t="str">
        <f aca="false">HYPERLINK("https://twitter.com/abioleonardi/status/922168963630497794","922168963630497794")</f>
        <v>922168963630497794</v>
      </c>
      <c r="F3799" s="10" t="s">
        <v>25</v>
      </c>
      <c r="G3799" s="10" t="n">
        <v>209</v>
      </c>
      <c r="H3799" s="10" t="n">
        <v>317</v>
      </c>
      <c r="I3799" s="10" t="n">
        <v>1</v>
      </c>
      <c r="J3799" s="10" t="n">
        <v>0</v>
      </c>
      <c r="K3799" s="10" t="s">
        <v>20</v>
      </c>
      <c r="L3799" s="11" t="n">
        <v>40451.6596990741</v>
      </c>
      <c r="M3799" s="12"/>
      <c r="N3799" s="12" t="s">
        <v>9225</v>
      </c>
      <c r="O3799" s="9" t="str">
        <f aca="false">HYPERLINK("https://pbs.twimg.com/profile_images/378800000011881323/818afebea0e5a14da6ea4a057b9edd00_normal.png","View")</f>
        <v>View</v>
      </c>
      <c r="P3799" s="10"/>
    </row>
    <row r="3800" customFormat="false" ht="15.75" hidden="false" customHeight="false" outlineLevel="0" collapsed="false">
      <c r="A3800" s="6" t="n">
        <v>43030.4813657407</v>
      </c>
      <c r="B3800" s="7" t="str">
        <f aca="false">HYPERLINK("https://twitter.com/WalkerClarkLLC","@WalkerClarkLLC")</f>
        <v>@WalkerClarkLLC</v>
      </c>
      <c r="C3800" s="8" t="s">
        <v>5575</v>
      </c>
      <c r="D3800" s="8" t="s">
        <v>9075</v>
      </c>
      <c r="E3800" s="9" t="str">
        <f aca="false">HYPERLINK("https://twitter.com/WalkerClarkLLC/status/922168972354752514","922168972354752514")</f>
        <v>922168972354752514</v>
      </c>
      <c r="F3800" s="10" t="s">
        <v>39</v>
      </c>
      <c r="G3800" s="10" t="n">
        <v>820</v>
      </c>
      <c r="H3800" s="10" t="n">
        <v>2319</v>
      </c>
      <c r="I3800" s="10" t="n">
        <v>7</v>
      </c>
      <c r="J3800" s="10" t="n">
        <v>0</v>
      </c>
      <c r="K3800" s="10" t="s">
        <v>20</v>
      </c>
      <c r="L3800" s="11" t="n">
        <v>40605.787962963</v>
      </c>
      <c r="M3800" s="12" t="s">
        <v>5577</v>
      </c>
      <c r="N3800" s="12" t="s">
        <v>5578</v>
      </c>
      <c r="O3800" s="9" t="str">
        <f aca="false">HYPERLINK("https://pbs.twimg.com/profile_images/1471396483/cropped_logo_image_normal.png","View")</f>
        <v>View</v>
      </c>
      <c r="P3800" s="10"/>
    </row>
    <row r="3801" customFormat="false" ht="15.75" hidden="false" customHeight="false" outlineLevel="0" collapsed="false">
      <c r="A3801" s="6" t="n">
        <v>43030.4814351852</v>
      </c>
      <c r="B3801" s="7" t="str">
        <f aca="false">HYPERLINK("https://twitter.com/tqpzm","@tqpzm")</f>
        <v>@tqpzm</v>
      </c>
      <c r="C3801" s="14" t="s">
        <v>3818</v>
      </c>
      <c r="D3801" s="8" t="s">
        <v>9226</v>
      </c>
      <c r="E3801" s="9" t="str">
        <f aca="false">HYPERLINK("https://twitter.com/tqpzm/status/922168994718781441","922168994718781441")</f>
        <v>922168994718781441</v>
      </c>
      <c r="F3801" s="10" t="s">
        <v>55</v>
      </c>
      <c r="G3801" s="10" t="n">
        <v>180</v>
      </c>
      <c r="H3801" s="10" t="n">
        <v>8</v>
      </c>
      <c r="I3801" s="10" t="n">
        <v>0</v>
      </c>
      <c r="J3801" s="10" t="n">
        <v>0</v>
      </c>
      <c r="K3801" s="10" t="s">
        <v>20</v>
      </c>
      <c r="L3801" s="11" t="n">
        <v>40464.9325810185</v>
      </c>
      <c r="M3801" s="12"/>
      <c r="N3801" s="12"/>
      <c r="O3801" s="9" t="str">
        <f aca="false">HYPERLINK("https://pbs.twimg.com/profile_images/1148542178/___normal.jpg","View")</f>
        <v>View</v>
      </c>
      <c r="P3801" s="10"/>
    </row>
    <row r="3802" customFormat="false" ht="15.75" hidden="false" customHeight="false" outlineLevel="0" collapsed="false">
      <c r="A3802" s="6" t="n">
        <v>43030.4818287037</v>
      </c>
      <c r="B3802" s="7" t="str">
        <f aca="false">HYPERLINK("https://twitter.com/ManishAtru","@ManishAtru")</f>
        <v>@ManishAtru</v>
      </c>
      <c r="C3802" s="8" t="s">
        <v>9227</v>
      </c>
      <c r="D3802" s="8" t="s">
        <v>8538</v>
      </c>
      <c r="E3802" s="9" t="str">
        <f aca="false">HYPERLINK("https://twitter.com/ManishAtru/status/922169138218278912","922169138218278912")</f>
        <v>922169138218278912</v>
      </c>
      <c r="F3802" s="10" t="s">
        <v>25</v>
      </c>
      <c r="G3802" s="10" t="n">
        <v>124</v>
      </c>
      <c r="H3802" s="10" t="n">
        <v>122</v>
      </c>
      <c r="I3802" s="10" t="n">
        <v>1015</v>
      </c>
      <c r="J3802" s="10" t="n">
        <v>0</v>
      </c>
      <c r="K3802" s="10" t="s">
        <v>20</v>
      </c>
      <c r="L3802" s="11" t="n">
        <v>41741.4876967593</v>
      </c>
      <c r="M3802" s="12" t="s">
        <v>7908</v>
      </c>
      <c r="N3802" s="12"/>
      <c r="O3802" s="9" t="str">
        <f aca="false">HYPERLINK("https://pbs.twimg.com/profile_images/637170784243355648/NG9XV5TA_normal.jpg","View")</f>
        <v>View</v>
      </c>
      <c r="P3802" s="10"/>
    </row>
    <row r="3803" customFormat="false" ht="15.75" hidden="false" customHeight="false" outlineLevel="0" collapsed="false">
      <c r="A3803" s="6" t="n">
        <v>43030.4818518519</v>
      </c>
      <c r="B3803" s="7" t="str">
        <f aca="false">HYPERLINK("https://twitter.com/CollectedN","@CollectedN")</f>
        <v>@CollectedN</v>
      </c>
      <c r="C3803" s="8" t="s">
        <v>1803</v>
      </c>
      <c r="D3803" s="8" t="s">
        <v>9228</v>
      </c>
      <c r="E3803" s="9" t="str">
        <f aca="false">HYPERLINK("https://twitter.com/CollectedN/status/922169147022340096","922169147022340096")</f>
        <v>922169147022340096</v>
      </c>
      <c r="F3803" s="10" t="s">
        <v>60</v>
      </c>
      <c r="G3803" s="10" t="n">
        <v>21998</v>
      </c>
      <c r="H3803" s="10" t="n">
        <v>16536</v>
      </c>
      <c r="I3803" s="10" t="n">
        <v>0</v>
      </c>
      <c r="J3803" s="10" t="n">
        <v>0</v>
      </c>
      <c r="K3803" s="10" t="s">
        <v>20</v>
      </c>
      <c r="L3803" s="11" t="n">
        <v>41333.7684027778</v>
      </c>
      <c r="M3803" s="12"/>
      <c r="N3803" s="12" t="s">
        <v>1805</v>
      </c>
      <c r="O3803" s="9" t="str">
        <f aca="false">HYPERLINK("https://pbs.twimg.com/profile_images/705925817277108224/nGS1Ko7F_normal.jpg","View")</f>
        <v>View</v>
      </c>
      <c r="P3803" s="10"/>
    </row>
    <row r="3804" customFormat="false" ht="15.75" hidden="false" customHeight="false" outlineLevel="0" collapsed="false">
      <c r="A3804" s="6" t="n">
        <v>43030.482037037</v>
      </c>
      <c r="B3804" s="7" t="str">
        <f aca="false">HYPERLINK("https://twitter.com/worldnews_net","@worldnews_net")</f>
        <v>@worldnews_net</v>
      </c>
      <c r="C3804" s="8" t="s">
        <v>1738</v>
      </c>
      <c r="D3804" s="8" t="s">
        <v>9229</v>
      </c>
      <c r="E3804" s="9" t="str">
        <f aca="false">HYPERLINK("https://twitter.com/worldnews_net/status/922169213246111744","922169213246111744")</f>
        <v>922169213246111744</v>
      </c>
      <c r="F3804" s="10" t="s">
        <v>60</v>
      </c>
      <c r="G3804" s="10" t="n">
        <v>6454</v>
      </c>
      <c r="H3804" s="10" t="n">
        <v>1317</v>
      </c>
      <c r="I3804" s="10" t="n">
        <v>0</v>
      </c>
      <c r="J3804" s="10" t="n">
        <v>0</v>
      </c>
      <c r="K3804" s="10" t="s">
        <v>20</v>
      </c>
      <c r="L3804" s="11" t="n">
        <v>42056.080162037</v>
      </c>
      <c r="M3804" s="12"/>
      <c r="N3804" s="12" t="s">
        <v>1740</v>
      </c>
      <c r="O3804" s="9" t="str">
        <f aca="false">HYPERLINK("https://pbs.twimg.com/profile_images/570163852034076672/nbok5qlW_normal.jpeg","View")</f>
        <v>View</v>
      </c>
      <c r="P3804" s="10"/>
    </row>
    <row r="3805" customFormat="false" ht="15.75" hidden="false" customHeight="false" outlineLevel="0" collapsed="false">
      <c r="A3805" s="6" t="n">
        <v>43030.4822453704</v>
      </c>
      <c r="B3805" s="7" t="str">
        <f aca="false">HYPERLINK("https://twitter.com/rohithiware","@rohithiware")</f>
        <v>@rohithiware</v>
      </c>
      <c r="C3805" s="8" t="s">
        <v>9230</v>
      </c>
      <c r="D3805" s="8" t="s">
        <v>8538</v>
      </c>
      <c r="E3805" s="9" t="str">
        <f aca="false">HYPERLINK("https://twitter.com/rohithiware/status/922169291612471296","922169291612471296")</f>
        <v>922169291612471296</v>
      </c>
      <c r="F3805" s="10" t="s">
        <v>98</v>
      </c>
      <c r="G3805" s="10" t="n">
        <v>92</v>
      </c>
      <c r="H3805" s="10" t="n">
        <v>24</v>
      </c>
      <c r="I3805" s="10" t="n">
        <v>1015</v>
      </c>
      <c r="J3805" s="10" t="n">
        <v>0</v>
      </c>
      <c r="K3805" s="10" t="s">
        <v>20</v>
      </c>
      <c r="L3805" s="11" t="n">
        <v>40335.4075462963</v>
      </c>
      <c r="M3805" s="12"/>
      <c r="N3805" s="12"/>
      <c r="O3805" s="9" t="str">
        <f aca="false">HYPERLINK("https://abs.twimg.com/sticky/default_profile_images/default_profile_normal.png","View")</f>
        <v>View</v>
      </c>
      <c r="P3805" s="10"/>
    </row>
    <row r="3806" customFormat="false" ht="15.75" hidden="false" customHeight="false" outlineLevel="0" collapsed="false">
      <c r="A3806" s="6" t="n">
        <v>43030.4823842593</v>
      </c>
      <c r="B3806" s="7" t="str">
        <f aca="false">HYPERLINK("https://twitter.com/panguu","@panguu")</f>
        <v>@panguu</v>
      </c>
      <c r="C3806" s="8" t="s">
        <v>8033</v>
      </c>
      <c r="D3806" s="8" t="s">
        <v>9075</v>
      </c>
      <c r="E3806" s="9" t="str">
        <f aca="false">HYPERLINK("https://twitter.com/panguu/status/922169340048195584","922169340048195584")</f>
        <v>922169340048195584</v>
      </c>
      <c r="F3806" s="10" t="s">
        <v>39</v>
      </c>
      <c r="G3806" s="10" t="n">
        <v>573</v>
      </c>
      <c r="H3806" s="10" t="n">
        <v>2987</v>
      </c>
      <c r="I3806" s="10" t="n">
        <v>7</v>
      </c>
      <c r="J3806" s="10" t="n">
        <v>0</v>
      </c>
      <c r="K3806" s="10" t="s">
        <v>20</v>
      </c>
      <c r="L3806" s="11" t="n">
        <v>39969.5078935185</v>
      </c>
      <c r="M3806" s="12" t="s">
        <v>7716</v>
      </c>
      <c r="N3806" s="12" t="s">
        <v>9231</v>
      </c>
      <c r="O3806" s="9" t="str">
        <f aca="false">HYPERLINK("https://pbs.twimg.com/profile_images/622781451667382273/3f5rtv36_normal.jpg","View")</f>
        <v>View</v>
      </c>
      <c r="P3806" s="10"/>
    </row>
    <row r="3807" customFormat="false" ht="15.75" hidden="false" customHeight="false" outlineLevel="0" collapsed="false">
      <c r="A3807" s="6" t="n">
        <v>43030.4823958333</v>
      </c>
      <c r="B3807" s="7" t="str">
        <f aca="false">HYPERLINK("https://twitter.com/zoe_nor","@zoe_nor")</f>
        <v>@zoe_nor</v>
      </c>
      <c r="C3807" s="8" t="s">
        <v>9232</v>
      </c>
      <c r="D3807" s="8" t="s">
        <v>9233</v>
      </c>
      <c r="E3807" s="9" t="str">
        <f aca="false">HYPERLINK("https://twitter.com/zoe_nor/status/922169346306306049","922169346306306049")</f>
        <v>922169346306306049</v>
      </c>
      <c r="F3807" s="10" t="s">
        <v>60</v>
      </c>
      <c r="G3807" s="10" t="n">
        <v>778</v>
      </c>
      <c r="H3807" s="10" t="n">
        <v>218</v>
      </c>
      <c r="I3807" s="10" t="n">
        <v>0</v>
      </c>
      <c r="J3807" s="10" t="n">
        <v>0</v>
      </c>
      <c r="K3807" s="10" t="s">
        <v>20</v>
      </c>
      <c r="L3807" s="11" t="n">
        <v>41515.8474421296</v>
      </c>
      <c r="M3807" s="12" t="s">
        <v>1814</v>
      </c>
      <c r="N3807" s="12"/>
      <c r="O3807" s="9" t="str">
        <f aca="false">HYPERLINK("https://pbs.twimg.com/profile_images/378800000382767314/7a07c224f88a049f1c70c24e5dd522bc_normal.jpeg","View")</f>
        <v>View</v>
      </c>
      <c r="P3807" s="10"/>
    </row>
    <row r="3808" customFormat="false" ht="15.75" hidden="false" customHeight="false" outlineLevel="0" collapsed="false">
      <c r="A3808" s="6" t="n">
        <v>43030.482662037</v>
      </c>
      <c r="B3808" s="7" t="str">
        <f aca="false">HYPERLINK("https://twitter.com/caesarion2","@caesarion2")</f>
        <v>@caesarion2</v>
      </c>
      <c r="C3808" s="8" t="s">
        <v>9234</v>
      </c>
      <c r="D3808" s="8" t="s">
        <v>9235</v>
      </c>
      <c r="E3808" s="9" t="str">
        <f aca="false">HYPERLINK("https://twitter.com/caesarion2/status/922169442003537921","922169442003537921")</f>
        <v>922169442003537921</v>
      </c>
      <c r="F3808" s="10" t="s">
        <v>39</v>
      </c>
      <c r="G3808" s="10" t="n">
        <v>1745</v>
      </c>
      <c r="H3808" s="10" t="n">
        <v>4375</v>
      </c>
      <c r="I3808" s="10" t="n">
        <v>0</v>
      </c>
      <c r="J3808" s="10" t="n">
        <v>0</v>
      </c>
      <c r="K3808" s="10" t="s">
        <v>20</v>
      </c>
      <c r="L3808" s="11" t="n">
        <v>40188.4338425926</v>
      </c>
      <c r="M3808" s="12" t="s">
        <v>9236</v>
      </c>
      <c r="N3808" s="12" t="s">
        <v>9237</v>
      </c>
      <c r="O3808" s="9" t="str">
        <f aca="false">HYPERLINK("https://pbs.twimg.com/profile_images/660600912503812097/-eNqx_1k_normal.jpg","View")</f>
        <v>View</v>
      </c>
      <c r="P3808" s="10"/>
    </row>
    <row r="3809" customFormat="false" ht="15.75" hidden="false" customHeight="false" outlineLevel="0" collapsed="false">
      <c r="A3809" s="6" t="n">
        <v>43030.4827199074</v>
      </c>
      <c r="B3809" s="7" t="str">
        <f aca="false">HYPERLINK("https://twitter.com/Hindu__Rashtra","@Hindu__Rashtra")</f>
        <v>@Hindu__Rashtra</v>
      </c>
      <c r="C3809" s="8" t="s">
        <v>9238</v>
      </c>
      <c r="D3809" s="8" t="s">
        <v>8538</v>
      </c>
      <c r="E3809" s="9" t="str">
        <f aca="false">HYPERLINK("https://twitter.com/Hindu__Rashtra/status/922169460764549120","922169460764549120")</f>
        <v>922169460764549120</v>
      </c>
      <c r="F3809" s="10" t="s">
        <v>25</v>
      </c>
      <c r="G3809" s="10" t="n">
        <v>932</v>
      </c>
      <c r="H3809" s="10" t="n">
        <v>793</v>
      </c>
      <c r="I3809" s="10" t="n">
        <v>1015</v>
      </c>
      <c r="J3809" s="10" t="n">
        <v>0</v>
      </c>
      <c r="K3809" s="10" t="s">
        <v>20</v>
      </c>
      <c r="L3809" s="11" t="n">
        <v>41322.3397106481</v>
      </c>
      <c r="M3809" s="12" t="s">
        <v>9239</v>
      </c>
      <c r="N3809" s="12" t="s">
        <v>9240</v>
      </c>
      <c r="O3809" s="9" t="str">
        <f aca="false">HYPERLINK("https://pbs.twimg.com/profile_images/916346421040648192/055_ZAc0_normal.jpg","View")</f>
        <v>View</v>
      </c>
      <c r="P3809" s="10"/>
    </row>
    <row r="3810" customFormat="false" ht="15.75" hidden="false" customHeight="false" outlineLevel="0" collapsed="false">
      <c r="A3810" s="6" t="n">
        <v>43030.4828703704</v>
      </c>
      <c r="B3810" s="7" t="str">
        <f aca="false">HYPERLINK("https://twitter.com/IAnirbanG","@IAnirbanG")</f>
        <v>@IAnirbanG</v>
      </c>
      <c r="C3810" s="8" t="s">
        <v>9241</v>
      </c>
      <c r="D3810" s="8" t="s">
        <v>8538</v>
      </c>
      <c r="E3810" s="9" t="str">
        <f aca="false">HYPERLINK("https://twitter.com/IAnirbanG/status/922169517383364608","922169517383364608")</f>
        <v>922169517383364608</v>
      </c>
      <c r="F3810" s="10" t="s">
        <v>25</v>
      </c>
      <c r="G3810" s="10" t="n">
        <v>120</v>
      </c>
      <c r="H3810" s="10" t="n">
        <v>252</v>
      </c>
      <c r="I3810" s="10" t="n">
        <v>1015</v>
      </c>
      <c r="J3810" s="10" t="n">
        <v>0</v>
      </c>
      <c r="K3810" s="10" t="s">
        <v>20</v>
      </c>
      <c r="L3810" s="11" t="n">
        <v>42788.0022106482</v>
      </c>
      <c r="M3810" s="12"/>
      <c r="N3810" s="12" t="s">
        <v>9242</v>
      </c>
      <c r="O3810" s="9" t="str">
        <f aca="false">HYPERLINK("https://pbs.twimg.com/profile_images/838081023837618177/pOa4yZTO_normal.jpg","View")</f>
        <v>View</v>
      </c>
      <c r="P3810" s="10"/>
    </row>
    <row r="3811" customFormat="false" ht="15.75" hidden="false" customHeight="false" outlineLevel="0" collapsed="false">
      <c r="A3811" s="6" t="n">
        <v>43030.4830902778</v>
      </c>
      <c r="B3811" s="7" t="str">
        <f aca="false">HYPERLINK("https://twitter.com/ChicagooGoing","@ChicagooGoing")</f>
        <v>@ChicagooGoing</v>
      </c>
      <c r="C3811" s="8" t="s">
        <v>5803</v>
      </c>
      <c r="D3811" s="8" t="s">
        <v>9243</v>
      </c>
      <c r="E3811" s="9" t="str">
        <f aca="false">HYPERLINK("https://twitter.com/ChicagooGoing/status/922169595359780865","922169595359780865")</f>
        <v>922169595359780865</v>
      </c>
      <c r="F3811" s="9" t="s">
        <v>1147</v>
      </c>
      <c r="G3811" s="10" t="n">
        <v>951</v>
      </c>
      <c r="H3811" s="10" t="n">
        <v>2471</v>
      </c>
      <c r="I3811" s="10" t="n">
        <v>0</v>
      </c>
      <c r="J3811" s="10" t="n">
        <v>0</v>
      </c>
      <c r="K3811" s="10" t="s">
        <v>20</v>
      </c>
      <c r="L3811" s="11" t="n">
        <v>41284.6068055556</v>
      </c>
      <c r="M3811" s="12" t="s">
        <v>5805</v>
      </c>
      <c r="N3811" s="12" t="s">
        <v>5806</v>
      </c>
      <c r="O3811" s="9" t="str">
        <f aca="false">HYPERLINK("https://pbs.twimg.com/profile_images/3092250614/72441df72f617338f2ecaae798cc4bfd_normal.jpeg","View")</f>
        <v>View</v>
      </c>
      <c r="P3811" s="10"/>
    </row>
    <row r="3812" customFormat="false" ht="15.75" hidden="false" customHeight="false" outlineLevel="0" collapsed="false">
      <c r="A3812" s="6" t="n">
        <v>43030.4833564815</v>
      </c>
      <c r="B3812" s="7" t="str">
        <f aca="false">HYPERLINK("https://twitter.com/aaro0sh","@aaro0sh")</f>
        <v>@aaro0sh</v>
      </c>
      <c r="C3812" s="8" t="s">
        <v>9244</v>
      </c>
      <c r="D3812" s="8" t="s">
        <v>8538</v>
      </c>
      <c r="E3812" s="9" t="str">
        <f aca="false">HYPERLINK("https://twitter.com/aaro0sh/status/922169694446145536","922169694446145536")</f>
        <v>922169694446145536</v>
      </c>
      <c r="F3812" s="10" t="s">
        <v>51</v>
      </c>
      <c r="G3812" s="10" t="n">
        <v>48</v>
      </c>
      <c r="H3812" s="10" t="n">
        <v>322</v>
      </c>
      <c r="I3812" s="10" t="n">
        <v>1015</v>
      </c>
      <c r="J3812" s="10" t="n">
        <v>0</v>
      </c>
      <c r="K3812" s="10" t="s">
        <v>20</v>
      </c>
      <c r="L3812" s="11" t="n">
        <v>42650.7567708333</v>
      </c>
      <c r="M3812" s="12" t="s">
        <v>253</v>
      </c>
      <c r="N3812" s="12" t="s">
        <v>9245</v>
      </c>
      <c r="O3812" s="9" t="str">
        <f aca="false">HYPERLINK("https://pbs.twimg.com/profile_images/784564004505149440/4K7V2f4w_normal.jpg","View")</f>
        <v>View</v>
      </c>
      <c r="P3812" s="10"/>
    </row>
    <row r="3813" customFormat="false" ht="15.75" hidden="false" customHeight="false" outlineLevel="0" collapsed="false">
      <c r="A3813" s="6" t="n">
        <v>43030.4834375</v>
      </c>
      <c r="B3813" s="7" t="str">
        <f aca="false">HYPERLINK("https://twitter.com/AnnadianaMeryl","@AnnadianaMeryl")</f>
        <v>@AnnadianaMeryl</v>
      </c>
      <c r="C3813" s="8" t="s">
        <v>9246</v>
      </c>
      <c r="D3813" s="8" t="s">
        <v>9247</v>
      </c>
      <c r="E3813" s="9" t="str">
        <f aca="false">HYPERLINK("https://twitter.com/AnnadianaMeryl/status/922169723684605953","922169723684605953")</f>
        <v>922169723684605953</v>
      </c>
      <c r="F3813" s="10" t="s">
        <v>60</v>
      </c>
      <c r="G3813" s="10" t="n">
        <v>0</v>
      </c>
      <c r="H3813" s="10" t="n">
        <v>0</v>
      </c>
      <c r="I3813" s="10" t="n">
        <v>0</v>
      </c>
      <c r="J3813" s="10" t="n">
        <v>0</v>
      </c>
      <c r="K3813" s="10" t="s">
        <v>20</v>
      </c>
      <c r="L3813" s="11" t="n">
        <v>43022.0817361111</v>
      </c>
      <c r="M3813" s="12" t="s">
        <v>295</v>
      </c>
      <c r="N3813" s="12" t="s">
        <v>9248</v>
      </c>
      <c r="O3813" s="9" t="str">
        <f aca="false">HYPERLINK("https://pbs.twimg.com/profile_images/921596749612965889/anwQrB2g_normal.jpg","View")</f>
        <v>View</v>
      </c>
      <c r="P3813" s="10"/>
    </row>
    <row r="3814" customFormat="false" ht="15.75" hidden="false" customHeight="false" outlineLevel="0" collapsed="false">
      <c r="A3814" s="6" t="n">
        <v>43030.4836226852</v>
      </c>
      <c r="B3814" s="7" t="str">
        <f aca="false">HYPERLINK("https://twitter.com/karensitaaaa47","@karensitaaaa47")</f>
        <v>@karensitaaaa47</v>
      </c>
      <c r="C3814" s="8" t="s">
        <v>9249</v>
      </c>
      <c r="D3814" s="8" t="s">
        <v>9250</v>
      </c>
      <c r="E3814" s="9" t="str">
        <f aca="false">HYPERLINK("https://twitter.com/karensitaaaa47/status/922169787173683200","922169787173683200")</f>
        <v>922169787173683200</v>
      </c>
      <c r="F3814" s="10" t="s">
        <v>25</v>
      </c>
      <c r="G3814" s="10" t="n">
        <v>54</v>
      </c>
      <c r="H3814" s="10" t="n">
        <v>1776</v>
      </c>
      <c r="I3814" s="10" t="n">
        <v>1</v>
      </c>
      <c r="J3814" s="10" t="n">
        <v>0</v>
      </c>
      <c r="K3814" s="10" t="s">
        <v>20</v>
      </c>
      <c r="L3814" s="11" t="n">
        <v>41724.1931944445</v>
      </c>
      <c r="M3814" s="12" t="s">
        <v>8504</v>
      </c>
      <c r="N3814" s="12"/>
      <c r="O3814" s="9" t="str">
        <f aca="false">HYPERLINK("https://pbs.twimg.com/profile_images/749764384088481793/aI7GN_38_normal.jpg","View")</f>
        <v>View</v>
      </c>
      <c r="P3814" s="10"/>
    </row>
    <row r="3815" customFormat="false" ht="15.75" hidden="false" customHeight="false" outlineLevel="0" collapsed="false">
      <c r="A3815" s="6" t="n">
        <v>43030.4845023148</v>
      </c>
      <c r="B3815" s="7" t="str">
        <f aca="false">HYPERLINK("https://twitter.com/sujitchandran","@sujitchandran")</f>
        <v>@sujitchandran</v>
      </c>
      <c r="C3815" s="8" t="s">
        <v>9251</v>
      </c>
      <c r="D3815" s="8" t="s">
        <v>8538</v>
      </c>
      <c r="E3815" s="9" t="str">
        <f aca="false">HYPERLINK("https://twitter.com/sujitchandran/status/922170108595728384","922170108595728384")</f>
        <v>922170108595728384</v>
      </c>
      <c r="F3815" s="10" t="s">
        <v>25</v>
      </c>
      <c r="G3815" s="10" t="n">
        <v>214</v>
      </c>
      <c r="H3815" s="10" t="n">
        <v>108</v>
      </c>
      <c r="I3815" s="10" t="n">
        <v>1015</v>
      </c>
      <c r="J3815" s="10" t="n">
        <v>0</v>
      </c>
      <c r="K3815" s="10" t="s">
        <v>20</v>
      </c>
      <c r="L3815" s="11" t="n">
        <v>40447.8467824074</v>
      </c>
      <c r="M3815" s="12"/>
      <c r="N3815" s="12"/>
      <c r="O3815" s="9" t="str">
        <f aca="false">HYPERLINK("https://abs.twimg.com/sticky/default_profile_images/default_profile_normal.png","View")</f>
        <v>View</v>
      </c>
      <c r="P3815" s="10"/>
    </row>
    <row r="3816" customFormat="false" ht="15.75" hidden="false" customHeight="false" outlineLevel="0" collapsed="false">
      <c r="A3816" s="6" t="n">
        <v>43030.4846759259</v>
      </c>
      <c r="B3816" s="7" t="str">
        <f aca="false">HYPERLINK("https://twitter.com/Aryavart_Bhumi","@Aryavart_Bhumi")</f>
        <v>@Aryavart_Bhumi</v>
      </c>
      <c r="C3816" s="8" t="s">
        <v>9252</v>
      </c>
      <c r="D3816" s="8" t="s">
        <v>8538</v>
      </c>
      <c r="E3816" s="9" t="str">
        <f aca="false">HYPERLINK("https://twitter.com/Aryavart_Bhumi/status/922170169786621959","922170169786621959")</f>
        <v>922170169786621959</v>
      </c>
      <c r="F3816" s="10" t="s">
        <v>25</v>
      </c>
      <c r="G3816" s="10" t="n">
        <v>18105</v>
      </c>
      <c r="H3816" s="10" t="n">
        <v>7505</v>
      </c>
      <c r="I3816" s="10" t="n">
        <v>1015</v>
      </c>
      <c r="J3816" s="10" t="n">
        <v>0</v>
      </c>
      <c r="K3816" s="10" t="s">
        <v>20</v>
      </c>
      <c r="L3816" s="11" t="n">
        <v>41044.9110300926</v>
      </c>
      <c r="M3816" s="12" t="s">
        <v>9253</v>
      </c>
      <c r="N3816" s="12" t="s">
        <v>9254</v>
      </c>
      <c r="O3816" s="9" t="str">
        <f aca="false">HYPERLINK("https://pbs.twimg.com/profile_images/897152167554957313/0-c8qNlL_normal.jpg","View")</f>
        <v>View</v>
      </c>
      <c r="P3816" s="10"/>
    </row>
    <row r="3817" customFormat="false" ht="15.75" hidden="false" customHeight="false" outlineLevel="0" collapsed="false">
      <c r="A3817" s="6" t="n">
        <v>43030.4847106481</v>
      </c>
      <c r="B3817" s="7" t="str">
        <f aca="false">HYPERLINK("https://twitter.com/Morgan4xx","@Morgan4xx")</f>
        <v>@Morgan4xx</v>
      </c>
      <c r="C3817" s="8" t="s">
        <v>9255</v>
      </c>
      <c r="D3817" s="8" t="s">
        <v>9256</v>
      </c>
      <c r="E3817" s="9" t="str">
        <f aca="false">HYPERLINK("https://twitter.com/Morgan4xx/status/922170184235978752","922170184235978752")</f>
        <v>922170184235978752</v>
      </c>
      <c r="F3817" s="10" t="s">
        <v>51</v>
      </c>
      <c r="G3817" s="10" t="n">
        <v>44563</v>
      </c>
      <c r="H3817" s="10" t="n">
        <v>43115</v>
      </c>
      <c r="I3817" s="10" t="n">
        <v>0</v>
      </c>
      <c r="J3817" s="10" t="n">
        <v>5</v>
      </c>
      <c r="K3817" s="10" t="s">
        <v>20</v>
      </c>
      <c r="L3817" s="11" t="n">
        <v>41505.6068634259</v>
      </c>
      <c r="M3817" s="12" t="s">
        <v>9257</v>
      </c>
      <c r="N3817" s="12" t="s">
        <v>9258</v>
      </c>
      <c r="O3817" s="9" t="str">
        <f aca="false">HYPERLINK("https://pbs.twimg.com/profile_images/887527635294748673/1VkAhoZV_normal.jpg","View")</f>
        <v>View</v>
      </c>
      <c r="P3817" s="10"/>
    </row>
    <row r="3818" customFormat="false" ht="15.75" hidden="false" customHeight="false" outlineLevel="0" collapsed="false">
      <c r="A3818" s="6" t="n">
        <v>43030.4847685185</v>
      </c>
      <c r="B3818" s="7" t="str">
        <f aca="false">HYPERLINK("https://twitter.com/Asipatravana","@Asipatravana")</f>
        <v>@Asipatravana</v>
      </c>
      <c r="C3818" s="8" t="s">
        <v>9259</v>
      </c>
      <c r="D3818" s="8" t="s">
        <v>9260</v>
      </c>
      <c r="E3818" s="9" t="str">
        <f aca="false">HYPERLINK("https://twitter.com/Asipatravana/status/922170206197227520","922170206197227520")</f>
        <v>922170206197227520</v>
      </c>
      <c r="F3818" s="10" t="s">
        <v>39</v>
      </c>
      <c r="G3818" s="10" t="n">
        <v>287</v>
      </c>
      <c r="H3818" s="10" t="n">
        <v>278</v>
      </c>
      <c r="I3818" s="10" t="n">
        <v>2</v>
      </c>
      <c r="J3818" s="10" t="n">
        <v>6</v>
      </c>
      <c r="K3818" s="10" t="s">
        <v>20</v>
      </c>
      <c r="L3818" s="11" t="n">
        <v>42991.2481018519</v>
      </c>
      <c r="M3818" s="12" t="s">
        <v>72</v>
      </c>
      <c r="N3818" s="12" t="s">
        <v>9261</v>
      </c>
      <c r="O3818" s="9" t="str">
        <f aca="false">HYPERLINK("https://pbs.twimg.com/profile_images/907954746127826944/-FPjkNKf_normal.jpg","View")</f>
        <v>View</v>
      </c>
      <c r="P3818" s="10"/>
    </row>
    <row r="3819" customFormat="false" ht="15.75" hidden="false" customHeight="false" outlineLevel="0" collapsed="false">
      <c r="A3819" s="6" t="n">
        <v>43030.4847800926</v>
      </c>
      <c r="B3819" s="7" t="str">
        <f aca="false">HYPERLINK("https://twitter.com/vankevihari","@vankevihari")</f>
        <v>@vankevihari</v>
      </c>
      <c r="C3819" s="8" t="s">
        <v>9262</v>
      </c>
      <c r="D3819" s="8" t="s">
        <v>8538</v>
      </c>
      <c r="E3819" s="9" t="str">
        <f aca="false">HYPERLINK("https://twitter.com/vankevihari/status/922170208038596608","922170208038596608")</f>
        <v>922170208038596608</v>
      </c>
      <c r="F3819" s="10" t="s">
        <v>51</v>
      </c>
      <c r="G3819" s="10" t="n">
        <v>80</v>
      </c>
      <c r="H3819" s="10" t="n">
        <v>629</v>
      </c>
      <c r="I3819" s="10" t="n">
        <v>1015</v>
      </c>
      <c r="J3819" s="10" t="n">
        <v>0</v>
      </c>
      <c r="K3819" s="10" t="s">
        <v>20</v>
      </c>
      <c r="L3819" s="11" t="n">
        <v>41025.4220949074</v>
      </c>
      <c r="M3819" s="12"/>
      <c r="N3819" s="12" t="s">
        <v>9263</v>
      </c>
      <c r="O3819" s="9" t="str">
        <f aca="false">HYPERLINK("https://pbs.twimg.com/profile_images/909570105813630976/GvdDWhsC_normal.jpg","View")</f>
        <v>View</v>
      </c>
      <c r="P3819" s="10"/>
    </row>
    <row r="3820" customFormat="false" ht="15.75" hidden="false" customHeight="false" outlineLevel="0" collapsed="false">
      <c r="A3820" s="6" t="n">
        <v>43030.484849537</v>
      </c>
      <c r="B3820" s="7" t="str">
        <f aca="false">HYPERLINK("https://twitter.com/ananta_108","@ananta_108")</f>
        <v>@ananta_108</v>
      </c>
      <c r="C3820" s="8" t="s">
        <v>9264</v>
      </c>
      <c r="D3820" s="8" t="s">
        <v>8538</v>
      </c>
      <c r="E3820" s="9" t="str">
        <f aca="false">HYPERLINK("https://twitter.com/ananta_108/status/922170234814918656","922170234814918656")</f>
        <v>922170234814918656</v>
      </c>
      <c r="F3820" s="10" t="s">
        <v>25</v>
      </c>
      <c r="G3820" s="10" t="n">
        <v>98</v>
      </c>
      <c r="H3820" s="10" t="n">
        <v>348</v>
      </c>
      <c r="I3820" s="10" t="n">
        <v>1015</v>
      </c>
      <c r="J3820" s="10" t="n">
        <v>0</v>
      </c>
      <c r="K3820" s="10" t="s">
        <v>20</v>
      </c>
      <c r="L3820" s="11" t="n">
        <v>42234.5229166667</v>
      </c>
      <c r="M3820" s="12" t="s">
        <v>64</v>
      </c>
      <c r="N3820" s="12"/>
      <c r="O3820" s="9" t="str">
        <f aca="false">HYPERLINK("https://pbs.twimg.com/profile_images/923373321957150720/Hs0nzizm_normal.jpg","View")</f>
        <v>View</v>
      </c>
      <c r="P3820" s="10"/>
    </row>
    <row r="3821" customFormat="false" ht="15.75" hidden="false" customHeight="false" outlineLevel="0" collapsed="false">
      <c r="A3821" s="6" t="n">
        <v>43030.4850462963</v>
      </c>
      <c r="B3821" s="7" t="str">
        <f aca="false">HYPERLINK("https://twitter.com/lava_agarwal","@lava_agarwal")</f>
        <v>@lava_agarwal</v>
      </c>
      <c r="C3821" s="8" t="s">
        <v>9265</v>
      </c>
      <c r="D3821" s="8" t="s">
        <v>8538</v>
      </c>
      <c r="E3821" s="9" t="str">
        <f aca="false">HYPERLINK("https://twitter.com/lava_agarwal/status/922170305165983744","922170305165983744")</f>
        <v>922170305165983744</v>
      </c>
      <c r="F3821" s="10" t="s">
        <v>98</v>
      </c>
      <c r="G3821" s="10" t="n">
        <v>208</v>
      </c>
      <c r="H3821" s="10" t="n">
        <v>72</v>
      </c>
      <c r="I3821" s="10" t="n">
        <v>1015</v>
      </c>
      <c r="J3821" s="10" t="n">
        <v>0</v>
      </c>
      <c r="K3821" s="10" t="s">
        <v>20</v>
      </c>
      <c r="L3821" s="11" t="n">
        <v>42313.1084606481</v>
      </c>
      <c r="M3821" s="12"/>
      <c r="N3821" s="12"/>
      <c r="O3821" s="9" t="str">
        <f aca="false">HYPERLINK("https://abs.twimg.com/sticky/default_profile_images/default_profile_normal.png","View")</f>
        <v>View</v>
      </c>
      <c r="P3821" s="10"/>
    </row>
    <row r="3822" customFormat="false" ht="15.75" hidden="false" customHeight="false" outlineLevel="0" collapsed="false">
      <c r="A3822" s="6" t="n">
        <v>43030.4852199074</v>
      </c>
      <c r="B3822" s="7" t="str">
        <f aca="false">HYPERLINK("https://twitter.com/research_trade","@research_trade")</f>
        <v>@research_trade</v>
      </c>
      <c r="C3822" s="8" t="s">
        <v>9266</v>
      </c>
      <c r="D3822" s="8" t="s">
        <v>8871</v>
      </c>
      <c r="E3822" s="9" t="str">
        <f aca="false">HYPERLINK("https://twitter.com/research_trade/status/922170369133481984","922170369133481984")</f>
        <v>922170369133481984</v>
      </c>
      <c r="F3822" s="10" t="s">
        <v>39</v>
      </c>
      <c r="G3822" s="10" t="n">
        <v>6573</v>
      </c>
      <c r="H3822" s="10" t="n">
        <v>3613</v>
      </c>
      <c r="I3822" s="10" t="n">
        <v>7</v>
      </c>
      <c r="J3822" s="10" t="n">
        <v>0</v>
      </c>
      <c r="K3822" s="10" t="s">
        <v>20</v>
      </c>
      <c r="L3822" s="11" t="n">
        <v>42442.2357407407</v>
      </c>
      <c r="M3822" s="12" t="s">
        <v>182</v>
      </c>
      <c r="N3822" s="12" t="s">
        <v>9267</v>
      </c>
      <c r="O3822" s="9" t="str">
        <f aca="false">HYPERLINK("https://pbs.twimg.com/profile_images/710932505638125569/o2JF_DfP_normal.jpg","View")</f>
        <v>View</v>
      </c>
      <c r="P3822" s="10"/>
    </row>
    <row r="3823" customFormat="false" ht="15.75" hidden="false" customHeight="false" outlineLevel="0" collapsed="false">
      <c r="A3823" s="6" t="n">
        <v>43030.4852777778</v>
      </c>
      <c r="B3823" s="7" t="str">
        <f aca="false">HYPERLINK("https://twitter.com/bijuganesh","@bijuganesh")</f>
        <v>@bijuganesh</v>
      </c>
      <c r="C3823" s="8" t="s">
        <v>9268</v>
      </c>
      <c r="D3823" s="8" t="s">
        <v>8538</v>
      </c>
      <c r="E3823" s="9" t="str">
        <f aca="false">HYPERLINK("https://twitter.com/bijuganesh/status/922170390767583232","922170390767583232")</f>
        <v>922170390767583232</v>
      </c>
      <c r="F3823" s="10" t="s">
        <v>25</v>
      </c>
      <c r="G3823" s="10" t="n">
        <v>363</v>
      </c>
      <c r="H3823" s="10" t="n">
        <v>1325</v>
      </c>
      <c r="I3823" s="10" t="n">
        <v>1015</v>
      </c>
      <c r="J3823" s="10" t="n">
        <v>0</v>
      </c>
      <c r="K3823" s="10" t="s">
        <v>20</v>
      </c>
      <c r="L3823" s="11" t="n">
        <v>39908.1516435185</v>
      </c>
      <c r="M3823" s="12" t="s">
        <v>5883</v>
      </c>
      <c r="N3823" s="12" t="s">
        <v>9269</v>
      </c>
      <c r="O3823" s="9" t="str">
        <f aca="false">HYPERLINK("https://pbs.twimg.com/profile_images/791334130541670401/u1hXU0Fy_normal.jpg","View")</f>
        <v>View</v>
      </c>
      <c r="P3823" s="10"/>
    </row>
    <row r="3824" customFormat="false" ht="15.75" hidden="false" customHeight="false" outlineLevel="0" collapsed="false">
      <c r="A3824" s="6" t="n">
        <v>43030.4853587963</v>
      </c>
      <c r="B3824" s="7" t="str">
        <f aca="false">HYPERLINK("https://twitter.com/Rajeev_kumar15","@Rajeev_kumar15")</f>
        <v>@Rajeev_kumar15</v>
      </c>
      <c r="C3824" s="8" t="s">
        <v>9270</v>
      </c>
      <c r="D3824" s="8" t="s">
        <v>9271</v>
      </c>
      <c r="E3824" s="9" t="str">
        <f aca="false">HYPERLINK("https://twitter.com/Rajeev_kumar15/status/922170417585971200","922170417585971200")</f>
        <v>922170417585971200</v>
      </c>
      <c r="F3824" s="10" t="s">
        <v>39</v>
      </c>
      <c r="G3824" s="10" t="n">
        <v>27</v>
      </c>
      <c r="H3824" s="10" t="n">
        <v>118</v>
      </c>
      <c r="I3824" s="10" t="n">
        <v>0</v>
      </c>
      <c r="J3824" s="10" t="n">
        <v>0</v>
      </c>
      <c r="K3824" s="10" t="s">
        <v>20</v>
      </c>
      <c r="L3824" s="11" t="n">
        <v>40706.4771759259</v>
      </c>
      <c r="M3824" s="12" t="s">
        <v>72</v>
      </c>
      <c r="N3824" s="12" t="s">
        <v>9272</v>
      </c>
      <c r="O3824" s="9" t="str">
        <f aca="false">HYPERLINK("https://pbs.twimg.com/profile_images/838269673322004480/63KFYcwe_normal.jpg","View")</f>
        <v>View</v>
      </c>
      <c r="P3824" s="10"/>
    </row>
    <row r="3825" customFormat="false" ht="15.75" hidden="false" customHeight="false" outlineLevel="0" collapsed="false">
      <c r="A3825" s="6" t="n">
        <v>43030.4854282407</v>
      </c>
      <c r="B3825" s="7" t="str">
        <f aca="false">HYPERLINK("https://twitter.com/nmfansm","@nmfansm")</f>
        <v>@nmfansm</v>
      </c>
      <c r="C3825" s="8" t="s">
        <v>9273</v>
      </c>
      <c r="D3825" s="8" t="s">
        <v>8538</v>
      </c>
      <c r="E3825" s="9" t="str">
        <f aca="false">HYPERLINK("https://twitter.com/nmfansm/status/922170443351523328","922170443351523328")</f>
        <v>922170443351523328</v>
      </c>
      <c r="F3825" s="10" t="s">
        <v>51</v>
      </c>
      <c r="G3825" s="10" t="n">
        <v>267</v>
      </c>
      <c r="H3825" s="10" t="n">
        <v>903</v>
      </c>
      <c r="I3825" s="10" t="n">
        <v>1015</v>
      </c>
      <c r="J3825" s="10" t="n">
        <v>0</v>
      </c>
      <c r="K3825" s="10" t="s">
        <v>20</v>
      </c>
      <c r="L3825" s="11" t="n">
        <v>40252.8017939815</v>
      </c>
      <c r="M3825" s="12"/>
      <c r="N3825" s="12" t="s">
        <v>9274</v>
      </c>
      <c r="O3825" s="9" t="str">
        <f aca="false">HYPERLINK("https://abs.twimg.com/sticky/default_profile_images/default_profile_normal.png","View")</f>
        <v>View</v>
      </c>
      <c r="P3825" s="10"/>
    </row>
    <row r="3826" customFormat="false" ht="15.75" hidden="false" customHeight="false" outlineLevel="0" collapsed="false">
      <c r="A3826" s="6" t="n">
        <v>43030.4859143519</v>
      </c>
      <c r="B3826" s="7" t="str">
        <f aca="false">HYPERLINK("https://twitter.com/FootballField","@FootballField")</f>
        <v>@FootballField</v>
      </c>
      <c r="C3826" s="8" t="s">
        <v>9275</v>
      </c>
      <c r="D3826" s="8" t="s">
        <v>9276</v>
      </c>
      <c r="E3826" s="9" t="str">
        <f aca="false">HYPERLINK("https://twitter.com/FootballField/status/922170621106294784","922170621106294784")</f>
        <v>922170621106294784</v>
      </c>
      <c r="F3826" s="10" t="s">
        <v>55</v>
      </c>
      <c r="G3826" s="10" t="n">
        <v>605</v>
      </c>
      <c r="H3826" s="10" t="n">
        <v>337</v>
      </c>
      <c r="I3826" s="10" t="n">
        <v>0</v>
      </c>
      <c r="J3826" s="10" t="n">
        <v>0</v>
      </c>
      <c r="K3826" s="10" t="s">
        <v>20</v>
      </c>
      <c r="L3826" s="11" t="n">
        <v>40196.7441087963</v>
      </c>
      <c r="M3826" s="12"/>
      <c r="N3826" s="12"/>
      <c r="O3826" s="9" t="str">
        <f aca="false">HYPERLINK("https://pbs.twimg.com/profile_images/642079650/wilson-f1005r-leather-official-ncaa-football_normal.jpg","View")</f>
        <v>View</v>
      </c>
      <c r="P3826" s="10"/>
    </row>
    <row r="3827" customFormat="false" ht="15.75" hidden="false" customHeight="false" outlineLevel="0" collapsed="false">
      <c r="A3827" s="6" t="n">
        <v>43030.4860069444</v>
      </c>
      <c r="B3827" s="7" t="str">
        <f aca="false">HYPERLINK("https://twitter.com/mpg25mary","@mpg25mary")</f>
        <v>@mpg25mary</v>
      </c>
      <c r="C3827" s="8" t="s">
        <v>9277</v>
      </c>
      <c r="D3827" s="8" t="s">
        <v>7364</v>
      </c>
      <c r="E3827" s="9" t="str">
        <f aca="false">HYPERLINK("https://twitter.com/mpg25mary/status/922170654375284736","922170654375284736")</f>
        <v>922170654375284736</v>
      </c>
      <c r="F3827" s="10" t="s">
        <v>177</v>
      </c>
      <c r="G3827" s="10" t="n">
        <v>6840</v>
      </c>
      <c r="H3827" s="10" t="n">
        <v>6967</v>
      </c>
      <c r="I3827" s="10" t="n">
        <v>3</v>
      </c>
      <c r="J3827" s="10" t="n">
        <v>0</v>
      </c>
      <c r="K3827" s="10" t="s">
        <v>20</v>
      </c>
      <c r="L3827" s="11" t="n">
        <v>41446.8420486111</v>
      </c>
      <c r="M3827" s="12" t="s">
        <v>9278</v>
      </c>
      <c r="N3827" s="12" t="s">
        <v>9279</v>
      </c>
      <c r="O3827" s="9" t="str">
        <f aca="false">HYPERLINK("https://pbs.twimg.com/profile_images/378800000266219542/ae7e62375e2c73a216e8d4507fae5017_normal.jpeg","View")</f>
        <v>View</v>
      </c>
      <c r="P3827" s="10"/>
    </row>
    <row r="3828" customFormat="false" ht="15.75" hidden="false" customHeight="false" outlineLevel="0" collapsed="false">
      <c r="A3828" s="6" t="n">
        <v>43030.4860185185</v>
      </c>
      <c r="B3828" s="7" t="str">
        <f aca="false">HYPERLINK("https://twitter.com/ToBeSafeNSound","@ToBeSafeNSound")</f>
        <v>@ToBeSafeNSound</v>
      </c>
      <c r="C3828" s="8" t="s">
        <v>9280</v>
      </c>
      <c r="D3828" s="8" t="s">
        <v>9281</v>
      </c>
      <c r="E3828" s="9" t="str">
        <f aca="false">HYPERLINK("https://twitter.com/ToBeSafeNSound/status/922170657407827968","922170657407827968")</f>
        <v>922170657407827968</v>
      </c>
      <c r="F3828" s="10" t="s">
        <v>51</v>
      </c>
      <c r="G3828" s="10" t="n">
        <v>19233</v>
      </c>
      <c r="H3828" s="10" t="n">
        <v>15936</v>
      </c>
      <c r="I3828" s="10" t="n">
        <v>0</v>
      </c>
      <c r="J3828" s="10" t="n">
        <v>0</v>
      </c>
      <c r="K3828" s="10" t="s">
        <v>20</v>
      </c>
      <c r="L3828" s="11" t="n">
        <v>39965.6365740741</v>
      </c>
      <c r="M3828" s="12"/>
      <c r="N3828" s="12" t="s">
        <v>9282</v>
      </c>
      <c r="O3828" s="9" t="str">
        <f aca="false">HYPERLINK("https://pbs.twimg.com/profile_images/248454464/Anne_normal.jpg","View")</f>
        <v>View</v>
      </c>
      <c r="P3828" s="10"/>
    </row>
    <row r="3829" customFormat="false" ht="15.75" hidden="false" customHeight="false" outlineLevel="0" collapsed="false">
      <c r="A3829" s="6" t="n">
        <v>43030.4861342593</v>
      </c>
      <c r="B3829" s="7" t="str">
        <f aca="false">HYPERLINK("https://twitter.com/Nilakurinji","@Nilakurinji")</f>
        <v>@Nilakurinji</v>
      </c>
      <c r="C3829" s="8" t="s">
        <v>9283</v>
      </c>
      <c r="D3829" s="8" t="s">
        <v>8538</v>
      </c>
      <c r="E3829" s="9" t="str">
        <f aca="false">HYPERLINK("https://twitter.com/Nilakurinji/status/922170699191549952","922170699191549952")</f>
        <v>922170699191549952</v>
      </c>
      <c r="F3829" s="10" t="s">
        <v>25</v>
      </c>
      <c r="G3829" s="10" t="n">
        <v>86</v>
      </c>
      <c r="H3829" s="10" t="n">
        <v>25</v>
      </c>
      <c r="I3829" s="10" t="n">
        <v>1015</v>
      </c>
      <c r="J3829" s="10" t="n">
        <v>0</v>
      </c>
      <c r="K3829" s="10" t="s">
        <v>20</v>
      </c>
      <c r="L3829" s="11" t="n">
        <v>42389.3113888889</v>
      </c>
      <c r="M3829" s="12" t="s">
        <v>1104</v>
      </c>
      <c r="N3829" s="12" t="s">
        <v>9284</v>
      </c>
      <c r="O3829" s="9" t="str">
        <f aca="false">HYPERLINK("https://pbs.twimg.com/profile_images/915276129526673408/n09YI2ux_normal.jpg","View")</f>
        <v>View</v>
      </c>
      <c r="P3829" s="10"/>
    </row>
    <row r="3830" customFormat="false" ht="15.75" hidden="false" customHeight="false" outlineLevel="0" collapsed="false">
      <c r="A3830" s="6" t="n">
        <v>43030.4861921296</v>
      </c>
      <c r="B3830" s="7" t="str">
        <f aca="false">HYPERLINK("https://twitter.com/BaybeeReade","@BaybeeReade")</f>
        <v>@BaybeeReade</v>
      </c>
      <c r="C3830" s="8" t="s">
        <v>9285</v>
      </c>
      <c r="D3830" s="8" t="s">
        <v>9286</v>
      </c>
      <c r="E3830" s="9" t="str">
        <f aca="false">HYPERLINK("https://twitter.com/BaybeeReade/status/922170720997687297","922170720997687297")</f>
        <v>922170720997687297</v>
      </c>
      <c r="F3830" s="10" t="s">
        <v>51</v>
      </c>
      <c r="G3830" s="10" t="n">
        <v>10173</v>
      </c>
      <c r="H3830" s="10" t="n">
        <v>10061</v>
      </c>
      <c r="I3830" s="10" t="n">
        <v>0</v>
      </c>
      <c r="J3830" s="10" t="n">
        <v>0</v>
      </c>
      <c r="K3830" s="10" t="s">
        <v>20</v>
      </c>
      <c r="L3830" s="11" t="n">
        <v>40020.540775463</v>
      </c>
      <c r="M3830" s="12" t="s">
        <v>230</v>
      </c>
      <c r="N3830" s="12" t="s">
        <v>9287</v>
      </c>
      <c r="O3830" s="9" t="str">
        <f aca="false">HYPERLINK("https://pbs.twimg.com/profile_images/1146191381/Portrait_of_Baybee_3_normal.JPG","View")</f>
        <v>View</v>
      </c>
      <c r="P3830" s="10"/>
    </row>
    <row r="3831" customFormat="false" ht="15.75" hidden="false" customHeight="false" outlineLevel="0" collapsed="false">
      <c r="A3831" s="6" t="n">
        <v>43030.4869560185</v>
      </c>
      <c r="B3831" s="7" t="str">
        <f aca="false">HYPERLINK("https://twitter.com/so_rahman","@so_rahman")</f>
        <v>@so_rahman</v>
      </c>
      <c r="C3831" s="8" t="s">
        <v>9288</v>
      </c>
      <c r="D3831" s="8" t="s">
        <v>3971</v>
      </c>
      <c r="E3831" s="9" t="str">
        <f aca="false">HYPERLINK("https://twitter.com/so_rahman/status/922170998920810500","922170998920810500")</f>
        <v>922170998920810500</v>
      </c>
      <c r="F3831" s="10" t="s">
        <v>51</v>
      </c>
      <c r="G3831" s="10" t="n">
        <v>1045</v>
      </c>
      <c r="H3831" s="10" t="n">
        <v>504</v>
      </c>
      <c r="I3831" s="10" t="n">
        <v>24</v>
      </c>
      <c r="J3831" s="10" t="n">
        <v>0</v>
      </c>
      <c r="K3831" s="10" t="s">
        <v>20</v>
      </c>
      <c r="L3831" s="11" t="n">
        <v>41793.1372453704</v>
      </c>
      <c r="M3831" s="12" t="s">
        <v>3962</v>
      </c>
      <c r="N3831" s="12" t="s">
        <v>9289</v>
      </c>
      <c r="O3831" s="9" t="str">
        <f aca="false">HYPERLINK("https://pbs.twimg.com/profile_images/473772158213033984/a_s2ICt1_normal.jpeg","View")</f>
        <v>View</v>
      </c>
      <c r="P3831" s="10"/>
    </row>
    <row r="3832" customFormat="false" ht="15.75" hidden="false" customHeight="false" outlineLevel="0" collapsed="false">
      <c r="A3832" s="6" t="n">
        <v>43030.487025463</v>
      </c>
      <c r="B3832" s="7" t="str">
        <f aca="false">HYPERLINK("https://twitter.com/saxenasan","@saxenasan")</f>
        <v>@saxenasan</v>
      </c>
      <c r="C3832" s="8" t="s">
        <v>9290</v>
      </c>
      <c r="D3832" s="8" t="s">
        <v>6558</v>
      </c>
      <c r="E3832" s="9" t="str">
        <f aca="false">HYPERLINK("https://twitter.com/saxenasan/status/922171021460779008","922171021460779008")</f>
        <v>922171021460779008</v>
      </c>
      <c r="F3832" s="10" t="s">
        <v>25</v>
      </c>
      <c r="G3832" s="10" t="n">
        <v>70</v>
      </c>
      <c r="H3832" s="10" t="n">
        <v>179</v>
      </c>
      <c r="I3832" s="10" t="n">
        <v>65</v>
      </c>
      <c r="J3832" s="10" t="n">
        <v>0</v>
      </c>
      <c r="K3832" s="10" t="s">
        <v>20</v>
      </c>
      <c r="L3832" s="11" t="n">
        <v>40737.4808217593</v>
      </c>
      <c r="M3832" s="12"/>
      <c r="N3832" s="12"/>
      <c r="O3832" s="9" t="str">
        <f aca="false">HYPERLINK("https://abs.twimg.com/sticky/default_profile_images/default_profile_normal.png","View")</f>
        <v>View</v>
      </c>
      <c r="P3832" s="10"/>
    </row>
    <row r="3833" customFormat="false" ht="15.75" hidden="false" customHeight="false" outlineLevel="0" collapsed="false">
      <c r="A3833" s="6" t="n">
        <v>43030.4871643519</v>
      </c>
      <c r="B3833" s="7" t="str">
        <f aca="false">HYPERLINK("https://twitter.com/StephenJacobi","@StephenJacobi")</f>
        <v>@StephenJacobi</v>
      </c>
      <c r="C3833" s="8" t="s">
        <v>9291</v>
      </c>
      <c r="D3833" s="8" t="s">
        <v>8871</v>
      </c>
      <c r="E3833" s="9" t="str">
        <f aca="false">HYPERLINK("https://twitter.com/StephenJacobi/status/922171070785863681","922171070785863681")</f>
        <v>922171070785863681</v>
      </c>
      <c r="F3833" s="10" t="s">
        <v>51</v>
      </c>
      <c r="G3833" s="10" t="n">
        <v>1696</v>
      </c>
      <c r="H3833" s="10" t="n">
        <v>922</v>
      </c>
      <c r="I3833" s="10" t="n">
        <v>7</v>
      </c>
      <c r="J3833" s="10" t="n">
        <v>0</v>
      </c>
      <c r="K3833" s="10" t="s">
        <v>20</v>
      </c>
      <c r="L3833" s="11" t="n">
        <v>41523.5197916667</v>
      </c>
      <c r="M3833" s="12" t="s">
        <v>2487</v>
      </c>
      <c r="N3833" s="12" t="s">
        <v>9292</v>
      </c>
      <c r="O3833" s="9" t="str">
        <f aca="false">HYPERLINK("https://pbs.twimg.com/profile_images/897335977110257664/WkZt5mx8_normal.jpg","View")</f>
        <v>View</v>
      </c>
      <c r="P3833" s="10"/>
    </row>
    <row r="3834" customFormat="false" ht="15.75" hidden="false" customHeight="false" outlineLevel="0" collapsed="false">
      <c r="A3834" s="6" t="n">
        <v>43030.4875810185</v>
      </c>
      <c r="B3834" s="7" t="str">
        <f aca="false">HYPERLINK("https://twitter.com/mahadevrdesai","@mahadevrdesai")</f>
        <v>@mahadevrdesai</v>
      </c>
      <c r="C3834" s="8" t="s">
        <v>9293</v>
      </c>
      <c r="D3834" s="8" t="s">
        <v>8538</v>
      </c>
      <c r="E3834" s="9" t="str">
        <f aca="false">HYPERLINK("https://twitter.com/mahadevrdesai/status/922171223743827969","922171223743827969")</f>
        <v>922171223743827969</v>
      </c>
      <c r="F3834" s="10" t="s">
        <v>25</v>
      </c>
      <c r="G3834" s="10" t="n">
        <v>4182</v>
      </c>
      <c r="H3834" s="10" t="n">
        <v>952</v>
      </c>
      <c r="I3834" s="10" t="n">
        <v>1015</v>
      </c>
      <c r="J3834" s="10" t="n">
        <v>0</v>
      </c>
      <c r="K3834" s="10" t="s">
        <v>20</v>
      </c>
      <c r="L3834" s="11" t="n">
        <v>40447.1800578704</v>
      </c>
      <c r="M3834" s="12" t="s">
        <v>9294</v>
      </c>
      <c r="N3834" s="12" t="s">
        <v>9295</v>
      </c>
      <c r="O3834" s="9" t="str">
        <f aca="false">HYPERLINK("https://pbs.twimg.com/profile_images/2873426150/e96896904eff72a033b821d9f0f50a3d_normal.jpeg","View")</f>
        <v>View</v>
      </c>
      <c r="P3834" s="10"/>
    </row>
    <row r="3835" customFormat="false" ht="15.75" hidden="false" customHeight="false" outlineLevel="0" collapsed="false">
      <c r="A3835" s="6" t="n">
        <v>43030.4877199074</v>
      </c>
      <c r="B3835" s="7" t="str">
        <f aca="false">HYPERLINK("https://twitter.com/NTKRNow","@NTKRNow")</f>
        <v>@NTKRNow</v>
      </c>
      <c r="C3835" s="8" t="s">
        <v>829</v>
      </c>
      <c r="D3835" s="8" t="s">
        <v>9296</v>
      </c>
      <c r="E3835" s="9" t="str">
        <f aca="false">HYPERLINK("https://twitter.com/NTKRNow/status/922171273668628480","922171273668628480")</f>
        <v>922171273668628480</v>
      </c>
      <c r="F3835" s="10" t="s">
        <v>60</v>
      </c>
      <c r="G3835" s="10" t="n">
        <v>610</v>
      </c>
      <c r="H3835" s="10" t="n">
        <v>4</v>
      </c>
      <c r="I3835" s="10" t="n">
        <v>0</v>
      </c>
      <c r="J3835" s="10" t="n">
        <v>0</v>
      </c>
      <c r="K3835" s="10" t="s">
        <v>20</v>
      </c>
      <c r="L3835" s="11" t="n">
        <v>42402.810625</v>
      </c>
      <c r="M3835" s="12"/>
      <c r="N3835" s="12"/>
      <c r="O3835" s="9" t="str">
        <f aca="false">HYPERLINK("https://abs.twimg.com/sticky/default_profile_images/default_profile_normal.png","View")</f>
        <v>View</v>
      </c>
      <c r="P3835" s="10"/>
    </row>
    <row r="3836" customFormat="false" ht="15.75" hidden="false" customHeight="false" outlineLevel="0" collapsed="false">
      <c r="A3836" s="6" t="n">
        <v>43030.4878125</v>
      </c>
      <c r="B3836" s="7" t="str">
        <f aca="false">HYPERLINK("https://twitter.com/EhikHilary","@EhikHilary")</f>
        <v>@EhikHilary</v>
      </c>
      <c r="C3836" s="8" t="s">
        <v>9297</v>
      </c>
      <c r="D3836" s="8" t="s">
        <v>9298</v>
      </c>
      <c r="E3836" s="9" t="str">
        <f aca="false">HYPERLINK("https://twitter.com/EhikHilary/status/922171306333925377","922171306333925377")</f>
        <v>922171306333925377</v>
      </c>
      <c r="F3836" s="10" t="s">
        <v>39</v>
      </c>
      <c r="G3836" s="10" t="n">
        <v>384</v>
      </c>
      <c r="H3836" s="10" t="n">
        <v>1061</v>
      </c>
      <c r="I3836" s="10" t="n">
        <v>0</v>
      </c>
      <c r="J3836" s="10" t="n">
        <v>0</v>
      </c>
      <c r="K3836" s="10" t="s">
        <v>20</v>
      </c>
      <c r="L3836" s="11" t="n">
        <v>40665.7564814815</v>
      </c>
      <c r="M3836" s="12"/>
      <c r="N3836" s="12" t="s">
        <v>9299</v>
      </c>
      <c r="O3836" s="9" t="str">
        <f aca="false">HYPERLINK("https://pbs.twimg.com/profile_images/787381353679613953/Lmd8EVKp_normal.jpg","View")</f>
        <v>View</v>
      </c>
      <c r="P3836" s="10"/>
    </row>
    <row r="3837" customFormat="false" ht="15.75" hidden="false" customHeight="false" outlineLevel="0" collapsed="false">
      <c r="A3837" s="6" t="n">
        <v>43030.4882523148</v>
      </c>
      <c r="B3837" s="7" t="str">
        <f aca="false">HYPERLINK("https://twitter.com/daiichi_crisis","@daiichi_crisis")</f>
        <v>@daiichi_crisis</v>
      </c>
      <c r="C3837" s="8" t="s">
        <v>287</v>
      </c>
      <c r="D3837" s="8" t="s">
        <v>9300</v>
      </c>
      <c r="E3837" s="9" t="str">
        <f aca="false">HYPERLINK("https://twitter.com/daiichi_crisis/status/922171467881521153","922171467881521153")</f>
        <v>922171467881521153</v>
      </c>
      <c r="F3837" s="9" t="s">
        <v>1147</v>
      </c>
      <c r="G3837" s="10" t="n">
        <v>584</v>
      </c>
      <c r="H3837" s="10" t="n">
        <v>1</v>
      </c>
      <c r="I3837" s="10" t="n">
        <v>0</v>
      </c>
      <c r="J3837" s="10" t="n">
        <v>0</v>
      </c>
      <c r="K3837" s="10" t="s">
        <v>20</v>
      </c>
      <c r="L3837" s="11" t="n">
        <v>40615.6037384259</v>
      </c>
      <c r="M3837" s="12"/>
      <c r="N3837" s="12" t="s">
        <v>289</v>
      </c>
      <c r="O3837" s="9" t="str">
        <f aca="false">HYPERLINK("https://pbs.twimg.com/profile_images/1271554061/thumb_normal.jpg","View")</f>
        <v>View</v>
      </c>
      <c r="P3837" s="10"/>
    </row>
    <row r="3838" customFormat="false" ht="15.75" hidden="false" customHeight="false" outlineLevel="0" collapsed="false">
      <c r="A3838" s="6" t="n">
        <v>43030.4882986111</v>
      </c>
      <c r="B3838" s="7" t="str">
        <f aca="false">HYPERLINK("https://twitter.com/ashutosh_akm","@ashutosh_akm")</f>
        <v>@ashutosh_akm</v>
      </c>
      <c r="C3838" s="8" t="s">
        <v>9301</v>
      </c>
      <c r="D3838" s="8" t="s">
        <v>8538</v>
      </c>
      <c r="E3838" s="9" t="str">
        <f aca="false">HYPERLINK("https://twitter.com/ashutosh_akm/status/922171483656294401","922171483656294401")</f>
        <v>922171483656294401</v>
      </c>
      <c r="F3838" s="10" t="s">
        <v>25</v>
      </c>
      <c r="G3838" s="10" t="n">
        <v>435</v>
      </c>
      <c r="H3838" s="10" t="n">
        <v>1202</v>
      </c>
      <c r="I3838" s="10" t="n">
        <v>1015</v>
      </c>
      <c r="J3838" s="10" t="n">
        <v>0</v>
      </c>
      <c r="K3838" s="10" t="s">
        <v>20</v>
      </c>
      <c r="L3838" s="11" t="n">
        <v>40835.4319907407</v>
      </c>
      <c r="M3838" s="12" t="s">
        <v>9302</v>
      </c>
      <c r="N3838" s="12" t="s">
        <v>9303</v>
      </c>
      <c r="O3838" s="9" t="str">
        <f aca="false">HYPERLINK("https://pbs.twimg.com/profile_images/615051529301594113/SFWSM0cf_normal.jpg","View")</f>
        <v>View</v>
      </c>
      <c r="P3838" s="10"/>
    </row>
    <row r="3839" customFormat="false" ht="15.75" hidden="false" customHeight="false" outlineLevel="0" collapsed="false">
      <c r="A3839" s="6" t="n">
        <v>43030.4884606482</v>
      </c>
      <c r="B3839" s="7" t="str">
        <f aca="false">HYPERLINK("https://twitter.com/AsharJawad","@AsharJawad")</f>
        <v>@AsharJawad</v>
      </c>
      <c r="C3839" s="8" t="s">
        <v>9304</v>
      </c>
      <c r="D3839" s="8" t="s">
        <v>9305</v>
      </c>
      <c r="E3839" s="9" t="str">
        <f aca="false">HYPERLINK("https://twitter.com/AsharJawad/status/922171540803899393","922171540803899393")</f>
        <v>922171540803899393</v>
      </c>
      <c r="F3839" s="10" t="s">
        <v>39</v>
      </c>
      <c r="G3839" s="10" t="n">
        <v>2846</v>
      </c>
      <c r="H3839" s="10" t="n">
        <v>317</v>
      </c>
      <c r="I3839" s="10" t="n">
        <v>0</v>
      </c>
      <c r="J3839" s="10" t="n">
        <v>1</v>
      </c>
      <c r="K3839" s="10" t="s">
        <v>20</v>
      </c>
      <c r="L3839" s="11" t="n">
        <v>40988.2964814815</v>
      </c>
      <c r="M3839" s="12" t="s">
        <v>516</v>
      </c>
      <c r="N3839" s="12"/>
      <c r="O3839" s="9" t="str">
        <f aca="false">HYPERLINK("https://pbs.twimg.com/profile_images/922577744835248128/V8kcL3ts_normal.jpg","View")</f>
        <v>View</v>
      </c>
      <c r="P3839" s="10"/>
    </row>
    <row r="3840" customFormat="false" ht="15.75" hidden="false" customHeight="false" outlineLevel="0" collapsed="false">
      <c r="A3840" s="6" t="n">
        <v>43030.4899421296</v>
      </c>
      <c r="B3840" s="7" t="str">
        <f aca="false">HYPERLINK("https://twitter.com/RivaMedia","@RivaMedia")</f>
        <v>@RivaMedia</v>
      </c>
      <c r="C3840" s="8" t="s">
        <v>9306</v>
      </c>
      <c r="D3840" s="8" t="s">
        <v>9307</v>
      </c>
      <c r="E3840" s="9" t="str">
        <f aca="false">HYPERLINK("https://twitter.com/RivaMedia/status/922172080900198400","922172080900198400")</f>
        <v>922172080900198400</v>
      </c>
      <c r="F3840" s="10" t="s">
        <v>60</v>
      </c>
      <c r="G3840" s="10" t="n">
        <v>131</v>
      </c>
      <c r="H3840" s="10" t="n">
        <v>101</v>
      </c>
      <c r="I3840" s="10" t="n">
        <v>3</v>
      </c>
      <c r="J3840" s="10" t="n">
        <v>0</v>
      </c>
      <c r="K3840" s="10" t="s">
        <v>20</v>
      </c>
      <c r="L3840" s="11" t="n">
        <v>41941.3007638889</v>
      </c>
      <c r="M3840" s="12" t="s">
        <v>182</v>
      </c>
      <c r="N3840" s="12" t="s">
        <v>9308</v>
      </c>
      <c r="O3840" s="9" t="str">
        <f aca="false">HYPERLINK("https://pbs.twimg.com/profile_images/527513335831343104/g5NTwGjT_normal.jpeg","View")</f>
        <v>View</v>
      </c>
      <c r="P3840" s="10"/>
    </row>
    <row r="3841" customFormat="false" ht="15.75" hidden="false" customHeight="false" outlineLevel="0" collapsed="false">
      <c r="A3841" s="6" t="n">
        <v>43030.4900347222</v>
      </c>
      <c r="B3841" s="7" t="str">
        <f aca="false">HYPERLINK("https://twitter.com/ReferralKings","@ReferralKings")</f>
        <v>@ReferralKings</v>
      </c>
      <c r="C3841" s="8" t="s">
        <v>9309</v>
      </c>
      <c r="D3841" s="8" t="s">
        <v>9310</v>
      </c>
      <c r="E3841" s="9" t="str">
        <f aca="false">HYPERLINK("https://twitter.com/ReferralKings/status/922172112349122566","922172112349122566")</f>
        <v>922172112349122566</v>
      </c>
      <c r="F3841" s="10" t="s">
        <v>110</v>
      </c>
      <c r="G3841" s="10" t="n">
        <v>1024</v>
      </c>
      <c r="H3841" s="10" t="n">
        <v>276</v>
      </c>
      <c r="I3841" s="10" t="n">
        <v>0</v>
      </c>
      <c r="J3841" s="10" t="n">
        <v>0</v>
      </c>
      <c r="K3841" s="10" t="s">
        <v>20</v>
      </c>
      <c r="L3841" s="11" t="n">
        <v>41489.7534027778</v>
      </c>
      <c r="M3841" s="12"/>
      <c r="N3841" s="12"/>
      <c r="O3841" s="9" t="str">
        <f aca="false">HYPERLINK("https://pbs.twimg.com/profile_images/378800000237545093/129eed449ce087831a648389ee4e3606_normal.jpeg","View")</f>
        <v>View</v>
      </c>
      <c r="P3841" s="10"/>
    </row>
    <row r="3842" customFormat="false" ht="15.75" hidden="false" customHeight="false" outlineLevel="0" collapsed="false">
      <c r="A3842" s="6" t="n">
        <v>43030.4901041667</v>
      </c>
      <c r="B3842" s="7" t="str">
        <f aca="false">HYPERLINK("https://twitter.com/SalehAStevens","@SalehAStevens")</f>
        <v>@SalehAStevens</v>
      </c>
      <c r="C3842" s="8" t="s">
        <v>9311</v>
      </c>
      <c r="D3842" s="8" t="s">
        <v>9312</v>
      </c>
      <c r="E3842" s="9" t="str">
        <f aca="false">HYPERLINK("https://twitter.com/SalehAStevens/status/922172138412486658","922172138412486658")</f>
        <v>922172138412486658</v>
      </c>
      <c r="F3842" s="10" t="s">
        <v>110</v>
      </c>
      <c r="G3842" s="10" t="n">
        <v>33</v>
      </c>
      <c r="H3842" s="10" t="n">
        <v>68</v>
      </c>
      <c r="I3842" s="10" t="n">
        <v>0</v>
      </c>
      <c r="J3842" s="10" t="n">
        <v>0</v>
      </c>
      <c r="K3842" s="10" t="s">
        <v>20</v>
      </c>
      <c r="L3842" s="11" t="n">
        <v>41759.8628587963</v>
      </c>
      <c r="M3842" s="12" t="s">
        <v>9313</v>
      </c>
      <c r="N3842" s="12" t="s">
        <v>9314</v>
      </c>
      <c r="O3842" s="9" t="str">
        <f aca="false">HYPERLINK("https://pbs.twimg.com/profile_images/603191760047714304/TuowZhfU_normal.jpg","View")</f>
        <v>View</v>
      </c>
      <c r="P3842" s="10"/>
    </row>
    <row r="3843" customFormat="false" ht="15.75" hidden="false" customHeight="false" outlineLevel="0" collapsed="false">
      <c r="A3843" s="6" t="n">
        <v>43030.490162037</v>
      </c>
      <c r="B3843" s="7" t="str">
        <f aca="false">HYPERLINK("https://twitter.com/batchelorshow","@batchelorshow")</f>
        <v>@batchelorshow</v>
      </c>
      <c r="C3843" s="8" t="s">
        <v>9315</v>
      </c>
      <c r="D3843" s="8" t="s">
        <v>9205</v>
      </c>
      <c r="E3843" s="9" t="str">
        <f aca="false">HYPERLINK("https://twitter.com/batchelorshow/status/922172157484027904","922172157484027904")</f>
        <v>922172157484027904</v>
      </c>
      <c r="F3843" s="10" t="s">
        <v>276</v>
      </c>
      <c r="G3843" s="10" t="n">
        <v>46556</v>
      </c>
      <c r="H3843" s="10" t="n">
        <v>34760</v>
      </c>
      <c r="I3843" s="10" t="n">
        <v>6</v>
      </c>
      <c r="J3843" s="10" t="n">
        <v>0</v>
      </c>
      <c r="K3843" s="10" t="s">
        <v>20</v>
      </c>
      <c r="L3843" s="11" t="n">
        <v>39920.8743402778</v>
      </c>
      <c r="M3843" s="12" t="s">
        <v>697</v>
      </c>
      <c r="N3843" s="12" t="s">
        <v>9316</v>
      </c>
      <c r="O3843" s="9" t="str">
        <f aca="false">HYPERLINK("https://pbs.twimg.com/profile_images/435524260849651713/py76W-Ry_normal.jpeg","View")</f>
        <v>View</v>
      </c>
      <c r="P3843" s="10"/>
    </row>
    <row r="3844" customFormat="false" ht="15.75" hidden="false" customHeight="false" outlineLevel="0" collapsed="false">
      <c r="A3844" s="6" t="n">
        <v>43030.4902662037</v>
      </c>
      <c r="B3844" s="7" t="str">
        <f aca="false">HYPERLINK("https://twitter.com/batchelorshow","@batchelorshow")</f>
        <v>@batchelorshow</v>
      </c>
      <c r="C3844" s="8" t="s">
        <v>9315</v>
      </c>
      <c r="D3844" s="8" t="s">
        <v>9317</v>
      </c>
      <c r="E3844" s="9" t="str">
        <f aca="false">HYPERLINK("https://twitter.com/batchelorshow/status/922172195341852672","922172195341852672")</f>
        <v>922172195341852672</v>
      </c>
      <c r="F3844" s="10" t="s">
        <v>47</v>
      </c>
      <c r="G3844" s="10" t="n">
        <v>46556</v>
      </c>
      <c r="H3844" s="10" t="n">
        <v>34760</v>
      </c>
      <c r="I3844" s="10" t="n">
        <v>2</v>
      </c>
      <c r="J3844" s="10" t="n">
        <v>1</v>
      </c>
      <c r="K3844" s="10" t="s">
        <v>20</v>
      </c>
      <c r="L3844" s="11" t="n">
        <v>39920.8743402778</v>
      </c>
      <c r="M3844" s="12" t="s">
        <v>697</v>
      </c>
      <c r="N3844" s="12" t="s">
        <v>9316</v>
      </c>
      <c r="O3844" s="9" t="str">
        <f aca="false">HYPERLINK("https://pbs.twimg.com/profile_images/435524260849651713/py76W-Ry_normal.jpeg","View")</f>
        <v>View</v>
      </c>
      <c r="P3844" s="10"/>
    </row>
    <row r="3845" customFormat="false" ht="15.75" hidden="false" customHeight="false" outlineLevel="0" collapsed="false">
      <c r="A3845" s="6" t="n">
        <v>43030.4902662037</v>
      </c>
      <c r="B3845" s="7" t="str">
        <f aca="false">HYPERLINK("https://twitter.com/biteszHQNews","@biteszHQNews")</f>
        <v>@biteszHQNews</v>
      </c>
      <c r="C3845" s="8" t="s">
        <v>2804</v>
      </c>
      <c r="D3845" s="8" t="s">
        <v>9318</v>
      </c>
      <c r="E3845" s="9" t="str">
        <f aca="false">HYPERLINK("https://twitter.com/biteszHQNews/status/922172197355040769","922172197355040769")</f>
        <v>922172197355040769</v>
      </c>
      <c r="F3845" s="10" t="s">
        <v>110</v>
      </c>
      <c r="G3845" s="10" t="n">
        <v>15785</v>
      </c>
      <c r="H3845" s="10" t="n">
        <v>7914</v>
      </c>
      <c r="I3845" s="10" t="n">
        <v>0</v>
      </c>
      <c r="J3845" s="10" t="n">
        <v>0</v>
      </c>
      <c r="K3845" s="10" t="s">
        <v>20</v>
      </c>
      <c r="L3845" s="11" t="n">
        <v>41288.1480439815</v>
      </c>
      <c r="M3845" s="12" t="s">
        <v>2806</v>
      </c>
      <c r="N3845" s="12" t="s">
        <v>2807</v>
      </c>
      <c r="O3845" s="9" t="str">
        <f aca="false">HYPERLINK("https://pbs.twimg.com/profile_images/818770195749535745/aBehUOe9_normal.jpg","View")</f>
        <v>View</v>
      </c>
      <c r="P3845" s="10"/>
    </row>
    <row r="3846" customFormat="false" ht="15.75" hidden="false" customHeight="false" outlineLevel="0" collapsed="false">
      <c r="A3846" s="6" t="n">
        <v>43030.4902893519</v>
      </c>
      <c r="B3846" s="7" t="str">
        <f aca="false">HYPERLINK("https://twitter.com/DigitelloMaroc","@DigitelloMaroc")</f>
        <v>@DigitelloMaroc</v>
      </c>
      <c r="C3846" s="8" t="s">
        <v>9319</v>
      </c>
      <c r="D3846" s="8" t="s">
        <v>9320</v>
      </c>
      <c r="E3846" s="9" t="str">
        <f aca="false">HYPERLINK("https://twitter.com/DigitelloMaroc/status/922172204468621313","922172204468621313")</f>
        <v>922172204468621313</v>
      </c>
      <c r="F3846" s="10" t="s">
        <v>110</v>
      </c>
      <c r="G3846" s="10" t="n">
        <v>97</v>
      </c>
      <c r="H3846" s="10" t="n">
        <v>251</v>
      </c>
      <c r="I3846" s="10" t="n">
        <v>0</v>
      </c>
      <c r="J3846" s="10" t="n">
        <v>0</v>
      </c>
      <c r="K3846" s="10" t="s">
        <v>20</v>
      </c>
      <c r="L3846" s="11" t="n">
        <v>40300.1416782407</v>
      </c>
      <c r="M3846" s="12" t="s">
        <v>9321</v>
      </c>
      <c r="N3846" s="12"/>
      <c r="O3846" s="9" t="str">
        <f aca="false">HYPERLINK("https://pbs.twimg.com/profile_images/692374643148201984/kLUTQHfm_normal.png","View")</f>
        <v>View</v>
      </c>
      <c r="P3846" s="10"/>
    </row>
    <row r="3847" customFormat="false" ht="15.75" hidden="false" customHeight="false" outlineLevel="0" collapsed="false">
      <c r="A3847" s="6" t="n">
        <v>43030.4909375</v>
      </c>
      <c r="B3847" s="7" t="str">
        <f aca="false">HYPERLINK("https://twitter.com/daiichi_crisis","@daiichi_crisis")</f>
        <v>@daiichi_crisis</v>
      </c>
      <c r="C3847" s="8" t="s">
        <v>287</v>
      </c>
      <c r="D3847" s="8" t="s">
        <v>9322</v>
      </c>
      <c r="E3847" s="9" t="str">
        <f aca="false">HYPERLINK("https://twitter.com/daiichi_crisis/status/922172438925991945","922172438925991945")</f>
        <v>922172438925991945</v>
      </c>
      <c r="F3847" s="10" t="s">
        <v>55</v>
      </c>
      <c r="G3847" s="10" t="n">
        <v>584</v>
      </c>
      <c r="H3847" s="10" t="n">
        <v>1</v>
      </c>
      <c r="I3847" s="10" t="n">
        <v>2</v>
      </c>
      <c r="J3847" s="10" t="n">
        <v>0</v>
      </c>
      <c r="K3847" s="10" t="s">
        <v>20</v>
      </c>
      <c r="L3847" s="11" t="n">
        <v>40615.6037384259</v>
      </c>
      <c r="M3847" s="12"/>
      <c r="N3847" s="12" t="s">
        <v>289</v>
      </c>
      <c r="O3847" s="9" t="str">
        <f aca="false">HYPERLINK("https://pbs.twimg.com/profile_images/1271554061/thumb_normal.jpg","View")</f>
        <v>View</v>
      </c>
      <c r="P3847" s="10"/>
    </row>
    <row r="3848" customFormat="false" ht="15.75" hidden="false" customHeight="false" outlineLevel="0" collapsed="false">
      <c r="A3848" s="6" t="n">
        <v>43030.4913425926</v>
      </c>
      <c r="B3848" s="7" t="str">
        <f aca="false">HYPERLINK("https://twitter.com/wat3r_buffal0","@wat3r_buffal0")</f>
        <v>@wat3r_buffal0</v>
      </c>
      <c r="C3848" s="8" t="s">
        <v>9323</v>
      </c>
      <c r="D3848" s="8" t="s">
        <v>9324</v>
      </c>
      <c r="E3848" s="9" t="str">
        <f aca="false">HYPERLINK("https://twitter.com/wat3r_buffal0/status/922172588822073344","922172588822073344")</f>
        <v>922172588822073344</v>
      </c>
      <c r="F3848" s="10" t="s">
        <v>9325</v>
      </c>
      <c r="G3848" s="10" t="n">
        <v>276</v>
      </c>
      <c r="H3848" s="10" t="n">
        <v>1752</v>
      </c>
      <c r="I3848" s="10" t="n">
        <v>3</v>
      </c>
      <c r="J3848" s="10" t="n">
        <v>0</v>
      </c>
      <c r="K3848" s="10" t="s">
        <v>20</v>
      </c>
      <c r="L3848" s="11" t="n">
        <v>43016.3558449074</v>
      </c>
      <c r="M3848" s="12"/>
      <c r="N3848" s="12" t="s">
        <v>9326</v>
      </c>
      <c r="O3848" s="9" t="str">
        <f aca="false">HYPERLINK("https://pbs.twimg.com/profile_images/919616145635676160/g3ahqJUn_normal.jpg","View")</f>
        <v>View</v>
      </c>
      <c r="P3848" s="10"/>
    </row>
    <row r="3849" customFormat="false" ht="15.75" hidden="false" customHeight="false" outlineLevel="0" collapsed="false">
      <c r="A3849" s="6" t="n">
        <v>43030.4914930556</v>
      </c>
      <c r="B3849" s="7" t="str">
        <f aca="false">HYPERLINK("https://twitter.com/KiranKBhat","@KiranKBhat")</f>
        <v>@KiranKBhat</v>
      </c>
      <c r="C3849" s="8" t="s">
        <v>9327</v>
      </c>
      <c r="D3849" s="8" t="s">
        <v>8538</v>
      </c>
      <c r="E3849" s="9" t="str">
        <f aca="false">HYPERLINK("https://twitter.com/KiranKBhat/status/922172640126820353","922172640126820353")</f>
        <v>922172640126820353</v>
      </c>
      <c r="F3849" s="10" t="s">
        <v>51</v>
      </c>
      <c r="G3849" s="10" t="n">
        <v>367</v>
      </c>
      <c r="H3849" s="10" t="n">
        <v>788</v>
      </c>
      <c r="I3849" s="10" t="n">
        <v>1015</v>
      </c>
      <c r="J3849" s="10" t="n">
        <v>0</v>
      </c>
      <c r="K3849" s="10" t="s">
        <v>20</v>
      </c>
      <c r="L3849" s="11" t="n">
        <v>41145.0132638889</v>
      </c>
      <c r="M3849" s="12" t="s">
        <v>9328</v>
      </c>
      <c r="N3849" s="12"/>
      <c r="O3849" s="9" t="str">
        <f aca="false">HYPERLINK("https://pbs.twimg.com/profile_images/3558182350/ccad83fd0e2224bad2d2c43085b62058_normal.jpeg","View")</f>
        <v>View</v>
      </c>
      <c r="P3849" s="10"/>
    </row>
    <row r="3850" customFormat="false" ht="15.75" hidden="false" customHeight="false" outlineLevel="0" collapsed="false">
      <c r="A3850" s="6" t="n">
        <v>43030.4915046296</v>
      </c>
      <c r="B3850" s="7" t="str">
        <f aca="false">HYPERLINK("https://twitter.com/khurramyousaf4","@khurramyousaf4")</f>
        <v>@khurramyousaf4</v>
      </c>
      <c r="C3850" s="8" t="s">
        <v>9329</v>
      </c>
      <c r="D3850" s="8" t="s">
        <v>6312</v>
      </c>
      <c r="E3850" s="9" t="str">
        <f aca="false">HYPERLINK("https://twitter.com/khurramyousaf4/status/922172644811837440","922172644811837440")</f>
        <v>922172644811837440</v>
      </c>
      <c r="F3850" s="10" t="s">
        <v>39</v>
      </c>
      <c r="G3850" s="10" t="n">
        <v>9</v>
      </c>
      <c r="H3850" s="10" t="n">
        <v>64</v>
      </c>
      <c r="I3850" s="10" t="n">
        <v>0</v>
      </c>
      <c r="J3850" s="10" t="n">
        <v>0</v>
      </c>
      <c r="K3850" s="10" t="s">
        <v>20</v>
      </c>
      <c r="L3850" s="11" t="n">
        <v>41271.4749652778</v>
      </c>
      <c r="M3850" s="12"/>
      <c r="N3850" s="12"/>
      <c r="O3850" s="9" t="str">
        <f aca="false">HYPERLINK("https://pbs.twimg.com/profile_images/553586536663359488/nDJclY2H_normal.jpeg","View")</f>
        <v>View</v>
      </c>
      <c r="P3850" s="10"/>
    </row>
    <row r="3851" customFormat="false" ht="15.75" hidden="false" customHeight="false" outlineLevel="0" collapsed="false">
      <c r="A3851" s="6" t="n">
        <v>43030.4915277778</v>
      </c>
      <c r="B3851" s="7" t="str">
        <f aca="false">HYPERLINK("https://twitter.com/DeclanMHurley","@DeclanMHurley")</f>
        <v>@DeclanMHurley</v>
      </c>
      <c r="C3851" s="8" t="s">
        <v>9330</v>
      </c>
      <c r="D3851" s="8" t="s">
        <v>9205</v>
      </c>
      <c r="E3851" s="9" t="str">
        <f aca="false">HYPERLINK("https://twitter.com/DeclanMHurley/status/922172652801937408","922172652801937408")</f>
        <v>922172652801937408</v>
      </c>
      <c r="F3851" s="10" t="s">
        <v>39</v>
      </c>
      <c r="G3851" s="10" t="n">
        <v>382</v>
      </c>
      <c r="H3851" s="10" t="n">
        <v>293</v>
      </c>
      <c r="I3851" s="10" t="n">
        <v>6</v>
      </c>
      <c r="J3851" s="10" t="n">
        <v>0</v>
      </c>
      <c r="K3851" s="10" t="s">
        <v>20</v>
      </c>
      <c r="L3851" s="11" t="n">
        <v>41573.5233449074</v>
      </c>
      <c r="M3851" s="12" t="s">
        <v>9331</v>
      </c>
      <c r="N3851" s="12" t="s">
        <v>9332</v>
      </c>
      <c r="O3851" s="9" t="str">
        <f aca="false">HYPERLINK("https://pbs.twimg.com/profile_images/919734216023334913/8wh26jh__normal.jpg","View")</f>
        <v>View</v>
      </c>
      <c r="P3851" s="10"/>
    </row>
    <row r="3852" customFormat="false" ht="15.75" hidden="false" customHeight="false" outlineLevel="0" collapsed="false">
      <c r="A3852" s="6" t="n">
        <v>43030.4915277778</v>
      </c>
      <c r="B3852" s="7" t="str">
        <f aca="false">HYPERLINK("https://twitter.com/alaidi","@alaidi")</f>
        <v>@alaidi</v>
      </c>
      <c r="C3852" s="8" t="s">
        <v>9333</v>
      </c>
      <c r="D3852" s="8" t="s">
        <v>9334</v>
      </c>
      <c r="E3852" s="9" t="str">
        <f aca="false">HYPERLINK("https://twitter.com/alaidi/status/922172652919361537","922172652919361537")</f>
        <v>922172652919361537</v>
      </c>
      <c r="F3852" s="10" t="s">
        <v>110</v>
      </c>
      <c r="G3852" s="10" t="n">
        <v>57061</v>
      </c>
      <c r="H3852" s="10" t="n">
        <v>96</v>
      </c>
      <c r="I3852" s="10" t="n">
        <v>6</v>
      </c>
      <c r="J3852" s="10" t="n">
        <v>12</v>
      </c>
      <c r="K3852" s="10" t="s">
        <v>20</v>
      </c>
      <c r="L3852" s="11" t="n">
        <v>39815.8004398148</v>
      </c>
      <c r="M3852" s="12" t="s">
        <v>893</v>
      </c>
      <c r="N3852" s="12" t="s">
        <v>9335</v>
      </c>
      <c r="O3852" s="9" t="str">
        <f aca="false">HYPERLINK("https://pbs.twimg.com/profile_images/857870584495132672/glGHQQ-K_normal.jpg","View")</f>
        <v>View</v>
      </c>
      <c r="P3852" s="10"/>
    </row>
    <row r="3853" customFormat="false" ht="15.75" hidden="false" customHeight="false" outlineLevel="0" collapsed="false">
      <c r="A3853" s="6" t="n">
        <v>43030.4915277778</v>
      </c>
      <c r="B3853" s="7" t="str">
        <f aca="false">HYPERLINK("https://twitter.com/nuggettoffy","@nuggettoffy")</f>
        <v>@nuggettoffy</v>
      </c>
      <c r="C3853" s="8" t="s">
        <v>8134</v>
      </c>
      <c r="D3853" s="8" t="s">
        <v>8538</v>
      </c>
      <c r="E3853" s="9" t="str">
        <f aca="false">HYPERLINK("https://twitter.com/nuggettoffy/status/922172655293423617","922172655293423617")</f>
        <v>922172655293423617</v>
      </c>
      <c r="F3853" s="10" t="s">
        <v>25</v>
      </c>
      <c r="G3853" s="10" t="n">
        <v>323</v>
      </c>
      <c r="H3853" s="10" t="n">
        <v>239</v>
      </c>
      <c r="I3853" s="10" t="n">
        <v>1015</v>
      </c>
      <c r="J3853" s="10" t="n">
        <v>0</v>
      </c>
      <c r="K3853" s="10" t="s">
        <v>20</v>
      </c>
      <c r="L3853" s="11" t="n">
        <v>40052.3140856482</v>
      </c>
      <c r="M3853" s="12"/>
      <c r="N3853" s="12" t="s">
        <v>8135</v>
      </c>
      <c r="O3853" s="9" t="str">
        <f aca="false">HYPERLINK("https://pbs.twimg.com/profile_images/878968232761151488/kJfQXRlY_normal.jpg","View")</f>
        <v>View</v>
      </c>
      <c r="P3853" s="10"/>
    </row>
    <row r="3854" customFormat="false" ht="15.75" hidden="false" customHeight="false" outlineLevel="0" collapsed="false">
      <c r="A3854" s="6" t="n">
        <v>43030.492037037</v>
      </c>
      <c r="B3854" s="7" t="str">
        <f aca="false">HYPERLINK("https://twitter.com/bassmadman","@bassmadman")</f>
        <v>@bassmadman</v>
      </c>
      <c r="C3854" s="8" t="s">
        <v>9336</v>
      </c>
      <c r="D3854" s="8" t="s">
        <v>9337</v>
      </c>
      <c r="E3854" s="9" t="str">
        <f aca="false">HYPERLINK("https://twitter.com/bassmadman/status/922172836877422593","922172836877422593")</f>
        <v>922172836877422593</v>
      </c>
      <c r="F3854" s="10" t="s">
        <v>25</v>
      </c>
      <c r="G3854" s="10" t="n">
        <v>5107</v>
      </c>
      <c r="H3854" s="10" t="n">
        <v>5426</v>
      </c>
      <c r="I3854" s="10" t="n">
        <v>0</v>
      </c>
      <c r="J3854" s="10" t="n">
        <v>1</v>
      </c>
      <c r="K3854" s="10" t="s">
        <v>20</v>
      </c>
      <c r="L3854" s="11" t="n">
        <v>40685.1426851852</v>
      </c>
      <c r="M3854" s="12" t="s">
        <v>9338</v>
      </c>
      <c r="N3854" s="12" t="s">
        <v>9339</v>
      </c>
      <c r="O3854" s="9" t="str">
        <f aca="false">HYPERLINK("https://pbs.twimg.com/profile_images/645954617105326080/UCd8jQfZ_normal.jpg","View")</f>
        <v>View</v>
      </c>
      <c r="P3854" s="10"/>
    </row>
    <row r="3855" customFormat="false" ht="15.75" hidden="false" customHeight="false" outlineLevel="0" collapsed="false">
      <c r="A3855" s="6" t="n">
        <v>43030.4920486111</v>
      </c>
      <c r="B3855" s="7" t="str">
        <f aca="false">HYPERLINK("https://twitter.com/Indistani","@Indistani")</f>
        <v>@Indistani</v>
      </c>
      <c r="C3855" s="8" t="s">
        <v>9340</v>
      </c>
      <c r="D3855" s="8" t="s">
        <v>8538</v>
      </c>
      <c r="E3855" s="9" t="str">
        <f aca="false">HYPERLINK("https://twitter.com/Indistani/status/922172841239265281","922172841239265281")</f>
        <v>922172841239265281</v>
      </c>
      <c r="F3855" s="10" t="s">
        <v>25</v>
      </c>
      <c r="G3855" s="10" t="n">
        <v>99</v>
      </c>
      <c r="H3855" s="10" t="n">
        <v>153</v>
      </c>
      <c r="I3855" s="10" t="n">
        <v>1015</v>
      </c>
      <c r="J3855" s="10" t="n">
        <v>0</v>
      </c>
      <c r="K3855" s="10" t="s">
        <v>20</v>
      </c>
      <c r="L3855" s="11" t="n">
        <v>42744.193587963</v>
      </c>
      <c r="M3855" s="12" t="s">
        <v>5920</v>
      </c>
      <c r="N3855" s="12" t="s">
        <v>9341</v>
      </c>
      <c r="O3855" s="9" t="str">
        <f aca="false">HYPERLINK("https://pbs.twimg.com/profile_images/818505878001238016/rs5MqFKg_normal.jpg","View")</f>
        <v>View</v>
      </c>
      <c r="P3855" s="10"/>
    </row>
    <row r="3856" customFormat="false" ht="15.75" hidden="false" customHeight="false" outlineLevel="0" collapsed="false">
      <c r="A3856" s="6" t="n">
        <v>43030.4921296296</v>
      </c>
      <c r="B3856" s="7" t="str">
        <f aca="false">HYPERLINK("https://twitter.com/AmiteshBiswas1","@AmiteshBiswas1")</f>
        <v>@AmiteshBiswas1</v>
      </c>
      <c r="C3856" s="8" t="s">
        <v>9342</v>
      </c>
      <c r="D3856" s="8" t="s">
        <v>8538</v>
      </c>
      <c r="E3856" s="9" t="str">
        <f aca="false">HYPERLINK("https://twitter.com/AmiteshBiswas1/status/922172873493553152","922172873493553152")</f>
        <v>922172873493553152</v>
      </c>
      <c r="F3856" s="10" t="s">
        <v>25</v>
      </c>
      <c r="G3856" s="10" t="n">
        <v>385</v>
      </c>
      <c r="H3856" s="10" t="n">
        <v>196</v>
      </c>
      <c r="I3856" s="10" t="n">
        <v>1015</v>
      </c>
      <c r="J3856" s="10" t="n">
        <v>0</v>
      </c>
      <c r="K3856" s="10" t="s">
        <v>20</v>
      </c>
      <c r="L3856" s="11" t="n">
        <v>42269.4203009259</v>
      </c>
      <c r="M3856" s="12" t="s">
        <v>9343</v>
      </c>
      <c r="N3856" s="12" t="s">
        <v>9344</v>
      </c>
      <c r="O3856" s="9" t="str">
        <f aca="false">HYPERLINK("https://pbs.twimg.com/profile_images/867235071492837376/44sjoHbq_normal.jpg","View")</f>
        <v>View</v>
      </c>
      <c r="P3856" s="10"/>
    </row>
    <row r="3857" customFormat="false" ht="15.75" hidden="false" customHeight="false" outlineLevel="0" collapsed="false">
      <c r="A3857" s="6" t="n">
        <v>43030.4922800926</v>
      </c>
      <c r="B3857" s="7" t="str">
        <f aca="false">HYPERLINK("https://twitter.com/APSNEWSPAK","@APSNEWSPAK")</f>
        <v>@APSNEWSPAK</v>
      </c>
      <c r="C3857" s="8" t="s">
        <v>9345</v>
      </c>
      <c r="D3857" s="8" t="s">
        <v>9346</v>
      </c>
      <c r="E3857" s="9" t="str">
        <f aca="false">HYPERLINK("https://twitter.com/APSNEWSPAK/status/922172928095113216","922172928095113216")</f>
        <v>922172928095113216</v>
      </c>
      <c r="F3857" s="10" t="s">
        <v>47</v>
      </c>
      <c r="G3857" s="10" t="n">
        <v>753</v>
      </c>
      <c r="H3857" s="10" t="n">
        <v>568</v>
      </c>
      <c r="I3857" s="10" t="n">
        <v>0</v>
      </c>
      <c r="J3857" s="10" t="n">
        <v>0</v>
      </c>
      <c r="K3857" s="10" t="s">
        <v>20</v>
      </c>
      <c r="L3857" s="11" t="n">
        <v>40236.6002662037</v>
      </c>
      <c r="M3857" s="12" t="s">
        <v>9347</v>
      </c>
      <c r="N3857" s="12" t="s">
        <v>9348</v>
      </c>
      <c r="O3857" s="9" t="str">
        <f aca="false">HYPERLINK("https://pbs.twimg.com/profile_images/509734495080034305/Gkad1Wfe_normal.jpeg","View")</f>
        <v>View</v>
      </c>
      <c r="P3857" s="10"/>
    </row>
    <row r="3858" customFormat="false" ht="15.75" hidden="false" customHeight="false" outlineLevel="0" collapsed="false">
      <c r="A3858" s="6" t="n">
        <v>43030.4922916667</v>
      </c>
      <c r="B3858" s="7" t="str">
        <f aca="false">HYPERLINK("https://twitter.com/erdmann_kathrin","@erdmann_kathrin")</f>
        <v>@erdmann_kathrin</v>
      </c>
      <c r="C3858" s="8" t="s">
        <v>9349</v>
      </c>
      <c r="D3858" s="8" t="s">
        <v>9350</v>
      </c>
      <c r="E3858" s="9" t="str">
        <f aca="false">HYPERLINK("https://twitter.com/erdmann_kathrin/status/922172929722535941","922172929722535941")</f>
        <v>922172929722535941</v>
      </c>
      <c r="F3858" s="10" t="s">
        <v>51</v>
      </c>
      <c r="G3858" s="10" t="n">
        <v>420</v>
      </c>
      <c r="H3858" s="10" t="n">
        <v>222</v>
      </c>
      <c r="I3858" s="10" t="n">
        <v>2</v>
      </c>
      <c r="J3858" s="10" t="n">
        <v>0</v>
      </c>
      <c r="K3858" s="10" t="s">
        <v>20</v>
      </c>
      <c r="L3858" s="11" t="n">
        <v>41115.4767476852</v>
      </c>
      <c r="M3858" s="12" t="s">
        <v>9351</v>
      </c>
      <c r="N3858" s="12" t="s">
        <v>9352</v>
      </c>
      <c r="O3858" s="9" t="str">
        <f aca="false">HYPERLINK("https://pbs.twimg.com/profile_images/427057238742536192/0qq3eH1v_normal.jpeg","View")</f>
        <v>View</v>
      </c>
      <c r="P3858" s="10"/>
    </row>
    <row r="3859" customFormat="false" ht="15.75" hidden="false" customHeight="false" outlineLevel="0" collapsed="false">
      <c r="A3859" s="6" t="n">
        <v>43030.4923726852</v>
      </c>
      <c r="B3859" s="7" t="str">
        <f aca="false">HYPERLINK("https://twitter.com/APSNEWSPAK","@APSNEWSPAK")</f>
        <v>@APSNEWSPAK</v>
      </c>
      <c r="C3859" s="8" t="s">
        <v>9345</v>
      </c>
      <c r="D3859" s="8" t="s">
        <v>9353</v>
      </c>
      <c r="E3859" s="9" t="str">
        <f aca="false">HYPERLINK("https://twitter.com/APSNEWSPAK/status/922172961381117954","922172961381117954")</f>
        <v>922172961381117954</v>
      </c>
      <c r="F3859" s="10" t="s">
        <v>47</v>
      </c>
      <c r="G3859" s="10" t="n">
        <v>753</v>
      </c>
      <c r="H3859" s="10" t="n">
        <v>568</v>
      </c>
      <c r="I3859" s="10" t="n">
        <v>0</v>
      </c>
      <c r="J3859" s="10" t="n">
        <v>0</v>
      </c>
      <c r="K3859" s="10" t="s">
        <v>20</v>
      </c>
      <c r="L3859" s="11" t="n">
        <v>40236.6002662037</v>
      </c>
      <c r="M3859" s="12" t="s">
        <v>9347</v>
      </c>
      <c r="N3859" s="12" t="s">
        <v>9348</v>
      </c>
      <c r="O3859" s="9" t="str">
        <f aca="false">HYPERLINK("https://pbs.twimg.com/profile_images/509734495080034305/Gkad1Wfe_normal.jpeg","View")</f>
        <v>View</v>
      </c>
      <c r="P3859" s="10"/>
    </row>
    <row r="3860" customFormat="false" ht="15.75" hidden="false" customHeight="false" outlineLevel="0" collapsed="false">
      <c r="A3860" s="6" t="n">
        <v>43030.4927199074</v>
      </c>
      <c r="B3860" s="7" t="str">
        <f aca="false">HYPERLINK("https://twitter.com/ghosh121","@ghosh121")</f>
        <v>@ghosh121</v>
      </c>
      <c r="C3860" s="8" t="s">
        <v>9354</v>
      </c>
      <c r="D3860" s="8" t="s">
        <v>8538</v>
      </c>
      <c r="E3860" s="9" t="str">
        <f aca="false">HYPERLINK("https://twitter.com/ghosh121/status/922173087281532929","922173087281532929")</f>
        <v>922173087281532929</v>
      </c>
      <c r="F3860" s="10" t="s">
        <v>25</v>
      </c>
      <c r="G3860" s="10" t="n">
        <v>290</v>
      </c>
      <c r="H3860" s="10" t="n">
        <v>296</v>
      </c>
      <c r="I3860" s="10" t="n">
        <v>1015</v>
      </c>
      <c r="J3860" s="10" t="n">
        <v>0</v>
      </c>
      <c r="K3860" s="10" t="s">
        <v>20</v>
      </c>
      <c r="L3860" s="11" t="n">
        <v>39903.0649768518</v>
      </c>
      <c r="M3860" s="12"/>
      <c r="N3860" s="12" t="s">
        <v>9355</v>
      </c>
      <c r="O3860" s="9" t="str">
        <f aca="false">HYPERLINK("https://pbs.twimg.com/profile_images/847855081982754816/tLRXTgFk_normal.jpg","View")</f>
        <v>View</v>
      </c>
      <c r="P3860" s="10"/>
    </row>
    <row r="3861" customFormat="false" ht="15.75" hidden="false" customHeight="false" outlineLevel="0" collapsed="false">
      <c r="A3861" s="6" t="n">
        <v>43030.4929050926</v>
      </c>
      <c r="B3861" s="7" t="str">
        <f aca="false">HYPERLINK("https://twitter.com/drshivramsinwar","@drshivramsinwar")</f>
        <v>@drshivramsinwar</v>
      </c>
      <c r="C3861" s="8" t="s">
        <v>9356</v>
      </c>
      <c r="D3861" s="8" t="s">
        <v>8538</v>
      </c>
      <c r="E3861" s="9" t="str">
        <f aca="false">HYPERLINK("https://twitter.com/drshivramsinwar/status/922173155145158656","922173155145158656")</f>
        <v>922173155145158656</v>
      </c>
      <c r="F3861" s="10" t="s">
        <v>25</v>
      </c>
      <c r="G3861" s="10" t="n">
        <v>524</v>
      </c>
      <c r="H3861" s="10" t="n">
        <v>801</v>
      </c>
      <c r="I3861" s="10" t="n">
        <v>1015</v>
      </c>
      <c r="J3861" s="10" t="n">
        <v>0</v>
      </c>
      <c r="K3861" s="10" t="s">
        <v>20</v>
      </c>
      <c r="L3861" s="11" t="n">
        <v>41741.5143287037</v>
      </c>
      <c r="M3861" s="12" t="s">
        <v>9357</v>
      </c>
      <c r="N3861" s="12" t="s">
        <v>9358</v>
      </c>
      <c r="O3861" s="9" t="str">
        <f aca="false">HYPERLINK("https://pbs.twimg.com/profile_images/900700574080835584/yqQbGdDZ_normal.jpg","View")</f>
        <v>View</v>
      </c>
      <c r="P3861" s="10"/>
    </row>
    <row r="3862" customFormat="false" ht="15.75" hidden="false" customHeight="false" outlineLevel="0" collapsed="false">
      <c r="A3862" s="6" t="n">
        <v>43030.4944560185</v>
      </c>
      <c r="B3862" s="7" t="str">
        <f aca="false">HYPERLINK("https://twitter.com/AutoVega","@AutoVega")</f>
        <v>@AutoVega</v>
      </c>
      <c r="C3862" s="8" t="s">
        <v>9359</v>
      </c>
      <c r="D3862" s="8" t="s">
        <v>8538</v>
      </c>
      <c r="E3862" s="9" t="str">
        <f aca="false">HYPERLINK("https://twitter.com/AutoVega/status/922173714052956160","922173714052956160")</f>
        <v>922173714052956160</v>
      </c>
      <c r="F3862" s="10" t="s">
        <v>25</v>
      </c>
      <c r="G3862" s="10" t="n">
        <v>141</v>
      </c>
      <c r="H3862" s="10" t="n">
        <v>392</v>
      </c>
      <c r="I3862" s="10" t="n">
        <v>1015</v>
      </c>
      <c r="J3862" s="10" t="n">
        <v>0</v>
      </c>
      <c r="K3862" s="10" t="s">
        <v>20</v>
      </c>
      <c r="L3862" s="11" t="n">
        <v>40196.1647453704</v>
      </c>
      <c r="M3862" s="12"/>
      <c r="N3862" s="12"/>
      <c r="O3862" s="9" t="str">
        <f aca="false">HYPERLINK("https://pbs.twimg.com/profile_images/779476711092129792/DmJ2N9eR_normal.jpg","View")</f>
        <v>View</v>
      </c>
      <c r="P3862" s="10"/>
    </row>
    <row r="3863" customFormat="false" ht="15.75" hidden="false" customHeight="false" outlineLevel="0" collapsed="false">
      <c r="A3863" s="6" t="n">
        <v>43030.494525463</v>
      </c>
      <c r="B3863" s="7" t="str">
        <f aca="false">HYPERLINK("https://twitter.com/QueensIceZ","@QueensIceZ")</f>
        <v>@QueensIceZ</v>
      </c>
      <c r="C3863" s="8" t="s">
        <v>9360</v>
      </c>
      <c r="D3863" s="8" t="s">
        <v>9361</v>
      </c>
      <c r="E3863" s="9" t="str">
        <f aca="false">HYPERLINK("https://twitter.com/QueensIceZ/status/922173740007542784","922173740007542784")</f>
        <v>922173740007542784</v>
      </c>
      <c r="F3863" s="10" t="s">
        <v>51</v>
      </c>
      <c r="G3863" s="10" t="n">
        <v>11604</v>
      </c>
      <c r="H3863" s="10" t="n">
        <v>8533</v>
      </c>
      <c r="I3863" s="10" t="n">
        <v>0</v>
      </c>
      <c r="J3863" s="10" t="n">
        <v>0</v>
      </c>
      <c r="K3863" s="10" t="s">
        <v>20</v>
      </c>
      <c r="L3863" s="11" t="n">
        <v>39984.4915046296</v>
      </c>
      <c r="M3863" s="12" t="s">
        <v>9362</v>
      </c>
      <c r="N3863" s="12"/>
      <c r="O3863" s="9" t="str">
        <f aca="false">HYPERLINK("https://pbs.twimg.com/profile_images/877281423077646338/QjRjuYv1_normal.jpg","View")</f>
        <v>View</v>
      </c>
      <c r="P3863" s="10"/>
    </row>
    <row r="3864" customFormat="false" ht="15.75" hidden="false" customHeight="false" outlineLevel="0" collapsed="false">
      <c r="A3864" s="6" t="n">
        <v>43030.4953240741</v>
      </c>
      <c r="B3864" s="7" t="str">
        <f aca="false">HYPERLINK("https://twitter.com/SamarjitBharat","@SamarjitBharat")</f>
        <v>@SamarjitBharat</v>
      </c>
      <c r="C3864" s="8" t="s">
        <v>9363</v>
      </c>
      <c r="D3864" s="8" t="s">
        <v>8538</v>
      </c>
      <c r="E3864" s="9" t="str">
        <f aca="false">HYPERLINK("https://twitter.com/SamarjitBharat/status/922174029598941184","922174029598941184")</f>
        <v>922174029598941184</v>
      </c>
      <c r="F3864" s="10" t="s">
        <v>39</v>
      </c>
      <c r="G3864" s="10" t="n">
        <v>64</v>
      </c>
      <c r="H3864" s="10" t="n">
        <v>197</v>
      </c>
      <c r="I3864" s="10" t="n">
        <v>1015</v>
      </c>
      <c r="J3864" s="10" t="n">
        <v>0</v>
      </c>
      <c r="K3864" s="10" t="s">
        <v>20</v>
      </c>
      <c r="L3864" s="11" t="n">
        <v>42840.9091782407</v>
      </c>
      <c r="M3864" s="12" t="s">
        <v>72</v>
      </c>
      <c r="N3864" s="12" t="s">
        <v>9364</v>
      </c>
      <c r="O3864" s="9" t="str">
        <f aca="false">HYPERLINK("https://pbs.twimg.com/profile_images/853471442486181889/-KEfKxYG_normal.jpg","View")</f>
        <v>View</v>
      </c>
      <c r="P3864" s="10"/>
    </row>
    <row r="3865" customFormat="false" ht="15.75" hidden="false" customHeight="false" outlineLevel="0" collapsed="false">
      <c r="A3865" s="6" t="n">
        <v>43030.4956597222</v>
      </c>
      <c r="B3865" s="7" t="str">
        <f aca="false">HYPERLINK("https://twitter.com/checkinglies","@checkinglies")</f>
        <v>@checkinglies</v>
      </c>
      <c r="C3865" s="8" t="s">
        <v>9365</v>
      </c>
      <c r="D3865" s="8" t="s">
        <v>8538</v>
      </c>
      <c r="E3865" s="9" t="str">
        <f aca="false">HYPERLINK("https://twitter.com/checkinglies/status/922174151145668608","922174151145668608")</f>
        <v>922174151145668608</v>
      </c>
      <c r="F3865" s="10" t="s">
        <v>39</v>
      </c>
      <c r="G3865" s="10" t="n">
        <v>567</v>
      </c>
      <c r="H3865" s="10" t="n">
        <v>1247</v>
      </c>
      <c r="I3865" s="10" t="n">
        <v>1015</v>
      </c>
      <c r="J3865" s="10" t="n">
        <v>0</v>
      </c>
      <c r="K3865" s="10" t="s">
        <v>20</v>
      </c>
      <c r="L3865" s="11" t="n">
        <v>42080.0844212963</v>
      </c>
      <c r="M3865" s="12"/>
      <c r="N3865" s="12" t="s">
        <v>9366</v>
      </c>
      <c r="O3865" s="9" t="str">
        <f aca="false">HYPERLINK("https://pbs.twimg.com/profile_images/908222637859471360/839jf-cr_normal.jpg","View")</f>
        <v>View</v>
      </c>
      <c r="P3865" s="10"/>
    </row>
    <row r="3866" customFormat="false" ht="15.75" hidden="false" customHeight="false" outlineLevel="0" collapsed="false">
      <c r="A3866" s="6" t="n">
        <v>43030.4959606482</v>
      </c>
      <c r="B3866" s="7" t="str">
        <f aca="false">HYPERLINK("https://twitter.com/ShakkhaEsprit","@ShakkhaEsprit")</f>
        <v>@ShakkhaEsprit</v>
      </c>
      <c r="C3866" s="8" t="s">
        <v>9367</v>
      </c>
      <c r="D3866" s="8" t="s">
        <v>9368</v>
      </c>
      <c r="E3866" s="9" t="str">
        <f aca="false">HYPERLINK("https://twitter.com/ShakkhaEsprit/status/922174260482859009","922174260482859009")</f>
        <v>922174260482859009</v>
      </c>
      <c r="F3866" s="10" t="s">
        <v>47</v>
      </c>
      <c r="G3866" s="10" t="n">
        <v>1592</v>
      </c>
      <c r="H3866" s="10" t="n">
        <v>3680</v>
      </c>
      <c r="I3866" s="10" t="n">
        <v>0</v>
      </c>
      <c r="J3866" s="10" t="n">
        <v>0</v>
      </c>
      <c r="K3866" s="10" t="s">
        <v>20</v>
      </c>
      <c r="L3866" s="11" t="n">
        <v>41027.342962963</v>
      </c>
      <c r="M3866" s="12"/>
      <c r="N3866" s="12" t="s">
        <v>9369</v>
      </c>
      <c r="O3866" s="9" t="str">
        <f aca="false">HYPERLINK("https://pbs.twimg.com/profile_images/686254929430888448/2FC1ZClS_normal.jpg","View")</f>
        <v>View</v>
      </c>
      <c r="P3866" s="10"/>
    </row>
    <row r="3867" customFormat="false" ht="15.75" hidden="false" customHeight="false" outlineLevel="0" collapsed="false">
      <c r="A3867" s="6" t="n">
        <v>43030.4962268519</v>
      </c>
      <c r="B3867" s="7" t="str">
        <f aca="false">HYPERLINK("https://twitter.com/KyleHarrietha","@KyleHarrietha")</f>
        <v>@KyleHarrietha</v>
      </c>
      <c r="C3867" s="8" t="s">
        <v>6242</v>
      </c>
      <c r="D3867" s="8" t="s">
        <v>9370</v>
      </c>
      <c r="E3867" s="9" t="str">
        <f aca="false">HYPERLINK("https://twitter.com/KyleHarrietha/status/922174355248783360","922174355248783360")</f>
        <v>922174355248783360</v>
      </c>
      <c r="F3867" s="10" t="s">
        <v>2620</v>
      </c>
      <c r="G3867" s="10" t="n">
        <v>4779</v>
      </c>
      <c r="H3867" s="10" t="n">
        <v>2051</v>
      </c>
      <c r="I3867" s="10" t="n">
        <v>2</v>
      </c>
      <c r="J3867" s="10" t="n">
        <v>0</v>
      </c>
      <c r="K3867" s="10" t="s">
        <v>20</v>
      </c>
      <c r="L3867" s="11" t="n">
        <v>39727.5706018519</v>
      </c>
      <c r="M3867" s="12" t="s">
        <v>6243</v>
      </c>
      <c r="N3867" s="12" t="s">
        <v>6244</v>
      </c>
      <c r="O3867" s="9" t="str">
        <f aca="false">HYPERLINK("https://pbs.twimg.com/profile_images/811609459214733313/0OVLVvgX_normal.jpg","View")</f>
        <v>View</v>
      </c>
      <c r="P3867" s="10"/>
    </row>
    <row r="3868" customFormat="false" ht="15.75" hidden="false" customHeight="false" outlineLevel="0" collapsed="false">
      <c r="A3868" s="6" t="n">
        <v>43030.4962615741</v>
      </c>
      <c r="B3868" s="7" t="str">
        <f aca="false">HYPERLINK("https://twitter.com/Msumitkumar","@Msumitkumar")</f>
        <v>@Msumitkumar</v>
      </c>
      <c r="C3868" s="8" t="s">
        <v>9371</v>
      </c>
      <c r="D3868" s="8" t="s">
        <v>8538</v>
      </c>
      <c r="E3868" s="9" t="str">
        <f aca="false">HYPERLINK("https://twitter.com/Msumitkumar/status/922174371359158274","922174371359158274")</f>
        <v>922174371359158274</v>
      </c>
      <c r="F3868" s="10" t="s">
        <v>25</v>
      </c>
      <c r="G3868" s="10" t="n">
        <v>96</v>
      </c>
      <c r="H3868" s="10" t="n">
        <v>256</v>
      </c>
      <c r="I3868" s="10" t="n">
        <v>1015</v>
      </c>
      <c r="J3868" s="10" t="n">
        <v>0</v>
      </c>
      <c r="K3868" s="10" t="s">
        <v>20</v>
      </c>
      <c r="L3868" s="11" t="n">
        <v>40919.5587847222</v>
      </c>
      <c r="M3868" s="12" t="s">
        <v>8874</v>
      </c>
      <c r="N3868" s="12" t="s">
        <v>9372</v>
      </c>
      <c r="O3868" s="9" t="str">
        <f aca="false">HYPERLINK("https://pbs.twimg.com/profile_images/843481636008280065/OlBo0TSH_normal.jpg","View")</f>
        <v>View</v>
      </c>
      <c r="P3868" s="10"/>
    </row>
    <row r="3869" customFormat="false" ht="15.75" hidden="false" customHeight="false" outlineLevel="0" collapsed="false">
      <c r="A3869" s="6" t="n">
        <v>43030.4963541667</v>
      </c>
      <c r="B3869" s="7" t="str">
        <f aca="false">HYPERLINK("https://twitter.com/NewswithRachel","@NewswithRachel")</f>
        <v>@NewswithRachel</v>
      </c>
      <c r="C3869" s="8" t="s">
        <v>9373</v>
      </c>
      <c r="D3869" s="8" t="s">
        <v>9374</v>
      </c>
      <c r="E3869" s="9" t="str">
        <f aca="false">HYPERLINK("https://twitter.com/NewswithRachel/status/922174404288831488","922174404288831488")</f>
        <v>922174404288831488</v>
      </c>
      <c r="F3869" s="10" t="s">
        <v>39</v>
      </c>
      <c r="G3869" s="10" t="n">
        <v>452</v>
      </c>
      <c r="H3869" s="10" t="n">
        <v>590</v>
      </c>
      <c r="I3869" s="10" t="n">
        <v>0</v>
      </c>
      <c r="J3869" s="10" t="n">
        <v>0</v>
      </c>
      <c r="K3869" s="10" t="s">
        <v>20</v>
      </c>
      <c r="L3869" s="11" t="n">
        <v>42227.7586458333</v>
      </c>
      <c r="M3869" s="12" t="s">
        <v>9375</v>
      </c>
      <c r="N3869" s="12" t="s">
        <v>9376</v>
      </c>
      <c r="O3869" s="9" t="str">
        <f aca="false">HYPERLINK("https://pbs.twimg.com/profile_images/727693302301077504/3C-r_XGm_normal.jpg","View")</f>
        <v>View</v>
      </c>
      <c r="P3869" s="10"/>
    </row>
    <row r="3870" customFormat="false" ht="15.75" hidden="false" customHeight="false" outlineLevel="0" collapsed="false">
      <c r="A3870" s="6" t="n">
        <v>43030.4963773148</v>
      </c>
      <c r="B3870" s="7" t="str">
        <f aca="false">HYPERLINK("https://twitter.com/Hitesh1123","@Hitesh1123")</f>
        <v>@Hitesh1123</v>
      </c>
      <c r="C3870" s="8" t="s">
        <v>9377</v>
      </c>
      <c r="D3870" s="8" t="s">
        <v>8538</v>
      </c>
      <c r="E3870" s="9" t="str">
        <f aca="false">HYPERLINK("https://twitter.com/Hitesh1123/status/922174411343462400","922174411343462400")</f>
        <v>922174411343462400</v>
      </c>
      <c r="F3870" s="10" t="s">
        <v>25</v>
      </c>
      <c r="G3870" s="10" t="n">
        <v>525</v>
      </c>
      <c r="H3870" s="10" t="n">
        <v>673</v>
      </c>
      <c r="I3870" s="10" t="n">
        <v>1015</v>
      </c>
      <c r="J3870" s="10" t="n">
        <v>0</v>
      </c>
      <c r="K3870" s="10" t="s">
        <v>20</v>
      </c>
      <c r="L3870" s="11" t="n">
        <v>41517.3502083333</v>
      </c>
      <c r="M3870" s="12" t="s">
        <v>860</v>
      </c>
      <c r="N3870" s="12" t="s">
        <v>9378</v>
      </c>
      <c r="O3870" s="9" t="str">
        <f aca="false">HYPERLINK("https://pbs.twimg.com/profile_images/873501469756051460/numLEwA-_normal.jpg","View")</f>
        <v>View</v>
      </c>
      <c r="P3870" s="10"/>
    </row>
    <row r="3871" customFormat="false" ht="15.75" hidden="false" customHeight="false" outlineLevel="0" collapsed="false">
      <c r="A3871" s="6" t="n">
        <v>43030.4970138889</v>
      </c>
      <c r="B3871" s="7" t="str">
        <f aca="false">HYPERLINK("https://twitter.com/harrytpk","@harrytpk")</f>
        <v>@harrytpk</v>
      </c>
      <c r="C3871" s="8" t="s">
        <v>9379</v>
      </c>
      <c r="D3871" s="8" t="s">
        <v>9380</v>
      </c>
      <c r="E3871" s="9" t="str">
        <f aca="false">HYPERLINK("https://twitter.com/harrytpk/status/922174643133394945","922174643133394945")</f>
        <v>922174643133394945</v>
      </c>
      <c r="F3871" s="10" t="s">
        <v>177</v>
      </c>
      <c r="G3871" s="10" t="n">
        <v>3937</v>
      </c>
      <c r="H3871" s="10" t="n">
        <v>4986</v>
      </c>
      <c r="I3871" s="10" t="n">
        <v>2</v>
      </c>
      <c r="J3871" s="10" t="n">
        <v>0</v>
      </c>
      <c r="K3871" s="10" t="s">
        <v>20</v>
      </c>
      <c r="L3871" s="11" t="n">
        <v>39888.907037037</v>
      </c>
      <c r="M3871" s="12" t="s">
        <v>9381</v>
      </c>
      <c r="N3871" s="12" t="s">
        <v>9382</v>
      </c>
      <c r="O3871" s="9" t="str">
        <f aca="false">HYPERLINK("https://pbs.twimg.com/profile_images/111527591/S_P_Q_R_normal.jpg","View")</f>
        <v>View</v>
      </c>
      <c r="P3871" s="10"/>
    </row>
    <row r="3872" customFormat="false" ht="15.75" hidden="false" customHeight="false" outlineLevel="0" collapsed="false">
      <c r="A3872" s="6" t="n">
        <v>43030.4978356481</v>
      </c>
      <c r="B3872" s="7" t="str">
        <f aca="false">HYPERLINK("https://twitter.com/Pkverma22","@Pkverma22")</f>
        <v>@Pkverma22</v>
      </c>
      <c r="C3872" s="8" t="s">
        <v>9383</v>
      </c>
      <c r="D3872" s="8" t="s">
        <v>8538</v>
      </c>
      <c r="E3872" s="9" t="str">
        <f aca="false">HYPERLINK("https://twitter.com/Pkverma22/status/922174938781536256","922174938781536256")</f>
        <v>922174938781536256</v>
      </c>
      <c r="F3872" s="10" t="s">
        <v>25</v>
      </c>
      <c r="G3872" s="10" t="n">
        <v>239</v>
      </c>
      <c r="H3872" s="10" t="n">
        <v>371</v>
      </c>
      <c r="I3872" s="10" t="n">
        <v>1015</v>
      </c>
      <c r="J3872" s="10" t="n">
        <v>0</v>
      </c>
      <c r="K3872" s="10" t="s">
        <v>20</v>
      </c>
      <c r="L3872" s="11" t="n">
        <v>41845.5716435185</v>
      </c>
      <c r="M3872" s="12"/>
      <c r="N3872" s="12"/>
      <c r="O3872" s="9" t="str">
        <f aca="false">HYPERLINK("https://pbs.twimg.com/profile_images/531127616556638209/1IxxJbUV_normal.jpeg","View")</f>
        <v>View</v>
      </c>
      <c r="P3872" s="10"/>
    </row>
    <row r="3873" customFormat="false" ht="15.75" hidden="false" customHeight="false" outlineLevel="0" collapsed="false">
      <c r="A3873" s="6" t="n">
        <v>43030.4978819444</v>
      </c>
      <c r="B3873" s="7" t="str">
        <f aca="false">HYPERLINK("https://twitter.com/rkpaturi9","@rkpaturi9")</f>
        <v>@rkpaturi9</v>
      </c>
      <c r="C3873" s="8" t="s">
        <v>9384</v>
      </c>
      <c r="D3873" s="8" t="s">
        <v>8538</v>
      </c>
      <c r="E3873" s="9" t="str">
        <f aca="false">HYPERLINK("https://twitter.com/rkpaturi9/status/922174956791910400","922174956791910400")</f>
        <v>922174956791910400</v>
      </c>
      <c r="F3873" s="10" t="s">
        <v>177</v>
      </c>
      <c r="G3873" s="10" t="n">
        <v>45</v>
      </c>
      <c r="H3873" s="10" t="n">
        <v>69</v>
      </c>
      <c r="I3873" s="10" t="n">
        <v>1015</v>
      </c>
      <c r="J3873" s="10" t="n">
        <v>0</v>
      </c>
      <c r="K3873" s="10" t="s">
        <v>20</v>
      </c>
      <c r="L3873" s="11" t="n">
        <v>42063.0247685185</v>
      </c>
      <c r="M3873" s="12" t="s">
        <v>9385</v>
      </c>
      <c r="N3873" s="12"/>
      <c r="O3873" s="9" t="str">
        <f aca="false">HYPERLINK("https://pbs.twimg.com/profile_images/638255565131481088/DNyhzKrb_normal.jpg","View")</f>
        <v>View</v>
      </c>
      <c r="P3873" s="10"/>
    </row>
    <row r="3874" customFormat="false" ht="15.75" hidden="false" customHeight="false" outlineLevel="0" collapsed="false">
      <c r="A3874" s="6" t="n">
        <v>43030.4984490741</v>
      </c>
      <c r="B3874" s="7" t="str">
        <f aca="false">HYPERLINK("https://twitter.com/SenorKoffey","@SenorKoffey")</f>
        <v>@SenorKoffey</v>
      </c>
      <c r="C3874" s="8" t="s">
        <v>9386</v>
      </c>
      <c r="D3874" s="8" t="s">
        <v>9387</v>
      </c>
      <c r="E3874" s="9" t="str">
        <f aca="false">HYPERLINK("https://twitter.com/SenorKoffey/status/922175164040863744","922175164040863744")</f>
        <v>922175164040863744</v>
      </c>
      <c r="F3874" s="10" t="s">
        <v>25</v>
      </c>
      <c r="G3874" s="10" t="n">
        <v>41</v>
      </c>
      <c r="H3874" s="10" t="n">
        <v>170</v>
      </c>
      <c r="I3874" s="10" t="n">
        <v>0</v>
      </c>
      <c r="J3874" s="10" t="n">
        <v>0</v>
      </c>
      <c r="K3874" s="10" t="s">
        <v>20</v>
      </c>
      <c r="L3874" s="11" t="n">
        <v>41072.3950925926</v>
      </c>
      <c r="M3874" s="12" t="s">
        <v>1404</v>
      </c>
      <c r="N3874" s="12" t="s">
        <v>9388</v>
      </c>
      <c r="O3874" s="9" t="str">
        <f aca="false">HYPERLINK("https://pbs.twimg.com/profile_images/916469910854705152/gIvO4omu_normal.jpg","View")</f>
        <v>View</v>
      </c>
      <c r="P3874" s="10"/>
    </row>
    <row r="3875" customFormat="false" ht="15.75" hidden="false" customHeight="false" outlineLevel="0" collapsed="false">
      <c r="A3875" s="6" t="n">
        <v>43030.4985416667</v>
      </c>
      <c r="B3875" s="7" t="str">
        <f aca="false">HYPERLINK("https://twitter.com/payalbhayana","@payalbhayana")</f>
        <v>@payalbhayana</v>
      </c>
      <c r="C3875" s="8" t="s">
        <v>9389</v>
      </c>
      <c r="D3875" s="8" t="s">
        <v>8538</v>
      </c>
      <c r="E3875" s="9" t="str">
        <f aca="false">HYPERLINK("https://twitter.com/payalbhayana/status/922175195690893312","922175195690893312")</f>
        <v>922175195690893312</v>
      </c>
      <c r="F3875" s="10" t="s">
        <v>51</v>
      </c>
      <c r="G3875" s="10" t="n">
        <v>2471</v>
      </c>
      <c r="H3875" s="10" t="n">
        <v>949</v>
      </c>
      <c r="I3875" s="10" t="n">
        <v>1015</v>
      </c>
      <c r="J3875" s="10" t="n">
        <v>0</v>
      </c>
      <c r="K3875" s="10" t="s">
        <v>20</v>
      </c>
      <c r="L3875" s="11" t="n">
        <v>41839.2141203704</v>
      </c>
      <c r="M3875" s="12"/>
      <c r="N3875" s="12" t="s">
        <v>9390</v>
      </c>
      <c r="O3875" s="9" t="str">
        <f aca="false">HYPERLINK("https://pbs.twimg.com/profile_images/921010854920724480/wn3jNpYC_normal.jpg","View")</f>
        <v>View</v>
      </c>
      <c r="P3875" s="10"/>
    </row>
    <row r="3876" customFormat="false" ht="15.75" hidden="false" customHeight="false" outlineLevel="0" collapsed="false">
      <c r="A3876" s="6" t="n">
        <v>43030.4987615741</v>
      </c>
      <c r="B3876" s="7" t="str">
        <f aca="false">HYPERLINK("https://twitter.com/lordshashwat","@lordshashwat")</f>
        <v>@lordshashwat</v>
      </c>
      <c r="C3876" s="8" t="s">
        <v>9391</v>
      </c>
      <c r="D3876" s="8" t="s">
        <v>8538</v>
      </c>
      <c r="E3876" s="9" t="str">
        <f aca="false">HYPERLINK("https://twitter.com/lordshashwat/status/922175273423929344","922175273423929344")</f>
        <v>922175273423929344</v>
      </c>
      <c r="F3876" s="10" t="s">
        <v>25</v>
      </c>
      <c r="G3876" s="10" t="n">
        <v>68</v>
      </c>
      <c r="H3876" s="10" t="n">
        <v>278</v>
      </c>
      <c r="I3876" s="10" t="n">
        <v>1015</v>
      </c>
      <c r="J3876" s="10" t="n">
        <v>0</v>
      </c>
      <c r="K3876" s="10" t="s">
        <v>20</v>
      </c>
      <c r="L3876" s="11" t="n">
        <v>40075.4639699074</v>
      </c>
      <c r="M3876" s="12"/>
      <c r="N3876" s="12" t="s">
        <v>9392</v>
      </c>
      <c r="O3876" s="9" t="str">
        <f aca="false">HYPERLINK("https://pbs.twimg.com/profile_images/904962616178597888/s6rVnfhy_normal.jpg","View")</f>
        <v>View</v>
      </c>
      <c r="P3876" s="10"/>
    </row>
    <row r="3877" customFormat="false" ht="15.75" hidden="false" customHeight="false" outlineLevel="0" collapsed="false">
      <c r="A3877" s="6" t="n">
        <v>43030.4988425926</v>
      </c>
      <c r="B3877" s="7" t="str">
        <f aca="false">HYPERLINK("https://twitter.com/sangramohite11","@sangramohite11")</f>
        <v>@sangramohite11</v>
      </c>
      <c r="C3877" s="8" t="s">
        <v>9393</v>
      </c>
      <c r="D3877" s="8" t="s">
        <v>8538</v>
      </c>
      <c r="E3877" s="9" t="str">
        <f aca="false">HYPERLINK("https://twitter.com/sangramohite11/status/922175306743640064","922175306743640064")</f>
        <v>922175306743640064</v>
      </c>
      <c r="F3877" s="10" t="s">
        <v>25</v>
      </c>
      <c r="G3877" s="10" t="n">
        <v>42</v>
      </c>
      <c r="H3877" s="10" t="n">
        <v>61</v>
      </c>
      <c r="I3877" s="10" t="n">
        <v>1015</v>
      </c>
      <c r="J3877" s="10" t="n">
        <v>0</v>
      </c>
      <c r="K3877" s="10" t="s">
        <v>20</v>
      </c>
      <c r="L3877" s="11" t="n">
        <v>42882.0613078704</v>
      </c>
      <c r="M3877" s="12" t="s">
        <v>72</v>
      </c>
      <c r="N3877" s="12" t="s">
        <v>9394</v>
      </c>
      <c r="O3877" s="9" t="str">
        <f aca="false">HYPERLINK("https://pbs.twimg.com/profile_images/869051523275403264/IWPJNFBv_normal.jpg","View")</f>
        <v>View</v>
      </c>
      <c r="P3877" s="10"/>
    </row>
    <row r="3878" customFormat="false" ht="15.75" hidden="false" customHeight="false" outlineLevel="0" collapsed="false">
      <c r="A3878" s="6" t="n">
        <v>43030.4993287037</v>
      </c>
      <c r="B3878" s="7" t="str">
        <f aca="false">HYPERLINK("https://twitter.com/simi_ag","@simi_ag")</f>
        <v>@simi_ag</v>
      </c>
      <c r="C3878" s="8" t="s">
        <v>9395</v>
      </c>
      <c r="D3878" s="8" t="s">
        <v>8538</v>
      </c>
      <c r="E3878" s="9" t="str">
        <f aca="false">HYPERLINK("https://twitter.com/simi_ag/status/922175481721565184","922175481721565184")</f>
        <v>922175481721565184</v>
      </c>
      <c r="F3878" s="10" t="s">
        <v>51</v>
      </c>
      <c r="G3878" s="10" t="n">
        <v>151</v>
      </c>
      <c r="H3878" s="10" t="n">
        <v>132</v>
      </c>
      <c r="I3878" s="10" t="n">
        <v>1015</v>
      </c>
      <c r="J3878" s="10" t="n">
        <v>0</v>
      </c>
      <c r="K3878" s="10" t="s">
        <v>20</v>
      </c>
      <c r="L3878" s="11" t="n">
        <v>41364.0952199074</v>
      </c>
      <c r="M3878" s="12"/>
      <c r="N3878" s="12"/>
      <c r="O3878" s="9" t="str">
        <f aca="false">HYPERLINK("https://pbs.twimg.com/profile_images/510480445759180802/PkFjfe1S_normal.jpeg","View")</f>
        <v>View</v>
      </c>
      <c r="P3878" s="10"/>
    </row>
    <row r="3879" customFormat="false" ht="15.75" hidden="false" customHeight="false" outlineLevel="0" collapsed="false">
      <c r="A3879" s="6" t="n">
        <v>43030.4995717593</v>
      </c>
      <c r="B3879" s="7" t="str">
        <f aca="false">HYPERLINK("https://twitter.com/nkau78","@nkau78")</f>
        <v>@nkau78</v>
      </c>
      <c r="C3879" s="8" t="s">
        <v>9396</v>
      </c>
      <c r="D3879" s="8" t="s">
        <v>8538</v>
      </c>
      <c r="E3879" s="9" t="str">
        <f aca="false">HYPERLINK("https://twitter.com/nkau78/status/922175567633571843","922175567633571843")</f>
        <v>922175567633571843</v>
      </c>
      <c r="F3879" s="10" t="s">
        <v>51</v>
      </c>
      <c r="G3879" s="10" t="n">
        <v>349</v>
      </c>
      <c r="H3879" s="10" t="n">
        <v>92</v>
      </c>
      <c r="I3879" s="10" t="n">
        <v>1015</v>
      </c>
      <c r="J3879" s="10" t="n">
        <v>0</v>
      </c>
      <c r="K3879" s="10" t="s">
        <v>20</v>
      </c>
      <c r="L3879" s="11" t="n">
        <v>40251.0528587963</v>
      </c>
      <c r="M3879" s="12" t="s">
        <v>9397</v>
      </c>
      <c r="N3879" s="12" t="s">
        <v>9398</v>
      </c>
      <c r="O3879" s="9" t="str">
        <f aca="false">HYPERLINK("https://pbs.twimg.com/profile_images/477129706752323584/Y7jWHH43_normal.jpeg","View")</f>
        <v>View</v>
      </c>
      <c r="P3879" s="10"/>
    </row>
    <row r="3880" customFormat="false" ht="15.75" hidden="false" customHeight="false" outlineLevel="0" collapsed="false">
      <c r="A3880" s="6" t="n">
        <v>43030.5000462963</v>
      </c>
      <c r="B3880" s="7" t="str">
        <f aca="false">HYPERLINK("https://twitter.com/Global___News","@Global___News")</f>
        <v>@Global___News</v>
      </c>
      <c r="C3880" s="8" t="s">
        <v>2893</v>
      </c>
      <c r="D3880" s="8" t="s">
        <v>9399</v>
      </c>
      <c r="E3880" s="9" t="str">
        <f aca="false">HYPERLINK("https://twitter.com/Global___News/status/922175741936021504","922175741936021504")</f>
        <v>922175741936021504</v>
      </c>
      <c r="F3880" s="10" t="s">
        <v>9400</v>
      </c>
      <c r="G3880" s="10" t="n">
        <v>820</v>
      </c>
      <c r="H3880" s="10" t="n">
        <v>4</v>
      </c>
      <c r="I3880" s="10" t="n">
        <v>0</v>
      </c>
      <c r="J3880" s="10" t="n">
        <v>0</v>
      </c>
      <c r="K3880" s="10" t="s">
        <v>20</v>
      </c>
      <c r="L3880" s="11" t="n">
        <v>41404.3315393519</v>
      </c>
      <c r="M3880" s="12"/>
      <c r="N3880" s="12" t="s">
        <v>2893</v>
      </c>
      <c r="O3880" s="9" t="str">
        <f aca="false">HYPERLINK("https://pbs.twimg.com/profile_images/3640360348/ca3c8990ec800ecd3004b1c1ab4cc462_normal.png","View")</f>
        <v>View</v>
      </c>
      <c r="P3880" s="10"/>
    </row>
    <row r="3881" customFormat="false" ht="15.75" hidden="false" customHeight="false" outlineLevel="0" collapsed="false">
      <c r="A3881" s="6" t="n">
        <v>43030.5002199074</v>
      </c>
      <c r="B3881" s="7" t="str">
        <f aca="false">HYPERLINK("https://twitter.com/nikhandiamanoj","@nikhandiamanoj")</f>
        <v>@nikhandiamanoj</v>
      </c>
      <c r="C3881" s="8" t="s">
        <v>9401</v>
      </c>
      <c r="D3881" s="8" t="s">
        <v>8538</v>
      </c>
      <c r="E3881" s="9" t="str">
        <f aca="false">HYPERLINK("https://twitter.com/nikhandiamanoj/status/922175803210711040","922175803210711040")</f>
        <v>922175803210711040</v>
      </c>
      <c r="F3881" s="10" t="s">
        <v>51</v>
      </c>
      <c r="G3881" s="10" t="n">
        <v>81</v>
      </c>
      <c r="H3881" s="10" t="n">
        <v>230</v>
      </c>
      <c r="I3881" s="10" t="n">
        <v>1015</v>
      </c>
      <c r="J3881" s="10" t="n">
        <v>0</v>
      </c>
      <c r="K3881" s="10" t="s">
        <v>20</v>
      </c>
      <c r="L3881" s="11" t="n">
        <v>41899.4839814815</v>
      </c>
      <c r="M3881" s="12"/>
      <c r="N3881" s="12"/>
      <c r="O3881" s="9" t="str">
        <f aca="false">HYPERLINK("https://pbs.twimg.com/profile_images/920971185206079488/o9NXqF5H_normal.jpg","View")</f>
        <v>View</v>
      </c>
      <c r="P3881" s="10"/>
    </row>
    <row r="3882" customFormat="false" ht="15.75" hidden="false" customHeight="false" outlineLevel="0" collapsed="false">
      <c r="A3882" s="6" t="n">
        <v>43030.5002314815</v>
      </c>
      <c r="B3882" s="7" t="str">
        <f aca="false">HYPERLINK("https://twitter.com/Playbeatcoldles","@Playbeatcoldles")</f>
        <v>@Playbeatcoldles</v>
      </c>
      <c r="C3882" s="8" t="s">
        <v>9402</v>
      </c>
      <c r="D3882" s="8" t="s">
        <v>9403</v>
      </c>
      <c r="E3882" s="9" t="str">
        <f aca="false">HYPERLINK("https://twitter.com/Playbeatcoldles/status/922175809179267073","922175809179267073")</f>
        <v>922175809179267073</v>
      </c>
      <c r="F3882" s="10" t="s">
        <v>110</v>
      </c>
      <c r="G3882" s="10" t="n">
        <v>51</v>
      </c>
      <c r="H3882" s="10" t="n">
        <v>30</v>
      </c>
      <c r="I3882" s="10" t="n">
        <v>0</v>
      </c>
      <c r="J3882" s="10" t="n">
        <v>0</v>
      </c>
      <c r="K3882" s="10" t="s">
        <v>20</v>
      </c>
      <c r="L3882" s="11" t="n">
        <v>41118.1348148148</v>
      </c>
      <c r="M3882" s="12" t="s">
        <v>9404</v>
      </c>
      <c r="N3882" s="12"/>
      <c r="O3882" s="9" t="str">
        <f aca="false">HYPERLINK("https://pbs.twimg.com/profile_images/2441143241/hw04nqhz06rbw0qlnjms_normal.jpeg","View")</f>
        <v>View</v>
      </c>
      <c r="P3882" s="10"/>
    </row>
    <row r="3883" customFormat="false" ht="15.75" hidden="false" customHeight="false" outlineLevel="0" collapsed="false">
      <c r="A3883" s="6" t="n">
        <v>43030.5003935185</v>
      </c>
      <c r="B3883" s="7" t="str">
        <f aca="false">HYPERLINK("https://twitter.com/bearlypawsing","@bearlypawsing")</f>
        <v>@bearlypawsing</v>
      </c>
      <c r="C3883" s="8" t="s">
        <v>8920</v>
      </c>
      <c r="D3883" s="8" t="s">
        <v>9405</v>
      </c>
      <c r="E3883" s="9" t="str">
        <f aca="false">HYPERLINK("https://twitter.com/bearlypawsing/status/922175868620898304","922175868620898304")</f>
        <v>922175868620898304</v>
      </c>
      <c r="F3883" s="10" t="s">
        <v>110</v>
      </c>
      <c r="G3883" s="10" t="n">
        <v>11</v>
      </c>
      <c r="H3883" s="10" t="n">
        <v>17</v>
      </c>
      <c r="I3883" s="10" t="n">
        <v>0</v>
      </c>
      <c r="J3883" s="10" t="n">
        <v>0</v>
      </c>
      <c r="K3883" s="10" t="s">
        <v>20</v>
      </c>
      <c r="L3883" s="11" t="n">
        <v>41222.6520486111</v>
      </c>
      <c r="M3883" s="12"/>
      <c r="N3883" s="12"/>
      <c r="O3883" s="9" t="str">
        <f aca="false">HYPERLINK("https://pbs.twimg.com/profile_images/479782489267777536/tLa31IsZ_normal.jpeg","View")</f>
        <v>View</v>
      </c>
      <c r="P3883" s="10"/>
    </row>
    <row r="3884" customFormat="false" ht="15.75" hidden="false" customHeight="false" outlineLevel="0" collapsed="false">
      <c r="A3884" s="6" t="n">
        <v>43030.500462963</v>
      </c>
      <c r="B3884" s="7" t="str">
        <f aca="false">HYPERLINK("https://twitter.com/librarymook","@librarymook")</f>
        <v>@librarymook</v>
      </c>
      <c r="C3884" s="8" t="s">
        <v>9406</v>
      </c>
      <c r="D3884" s="8" t="s">
        <v>9407</v>
      </c>
      <c r="E3884" s="9" t="str">
        <f aca="false">HYPERLINK("https://twitter.com/librarymook/status/922175892142608385","922175892142608385")</f>
        <v>922175892142608385</v>
      </c>
      <c r="F3884" s="10" t="s">
        <v>1167</v>
      </c>
      <c r="G3884" s="10" t="n">
        <v>629</v>
      </c>
      <c r="H3884" s="10" t="n">
        <v>345</v>
      </c>
      <c r="I3884" s="10" t="n">
        <v>0</v>
      </c>
      <c r="J3884" s="10" t="n">
        <v>0</v>
      </c>
      <c r="K3884" s="10" t="s">
        <v>20</v>
      </c>
      <c r="L3884" s="11" t="n">
        <v>39862.1597569444</v>
      </c>
      <c r="M3884" s="13" t="s">
        <v>9408</v>
      </c>
      <c r="N3884" s="12" t="s">
        <v>9409</v>
      </c>
      <c r="O3884" s="9" t="str">
        <f aca="false">HYPERLINK("https://pbs.twimg.com/profile_images/716895767605039104/iZHuPNWL_normal.jpg","View")</f>
        <v>View</v>
      </c>
      <c r="P3884" s="10"/>
    </row>
    <row r="3885" customFormat="false" ht="15.75" hidden="false" customHeight="false" outlineLevel="0" collapsed="false">
      <c r="A3885" s="6" t="n">
        <v>43030.5007060185</v>
      </c>
      <c r="B3885" s="7" t="str">
        <f aca="false">HYPERLINK("https://twitter.com/tomoryoshka48","@tomoryoshka48")</f>
        <v>@tomoryoshka48</v>
      </c>
      <c r="C3885" s="8" t="s">
        <v>3592</v>
      </c>
      <c r="D3885" s="8" t="s">
        <v>9075</v>
      </c>
      <c r="E3885" s="9" t="str">
        <f aca="false">HYPERLINK("https://twitter.com/tomoryoshka48/status/922175979233067008","922175979233067008")</f>
        <v>922175979233067008</v>
      </c>
      <c r="F3885" s="10" t="s">
        <v>51</v>
      </c>
      <c r="G3885" s="10" t="n">
        <v>1135</v>
      </c>
      <c r="H3885" s="10" t="n">
        <v>894</v>
      </c>
      <c r="I3885" s="10" t="n">
        <v>7</v>
      </c>
      <c r="J3885" s="10" t="n">
        <v>0</v>
      </c>
      <c r="K3885" s="10" t="s">
        <v>20</v>
      </c>
      <c r="L3885" s="11" t="n">
        <v>39924.8737731481</v>
      </c>
      <c r="M3885" s="13" t="s">
        <v>152</v>
      </c>
      <c r="N3885" s="12" t="s">
        <v>3593</v>
      </c>
      <c r="O3885" s="9" t="str">
        <f aca="false">HYPERLINK("https://pbs.twimg.com/profile_images/922821664882155520/I1aug1BH_normal.jpg","View")</f>
        <v>View</v>
      </c>
      <c r="P3885" s="10"/>
    </row>
    <row r="3886" customFormat="false" ht="15.75" hidden="false" customHeight="false" outlineLevel="0" collapsed="false">
      <c r="A3886" s="6" t="n">
        <v>43030.5007291667</v>
      </c>
      <c r="B3886" s="7" t="str">
        <f aca="false">HYPERLINK("https://twitter.com/YvesKinsi","@YvesKinsi")</f>
        <v>@YvesKinsi</v>
      </c>
      <c r="C3886" s="8" t="s">
        <v>9410</v>
      </c>
      <c r="D3886" s="8" t="s">
        <v>7627</v>
      </c>
      <c r="E3886" s="9" t="str">
        <f aca="false">HYPERLINK("https://twitter.com/YvesKinsi/status/922175990385856512","922175990385856512")</f>
        <v>922175990385856512</v>
      </c>
      <c r="F3886" s="10" t="s">
        <v>25</v>
      </c>
      <c r="G3886" s="10" t="n">
        <v>97</v>
      </c>
      <c r="H3886" s="10" t="n">
        <v>284</v>
      </c>
      <c r="I3886" s="10" t="n">
        <v>20</v>
      </c>
      <c r="J3886" s="10" t="n">
        <v>0</v>
      </c>
      <c r="K3886" s="10" t="s">
        <v>20</v>
      </c>
      <c r="L3886" s="11" t="n">
        <v>42378.0379166667</v>
      </c>
      <c r="M3886" s="12"/>
      <c r="N3886" s="12"/>
      <c r="O3886" s="9" t="str">
        <f aca="false">HYPERLINK("https://pbs.twimg.com/profile_images/922509400916545536/JgZdqpsr_normal.jpg","View")</f>
        <v>View</v>
      </c>
      <c r="P3886" s="10"/>
    </row>
    <row r="3887" customFormat="false" ht="15.75" hidden="false" customHeight="false" outlineLevel="0" collapsed="false">
      <c r="A3887" s="6" t="n">
        <v>43030.5012847222</v>
      </c>
      <c r="B3887" s="7" t="str">
        <f aca="false">HYPERLINK("https://twitter.com/InvestorsKing","@InvestorsKing")</f>
        <v>@InvestorsKing</v>
      </c>
      <c r="C3887" s="8" t="s">
        <v>9411</v>
      </c>
      <c r="D3887" s="8" t="s">
        <v>9412</v>
      </c>
      <c r="E3887" s="9" t="str">
        <f aca="false">HYPERLINK("https://twitter.com/InvestorsKing/status/922176191611658240","922176191611658240")</f>
        <v>922176191611658240</v>
      </c>
      <c r="F3887" s="10" t="s">
        <v>39</v>
      </c>
      <c r="G3887" s="10" t="n">
        <v>17861</v>
      </c>
      <c r="H3887" s="10" t="n">
        <v>16572</v>
      </c>
      <c r="I3887" s="10" t="n">
        <v>0</v>
      </c>
      <c r="J3887" s="10" t="n">
        <v>0</v>
      </c>
      <c r="K3887" s="10" t="s">
        <v>20</v>
      </c>
      <c r="L3887" s="11" t="n">
        <v>40688.2063078704</v>
      </c>
      <c r="M3887" s="12"/>
      <c r="N3887" s="12" t="s">
        <v>9413</v>
      </c>
      <c r="O3887" s="9" t="str">
        <f aca="false">HYPERLINK("https://pbs.twimg.com/profile_images/2161682075/pp_normal.png","View")</f>
        <v>View</v>
      </c>
      <c r="P3887" s="10"/>
    </row>
    <row r="3888" customFormat="false" ht="15.75" hidden="false" customHeight="false" outlineLevel="0" collapsed="false">
      <c r="A3888" s="6" t="n">
        <v>43030.5012962963</v>
      </c>
      <c r="B3888" s="7" t="str">
        <f aca="false">HYPERLINK("https://twitter.com/BeingRight","@BeingRight")</f>
        <v>@BeingRight</v>
      </c>
      <c r="C3888" s="8" t="s">
        <v>9414</v>
      </c>
      <c r="D3888" s="8" t="s">
        <v>9415</v>
      </c>
      <c r="E3888" s="9" t="str">
        <f aca="false">HYPERLINK("https://twitter.com/BeingRight/status/922176193217970176","922176193217970176")</f>
        <v>922176193217970176</v>
      </c>
      <c r="F3888" s="10" t="s">
        <v>25</v>
      </c>
      <c r="G3888" s="10" t="n">
        <v>340</v>
      </c>
      <c r="H3888" s="10" t="n">
        <v>775</v>
      </c>
      <c r="I3888" s="10" t="n">
        <v>0</v>
      </c>
      <c r="J3888" s="10" t="n">
        <v>0</v>
      </c>
      <c r="K3888" s="10" t="s">
        <v>20</v>
      </c>
      <c r="L3888" s="11" t="n">
        <v>42053.4102314815</v>
      </c>
      <c r="M3888" s="12"/>
      <c r="N3888" s="12" t="s">
        <v>9416</v>
      </c>
      <c r="O3888" s="9" t="str">
        <f aca="false">HYPERLINK("https://pbs.twimg.com/profile_images/876505662020177924/JXkEHJ6N_normal.jpg","View")</f>
        <v>View</v>
      </c>
      <c r="P3888" s="10"/>
    </row>
    <row r="3889" customFormat="false" ht="15.75" hidden="false" customHeight="false" outlineLevel="0" collapsed="false">
      <c r="A3889" s="6" t="n">
        <v>43030.5013310185</v>
      </c>
      <c r="B3889" s="7" t="str">
        <f aca="false">HYPERLINK("https://twitter.com/TatianaGelvezR","@TatianaGelvezR")</f>
        <v>@TatianaGelvezR</v>
      </c>
      <c r="C3889" s="8" t="s">
        <v>9417</v>
      </c>
      <c r="D3889" s="8" t="s">
        <v>9418</v>
      </c>
      <c r="E3889" s="9" t="str">
        <f aca="false">HYPERLINK("https://twitter.com/TatianaGelvezR/status/922176207722110977","922176207722110977")</f>
        <v>922176207722110977</v>
      </c>
      <c r="F3889" s="10" t="s">
        <v>39</v>
      </c>
      <c r="G3889" s="10" t="n">
        <v>94</v>
      </c>
      <c r="H3889" s="10" t="n">
        <v>90</v>
      </c>
      <c r="I3889" s="10" t="n">
        <v>0</v>
      </c>
      <c r="J3889" s="10" t="n">
        <v>2</v>
      </c>
      <c r="K3889" s="10" t="s">
        <v>20</v>
      </c>
      <c r="L3889" s="11" t="n">
        <v>40715.2110416667</v>
      </c>
      <c r="M3889" s="12" t="s">
        <v>9419</v>
      </c>
      <c r="N3889" s="12" t="s">
        <v>9420</v>
      </c>
      <c r="O3889" s="9" t="str">
        <f aca="false">HYPERLINK("https://pbs.twimg.com/profile_images/830009269613375488/TZonkkCP_normal.jpg","View")</f>
        <v>View</v>
      </c>
      <c r="P3889" s="10"/>
    </row>
    <row r="3890" customFormat="false" ht="15.75" hidden="false" customHeight="false" outlineLevel="0" collapsed="false">
      <c r="A3890" s="6" t="n">
        <v>43030.5014583333</v>
      </c>
      <c r="B3890" s="7" t="str">
        <f aca="false">HYPERLINK("https://twitter.com/Mehtaa_Rajesh","@Mehtaa_Rajesh")</f>
        <v>@Mehtaa_Rajesh</v>
      </c>
      <c r="C3890" s="8" t="s">
        <v>9421</v>
      </c>
      <c r="D3890" s="8" t="s">
        <v>8538</v>
      </c>
      <c r="E3890" s="9" t="str">
        <f aca="false">HYPERLINK("https://twitter.com/Mehtaa_Rajesh/status/922176252118646784","922176252118646784")</f>
        <v>922176252118646784</v>
      </c>
      <c r="F3890" s="10" t="s">
        <v>25</v>
      </c>
      <c r="G3890" s="10" t="n">
        <v>2211</v>
      </c>
      <c r="H3890" s="10" t="n">
        <v>220</v>
      </c>
      <c r="I3890" s="10" t="n">
        <v>1015</v>
      </c>
      <c r="J3890" s="10" t="n">
        <v>0</v>
      </c>
      <c r="K3890" s="10" t="s">
        <v>20</v>
      </c>
      <c r="L3890" s="11" t="n">
        <v>41732.9900578704</v>
      </c>
      <c r="M3890" s="12" t="s">
        <v>860</v>
      </c>
      <c r="N3890" s="12" t="s">
        <v>9422</v>
      </c>
      <c r="O3890" s="9" t="str">
        <f aca="false">HYPERLINK("https://pbs.twimg.com/profile_images/479190780544696321/uc7XCf66_normal.jpeg","View")</f>
        <v>View</v>
      </c>
      <c r="P3890" s="10"/>
    </row>
    <row r="3891" customFormat="false" ht="15.75" hidden="false" customHeight="false" outlineLevel="0" collapsed="false">
      <c r="A3891" s="6" t="n">
        <v>43030.5016898148</v>
      </c>
      <c r="B3891" s="7" t="str">
        <f aca="false">HYPERLINK("https://twitter.com/StreetEYE","@StreetEYE")</f>
        <v>@StreetEYE</v>
      </c>
      <c r="C3891" s="8" t="s">
        <v>9423</v>
      </c>
      <c r="D3891" s="8" t="s">
        <v>9424</v>
      </c>
      <c r="E3891" s="9" t="str">
        <f aca="false">HYPERLINK("https://twitter.com/StreetEYE/status/922176335522484224","922176335522484224")</f>
        <v>922176335522484224</v>
      </c>
      <c r="F3891" s="10" t="s">
        <v>9425</v>
      </c>
      <c r="G3891" s="10" t="n">
        <v>1980</v>
      </c>
      <c r="H3891" s="10" t="n">
        <v>3093</v>
      </c>
      <c r="I3891" s="10" t="n">
        <v>0</v>
      </c>
      <c r="J3891" s="10" t="n">
        <v>0</v>
      </c>
      <c r="K3891" s="10" t="s">
        <v>20</v>
      </c>
      <c r="L3891" s="11" t="n">
        <v>40650.7259375</v>
      </c>
      <c r="M3891" s="12" t="s">
        <v>9426</v>
      </c>
      <c r="N3891" s="12" t="s">
        <v>9427</v>
      </c>
      <c r="O3891" s="9" t="str">
        <f aca="false">HYPERLINK("https://pbs.twimg.com/profile_images/632973062540029952/2jrpUAvM_normal.png","View")</f>
        <v>View</v>
      </c>
      <c r="P3891" s="10"/>
    </row>
    <row r="3892" customFormat="false" ht="15.75" hidden="false" customHeight="false" outlineLevel="0" collapsed="false">
      <c r="A3892" s="6" t="n">
        <v>43030.5021527778</v>
      </c>
      <c r="B3892" s="7" t="str">
        <f aca="false">HYPERLINK("https://twitter.com/cvagent2","@cvagent2")</f>
        <v>@cvagent2</v>
      </c>
      <c r="C3892" s="8" t="s">
        <v>9428</v>
      </c>
      <c r="D3892" s="8" t="s">
        <v>9429</v>
      </c>
      <c r="E3892" s="9" t="str">
        <f aca="false">HYPERLINK("https://twitter.com/cvagent2/status/922176505433788416","922176505433788416")</f>
        <v>922176505433788416</v>
      </c>
      <c r="F3892" s="10" t="s">
        <v>9430</v>
      </c>
      <c r="G3892" s="10" t="n">
        <v>8</v>
      </c>
      <c r="H3892" s="10" t="n">
        <v>37</v>
      </c>
      <c r="I3892" s="10" t="n">
        <v>0</v>
      </c>
      <c r="J3892" s="10" t="n">
        <v>0</v>
      </c>
      <c r="K3892" s="10" t="s">
        <v>20</v>
      </c>
      <c r="L3892" s="11" t="n">
        <v>42316.8031828704</v>
      </c>
      <c r="M3892" s="12"/>
      <c r="N3892" s="12"/>
      <c r="O3892" s="9" t="str">
        <f aca="false">HYPERLINK("https://abs.twimg.com/sticky/default_profile_images/default_profile_normal.png","View")</f>
        <v>View</v>
      </c>
      <c r="P3892" s="10"/>
    </row>
    <row r="3893" customFormat="false" ht="15.75" hidden="false" customHeight="false" outlineLevel="0" collapsed="false">
      <c r="A3893" s="6" t="n">
        <v>43030.5024421296</v>
      </c>
      <c r="B3893" s="7" t="str">
        <f aca="false">HYPERLINK("https://twitter.com/bluepearl821","@bluepearl821")</f>
        <v>@bluepearl821</v>
      </c>
      <c r="C3893" s="8" t="s">
        <v>9431</v>
      </c>
      <c r="D3893" s="8" t="s">
        <v>9432</v>
      </c>
      <c r="E3893" s="9" t="str">
        <f aca="false">HYPERLINK("https://twitter.com/bluepearl821/status/922176608236060672","922176608236060672")</f>
        <v>922176608236060672</v>
      </c>
      <c r="F3893" s="10" t="s">
        <v>25</v>
      </c>
      <c r="G3893" s="10" t="n">
        <v>298</v>
      </c>
      <c r="H3893" s="10" t="n">
        <v>1170</v>
      </c>
      <c r="I3893" s="10" t="n">
        <v>6</v>
      </c>
      <c r="J3893" s="10" t="n">
        <v>0</v>
      </c>
      <c r="K3893" s="10" t="s">
        <v>20</v>
      </c>
      <c r="L3893" s="11" t="n">
        <v>42676.8721527778</v>
      </c>
      <c r="M3893" s="12"/>
      <c r="N3893" s="12"/>
      <c r="O3893" s="9" t="str">
        <f aca="false">HYPERLINK("https://pbs.twimg.com/profile_images/906389266380365825/ZYesYyYB_normal.jpg","View")</f>
        <v>View</v>
      </c>
      <c r="P3893" s="10"/>
    </row>
    <row r="3894" customFormat="false" ht="15.75" hidden="false" customHeight="false" outlineLevel="0" collapsed="false">
      <c r="A3894" s="6" t="n">
        <v>43030.502662037</v>
      </c>
      <c r="B3894" s="7" t="str">
        <f aca="false">HYPERLINK("https://twitter.com/iamrad7","@iamrad7")</f>
        <v>@iamrad7</v>
      </c>
      <c r="C3894" s="8" t="s">
        <v>9433</v>
      </c>
      <c r="D3894" s="8" t="s">
        <v>8538</v>
      </c>
      <c r="E3894" s="9" t="str">
        <f aca="false">HYPERLINK("https://twitter.com/iamrad7/status/922176688254992384","922176688254992384")</f>
        <v>922176688254992384</v>
      </c>
      <c r="F3894" s="10" t="s">
        <v>51</v>
      </c>
      <c r="G3894" s="10" t="n">
        <v>283</v>
      </c>
      <c r="H3894" s="10" t="n">
        <v>241</v>
      </c>
      <c r="I3894" s="10" t="n">
        <v>1015</v>
      </c>
      <c r="J3894" s="10" t="n">
        <v>0</v>
      </c>
      <c r="K3894" s="10" t="s">
        <v>20</v>
      </c>
      <c r="L3894" s="11" t="n">
        <v>41523.1080902778</v>
      </c>
      <c r="M3894" s="12" t="s">
        <v>3531</v>
      </c>
      <c r="N3894" s="12" t="s">
        <v>9434</v>
      </c>
      <c r="O3894" s="9" t="str">
        <f aca="false">HYPERLINK("https://pbs.twimg.com/profile_images/908319495453679617/wpXczyt4_normal.jpg","View")</f>
        <v>View</v>
      </c>
      <c r="P3894" s="10"/>
    </row>
    <row r="3895" customFormat="false" ht="15.75" hidden="false" customHeight="false" outlineLevel="0" collapsed="false">
      <c r="A3895" s="6" t="n">
        <v>43030.5028240741</v>
      </c>
      <c r="B3895" s="7" t="str">
        <f aca="false">HYPERLINK("https://twitter.com/1983sansingh","@1983sansingh")</f>
        <v>@1983sansingh</v>
      </c>
      <c r="C3895" s="8" t="s">
        <v>9435</v>
      </c>
      <c r="D3895" s="8" t="s">
        <v>8538</v>
      </c>
      <c r="E3895" s="9" t="str">
        <f aca="false">HYPERLINK("https://twitter.com/1983sansingh/status/922176746622877696","922176746622877696")</f>
        <v>922176746622877696</v>
      </c>
      <c r="F3895" s="10" t="s">
        <v>25</v>
      </c>
      <c r="G3895" s="10" t="n">
        <v>486</v>
      </c>
      <c r="H3895" s="10" t="n">
        <v>125</v>
      </c>
      <c r="I3895" s="10" t="n">
        <v>1015</v>
      </c>
      <c r="J3895" s="10" t="n">
        <v>0</v>
      </c>
      <c r="K3895" s="10" t="s">
        <v>20</v>
      </c>
      <c r="L3895" s="11" t="n">
        <v>41234.0712384259</v>
      </c>
      <c r="M3895" s="12"/>
      <c r="N3895" s="12" t="s">
        <v>9436</v>
      </c>
      <c r="O3895" s="9" t="str">
        <f aca="false">HYPERLINK("https://pbs.twimg.com/profile_images/884480400881537024/dtWXrStU_normal.jpg","View")</f>
        <v>View</v>
      </c>
      <c r="P3895" s="10"/>
    </row>
    <row r="3896" customFormat="false" ht="15.75" hidden="false" customHeight="false" outlineLevel="0" collapsed="false">
      <c r="A3896" s="6" t="n">
        <v>43030.5028703704</v>
      </c>
      <c r="B3896" s="7" t="str">
        <f aca="false">HYPERLINK("https://twitter.com/sonijkn2","@sonijkn2")</f>
        <v>@sonijkn2</v>
      </c>
      <c r="C3896" s="8" t="s">
        <v>9437</v>
      </c>
      <c r="D3896" s="8" t="s">
        <v>8538</v>
      </c>
      <c r="E3896" s="9" t="str">
        <f aca="false">HYPERLINK("https://twitter.com/sonijkn2/status/922176765870723073","922176765870723073")</f>
        <v>922176765870723073</v>
      </c>
      <c r="F3896" s="10" t="s">
        <v>25</v>
      </c>
      <c r="G3896" s="10" t="n">
        <v>212</v>
      </c>
      <c r="H3896" s="10" t="n">
        <v>102</v>
      </c>
      <c r="I3896" s="10" t="n">
        <v>1015</v>
      </c>
      <c r="J3896" s="10" t="n">
        <v>0</v>
      </c>
      <c r="K3896" s="10" t="s">
        <v>20</v>
      </c>
      <c r="L3896" s="11" t="n">
        <v>41329.2859027778</v>
      </c>
      <c r="M3896" s="12"/>
      <c r="N3896" s="12" t="s">
        <v>9438</v>
      </c>
      <c r="O3896" s="9" t="str">
        <f aca="false">HYPERLINK("https://pbs.twimg.com/profile_images/605447227494965248/m6d7Y-1K_normal.jpg","View")</f>
        <v>View</v>
      </c>
      <c r="P3896" s="10"/>
    </row>
    <row r="3897" customFormat="false" ht="15.75" hidden="false" customHeight="false" outlineLevel="0" collapsed="false">
      <c r="A3897" s="6" t="n">
        <v>43030.5029166667</v>
      </c>
      <c r="B3897" s="7" t="str">
        <f aca="false">HYPERLINK("https://twitter.com/joenonaka","@joenonaka")</f>
        <v>@joenonaka</v>
      </c>
      <c r="C3897" s="8" t="s">
        <v>9439</v>
      </c>
      <c r="D3897" s="8" t="s">
        <v>6707</v>
      </c>
      <c r="E3897" s="9" t="str">
        <f aca="false">HYPERLINK("https://twitter.com/joenonaka/status/922176779539722240","922176779539722240")</f>
        <v>922176779539722240</v>
      </c>
      <c r="F3897" s="10" t="s">
        <v>25</v>
      </c>
      <c r="G3897" s="10" t="n">
        <v>1335</v>
      </c>
      <c r="H3897" s="10" t="n">
        <v>2129</v>
      </c>
      <c r="I3897" s="10" t="n">
        <v>97</v>
      </c>
      <c r="J3897" s="10" t="n">
        <v>0</v>
      </c>
      <c r="K3897" s="10" t="s">
        <v>20</v>
      </c>
      <c r="L3897" s="11" t="n">
        <v>40273.8404166667</v>
      </c>
      <c r="M3897" s="12" t="s">
        <v>1529</v>
      </c>
      <c r="N3897" s="12" t="s">
        <v>9440</v>
      </c>
      <c r="O3897" s="9" t="str">
        <f aca="false">HYPERLINK("https://pbs.twimg.com/profile_images/858132535447965698/h0dZ9IMU_normal.jpg","View")</f>
        <v>View</v>
      </c>
      <c r="P3897" s="10"/>
    </row>
    <row r="3898" customFormat="false" ht="15.75" hidden="false" customHeight="false" outlineLevel="0" collapsed="false">
      <c r="A3898" s="6" t="n">
        <v>43030.5029398148</v>
      </c>
      <c r="B3898" s="7" t="str">
        <f aca="false">HYPERLINK("https://twitter.com/sgqm","@sgqm")</f>
        <v>@sgqm</v>
      </c>
      <c r="C3898" s="8" t="s">
        <v>9441</v>
      </c>
      <c r="D3898" s="8" t="s">
        <v>8538</v>
      </c>
      <c r="E3898" s="9" t="str">
        <f aca="false">HYPERLINK("https://twitter.com/sgqm/status/922176788884844546","922176788884844546")</f>
        <v>922176788884844546</v>
      </c>
      <c r="F3898" s="10" t="s">
        <v>25</v>
      </c>
      <c r="G3898" s="10" t="n">
        <v>457</v>
      </c>
      <c r="H3898" s="10" t="n">
        <v>420</v>
      </c>
      <c r="I3898" s="10" t="n">
        <v>1015</v>
      </c>
      <c r="J3898" s="10" t="n">
        <v>0</v>
      </c>
      <c r="K3898" s="10" t="s">
        <v>20</v>
      </c>
      <c r="L3898" s="11" t="n">
        <v>39781.8498148148</v>
      </c>
      <c r="M3898" s="12" t="s">
        <v>9442</v>
      </c>
      <c r="N3898" s="12" t="s">
        <v>9443</v>
      </c>
      <c r="O3898" s="9" t="str">
        <f aca="false">HYPERLINK("https://pbs.twimg.com/profile_images/856572956025118720/anB8y1Rg_normal.jpg","View")</f>
        <v>View</v>
      </c>
      <c r="P3898" s="10"/>
    </row>
    <row r="3899" customFormat="false" ht="15.75" hidden="false" customHeight="false" outlineLevel="0" collapsed="false">
      <c r="A3899" s="6" t="n">
        <v>43030.5030092593</v>
      </c>
      <c r="B3899" s="7" t="str">
        <f aca="false">HYPERLINK("https://twitter.com/saggirex","@saggirex")</f>
        <v>@saggirex</v>
      </c>
      <c r="C3899" s="8" t="s">
        <v>9444</v>
      </c>
      <c r="D3899" s="8" t="s">
        <v>8538</v>
      </c>
      <c r="E3899" s="9" t="str">
        <f aca="false">HYPERLINK("https://twitter.com/saggirex/status/922176813664673792","922176813664673792")</f>
        <v>922176813664673792</v>
      </c>
      <c r="F3899" s="10" t="s">
        <v>51</v>
      </c>
      <c r="G3899" s="10" t="n">
        <v>1053</v>
      </c>
      <c r="H3899" s="10" t="n">
        <v>494</v>
      </c>
      <c r="I3899" s="10" t="n">
        <v>1015</v>
      </c>
      <c r="J3899" s="10" t="n">
        <v>0</v>
      </c>
      <c r="K3899" s="10" t="s">
        <v>20</v>
      </c>
      <c r="L3899" s="11" t="n">
        <v>39926.5788657407</v>
      </c>
      <c r="M3899" s="12" t="s">
        <v>9445</v>
      </c>
      <c r="N3899" s="12" t="s">
        <v>9446</v>
      </c>
      <c r="O3899" s="9" t="str">
        <f aca="false">HYPERLINK("https://pbs.twimg.com/profile_images/918472289032605697/PuBbD7CI_normal.jpg","View")</f>
        <v>View</v>
      </c>
      <c r="P3899" s="10"/>
    </row>
    <row r="3900" customFormat="false" ht="15.75" hidden="false" customHeight="false" outlineLevel="0" collapsed="false">
      <c r="A3900" s="6" t="n">
        <v>43030.5032175926</v>
      </c>
      <c r="B3900" s="7" t="str">
        <f aca="false">HYPERLINK("https://twitter.com/abhijeetkum","@abhijeetkum")</f>
        <v>@abhijeetkum</v>
      </c>
      <c r="C3900" s="8" t="s">
        <v>9447</v>
      </c>
      <c r="D3900" s="8" t="s">
        <v>8538</v>
      </c>
      <c r="E3900" s="9" t="str">
        <f aca="false">HYPERLINK("https://twitter.com/abhijeetkum/status/922176888935763974","922176888935763974")</f>
        <v>922176888935763974</v>
      </c>
      <c r="F3900" s="10" t="s">
        <v>25</v>
      </c>
      <c r="G3900" s="10" t="n">
        <v>478</v>
      </c>
      <c r="H3900" s="10" t="n">
        <v>481</v>
      </c>
      <c r="I3900" s="10" t="n">
        <v>1015</v>
      </c>
      <c r="J3900" s="10" t="n">
        <v>0</v>
      </c>
      <c r="K3900" s="10" t="s">
        <v>20</v>
      </c>
      <c r="L3900" s="11" t="n">
        <v>40935.2991203704</v>
      </c>
      <c r="M3900" s="12" t="s">
        <v>2340</v>
      </c>
      <c r="N3900" s="12" t="s">
        <v>9448</v>
      </c>
      <c r="O3900" s="9" t="str">
        <f aca="false">HYPERLINK("https://pbs.twimg.com/profile_images/750051748333576192/Hc7iBLlb_normal.jpg","View")</f>
        <v>View</v>
      </c>
      <c r="P3900" s="10"/>
    </row>
    <row r="3901" customFormat="false" ht="15.75" hidden="false" customHeight="false" outlineLevel="0" collapsed="false">
      <c r="A3901" s="6" t="n">
        <v>43030.503275463</v>
      </c>
      <c r="B3901" s="7" t="str">
        <f aca="false">HYPERLINK("https://twitter.com/tijusenak","@tijusenak")</f>
        <v>@tijusenak</v>
      </c>
      <c r="C3901" s="8" t="s">
        <v>9449</v>
      </c>
      <c r="D3901" s="8" t="s">
        <v>8538</v>
      </c>
      <c r="E3901" s="9" t="str">
        <f aca="false">HYPERLINK("https://twitter.com/tijusenak/status/922176912201539587","922176912201539587")</f>
        <v>922176912201539587</v>
      </c>
      <c r="F3901" s="10" t="s">
        <v>98</v>
      </c>
      <c r="G3901" s="10" t="n">
        <v>52</v>
      </c>
      <c r="H3901" s="10" t="n">
        <v>424</v>
      </c>
      <c r="I3901" s="10" t="n">
        <v>1015</v>
      </c>
      <c r="J3901" s="10" t="n">
        <v>0</v>
      </c>
      <c r="K3901" s="10" t="s">
        <v>20</v>
      </c>
      <c r="L3901" s="11" t="n">
        <v>39756.124525463</v>
      </c>
      <c r="M3901" s="12" t="s">
        <v>9450</v>
      </c>
      <c r="N3901" s="12" t="s">
        <v>9451</v>
      </c>
      <c r="O3901" s="9" t="str">
        <f aca="false">HYPERLINK("https://pbs.twimg.com/profile_images/894873160444542976/KTg06Vuq_normal.jpg","View")</f>
        <v>View</v>
      </c>
      <c r="P3901" s="10"/>
    </row>
    <row r="3902" customFormat="false" ht="15.75" hidden="false" customHeight="false" outlineLevel="0" collapsed="false">
      <c r="A3902" s="6" t="n">
        <v>43030.5036458333</v>
      </c>
      <c r="B3902" s="7" t="str">
        <f aca="false">HYPERLINK("https://twitter.com/hooviestar","@hooviestar")</f>
        <v>@hooviestar</v>
      </c>
      <c r="C3902" s="8" t="s">
        <v>9452</v>
      </c>
      <c r="D3902" s="8" t="s">
        <v>9350</v>
      </c>
      <c r="E3902" s="9" t="str">
        <f aca="false">HYPERLINK("https://twitter.com/hooviestar/status/922177046289272838","922177046289272838")</f>
        <v>922177046289272838</v>
      </c>
      <c r="F3902" s="10" t="s">
        <v>177</v>
      </c>
      <c r="G3902" s="10" t="n">
        <v>405</v>
      </c>
      <c r="H3902" s="10" t="n">
        <v>98</v>
      </c>
      <c r="I3902" s="10" t="n">
        <v>2</v>
      </c>
      <c r="J3902" s="10" t="n">
        <v>0</v>
      </c>
      <c r="K3902" s="10" t="s">
        <v>20</v>
      </c>
      <c r="L3902" s="11" t="n">
        <v>40552.1921990741</v>
      </c>
      <c r="M3902" s="12"/>
      <c r="N3902" s="12" t="s">
        <v>9453</v>
      </c>
      <c r="O3902" s="9" t="str">
        <f aca="false">HYPERLINK("https://pbs.twimg.com/profile_images/809671808299499520/21XzkzzB_normal.jpg","View")</f>
        <v>View</v>
      </c>
      <c r="P3902" s="10"/>
    </row>
    <row r="3903" customFormat="false" ht="15.75" hidden="false" customHeight="false" outlineLevel="0" collapsed="false">
      <c r="A3903" s="6" t="n">
        <v>43030.5037847222</v>
      </c>
      <c r="B3903" s="7" t="str">
        <f aca="false">HYPERLINK("https://twitter.com/ilovedirestrait","@ilovedirestrait")</f>
        <v>@ilovedirestrait</v>
      </c>
      <c r="C3903" s="8" t="s">
        <v>9454</v>
      </c>
      <c r="D3903" s="8" t="s">
        <v>8538</v>
      </c>
      <c r="E3903" s="9" t="str">
        <f aca="false">HYPERLINK("https://twitter.com/ilovedirestrait/status/922177096193101825","922177096193101825")</f>
        <v>922177096193101825</v>
      </c>
      <c r="F3903" s="10" t="s">
        <v>51</v>
      </c>
      <c r="G3903" s="10" t="n">
        <v>1223</v>
      </c>
      <c r="H3903" s="10" t="n">
        <v>1015</v>
      </c>
      <c r="I3903" s="10" t="n">
        <v>1015</v>
      </c>
      <c r="J3903" s="10" t="n">
        <v>0</v>
      </c>
      <c r="K3903" s="10" t="s">
        <v>20</v>
      </c>
      <c r="L3903" s="11" t="n">
        <v>40504.9123148148</v>
      </c>
      <c r="M3903" s="12"/>
      <c r="N3903" s="12" t="s">
        <v>9455</v>
      </c>
      <c r="O3903" s="9" t="str">
        <f aca="false">HYPERLINK("https://pbs.twimg.com/profile_images/888748952668864512/f7Q19HPa_normal.jpg","View")</f>
        <v>View</v>
      </c>
      <c r="P3903" s="10"/>
    </row>
    <row r="3904" customFormat="false" ht="15.75" hidden="false" customHeight="false" outlineLevel="0" collapsed="false">
      <c r="A3904" s="6" t="n">
        <v>43030.5038541667</v>
      </c>
      <c r="B3904" s="7" t="str">
        <f aca="false">HYPERLINK("https://twitter.com/dr_aktiku","@dr_aktiku")</f>
        <v>@dr_aktiku</v>
      </c>
      <c r="C3904" s="8" t="s">
        <v>9456</v>
      </c>
      <c r="D3904" s="8" t="s">
        <v>8538</v>
      </c>
      <c r="E3904" s="9" t="str">
        <f aca="false">HYPERLINK("https://twitter.com/dr_aktiku/status/922177119572103168","922177119572103168")</f>
        <v>922177119572103168</v>
      </c>
      <c r="F3904" s="10" t="s">
        <v>25</v>
      </c>
      <c r="G3904" s="10" t="n">
        <v>1494</v>
      </c>
      <c r="H3904" s="10" t="n">
        <v>784</v>
      </c>
      <c r="I3904" s="10" t="n">
        <v>1015</v>
      </c>
      <c r="J3904" s="10" t="n">
        <v>0</v>
      </c>
      <c r="K3904" s="10" t="s">
        <v>20</v>
      </c>
      <c r="L3904" s="11" t="n">
        <v>40190.0294560185</v>
      </c>
      <c r="M3904" s="12"/>
      <c r="N3904" s="12"/>
      <c r="O3904" s="9" t="str">
        <f aca="false">HYPERLINK("https://pbs.twimg.com/profile_images/897298081720524803/gjsgz_ea_normal.jpg","View")</f>
        <v>View</v>
      </c>
      <c r="P3904" s="10"/>
    </row>
    <row r="3905" customFormat="false" ht="15.75" hidden="false" customHeight="false" outlineLevel="0" collapsed="false">
      <c r="A3905" s="6" t="n">
        <v>43030.5040509259</v>
      </c>
      <c r="B3905" s="7" t="str">
        <f aca="false">HYPERLINK("https://twitter.com/ulatyabomba","@ulatyabomba")</f>
        <v>@ulatyabomba</v>
      </c>
      <c r="C3905" s="8" t="s">
        <v>9457</v>
      </c>
      <c r="D3905" s="8" t="s">
        <v>7905</v>
      </c>
      <c r="E3905" s="9" t="str">
        <f aca="false">HYPERLINK("https://twitter.com/ulatyabomba/status/922177193777676288","922177193777676288")</f>
        <v>922177193777676288</v>
      </c>
      <c r="F3905" s="10" t="s">
        <v>25</v>
      </c>
      <c r="G3905" s="10" t="n">
        <v>1493</v>
      </c>
      <c r="H3905" s="10" t="n">
        <v>1672</v>
      </c>
      <c r="I3905" s="10" t="n">
        <v>38</v>
      </c>
      <c r="J3905" s="10" t="n">
        <v>0</v>
      </c>
      <c r="K3905" s="10" t="s">
        <v>20</v>
      </c>
      <c r="L3905" s="11" t="n">
        <v>40080.3089814815</v>
      </c>
      <c r="M3905" s="12" t="s">
        <v>87</v>
      </c>
      <c r="N3905" s="12" t="s">
        <v>9458</v>
      </c>
      <c r="O3905" s="9" t="str">
        <f aca="false">HYPERLINK("https://pbs.twimg.com/profile_images/679242186500661248/y7cauYyG_normal.jpg","View")</f>
        <v>View</v>
      </c>
      <c r="P3905" s="10"/>
    </row>
    <row r="3906" customFormat="false" ht="15.75" hidden="false" customHeight="false" outlineLevel="0" collapsed="false">
      <c r="A3906" s="6" t="n">
        <v>43030.5043171296</v>
      </c>
      <c r="B3906" s="7" t="str">
        <f aca="false">HYPERLINK("https://twitter.com/WorleyWay","@WorleyWay")</f>
        <v>@WorleyWay</v>
      </c>
      <c r="C3906" s="8" t="s">
        <v>9459</v>
      </c>
      <c r="D3906" s="8" t="s">
        <v>9460</v>
      </c>
      <c r="E3906" s="9" t="str">
        <f aca="false">HYPERLINK("https://twitter.com/WorleyWay/status/922177287872692224","922177287872692224")</f>
        <v>922177287872692224</v>
      </c>
      <c r="F3906" s="10" t="s">
        <v>47</v>
      </c>
      <c r="G3906" s="10" t="n">
        <v>313</v>
      </c>
      <c r="H3906" s="10" t="n">
        <v>1311</v>
      </c>
      <c r="I3906" s="10" t="n">
        <v>0</v>
      </c>
      <c r="J3906" s="10" t="n">
        <v>0</v>
      </c>
      <c r="K3906" s="10" t="s">
        <v>20</v>
      </c>
      <c r="L3906" s="11" t="n">
        <v>39867.9212384259</v>
      </c>
      <c r="M3906" s="12" t="s">
        <v>1814</v>
      </c>
      <c r="N3906" s="12" t="s">
        <v>9461</v>
      </c>
      <c r="O3906" s="9" t="str">
        <f aca="false">HYPERLINK("https://pbs.twimg.com/profile_images/665405296144158720/O6fus3Ka_normal.jpg","View")</f>
        <v>View</v>
      </c>
      <c r="P3906" s="10"/>
    </row>
    <row r="3907" customFormat="false" ht="15.75" hidden="false" customHeight="false" outlineLevel="0" collapsed="false">
      <c r="A3907" s="6" t="n">
        <v>43030.5046990741</v>
      </c>
      <c r="B3907" s="7" t="str">
        <f aca="false">HYPERLINK("https://twitter.com/singineer","@singineer")</f>
        <v>@singineer</v>
      </c>
      <c r="C3907" s="8" t="s">
        <v>9462</v>
      </c>
      <c r="D3907" s="8" t="s">
        <v>8538</v>
      </c>
      <c r="E3907" s="9" t="str">
        <f aca="false">HYPERLINK("https://twitter.com/singineer/status/922177425424785409","922177425424785409")</f>
        <v>922177425424785409</v>
      </c>
      <c r="F3907" s="10" t="s">
        <v>25</v>
      </c>
      <c r="G3907" s="10" t="n">
        <v>318</v>
      </c>
      <c r="H3907" s="10" t="n">
        <v>592</v>
      </c>
      <c r="I3907" s="10" t="n">
        <v>1015</v>
      </c>
      <c r="J3907" s="10" t="n">
        <v>0</v>
      </c>
      <c r="K3907" s="10" t="s">
        <v>20</v>
      </c>
      <c r="L3907" s="11" t="n">
        <v>40179.3708796296</v>
      </c>
      <c r="M3907" s="12" t="s">
        <v>3832</v>
      </c>
      <c r="N3907" s="12" t="s">
        <v>9463</v>
      </c>
      <c r="O3907" s="9" t="str">
        <f aca="false">HYPERLINK("https://pbs.twimg.com/profile_images/563578262677250050/x2Ez4ZkQ_normal.jpeg","View")</f>
        <v>View</v>
      </c>
      <c r="P3907" s="10"/>
    </row>
    <row r="3908" customFormat="false" ht="15.75" hidden="false" customHeight="false" outlineLevel="0" collapsed="false">
      <c r="A3908" s="6" t="n">
        <v>43030.5055671296</v>
      </c>
      <c r="B3908" s="7" t="str">
        <f aca="false">HYPERLINK("https://twitter.com/manoj_k90","@manoj_k90")</f>
        <v>@manoj_k90</v>
      </c>
      <c r="C3908" s="8" t="s">
        <v>9464</v>
      </c>
      <c r="D3908" s="8" t="s">
        <v>8538</v>
      </c>
      <c r="E3908" s="9" t="str">
        <f aca="false">HYPERLINK("https://twitter.com/manoj_k90/status/922177742166040577","922177742166040577")</f>
        <v>922177742166040577</v>
      </c>
      <c r="F3908" s="10" t="s">
        <v>25</v>
      </c>
      <c r="G3908" s="10" t="n">
        <v>265</v>
      </c>
      <c r="H3908" s="10" t="n">
        <v>273</v>
      </c>
      <c r="I3908" s="10" t="n">
        <v>1015</v>
      </c>
      <c r="J3908" s="10" t="n">
        <v>0</v>
      </c>
      <c r="K3908" s="10" t="s">
        <v>20</v>
      </c>
      <c r="L3908" s="11" t="n">
        <v>40140.2230787037</v>
      </c>
      <c r="M3908" s="12"/>
      <c r="N3908" s="12" t="s">
        <v>9465</v>
      </c>
      <c r="O3908" s="9" t="str">
        <f aca="false">HYPERLINK("https://pbs.twimg.com/profile_images/810017242662305792/YwwI9PGj_normal.jpg","View")</f>
        <v>View</v>
      </c>
      <c r="P3908" s="10"/>
    </row>
    <row r="3909" customFormat="false" ht="15.75" hidden="false" customHeight="false" outlineLevel="0" collapsed="false">
      <c r="A3909" s="6" t="n">
        <v>43030.505787037</v>
      </c>
      <c r="B3909" s="7" t="str">
        <f aca="false">HYPERLINK("https://twitter.com/BizDatabase","@BizDatabase")</f>
        <v>@BizDatabase</v>
      </c>
      <c r="C3909" s="8" t="s">
        <v>9466</v>
      </c>
      <c r="D3909" s="8" t="s">
        <v>9467</v>
      </c>
      <c r="E3909" s="9" t="str">
        <f aca="false">HYPERLINK("https://twitter.com/BizDatabase/status/922177820163497984","922177820163497984")</f>
        <v>922177820163497984</v>
      </c>
      <c r="F3909" s="10" t="s">
        <v>60</v>
      </c>
      <c r="G3909" s="10" t="n">
        <v>561</v>
      </c>
      <c r="H3909" s="10" t="n">
        <v>9</v>
      </c>
      <c r="I3909" s="10" t="n">
        <v>0</v>
      </c>
      <c r="J3909" s="10" t="n">
        <v>0</v>
      </c>
      <c r="K3909" s="10" t="s">
        <v>20</v>
      </c>
      <c r="L3909" s="11" t="n">
        <v>41578.2109490741</v>
      </c>
      <c r="M3909" s="12"/>
      <c r="N3909" s="12" t="s">
        <v>9468</v>
      </c>
      <c r="O3909" s="9" t="str">
        <f aca="false">HYPERLINK("https://pbs.twimg.com/profile_images/378800000673458402/497753064850031a61189032789795f2_normal.png","View")</f>
        <v>View</v>
      </c>
      <c r="P3909" s="10"/>
    </row>
    <row r="3910" customFormat="false" ht="15.75" hidden="false" customHeight="false" outlineLevel="0" collapsed="false">
      <c r="A3910" s="6" t="n">
        <v>43030.5060416667</v>
      </c>
      <c r="B3910" s="7" t="str">
        <f aca="false">HYPERLINK("https://twitter.com/JayHinduRastram","@JayHinduRastram")</f>
        <v>@JayHinduRastram</v>
      </c>
      <c r="C3910" s="8" t="s">
        <v>9469</v>
      </c>
      <c r="D3910" s="8" t="s">
        <v>8538</v>
      </c>
      <c r="E3910" s="9" t="str">
        <f aca="false">HYPERLINK("https://twitter.com/JayHinduRastram/status/922177913184587777","922177913184587777")</f>
        <v>922177913184587777</v>
      </c>
      <c r="F3910" s="10" t="s">
        <v>25</v>
      </c>
      <c r="G3910" s="10" t="n">
        <v>6105</v>
      </c>
      <c r="H3910" s="10" t="n">
        <v>3938</v>
      </c>
      <c r="I3910" s="10" t="n">
        <v>1015</v>
      </c>
      <c r="J3910" s="10" t="n">
        <v>0</v>
      </c>
      <c r="K3910" s="10" t="s">
        <v>20</v>
      </c>
      <c r="L3910" s="11" t="n">
        <v>40645.2035185185</v>
      </c>
      <c r="M3910" s="12" t="s">
        <v>9470</v>
      </c>
      <c r="N3910" s="12" t="s">
        <v>9471</v>
      </c>
      <c r="O3910" s="9" t="str">
        <f aca="false">HYPERLINK("https://pbs.twimg.com/profile_images/673028303393980417/wftTss3T_normal.jpg","View")</f>
        <v>View</v>
      </c>
      <c r="P3910" s="10"/>
    </row>
    <row r="3911" customFormat="false" ht="15.75" hidden="false" customHeight="false" outlineLevel="0" collapsed="false">
      <c r="A3911" s="6" t="n">
        <v>43030.5061574074</v>
      </c>
      <c r="B3911" s="7" t="str">
        <f aca="false">HYPERLINK("https://twitter.com/Pradeepkathavi","@Pradeepkathavi")</f>
        <v>@Pradeepkathavi</v>
      </c>
      <c r="C3911" s="8" t="s">
        <v>9472</v>
      </c>
      <c r="D3911" s="8" t="s">
        <v>8538</v>
      </c>
      <c r="E3911" s="9" t="str">
        <f aca="false">HYPERLINK("https://twitter.com/Pradeepkathavi/status/922177956830519297","922177956830519297")</f>
        <v>922177956830519297</v>
      </c>
      <c r="F3911" s="10" t="s">
        <v>177</v>
      </c>
      <c r="G3911" s="10" t="n">
        <v>69</v>
      </c>
      <c r="H3911" s="10" t="n">
        <v>71</v>
      </c>
      <c r="I3911" s="10" t="n">
        <v>1015</v>
      </c>
      <c r="J3911" s="10" t="n">
        <v>0</v>
      </c>
      <c r="K3911" s="10" t="s">
        <v>20</v>
      </c>
      <c r="L3911" s="11" t="n">
        <v>40784.299525463</v>
      </c>
      <c r="M3911" s="12" t="s">
        <v>9473</v>
      </c>
      <c r="N3911" s="12" t="s">
        <v>9474</v>
      </c>
      <c r="O3911" s="9" t="str">
        <f aca="false">HYPERLINK("https://pbs.twimg.com/profile_images/897821620571480065/2CHBizcw_normal.jpg","View")</f>
        <v>View</v>
      </c>
      <c r="P3911" s="10"/>
    </row>
    <row r="3912" customFormat="false" ht="15.75" hidden="false" customHeight="false" outlineLevel="0" collapsed="false">
      <c r="A3912" s="6" t="n">
        <v>43030.5067708333</v>
      </c>
      <c r="B3912" s="7" t="str">
        <f aca="false">HYPERLINK("https://twitter.com/hnkb68","@hnkb68")</f>
        <v>@hnkb68</v>
      </c>
      <c r="C3912" s="8" t="s">
        <v>9475</v>
      </c>
      <c r="D3912" s="8" t="s">
        <v>8538</v>
      </c>
      <c r="E3912" s="9" t="str">
        <f aca="false">HYPERLINK("https://twitter.com/hnkb68/status/922178176708571136","922178176708571136")</f>
        <v>922178176708571136</v>
      </c>
      <c r="F3912" s="10" t="s">
        <v>1289</v>
      </c>
      <c r="G3912" s="10" t="n">
        <v>42</v>
      </c>
      <c r="H3912" s="10" t="n">
        <v>120</v>
      </c>
      <c r="I3912" s="10" t="n">
        <v>1015</v>
      </c>
      <c r="J3912" s="10" t="n">
        <v>0</v>
      </c>
      <c r="K3912" s="10" t="s">
        <v>20</v>
      </c>
      <c r="L3912" s="11" t="n">
        <v>40527.0920138889</v>
      </c>
      <c r="M3912" s="12"/>
      <c r="N3912" s="12" t="s">
        <v>9476</v>
      </c>
      <c r="O3912" s="9" t="str">
        <f aca="false">HYPERLINK("https://pbs.twimg.com/profile_images/1206459393/VVS_normal.JPG","View")</f>
        <v>View</v>
      </c>
      <c r="P3912" s="10"/>
    </row>
    <row r="3913" customFormat="false" ht="15.75" hidden="false" customHeight="false" outlineLevel="0" collapsed="false">
      <c r="A3913" s="6" t="n">
        <v>43030.507025463</v>
      </c>
      <c r="B3913" s="7" t="str">
        <f aca="false">HYPERLINK("https://twitter.com/asiatimesonline","@asiatimesonline")</f>
        <v>@asiatimesonline</v>
      </c>
      <c r="C3913" s="8" t="s">
        <v>66</v>
      </c>
      <c r="D3913" s="8" t="s">
        <v>9477</v>
      </c>
      <c r="E3913" s="9" t="str">
        <f aca="false">HYPERLINK("https://twitter.com/asiatimesonline/status/922178270656913408","922178270656913408")</f>
        <v>922178270656913408</v>
      </c>
      <c r="F3913" s="10" t="s">
        <v>110</v>
      </c>
      <c r="G3913" s="10" t="n">
        <v>13340</v>
      </c>
      <c r="H3913" s="10" t="n">
        <v>485</v>
      </c>
      <c r="I3913" s="10" t="n">
        <v>1</v>
      </c>
      <c r="J3913" s="10" t="n">
        <v>0</v>
      </c>
      <c r="K3913" s="10" t="s">
        <v>20</v>
      </c>
      <c r="L3913" s="11" t="n">
        <v>40211.9324421296</v>
      </c>
      <c r="M3913" s="12" t="s">
        <v>68</v>
      </c>
      <c r="N3913" s="12" t="s">
        <v>69</v>
      </c>
      <c r="O3913" s="9" t="str">
        <f aca="false">HYPERLINK("https://pbs.twimg.com/profile_images/783976339602800640/IRukaym2_normal.jpg","View")</f>
        <v>View</v>
      </c>
      <c r="P3913" s="10"/>
    </row>
    <row r="3914" customFormat="false" ht="15.75" hidden="false" customHeight="false" outlineLevel="0" collapsed="false">
      <c r="A3914" s="6" t="n">
        <v>43030.5077430556</v>
      </c>
      <c r="B3914" s="7" t="str">
        <f aca="false">HYPERLINK("https://twitter.com/arvindnayak1","@arvindnayak1")</f>
        <v>@arvindnayak1</v>
      </c>
      <c r="C3914" s="8" t="s">
        <v>9478</v>
      </c>
      <c r="D3914" s="8" t="s">
        <v>8538</v>
      </c>
      <c r="E3914" s="9" t="str">
        <f aca="false">HYPERLINK("https://twitter.com/arvindnayak1/status/922178529315270656","922178529315270656")</f>
        <v>922178529315270656</v>
      </c>
      <c r="F3914" s="10" t="s">
        <v>51</v>
      </c>
      <c r="G3914" s="10" t="n">
        <v>1632</v>
      </c>
      <c r="H3914" s="10" t="n">
        <v>1358</v>
      </c>
      <c r="I3914" s="10" t="n">
        <v>1015</v>
      </c>
      <c r="J3914" s="10" t="n">
        <v>0</v>
      </c>
      <c r="K3914" s="10" t="s">
        <v>20</v>
      </c>
      <c r="L3914" s="11" t="n">
        <v>40699.2985185185</v>
      </c>
      <c r="M3914" s="12" t="s">
        <v>9479</v>
      </c>
      <c r="N3914" s="12" t="s">
        <v>9480</v>
      </c>
      <c r="O3914" s="9" t="str">
        <f aca="false">HYPERLINK("https://pbs.twimg.com/profile_images/897718119225020417/VZrBd2RS_normal.jpg","View")</f>
        <v>View</v>
      </c>
      <c r="P3914" s="10"/>
    </row>
    <row r="3915" customFormat="false" ht="15.75" hidden="false" customHeight="false" outlineLevel="0" collapsed="false">
      <c r="A3915" s="6" t="n">
        <v>43030.5078935185</v>
      </c>
      <c r="B3915" s="7" t="str">
        <f aca="false">HYPERLINK("https://twitter.com/SarafMandark","@SarafMandark")</f>
        <v>@SarafMandark</v>
      </c>
      <c r="C3915" s="8" t="s">
        <v>9481</v>
      </c>
      <c r="D3915" s="8" t="s">
        <v>6558</v>
      </c>
      <c r="E3915" s="9" t="str">
        <f aca="false">HYPERLINK("https://twitter.com/SarafMandark/status/922178584655155201","922178584655155201")</f>
        <v>922178584655155201</v>
      </c>
      <c r="F3915" s="10" t="s">
        <v>25</v>
      </c>
      <c r="G3915" s="10" t="n">
        <v>83</v>
      </c>
      <c r="H3915" s="10" t="n">
        <v>105</v>
      </c>
      <c r="I3915" s="10" t="n">
        <v>65</v>
      </c>
      <c r="J3915" s="10" t="n">
        <v>0</v>
      </c>
      <c r="K3915" s="10" t="s">
        <v>20</v>
      </c>
      <c r="L3915" s="11" t="n">
        <v>42437.2301851852</v>
      </c>
      <c r="M3915" s="12" t="s">
        <v>9482</v>
      </c>
      <c r="N3915" s="12" t="s">
        <v>9483</v>
      </c>
      <c r="O3915" s="9" t="str">
        <f aca="false">HYPERLINK("https://pbs.twimg.com/profile_images/839467574265991170/ksligwiW_normal.jpg","View")</f>
        <v>View</v>
      </c>
      <c r="P3915" s="10"/>
    </row>
    <row r="3916" customFormat="false" ht="15.75" hidden="false" customHeight="false" outlineLevel="0" collapsed="false">
      <c r="A3916" s="6" t="n">
        <v>43030.5083449074</v>
      </c>
      <c r="B3916" s="7" t="str">
        <f aca="false">HYPERLINK("https://twitter.com/RANDCorporation","@RANDCorporation")</f>
        <v>@RANDCorporation</v>
      </c>
      <c r="C3916" s="8" t="s">
        <v>9484</v>
      </c>
      <c r="D3916" s="8" t="s">
        <v>9485</v>
      </c>
      <c r="E3916" s="9" t="str">
        <f aca="false">HYPERLINK("https://twitter.com/RANDCorporation/status/922178749872816129","922178749872816129")</f>
        <v>922178749872816129</v>
      </c>
      <c r="F3916" s="10" t="s">
        <v>9486</v>
      </c>
      <c r="G3916" s="10" t="n">
        <v>143502</v>
      </c>
      <c r="H3916" s="10" t="n">
        <v>1196</v>
      </c>
      <c r="I3916" s="10" t="n">
        <v>11</v>
      </c>
      <c r="J3916" s="10" t="n">
        <v>13</v>
      </c>
      <c r="K3916" s="10" t="s">
        <v>20</v>
      </c>
      <c r="L3916" s="11" t="n">
        <v>39874.604224537</v>
      </c>
      <c r="M3916" s="12" t="s">
        <v>9487</v>
      </c>
      <c r="N3916" s="12" t="s">
        <v>9488</v>
      </c>
      <c r="O3916" s="9" t="str">
        <f aca="false">HYPERLINK("https://pbs.twimg.com/profile_images/899688281406808065/0R4ySXjF_normal.jpg","View")</f>
        <v>View</v>
      </c>
      <c r="P3916" s="10"/>
    </row>
    <row r="3917" customFormat="false" ht="15.75" hidden="false" customHeight="false" outlineLevel="0" collapsed="false">
      <c r="A3917" s="6" t="n">
        <v>43030.5083680556</v>
      </c>
      <c r="B3917" s="7" t="str">
        <f aca="false">HYPERLINK("https://twitter.com/BindasBK","@BindasBK")</f>
        <v>@BindasBK</v>
      </c>
      <c r="C3917" s="8" t="s">
        <v>9489</v>
      </c>
      <c r="D3917" s="8" t="s">
        <v>8538</v>
      </c>
      <c r="E3917" s="9" t="str">
        <f aca="false">HYPERLINK("https://twitter.com/BindasBK/status/922178755061342208","922178755061342208")</f>
        <v>922178755061342208</v>
      </c>
      <c r="F3917" s="10" t="s">
        <v>51</v>
      </c>
      <c r="G3917" s="10" t="n">
        <v>262</v>
      </c>
      <c r="H3917" s="10" t="n">
        <v>101</v>
      </c>
      <c r="I3917" s="10" t="n">
        <v>1015</v>
      </c>
      <c r="J3917" s="10" t="n">
        <v>0</v>
      </c>
      <c r="K3917" s="10" t="s">
        <v>20</v>
      </c>
      <c r="L3917" s="11" t="n">
        <v>41795.3381944444</v>
      </c>
      <c r="M3917" s="12"/>
      <c r="N3917" s="12"/>
      <c r="O3917" s="9" t="str">
        <f aca="false">HYPERLINK("https://pbs.twimg.com/profile_images/822847994445893636/HHbuGWnx_normal.jpg","View")</f>
        <v>View</v>
      </c>
      <c r="P3917" s="10"/>
    </row>
    <row r="3918" customFormat="false" ht="15.75" hidden="false" customHeight="false" outlineLevel="0" collapsed="false">
      <c r="A3918" s="6" t="n">
        <v>43030.5084837963</v>
      </c>
      <c r="B3918" s="7" t="str">
        <f aca="false">HYPERLINK("https://twitter.com/RaBadghare","@RaBadghare")</f>
        <v>@RaBadghare</v>
      </c>
      <c r="C3918" s="8" t="s">
        <v>9490</v>
      </c>
      <c r="D3918" s="8" t="s">
        <v>8538</v>
      </c>
      <c r="E3918" s="9" t="str">
        <f aca="false">HYPERLINK("https://twitter.com/RaBadghare/status/922178800430936065","922178800430936065")</f>
        <v>922178800430936065</v>
      </c>
      <c r="F3918" s="10" t="s">
        <v>51</v>
      </c>
      <c r="G3918" s="10" t="n">
        <v>44</v>
      </c>
      <c r="H3918" s="10" t="n">
        <v>32</v>
      </c>
      <c r="I3918" s="10" t="n">
        <v>1015</v>
      </c>
      <c r="J3918" s="10" t="n">
        <v>0</v>
      </c>
      <c r="K3918" s="10" t="s">
        <v>20</v>
      </c>
      <c r="L3918" s="11" t="n">
        <v>42506.9851851852</v>
      </c>
      <c r="M3918" s="12"/>
      <c r="N3918" s="12" t="s">
        <v>9491</v>
      </c>
      <c r="O3918" s="9" t="str">
        <f aca="false">HYPERLINK("https://pbs.twimg.com/profile_images/919359929781174272/AY3hb1Px_normal.jpg","View")</f>
        <v>View</v>
      </c>
      <c r="P3918" s="10"/>
    </row>
    <row r="3919" customFormat="false" ht="15.75" hidden="false" customHeight="false" outlineLevel="0" collapsed="false">
      <c r="A3919" s="6" t="n">
        <v>43030.5088310185</v>
      </c>
      <c r="B3919" s="7" t="str">
        <f aca="false">HYPERLINK("https://twitter.com/inimad07","@inimad07")</f>
        <v>@inimad07</v>
      </c>
      <c r="C3919" s="8" t="s">
        <v>9492</v>
      </c>
      <c r="D3919" s="8" t="s">
        <v>9493</v>
      </c>
      <c r="E3919" s="9" t="str">
        <f aca="false">HYPERLINK("https://twitter.com/inimad07/status/922178925870112768","922178925870112768")</f>
        <v>922178925870112768</v>
      </c>
      <c r="F3919" s="10" t="s">
        <v>60</v>
      </c>
      <c r="G3919" s="10" t="n">
        <v>1095</v>
      </c>
      <c r="H3919" s="10" t="n">
        <v>1768</v>
      </c>
      <c r="I3919" s="10" t="n">
        <v>0</v>
      </c>
      <c r="J3919" s="10" t="n">
        <v>0</v>
      </c>
      <c r="K3919" s="10" t="s">
        <v>20</v>
      </c>
      <c r="L3919" s="11" t="n">
        <v>41477.4588194444</v>
      </c>
      <c r="M3919" s="12"/>
      <c r="N3919" s="12"/>
      <c r="O3919" s="9" t="str">
        <f aca="false">HYPERLINK("https://pbs.twimg.com/profile_images/537549640128679936/t5wiqQDm_normal.jpeg","View")</f>
        <v>View</v>
      </c>
      <c r="P3919" s="10"/>
    </row>
    <row r="3920" customFormat="false" ht="15.75" hidden="false" customHeight="false" outlineLevel="0" collapsed="false">
      <c r="A3920" s="6" t="n">
        <v>43030.5094212963</v>
      </c>
      <c r="B3920" s="7" t="str">
        <f aca="false">HYPERLINK("https://twitter.com/NYMTrump","@NYMTrump")</f>
        <v>@NYMTrump</v>
      </c>
      <c r="C3920" s="8" t="s">
        <v>9494</v>
      </c>
      <c r="D3920" s="8" t="s">
        <v>9495</v>
      </c>
      <c r="E3920" s="9" t="str">
        <f aca="false">HYPERLINK("https://twitter.com/NYMTrump/status/922179140152975360","922179140152975360")</f>
        <v>922179140152975360</v>
      </c>
      <c r="F3920" s="10" t="s">
        <v>51</v>
      </c>
      <c r="G3920" s="10" t="n">
        <v>337</v>
      </c>
      <c r="H3920" s="10" t="n">
        <v>586</v>
      </c>
      <c r="I3920" s="10" t="n">
        <v>0</v>
      </c>
      <c r="J3920" s="10" t="n">
        <v>1</v>
      </c>
      <c r="K3920" s="10" t="s">
        <v>20</v>
      </c>
      <c r="L3920" s="11" t="n">
        <v>42791.3518865741</v>
      </c>
      <c r="M3920" s="12" t="s">
        <v>9496</v>
      </c>
      <c r="N3920" s="12" t="s">
        <v>9497</v>
      </c>
      <c r="O3920" s="9" t="str">
        <f aca="false">HYPERLINK("https://pbs.twimg.com/profile_images/848925892965523456/i3MRM9sE_normal.jpg","View")</f>
        <v>View</v>
      </c>
      <c r="P3920" s="10"/>
    </row>
    <row r="3921" customFormat="false" ht="15.75" hidden="false" customHeight="false" outlineLevel="0" collapsed="false">
      <c r="A3921" s="6" t="n">
        <v>43030.5097106482</v>
      </c>
      <c r="B3921" s="7" t="str">
        <f aca="false">HYPERLINK("https://twitter.com/New_Narrative","@New_Narrative")</f>
        <v>@New_Narrative</v>
      </c>
      <c r="C3921" s="8" t="s">
        <v>1628</v>
      </c>
      <c r="D3921" s="8" t="s">
        <v>9498</v>
      </c>
      <c r="E3921" s="9" t="str">
        <f aca="false">HYPERLINK("https://twitter.com/New_Narrative/status/922179242405908481","922179242405908481")</f>
        <v>922179242405908481</v>
      </c>
      <c r="F3921" s="10" t="s">
        <v>8070</v>
      </c>
      <c r="G3921" s="10" t="n">
        <v>6542</v>
      </c>
      <c r="H3921" s="10" t="n">
        <v>12</v>
      </c>
      <c r="I3921" s="10" t="n">
        <v>0</v>
      </c>
      <c r="J3921" s="10" t="n">
        <v>0</v>
      </c>
      <c r="K3921" s="10" t="s">
        <v>20</v>
      </c>
      <c r="L3921" s="11" t="n">
        <v>40566.3804166667</v>
      </c>
      <c r="M3921" s="12" t="s">
        <v>1630</v>
      </c>
      <c r="N3921" s="12" t="s">
        <v>1631</v>
      </c>
      <c r="O3921" s="9" t="str">
        <f aca="false">HYPERLINK("https://pbs.twimg.com/profile_images/1548673665/megaphone-kid-cropped_normal.jpg","View")</f>
        <v>View</v>
      </c>
      <c r="P3921" s="10"/>
    </row>
    <row r="3922" customFormat="false" ht="15.75" hidden="false" customHeight="false" outlineLevel="0" collapsed="false">
      <c r="A3922" s="6" t="n">
        <v>43030.5097106482</v>
      </c>
      <c r="B3922" s="7" t="str">
        <f aca="false">HYPERLINK("https://twitter.com/ambarsariyah","@ambarsariyah")</f>
        <v>@ambarsariyah</v>
      </c>
      <c r="C3922" s="8" t="s">
        <v>9499</v>
      </c>
      <c r="D3922" s="8" t="s">
        <v>8538</v>
      </c>
      <c r="E3922" s="9" t="str">
        <f aca="false">HYPERLINK("https://twitter.com/ambarsariyah/status/922179244540747776","922179244540747776")</f>
        <v>922179244540747776</v>
      </c>
      <c r="F3922" s="10" t="s">
        <v>51</v>
      </c>
      <c r="G3922" s="10" t="n">
        <v>77</v>
      </c>
      <c r="H3922" s="10" t="n">
        <v>33</v>
      </c>
      <c r="I3922" s="10" t="n">
        <v>1015</v>
      </c>
      <c r="J3922" s="10" t="n">
        <v>0</v>
      </c>
      <c r="K3922" s="10" t="s">
        <v>20</v>
      </c>
      <c r="L3922" s="11" t="n">
        <v>41777.1917476852</v>
      </c>
      <c r="M3922" s="12"/>
      <c r="N3922" s="12" t="s">
        <v>9500</v>
      </c>
      <c r="O3922" s="9" t="str">
        <f aca="false">HYPERLINK("https://pbs.twimg.com/profile_images/911695781920411650/ufClYbfJ_normal.jpg","View")</f>
        <v>View</v>
      </c>
      <c r="P3922" s="10"/>
    </row>
    <row r="3923" customFormat="false" ht="15.75" hidden="false" customHeight="false" outlineLevel="0" collapsed="false">
      <c r="A3923" s="6" t="n">
        <v>43030.5098148148</v>
      </c>
      <c r="B3923" s="7" t="str">
        <f aca="false">HYPERLINK("https://twitter.com/KfY2bI3MIxtkvC9","@KfY2bI3MIxtkvC9")</f>
        <v>@KfY2bI3MIxtkvC9</v>
      </c>
      <c r="C3923" s="14" t="s">
        <v>9501</v>
      </c>
      <c r="D3923" s="8" t="s">
        <v>3138</v>
      </c>
      <c r="E3923" s="9" t="str">
        <f aca="false">HYPERLINK("https://twitter.com/KfY2bI3MIxtkvC9/status/922179280850653184","922179280850653184")</f>
        <v>922179280850653184</v>
      </c>
      <c r="F3923" s="10" t="s">
        <v>25</v>
      </c>
      <c r="G3923" s="10" t="n">
        <v>61</v>
      </c>
      <c r="H3923" s="10" t="n">
        <v>30</v>
      </c>
      <c r="I3923" s="10" t="n">
        <v>31</v>
      </c>
      <c r="J3923" s="10" t="n">
        <v>0</v>
      </c>
      <c r="K3923" s="10" t="s">
        <v>20</v>
      </c>
      <c r="L3923" s="11" t="n">
        <v>42568.534212963</v>
      </c>
      <c r="M3923" s="12"/>
      <c r="N3923" s="12"/>
      <c r="O3923" s="9" t="str">
        <f aca="false">HYPERLINK("https://abs.twimg.com/sticky/default_profile_images/default_profile_normal.png","View")</f>
        <v>View</v>
      </c>
      <c r="P3923" s="10"/>
    </row>
    <row r="3924" customFormat="false" ht="15.75" hidden="false" customHeight="false" outlineLevel="0" collapsed="false">
      <c r="A3924" s="6" t="n">
        <v>43030.5101736111</v>
      </c>
      <c r="B3924" s="7" t="str">
        <f aca="false">HYPERLINK("https://twitter.com/csint","@csint")</f>
        <v>@csint</v>
      </c>
      <c r="C3924" s="8" t="s">
        <v>9502</v>
      </c>
      <c r="D3924" s="8" t="s">
        <v>8538</v>
      </c>
      <c r="E3924" s="9" t="str">
        <f aca="false">HYPERLINK("https://twitter.com/csint/status/922179412446941184","922179412446941184")</f>
        <v>922179412446941184</v>
      </c>
      <c r="F3924" s="10" t="s">
        <v>177</v>
      </c>
      <c r="G3924" s="10" t="n">
        <v>166</v>
      </c>
      <c r="H3924" s="10" t="n">
        <v>343</v>
      </c>
      <c r="I3924" s="10" t="n">
        <v>1015</v>
      </c>
      <c r="J3924" s="10" t="n">
        <v>0</v>
      </c>
      <c r="K3924" s="10" t="s">
        <v>20</v>
      </c>
      <c r="L3924" s="11" t="n">
        <v>40157.4935763889</v>
      </c>
      <c r="M3924" s="12" t="s">
        <v>9503</v>
      </c>
      <c r="N3924" s="12" t="s">
        <v>9504</v>
      </c>
      <c r="O3924" s="9" t="str">
        <f aca="false">HYPERLINK("https://pbs.twimg.com/profile_images/627544270581334016/oesizzDU_normal.jpg","View")</f>
        <v>View</v>
      </c>
      <c r="P3924" s="10"/>
    </row>
    <row r="3925" customFormat="false" ht="15.75" hidden="false" customHeight="false" outlineLevel="0" collapsed="false">
      <c r="A3925" s="6" t="n">
        <v>43030.510462963</v>
      </c>
      <c r="B3925" s="7" t="str">
        <f aca="false">HYPERLINK("https://twitter.com/MarikoSanoUSA","@MarikoSanoUSA")</f>
        <v>@MarikoSanoUSA</v>
      </c>
      <c r="C3925" s="14" t="s">
        <v>9505</v>
      </c>
      <c r="D3925" s="8" t="s">
        <v>9506</v>
      </c>
      <c r="E3925" s="9" t="str">
        <f aca="false">HYPERLINK("https://twitter.com/MarikoSanoUSA/status/922179513945083909","922179513945083909")</f>
        <v>922179513945083909</v>
      </c>
      <c r="F3925" s="10" t="s">
        <v>177</v>
      </c>
      <c r="G3925" s="10" t="n">
        <v>155</v>
      </c>
      <c r="H3925" s="10" t="n">
        <v>143</v>
      </c>
      <c r="I3925" s="10" t="n">
        <v>0</v>
      </c>
      <c r="J3925" s="10" t="n">
        <v>1</v>
      </c>
      <c r="K3925" s="10" t="s">
        <v>20</v>
      </c>
      <c r="L3925" s="11" t="n">
        <v>40744.5484953704</v>
      </c>
      <c r="M3925" s="12" t="s">
        <v>502</v>
      </c>
      <c r="N3925" s="12" t="s">
        <v>9507</v>
      </c>
      <c r="O3925" s="9" t="str">
        <f aca="false">HYPERLINK("https://pbs.twimg.com/profile_images/893575289476976641/L-cDTzrf_normal.jpg","View")</f>
        <v>View</v>
      </c>
      <c r="P3925" s="10"/>
    </row>
    <row r="3926" customFormat="false" ht="15.75" hidden="false" customHeight="false" outlineLevel="0" collapsed="false">
      <c r="A3926" s="6" t="n">
        <v>43030.5106365741</v>
      </c>
      <c r="B3926" s="7" t="str">
        <f aca="false">HYPERLINK("https://twitter.com/Worldnews_Media","@Worldnews_Media")</f>
        <v>@Worldnews_Media</v>
      </c>
      <c r="C3926" s="8" t="s">
        <v>2893</v>
      </c>
      <c r="D3926" s="8" t="s">
        <v>9508</v>
      </c>
      <c r="E3926" s="9" t="str">
        <f aca="false">HYPERLINK("https://twitter.com/Worldnews_Media/status/922179580760416256","922179580760416256")</f>
        <v>922179580760416256</v>
      </c>
      <c r="F3926" s="10" t="s">
        <v>110</v>
      </c>
      <c r="G3926" s="10" t="n">
        <v>668</v>
      </c>
      <c r="H3926" s="10" t="n">
        <v>304</v>
      </c>
      <c r="I3926" s="10" t="n">
        <v>0</v>
      </c>
      <c r="J3926" s="10" t="n">
        <v>0</v>
      </c>
      <c r="K3926" s="10" t="s">
        <v>20</v>
      </c>
      <c r="L3926" s="11" t="n">
        <v>41604.4159375</v>
      </c>
      <c r="M3926" s="12" t="s">
        <v>2102</v>
      </c>
      <c r="N3926" s="12" t="s">
        <v>2895</v>
      </c>
      <c r="O3926" s="9" t="str">
        <f aca="false">HYPERLINK("https://pbs.twimg.com/profile_images/561618507708641280/GDz3qXPE_normal.png","View")</f>
        <v>View</v>
      </c>
      <c r="P3926" s="10"/>
    </row>
    <row r="3927" customFormat="false" ht="15.75" hidden="false" customHeight="false" outlineLevel="0" collapsed="false">
      <c r="A3927" s="6" t="n">
        <v>43030.5106944444</v>
      </c>
      <c r="B3927" s="7" t="str">
        <f aca="false">HYPERLINK("https://twitter.com/Today1News","@Today1News")</f>
        <v>@Today1News</v>
      </c>
      <c r="C3927" s="8" t="s">
        <v>9509</v>
      </c>
      <c r="D3927" s="8" t="s">
        <v>9510</v>
      </c>
      <c r="E3927" s="9" t="str">
        <f aca="false">HYPERLINK("https://twitter.com/Today1News/status/922179598644862978","922179598644862978")</f>
        <v>922179598644862978</v>
      </c>
      <c r="F3927" s="10" t="s">
        <v>110</v>
      </c>
      <c r="G3927" s="10" t="n">
        <v>545</v>
      </c>
      <c r="H3927" s="10" t="n">
        <v>1547</v>
      </c>
      <c r="I3927" s="10" t="n">
        <v>0</v>
      </c>
      <c r="J3927" s="10" t="n">
        <v>0</v>
      </c>
      <c r="K3927" s="10" t="s">
        <v>20</v>
      </c>
      <c r="L3927" s="11" t="n">
        <v>42849.7351851852</v>
      </c>
      <c r="M3927" s="12"/>
      <c r="N3927" s="12" t="s">
        <v>9511</v>
      </c>
      <c r="O3927" s="9" t="str">
        <f aca="false">HYPERLINK("https://pbs.twimg.com/profile_images/856672123905081344/Nx8WvfGP_normal.jpg","View")</f>
        <v>View</v>
      </c>
      <c r="P3927" s="10"/>
    </row>
    <row r="3928" customFormat="false" ht="15.75" hidden="false" customHeight="false" outlineLevel="0" collapsed="false">
      <c r="A3928" s="6" t="n">
        <v>43030.510787037</v>
      </c>
      <c r="B3928" s="7" t="str">
        <f aca="false">HYPERLINK("https://twitter.com/kiraera6","@kiraera6")</f>
        <v>@kiraera6</v>
      </c>
      <c r="C3928" s="8" t="s">
        <v>9512</v>
      </c>
      <c r="D3928" s="8" t="s">
        <v>9513</v>
      </c>
      <c r="E3928" s="9" t="str">
        <f aca="false">HYPERLINK("https://twitter.com/kiraera6/status/922179631708549121","922179631708549121")</f>
        <v>922179631708549121</v>
      </c>
      <c r="F3928" s="10" t="s">
        <v>110</v>
      </c>
      <c r="G3928" s="10" t="n">
        <v>135</v>
      </c>
      <c r="H3928" s="10" t="n">
        <v>217</v>
      </c>
      <c r="I3928" s="10" t="n">
        <v>0</v>
      </c>
      <c r="J3928" s="10" t="n">
        <v>0</v>
      </c>
      <c r="K3928" s="10" t="s">
        <v>20</v>
      </c>
      <c r="L3928" s="11" t="n">
        <v>42372.4443634259</v>
      </c>
      <c r="M3928" s="12" t="s">
        <v>4514</v>
      </c>
      <c r="N3928" s="12" t="s">
        <v>9514</v>
      </c>
      <c r="O3928" s="9" t="str">
        <f aca="false">HYPERLINK("https://pbs.twimg.com/profile_images/683719916575264768/L4s4YXp1_normal.jpg","View")</f>
        <v>View</v>
      </c>
      <c r="P3928" s="10"/>
    </row>
    <row r="3929" customFormat="false" ht="15.75" hidden="false" customHeight="false" outlineLevel="0" collapsed="false">
      <c r="A3929" s="6" t="n">
        <v>43030.511099537</v>
      </c>
      <c r="B3929" s="7" t="str">
        <f aca="false">HYPERLINK("https://twitter.com/ManishSShrma","@ManishSShrma")</f>
        <v>@ManishSShrma</v>
      </c>
      <c r="C3929" s="8" t="s">
        <v>9515</v>
      </c>
      <c r="D3929" s="8" t="s">
        <v>8538</v>
      </c>
      <c r="E3929" s="9" t="str">
        <f aca="false">HYPERLINK("https://twitter.com/ManishSShrma/status/922179745374199809","922179745374199809")</f>
        <v>922179745374199809</v>
      </c>
      <c r="F3929" s="10" t="s">
        <v>51</v>
      </c>
      <c r="G3929" s="10" t="n">
        <v>261</v>
      </c>
      <c r="H3929" s="10" t="n">
        <v>166</v>
      </c>
      <c r="I3929" s="10" t="n">
        <v>1015</v>
      </c>
      <c r="J3929" s="10" t="n">
        <v>0</v>
      </c>
      <c r="K3929" s="10" t="s">
        <v>20</v>
      </c>
      <c r="L3929" s="11" t="n">
        <v>41794.3900347222</v>
      </c>
      <c r="M3929" s="12" t="s">
        <v>9516</v>
      </c>
      <c r="N3929" s="12" t="s">
        <v>9517</v>
      </c>
      <c r="O3929" s="9" t="str">
        <f aca="false">HYPERLINK("https://pbs.twimg.com/profile_images/538552462462812160/QhXVFMBf_normal.jpeg","View")</f>
        <v>View</v>
      </c>
      <c r="P3929" s="10"/>
    </row>
    <row r="3930" customFormat="false" ht="15.75" hidden="false" customHeight="false" outlineLevel="0" collapsed="false">
      <c r="A3930" s="6" t="n">
        <v>43030.511099537</v>
      </c>
      <c r="B3930" s="7" t="str">
        <f aca="false">HYPERLINK("https://twitter.com/PublicSituation","@PublicSituation")</f>
        <v>@PublicSituation</v>
      </c>
      <c r="C3930" s="8" t="s">
        <v>9518</v>
      </c>
      <c r="D3930" s="8" t="s">
        <v>9519</v>
      </c>
      <c r="E3930" s="9" t="str">
        <f aca="false">HYPERLINK("https://twitter.com/PublicSituation/status/922179747492302849","922179747492302849")</f>
        <v>922179747492302849</v>
      </c>
      <c r="F3930" s="10" t="s">
        <v>9520</v>
      </c>
      <c r="G3930" s="10" t="n">
        <v>3408</v>
      </c>
      <c r="H3930" s="10" t="n">
        <v>3212</v>
      </c>
      <c r="I3930" s="10" t="n">
        <v>11</v>
      </c>
      <c r="J3930" s="10" t="n">
        <v>0</v>
      </c>
      <c r="K3930" s="10" t="s">
        <v>20</v>
      </c>
      <c r="L3930" s="11" t="n">
        <v>42488.262962963</v>
      </c>
      <c r="M3930" s="12" t="s">
        <v>9521</v>
      </c>
      <c r="N3930" s="12" t="s">
        <v>9522</v>
      </c>
      <c r="O3930" s="9" t="str">
        <f aca="false">HYPERLINK("https://pbs.twimg.com/profile_images/859458512698650625/sRsalqLV_normal.jpg","View")</f>
        <v>View</v>
      </c>
      <c r="P3930" s="10"/>
    </row>
    <row r="3931" customFormat="false" ht="15.75" hidden="false" customHeight="false" outlineLevel="0" collapsed="false">
      <c r="A3931" s="6" t="n">
        <v>43030.5119097222</v>
      </c>
      <c r="B3931" s="7" t="str">
        <f aca="false">HYPERLINK("https://twitter.com/bhavnapb","@bhavnapb")</f>
        <v>@bhavnapb</v>
      </c>
      <c r="C3931" s="8" t="s">
        <v>9523</v>
      </c>
      <c r="D3931" s="8" t="s">
        <v>8538</v>
      </c>
      <c r="E3931" s="9" t="str">
        <f aca="false">HYPERLINK("https://twitter.com/bhavnapb/status/922180041504571392","922180041504571392")</f>
        <v>922180041504571392</v>
      </c>
      <c r="F3931" s="10" t="s">
        <v>51</v>
      </c>
      <c r="G3931" s="10" t="n">
        <v>7129</v>
      </c>
      <c r="H3931" s="10" t="n">
        <v>1910</v>
      </c>
      <c r="I3931" s="10" t="n">
        <v>1015</v>
      </c>
      <c r="J3931" s="10" t="n">
        <v>0</v>
      </c>
      <c r="K3931" s="10" t="s">
        <v>20</v>
      </c>
      <c r="L3931" s="11" t="n">
        <v>41575.3441782407</v>
      </c>
      <c r="M3931" s="12"/>
      <c r="N3931" s="12" t="s">
        <v>9524</v>
      </c>
      <c r="O3931" s="9" t="str">
        <f aca="false">HYPERLINK("https://pbs.twimg.com/profile_images/922803161789644801/4FmbzO49_normal.jpg","View")</f>
        <v>View</v>
      </c>
      <c r="P3931" s="10"/>
    </row>
    <row r="3932" customFormat="false" ht="15.75" hidden="false" customHeight="false" outlineLevel="0" collapsed="false">
      <c r="A3932" s="6" t="n">
        <v>43030.5122800926</v>
      </c>
      <c r="B3932" s="7" t="str">
        <f aca="false">HYPERLINK("https://twitter.com/Trader7777777","@Trader7777777")</f>
        <v>@Trader7777777</v>
      </c>
      <c r="C3932" s="8" t="s">
        <v>9525</v>
      </c>
      <c r="D3932" s="8" t="s">
        <v>9432</v>
      </c>
      <c r="E3932" s="9" t="str">
        <f aca="false">HYPERLINK("https://twitter.com/Trader7777777/status/922180173209964547","922180173209964547")</f>
        <v>922180173209964547</v>
      </c>
      <c r="F3932" s="10" t="s">
        <v>25</v>
      </c>
      <c r="G3932" s="10" t="n">
        <v>65</v>
      </c>
      <c r="H3932" s="10" t="n">
        <v>178</v>
      </c>
      <c r="I3932" s="10" t="n">
        <v>6</v>
      </c>
      <c r="J3932" s="10" t="n">
        <v>0</v>
      </c>
      <c r="K3932" s="10" t="s">
        <v>20</v>
      </c>
      <c r="L3932" s="11" t="n">
        <v>42857.4063773148</v>
      </c>
      <c r="M3932" s="12"/>
      <c r="N3932" s="12" t="s">
        <v>9526</v>
      </c>
      <c r="O3932" s="9" t="str">
        <f aca="false">HYPERLINK("https://pbs.twimg.com/profile_images/910291823490420736/87KXKKUI_normal.jpg","View")</f>
        <v>View</v>
      </c>
      <c r="P3932" s="10"/>
    </row>
    <row r="3933" customFormat="false" ht="15.75" hidden="false" customHeight="false" outlineLevel="0" collapsed="false">
      <c r="A3933" s="6" t="n">
        <v>43030.5122800926</v>
      </c>
      <c r="B3933" s="7" t="str">
        <f aca="false">HYPERLINK("https://twitter.com/chihirosa","@chihirosa")</f>
        <v>@chihirosa</v>
      </c>
      <c r="C3933" s="8" t="s">
        <v>9527</v>
      </c>
      <c r="D3933" s="8" t="s">
        <v>9528</v>
      </c>
      <c r="E3933" s="9" t="str">
        <f aca="false">HYPERLINK("https://twitter.com/chihirosa/status/922180174757720064","922180174757720064")</f>
        <v>922180174757720064</v>
      </c>
      <c r="F3933" s="10" t="s">
        <v>51</v>
      </c>
      <c r="G3933" s="10" t="n">
        <v>106</v>
      </c>
      <c r="H3933" s="10" t="n">
        <v>107</v>
      </c>
      <c r="I3933" s="10" t="n">
        <v>0</v>
      </c>
      <c r="J3933" s="10" t="n">
        <v>0</v>
      </c>
      <c r="K3933" s="10" t="s">
        <v>20</v>
      </c>
      <c r="L3933" s="11" t="n">
        <v>40180.4020486111</v>
      </c>
      <c r="M3933" s="12" t="s">
        <v>9529</v>
      </c>
      <c r="N3933" s="12" t="s">
        <v>9530</v>
      </c>
      <c r="O3933" s="9" t="str">
        <f aca="false">HYPERLINK("https://pbs.twimg.com/profile_images/706526972411654148/Zbn-NqIV_normal.jpg","View")</f>
        <v>View</v>
      </c>
      <c r="P3933" s="10"/>
    </row>
    <row r="3934" customFormat="false" ht="15.75" hidden="false" customHeight="false" outlineLevel="0" collapsed="false">
      <c r="A3934" s="6" t="n">
        <v>43030.5125115741</v>
      </c>
      <c r="B3934" s="7" t="str">
        <f aca="false">HYPERLINK("https://twitter.com/Dr_GautamMKCG","@Dr_GautamMKCG")</f>
        <v>@Dr_GautamMKCG</v>
      </c>
      <c r="C3934" s="8" t="s">
        <v>9531</v>
      </c>
      <c r="D3934" s="8" t="s">
        <v>8538</v>
      </c>
      <c r="E3934" s="9" t="str">
        <f aca="false">HYPERLINK("https://twitter.com/Dr_GautamMKCG/status/922180256164753408","922180256164753408")</f>
        <v>922180256164753408</v>
      </c>
      <c r="F3934" s="10" t="s">
        <v>25</v>
      </c>
      <c r="G3934" s="10" t="n">
        <v>154</v>
      </c>
      <c r="H3934" s="10" t="n">
        <v>336</v>
      </c>
      <c r="I3934" s="10" t="n">
        <v>1015</v>
      </c>
      <c r="J3934" s="10" t="n">
        <v>0</v>
      </c>
      <c r="K3934" s="10" t="s">
        <v>20</v>
      </c>
      <c r="L3934" s="11" t="n">
        <v>40906.0100810185</v>
      </c>
      <c r="M3934" s="12"/>
      <c r="N3934" s="12" t="s">
        <v>9532</v>
      </c>
      <c r="O3934" s="9" t="str">
        <f aca="false">HYPERLINK("https://pbs.twimg.com/profile_images/870631104117579776/lbpRb3Hy_normal.jpg","View")</f>
        <v>View</v>
      </c>
      <c r="P3934" s="10"/>
    </row>
    <row r="3935" customFormat="false" ht="15.75" hidden="false" customHeight="false" outlineLevel="0" collapsed="false">
      <c r="A3935" s="6" t="n">
        <v>43030.5125578704</v>
      </c>
      <c r="B3935" s="7" t="str">
        <f aca="false">HYPERLINK("https://twitter.com/visaradah","@visaradah")</f>
        <v>@visaradah</v>
      </c>
      <c r="C3935" s="8" t="s">
        <v>9533</v>
      </c>
      <c r="D3935" s="8" t="s">
        <v>8538</v>
      </c>
      <c r="E3935" s="9" t="str">
        <f aca="false">HYPERLINK("https://twitter.com/visaradah/status/922180276700119040","922180276700119040")</f>
        <v>922180276700119040</v>
      </c>
      <c r="F3935" s="10" t="s">
        <v>177</v>
      </c>
      <c r="G3935" s="10" t="n">
        <v>626</v>
      </c>
      <c r="H3935" s="10" t="n">
        <v>546</v>
      </c>
      <c r="I3935" s="10" t="n">
        <v>1015</v>
      </c>
      <c r="J3935" s="10" t="n">
        <v>0</v>
      </c>
      <c r="K3935" s="10" t="s">
        <v>20</v>
      </c>
      <c r="L3935" s="11" t="n">
        <v>40842.0609259259</v>
      </c>
      <c r="M3935" s="12" t="s">
        <v>87</v>
      </c>
      <c r="N3935" s="12"/>
      <c r="O3935" s="9" t="str">
        <f aca="false">HYPERLINK("https://pbs.twimg.com/profile_images/920667206559481859/0xXXqA3D_normal.jpg","View")</f>
        <v>View</v>
      </c>
      <c r="P3935" s="10"/>
    </row>
    <row r="3936" customFormat="false" ht="15.75" hidden="false" customHeight="false" outlineLevel="0" collapsed="false">
      <c r="A3936" s="6" t="n">
        <v>43030.5128935185</v>
      </c>
      <c r="B3936" s="7" t="str">
        <f aca="false">HYPERLINK("https://twitter.com/Sharmaroyals","@Sharmaroyals")</f>
        <v>@Sharmaroyals</v>
      </c>
      <c r="C3936" s="8" t="s">
        <v>9534</v>
      </c>
      <c r="D3936" s="8" t="s">
        <v>8538</v>
      </c>
      <c r="E3936" s="9" t="str">
        <f aca="false">HYPERLINK("https://twitter.com/Sharmaroyals/status/922180395734523904","922180395734523904")</f>
        <v>922180395734523904</v>
      </c>
      <c r="F3936" s="10" t="s">
        <v>51</v>
      </c>
      <c r="G3936" s="10" t="n">
        <v>209</v>
      </c>
      <c r="H3936" s="10" t="n">
        <v>131</v>
      </c>
      <c r="I3936" s="10" t="n">
        <v>1015</v>
      </c>
      <c r="J3936" s="10" t="n">
        <v>0</v>
      </c>
      <c r="K3936" s="10" t="s">
        <v>20</v>
      </c>
      <c r="L3936" s="11" t="n">
        <v>40459.4074768519</v>
      </c>
      <c r="M3936" s="12" t="s">
        <v>9535</v>
      </c>
      <c r="N3936" s="12" t="s">
        <v>9536</v>
      </c>
      <c r="O3936" s="9" t="str">
        <f aca="false">HYPERLINK("https://pbs.twimg.com/profile_images/378800000859151117/zZGmXUgr_normal.jpeg","View")</f>
        <v>View</v>
      </c>
      <c r="P3936" s="10"/>
    </row>
    <row r="3937" customFormat="false" ht="15.75" hidden="false" customHeight="false" outlineLevel="0" collapsed="false">
      <c r="A3937" s="6" t="n">
        <v>43030.5129166667</v>
      </c>
      <c r="B3937" s="7" t="str">
        <f aca="false">HYPERLINK("https://twitter.com/Elucidatus","@Elucidatus")</f>
        <v>@Elucidatus</v>
      </c>
      <c r="C3937" s="14" t="s">
        <v>1486</v>
      </c>
      <c r="D3937" s="8" t="s">
        <v>7275</v>
      </c>
      <c r="E3937" s="9" t="str">
        <f aca="false">HYPERLINK("https://twitter.com/Elucidatus/status/922180406668959744","922180406668959744")</f>
        <v>922180406668959744</v>
      </c>
      <c r="F3937" s="10" t="s">
        <v>1643</v>
      </c>
      <c r="G3937" s="10" t="n">
        <v>2535</v>
      </c>
      <c r="H3937" s="10" t="n">
        <v>1877</v>
      </c>
      <c r="I3937" s="10" t="n">
        <v>9</v>
      </c>
      <c r="J3937" s="10" t="n">
        <v>0</v>
      </c>
      <c r="K3937" s="10" t="s">
        <v>20</v>
      </c>
      <c r="L3937" s="11" t="n">
        <v>40437.9200462963</v>
      </c>
      <c r="M3937" s="12" t="s">
        <v>1488</v>
      </c>
      <c r="N3937" s="13" t="s">
        <v>1489</v>
      </c>
      <c r="O3937" s="9" t="str">
        <f aca="false">HYPERLINK("https://pbs.twimg.com/profile_images/750916711432327168/Wib2pwbG_normal.jpg","View")</f>
        <v>View</v>
      </c>
      <c r="P3937" s="10"/>
    </row>
    <row r="3938" customFormat="false" ht="15.75" hidden="false" customHeight="false" outlineLevel="0" collapsed="false">
      <c r="A3938" s="6" t="n">
        <v>43030.5130092593</v>
      </c>
      <c r="B3938" s="7" t="str">
        <f aca="false">HYPERLINK("https://twitter.com/amiva99","@amiva99")</f>
        <v>@amiva99</v>
      </c>
      <c r="C3938" s="14" t="s">
        <v>9537</v>
      </c>
      <c r="D3938" s="8" t="s">
        <v>9538</v>
      </c>
      <c r="E3938" s="9" t="str">
        <f aca="false">HYPERLINK("https://twitter.com/amiva99/status/922180437690146816","922180437690146816")</f>
        <v>922180437690146816</v>
      </c>
      <c r="F3938" s="10" t="s">
        <v>39</v>
      </c>
      <c r="G3938" s="10" t="n">
        <v>1833</v>
      </c>
      <c r="H3938" s="10" t="n">
        <v>3369</v>
      </c>
      <c r="I3938" s="10" t="n">
        <v>0</v>
      </c>
      <c r="J3938" s="10" t="n">
        <v>0</v>
      </c>
      <c r="K3938" s="10" t="s">
        <v>20</v>
      </c>
      <c r="L3938" s="11" t="n">
        <v>41967.5767824074</v>
      </c>
      <c r="M3938" s="12" t="s">
        <v>9539</v>
      </c>
      <c r="N3938" s="13" t="s">
        <v>9540</v>
      </c>
      <c r="O3938" s="9" t="str">
        <f aca="false">HYPERLINK("https://pbs.twimg.com/profile_images/893915482763309056/OOwpz6lP_normal.jpg","View")</f>
        <v>View</v>
      </c>
      <c r="P3938" s="10"/>
    </row>
    <row r="3939" customFormat="false" ht="15.75" hidden="false" customHeight="false" outlineLevel="0" collapsed="false">
      <c r="A3939" s="6" t="n">
        <v>43030.5130324074</v>
      </c>
      <c r="B3939" s="7" t="str">
        <f aca="false">HYPERLINK("https://twitter.com/sandeepakula","@sandeepakula")</f>
        <v>@sandeepakula</v>
      </c>
      <c r="C3939" s="8" t="s">
        <v>9541</v>
      </c>
      <c r="D3939" s="8" t="s">
        <v>8538</v>
      </c>
      <c r="E3939" s="9" t="str">
        <f aca="false">HYPERLINK("https://twitter.com/sandeepakula/status/922180446213083136","922180446213083136")</f>
        <v>922180446213083136</v>
      </c>
      <c r="F3939" s="10" t="s">
        <v>25</v>
      </c>
      <c r="G3939" s="10" t="n">
        <v>36</v>
      </c>
      <c r="H3939" s="10" t="n">
        <v>34</v>
      </c>
      <c r="I3939" s="10" t="n">
        <v>1015</v>
      </c>
      <c r="J3939" s="10" t="n">
        <v>0</v>
      </c>
      <c r="K3939" s="10" t="s">
        <v>20</v>
      </c>
      <c r="L3939" s="11" t="n">
        <v>40018.5110069444</v>
      </c>
      <c r="M3939" s="12"/>
      <c r="N3939" s="12"/>
      <c r="O3939" s="9" t="str">
        <f aca="false">HYPERLINK("https://abs.twimg.com/sticky/default_profile_images/default_profile_normal.png","View")</f>
        <v>View</v>
      </c>
      <c r="P3939" s="10"/>
    </row>
    <row r="3940" customFormat="false" ht="15.75" hidden="false" customHeight="false" outlineLevel="0" collapsed="false">
      <c r="A3940" s="6" t="n">
        <v>43030.5131944444</v>
      </c>
      <c r="B3940" s="7" t="str">
        <f aca="false">HYPERLINK("https://twitter.com/OfeliyaDD","@OfeliyaDD")</f>
        <v>@OfeliyaDD</v>
      </c>
      <c r="C3940" s="8" t="s">
        <v>9542</v>
      </c>
      <c r="D3940" s="8" t="s">
        <v>9519</v>
      </c>
      <c r="E3940" s="9" t="str">
        <f aca="false">HYPERLINK("https://twitter.com/OfeliyaDD/status/922180507135348736","922180507135348736")</f>
        <v>922180507135348736</v>
      </c>
      <c r="F3940" s="10" t="s">
        <v>39</v>
      </c>
      <c r="G3940" s="10" t="n">
        <v>2845</v>
      </c>
      <c r="H3940" s="10" t="n">
        <v>2161</v>
      </c>
      <c r="I3940" s="10" t="n">
        <v>11</v>
      </c>
      <c r="J3940" s="10" t="n">
        <v>0</v>
      </c>
      <c r="K3940" s="10" t="s">
        <v>20</v>
      </c>
      <c r="L3940" s="11" t="n">
        <v>40610.3692939815</v>
      </c>
      <c r="M3940" s="12" t="s">
        <v>9543</v>
      </c>
      <c r="N3940" s="12" t="s">
        <v>9544</v>
      </c>
      <c r="O3940" s="9" t="str">
        <f aca="false">HYPERLINK("https://pbs.twimg.com/profile_images/1265890279/158_4c9d04d759498_normal.jpg","View")</f>
        <v>View</v>
      </c>
      <c r="P3940" s="10"/>
    </row>
    <row r="3941" customFormat="false" ht="15.75" hidden="false" customHeight="false" outlineLevel="0" collapsed="false">
      <c r="A3941" s="6" t="n">
        <v>43030.5134722222</v>
      </c>
      <c r="B3941" s="7" t="str">
        <f aca="false">HYPERLINK("https://twitter.com/NicholasKinberg","@NicholasKinberg")</f>
        <v>@NicholasKinberg</v>
      </c>
      <c r="C3941" s="8" t="s">
        <v>2118</v>
      </c>
      <c r="D3941" s="8" t="s">
        <v>9519</v>
      </c>
      <c r="E3941" s="9" t="str">
        <f aca="false">HYPERLINK("https://twitter.com/NicholasKinberg/status/922180606498344967","922180606498344967")</f>
        <v>922180606498344967</v>
      </c>
      <c r="F3941" s="10" t="s">
        <v>25</v>
      </c>
      <c r="G3941" s="10" t="n">
        <v>135</v>
      </c>
      <c r="H3941" s="10" t="n">
        <v>2284</v>
      </c>
      <c r="I3941" s="10" t="n">
        <v>11</v>
      </c>
      <c r="J3941" s="10" t="n">
        <v>0</v>
      </c>
      <c r="K3941" s="10" t="s">
        <v>20</v>
      </c>
      <c r="L3941" s="11" t="n">
        <v>42576.838587963</v>
      </c>
      <c r="M3941" s="12" t="s">
        <v>2119</v>
      </c>
      <c r="N3941" s="12" t="s">
        <v>2120</v>
      </c>
      <c r="O3941" s="9" t="str">
        <f aca="false">HYPERLINK("https://pbs.twimg.com/profile_images/838116791100518401/KtlOeByn_normal.jpg","View")</f>
        <v>View</v>
      </c>
      <c r="P3941" s="10"/>
    </row>
    <row r="3942" customFormat="false" ht="15.75" hidden="false" customHeight="false" outlineLevel="0" collapsed="false">
      <c r="A3942" s="6" t="n">
        <v>43030.5138310185</v>
      </c>
      <c r="B3942" s="7" t="str">
        <f aca="false">HYPERLINK("https://twitter.com/asuka_250","@asuka_250")</f>
        <v>@asuka_250</v>
      </c>
      <c r="C3942" s="8" t="s">
        <v>1235</v>
      </c>
      <c r="D3942" s="8" t="s">
        <v>9205</v>
      </c>
      <c r="E3942" s="9" t="str">
        <f aca="false">HYPERLINK("https://twitter.com/asuka_250/status/922180737465331712","922180737465331712")</f>
        <v>922180737465331712</v>
      </c>
      <c r="F3942" s="10" t="s">
        <v>25</v>
      </c>
      <c r="G3942" s="10" t="n">
        <v>30709</v>
      </c>
      <c r="H3942" s="10" t="n">
        <v>30516</v>
      </c>
      <c r="I3942" s="10" t="n">
        <v>6</v>
      </c>
      <c r="J3942" s="10" t="n">
        <v>0</v>
      </c>
      <c r="K3942" s="10" t="s">
        <v>20</v>
      </c>
      <c r="L3942" s="11" t="n">
        <v>41943.1724768519</v>
      </c>
      <c r="M3942" s="12" t="s">
        <v>186</v>
      </c>
      <c r="N3942" s="12" t="s">
        <v>1236</v>
      </c>
      <c r="O3942" s="9" t="str">
        <f aca="false">HYPERLINK("https://pbs.twimg.com/profile_images/576284037486014464/dhYtI1qZ_normal.jpeg","View")</f>
        <v>View</v>
      </c>
      <c r="P3942" s="10"/>
    </row>
    <row r="3943" customFormat="false" ht="15.75" hidden="false" customHeight="false" outlineLevel="0" collapsed="false">
      <c r="A3943" s="6" t="n">
        <v>43030.5144212963</v>
      </c>
      <c r="B3943" s="7" t="str">
        <f aca="false">HYPERLINK("https://twitter.com/nidi_nj","@nidi_nj")</f>
        <v>@nidi_nj</v>
      </c>
      <c r="C3943" s="8" t="s">
        <v>9545</v>
      </c>
      <c r="D3943" s="8" t="s">
        <v>6707</v>
      </c>
      <c r="E3943" s="9" t="str">
        <f aca="false">HYPERLINK("https://twitter.com/nidi_nj/status/922180951156903946","922180951156903946")</f>
        <v>922180951156903946</v>
      </c>
      <c r="F3943" s="10" t="s">
        <v>25</v>
      </c>
      <c r="G3943" s="10" t="n">
        <v>255</v>
      </c>
      <c r="H3943" s="10" t="n">
        <v>48</v>
      </c>
      <c r="I3943" s="10" t="n">
        <v>97</v>
      </c>
      <c r="J3943" s="10" t="n">
        <v>0</v>
      </c>
      <c r="K3943" s="10" t="s">
        <v>20</v>
      </c>
      <c r="L3943" s="11" t="n">
        <v>42641.0454861111</v>
      </c>
      <c r="M3943" s="12" t="s">
        <v>3032</v>
      </c>
      <c r="N3943" s="12"/>
      <c r="O3943" s="9" t="str">
        <f aca="false">HYPERLINK("https://pbs.twimg.com/profile_images/921851183916085248/zADXRrLI_normal.jpg","View")</f>
        <v>View</v>
      </c>
      <c r="P3943" s="10"/>
    </row>
    <row r="3944" customFormat="false" ht="15.75" hidden="false" customHeight="false" outlineLevel="0" collapsed="false">
      <c r="A3944" s="6" t="n">
        <v>43030.515150463</v>
      </c>
      <c r="B3944" s="7" t="str">
        <f aca="false">HYPERLINK("https://twitter.com/CitraMalus","@CitraMalus")</f>
        <v>@CitraMalus</v>
      </c>
      <c r="C3944" s="8" t="s">
        <v>9546</v>
      </c>
      <c r="D3944" s="8" t="s">
        <v>8538</v>
      </c>
      <c r="E3944" s="9" t="str">
        <f aca="false">HYPERLINK("https://twitter.com/CitraMalus/status/922181216123654144","922181216123654144")</f>
        <v>922181216123654144</v>
      </c>
      <c r="F3944" s="10" t="s">
        <v>25</v>
      </c>
      <c r="G3944" s="10" t="n">
        <v>56</v>
      </c>
      <c r="H3944" s="10" t="n">
        <v>30</v>
      </c>
      <c r="I3944" s="10" t="n">
        <v>1015</v>
      </c>
      <c r="J3944" s="10" t="n">
        <v>0</v>
      </c>
      <c r="K3944" s="10" t="s">
        <v>20</v>
      </c>
      <c r="L3944" s="11" t="n">
        <v>40006.0104050926</v>
      </c>
      <c r="M3944" s="12" t="s">
        <v>72</v>
      </c>
      <c r="N3944" s="12" t="s">
        <v>9547</v>
      </c>
      <c r="O3944" s="9" t="str">
        <f aca="false">HYPERLINK("https://pbs.twimg.com/profile_images/847718652723867648/SS_60MmE_normal.jpg","View")</f>
        <v>View</v>
      </c>
      <c r="P3944" s="10"/>
    </row>
    <row r="3945" customFormat="false" ht="15.75" hidden="false" customHeight="false" outlineLevel="0" collapsed="false">
      <c r="A3945" s="6" t="n">
        <v>43030.515162037</v>
      </c>
      <c r="B3945" s="7" t="str">
        <f aca="false">HYPERLINK("https://twitter.com/HAAL","@HAAL")</f>
        <v>@HAAL</v>
      </c>
      <c r="C3945" s="8" t="s">
        <v>9548</v>
      </c>
      <c r="D3945" s="8" t="s">
        <v>9549</v>
      </c>
      <c r="E3945" s="9" t="str">
        <f aca="false">HYPERLINK("https://twitter.com/HAAL/status/922181218174754821","922181218174754821")</f>
        <v>922181218174754821</v>
      </c>
      <c r="F3945" s="10" t="s">
        <v>60</v>
      </c>
      <c r="G3945" s="10" t="n">
        <v>4945</v>
      </c>
      <c r="H3945" s="10" t="n">
        <v>4416</v>
      </c>
      <c r="I3945" s="10" t="n">
        <v>0</v>
      </c>
      <c r="J3945" s="10" t="n">
        <v>0</v>
      </c>
      <c r="K3945" s="10" t="s">
        <v>20</v>
      </c>
      <c r="L3945" s="11" t="n">
        <v>39902.282962963</v>
      </c>
      <c r="M3945" s="12" t="s">
        <v>6269</v>
      </c>
      <c r="N3945" s="12" t="s">
        <v>9550</v>
      </c>
      <c r="O3945" s="9" t="str">
        <f aca="false">HYPERLINK("https://pbs.twimg.com/profile_images/2440005042/1x037znt289o13lagjj2_normal.jpeg","View")</f>
        <v>View</v>
      </c>
      <c r="P3945" s="10"/>
    </row>
    <row r="3946" customFormat="false" ht="15.75" hidden="false" customHeight="false" outlineLevel="0" collapsed="false">
      <c r="A3946" s="6" t="n">
        <v>43030.5154166667</v>
      </c>
      <c r="B3946" s="7" t="str">
        <f aca="false">HYPERLINK("https://twitter.com/sp1943893","@sp1943893")</f>
        <v>@sp1943893</v>
      </c>
      <c r="C3946" s="8" t="s">
        <v>2946</v>
      </c>
      <c r="D3946" s="8" t="s">
        <v>7515</v>
      </c>
      <c r="E3946" s="9" t="str">
        <f aca="false">HYPERLINK("https://twitter.com/sp1943893/status/922181311548350465","922181311548350465")</f>
        <v>922181311548350465</v>
      </c>
      <c r="F3946" s="10" t="s">
        <v>39</v>
      </c>
      <c r="G3946" s="10" t="n">
        <v>1375</v>
      </c>
      <c r="H3946" s="10" t="n">
        <v>4160</v>
      </c>
      <c r="I3946" s="10" t="n">
        <v>25</v>
      </c>
      <c r="J3946" s="10" t="n">
        <v>0</v>
      </c>
      <c r="K3946" s="10" t="s">
        <v>20</v>
      </c>
      <c r="L3946" s="11" t="n">
        <v>42534.8357060185</v>
      </c>
      <c r="M3946" s="12" t="s">
        <v>2948</v>
      </c>
      <c r="N3946" s="12" t="s">
        <v>2949</v>
      </c>
      <c r="O3946" s="9" t="str">
        <f aca="false">HYPERLINK("https://pbs.twimg.com/profile_images/744468008047771648/gVbXw8aH_normal.jpg","View")</f>
        <v>View</v>
      </c>
      <c r="P3946" s="10"/>
    </row>
    <row r="3947" customFormat="false" ht="15.75" hidden="false" customHeight="false" outlineLevel="0" collapsed="false">
      <c r="A3947" s="6" t="n">
        <v>43030.5154861111</v>
      </c>
      <c r="B3947" s="7" t="str">
        <f aca="false">HYPERLINK("https://twitter.com/worldnews_net","@worldnews_net")</f>
        <v>@worldnews_net</v>
      </c>
      <c r="C3947" s="8" t="s">
        <v>1738</v>
      </c>
      <c r="D3947" s="8" t="s">
        <v>9551</v>
      </c>
      <c r="E3947" s="9" t="str">
        <f aca="false">HYPERLINK("https://twitter.com/worldnews_net/status/922181336747724800","922181336747724800")</f>
        <v>922181336747724800</v>
      </c>
      <c r="F3947" s="10" t="s">
        <v>60</v>
      </c>
      <c r="G3947" s="10" t="n">
        <v>6454</v>
      </c>
      <c r="H3947" s="10" t="n">
        <v>1317</v>
      </c>
      <c r="I3947" s="10" t="n">
        <v>0</v>
      </c>
      <c r="J3947" s="10" t="n">
        <v>0</v>
      </c>
      <c r="K3947" s="10" t="s">
        <v>20</v>
      </c>
      <c r="L3947" s="11" t="n">
        <v>42056.080162037</v>
      </c>
      <c r="M3947" s="12"/>
      <c r="N3947" s="12" t="s">
        <v>1740</v>
      </c>
      <c r="O3947" s="9" t="str">
        <f aca="false">HYPERLINK("https://pbs.twimg.com/profile_images/570163852034076672/nbok5qlW_normal.jpeg","View")</f>
        <v>View</v>
      </c>
      <c r="P3947" s="10"/>
    </row>
    <row r="3948" customFormat="false" ht="15.75" hidden="false" customHeight="false" outlineLevel="0" collapsed="false">
      <c r="A3948" s="6" t="n">
        <v>43030.5157175926</v>
      </c>
      <c r="B3948" s="7" t="str">
        <f aca="false">HYPERLINK("https://twitter.com/RichardTuffin","@RichardTuffin")</f>
        <v>@RichardTuffin</v>
      </c>
      <c r="C3948" s="8" t="s">
        <v>9552</v>
      </c>
      <c r="D3948" s="8" t="s">
        <v>9553</v>
      </c>
      <c r="E3948" s="9" t="str">
        <f aca="false">HYPERLINK("https://twitter.com/RichardTuffin/status/922181419211747328","922181419211747328")</f>
        <v>922181419211747328</v>
      </c>
      <c r="F3948" s="10" t="s">
        <v>25</v>
      </c>
      <c r="G3948" s="10" t="n">
        <v>12033</v>
      </c>
      <c r="H3948" s="10" t="n">
        <v>10698</v>
      </c>
      <c r="I3948" s="10" t="n">
        <v>0</v>
      </c>
      <c r="J3948" s="10" t="n">
        <v>0</v>
      </c>
      <c r="K3948" s="10" t="s">
        <v>20</v>
      </c>
      <c r="L3948" s="11" t="n">
        <v>39720.0759259259</v>
      </c>
      <c r="M3948" s="12" t="s">
        <v>9554</v>
      </c>
      <c r="N3948" s="12" t="s">
        <v>9555</v>
      </c>
      <c r="O3948" s="9" t="str">
        <f aca="false">HYPERLINK("https://pbs.twimg.com/profile_images/905231135130640384/ubj6JAQj_normal.jpg","View")</f>
        <v>View</v>
      </c>
      <c r="P3948" s="10"/>
    </row>
    <row r="3949" customFormat="false" ht="15.75" hidden="false" customHeight="false" outlineLevel="0" collapsed="false">
      <c r="A3949" s="6" t="n">
        <v>43030.5157638889</v>
      </c>
      <c r="B3949" s="7" t="str">
        <f aca="false">HYPERLINK("https://twitter.com/inimad07","@inimad07")</f>
        <v>@inimad07</v>
      </c>
      <c r="C3949" s="8" t="s">
        <v>9492</v>
      </c>
      <c r="D3949" s="8" t="s">
        <v>9556</v>
      </c>
      <c r="E3949" s="9" t="str">
        <f aca="false">HYPERLINK("https://twitter.com/inimad07/status/922181435410276352","922181435410276352")</f>
        <v>922181435410276352</v>
      </c>
      <c r="F3949" s="10" t="s">
        <v>60</v>
      </c>
      <c r="G3949" s="10" t="n">
        <v>1095</v>
      </c>
      <c r="H3949" s="10" t="n">
        <v>1768</v>
      </c>
      <c r="I3949" s="10" t="n">
        <v>0</v>
      </c>
      <c r="J3949" s="10" t="n">
        <v>0</v>
      </c>
      <c r="K3949" s="10" t="s">
        <v>20</v>
      </c>
      <c r="L3949" s="11" t="n">
        <v>41477.4588194444</v>
      </c>
      <c r="M3949" s="12"/>
      <c r="N3949" s="12"/>
      <c r="O3949" s="9" t="str">
        <f aca="false">HYPERLINK("https://pbs.twimg.com/profile_images/537549640128679936/t5wiqQDm_normal.jpeg","View")</f>
        <v>View</v>
      </c>
      <c r="P3949" s="10"/>
    </row>
    <row r="3950" customFormat="false" ht="15.75" hidden="false" customHeight="false" outlineLevel="0" collapsed="false">
      <c r="A3950" s="6" t="n">
        <v>43030.5159837963</v>
      </c>
      <c r="B3950" s="7" t="str">
        <f aca="false">HYPERLINK("https://twitter.com/sp1943893","@sp1943893")</f>
        <v>@sp1943893</v>
      </c>
      <c r="C3950" s="8" t="s">
        <v>2946</v>
      </c>
      <c r="D3950" s="8" t="s">
        <v>3991</v>
      </c>
      <c r="E3950" s="9" t="str">
        <f aca="false">HYPERLINK("https://twitter.com/sp1943893/status/922181516322639873","922181516322639873")</f>
        <v>922181516322639873</v>
      </c>
      <c r="F3950" s="10" t="s">
        <v>39</v>
      </c>
      <c r="G3950" s="10" t="n">
        <v>1375</v>
      </c>
      <c r="H3950" s="10" t="n">
        <v>4160</v>
      </c>
      <c r="I3950" s="10" t="n">
        <v>17</v>
      </c>
      <c r="J3950" s="10" t="n">
        <v>0</v>
      </c>
      <c r="K3950" s="10" t="s">
        <v>20</v>
      </c>
      <c r="L3950" s="11" t="n">
        <v>42534.8357060185</v>
      </c>
      <c r="M3950" s="12" t="s">
        <v>2948</v>
      </c>
      <c r="N3950" s="12" t="s">
        <v>2949</v>
      </c>
      <c r="O3950" s="9" t="str">
        <f aca="false">HYPERLINK("https://pbs.twimg.com/profile_images/744468008047771648/gVbXw8aH_normal.jpg","View")</f>
        <v>View</v>
      </c>
      <c r="P3950" s="10"/>
    </row>
    <row r="3951" customFormat="false" ht="15.75" hidden="false" customHeight="false" outlineLevel="0" collapsed="false">
      <c r="A3951" s="6" t="n">
        <v>43030.5160185185</v>
      </c>
      <c r="B3951" s="7" t="str">
        <f aca="false">HYPERLINK("https://twitter.com/garyrobertscott","@garyrobertscott")</f>
        <v>@garyrobertscott</v>
      </c>
      <c r="C3951" s="8" t="s">
        <v>9557</v>
      </c>
      <c r="D3951" s="8" t="s">
        <v>4068</v>
      </c>
      <c r="E3951" s="9" t="str">
        <f aca="false">HYPERLINK("https://twitter.com/garyrobertscott/status/922181530721460224","922181530721460224")</f>
        <v>922181530721460224</v>
      </c>
      <c r="F3951" s="10" t="s">
        <v>51</v>
      </c>
      <c r="G3951" s="10" t="n">
        <v>1222</v>
      </c>
      <c r="H3951" s="10" t="n">
        <v>1526</v>
      </c>
      <c r="I3951" s="10" t="n">
        <v>50</v>
      </c>
      <c r="J3951" s="10" t="n">
        <v>0</v>
      </c>
      <c r="K3951" s="10" t="s">
        <v>20</v>
      </c>
      <c r="L3951" s="11" t="n">
        <v>39641.6217708333</v>
      </c>
      <c r="M3951" s="12" t="s">
        <v>752</v>
      </c>
      <c r="N3951" s="12" t="s">
        <v>9558</v>
      </c>
      <c r="O3951" s="9" t="str">
        <f aca="false">HYPERLINK("https://pbs.twimg.com/profile_images/888814682189905920/PFnYk-Ri_normal.jpg","View")</f>
        <v>View</v>
      </c>
      <c r="P3951" s="10"/>
    </row>
    <row r="3952" customFormat="false" ht="15.75" hidden="false" customHeight="false" outlineLevel="0" collapsed="false">
      <c r="A3952" s="6" t="n">
        <v>43030.5164699074</v>
      </c>
      <c r="B3952" s="7" t="str">
        <f aca="false">HYPERLINK("https://twitter.com/nvision_360","@nvision_360")</f>
        <v>@nvision_360</v>
      </c>
      <c r="C3952" s="8" t="s">
        <v>9559</v>
      </c>
      <c r="D3952" s="8" t="s">
        <v>9560</v>
      </c>
      <c r="E3952" s="9" t="str">
        <f aca="false">HYPERLINK("https://twitter.com/nvision_360/status/922181692739043328","922181692739043328")</f>
        <v>922181692739043328</v>
      </c>
      <c r="F3952" s="10" t="s">
        <v>9561</v>
      </c>
      <c r="G3952" s="10" t="n">
        <v>1453</v>
      </c>
      <c r="H3952" s="10" t="n">
        <v>2018</v>
      </c>
      <c r="I3952" s="10" t="n">
        <v>0</v>
      </c>
      <c r="J3952" s="10" t="n">
        <v>0</v>
      </c>
      <c r="K3952" s="10" t="s">
        <v>20</v>
      </c>
      <c r="L3952" s="11" t="n">
        <v>42227.4337037037</v>
      </c>
      <c r="M3952" s="12" t="s">
        <v>4532</v>
      </c>
      <c r="N3952" s="12" t="s">
        <v>9562</v>
      </c>
      <c r="O3952" s="9" t="str">
        <f aca="false">HYPERLINK("https://pbs.twimg.com/profile_images/631155294437924864/W9LiiFDF_normal.png","View")</f>
        <v>View</v>
      </c>
      <c r="P3952" s="10"/>
    </row>
    <row r="3953" customFormat="false" ht="15.75" hidden="false" customHeight="false" outlineLevel="0" collapsed="false">
      <c r="A3953" s="6" t="n">
        <v>43030.5169444445</v>
      </c>
      <c r="B3953" s="7" t="str">
        <f aca="false">HYPERLINK("https://twitter.com/BotSaigai","@BotSaigai")</f>
        <v>@BotSaigai</v>
      </c>
      <c r="C3953" s="14" t="s">
        <v>9563</v>
      </c>
      <c r="D3953" s="8" t="s">
        <v>9564</v>
      </c>
      <c r="E3953" s="9" t="str">
        <f aca="false">HYPERLINK("https://twitter.com/BotSaigai/status/922181866333048832","922181866333048832")</f>
        <v>922181866333048832</v>
      </c>
      <c r="F3953" s="10" t="s">
        <v>60</v>
      </c>
      <c r="G3953" s="10" t="n">
        <v>64</v>
      </c>
      <c r="H3953" s="10" t="n">
        <v>34</v>
      </c>
      <c r="I3953" s="10" t="n">
        <v>0</v>
      </c>
      <c r="J3953" s="10" t="n">
        <v>0</v>
      </c>
      <c r="K3953" s="10" t="s">
        <v>20</v>
      </c>
      <c r="L3953" s="11" t="n">
        <v>41607.8300578704</v>
      </c>
      <c r="M3953" s="12" t="s">
        <v>9565</v>
      </c>
      <c r="N3953" s="13" t="s">
        <v>9566</v>
      </c>
      <c r="O3953" s="9" t="str">
        <f aca="false">HYPERLINK("https://pbs.twimg.com/profile_images/915317589747703808/oJeD7pWD_normal.jpg","View")</f>
        <v>View</v>
      </c>
      <c r="P3953" s="10"/>
    </row>
    <row r="3954" customFormat="false" ht="15.75" hidden="false" customHeight="false" outlineLevel="0" collapsed="false">
      <c r="A3954" s="6" t="n">
        <v>43030.5174421296</v>
      </c>
      <c r="B3954" s="7" t="str">
        <f aca="false">HYPERLINK("https://twitter.com/vmorillo","@vmorillo")</f>
        <v>@vmorillo</v>
      </c>
      <c r="C3954" s="8" t="s">
        <v>9567</v>
      </c>
      <c r="D3954" s="8" t="s">
        <v>9568</v>
      </c>
      <c r="E3954" s="9" t="str">
        <f aca="false">HYPERLINK("https://twitter.com/vmorillo/status/922182046046474242","922182046046474242")</f>
        <v>922182046046474242</v>
      </c>
      <c r="F3954" s="10" t="s">
        <v>60</v>
      </c>
      <c r="G3954" s="10" t="n">
        <v>8405</v>
      </c>
      <c r="H3954" s="10" t="n">
        <v>7842</v>
      </c>
      <c r="I3954" s="10" t="n">
        <v>0</v>
      </c>
      <c r="J3954" s="10" t="n">
        <v>0</v>
      </c>
      <c r="K3954" s="10" t="s">
        <v>20</v>
      </c>
      <c r="L3954" s="11" t="n">
        <v>39938.7624189815</v>
      </c>
      <c r="M3954" s="12" t="s">
        <v>9569</v>
      </c>
      <c r="N3954" s="12" t="s">
        <v>9570</v>
      </c>
      <c r="O3954" s="9" t="str">
        <f aca="false">HYPERLINK("https://pbs.twimg.com/profile_images/913734581328719873/atxwgcZS_normal.jpg","View")</f>
        <v>View</v>
      </c>
      <c r="P3954" s="10"/>
    </row>
    <row r="3955" customFormat="false" ht="15.75" hidden="false" customHeight="false" outlineLevel="0" collapsed="false">
      <c r="A3955" s="6" t="n">
        <v>43030.5175231482</v>
      </c>
      <c r="B3955" s="7" t="str">
        <f aca="false">HYPERLINK("https://twitter.com/DamianHan2","@DamianHan2")</f>
        <v>@DamianHan2</v>
      </c>
      <c r="C3955" s="8" t="s">
        <v>9571</v>
      </c>
      <c r="D3955" s="8" t="s">
        <v>9572</v>
      </c>
      <c r="E3955" s="9" t="str">
        <f aca="false">HYPERLINK("https://twitter.com/DamianHan2/status/922182072382390272","922182072382390272")</f>
        <v>922182072382390272</v>
      </c>
      <c r="F3955" s="10" t="s">
        <v>60</v>
      </c>
      <c r="G3955" s="10" t="n">
        <v>75</v>
      </c>
      <c r="H3955" s="10" t="n">
        <v>371</v>
      </c>
      <c r="I3955" s="10" t="n">
        <v>0</v>
      </c>
      <c r="J3955" s="10" t="n">
        <v>0</v>
      </c>
      <c r="K3955" s="10" t="s">
        <v>20</v>
      </c>
      <c r="L3955" s="11" t="n">
        <v>41629.7274884259</v>
      </c>
      <c r="M3955" s="12"/>
      <c r="N3955" s="12"/>
      <c r="O3955" s="9" t="str">
        <f aca="false">HYPERLINK("https://pbs.twimg.com/profile_images/890834439344750592/33vyo2jE_normal.jpg","View")</f>
        <v>View</v>
      </c>
      <c r="P3955" s="10"/>
    </row>
    <row r="3956" customFormat="false" ht="15.75" hidden="false" customHeight="false" outlineLevel="0" collapsed="false">
      <c r="A3956" s="6" t="n">
        <v>43030.5175231482</v>
      </c>
      <c r="B3956" s="7" t="str">
        <f aca="false">HYPERLINK("https://twitter.com/EBertolaccini","@EBertolaccini")</f>
        <v>@EBertolaccini</v>
      </c>
      <c r="C3956" s="8" t="s">
        <v>4968</v>
      </c>
      <c r="D3956" s="8" t="s">
        <v>9573</v>
      </c>
      <c r="E3956" s="9" t="str">
        <f aca="false">HYPERLINK("https://twitter.com/EBertolaccini/status/922182072512499712","922182072512499712")</f>
        <v>922182072512499712</v>
      </c>
      <c r="F3956" s="10" t="s">
        <v>60</v>
      </c>
      <c r="G3956" s="10" t="n">
        <v>1179</v>
      </c>
      <c r="H3956" s="10" t="n">
        <v>1881</v>
      </c>
      <c r="I3956" s="10" t="n">
        <v>0</v>
      </c>
      <c r="J3956" s="10" t="n">
        <v>0</v>
      </c>
      <c r="K3956" s="10" t="s">
        <v>20</v>
      </c>
      <c r="L3956" s="11" t="n">
        <v>40636.362037037</v>
      </c>
      <c r="M3956" s="12" t="s">
        <v>4970</v>
      </c>
      <c r="N3956" s="12" t="s">
        <v>4971</v>
      </c>
      <c r="O3956" s="9" t="str">
        <f aca="false">HYPERLINK("https://pbs.twimg.com/profile_images/522805721537466368/cbIOXjsD_normal.jpeg","View")</f>
        <v>View</v>
      </c>
      <c r="P3956" s="10"/>
    </row>
    <row r="3957" customFormat="false" ht="15.75" hidden="false" customHeight="false" outlineLevel="0" collapsed="false">
      <c r="A3957" s="6" t="n">
        <v>43030.5175347222</v>
      </c>
      <c r="B3957" s="7" t="str">
        <f aca="false">HYPERLINK("https://twitter.com/nickafkas","@nickafkas")</f>
        <v>@nickafkas</v>
      </c>
      <c r="C3957" s="8" t="s">
        <v>9574</v>
      </c>
      <c r="D3957" s="8" t="s">
        <v>9575</v>
      </c>
      <c r="E3957" s="9" t="str">
        <f aca="false">HYPERLINK("https://twitter.com/nickafkas/status/922182077268791296","922182077268791296")</f>
        <v>922182077268791296</v>
      </c>
      <c r="F3957" s="10" t="s">
        <v>60</v>
      </c>
      <c r="G3957" s="10" t="n">
        <v>219</v>
      </c>
      <c r="H3957" s="10" t="n">
        <v>346</v>
      </c>
      <c r="I3957" s="10" t="n">
        <v>0</v>
      </c>
      <c r="J3957" s="10" t="n">
        <v>0</v>
      </c>
      <c r="K3957" s="10" t="s">
        <v>20</v>
      </c>
      <c r="L3957" s="11" t="n">
        <v>40645.2943402778</v>
      </c>
      <c r="M3957" s="12" t="s">
        <v>9576</v>
      </c>
      <c r="N3957" s="12" t="s">
        <v>9577</v>
      </c>
      <c r="O3957" s="9" t="str">
        <f aca="false">HYPERLINK("https://pbs.twimg.com/profile_images/849789225776107521/n0wcKtlz_normal.jpg","View")</f>
        <v>View</v>
      </c>
      <c r="P3957" s="10"/>
    </row>
    <row r="3958" customFormat="false" ht="15.75" hidden="false" customHeight="false" outlineLevel="0" collapsed="false">
      <c r="A3958" s="6" t="n">
        <v>43030.5175694445</v>
      </c>
      <c r="B3958" s="7" t="str">
        <f aca="false">HYPERLINK("https://twitter.com/gabrieldecolima","@gabrieldecolima")</f>
        <v>@gabrieldecolima</v>
      </c>
      <c r="C3958" s="8" t="s">
        <v>9578</v>
      </c>
      <c r="D3958" s="8" t="s">
        <v>9579</v>
      </c>
      <c r="E3958" s="9" t="str">
        <f aca="false">HYPERLINK("https://twitter.com/gabrieldecolima/status/922182093114957824","922182093114957824")</f>
        <v>922182093114957824</v>
      </c>
      <c r="F3958" s="10" t="s">
        <v>60</v>
      </c>
      <c r="G3958" s="10" t="n">
        <v>1926</v>
      </c>
      <c r="H3958" s="10" t="n">
        <v>874</v>
      </c>
      <c r="I3958" s="10" t="n">
        <v>0</v>
      </c>
      <c r="J3958" s="10" t="n">
        <v>0</v>
      </c>
      <c r="K3958" s="10" t="s">
        <v>20</v>
      </c>
      <c r="L3958" s="11" t="n">
        <v>40398.9627314815</v>
      </c>
      <c r="M3958" s="12" t="s">
        <v>9580</v>
      </c>
      <c r="N3958" s="12" t="s">
        <v>9581</v>
      </c>
      <c r="O3958" s="9" t="str">
        <f aca="false">HYPERLINK("https://pbs.twimg.com/profile_images/1371466225/logoTW_normal.jpg","View")</f>
        <v>View</v>
      </c>
      <c r="P3958" s="10"/>
    </row>
    <row r="3959" customFormat="false" ht="15.75" hidden="false" customHeight="false" outlineLevel="0" collapsed="false">
      <c r="A3959" s="6" t="n">
        <v>43030.5176273148</v>
      </c>
      <c r="B3959" s="7" t="str">
        <f aca="false">HYPERLINK("https://twitter.com/SCIOteam","@SCIOteam")</f>
        <v>@SCIOteam</v>
      </c>
      <c r="C3959" s="8" t="s">
        <v>9582</v>
      </c>
      <c r="D3959" s="8" t="s">
        <v>9583</v>
      </c>
      <c r="E3959" s="9" t="str">
        <f aca="false">HYPERLINK("https://twitter.com/SCIOteam/status/922182113314721793","922182113314721793")</f>
        <v>922182113314721793</v>
      </c>
      <c r="F3959" s="10" t="s">
        <v>60</v>
      </c>
      <c r="G3959" s="10" t="n">
        <v>1799</v>
      </c>
      <c r="H3959" s="10" t="n">
        <v>1958</v>
      </c>
      <c r="I3959" s="10" t="n">
        <v>0</v>
      </c>
      <c r="J3959" s="10" t="n">
        <v>0</v>
      </c>
      <c r="K3959" s="10" t="s">
        <v>20</v>
      </c>
      <c r="L3959" s="11" t="n">
        <v>41509.4863773148</v>
      </c>
      <c r="M3959" s="12" t="s">
        <v>319</v>
      </c>
      <c r="N3959" s="12" t="s">
        <v>9584</v>
      </c>
      <c r="O3959" s="9" t="str">
        <f aca="false">HYPERLINK("https://pbs.twimg.com/profile_images/378800000370729849/4cb30307a18a044f2c4cffd95a6fb862_normal.jpeg","View")</f>
        <v>View</v>
      </c>
      <c r="P3959" s="10"/>
    </row>
    <row r="3960" customFormat="false" ht="15.75" hidden="false" customHeight="false" outlineLevel="0" collapsed="false">
      <c r="A3960" s="6" t="n">
        <v>43030.5177546296</v>
      </c>
      <c r="B3960" s="7" t="str">
        <f aca="false">HYPERLINK("https://twitter.com/cody_e_bennett","@cody_e_bennett")</f>
        <v>@cody_e_bennett</v>
      </c>
      <c r="C3960" s="8" t="s">
        <v>9585</v>
      </c>
      <c r="D3960" s="8" t="s">
        <v>9586</v>
      </c>
      <c r="E3960" s="9" t="str">
        <f aca="false">HYPERLINK("https://twitter.com/cody_e_bennett/status/922182158575337472","922182158575337472")</f>
        <v>922182158575337472</v>
      </c>
      <c r="F3960" s="10" t="s">
        <v>60</v>
      </c>
      <c r="G3960" s="10" t="n">
        <v>816</v>
      </c>
      <c r="H3960" s="10" t="n">
        <v>1022</v>
      </c>
      <c r="I3960" s="10" t="n">
        <v>0</v>
      </c>
      <c r="J3960" s="10" t="n">
        <v>0</v>
      </c>
      <c r="K3960" s="10" t="s">
        <v>20</v>
      </c>
      <c r="L3960" s="11" t="n">
        <v>41110.5873611111</v>
      </c>
      <c r="M3960" s="12" t="s">
        <v>9587</v>
      </c>
      <c r="N3960" s="12"/>
      <c r="O3960" s="9" t="str">
        <f aca="false">HYPERLINK("https://pbs.twimg.com/profile_images/844363370715381761/IecNb4at_normal.jpg","View")</f>
        <v>View</v>
      </c>
      <c r="P3960" s="10"/>
    </row>
    <row r="3961" customFormat="false" ht="15.75" hidden="false" customHeight="false" outlineLevel="0" collapsed="false">
      <c r="A3961" s="6" t="n">
        <v>43030.5180902778</v>
      </c>
      <c r="B3961" s="7" t="str">
        <f aca="false">HYPERLINK("https://twitter.com/muhamadiqbaldar","@muhamadiqbaldar")</f>
        <v>@muhamadiqbaldar</v>
      </c>
      <c r="C3961" s="8" t="s">
        <v>9588</v>
      </c>
      <c r="D3961" s="8" t="s">
        <v>9589</v>
      </c>
      <c r="E3961" s="9" t="str">
        <f aca="false">HYPERLINK("https://twitter.com/muhamadiqbaldar/status/922182280759664640","922182280759664640")</f>
        <v>922182280759664640</v>
      </c>
      <c r="F3961" s="10" t="s">
        <v>60</v>
      </c>
      <c r="G3961" s="10" t="n">
        <v>664</v>
      </c>
      <c r="H3961" s="10" t="n">
        <v>1319</v>
      </c>
      <c r="I3961" s="10" t="n">
        <v>0</v>
      </c>
      <c r="J3961" s="10" t="n">
        <v>0</v>
      </c>
      <c r="K3961" s="10" t="s">
        <v>20</v>
      </c>
      <c r="L3961" s="11" t="n">
        <v>41096.9546875</v>
      </c>
      <c r="M3961" s="12" t="s">
        <v>9590</v>
      </c>
      <c r="N3961" s="12" t="s">
        <v>9591</v>
      </c>
      <c r="O3961" s="9" t="str">
        <f aca="false">HYPERLINK("https://pbs.twimg.com/profile_images/741499126110691328/G0tEhNYe_normal.jpg","View")</f>
        <v>View</v>
      </c>
      <c r="P3961" s="10"/>
    </row>
    <row r="3962" customFormat="false" ht="15.75" hidden="false" customHeight="false" outlineLevel="0" collapsed="false">
      <c r="A3962" s="6" t="n">
        <v>43030.5183564815</v>
      </c>
      <c r="B3962" s="7" t="str">
        <f aca="false">HYPERLINK("https://twitter.com/PIYUSH4BJP","@PIYUSH4BJP")</f>
        <v>@PIYUSH4BJP</v>
      </c>
      <c r="C3962" s="8" t="s">
        <v>9592</v>
      </c>
      <c r="D3962" s="8" t="s">
        <v>8538</v>
      </c>
      <c r="E3962" s="9" t="str">
        <f aca="false">HYPERLINK("https://twitter.com/PIYUSH4BJP/status/922182377094262784","922182377094262784")</f>
        <v>922182377094262784</v>
      </c>
      <c r="F3962" s="10" t="s">
        <v>39</v>
      </c>
      <c r="G3962" s="10" t="n">
        <v>287</v>
      </c>
      <c r="H3962" s="10" t="n">
        <v>963</v>
      </c>
      <c r="I3962" s="10" t="n">
        <v>1015</v>
      </c>
      <c r="J3962" s="10" t="n">
        <v>0</v>
      </c>
      <c r="K3962" s="10" t="s">
        <v>20</v>
      </c>
      <c r="L3962" s="11" t="n">
        <v>40847.0843865741</v>
      </c>
      <c r="M3962" s="12"/>
      <c r="N3962" s="12" t="s">
        <v>9593</v>
      </c>
      <c r="O3962" s="9" t="str">
        <f aca="false">HYPERLINK("https://pbs.twimg.com/profile_images/453962585499381760/rTUMwq72_normal.png","View")</f>
        <v>View</v>
      </c>
      <c r="P3962" s="10"/>
    </row>
    <row r="3963" customFormat="false" ht="15.75" hidden="false" customHeight="false" outlineLevel="0" collapsed="false">
      <c r="A3963" s="6" t="n">
        <v>43030.5184722222</v>
      </c>
      <c r="B3963" s="7" t="str">
        <f aca="false">HYPERLINK("https://twitter.com/azizoubairouk","@azizoubairouk")</f>
        <v>@azizoubairouk</v>
      </c>
      <c r="C3963" s="8" t="s">
        <v>9594</v>
      </c>
      <c r="D3963" s="8" t="s">
        <v>9595</v>
      </c>
      <c r="E3963" s="9" t="str">
        <f aca="false">HYPERLINK("https://twitter.com/azizoubairouk/status/922182417712144386","922182417712144386")</f>
        <v>922182417712144386</v>
      </c>
      <c r="F3963" s="10" t="s">
        <v>60</v>
      </c>
      <c r="G3963" s="10" t="n">
        <v>11877</v>
      </c>
      <c r="H3963" s="10" t="n">
        <v>10477</v>
      </c>
      <c r="I3963" s="10" t="n">
        <v>0</v>
      </c>
      <c r="J3963" s="10" t="n">
        <v>0</v>
      </c>
      <c r="K3963" s="10" t="s">
        <v>20</v>
      </c>
      <c r="L3963" s="11" t="n">
        <v>42580.3359606482</v>
      </c>
      <c r="M3963" s="12" t="s">
        <v>182</v>
      </c>
      <c r="N3963" s="12" t="s">
        <v>9596</v>
      </c>
      <c r="O3963" s="9" t="str">
        <f aca="false">HYPERLINK("https://pbs.twimg.com/profile_images/910478367429931008/tVjr7si5_normal.jpg","View")</f>
        <v>View</v>
      </c>
      <c r="P3963" s="10"/>
    </row>
    <row r="3964" customFormat="false" ht="15.75" hidden="false" customHeight="false" outlineLevel="0" collapsed="false">
      <c r="A3964" s="6" t="n">
        <v>43030.5186226852</v>
      </c>
      <c r="B3964" s="7" t="str">
        <f aca="false">HYPERLINK("https://twitter.com/HassanAyesh10","@HassanAyesh10")</f>
        <v>@HassanAyesh10</v>
      </c>
      <c r="C3964" s="8" t="s">
        <v>9597</v>
      </c>
      <c r="D3964" s="8" t="s">
        <v>9432</v>
      </c>
      <c r="E3964" s="9" t="str">
        <f aca="false">HYPERLINK("https://twitter.com/HassanAyesh10/status/922182472682655745","922182472682655745")</f>
        <v>922182472682655745</v>
      </c>
      <c r="F3964" s="10" t="s">
        <v>25</v>
      </c>
      <c r="G3964" s="10" t="n">
        <v>25</v>
      </c>
      <c r="H3964" s="10" t="n">
        <v>296</v>
      </c>
      <c r="I3964" s="10" t="n">
        <v>6</v>
      </c>
      <c r="J3964" s="10" t="n">
        <v>0</v>
      </c>
      <c r="K3964" s="10" t="s">
        <v>20</v>
      </c>
      <c r="L3964" s="11" t="n">
        <v>42549.1099421296</v>
      </c>
      <c r="M3964" s="12"/>
      <c r="N3964" s="12"/>
      <c r="O3964" s="9" t="str">
        <f aca="false">HYPERLINK("https://pbs.twimg.com/profile_images/771668201511854085/lZbEAa04_normal.jpg","View")</f>
        <v>View</v>
      </c>
      <c r="P3964" s="10"/>
    </row>
    <row r="3965" customFormat="false" ht="15.75" hidden="false" customHeight="false" outlineLevel="0" collapsed="false">
      <c r="A3965" s="6" t="n">
        <v>43030.5187962963</v>
      </c>
      <c r="B3965" s="7" t="str">
        <f aca="false">HYPERLINK("https://twitter.com/votelau","@votelau")</f>
        <v>@votelau</v>
      </c>
      <c r="C3965" s="8" t="s">
        <v>9598</v>
      </c>
      <c r="D3965" s="8" t="s">
        <v>8001</v>
      </c>
      <c r="E3965" s="9" t="str">
        <f aca="false">HYPERLINK("https://twitter.com/votelau/status/922182537685778432","922182537685778432")</f>
        <v>922182537685778432</v>
      </c>
      <c r="F3965" s="10" t="s">
        <v>51</v>
      </c>
      <c r="G3965" s="10" t="n">
        <v>2754</v>
      </c>
      <c r="H3965" s="10" t="n">
        <v>2583</v>
      </c>
      <c r="I3965" s="10" t="n">
        <v>5</v>
      </c>
      <c r="J3965" s="10" t="n">
        <v>0</v>
      </c>
      <c r="K3965" s="10" t="s">
        <v>20</v>
      </c>
      <c r="L3965" s="11" t="n">
        <v>40422.2617476852</v>
      </c>
      <c r="M3965" s="12"/>
      <c r="N3965" s="12" t="s">
        <v>9599</v>
      </c>
      <c r="O3965" s="9" t="str">
        <f aca="false">HYPERLINK("https://pbs.twimg.com/profile_images/639643211053461504/QsGV3cWT_normal.png","View")</f>
        <v>View</v>
      </c>
      <c r="P3965" s="10"/>
    </row>
    <row r="3966" customFormat="false" ht="15.75" hidden="false" customHeight="false" outlineLevel="0" collapsed="false">
      <c r="A3966" s="6" t="n">
        <v>43030.5188310185</v>
      </c>
      <c r="B3966" s="7" t="str">
        <f aca="false">HYPERLINK("https://twitter.com/yaadlinksradio","@yaadlinksradio")</f>
        <v>@yaadlinksradio</v>
      </c>
      <c r="C3966" s="8" t="s">
        <v>9600</v>
      </c>
      <c r="D3966" s="8" t="s">
        <v>9601</v>
      </c>
      <c r="E3966" s="9" t="str">
        <f aca="false">HYPERLINK("https://twitter.com/yaadlinksradio/status/922182548591202309","922182548591202309")</f>
        <v>922182548591202309</v>
      </c>
      <c r="F3966" s="10" t="s">
        <v>60</v>
      </c>
      <c r="G3966" s="10" t="n">
        <v>237</v>
      </c>
      <c r="H3966" s="10" t="n">
        <v>577</v>
      </c>
      <c r="I3966" s="10" t="n">
        <v>0</v>
      </c>
      <c r="J3966" s="10" t="n">
        <v>0</v>
      </c>
      <c r="K3966" s="10" t="s">
        <v>20</v>
      </c>
      <c r="L3966" s="11" t="n">
        <v>41837.5828125</v>
      </c>
      <c r="M3966" s="12" t="s">
        <v>9602</v>
      </c>
      <c r="N3966" s="12" t="s">
        <v>9603</v>
      </c>
      <c r="O3966" s="9" t="str">
        <f aca="false">HYPERLINK("https://pbs.twimg.com/profile_images/842126632269819909/8DQROLyP_normal.jpg","View")</f>
        <v>View</v>
      </c>
      <c r="P3966" s="10"/>
    </row>
    <row r="3967" customFormat="false" ht="15.75" hidden="false" customHeight="false" outlineLevel="0" collapsed="false">
      <c r="A3967" s="6" t="n">
        <v>43030.518900463</v>
      </c>
      <c r="B3967" s="7" t="str">
        <f aca="false">HYPERLINK("https://twitter.com/TheAllRadar","@TheAllRadar")</f>
        <v>@TheAllRadar</v>
      </c>
      <c r="C3967" s="8" t="s">
        <v>4979</v>
      </c>
      <c r="D3967" s="8" t="s">
        <v>9604</v>
      </c>
      <c r="E3967" s="9" t="str">
        <f aca="false">HYPERLINK("https://twitter.com/TheAllRadar/status/922182572192489477","922182572192489477")</f>
        <v>922182572192489477</v>
      </c>
      <c r="F3967" s="10" t="s">
        <v>55</v>
      </c>
      <c r="G3967" s="10" t="n">
        <v>430</v>
      </c>
      <c r="H3967" s="10" t="n">
        <v>175</v>
      </c>
      <c r="I3967" s="10" t="n">
        <v>0</v>
      </c>
      <c r="J3967" s="10" t="n">
        <v>0</v>
      </c>
      <c r="K3967" s="10" t="s">
        <v>20</v>
      </c>
      <c r="L3967" s="11" t="n">
        <v>40604.2396990741</v>
      </c>
      <c r="M3967" s="12" t="s">
        <v>4981</v>
      </c>
      <c r="N3967" s="12" t="s">
        <v>4982</v>
      </c>
      <c r="O3967" s="9" t="str">
        <f aca="false">HYPERLINK("https://pbs.twimg.com/profile_images/2138389350/MBF_Twitter_Prof_normal.jpg","View")</f>
        <v>View</v>
      </c>
      <c r="P3967" s="10"/>
    </row>
    <row r="3968" customFormat="false" ht="15.75" hidden="false" customHeight="false" outlineLevel="0" collapsed="false">
      <c r="A3968" s="6" t="n">
        <v>43030.518900463</v>
      </c>
      <c r="B3968" s="7" t="str">
        <f aca="false">HYPERLINK("https://twitter.com/andydl321","@andydl321")</f>
        <v>@andydl321</v>
      </c>
      <c r="C3968" s="8" t="s">
        <v>5800</v>
      </c>
      <c r="D3968" s="8" t="s">
        <v>9605</v>
      </c>
      <c r="E3968" s="9" t="str">
        <f aca="false">HYPERLINK("https://twitter.com/andydl321/status/922182575178862597","922182575178862597")</f>
        <v>922182575178862597</v>
      </c>
      <c r="F3968" s="10" t="s">
        <v>51</v>
      </c>
      <c r="G3968" s="10" t="n">
        <v>1425</v>
      </c>
      <c r="H3968" s="10" t="n">
        <v>3170</v>
      </c>
      <c r="I3968" s="10" t="n">
        <v>1</v>
      </c>
      <c r="J3968" s="10" t="n">
        <v>0</v>
      </c>
      <c r="K3968" s="10" t="s">
        <v>20</v>
      </c>
      <c r="L3968" s="11" t="n">
        <v>39922.483125</v>
      </c>
      <c r="M3968" s="12" t="s">
        <v>491</v>
      </c>
      <c r="N3968" s="12" t="s">
        <v>5802</v>
      </c>
      <c r="O3968" s="9" t="str">
        <f aca="false">HYPERLINK("https://pbs.twimg.com/profile_images/920357015523803137/guMv7yh3_normal.jpg","View")</f>
        <v>View</v>
      </c>
      <c r="P3968" s="10"/>
    </row>
    <row r="3969" customFormat="false" ht="15.75" hidden="false" customHeight="false" outlineLevel="0" collapsed="false">
      <c r="A3969" s="6" t="n">
        <v>43030.5189467593</v>
      </c>
      <c r="B3969" s="7" t="str">
        <f aca="false">HYPERLINK("https://twitter.com/youssefamerniss","@youssefamerniss")</f>
        <v>@youssefamerniss</v>
      </c>
      <c r="C3969" s="8" t="s">
        <v>9606</v>
      </c>
      <c r="D3969" s="8" t="s">
        <v>9607</v>
      </c>
      <c r="E3969" s="9" t="str">
        <f aca="false">HYPERLINK("https://twitter.com/youssefamerniss/status/922182591654125568","922182591654125568")</f>
        <v>922182591654125568</v>
      </c>
      <c r="F3969" s="10" t="s">
        <v>60</v>
      </c>
      <c r="G3969" s="10" t="n">
        <v>718</v>
      </c>
      <c r="H3969" s="10" t="n">
        <v>89</v>
      </c>
      <c r="I3969" s="10" t="n">
        <v>0</v>
      </c>
      <c r="J3969" s="10" t="n">
        <v>0</v>
      </c>
      <c r="K3969" s="10" t="s">
        <v>20</v>
      </c>
      <c r="L3969" s="11" t="n">
        <v>40887.249525463</v>
      </c>
      <c r="M3969" s="12" t="s">
        <v>9608</v>
      </c>
      <c r="N3969" s="12" t="s">
        <v>9609</v>
      </c>
      <c r="O3969" s="9" t="str">
        <f aca="false">HYPERLINK("https://pbs.twimg.com/profile_images/511931606127620096/XLyEbXRZ_normal.jpeg","View")</f>
        <v>View</v>
      </c>
      <c r="P3969" s="10"/>
    </row>
    <row r="3970" customFormat="false" ht="15.75" hidden="false" customHeight="false" outlineLevel="0" collapsed="false">
      <c r="A3970" s="6" t="n">
        <v>43030.5191203704</v>
      </c>
      <c r="B3970" s="7" t="str">
        <f aca="false">HYPERLINK("https://twitter.com/vergonzoso","@vergonzoso")</f>
        <v>@vergonzoso</v>
      </c>
      <c r="C3970" s="8" t="s">
        <v>9610</v>
      </c>
      <c r="D3970" s="8" t="s">
        <v>9611</v>
      </c>
      <c r="E3970" s="9" t="str">
        <f aca="false">HYPERLINK("https://twitter.com/vergonzoso/status/922182652987367426","922182652987367426")</f>
        <v>922182652987367426</v>
      </c>
      <c r="F3970" s="10" t="s">
        <v>60</v>
      </c>
      <c r="G3970" s="10" t="n">
        <v>30</v>
      </c>
      <c r="H3970" s="10" t="n">
        <v>92</v>
      </c>
      <c r="I3970" s="10" t="n">
        <v>0</v>
      </c>
      <c r="J3970" s="10" t="n">
        <v>0</v>
      </c>
      <c r="K3970" s="10" t="s">
        <v>20</v>
      </c>
      <c r="L3970" s="11" t="n">
        <v>40171.6120486111</v>
      </c>
      <c r="M3970" s="12"/>
      <c r="N3970" s="12"/>
      <c r="O3970" s="9" t="str">
        <f aca="false">HYPERLINK("https://pbs.twimg.com/profile_images/608996982/v_vendetta_normal.jpg","View")</f>
        <v>View</v>
      </c>
      <c r="P3970" s="10"/>
    </row>
    <row r="3971" customFormat="false" ht="15.75" hidden="false" customHeight="false" outlineLevel="0" collapsed="false">
      <c r="A3971" s="6" t="n">
        <v>43030.5194444445</v>
      </c>
      <c r="B3971" s="7" t="str">
        <f aca="false">HYPERLINK("https://twitter.com/i_contemplate_","@i_contemplate_")</f>
        <v>@i_contemplate_</v>
      </c>
      <c r="C3971" s="8" t="s">
        <v>9612</v>
      </c>
      <c r="D3971" s="8" t="s">
        <v>9613</v>
      </c>
      <c r="E3971" s="9" t="str">
        <f aca="false">HYPERLINK("https://twitter.com/i_contemplate_/status/922182770654351360","922182770654351360")</f>
        <v>922182770654351360</v>
      </c>
      <c r="F3971" s="10" t="s">
        <v>25</v>
      </c>
      <c r="G3971" s="10" t="n">
        <v>1034</v>
      </c>
      <c r="H3971" s="10" t="n">
        <v>633</v>
      </c>
      <c r="I3971" s="10" t="n">
        <v>2</v>
      </c>
      <c r="J3971" s="10" t="n">
        <v>0</v>
      </c>
      <c r="K3971" s="10" t="s">
        <v>20</v>
      </c>
      <c r="L3971" s="11" t="n">
        <v>41661.7673958333</v>
      </c>
      <c r="M3971" s="12" t="s">
        <v>9614</v>
      </c>
      <c r="N3971" s="12" t="s">
        <v>9615</v>
      </c>
      <c r="O3971" s="9" t="str">
        <f aca="false">HYPERLINK("https://pbs.twimg.com/profile_images/777587824912728064/itI_CLoX_normal.jpg","View")</f>
        <v>View</v>
      </c>
      <c r="P3971" s="10"/>
    </row>
    <row r="3972" customFormat="false" ht="15.75" hidden="false" customHeight="false" outlineLevel="0" collapsed="false">
      <c r="A3972" s="6" t="n">
        <v>43030.5194791667</v>
      </c>
      <c r="B3972" s="7" t="str">
        <f aca="false">HYPERLINK("https://twitter.com/BillNigh","@BillNigh")</f>
        <v>@BillNigh</v>
      </c>
      <c r="C3972" s="8" t="s">
        <v>9616</v>
      </c>
      <c r="D3972" s="8" t="s">
        <v>9519</v>
      </c>
      <c r="E3972" s="9" t="str">
        <f aca="false">HYPERLINK("https://twitter.com/BillNigh/status/922182781173559296","922182781173559296")</f>
        <v>922182781173559296</v>
      </c>
      <c r="F3972" s="10" t="s">
        <v>39</v>
      </c>
      <c r="G3972" s="10" t="n">
        <v>23343</v>
      </c>
      <c r="H3972" s="10" t="n">
        <v>17366</v>
      </c>
      <c r="I3972" s="10" t="n">
        <v>11</v>
      </c>
      <c r="J3972" s="10" t="n">
        <v>0</v>
      </c>
      <c r="K3972" s="10" t="s">
        <v>20</v>
      </c>
      <c r="L3972" s="11" t="n">
        <v>39670.2195833333</v>
      </c>
      <c r="M3972" s="12" t="s">
        <v>9617</v>
      </c>
      <c r="N3972" s="12" t="s">
        <v>9618</v>
      </c>
      <c r="O3972" s="9" t="str">
        <f aca="false">HYPERLINK("https://pbs.twimg.com/profile_images/1834936719/LochNessCloseUp2_normal.PNG","View")</f>
        <v>View</v>
      </c>
      <c r="P3972" s="10"/>
    </row>
    <row r="3973" customFormat="false" ht="15.75" hidden="false" customHeight="false" outlineLevel="0" collapsed="false">
      <c r="A3973" s="6" t="n">
        <v>43030.5197106482</v>
      </c>
      <c r="B3973" s="7" t="str">
        <f aca="false">HYPERLINK("https://twitter.com/DanielPartain4","@DanielPartain4")</f>
        <v>@DanielPartain4</v>
      </c>
      <c r="C3973" s="8" t="s">
        <v>9619</v>
      </c>
      <c r="D3973" s="8" t="s">
        <v>9620</v>
      </c>
      <c r="E3973" s="9" t="str">
        <f aca="false">HYPERLINK("https://twitter.com/DanielPartain4/status/922182866183827456","922182866183827456")</f>
        <v>922182866183827456</v>
      </c>
      <c r="F3973" s="9" t="s">
        <v>979</v>
      </c>
      <c r="G3973" s="10" t="n">
        <v>3</v>
      </c>
      <c r="H3973" s="10" t="n">
        <v>0</v>
      </c>
      <c r="I3973" s="10" t="n">
        <v>0</v>
      </c>
      <c r="J3973" s="10" t="n">
        <v>0</v>
      </c>
      <c r="K3973" s="10" t="s">
        <v>20</v>
      </c>
      <c r="L3973" s="11" t="n">
        <v>42719.8023726852</v>
      </c>
      <c r="M3973" s="12"/>
      <c r="N3973" s="12"/>
      <c r="O3973" s="9" t="str">
        <f aca="false">HYPERLINK("https://pbs.twimg.com/profile_images/809600194354417664/LrtGukY6_normal.jpg","View")</f>
        <v>View</v>
      </c>
      <c r="P3973" s="10"/>
    </row>
    <row r="3974" customFormat="false" ht="15.75" hidden="false" customHeight="false" outlineLevel="0" collapsed="false">
      <c r="A3974" s="6" t="n">
        <v>43030.5199421296</v>
      </c>
      <c r="B3974" s="7" t="str">
        <f aca="false">HYPERLINK("https://twitter.com/namo_namah2","@namo_namah2")</f>
        <v>@namo_namah2</v>
      </c>
      <c r="C3974" s="8" t="s">
        <v>9621</v>
      </c>
      <c r="D3974" s="8" t="s">
        <v>8538</v>
      </c>
      <c r="E3974" s="9" t="str">
        <f aca="false">HYPERLINK("https://twitter.com/namo_namah2/status/922182952196255749","922182952196255749")</f>
        <v>922182952196255749</v>
      </c>
      <c r="F3974" s="10" t="s">
        <v>25</v>
      </c>
      <c r="G3974" s="10" t="n">
        <v>1037</v>
      </c>
      <c r="H3974" s="10" t="n">
        <v>158</v>
      </c>
      <c r="I3974" s="10" t="n">
        <v>1015</v>
      </c>
      <c r="J3974" s="10" t="n">
        <v>0</v>
      </c>
      <c r="K3974" s="10" t="s">
        <v>20</v>
      </c>
      <c r="L3974" s="11" t="n">
        <v>42205.4189583333</v>
      </c>
      <c r="M3974" s="12" t="s">
        <v>9622</v>
      </c>
      <c r="N3974" s="12" t="s">
        <v>9623</v>
      </c>
      <c r="O3974" s="9" t="str">
        <f aca="false">HYPERLINK("https://pbs.twimg.com/profile_images/902579783497682944/O8CLkRyF_normal.jpg","View")</f>
        <v>View</v>
      </c>
      <c r="P3974" s="10"/>
    </row>
    <row r="3975" customFormat="false" ht="15.75" hidden="false" customHeight="false" outlineLevel="0" collapsed="false">
      <c r="A3975" s="6" t="n">
        <v>43030.5200925926</v>
      </c>
      <c r="B3975" s="7" t="str">
        <f aca="false">HYPERLINK("https://twitter.com/avi_saxena","@avi_saxena")</f>
        <v>@avi_saxena</v>
      </c>
      <c r="C3975" s="8" t="s">
        <v>9624</v>
      </c>
      <c r="D3975" s="8" t="s">
        <v>8538</v>
      </c>
      <c r="E3975" s="9" t="str">
        <f aca="false">HYPERLINK("https://twitter.com/avi_saxena/status/922183004314882051","922183004314882051")</f>
        <v>922183004314882051</v>
      </c>
      <c r="F3975" s="10" t="s">
        <v>98</v>
      </c>
      <c r="G3975" s="10" t="n">
        <v>1375</v>
      </c>
      <c r="H3975" s="10" t="n">
        <v>3192</v>
      </c>
      <c r="I3975" s="10" t="n">
        <v>1015</v>
      </c>
      <c r="J3975" s="10" t="n">
        <v>0</v>
      </c>
      <c r="K3975" s="10" t="s">
        <v>20</v>
      </c>
      <c r="L3975" s="11" t="n">
        <v>40303.9950578704</v>
      </c>
      <c r="M3975" s="12" t="s">
        <v>860</v>
      </c>
      <c r="N3975" s="12" t="s">
        <v>9625</v>
      </c>
      <c r="O3975" s="9" t="str">
        <f aca="false">HYPERLINK("https://pbs.twimg.com/profile_images/920985361882501120/SbljjVNb_normal.jpg","View")</f>
        <v>View</v>
      </c>
      <c r="P3975" s="10"/>
    </row>
    <row r="3976" customFormat="false" ht="15.75" hidden="false" customHeight="false" outlineLevel="0" collapsed="false">
      <c r="A3976" s="6" t="n">
        <v>43030.5201851852</v>
      </c>
      <c r="B3976" s="7" t="str">
        <f aca="false">HYPERLINK("https://twitter.com/0xacdc","@0xacdc")</f>
        <v>@0xacdc</v>
      </c>
      <c r="C3976" s="8" t="s">
        <v>9626</v>
      </c>
      <c r="D3976" s="8" t="s">
        <v>9627</v>
      </c>
      <c r="E3976" s="9" t="str">
        <f aca="false">HYPERLINK("https://twitter.com/0xacdc/status/922183039328890880","922183039328890880")</f>
        <v>922183039328890880</v>
      </c>
      <c r="F3976" s="10" t="s">
        <v>25</v>
      </c>
      <c r="G3976" s="10" t="n">
        <v>113</v>
      </c>
      <c r="H3976" s="10" t="n">
        <v>160</v>
      </c>
      <c r="I3976" s="10" t="n">
        <v>2</v>
      </c>
      <c r="J3976" s="10" t="n">
        <v>0</v>
      </c>
      <c r="K3976" s="10" t="s">
        <v>20</v>
      </c>
      <c r="L3976" s="11" t="n">
        <v>40402.1216898148</v>
      </c>
      <c r="M3976" s="12"/>
      <c r="N3976" s="12" t="s">
        <v>9628</v>
      </c>
      <c r="O3976" s="9" t="str">
        <f aca="false">HYPERLINK("https://pbs.twimg.com/profile_images/552856292013125636/zHXtByQG_normal.jpeg","View")</f>
        <v>View</v>
      </c>
      <c r="P3976" s="10"/>
    </row>
    <row r="3977" customFormat="false" ht="15.75" hidden="false" customHeight="false" outlineLevel="0" collapsed="false">
      <c r="A3977" s="6" t="n">
        <v>43030.5202314815</v>
      </c>
      <c r="B3977" s="7" t="str">
        <f aca="false">HYPERLINK("https://twitter.com/SergeyKarnatov","@SergeyKarnatov")</f>
        <v>@SergeyKarnatov</v>
      </c>
      <c r="C3977" s="8" t="s">
        <v>9629</v>
      </c>
      <c r="D3977" s="8" t="s">
        <v>9630</v>
      </c>
      <c r="E3977" s="9" t="str">
        <f aca="false">HYPERLINK("https://twitter.com/SergeyKarnatov/status/922183055716036610","922183055716036610")</f>
        <v>922183055716036610</v>
      </c>
      <c r="F3977" s="10" t="s">
        <v>60</v>
      </c>
      <c r="G3977" s="10" t="n">
        <v>1152</v>
      </c>
      <c r="H3977" s="10" t="n">
        <v>1280</v>
      </c>
      <c r="I3977" s="10" t="n">
        <v>0</v>
      </c>
      <c r="J3977" s="10" t="n">
        <v>0</v>
      </c>
      <c r="K3977" s="10" t="s">
        <v>20</v>
      </c>
      <c r="L3977" s="11" t="n">
        <v>42731.9827662037</v>
      </c>
      <c r="M3977" s="12" t="s">
        <v>9034</v>
      </c>
      <c r="N3977" s="12" t="s">
        <v>9631</v>
      </c>
      <c r="O3977" s="9" t="str">
        <f aca="false">HYPERLINK("https://pbs.twimg.com/profile_images/816128122311626753/WUYp79-H_normal.jpg","View")</f>
        <v>View</v>
      </c>
      <c r="P3977" s="10"/>
    </row>
    <row r="3978" customFormat="false" ht="15.75" hidden="false" customHeight="false" outlineLevel="0" collapsed="false">
      <c r="A3978" s="6" t="n">
        <v>43030.5202430556</v>
      </c>
      <c r="B3978" s="7" t="str">
        <f aca="false">HYPERLINK("https://twitter.com/Amallukose4","@Amallukose4")</f>
        <v>@Amallukose4</v>
      </c>
      <c r="C3978" s="8" t="s">
        <v>9632</v>
      </c>
      <c r="D3978" s="8" t="s">
        <v>9633</v>
      </c>
      <c r="E3978" s="9" t="str">
        <f aca="false">HYPERLINK("https://twitter.com/Amallukose4/status/922183058018717696","922183058018717696")</f>
        <v>922183058018717696</v>
      </c>
      <c r="F3978" s="10" t="s">
        <v>60</v>
      </c>
      <c r="G3978" s="10" t="n">
        <v>129</v>
      </c>
      <c r="H3978" s="10" t="n">
        <v>316</v>
      </c>
      <c r="I3978" s="10" t="n">
        <v>0</v>
      </c>
      <c r="J3978" s="10" t="n">
        <v>0</v>
      </c>
      <c r="K3978" s="10" t="s">
        <v>20</v>
      </c>
      <c r="L3978" s="11" t="n">
        <v>42778.1612962963</v>
      </c>
      <c r="M3978" s="12" t="s">
        <v>9634</v>
      </c>
      <c r="N3978" s="12" t="s">
        <v>9635</v>
      </c>
      <c r="O3978" s="9" t="str">
        <f aca="false">HYPERLINK("https://pbs.twimg.com/profile_images/918389413977223168/BT1P3he9_normal.jpg","View")</f>
        <v>View</v>
      </c>
      <c r="P3978" s="10"/>
    </row>
    <row r="3979" customFormat="false" ht="15.75" hidden="false" customHeight="false" outlineLevel="0" collapsed="false">
      <c r="A3979" s="6" t="n">
        <v>43030.5203125</v>
      </c>
      <c r="B3979" s="7" t="str">
        <f aca="false">HYPERLINK("https://twitter.com/newssummeduphq","@newssummeduphq")</f>
        <v>@newssummeduphq</v>
      </c>
      <c r="C3979" s="8" t="s">
        <v>1177</v>
      </c>
      <c r="D3979" s="8" t="s">
        <v>9636</v>
      </c>
      <c r="E3979" s="9" t="str">
        <f aca="false">HYPERLINK("https://twitter.com/newssummeduphq/status/922183086477000704","922183086477000704")</f>
        <v>922183086477000704</v>
      </c>
      <c r="F3979" s="10" t="s">
        <v>1179</v>
      </c>
      <c r="G3979" s="10" t="n">
        <v>433</v>
      </c>
      <c r="H3979" s="10" t="n">
        <v>1175</v>
      </c>
      <c r="I3979" s="10" t="n">
        <v>0</v>
      </c>
      <c r="J3979" s="10" t="n">
        <v>0</v>
      </c>
      <c r="K3979" s="10" t="s">
        <v>20</v>
      </c>
      <c r="L3979" s="11" t="n">
        <v>42504.2012037037</v>
      </c>
      <c r="M3979" s="12" t="s">
        <v>588</v>
      </c>
      <c r="N3979" s="12" t="s">
        <v>1180</v>
      </c>
      <c r="O3979" s="9" t="str">
        <f aca="false">HYPERLINK("https://pbs.twimg.com/profile_images/731455561695264770/Oj_92lRJ_normal.jpg","View")</f>
        <v>View</v>
      </c>
      <c r="P3979" s="10"/>
    </row>
    <row r="3980" customFormat="false" ht="15.75" hidden="false" customHeight="false" outlineLevel="0" collapsed="false">
      <c r="A3980" s="6" t="n">
        <v>43030.520474537</v>
      </c>
      <c r="B3980" s="7" t="str">
        <f aca="false">HYPERLINK("https://twitter.com/pacificbox","@pacificbox")</f>
        <v>@pacificbox</v>
      </c>
      <c r="C3980" s="8" t="s">
        <v>9637</v>
      </c>
      <c r="D3980" s="8" t="s">
        <v>9638</v>
      </c>
      <c r="E3980" s="9" t="str">
        <f aca="false">HYPERLINK("https://twitter.com/pacificbox/status/922183142189993985","922183142189993985")</f>
        <v>922183142189993985</v>
      </c>
      <c r="F3980" s="10" t="s">
        <v>60</v>
      </c>
      <c r="G3980" s="10" t="n">
        <v>3</v>
      </c>
      <c r="H3980" s="10" t="n">
        <v>9</v>
      </c>
      <c r="I3980" s="10" t="n">
        <v>0</v>
      </c>
      <c r="J3980" s="10" t="n">
        <v>0</v>
      </c>
      <c r="K3980" s="10" t="s">
        <v>20</v>
      </c>
      <c r="L3980" s="11" t="n">
        <v>40981.1007060185</v>
      </c>
      <c r="M3980" s="12"/>
      <c r="N3980" s="12"/>
      <c r="O3980" s="9" t="str">
        <f aca="false">HYPERLINK("https://pbs.twimg.com/profile_images/889826456964022274/KDSfJTut_normal.jpg","View")</f>
        <v>View</v>
      </c>
      <c r="P3980" s="10"/>
    </row>
    <row r="3981" customFormat="false" ht="15.75" hidden="false" customHeight="false" outlineLevel="0" collapsed="false">
      <c r="A3981" s="6" t="n">
        <v>43030.5208333333</v>
      </c>
      <c r="B3981" s="7" t="str">
        <f aca="false">HYPERLINK("https://twitter.com/govindsingh9992","@govindsingh9992")</f>
        <v>@govindsingh9992</v>
      </c>
      <c r="C3981" s="8" t="s">
        <v>9639</v>
      </c>
      <c r="D3981" s="8" t="s">
        <v>8538</v>
      </c>
      <c r="E3981" s="9" t="str">
        <f aca="false">HYPERLINK("https://twitter.com/govindsingh9992/status/922183272062488576","922183272062488576")</f>
        <v>922183272062488576</v>
      </c>
      <c r="F3981" s="10" t="s">
        <v>25</v>
      </c>
      <c r="G3981" s="10" t="n">
        <v>117</v>
      </c>
      <c r="H3981" s="10" t="n">
        <v>355</v>
      </c>
      <c r="I3981" s="10" t="n">
        <v>1015</v>
      </c>
      <c r="J3981" s="10" t="n">
        <v>0</v>
      </c>
      <c r="K3981" s="10" t="s">
        <v>20</v>
      </c>
      <c r="L3981" s="11" t="n">
        <v>41810.5197106482</v>
      </c>
      <c r="M3981" s="12"/>
      <c r="N3981" s="12" t="s">
        <v>9640</v>
      </c>
      <c r="O3981" s="9" t="str">
        <f aca="false">HYPERLINK("https://pbs.twimg.com/profile_images/900278696942215168/pQBH_Apm_normal.jpg","View")</f>
        <v>View</v>
      </c>
      <c r="P3981" s="10"/>
    </row>
    <row r="3982" customFormat="false" ht="15.75" hidden="false" customHeight="false" outlineLevel="0" collapsed="false">
      <c r="A3982" s="6" t="n">
        <v>43030.5208333333</v>
      </c>
      <c r="B3982" s="7" t="str">
        <f aca="false">HYPERLINK("https://twitter.com/Mohandb","@Mohandb")</f>
        <v>@Mohandb</v>
      </c>
      <c r="C3982" s="8" t="s">
        <v>9641</v>
      </c>
      <c r="D3982" s="8" t="s">
        <v>8538</v>
      </c>
      <c r="E3982" s="9" t="str">
        <f aca="false">HYPERLINK("https://twitter.com/Mohandb/status/922183273589104640","922183273589104640")</f>
        <v>922183273589104640</v>
      </c>
      <c r="F3982" s="10" t="s">
        <v>25</v>
      </c>
      <c r="G3982" s="10" t="n">
        <v>432</v>
      </c>
      <c r="H3982" s="10" t="n">
        <v>250</v>
      </c>
      <c r="I3982" s="10" t="n">
        <v>1015</v>
      </c>
      <c r="J3982" s="10" t="n">
        <v>0</v>
      </c>
      <c r="K3982" s="10" t="s">
        <v>20</v>
      </c>
      <c r="L3982" s="11" t="n">
        <v>39924.0277662037</v>
      </c>
      <c r="M3982" s="12" t="s">
        <v>9642</v>
      </c>
      <c r="N3982" s="12" t="s">
        <v>9643</v>
      </c>
      <c r="O3982" s="9" t="str">
        <f aca="false">HYPERLINK("https://pbs.twimg.com/profile_images/848984297541259264/z2uI_xOF_normal.jpg","View")</f>
        <v>View</v>
      </c>
      <c r="P3982" s="10"/>
    </row>
    <row r="3983" customFormat="false" ht="15.75" hidden="false" customHeight="false" outlineLevel="0" collapsed="false">
      <c r="A3983" s="6" t="n">
        <v>43030.5209259259</v>
      </c>
      <c r="B3983" s="7" t="str">
        <f aca="false">HYPERLINK("https://twitter.com/JohnnyGad","@JohnnyGad")</f>
        <v>@JohnnyGad</v>
      </c>
      <c r="C3983" s="8" t="s">
        <v>9644</v>
      </c>
      <c r="D3983" s="8" t="s">
        <v>8538</v>
      </c>
      <c r="E3983" s="9" t="str">
        <f aca="false">HYPERLINK("https://twitter.com/JohnnyGad/status/922183308968103941","922183308968103941")</f>
        <v>922183308968103941</v>
      </c>
      <c r="F3983" s="10" t="s">
        <v>25</v>
      </c>
      <c r="G3983" s="10" t="n">
        <v>216</v>
      </c>
      <c r="H3983" s="10" t="n">
        <v>134</v>
      </c>
      <c r="I3983" s="10" t="n">
        <v>1015</v>
      </c>
      <c r="J3983" s="10" t="n">
        <v>0</v>
      </c>
      <c r="K3983" s="10" t="s">
        <v>20</v>
      </c>
      <c r="L3983" s="11" t="n">
        <v>39841.6437731481</v>
      </c>
      <c r="M3983" s="12" t="s">
        <v>798</v>
      </c>
      <c r="N3983" s="12"/>
      <c r="O3983" s="9" t="str">
        <f aca="false">HYPERLINK("https://pbs.twimg.com/profile_images/759177957873029120/Km82uX7Y_normal.jpg","View")</f>
        <v>View</v>
      </c>
      <c r="P3983" s="10"/>
    </row>
    <row r="3984" customFormat="false" ht="15.75" hidden="false" customHeight="false" outlineLevel="0" collapsed="false">
      <c r="A3984" s="6" t="n">
        <v>43030.5213078704</v>
      </c>
      <c r="B3984" s="7" t="str">
        <f aca="false">HYPERLINK("https://twitter.com/abcnews","@abcnews")</f>
        <v>@abcnews</v>
      </c>
      <c r="C3984" s="8" t="s">
        <v>9645</v>
      </c>
      <c r="D3984" s="8" t="s">
        <v>9646</v>
      </c>
      <c r="E3984" s="9" t="str">
        <f aca="false">HYPERLINK("https://twitter.com/abcnews/status/922183447485009920","922183447485009920")</f>
        <v>922183447485009920</v>
      </c>
      <c r="F3984" s="10" t="s">
        <v>9647</v>
      </c>
      <c r="G3984" s="10" t="n">
        <v>1399455</v>
      </c>
      <c r="H3984" s="10" t="n">
        <v>1230</v>
      </c>
      <c r="I3984" s="10" t="n">
        <v>6</v>
      </c>
      <c r="J3984" s="10" t="n">
        <v>10</v>
      </c>
      <c r="K3984" s="10" t="s">
        <v>20</v>
      </c>
      <c r="L3984" s="11" t="n">
        <v>39169.8025</v>
      </c>
      <c r="M3984" s="12" t="s">
        <v>1199</v>
      </c>
      <c r="N3984" s="12" t="s">
        <v>9648</v>
      </c>
      <c r="O3984" s="9" t="str">
        <f aca="false">HYPERLINK("https://pbs.twimg.com/profile_images/851166911245107200/4xsqBmY5_normal.jpg","View")</f>
        <v>View</v>
      </c>
      <c r="P3984" s="10"/>
    </row>
    <row r="3985" customFormat="false" ht="15.75" hidden="false" customHeight="false" outlineLevel="0" collapsed="false">
      <c r="A3985" s="6" t="n">
        <v>43030.5213773148</v>
      </c>
      <c r="B3985" s="7" t="str">
        <f aca="false">HYPERLINK("https://twitter.com/RealTimeHack","@RealTimeHack")</f>
        <v>@RealTimeHack</v>
      </c>
      <c r="C3985" s="8" t="s">
        <v>2422</v>
      </c>
      <c r="D3985" s="8" t="s">
        <v>9649</v>
      </c>
      <c r="E3985" s="9" t="str">
        <f aca="false">HYPERLINK("https://twitter.com/RealTimeHack/status/922183471468032002","922183471468032002")</f>
        <v>922183471468032002</v>
      </c>
      <c r="F3985" s="10" t="s">
        <v>60</v>
      </c>
      <c r="G3985" s="10" t="n">
        <v>2184</v>
      </c>
      <c r="H3985" s="10" t="n">
        <v>1282</v>
      </c>
      <c r="I3985" s="10" t="n">
        <v>0</v>
      </c>
      <c r="J3985" s="10" t="n">
        <v>0</v>
      </c>
      <c r="K3985" s="10" t="s">
        <v>20</v>
      </c>
      <c r="L3985" s="11" t="n">
        <v>40641.3992013889</v>
      </c>
      <c r="M3985" s="12" t="s">
        <v>2424</v>
      </c>
      <c r="N3985" s="12" t="s">
        <v>2425</v>
      </c>
      <c r="O3985" s="9" t="str">
        <f aca="false">HYPERLINK("https://pbs.twimg.com/profile_images/1304602852/Nuke_Egg_normal.gif","View")</f>
        <v>View</v>
      </c>
      <c r="P3985" s="10"/>
    </row>
    <row r="3986" customFormat="false" ht="15.75" hidden="false" customHeight="false" outlineLevel="0" collapsed="false">
      <c r="A3986" s="6" t="n">
        <v>43030.5215625</v>
      </c>
      <c r="B3986" s="7" t="str">
        <f aca="false">HYPERLINK("https://twitter.com/vjsingh878","@vjsingh878")</f>
        <v>@vjsingh878</v>
      </c>
      <c r="C3986" s="8" t="s">
        <v>9650</v>
      </c>
      <c r="D3986" s="8" t="s">
        <v>8779</v>
      </c>
      <c r="E3986" s="9" t="str">
        <f aca="false">HYPERLINK("https://twitter.com/vjsingh878/status/922183538635501569","922183538635501569")</f>
        <v>922183538635501569</v>
      </c>
      <c r="F3986" s="10" t="s">
        <v>25</v>
      </c>
      <c r="G3986" s="10" t="n">
        <v>245</v>
      </c>
      <c r="H3986" s="10" t="n">
        <v>120</v>
      </c>
      <c r="I3986" s="10" t="n">
        <v>4</v>
      </c>
      <c r="J3986" s="10" t="n">
        <v>0</v>
      </c>
      <c r="K3986" s="10" t="s">
        <v>20</v>
      </c>
      <c r="L3986" s="11" t="n">
        <v>40729.3774768518</v>
      </c>
      <c r="M3986" s="12" t="s">
        <v>9651</v>
      </c>
      <c r="N3986" s="12"/>
      <c r="O3986" s="9" t="str">
        <f aca="false">HYPERLINK("https://pbs.twimg.com/profile_images/818444800403918848/t3NbLIfe_normal.jpg","View")</f>
        <v>View</v>
      </c>
      <c r="P3986" s="10"/>
    </row>
    <row r="3987" customFormat="false" ht="15.75" hidden="false" customHeight="false" outlineLevel="0" collapsed="false">
      <c r="A3987" s="6" t="n">
        <v>43030.5221064815</v>
      </c>
      <c r="B3987" s="7" t="str">
        <f aca="false">HYPERLINK("https://twitter.com/IndiaNewsGoogle","@IndiaNewsGoogle")</f>
        <v>@IndiaNewsGoogle</v>
      </c>
      <c r="C3987" s="8" t="s">
        <v>9652</v>
      </c>
      <c r="D3987" s="8" t="s">
        <v>9653</v>
      </c>
      <c r="E3987" s="9" t="str">
        <f aca="false">HYPERLINK("https://twitter.com/IndiaNewsGoogle/status/922183734044057601","922183734044057601")</f>
        <v>922183734044057601</v>
      </c>
      <c r="F3987" s="10" t="s">
        <v>55</v>
      </c>
      <c r="G3987" s="10" t="n">
        <v>122</v>
      </c>
      <c r="H3987" s="10" t="n">
        <v>1</v>
      </c>
      <c r="I3987" s="10" t="n">
        <v>0</v>
      </c>
      <c r="J3987" s="10" t="n">
        <v>0</v>
      </c>
      <c r="K3987" s="10" t="s">
        <v>20</v>
      </c>
      <c r="L3987" s="11" t="n">
        <v>41213.9063541667</v>
      </c>
      <c r="M3987" s="12" t="s">
        <v>72</v>
      </c>
      <c r="N3987" s="12" t="s">
        <v>9654</v>
      </c>
      <c r="O3987" s="9" t="str">
        <f aca="false">HYPERLINK("https://pbs.twimg.com/profile_images/821581869087006721/Dk_gaY0A_normal.jpg","View")</f>
        <v>View</v>
      </c>
      <c r="P3987" s="10"/>
    </row>
    <row r="3988" customFormat="false" ht="15.75" hidden="false" customHeight="false" outlineLevel="0" collapsed="false">
      <c r="A3988" s="6" t="n">
        <v>43030.5225115741</v>
      </c>
      <c r="B3988" s="7" t="str">
        <f aca="false">HYPERLINK("https://twitter.com/rpandya72","@rpandya72")</f>
        <v>@rpandya72</v>
      </c>
      <c r="C3988" s="8" t="s">
        <v>9655</v>
      </c>
      <c r="D3988" s="8" t="s">
        <v>8538</v>
      </c>
      <c r="E3988" s="9" t="str">
        <f aca="false">HYPERLINK("https://twitter.com/rpandya72/status/922183883851890688","922183883851890688")</f>
        <v>922183883851890688</v>
      </c>
      <c r="F3988" s="10" t="s">
        <v>25</v>
      </c>
      <c r="G3988" s="10" t="n">
        <v>741</v>
      </c>
      <c r="H3988" s="10" t="n">
        <v>783</v>
      </c>
      <c r="I3988" s="10" t="n">
        <v>1015</v>
      </c>
      <c r="J3988" s="10" t="n">
        <v>0</v>
      </c>
      <c r="K3988" s="10" t="s">
        <v>20</v>
      </c>
      <c r="L3988" s="11" t="n">
        <v>40184.4344328704</v>
      </c>
      <c r="M3988" s="12" t="s">
        <v>9656</v>
      </c>
      <c r="N3988" s="12" t="s">
        <v>9657</v>
      </c>
      <c r="O3988" s="9" t="str">
        <f aca="false">HYPERLINK("https://pbs.twimg.com/profile_images/749300891916832768/1j6CkS3H_normal.jpg","View")</f>
        <v>View</v>
      </c>
      <c r="P3988" s="10"/>
    </row>
    <row r="3989" customFormat="false" ht="15.75" hidden="false" customHeight="false" outlineLevel="0" collapsed="false">
      <c r="A3989" s="6" t="n">
        <v>43030.522662037</v>
      </c>
      <c r="B3989" s="7" t="str">
        <f aca="false">HYPERLINK("https://twitter.com/kanti_salecha","@kanti_salecha")</f>
        <v>@kanti_salecha</v>
      </c>
      <c r="C3989" s="8" t="s">
        <v>9658</v>
      </c>
      <c r="D3989" s="8" t="s">
        <v>8538</v>
      </c>
      <c r="E3989" s="9" t="str">
        <f aca="false">HYPERLINK("https://twitter.com/kanti_salecha/status/922183934586191872","922183934586191872")</f>
        <v>922183934586191872</v>
      </c>
      <c r="F3989" s="10" t="s">
        <v>25</v>
      </c>
      <c r="G3989" s="10" t="n">
        <v>300</v>
      </c>
      <c r="H3989" s="10" t="n">
        <v>712</v>
      </c>
      <c r="I3989" s="10" t="n">
        <v>1015</v>
      </c>
      <c r="J3989" s="10" t="n">
        <v>0</v>
      </c>
      <c r="K3989" s="10" t="s">
        <v>20</v>
      </c>
      <c r="L3989" s="11" t="n">
        <v>41296.3067361111</v>
      </c>
      <c r="M3989" s="12" t="s">
        <v>7434</v>
      </c>
      <c r="N3989" s="12" t="s">
        <v>9659</v>
      </c>
      <c r="O3989" s="9" t="str">
        <f aca="false">HYPERLINK("https://pbs.twimg.com/profile_images/696046640369512448/AldtkC5k_normal.jpg","View")</f>
        <v>View</v>
      </c>
      <c r="P3989" s="10"/>
    </row>
    <row r="3990" customFormat="false" ht="15.75" hidden="false" customHeight="false" outlineLevel="0" collapsed="false">
      <c r="A3990" s="6" t="n">
        <v>43030.5238541667</v>
      </c>
      <c r="B3990" s="7" t="str">
        <f aca="false">HYPERLINK("https://twitter.com/happydreams22","@happydreams22")</f>
        <v>@happydreams22</v>
      </c>
      <c r="C3990" s="8" t="s">
        <v>9660</v>
      </c>
      <c r="D3990" s="8" t="s">
        <v>9661</v>
      </c>
      <c r="E3990" s="9" t="str">
        <f aca="false">HYPERLINK("https://twitter.com/happydreams22/status/922184370538020865","922184370538020865")</f>
        <v>922184370538020865</v>
      </c>
      <c r="F3990" s="10" t="s">
        <v>60</v>
      </c>
      <c r="G3990" s="10" t="n">
        <v>1187</v>
      </c>
      <c r="H3990" s="10" t="n">
        <v>4566</v>
      </c>
      <c r="I3990" s="10" t="n">
        <v>0</v>
      </c>
      <c r="J3990" s="10" t="n">
        <v>0</v>
      </c>
      <c r="K3990" s="10" t="s">
        <v>20</v>
      </c>
      <c r="L3990" s="11" t="n">
        <v>39897.3427546296</v>
      </c>
      <c r="M3990" s="12" t="s">
        <v>4565</v>
      </c>
      <c r="N3990" s="12" t="s">
        <v>9662</v>
      </c>
      <c r="O3990" s="9" t="str">
        <f aca="false">HYPERLINK("https://pbs.twimg.com/profile_images/887081321536868353/GHkn9eAW_normal.jpg","View")</f>
        <v>View</v>
      </c>
      <c r="P3990" s="10"/>
    </row>
    <row r="3991" customFormat="false" ht="15.75" hidden="false" customHeight="false" outlineLevel="0" collapsed="false">
      <c r="A3991" s="6" t="n">
        <v>43030.524849537</v>
      </c>
      <c r="B3991" s="7" t="str">
        <f aca="false">HYPERLINK("https://twitter.com/mcclure111","@mcclure111")</f>
        <v>@mcclure111</v>
      </c>
      <c r="C3991" s="8" t="s">
        <v>9663</v>
      </c>
      <c r="D3991" s="8" t="s">
        <v>9664</v>
      </c>
      <c r="E3991" s="9" t="str">
        <f aca="false">HYPERLINK("https://twitter.com/mcclure111/status/922184727595028485","922184727595028485")</f>
        <v>922184727595028485</v>
      </c>
      <c r="F3991" s="10" t="s">
        <v>39</v>
      </c>
      <c r="G3991" s="10" t="n">
        <v>15570</v>
      </c>
      <c r="H3991" s="10" t="n">
        <v>2740</v>
      </c>
      <c r="I3991" s="10" t="n">
        <v>11</v>
      </c>
      <c r="J3991" s="10" t="n">
        <v>4</v>
      </c>
      <c r="K3991" s="10" t="s">
        <v>20</v>
      </c>
      <c r="L3991" s="11" t="n">
        <v>40700.8474421296</v>
      </c>
      <c r="M3991" s="12"/>
      <c r="N3991" s="12" t="s">
        <v>9665</v>
      </c>
      <c r="O3991" s="9" t="str">
        <f aca="false">HYPERLINK("https://pbs.twimg.com/profile_images/852519442047225857/juzc1JeR_normal.jpg","View")</f>
        <v>View</v>
      </c>
      <c r="P3991" s="10"/>
    </row>
    <row r="3992" customFormat="false" ht="15.75" hidden="false" customHeight="false" outlineLevel="0" collapsed="false">
      <c r="A3992" s="6" t="n">
        <v>43030.525162037</v>
      </c>
      <c r="B3992" s="7" t="str">
        <f aca="false">HYPERLINK("https://twitter.com/yuri_marquis","@yuri_marquis")</f>
        <v>@yuri_marquis</v>
      </c>
      <c r="C3992" s="14" t="s">
        <v>9666</v>
      </c>
      <c r="D3992" s="8" t="s">
        <v>7803</v>
      </c>
      <c r="E3992" s="9" t="str">
        <f aca="false">HYPERLINK("https://twitter.com/yuri_marquis/status/922184842644676608","922184842644676608")</f>
        <v>922184842644676608</v>
      </c>
      <c r="F3992" s="10" t="s">
        <v>39</v>
      </c>
      <c r="G3992" s="10" t="n">
        <v>1555</v>
      </c>
      <c r="H3992" s="10" t="n">
        <v>1310</v>
      </c>
      <c r="I3992" s="10" t="n">
        <v>30</v>
      </c>
      <c r="J3992" s="10" t="n">
        <v>0</v>
      </c>
      <c r="K3992" s="10" t="s">
        <v>20</v>
      </c>
      <c r="L3992" s="11" t="n">
        <v>41165.4849537037</v>
      </c>
      <c r="M3992" s="13" t="s">
        <v>9667</v>
      </c>
      <c r="N3992" s="13" t="s">
        <v>9668</v>
      </c>
      <c r="O3992" s="9" t="str">
        <f aca="false">HYPERLINK("https://pbs.twimg.com/profile_images/877604728099684352/xX-_mrdA_normal.jpg","View")</f>
        <v>View</v>
      </c>
      <c r="P3992" s="10"/>
    </row>
    <row r="3993" customFormat="false" ht="15.75" hidden="false" customHeight="false" outlineLevel="0" collapsed="false">
      <c r="A3993" s="6" t="n">
        <v>43030.5252430556</v>
      </c>
      <c r="B3993" s="7" t="str">
        <f aca="false">HYPERLINK("https://twitter.com/owlsparliament","@owlsparliament")</f>
        <v>@owlsparliament</v>
      </c>
      <c r="C3993" s="8" t="s">
        <v>9669</v>
      </c>
      <c r="D3993" s="8" t="s">
        <v>9670</v>
      </c>
      <c r="E3993" s="9" t="str">
        <f aca="false">HYPERLINK("https://twitter.com/owlsparliament/status/922184873871372289","922184873871372289")</f>
        <v>922184873871372289</v>
      </c>
      <c r="F3993" s="10" t="s">
        <v>276</v>
      </c>
      <c r="G3993" s="10" t="n">
        <v>266</v>
      </c>
      <c r="H3993" s="10" t="n">
        <v>527</v>
      </c>
      <c r="I3993" s="10" t="n">
        <v>11</v>
      </c>
      <c r="J3993" s="10" t="n">
        <v>0</v>
      </c>
      <c r="K3993" s="10" t="s">
        <v>20</v>
      </c>
      <c r="L3993" s="11" t="n">
        <v>39604.2442939815</v>
      </c>
      <c r="M3993" s="12"/>
      <c r="N3993" s="12" t="s">
        <v>9671</v>
      </c>
      <c r="O3993" s="9" t="str">
        <f aca="false">HYPERLINK("https://pbs.twimg.com/profile_images/649634494522109952/fL10voak_normal.png","View")</f>
        <v>View</v>
      </c>
      <c r="P3993" s="10"/>
    </row>
    <row r="3994" customFormat="false" ht="15.75" hidden="false" customHeight="false" outlineLevel="0" collapsed="false">
      <c r="A3994" s="6" t="n">
        <v>43030.5252777778</v>
      </c>
      <c r="B3994" s="7" t="str">
        <f aca="false">HYPERLINK("https://twitter.com/MaryJones7","@MaryJones7")</f>
        <v>@MaryJones7</v>
      </c>
      <c r="C3994" s="8" t="s">
        <v>9672</v>
      </c>
      <c r="D3994" s="8" t="s">
        <v>9673</v>
      </c>
      <c r="E3994" s="9" t="str">
        <f aca="false">HYPERLINK("https://twitter.com/MaryJones7/status/922184882905743360","922184882905743360")</f>
        <v>922184882905743360</v>
      </c>
      <c r="F3994" s="10" t="s">
        <v>177</v>
      </c>
      <c r="G3994" s="10" t="n">
        <v>1626</v>
      </c>
      <c r="H3994" s="10" t="n">
        <v>2702</v>
      </c>
      <c r="I3994" s="10" t="n">
        <v>6</v>
      </c>
      <c r="J3994" s="10" t="n">
        <v>0</v>
      </c>
      <c r="K3994" s="10" t="s">
        <v>20</v>
      </c>
      <c r="L3994" s="11" t="n">
        <v>40655.8867708333</v>
      </c>
      <c r="M3994" s="12" t="s">
        <v>2487</v>
      </c>
      <c r="N3994" s="12" t="s">
        <v>9674</v>
      </c>
      <c r="O3994" s="9" t="str">
        <f aca="false">HYPERLINK("https://pbs.twimg.com/profile_images/788282178681475072/lw2NHIt-_normal.jpg","View")</f>
        <v>View</v>
      </c>
      <c r="P3994" s="10"/>
    </row>
    <row r="3995" customFormat="false" ht="15.75" hidden="false" customHeight="false" outlineLevel="0" collapsed="false">
      <c r="A3995" s="6" t="n">
        <v>43030.5253009259</v>
      </c>
      <c r="B3995" s="7" t="str">
        <f aca="false">HYPERLINK("https://twitter.com/gopsec2","@gopsec2")</f>
        <v>@gopsec2</v>
      </c>
      <c r="C3995" s="8" t="s">
        <v>9675</v>
      </c>
      <c r="D3995" s="8" t="s">
        <v>8538</v>
      </c>
      <c r="E3995" s="9" t="str">
        <f aca="false">HYPERLINK("https://twitter.com/gopsec2/status/922184892787564544","922184892787564544")</f>
        <v>922184892787564544</v>
      </c>
      <c r="F3995" s="10" t="s">
        <v>25</v>
      </c>
      <c r="G3995" s="10" t="n">
        <v>352</v>
      </c>
      <c r="H3995" s="10" t="n">
        <v>1038</v>
      </c>
      <c r="I3995" s="10" t="n">
        <v>1015</v>
      </c>
      <c r="J3995" s="10" t="n">
        <v>0</v>
      </c>
      <c r="K3995" s="10" t="s">
        <v>20</v>
      </c>
      <c r="L3995" s="11" t="n">
        <v>42026.8206134259</v>
      </c>
      <c r="M3995" s="12"/>
      <c r="N3995" s="12"/>
      <c r="O3995" s="9" t="str">
        <f aca="false">HYPERLINK("https://pbs.twimg.com/profile_images/558469843272224771/aZU1ICfi_normal.jpeg","View")</f>
        <v>View</v>
      </c>
      <c r="P3995" s="10"/>
    </row>
    <row r="3996" customFormat="false" ht="15.75" hidden="false" customHeight="false" outlineLevel="0" collapsed="false">
      <c r="A3996" s="6" t="n">
        <v>43030.5254398148</v>
      </c>
      <c r="B3996" s="7" t="str">
        <f aca="false">HYPERLINK("https://twitter.com/Worldnews_top","@Worldnews_top")</f>
        <v>@Worldnews_top</v>
      </c>
      <c r="C3996" s="8" t="s">
        <v>9676</v>
      </c>
      <c r="D3996" s="8" t="s">
        <v>9677</v>
      </c>
      <c r="E3996" s="9" t="str">
        <f aca="false">HYPERLINK("https://twitter.com/Worldnews_top/status/922184944293728256","922184944293728256")</f>
        <v>922184944293728256</v>
      </c>
      <c r="F3996" s="10" t="s">
        <v>60</v>
      </c>
      <c r="G3996" s="10" t="n">
        <v>1276</v>
      </c>
      <c r="H3996" s="10" t="n">
        <v>0</v>
      </c>
      <c r="I3996" s="10" t="n">
        <v>0</v>
      </c>
      <c r="J3996" s="10" t="n">
        <v>0</v>
      </c>
      <c r="K3996" s="10" t="s">
        <v>20</v>
      </c>
      <c r="L3996" s="11" t="n">
        <v>41708.288599537</v>
      </c>
      <c r="M3996" s="12" t="s">
        <v>2102</v>
      </c>
      <c r="N3996" s="12" t="s">
        <v>9678</v>
      </c>
      <c r="O3996" s="9" t="str">
        <f aca="false">HYPERLINK("https://pbs.twimg.com/profile_images/443033125124198400/I3u-9cWC_normal.jpeg","View")</f>
        <v>View</v>
      </c>
      <c r="P3996" s="10"/>
    </row>
    <row r="3997" customFormat="false" ht="15.75" hidden="false" customHeight="false" outlineLevel="0" collapsed="false">
      <c r="A3997" s="6" t="n">
        <v>43030.5257175926</v>
      </c>
      <c r="B3997" s="7" t="str">
        <f aca="false">HYPERLINK("https://twitter.com/Beingfarooqh","@Beingfarooqh")</f>
        <v>@Beingfarooqh</v>
      </c>
      <c r="C3997" s="8" t="s">
        <v>9679</v>
      </c>
      <c r="D3997" s="8" t="s">
        <v>24</v>
      </c>
      <c r="E3997" s="9" t="str">
        <f aca="false">HYPERLINK("https://twitter.com/Beingfarooqh/status/922185045606985728","922185045606985728")</f>
        <v>922185045606985728</v>
      </c>
      <c r="F3997" s="10" t="s">
        <v>25</v>
      </c>
      <c r="G3997" s="10" t="n">
        <v>82</v>
      </c>
      <c r="H3997" s="10" t="n">
        <v>73</v>
      </c>
      <c r="I3997" s="10" t="n">
        <v>51</v>
      </c>
      <c r="J3997" s="10" t="n">
        <v>0</v>
      </c>
      <c r="K3997" s="10" t="s">
        <v>20</v>
      </c>
      <c r="L3997" s="11" t="n">
        <v>40287.0854861111</v>
      </c>
      <c r="M3997" s="12" t="s">
        <v>72</v>
      </c>
      <c r="N3997" s="12" t="s">
        <v>9680</v>
      </c>
      <c r="O3997" s="9" t="str">
        <f aca="false">HYPERLINK("https://pbs.twimg.com/profile_images/834465190498365440/mnlk7M2D_normal.jpg","View")</f>
        <v>View</v>
      </c>
      <c r="P3997" s="10"/>
    </row>
    <row r="3998" customFormat="false" ht="15.75" hidden="false" customHeight="false" outlineLevel="0" collapsed="false">
      <c r="A3998" s="6" t="n">
        <v>43030.5258680556</v>
      </c>
      <c r="B3998" s="7" t="str">
        <f aca="false">HYPERLINK("https://twitter.com/MadelineAshby","@MadelineAshby")</f>
        <v>@MadelineAshby</v>
      </c>
      <c r="C3998" s="8" t="s">
        <v>9681</v>
      </c>
      <c r="D3998" s="8" t="s">
        <v>9670</v>
      </c>
      <c r="E3998" s="9" t="str">
        <f aca="false">HYPERLINK("https://twitter.com/MadelineAshby/status/922185100237864960","922185100237864960")</f>
        <v>922185100237864960</v>
      </c>
      <c r="F3998" s="10" t="s">
        <v>39</v>
      </c>
      <c r="G3998" s="10" t="n">
        <v>4487</v>
      </c>
      <c r="H3998" s="10" t="n">
        <v>698</v>
      </c>
      <c r="I3998" s="10" t="n">
        <v>11</v>
      </c>
      <c r="J3998" s="10" t="n">
        <v>0</v>
      </c>
      <c r="K3998" s="10" t="s">
        <v>20</v>
      </c>
      <c r="L3998" s="11" t="n">
        <v>39922.6627430556</v>
      </c>
      <c r="M3998" s="12" t="s">
        <v>9682</v>
      </c>
      <c r="N3998" s="12" t="s">
        <v>9683</v>
      </c>
      <c r="O3998" s="9" t="str">
        <f aca="false">HYPERLINK("https://pbs.twimg.com/profile_images/837807223728406528/FKyetnXr_normal.jpg","View")</f>
        <v>View</v>
      </c>
      <c r="P3998" s="10"/>
    </row>
    <row r="3999" customFormat="false" ht="15.75" hidden="false" customHeight="false" outlineLevel="0" collapsed="false">
      <c r="A3999" s="6" t="n">
        <v>43030.5267592593</v>
      </c>
      <c r="B3999" s="7" t="str">
        <f aca="false">HYPERLINK("https://twitter.com/OZnewsJapan","@OZnewsJapan")</f>
        <v>@OZnewsJapan</v>
      </c>
      <c r="C3999" s="8" t="s">
        <v>9684</v>
      </c>
      <c r="D3999" s="8" t="s">
        <v>9685</v>
      </c>
      <c r="E3999" s="9" t="str">
        <f aca="false">HYPERLINK("https://twitter.com/OZnewsJapan/status/922185420015779840","922185420015779840")</f>
        <v>922185420015779840</v>
      </c>
      <c r="F3999" s="9" t="s">
        <v>1147</v>
      </c>
      <c r="G3999" s="10" t="n">
        <v>8</v>
      </c>
      <c r="H3999" s="10" t="n">
        <v>0</v>
      </c>
      <c r="I3999" s="10" t="n">
        <v>0</v>
      </c>
      <c r="J3999" s="10" t="n">
        <v>0</v>
      </c>
      <c r="K3999" s="10" t="s">
        <v>20</v>
      </c>
      <c r="L3999" s="11" t="n">
        <v>40855.0989467593</v>
      </c>
      <c r="M3999" s="12"/>
      <c r="N3999" s="12" t="s">
        <v>9686</v>
      </c>
      <c r="O3999" s="9" t="str">
        <f aca="false">HYPERLINK("https://abs.twimg.com/sticky/default_profile_images/default_profile_normal.png","View")</f>
        <v>View</v>
      </c>
      <c r="P3999" s="10"/>
    </row>
    <row r="4000" customFormat="false" ht="15.75" hidden="false" customHeight="false" outlineLevel="0" collapsed="false">
      <c r="A4000" s="6" t="n">
        <v>43030.5275925926</v>
      </c>
      <c r="B4000" s="7" t="str">
        <f aca="false">HYPERLINK("https://twitter.com/doctorcdf","@doctorcdf")</f>
        <v>@doctorcdf</v>
      </c>
      <c r="C4000" s="8" t="s">
        <v>9687</v>
      </c>
      <c r="D4000" s="8" t="s">
        <v>9688</v>
      </c>
      <c r="E4000" s="9" t="str">
        <f aca="false">HYPERLINK("https://twitter.com/doctorcdf/status/922185725008924673","922185725008924673")</f>
        <v>922185725008924673</v>
      </c>
      <c r="F4000" s="10" t="s">
        <v>51</v>
      </c>
      <c r="G4000" s="10" t="n">
        <v>7799</v>
      </c>
      <c r="H4000" s="10" t="n">
        <v>7781</v>
      </c>
      <c r="I4000" s="10" t="n">
        <v>2</v>
      </c>
      <c r="J4000" s="10" t="n">
        <v>1</v>
      </c>
      <c r="K4000" s="10" t="s">
        <v>20</v>
      </c>
      <c r="L4000" s="11" t="n">
        <v>40205.0498148148</v>
      </c>
      <c r="M4000" s="12" t="s">
        <v>9689</v>
      </c>
      <c r="N4000" s="12" t="s">
        <v>9690</v>
      </c>
      <c r="O4000" s="9" t="str">
        <f aca="false">HYPERLINK("https://pbs.twimg.com/profile_images/885240540417208320/ooGymQlZ_normal.jpg","View")</f>
        <v>View</v>
      </c>
      <c r="P4000" s="10"/>
    </row>
    <row r="4001" customFormat="false" ht="15.75" hidden="false" customHeight="false" outlineLevel="0" collapsed="false">
      <c r="A4001" s="6" t="n">
        <v>43030.5278472222</v>
      </c>
      <c r="B4001" s="7" t="str">
        <f aca="false">HYPERLINK("https://twitter.com/Daily_Express","@Daily_Express")</f>
        <v>@Daily_Express</v>
      </c>
      <c r="C4001" s="8" t="s">
        <v>7617</v>
      </c>
      <c r="D4001" s="8" t="s">
        <v>9691</v>
      </c>
      <c r="E4001" s="9" t="str">
        <f aca="false">HYPERLINK("https://twitter.com/Daily_Express/status/922185817702981632","922185817702981632")</f>
        <v>922185817702981632</v>
      </c>
      <c r="F4001" s="10" t="s">
        <v>1167</v>
      </c>
      <c r="G4001" s="10" t="n">
        <v>691214</v>
      </c>
      <c r="H4001" s="10" t="n">
        <v>529</v>
      </c>
      <c r="I4001" s="10" t="n">
        <v>7</v>
      </c>
      <c r="J4001" s="10" t="n">
        <v>5</v>
      </c>
      <c r="K4001" s="10" t="s">
        <v>20</v>
      </c>
      <c r="L4001" s="11" t="n">
        <v>39787.1706944444</v>
      </c>
      <c r="M4001" s="12" t="s">
        <v>893</v>
      </c>
      <c r="N4001" s="12" t="s">
        <v>7619</v>
      </c>
      <c r="O4001" s="9" t="str">
        <f aca="false">HYPERLINK("https://pbs.twimg.com/profile_images/915525294978666496/ALgq4U5j_normal.jpg","View")</f>
        <v>View</v>
      </c>
      <c r="P4001" s="10"/>
    </row>
    <row r="4002" customFormat="false" ht="15.75" hidden="false" customHeight="false" outlineLevel="0" collapsed="false">
      <c r="A4002" s="6" t="n">
        <v>43030.5279513889</v>
      </c>
      <c r="B4002" s="7" t="str">
        <f aca="false">HYPERLINK("https://twitter.com/realchadhudson","@realchadhudson")</f>
        <v>@realchadhudson</v>
      </c>
      <c r="C4002" s="8" t="s">
        <v>9692</v>
      </c>
      <c r="D4002" s="8" t="s">
        <v>9205</v>
      </c>
      <c r="E4002" s="9" t="str">
        <f aca="false">HYPERLINK("https://twitter.com/realchadhudson/status/922185851702005761","922185851702005761")</f>
        <v>922185851702005761</v>
      </c>
      <c r="F4002" s="10" t="s">
        <v>51</v>
      </c>
      <c r="G4002" s="10" t="n">
        <v>1120</v>
      </c>
      <c r="H4002" s="10" t="n">
        <v>4995</v>
      </c>
      <c r="I4002" s="10" t="n">
        <v>6</v>
      </c>
      <c r="J4002" s="10" t="n">
        <v>0</v>
      </c>
      <c r="K4002" s="10" t="s">
        <v>20</v>
      </c>
      <c r="L4002" s="11" t="n">
        <v>42595.4148032407</v>
      </c>
      <c r="M4002" s="12" t="s">
        <v>9693</v>
      </c>
      <c r="N4002" s="12" t="s">
        <v>9694</v>
      </c>
      <c r="O4002" s="9" t="str">
        <f aca="false">HYPERLINK("https://pbs.twimg.com/profile_images/900155270655094785/q6mf4vSQ_normal.jpg","View")</f>
        <v>View</v>
      </c>
      <c r="P4002" s="10"/>
    </row>
    <row r="4003" customFormat="false" ht="15.75" hidden="false" customHeight="false" outlineLevel="0" collapsed="false">
      <c r="A4003" s="6" t="n">
        <v>43030.5282291667</v>
      </c>
      <c r="B4003" s="7" t="str">
        <f aca="false">HYPERLINK("https://twitter.com/ShakilAhmed_2","@ShakilAhmed_2")</f>
        <v>@ShakilAhmed_2</v>
      </c>
      <c r="C4003" s="8" t="s">
        <v>9695</v>
      </c>
      <c r="D4003" s="8" t="s">
        <v>9696</v>
      </c>
      <c r="E4003" s="9" t="str">
        <f aca="false">HYPERLINK("https://twitter.com/ShakilAhmed_2/status/922185955154513920","922185955154513920")</f>
        <v>922185955154513920</v>
      </c>
      <c r="F4003" s="10" t="s">
        <v>39</v>
      </c>
      <c r="G4003" s="10" t="n">
        <v>35</v>
      </c>
      <c r="H4003" s="10" t="n">
        <v>125</v>
      </c>
      <c r="I4003" s="10" t="n">
        <v>7</v>
      </c>
      <c r="J4003" s="10" t="n">
        <v>0</v>
      </c>
      <c r="K4003" s="10" t="s">
        <v>20</v>
      </c>
      <c r="L4003" s="11" t="n">
        <v>43024.7723263889</v>
      </c>
      <c r="M4003" s="12" t="s">
        <v>7114</v>
      </c>
      <c r="N4003" s="12" t="s">
        <v>9697</v>
      </c>
      <c r="O4003" s="9" t="str">
        <f aca="false">HYPERLINK("https://pbs.twimg.com/profile_images/921580212516806656/Xi1EqSeV_normal.jpg","View")</f>
        <v>View</v>
      </c>
      <c r="P4003" s="10"/>
    </row>
    <row r="4004" customFormat="false" ht="15.75" hidden="false" customHeight="false" outlineLevel="0" collapsed="false">
      <c r="A4004" s="6" t="n">
        <v>43030.5282407407</v>
      </c>
      <c r="B4004" s="7" t="str">
        <f aca="false">HYPERLINK("https://twitter.com/Rameshwarhindu","@Rameshwarhindu")</f>
        <v>@Rameshwarhindu</v>
      </c>
      <c r="C4004" s="8" t="s">
        <v>9698</v>
      </c>
      <c r="D4004" s="8" t="s">
        <v>8538</v>
      </c>
      <c r="E4004" s="9" t="str">
        <f aca="false">HYPERLINK("https://twitter.com/Rameshwarhindu/status/922185960032538624","922185960032538624")</f>
        <v>922185960032538624</v>
      </c>
      <c r="F4004" s="10" t="s">
        <v>39</v>
      </c>
      <c r="G4004" s="10" t="n">
        <v>25</v>
      </c>
      <c r="H4004" s="10" t="n">
        <v>118</v>
      </c>
      <c r="I4004" s="10" t="n">
        <v>1015</v>
      </c>
      <c r="J4004" s="10" t="n">
        <v>0</v>
      </c>
      <c r="K4004" s="10" t="s">
        <v>20</v>
      </c>
      <c r="L4004" s="11" t="n">
        <v>40373.7586111111</v>
      </c>
      <c r="M4004" s="12"/>
      <c r="N4004" s="12"/>
      <c r="O4004" s="9" t="str">
        <f aca="false">HYPERLINK("https://abs.twimg.com/sticky/default_profile_images/default_profile_normal.png","View")</f>
        <v>View</v>
      </c>
      <c r="P4004" s="10"/>
    </row>
    <row r="4005" customFormat="false" ht="15.75" hidden="false" customHeight="false" outlineLevel="0" collapsed="false">
      <c r="A4005" s="6" t="n">
        <v>43030.5282638889</v>
      </c>
      <c r="B4005" s="7" t="str">
        <f aca="false">HYPERLINK("https://twitter.com/JoshuaBurr","@JoshuaBurr")</f>
        <v>@JoshuaBurr</v>
      </c>
      <c r="C4005" s="8" t="s">
        <v>9699</v>
      </c>
      <c r="D4005" s="8" t="s">
        <v>9700</v>
      </c>
      <c r="E4005" s="9" t="str">
        <f aca="false">HYPERLINK("https://twitter.com/JoshuaBurr/status/922185968219717633","922185968219717633")</f>
        <v>922185968219717633</v>
      </c>
      <c r="F4005" s="10" t="s">
        <v>51</v>
      </c>
      <c r="G4005" s="10" t="n">
        <v>654</v>
      </c>
      <c r="H4005" s="10" t="n">
        <v>2021</v>
      </c>
      <c r="I4005" s="10" t="n">
        <v>2</v>
      </c>
      <c r="J4005" s="10" t="n">
        <v>0</v>
      </c>
      <c r="K4005" s="10" t="s">
        <v>20</v>
      </c>
      <c r="L4005" s="11" t="n">
        <v>40774.4557291667</v>
      </c>
      <c r="M4005" s="12" t="s">
        <v>9701</v>
      </c>
      <c r="N4005" s="12" t="s">
        <v>9702</v>
      </c>
      <c r="O4005" s="9" t="str">
        <f aca="false">HYPERLINK("https://pbs.twimg.com/profile_images/916278818469568513/U_EqpYyb_normal.jpg","View")</f>
        <v>View</v>
      </c>
      <c r="P4005" s="10"/>
    </row>
    <row r="4006" customFormat="false" ht="15.75" hidden="false" customHeight="false" outlineLevel="0" collapsed="false">
      <c r="A4006" s="6" t="n">
        <v>43030.5284953704</v>
      </c>
      <c r="B4006" s="7" t="str">
        <f aca="false">HYPERLINK("https://twitter.com/ahmed","@ahmed")</f>
        <v>@ahmed</v>
      </c>
      <c r="C4006" s="8" t="s">
        <v>9703</v>
      </c>
      <c r="D4006" s="8" t="s">
        <v>9704</v>
      </c>
      <c r="E4006" s="9" t="str">
        <f aca="false">HYPERLINK("https://twitter.com/ahmed/status/922186049400455169","922186049400455169")</f>
        <v>922186049400455169</v>
      </c>
      <c r="F4006" s="10" t="s">
        <v>276</v>
      </c>
      <c r="G4006" s="10" t="n">
        <v>127477</v>
      </c>
      <c r="H4006" s="10" t="n">
        <v>1947</v>
      </c>
      <c r="I4006" s="10" t="n">
        <v>9</v>
      </c>
      <c r="J4006" s="10" t="n">
        <v>6</v>
      </c>
      <c r="K4006" s="10" t="s">
        <v>20</v>
      </c>
      <c r="L4006" s="11" t="n">
        <v>38963.7209722222</v>
      </c>
      <c r="M4006" s="12" t="s">
        <v>3269</v>
      </c>
      <c r="N4006" s="12" t="s">
        <v>9705</v>
      </c>
      <c r="O4006" s="9" t="str">
        <f aca="false">HYPERLINK("https://pbs.twimg.com/profile_images/922138136490020865/WHm4f-cU_normal.jpg","View")</f>
        <v>View</v>
      </c>
      <c r="P4006" s="10"/>
    </row>
    <row r="4007" customFormat="false" ht="15.75" hidden="false" customHeight="false" outlineLevel="0" collapsed="false">
      <c r="A4007" s="6" t="n">
        <v>43030.5285416667</v>
      </c>
      <c r="B4007" s="7" t="str">
        <f aca="false">HYPERLINK("https://twitter.com/nageshbabukb","@nageshbabukb")</f>
        <v>@nageshbabukb</v>
      </c>
      <c r="C4007" s="8" t="s">
        <v>9706</v>
      </c>
      <c r="D4007" s="8" t="s">
        <v>8538</v>
      </c>
      <c r="E4007" s="9" t="str">
        <f aca="false">HYPERLINK("https://twitter.com/nageshbabukb/status/922186065275998210","922186065275998210")</f>
        <v>922186065275998210</v>
      </c>
      <c r="F4007" s="10" t="s">
        <v>51</v>
      </c>
      <c r="G4007" s="10" t="n">
        <v>1106</v>
      </c>
      <c r="H4007" s="10" t="n">
        <v>3938</v>
      </c>
      <c r="I4007" s="10" t="n">
        <v>1015</v>
      </c>
      <c r="J4007" s="10" t="n">
        <v>0</v>
      </c>
      <c r="K4007" s="10" t="s">
        <v>20</v>
      </c>
      <c r="L4007" s="11" t="n">
        <v>41303.7726388889</v>
      </c>
      <c r="M4007" s="12"/>
      <c r="N4007" s="12" t="s">
        <v>9707</v>
      </c>
      <c r="O4007" s="9" t="str">
        <f aca="false">HYPERLINK("https://pbs.twimg.com/profile_images/919479152172060672/dfMPqtZU_normal.jpg","View")</f>
        <v>View</v>
      </c>
      <c r="P4007" s="10"/>
    </row>
    <row r="4008" customFormat="false" ht="15.75" hidden="false" customHeight="false" outlineLevel="0" collapsed="false">
      <c r="A4008" s="6" t="n">
        <v>43030.5291550926</v>
      </c>
      <c r="B4008" s="7" t="str">
        <f aca="false">HYPERLINK("https://twitter.com/breakingknowlez","@breakingknowlez")</f>
        <v>@breakingknowlez</v>
      </c>
      <c r="C4008" s="8" t="s">
        <v>9708</v>
      </c>
      <c r="D4008" s="8" t="s">
        <v>9709</v>
      </c>
      <c r="E4008" s="9" t="str">
        <f aca="false">HYPERLINK("https://twitter.com/breakingknowlez/status/922186287825739776","922186287825739776")</f>
        <v>922186287825739776</v>
      </c>
      <c r="F4008" s="10" t="s">
        <v>55</v>
      </c>
      <c r="G4008" s="10" t="n">
        <v>379</v>
      </c>
      <c r="H4008" s="10" t="n">
        <v>100</v>
      </c>
      <c r="I4008" s="10" t="n">
        <v>0</v>
      </c>
      <c r="J4008" s="10" t="n">
        <v>1</v>
      </c>
      <c r="K4008" s="10" t="s">
        <v>20</v>
      </c>
      <c r="L4008" s="11" t="n">
        <v>41087.2706134259</v>
      </c>
      <c r="M4008" s="12" t="s">
        <v>7434</v>
      </c>
      <c r="N4008" s="12" t="s">
        <v>9710</v>
      </c>
      <c r="O4008" s="9" t="str">
        <f aca="false">HYPERLINK("https://pbs.twimg.com/profile_images/665966096663506944/cBf1Cg_c_normal.png","View")</f>
        <v>View</v>
      </c>
      <c r="P4008" s="10"/>
    </row>
    <row r="4009" customFormat="false" ht="15.75" hidden="false" customHeight="false" outlineLevel="0" collapsed="false">
      <c r="A4009" s="6" t="n">
        <v>43030.5291898148</v>
      </c>
      <c r="B4009" s="7" t="str">
        <f aca="false">HYPERLINK("https://twitter.com/ShapeshiftR9","@ShapeshiftR9")</f>
        <v>@ShapeshiftR9</v>
      </c>
      <c r="C4009" s="8" t="s">
        <v>9711</v>
      </c>
      <c r="D4009" s="8" t="s">
        <v>9432</v>
      </c>
      <c r="E4009" s="9" t="str">
        <f aca="false">HYPERLINK("https://twitter.com/ShapeshiftR9/status/922186304019865600","922186304019865600")</f>
        <v>922186304019865600</v>
      </c>
      <c r="F4009" s="10" t="s">
        <v>276</v>
      </c>
      <c r="G4009" s="10" t="n">
        <v>280</v>
      </c>
      <c r="H4009" s="10" t="n">
        <v>294</v>
      </c>
      <c r="I4009" s="10" t="n">
        <v>6</v>
      </c>
      <c r="J4009" s="10" t="n">
        <v>0</v>
      </c>
      <c r="K4009" s="10" t="s">
        <v>20</v>
      </c>
      <c r="L4009" s="11" t="n">
        <v>40001.6924074074</v>
      </c>
      <c r="M4009" s="12" t="s">
        <v>9712</v>
      </c>
      <c r="N4009" s="12" t="s">
        <v>9713</v>
      </c>
      <c r="O4009" s="9" t="str">
        <f aca="false">HYPERLINK("https://pbs.twimg.com/profile_images/829144409698508801/zQL0Og9k_normal.jpg","View")</f>
        <v>View</v>
      </c>
      <c r="P4009" s="10"/>
    </row>
    <row r="4010" customFormat="false" ht="15.75" hidden="false" customHeight="false" outlineLevel="0" collapsed="false">
      <c r="A4010" s="6" t="n">
        <v>43030.5292824074</v>
      </c>
      <c r="B4010" s="7" t="str">
        <f aca="false">HYPERLINK("https://twitter.com/DogFarley32","@DogFarley32")</f>
        <v>@DogFarley32</v>
      </c>
      <c r="C4010" s="8" t="s">
        <v>2531</v>
      </c>
      <c r="D4010" s="8" t="s">
        <v>9696</v>
      </c>
      <c r="E4010" s="9" t="str">
        <f aca="false">HYPERLINK("https://twitter.com/DogFarley32/status/922186333686194176","922186333686194176")</f>
        <v>922186333686194176</v>
      </c>
      <c r="F4010" s="10" t="s">
        <v>25</v>
      </c>
      <c r="G4010" s="10" t="n">
        <v>297</v>
      </c>
      <c r="H4010" s="10" t="n">
        <v>1962</v>
      </c>
      <c r="I4010" s="10" t="n">
        <v>7</v>
      </c>
      <c r="J4010" s="10" t="n">
        <v>0</v>
      </c>
      <c r="K4010" s="10" t="s">
        <v>20</v>
      </c>
      <c r="L4010" s="11" t="n">
        <v>41733.4151157407</v>
      </c>
      <c r="M4010" s="12" t="s">
        <v>230</v>
      </c>
      <c r="N4010" s="12" t="s">
        <v>2532</v>
      </c>
      <c r="O4010" s="9" t="str">
        <f aca="false">HYPERLINK("https://pbs.twimg.com/profile_images/759020646852546561/xrDOZASQ_normal.jpg","View")</f>
        <v>View</v>
      </c>
      <c r="P4010" s="10"/>
    </row>
    <row r="4011" customFormat="false" ht="15.75" hidden="false" customHeight="false" outlineLevel="0" collapsed="false">
      <c r="A4011" s="6" t="n">
        <v>43030.5296180556</v>
      </c>
      <c r="B4011" s="7" t="str">
        <f aca="false">HYPERLINK("https://twitter.com/NamVietNetwork","@NamVietNetwork")</f>
        <v>@NamVietNetwork</v>
      </c>
      <c r="C4011" s="8" t="s">
        <v>2489</v>
      </c>
      <c r="D4011" s="8" t="s">
        <v>9714</v>
      </c>
      <c r="E4011" s="9" t="str">
        <f aca="false">HYPERLINK("https://twitter.com/NamVietNetwork/status/922186458424897537","922186458424897537")</f>
        <v>922186458424897537</v>
      </c>
      <c r="F4011" s="10" t="s">
        <v>55</v>
      </c>
      <c r="G4011" s="10" t="n">
        <v>1540</v>
      </c>
      <c r="H4011" s="10" t="n">
        <v>147</v>
      </c>
      <c r="I4011" s="10" t="n">
        <v>0</v>
      </c>
      <c r="J4011" s="10" t="n">
        <v>0</v>
      </c>
      <c r="K4011" s="10" t="s">
        <v>20</v>
      </c>
      <c r="L4011" s="11" t="n">
        <v>40189.0717476852</v>
      </c>
      <c r="M4011" s="12" t="s">
        <v>2491</v>
      </c>
      <c r="N4011" s="12" t="s">
        <v>2492</v>
      </c>
      <c r="O4011" s="9" t="str">
        <f aca="false">HYPERLINK("https://pbs.twimg.com/profile_images/2509866256/6fjgs8rtts7014kqe70t_normal.jpeg","View")</f>
        <v>View</v>
      </c>
      <c r="P4011" s="10"/>
    </row>
    <row r="4012" customFormat="false" ht="15.75" hidden="false" customHeight="false" outlineLevel="0" collapsed="false">
      <c r="A4012" s="6" t="n">
        <v>43030.5303356481</v>
      </c>
      <c r="B4012" s="7" t="str">
        <f aca="false">HYPERLINK("https://twitter.com/Cokemanu","@Cokemanu")</f>
        <v>@Cokemanu</v>
      </c>
      <c r="C4012" s="8" t="s">
        <v>9715</v>
      </c>
      <c r="D4012" s="8" t="s">
        <v>4984</v>
      </c>
      <c r="E4012" s="9" t="str">
        <f aca="false">HYPERLINK("https://twitter.com/Cokemanu/status/922186717687308288","922186717687308288")</f>
        <v>922186717687308288</v>
      </c>
      <c r="F4012" s="10" t="s">
        <v>25</v>
      </c>
      <c r="G4012" s="10" t="n">
        <v>224</v>
      </c>
      <c r="H4012" s="10" t="n">
        <v>405</v>
      </c>
      <c r="I4012" s="10" t="n">
        <v>187</v>
      </c>
      <c r="J4012" s="10" t="n">
        <v>0</v>
      </c>
      <c r="K4012" s="10" t="s">
        <v>20</v>
      </c>
      <c r="L4012" s="11" t="n">
        <v>40004.3272685185</v>
      </c>
      <c r="M4012" s="12" t="s">
        <v>87</v>
      </c>
      <c r="N4012" s="12" t="s">
        <v>9716</v>
      </c>
      <c r="O4012" s="9" t="str">
        <f aca="false">HYPERLINK("https://pbs.twimg.com/profile_images/791478173233848320/s3E6_9xI_normal.jpg","View")</f>
        <v>View</v>
      </c>
      <c r="P4012" s="10"/>
    </row>
    <row r="4013" customFormat="false" ht="15.75" hidden="false" customHeight="false" outlineLevel="0" collapsed="false">
      <c r="A4013" s="6" t="n">
        <v>43030.5305671296</v>
      </c>
      <c r="B4013" s="7" t="str">
        <f aca="false">HYPERLINK("https://twitter.com/tabithasabater3","@tabithasabater3")</f>
        <v>@tabithasabater3</v>
      </c>
      <c r="C4013" s="8" t="s">
        <v>9717</v>
      </c>
      <c r="D4013" s="8" t="s">
        <v>9718</v>
      </c>
      <c r="E4013" s="9" t="str">
        <f aca="false">HYPERLINK("https://twitter.com/tabithasabater3/status/922186800935956480","922186800935956480")</f>
        <v>922186800935956480</v>
      </c>
      <c r="F4013" s="10" t="s">
        <v>55</v>
      </c>
      <c r="G4013" s="10" t="n">
        <v>5</v>
      </c>
      <c r="H4013" s="10" t="n">
        <v>46</v>
      </c>
      <c r="I4013" s="10" t="n">
        <v>0</v>
      </c>
      <c r="J4013" s="10" t="n">
        <v>0</v>
      </c>
      <c r="K4013" s="10" t="s">
        <v>20</v>
      </c>
      <c r="L4013" s="11" t="n">
        <v>43027.1460416667</v>
      </c>
      <c r="M4013" s="15" t="s">
        <v>9719</v>
      </c>
      <c r="N4013" s="15" t="s">
        <v>9720</v>
      </c>
      <c r="O4013" s="9" t="str">
        <f aca="false">HYPERLINK("https://pbs.twimg.com/profile_images/920961620255301632/PP_XsnVc_normal.jpg","View")</f>
        <v>View</v>
      </c>
      <c r="P4013" s="10"/>
    </row>
    <row r="4014" customFormat="false" ht="15.75" hidden="false" customHeight="false" outlineLevel="0" collapsed="false">
      <c r="A4014" s="6" t="n">
        <v>43030.5309606482</v>
      </c>
      <c r="B4014" s="7" t="str">
        <f aca="false">HYPERLINK("https://twitter.com/FromeLibDem","@FromeLibDem")</f>
        <v>@FromeLibDem</v>
      </c>
      <c r="C4014" s="8" t="s">
        <v>9721</v>
      </c>
      <c r="D4014" s="8" t="s">
        <v>9700</v>
      </c>
      <c r="E4014" s="9" t="str">
        <f aca="false">HYPERLINK("https://twitter.com/FromeLibDem/status/922186942145548288","922186942145548288")</f>
        <v>922186942145548288</v>
      </c>
      <c r="F4014" s="10" t="s">
        <v>51</v>
      </c>
      <c r="G4014" s="10" t="n">
        <v>224</v>
      </c>
      <c r="H4014" s="10" t="n">
        <v>437</v>
      </c>
      <c r="I4014" s="10" t="n">
        <v>2</v>
      </c>
      <c r="J4014" s="10" t="n">
        <v>0</v>
      </c>
      <c r="K4014" s="10" t="s">
        <v>20</v>
      </c>
      <c r="L4014" s="11" t="n">
        <v>42138.3616550926</v>
      </c>
      <c r="M4014" s="12" t="s">
        <v>9722</v>
      </c>
      <c r="N4014" s="12" t="s">
        <v>9723</v>
      </c>
      <c r="O4014" s="9" t="str">
        <f aca="false">HYPERLINK("https://pbs.twimg.com/profile_images/598880338220347392/pzr_cwLq_normal.jpg","View")</f>
        <v>View</v>
      </c>
      <c r="P4014" s="10"/>
    </row>
    <row r="4015" customFormat="false" ht="15.75" hidden="false" customHeight="false" outlineLevel="0" collapsed="false">
      <c r="A4015" s="6" t="n">
        <v>43030.5310763889</v>
      </c>
      <c r="B4015" s="7" t="str">
        <f aca="false">HYPERLINK("https://twitter.com/moniraism","@moniraism")</f>
        <v>@moniraism</v>
      </c>
      <c r="C4015" s="8" t="s">
        <v>9724</v>
      </c>
      <c r="D4015" s="8" t="s">
        <v>9725</v>
      </c>
      <c r="E4015" s="9" t="str">
        <f aca="false">HYPERLINK("https://twitter.com/moniraism/status/922186984990367746","922186984990367746")</f>
        <v>922186984990367746</v>
      </c>
      <c r="F4015" s="10" t="s">
        <v>51</v>
      </c>
      <c r="G4015" s="10" t="n">
        <v>1476</v>
      </c>
      <c r="H4015" s="10" t="n">
        <v>1028</v>
      </c>
      <c r="I4015" s="10" t="n">
        <v>9</v>
      </c>
      <c r="J4015" s="10" t="n">
        <v>0</v>
      </c>
      <c r="K4015" s="10" t="s">
        <v>20</v>
      </c>
      <c r="L4015" s="11" t="n">
        <v>40226.0229282407</v>
      </c>
      <c r="M4015" s="12" t="s">
        <v>9726</v>
      </c>
      <c r="N4015" s="12" t="s">
        <v>9727</v>
      </c>
      <c r="O4015" s="9" t="str">
        <f aca="false">HYPERLINK("https://pbs.twimg.com/profile_images/811801136499933184/h13nlyZe_normal.jpg","View")</f>
        <v>View</v>
      </c>
      <c r="P4015" s="10"/>
    </row>
    <row r="4016" customFormat="false" ht="15.75" hidden="false" customHeight="false" outlineLevel="0" collapsed="false">
      <c r="A4016" s="6" t="n">
        <v>43030.531099537</v>
      </c>
      <c r="B4016" s="7" t="str">
        <f aca="false">HYPERLINK("https://twitter.com/parimivamsi9","@parimivamsi9")</f>
        <v>@parimivamsi9</v>
      </c>
      <c r="C4016" s="8" t="s">
        <v>9728</v>
      </c>
      <c r="D4016" s="8" t="s">
        <v>8538</v>
      </c>
      <c r="E4016" s="9" t="str">
        <f aca="false">HYPERLINK("https://twitter.com/parimivamsi9/status/922186994351882240","922186994351882240")</f>
        <v>922186994351882240</v>
      </c>
      <c r="F4016" s="10" t="s">
        <v>25</v>
      </c>
      <c r="G4016" s="10" t="n">
        <v>240</v>
      </c>
      <c r="H4016" s="10" t="n">
        <v>1822</v>
      </c>
      <c r="I4016" s="10" t="n">
        <v>1015</v>
      </c>
      <c r="J4016" s="10" t="n">
        <v>0</v>
      </c>
      <c r="K4016" s="10" t="s">
        <v>20</v>
      </c>
      <c r="L4016" s="11" t="n">
        <v>40754.5478125</v>
      </c>
      <c r="M4016" s="12"/>
      <c r="N4016" s="12"/>
      <c r="O4016" s="9" t="str">
        <f aca="false">HYPERLINK("https://pbs.twimg.com/profile_images/1469734029/130447_normal.jpg","View")</f>
        <v>View</v>
      </c>
      <c r="P4016" s="10"/>
    </row>
    <row r="4017" customFormat="false" ht="15.75" hidden="false" customHeight="false" outlineLevel="0" collapsed="false">
      <c r="A4017" s="6" t="n">
        <v>43030.5315046296</v>
      </c>
      <c r="B4017" s="7" t="str">
        <f aca="false">HYPERLINK("https://twitter.com/LukasBenke","@LukasBenke")</f>
        <v>@LukasBenke</v>
      </c>
      <c r="C4017" s="8" t="s">
        <v>9729</v>
      </c>
      <c r="D4017" s="8" t="s">
        <v>9730</v>
      </c>
      <c r="E4017" s="9" t="str">
        <f aca="false">HYPERLINK("https://twitter.com/LukasBenke/status/922187140536193024","922187140536193024")</f>
        <v>922187140536193024</v>
      </c>
      <c r="F4017" s="10" t="s">
        <v>39</v>
      </c>
      <c r="G4017" s="10" t="n">
        <v>26</v>
      </c>
      <c r="H4017" s="10" t="n">
        <v>180</v>
      </c>
      <c r="I4017" s="10" t="n">
        <v>0</v>
      </c>
      <c r="J4017" s="10" t="n">
        <v>1</v>
      </c>
      <c r="K4017" s="10" t="s">
        <v>20</v>
      </c>
      <c r="L4017" s="11" t="n">
        <v>41315.4694097222</v>
      </c>
      <c r="M4017" s="12" t="s">
        <v>9731</v>
      </c>
      <c r="N4017" s="12" t="s">
        <v>9732</v>
      </c>
      <c r="O4017" s="9" t="str">
        <f aca="false">HYPERLINK("https://pbs.twimg.com/profile_images/3235707596/5d456b1237224579587c87f8f9c5acbe_normal.jpeg","View")</f>
        <v>View</v>
      </c>
      <c r="P4017" s="10"/>
    </row>
    <row r="4018" customFormat="false" ht="15.75" hidden="false" customHeight="false" outlineLevel="0" collapsed="false">
      <c r="A4018" s="6" t="n">
        <v>43030.5317476852</v>
      </c>
      <c r="B4018" s="7" t="str">
        <f aca="false">HYPERLINK("https://twitter.com/HEINKESSE1972","@HEINKESSE1972")</f>
        <v>@HEINKESSE1972</v>
      </c>
      <c r="C4018" s="8" t="s">
        <v>9733</v>
      </c>
      <c r="D4018" s="8" t="s">
        <v>4984</v>
      </c>
      <c r="E4018" s="9" t="str">
        <f aca="false">HYPERLINK("https://twitter.com/HEINKESSE1972/status/922187228415123456","922187228415123456")</f>
        <v>922187228415123456</v>
      </c>
      <c r="F4018" s="10" t="s">
        <v>1289</v>
      </c>
      <c r="G4018" s="10" t="n">
        <v>574</v>
      </c>
      <c r="H4018" s="10" t="n">
        <v>2239</v>
      </c>
      <c r="I4018" s="10" t="n">
        <v>187</v>
      </c>
      <c r="J4018" s="10" t="n">
        <v>0</v>
      </c>
      <c r="K4018" s="10" t="s">
        <v>20</v>
      </c>
      <c r="L4018" s="11" t="n">
        <v>40200.2274768519</v>
      </c>
      <c r="M4018" s="13" t="s">
        <v>9734</v>
      </c>
      <c r="N4018" s="12"/>
      <c r="O4018" s="9" t="str">
        <f aca="false">HYPERLINK("https://pbs.twimg.com/profile_images/910680197359210496/8y32V_Wf_normal.jpg","View")</f>
        <v>View</v>
      </c>
      <c r="P4018" s="10"/>
    </row>
    <row r="4019" customFormat="false" ht="15.75" hidden="false" customHeight="false" outlineLevel="0" collapsed="false">
      <c r="A4019" s="6" t="n">
        <v>43030.5317824074</v>
      </c>
      <c r="B4019" s="7" t="str">
        <f aca="false">HYPERLINK("https://twitter.com/EagleStarNET","@EagleStarNET")</f>
        <v>@EagleStarNET</v>
      </c>
      <c r="C4019" s="7" t="s">
        <v>8217</v>
      </c>
      <c r="D4019" s="8" t="s">
        <v>9735</v>
      </c>
      <c r="E4019" s="9" t="str">
        <f aca="false">HYPERLINK("https://twitter.com/EagleStarNET/status/922187242319294464","922187242319294464")</f>
        <v>922187242319294464</v>
      </c>
      <c r="F4019" s="10" t="s">
        <v>8219</v>
      </c>
      <c r="G4019" s="10" t="n">
        <v>113025</v>
      </c>
      <c r="H4019" s="10" t="n">
        <v>10482</v>
      </c>
      <c r="I4019" s="10" t="n">
        <v>0</v>
      </c>
      <c r="J4019" s="10" t="n">
        <v>0</v>
      </c>
      <c r="K4019" s="10" t="s">
        <v>20</v>
      </c>
      <c r="L4019" s="11" t="n">
        <v>39863.6382407407</v>
      </c>
      <c r="M4019" s="12" t="s">
        <v>8220</v>
      </c>
      <c r="N4019" s="12" t="s">
        <v>8221</v>
      </c>
      <c r="O4019" s="9" t="str">
        <f aca="false">HYPERLINK("https://pbs.twimg.com/profile_images/1281792618/es_logo_metallic_gold_2_normal.jpg","View")</f>
        <v>View</v>
      </c>
      <c r="P4019" s="10"/>
    </row>
    <row r="4020" customFormat="false" ht="15.75" hidden="false" customHeight="false" outlineLevel="0" collapsed="false">
      <c r="A4020" s="6" t="n">
        <v>43030.5322106482</v>
      </c>
      <c r="B4020" s="7" t="str">
        <f aca="false">HYPERLINK("https://twitter.com/ThohaAli","@ThohaAli")</f>
        <v>@ThohaAli</v>
      </c>
      <c r="C4020" s="8" t="s">
        <v>9736</v>
      </c>
      <c r="D4020" s="8" t="s">
        <v>4124</v>
      </c>
      <c r="E4020" s="9" t="str">
        <f aca="false">HYPERLINK("https://twitter.com/ThohaAli/status/922187398154403840","922187398154403840")</f>
        <v>922187398154403840</v>
      </c>
      <c r="F4020" s="10" t="s">
        <v>51</v>
      </c>
      <c r="G4020" s="10" t="n">
        <v>163</v>
      </c>
      <c r="H4020" s="10" t="n">
        <v>20</v>
      </c>
      <c r="I4020" s="10" t="n">
        <v>111</v>
      </c>
      <c r="J4020" s="10" t="n">
        <v>0</v>
      </c>
      <c r="K4020" s="10" t="s">
        <v>20</v>
      </c>
      <c r="L4020" s="11" t="n">
        <v>40837.7186689815</v>
      </c>
      <c r="M4020" s="12"/>
      <c r="N4020" s="12"/>
      <c r="O4020" s="9" t="str">
        <f aca="false">HYPERLINK("https://pbs.twimg.com/profile_images/785076964478423040/MWQngbwb_normal.jpg","View")</f>
        <v>View</v>
      </c>
      <c r="P4020" s="10"/>
    </row>
    <row r="4021" customFormat="false" ht="15.75" hidden="false" customHeight="false" outlineLevel="0" collapsed="false">
      <c r="A4021" s="6" t="n">
        <v>43030.5323611111</v>
      </c>
      <c r="B4021" s="7" t="str">
        <f aca="false">HYPERLINK("https://twitter.com/JStpeteden","@JStpeteden")</f>
        <v>@JStpeteden</v>
      </c>
      <c r="C4021" s="8" t="s">
        <v>9737</v>
      </c>
      <c r="D4021" s="8" t="s">
        <v>4124</v>
      </c>
      <c r="E4021" s="9" t="str">
        <f aca="false">HYPERLINK("https://twitter.com/JStpeteden/status/922187453284233216","922187453284233216")</f>
        <v>922187453284233216</v>
      </c>
      <c r="F4021" s="10" t="s">
        <v>25</v>
      </c>
      <c r="G4021" s="10" t="n">
        <v>1990</v>
      </c>
      <c r="H4021" s="10" t="n">
        <v>2038</v>
      </c>
      <c r="I4021" s="10" t="n">
        <v>111</v>
      </c>
      <c r="J4021" s="10" t="n">
        <v>0</v>
      </c>
      <c r="K4021" s="10" t="s">
        <v>20</v>
      </c>
      <c r="L4021" s="11" t="n">
        <v>42096.5552662037</v>
      </c>
      <c r="M4021" s="12" t="s">
        <v>1961</v>
      </c>
      <c r="N4021" s="12"/>
      <c r="O4021" s="9" t="str">
        <f aca="false">HYPERLINK("https://pbs.twimg.com/profile_images/714577518624378880/Xkm9vl0O_normal.jpg","View")</f>
        <v>View</v>
      </c>
      <c r="P4021" s="10"/>
    </row>
    <row r="4022" customFormat="false" ht="15.75" hidden="false" customHeight="false" outlineLevel="0" collapsed="false">
      <c r="A4022" s="6" t="n">
        <v>43030.5327777778</v>
      </c>
      <c r="B4022" s="7" t="str">
        <f aca="false">HYPERLINK("https://twitter.com/Steven__Heutink","@Steven__Heutink")</f>
        <v>@Steven__Heutink</v>
      </c>
      <c r="C4022" s="8" t="s">
        <v>9738</v>
      </c>
      <c r="D4022" s="8" t="s">
        <v>9739</v>
      </c>
      <c r="E4022" s="9" t="str">
        <f aca="false">HYPERLINK("https://twitter.com/Steven__Heutink/status/922187604258381826","922187604258381826")</f>
        <v>922187604258381826</v>
      </c>
      <c r="F4022" s="10" t="s">
        <v>39</v>
      </c>
      <c r="G4022" s="10" t="n">
        <v>48</v>
      </c>
      <c r="H4022" s="10" t="n">
        <v>499</v>
      </c>
      <c r="I4022" s="10" t="n">
        <v>0</v>
      </c>
      <c r="J4022" s="10" t="n">
        <v>0</v>
      </c>
      <c r="K4022" s="10" t="s">
        <v>20</v>
      </c>
      <c r="L4022" s="11" t="n">
        <v>41679.4454861111</v>
      </c>
      <c r="M4022" s="12" t="s">
        <v>9740</v>
      </c>
      <c r="N4022" s="12" t="s">
        <v>9741</v>
      </c>
      <c r="O4022" s="9" t="str">
        <f aca="false">HYPERLINK("https://pbs.twimg.com/profile_images/906957041402630150/TIW1CFJY_normal.jpg","View")</f>
        <v>View</v>
      </c>
      <c r="P4022" s="10"/>
    </row>
    <row r="4023" customFormat="false" ht="15.75" hidden="false" customHeight="false" outlineLevel="0" collapsed="false">
      <c r="A4023" s="6" t="n">
        <v>43030.5334143519</v>
      </c>
      <c r="B4023" s="7" t="str">
        <f aca="false">HYPERLINK("https://twitter.com/0807ankit","@0807ankit")</f>
        <v>@0807ankit</v>
      </c>
      <c r="C4023" s="8" t="s">
        <v>7106</v>
      </c>
      <c r="D4023" s="8" t="s">
        <v>8538</v>
      </c>
      <c r="E4023" s="9" t="str">
        <f aca="false">HYPERLINK("https://twitter.com/0807ankit/status/922187833237848064","922187833237848064")</f>
        <v>922187833237848064</v>
      </c>
      <c r="F4023" s="10" t="s">
        <v>25</v>
      </c>
      <c r="G4023" s="10" t="n">
        <v>508</v>
      </c>
      <c r="H4023" s="10" t="n">
        <v>446</v>
      </c>
      <c r="I4023" s="10" t="n">
        <v>1015</v>
      </c>
      <c r="J4023" s="10" t="n">
        <v>0</v>
      </c>
      <c r="K4023" s="10" t="s">
        <v>20</v>
      </c>
      <c r="L4023" s="11" t="n">
        <v>40872.1403472222</v>
      </c>
      <c r="M4023" s="12" t="s">
        <v>7107</v>
      </c>
      <c r="N4023" s="12" t="s">
        <v>7108</v>
      </c>
      <c r="O4023" s="9" t="str">
        <f aca="false">HYPERLINK("https://pbs.twimg.com/profile_images/897096886473170945/GcrGpPhT_normal.jpg","View")</f>
        <v>View</v>
      </c>
      <c r="P4023" s="10"/>
    </row>
    <row r="4024" customFormat="false" ht="15.75" hidden="false" customHeight="false" outlineLevel="0" collapsed="false">
      <c r="A4024" s="6" t="n">
        <v>43030.5335416667</v>
      </c>
      <c r="B4024" s="7" t="str">
        <f aca="false">HYPERLINK("https://twitter.com/Palmyra_Zanobia","@Palmyra_Zanobia")</f>
        <v>@Palmyra_Zanobia</v>
      </c>
      <c r="C4024" s="14" t="s">
        <v>9742</v>
      </c>
      <c r="D4024" s="8" t="s">
        <v>9725</v>
      </c>
      <c r="E4024" s="9" t="str">
        <f aca="false">HYPERLINK("https://twitter.com/Palmyra_Zanobia/status/922187880579166208","922187880579166208")</f>
        <v>922187880579166208</v>
      </c>
      <c r="F4024" s="10" t="s">
        <v>39</v>
      </c>
      <c r="G4024" s="10" t="n">
        <v>9306</v>
      </c>
      <c r="H4024" s="10" t="n">
        <v>288</v>
      </c>
      <c r="I4024" s="10" t="n">
        <v>9</v>
      </c>
      <c r="J4024" s="10" t="n">
        <v>0</v>
      </c>
      <c r="K4024" s="10" t="s">
        <v>20</v>
      </c>
      <c r="L4024" s="11" t="n">
        <v>40469.3146064815</v>
      </c>
      <c r="M4024" s="13" t="s">
        <v>9743</v>
      </c>
      <c r="N4024" s="13" t="s">
        <v>9744</v>
      </c>
      <c r="O4024" s="9" t="str">
        <f aca="false">HYPERLINK("https://pbs.twimg.com/profile_images/815575148963176448/PF3HwOIl_normal.jpg","View")</f>
        <v>View</v>
      </c>
      <c r="P4024" s="10"/>
    </row>
    <row r="4025" customFormat="false" ht="15.75" hidden="false" customHeight="false" outlineLevel="0" collapsed="false">
      <c r="A4025" s="6" t="n">
        <v>43030.5337037037</v>
      </c>
      <c r="B4025" s="7" t="str">
        <f aca="false">HYPERLINK("https://twitter.com/Ozesurfer","@Ozesurfer")</f>
        <v>@Ozesurfer</v>
      </c>
      <c r="C4025" s="8" t="s">
        <v>9745</v>
      </c>
      <c r="D4025" s="8" t="s">
        <v>9673</v>
      </c>
      <c r="E4025" s="9" t="str">
        <f aca="false">HYPERLINK("https://twitter.com/Ozesurfer/status/922187936988250112","922187936988250112")</f>
        <v>922187936988250112</v>
      </c>
      <c r="F4025" s="10" t="s">
        <v>39</v>
      </c>
      <c r="G4025" s="10" t="n">
        <v>219</v>
      </c>
      <c r="H4025" s="10" t="n">
        <v>213</v>
      </c>
      <c r="I4025" s="10" t="n">
        <v>6</v>
      </c>
      <c r="J4025" s="10" t="n">
        <v>0</v>
      </c>
      <c r="K4025" s="10" t="s">
        <v>20</v>
      </c>
      <c r="L4025" s="11" t="n">
        <v>40251.620162037</v>
      </c>
      <c r="M4025" s="12" t="s">
        <v>1039</v>
      </c>
      <c r="N4025" s="12" t="s">
        <v>9746</v>
      </c>
      <c r="O4025" s="9" t="str">
        <f aca="false">HYPERLINK("https://pbs.twimg.com/profile_images/920532721675284480/-eYGRYCp_normal.jpg","View")</f>
        <v>View</v>
      </c>
      <c r="P4025" s="10"/>
    </row>
    <row r="4026" customFormat="false" ht="15.75" hidden="false" customHeight="false" outlineLevel="0" collapsed="false">
      <c r="A4026" s="6" t="n">
        <v>43030.5338541667</v>
      </c>
      <c r="B4026" s="7" t="str">
        <f aca="false">HYPERLINK("https://twitter.com/Ash399W","@Ash399W")</f>
        <v>@Ash399W</v>
      </c>
      <c r="C4026" s="8" t="s">
        <v>1541</v>
      </c>
      <c r="D4026" s="8" t="s">
        <v>9673</v>
      </c>
      <c r="E4026" s="9" t="str">
        <f aca="false">HYPERLINK("https://twitter.com/Ash399W/status/922187990645972992","922187990645972992")</f>
        <v>922187990645972992</v>
      </c>
      <c r="F4026" s="10" t="s">
        <v>25</v>
      </c>
      <c r="G4026" s="10" t="n">
        <v>276</v>
      </c>
      <c r="H4026" s="10" t="n">
        <v>3022</v>
      </c>
      <c r="I4026" s="10" t="n">
        <v>6</v>
      </c>
      <c r="J4026" s="10" t="n">
        <v>0</v>
      </c>
      <c r="K4026" s="10" t="s">
        <v>20</v>
      </c>
      <c r="L4026" s="11" t="n">
        <v>41899.5376157407</v>
      </c>
      <c r="M4026" s="12" t="s">
        <v>3531</v>
      </c>
      <c r="N4026" s="12" t="s">
        <v>9747</v>
      </c>
      <c r="O4026" s="9" t="str">
        <f aca="false">HYPERLINK("https://pbs.twimg.com/profile_images/888052020720001027/71lI34I7_normal.jpg","View")</f>
        <v>View</v>
      </c>
      <c r="P4026" s="10"/>
    </row>
    <row r="4027" customFormat="false" ht="15.75" hidden="false" customHeight="false" outlineLevel="0" collapsed="false">
      <c r="A4027" s="6" t="n">
        <v>43030.5343055556</v>
      </c>
      <c r="B4027" s="7" t="str">
        <f aca="false">HYPERLINK("https://twitter.com/TRTWorldNow","@TRTWorldNow")</f>
        <v>@TRTWorldNow</v>
      </c>
      <c r="C4027" s="8" t="s">
        <v>1543</v>
      </c>
      <c r="D4027" s="8" t="s">
        <v>9748</v>
      </c>
      <c r="E4027" s="9" t="str">
        <f aca="false">HYPERLINK("https://twitter.com/TRTWorldNow/status/922188156350300162","922188156350300162")</f>
        <v>922188156350300162</v>
      </c>
      <c r="F4027" s="9" t="s">
        <v>198</v>
      </c>
      <c r="G4027" s="10" t="n">
        <v>1712</v>
      </c>
      <c r="H4027" s="10" t="n">
        <v>7</v>
      </c>
      <c r="I4027" s="10" t="n">
        <v>0</v>
      </c>
      <c r="J4027" s="10" t="n">
        <v>1</v>
      </c>
      <c r="K4027" s="10" t="s">
        <v>20</v>
      </c>
      <c r="L4027" s="11" t="n">
        <v>42706.0250810185</v>
      </c>
      <c r="M4027" s="12" t="s">
        <v>1545</v>
      </c>
      <c r="N4027" s="12" t="s">
        <v>1546</v>
      </c>
      <c r="O4027" s="9" t="str">
        <f aca="false">HYPERLINK("https://pbs.twimg.com/profile_images/905724163104669696/dZHKlqU0_normal.jpg","View")</f>
        <v>View</v>
      </c>
      <c r="P4027" s="10"/>
    </row>
    <row r="4028" customFormat="false" ht="15.75" hidden="false" customHeight="false" outlineLevel="0" collapsed="false">
      <c r="A4028" s="6" t="n">
        <v>43030.5346527778</v>
      </c>
      <c r="B4028" s="7" t="str">
        <f aca="false">HYPERLINK("https://twitter.com/sanjay_fsm","@sanjay_fsm")</f>
        <v>@sanjay_fsm</v>
      </c>
      <c r="C4028" s="8" t="s">
        <v>9749</v>
      </c>
      <c r="D4028" s="8" t="s">
        <v>8538</v>
      </c>
      <c r="E4028" s="9" t="str">
        <f aca="false">HYPERLINK("https://twitter.com/sanjay_fsm/status/922188280015208448","922188280015208448")</f>
        <v>922188280015208448</v>
      </c>
      <c r="F4028" s="10" t="s">
        <v>39</v>
      </c>
      <c r="G4028" s="10" t="n">
        <v>155</v>
      </c>
      <c r="H4028" s="10" t="n">
        <v>186</v>
      </c>
      <c r="I4028" s="10" t="n">
        <v>1015</v>
      </c>
      <c r="J4028" s="10" t="n">
        <v>0</v>
      </c>
      <c r="K4028" s="10" t="s">
        <v>20</v>
      </c>
      <c r="L4028" s="11" t="n">
        <v>42207.2889699074</v>
      </c>
      <c r="M4028" s="12" t="s">
        <v>5360</v>
      </c>
      <c r="N4028" s="12" t="s">
        <v>9750</v>
      </c>
      <c r="O4028" s="9" t="str">
        <f aca="false">HYPERLINK("https://pbs.twimg.com/profile_images/781039313320550400/TbAt63nC_normal.jpg","View")</f>
        <v>View</v>
      </c>
      <c r="P4028" s="10"/>
    </row>
    <row r="4029" customFormat="false" ht="15.75" hidden="false" customHeight="false" outlineLevel="0" collapsed="false">
      <c r="A4029" s="6" t="n">
        <v>43030.5348263889</v>
      </c>
      <c r="B4029" s="7" t="str">
        <f aca="false">HYPERLINK("https://twitter.com/TvVidoe","@TvVidoe")</f>
        <v>@TvVidoe</v>
      </c>
      <c r="C4029" s="8" t="s">
        <v>9751</v>
      </c>
      <c r="D4029" s="8" t="s">
        <v>9752</v>
      </c>
      <c r="E4029" s="9" t="str">
        <f aca="false">HYPERLINK("https://twitter.com/TvVidoe/status/922188346759241734","922188346759241734")</f>
        <v>922188346759241734</v>
      </c>
      <c r="F4029" s="10" t="s">
        <v>9753</v>
      </c>
      <c r="G4029" s="10" t="n">
        <v>51</v>
      </c>
      <c r="H4029" s="10" t="n">
        <v>62</v>
      </c>
      <c r="I4029" s="10" t="n">
        <v>0</v>
      </c>
      <c r="J4029" s="10" t="n">
        <v>0</v>
      </c>
      <c r="K4029" s="10" t="s">
        <v>20</v>
      </c>
      <c r="L4029" s="11" t="n">
        <v>42378.3149074074</v>
      </c>
      <c r="M4029" s="12"/>
      <c r="N4029" s="12" t="s">
        <v>9754</v>
      </c>
      <c r="O4029" s="9" t="str">
        <f aca="false">HYPERLINK("https://pbs.twimg.com/profile_images/685847436154286080/aiv3dw6q_normal.png","View")</f>
        <v>View</v>
      </c>
      <c r="P4029" s="10"/>
    </row>
    <row r="4030" customFormat="false" ht="15.75" hidden="false" customHeight="false" outlineLevel="0" collapsed="false">
      <c r="A4030" s="6" t="n">
        <v>43030.5361458333</v>
      </c>
      <c r="B4030" s="7" t="str">
        <f aca="false">HYPERLINK("https://twitter.com/ToniC8","@ToniC8")</f>
        <v>@ToniC8</v>
      </c>
      <c r="C4030" s="8" t="s">
        <v>9755</v>
      </c>
      <c r="D4030" s="8" t="s">
        <v>9673</v>
      </c>
      <c r="E4030" s="9" t="str">
        <f aca="false">HYPERLINK("https://twitter.com/ToniC8/status/922188824188506115","922188824188506115")</f>
        <v>922188824188506115</v>
      </c>
      <c r="F4030" s="10" t="s">
        <v>25</v>
      </c>
      <c r="G4030" s="10" t="n">
        <v>4243</v>
      </c>
      <c r="H4030" s="10" t="n">
        <v>4907</v>
      </c>
      <c r="I4030" s="10" t="n">
        <v>6</v>
      </c>
      <c r="J4030" s="10" t="n">
        <v>0</v>
      </c>
      <c r="K4030" s="10" t="s">
        <v>20</v>
      </c>
      <c r="L4030" s="11" t="n">
        <v>40788.232349537</v>
      </c>
      <c r="M4030" s="12" t="s">
        <v>4425</v>
      </c>
      <c r="N4030" s="12" t="s">
        <v>9756</v>
      </c>
      <c r="O4030" s="9" t="str">
        <f aca="false">HYPERLINK("https://pbs.twimg.com/profile_images/810991731227455489/daH0GlF__normal.jpg","View")</f>
        <v>View</v>
      </c>
      <c r="P4030" s="10"/>
    </row>
    <row r="4031" customFormat="false" ht="15.75" hidden="false" customHeight="false" outlineLevel="0" collapsed="false">
      <c r="A4031" s="6" t="n">
        <v>43030.5373263889</v>
      </c>
      <c r="B4031" s="7" t="str">
        <f aca="false">HYPERLINK("https://twitter.com/NewsUpdate24Int","@NewsUpdate24Int")</f>
        <v>@NewsUpdate24Int</v>
      </c>
      <c r="C4031" s="8" t="s">
        <v>5444</v>
      </c>
      <c r="D4031" s="8" t="s">
        <v>9757</v>
      </c>
      <c r="E4031" s="9" t="str">
        <f aca="false">HYPERLINK("https://twitter.com/NewsUpdate24Int/status/922189250333937665","922189250333937665")</f>
        <v>922189250333937665</v>
      </c>
      <c r="F4031" s="10" t="s">
        <v>60</v>
      </c>
      <c r="G4031" s="10" t="n">
        <v>1289</v>
      </c>
      <c r="H4031" s="10" t="n">
        <v>54</v>
      </c>
      <c r="I4031" s="10" t="n">
        <v>0</v>
      </c>
      <c r="J4031" s="10" t="n">
        <v>0</v>
      </c>
      <c r="K4031" s="10" t="s">
        <v>20</v>
      </c>
      <c r="L4031" s="11" t="n">
        <v>42142.5818171296</v>
      </c>
      <c r="M4031" s="12" t="s">
        <v>4866</v>
      </c>
      <c r="N4031" s="12" t="s">
        <v>5446</v>
      </c>
      <c r="O4031" s="9" t="str">
        <f aca="false">HYPERLINK("https://pbs.twimg.com/profile_images/858443073717764096/OPmPGIMa_normal.jpg","View")</f>
        <v>View</v>
      </c>
      <c r="P4031" s="10"/>
    </row>
    <row r="4032" customFormat="false" ht="15.75" hidden="false" customHeight="false" outlineLevel="0" collapsed="false">
      <c r="A4032" s="6" t="n">
        <v>43030.5380092593</v>
      </c>
      <c r="B4032" s="7" t="str">
        <f aca="false">HYPERLINK("https://twitter.com/NoahRFeldman","@NoahRFeldman")</f>
        <v>@NoahRFeldman</v>
      </c>
      <c r="C4032" s="8" t="s">
        <v>9758</v>
      </c>
      <c r="D4032" s="8" t="s">
        <v>9725</v>
      </c>
      <c r="E4032" s="9" t="str">
        <f aca="false">HYPERLINK("https://twitter.com/NoahRFeldman/status/922189498922012672","922189498922012672")</f>
        <v>922189498922012672</v>
      </c>
      <c r="F4032" s="10" t="s">
        <v>51</v>
      </c>
      <c r="G4032" s="10" t="n">
        <v>12144</v>
      </c>
      <c r="H4032" s="10" t="n">
        <v>587</v>
      </c>
      <c r="I4032" s="10" t="n">
        <v>9</v>
      </c>
      <c r="J4032" s="10" t="n">
        <v>0</v>
      </c>
      <c r="K4032" s="10" t="s">
        <v>20</v>
      </c>
      <c r="L4032" s="11" t="n">
        <v>41282.474537037</v>
      </c>
      <c r="M4032" s="12" t="s">
        <v>9759</v>
      </c>
      <c r="N4032" s="12" t="s">
        <v>9760</v>
      </c>
      <c r="O4032" s="9" t="str">
        <f aca="false">HYPERLINK("https://pbs.twimg.com/profile_images/3237575850/971fa959c53b7abb19cc8ab2c8a2e2f1_normal.jpeg","View")</f>
        <v>View</v>
      </c>
      <c r="P4032" s="10"/>
    </row>
    <row r="4033" customFormat="false" ht="15.75" hidden="false" customHeight="false" outlineLevel="0" collapsed="false">
      <c r="A4033" s="6" t="n">
        <v>43030.5387962963</v>
      </c>
      <c r="B4033" s="7" t="str">
        <f aca="false">HYPERLINK("https://twitter.com/SinghR1135","@SinghR1135")</f>
        <v>@SinghR1135</v>
      </c>
      <c r="C4033" s="8" t="s">
        <v>9761</v>
      </c>
      <c r="D4033" s="8" t="s">
        <v>8538</v>
      </c>
      <c r="E4033" s="9" t="str">
        <f aca="false">HYPERLINK("https://twitter.com/SinghR1135/status/922189784453402625","922189784453402625")</f>
        <v>922189784453402625</v>
      </c>
      <c r="F4033" s="10" t="s">
        <v>98</v>
      </c>
      <c r="G4033" s="10" t="n">
        <v>40</v>
      </c>
      <c r="H4033" s="10" t="n">
        <v>51</v>
      </c>
      <c r="I4033" s="10" t="n">
        <v>1015</v>
      </c>
      <c r="J4033" s="10" t="n">
        <v>0</v>
      </c>
      <c r="K4033" s="10" t="s">
        <v>20</v>
      </c>
      <c r="L4033" s="11" t="n">
        <v>40815.9212152778</v>
      </c>
      <c r="M4033" s="12"/>
      <c r="N4033" s="12"/>
      <c r="O4033" s="9" t="str">
        <f aca="false">HYPERLINK("https://pbs.twimg.com/profile_images/2533679340/3lk31lhgdiiso4im7rvl_normal.jpeg","View")</f>
        <v>View</v>
      </c>
      <c r="P4033" s="10"/>
    </row>
    <row r="4034" customFormat="false" ht="15.75" hidden="false" customHeight="false" outlineLevel="0" collapsed="false">
      <c r="A4034" s="6" t="n">
        <v>43030.5393518519</v>
      </c>
      <c r="B4034" s="7" t="str">
        <f aca="false">HYPERLINK("https://twitter.com/Rajians15","@Rajians15")</f>
        <v>@Rajians15</v>
      </c>
      <c r="C4034" s="8" t="s">
        <v>9762</v>
      </c>
      <c r="D4034" s="8" t="s">
        <v>8538</v>
      </c>
      <c r="E4034" s="9" t="str">
        <f aca="false">HYPERLINK("https://twitter.com/Rajians15/status/922189983032766464","922189983032766464")</f>
        <v>922189983032766464</v>
      </c>
      <c r="F4034" s="10" t="s">
        <v>25</v>
      </c>
      <c r="G4034" s="10" t="n">
        <v>138</v>
      </c>
      <c r="H4034" s="10" t="n">
        <v>666</v>
      </c>
      <c r="I4034" s="10" t="n">
        <v>1015</v>
      </c>
      <c r="J4034" s="10" t="n">
        <v>0</v>
      </c>
      <c r="K4034" s="10" t="s">
        <v>20</v>
      </c>
      <c r="L4034" s="11" t="n">
        <v>41612.9469560185</v>
      </c>
      <c r="M4034" s="12" t="s">
        <v>8660</v>
      </c>
      <c r="N4034" s="12" t="s">
        <v>9763</v>
      </c>
      <c r="O4034" s="9" t="str">
        <f aca="false">HYPERLINK("https://pbs.twimg.com/profile_images/908563443828977664/qklB-plj_normal.jpg","View")</f>
        <v>View</v>
      </c>
      <c r="P4034" s="10"/>
    </row>
    <row r="4035" customFormat="false" ht="15.75" hidden="false" customHeight="false" outlineLevel="0" collapsed="false">
      <c r="A4035" s="6" t="n">
        <v>43030.5395833333</v>
      </c>
      <c r="B4035" s="7" t="str">
        <f aca="false">HYPERLINK("https://twitter.com/maryamwd","@maryamwd")</f>
        <v>@maryamwd</v>
      </c>
      <c r="C4035" s="8" t="s">
        <v>9764</v>
      </c>
      <c r="D4035" s="8" t="s">
        <v>4068</v>
      </c>
      <c r="E4035" s="9" t="str">
        <f aca="false">HYPERLINK("https://twitter.com/maryamwd/status/922190068198117376","922190068198117376")</f>
        <v>922190068198117376</v>
      </c>
      <c r="F4035" s="10" t="s">
        <v>51</v>
      </c>
      <c r="G4035" s="10" t="n">
        <v>6259</v>
      </c>
      <c r="H4035" s="10" t="n">
        <v>1497</v>
      </c>
      <c r="I4035" s="10" t="n">
        <v>50</v>
      </c>
      <c r="J4035" s="10" t="n">
        <v>0</v>
      </c>
      <c r="K4035" s="10" t="s">
        <v>20</v>
      </c>
      <c r="L4035" s="11" t="n">
        <v>39925.1892939815</v>
      </c>
      <c r="M4035" s="12" t="s">
        <v>9765</v>
      </c>
      <c r="N4035" s="12" t="s">
        <v>9766</v>
      </c>
      <c r="O4035" s="9" t="str">
        <f aca="false">HYPERLINK("https://pbs.twimg.com/profile_images/905141327515537414/z5BQRKcM_normal.jpg","View")</f>
        <v>View</v>
      </c>
      <c r="P4035" s="10"/>
    </row>
    <row r="4036" customFormat="false" ht="15.75" hidden="false" customHeight="false" outlineLevel="0" collapsed="false">
      <c r="A4036" s="6" t="n">
        <v>43030.5399884259</v>
      </c>
      <c r="B4036" s="7" t="str">
        <f aca="false">HYPERLINK("https://twitter.com/dunaisiaka","@dunaisiaka")</f>
        <v>@dunaisiaka</v>
      </c>
      <c r="C4036" s="8" t="s">
        <v>9767</v>
      </c>
      <c r="D4036" s="8" t="s">
        <v>4984</v>
      </c>
      <c r="E4036" s="9" t="str">
        <f aca="false">HYPERLINK("https://twitter.com/dunaisiaka/status/922190215690768384","922190215690768384")</f>
        <v>922190215690768384</v>
      </c>
      <c r="F4036" s="10" t="s">
        <v>177</v>
      </c>
      <c r="G4036" s="10" t="n">
        <v>45306</v>
      </c>
      <c r="H4036" s="10" t="n">
        <v>42339</v>
      </c>
      <c r="I4036" s="10" t="n">
        <v>187</v>
      </c>
      <c r="J4036" s="10" t="n">
        <v>0</v>
      </c>
      <c r="K4036" s="10" t="s">
        <v>20</v>
      </c>
      <c r="L4036" s="11" t="n">
        <v>41021.4910300926</v>
      </c>
      <c r="M4036" s="12" t="s">
        <v>9768</v>
      </c>
      <c r="N4036" s="12" t="s">
        <v>9769</v>
      </c>
      <c r="O4036" s="9" t="str">
        <f aca="false">HYPERLINK("https://pbs.twimg.com/profile_images/631107598780137477/x3PG0bOv_normal.jpg","View")</f>
        <v>View</v>
      </c>
      <c r="P4036" s="10"/>
    </row>
    <row r="4037" customFormat="false" ht="15.75" hidden="false" customHeight="false" outlineLevel="0" collapsed="false">
      <c r="A4037" s="6" t="n">
        <v>43030.5403472222</v>
      </c>
      <c r="B4037" s="7" t="str">
        <f aca="false">HYPERLINK("https://twitter.com/chickenbird01","@chickenbird01")</f>
        <v>@chickenbird01</v>
      </c>
      <c r="C4037" s="8" t="s">
        <v>9770</v>
      </c>
      <c r="D4037" s="8" t="s">
        <v>9771</v>
      </c>
      <c r="E4037" s="9" t="str">
        <f aca="false">HYPERLINK("https://twitter.com/chickenbird01/status/922190344636239872","922190344636239872")</f>
        <v>922190344636239872</v>
      </c>
      <c r="F4037" s="10" t="s">
        <v>25</v>
      </c>
      <c r="G4037" s="10" t="n">
        <v>200</v>
      </c>
      <c r="H4037" s="10" t="n">
        <v>163</v>
      </c>
      <c r="I4037" s="10" t="n">
        <v>0</v>
      </c>
      <c r="J4037" s="10" t="n">
        <v>0</v>
      </c>
      <c r="K4037" s="10" t="s">
        <v>20</v>
      </c>
      <c r="L4037" s="11" t="n">
        <v>41621.5524189815</v>
      </c>
      <c r="M4037" s="12" t="s">
        <v>9772</v>
      </c>
      <c r="N4037" s="12" t="s">
        <v>9773</v>
      </c>
      <c r="O4037" s="9" t="str">
        <f aca="false">HYPERLINK("https://pbs.twimg.com/profile_images/424735846831382528/Dw_SXhGN_normal.jpeg","View")</f>
        <v>View</v>
      </c>
      <c r="P4037" s="10"/>
    </row>
    <row r="4038" customFormat="false" ht="15.75" hidden="false" customHeight="false" outlineLevel="0" collapsed="false">
      <c r="A4038" s="6" t="n">
        <v>43030.5405555556</v>
      </c>
      <c r="B4038" s="7" t="str">
        <f aca="false">HYPERLINK("https://twitter.com/tokunalsingh","@tokunalsingh")</f>
        <v>@tokunalsingh</v>
      </c>
      <c r="C4038" s="8" t="s">
        <v>9774</v>
      </c>
      <c r="D4038" s="8" t="s">
        <v>8538</v>
      </c>
      <c r="E4038" s="9" t="str">
        <f aca="false">HYPERLINK("https://twitter.com/tokunalsingh/status/922190420662214657","922190420662214657")</f>
        <v>922190420662214657</v>
      </c>
      <c r="F4038" s="10" t="s">
        <v>51</v>
      </c>
      <c r="G4038" s="10" t="n">
        <v>85</v>
      </c>
      <c r="H4038" s="10" t="n">
        <v>448</v>
      </c>
      <c r="I4038" s="10" t="n">
        <v>1015</v>
      </c>
      <c r="J4038" s="10" t="n">
        <v>0</v>
      </c>
      <c r="K4038" s="10" t="s">
        <v>20</v>
      </c>
      <c r="L4038" s="11" t="n">
        <v>40638.1864699074</v>
      </c>
      <c r="M4038" s="12"/>
      <c r="N4038" s="12"/>
      <c r="O4038" s="9" t="str">
        <f aca="false">HYPERLINK("https://pbs.twimg.com/profile_images/858090431116173312/QKfHvTgC_normal.jpg","View")</f>
        <v>View</v>
      </c>
      <c r="P4038" s="10"/>
    </row>
    <row r="4039" customFormat="false" ht="15.75" hidden="false" customHeight="false" outlineLevel="0" collapsed="false">
      <c r="A4039" s="6" t="n">
        <v>43030.5406134259</v>
      </c>
      <c r="B4039" s="7" t="str">
        <f aca="false">HYPERLINK("https://twitter.com/TeisKnuthsen","@TeisKnuthsen")</f>
        <v>@TeisKnuthsen</v>
      </c>
      <c r="C4039" s="8" t="s">
        <v>9775</v>
      </c>
      <c r="D4039" s="8" t="s">
        <v>9776</v>
      </c>
      <c r="E4039" s="9" t="str">
        <f aca="false">HYPERLINK("https://twitter.com/TeisKnuthsen/status/922190441914732544","922190441914732544")</f>
        <v>922190441914732544</v>
      </c>
      <c r="F4039" s="10" t="s">
        <v>177</v>
      </c>
      <c r="G4039" s="10" t="n">
        <v>1508</v>
      </c>
      <c r="H4039" s="10" t="n">
        <v>345</v>
      </c>
      <c r="I4039" s="10" t="n">
        <v>1</v>
      </c>
      <c r="J4039" s="10" t="n">
        <v>1</v>
      </c>
      <c r="K4039" s="10" t="s">
        <v>20</v>
      </c>
      <c r="L4039" s="11" t="n">
        <v>41187.2677546296</v>
      </c>
      <c r="M4039" s="12" t="s">
        <v>9777</v>
      </c>
      <c r="N4039" s="12" t="s">
        <v>9778</v>
      </c>
      <c r="O4039" s="9" t="str">
        <f aca="false">HYPERLINK("https://pbs.twimg.com/profile_images/481384932095184896/4PpYefHa_normal.png","View")</f>
        <v>View</v>
      </c>
      <c r="P4039" s="10"/>
    </row>
    <row r="4040" customFormat="false" ht="15.75" hidden="false" customHeight="false" outlineLevel="0" collapsed="false">
      <c r="A4040" s="6" t="n">
        <v>43030.5408101852</v>
      </c>
      <c r="B4040" s="7" t="str">
        <f aca="false">HYPERLINK("https://twitter.com/mahanthanut","@mahanthanut")</f>
        <v>@mahanthanut</v>
      </c>
      <c r="C4040" s="8" t="s">
        <v>4083</v>
      </c>
      <c r="D4040" s="8" t="s">
        <v>9779</v>
      </c>
      <c r="E4040" s="9" t="str">
        <f aca="false">HYPERLINK("https://twitter.com/mahanthanut/status/922190512550854656","922190512550854656")</f>
        <v>922190512550854656</v>
      </c>
      <c r="F4040" s="10" t="s">
        <v>39</v>
      </c>
      <c r="G4040" s="10" t="n">
        <v>755</v>
      </c>
      <c r="H4040" s="10" t="n">
        <v>1972</v>
      </c>
      <c r="I4040" s="10" t="n">
        <v>0</v>
      </c>
      <c r="J4040" s="10" t="n">
        <v>0</v>
      </c>
      <c r="K4040" s="10" t="s">
        <v>20</v>
      </c>
      <c r="L4040" s="11" t="n">
        <v>42066.3065046296</v>
      </c>
      <c r="M4040" s="12"/>
      <c r="N4040" s="12"/>
      <c r="O4040" s="9" t="str">
        <f aca="false">HYPERLINK("https://pbs.twimg.com/profile_images/602460467231985666/I5K3SbBA_normal.jpg","View")</f>
        <v>View</v>
      </c>
      <c r="P4040" s="10"/>
    </row>
    <row r="4041" customFormat="false" ht="15.75" hidden="false" customHeight="false" outlineLevel="0" collapsed="false">
      <c r="A4041" s="6" t="n">
        <v>43030.5417592593</v>
      </c>
      <c r="B4041" s="7" t="str">
        <f aca="false">HYPERLINK("https://twitter.com/AJENews","@AJENews")</f>
        <v>@AJENews</v>
      </c>
      <c r="C4041" s="8" t="s">
        <v>3960</v>
      </c>
      <c r="D4041" s="8" t="s">
        <v>9780</v>
      </c>
      <c r="E4041" s="9" t="str">
        <f aca="false">HYPERLINK("https://twitter.com/AJENews/status/922190859017293825","922190859017293825")</f>
        <v>922190859017293825</v>
      </c>
      <c r="F4041" s="10" t="s">
        <v>268</v>
      </c>
      <c r="G4041" s="10" t="n">
        <v>1337242</v>
      </c>
      <c r="H4041" s="10" t="n">
        <v>377</v>
      </c>
      <c r="I4041" s="10" t="n">
        <v>17</v>
      </c>
      <c r="J4041" s="10" t="n">
        <v>21</v>
      </c>
      <c r="K4041" s="10" t="s">
        <v>20</v>
      </c>
      <c r="L4041" s="11" t="n">
        <v>39810.0017592593</v>
      </c>
      <c r="M4041" s="12" t="s">
        <v>3962</v>
      </c>
      <c r="N4041" s="12" t="s">
        <v>3963</v>
      </c>
      <c r="O4041" s="9" t="str">
        <f aca="false">HYPERLINK("https://pbs.twimg.com/profile_images/875639380781563906/b1J1YbIE_normal.jpg","View")</f>
        <v>View</v>
      </c>
      <c r="P4041" s="10"/>
    </row>
    <row r="4042" customFormat="false" ht="15.75" hidden="false" customHeight="false" outlineLevel="0" collapsed="false">
      <c r="A4042" s="6" t="n">
        <v>43030.5418171296</v>
      </c>
      <c r="B4042" s="7" t="str">
        <f aca="false">HYPERLINK("https://twitter.com/Uskeus","@Uskeus")</f>
        <v>@Uskeus</v>
      </c>
      <c r="C4042" s="8" t="s">
        <v>9079</v>
      </c>
      <c r="D4042" s="8" t="s">
        <v>9781</v>
      </c>
      <c r="E4042" s="9" t="str">
        <f aca="false">HYPERLINK("https://twitter.com/Uskeus/status/922190878193737729","922190878193737729")</f>
        <v>922190878193737729</v>
      </c>
      <c r="F4042" s="10" t="s">
        <v>60</v>
      </c>
      <c r="G4042" s="10" t="n">
        <v>5696</v>
      </c>
      <c r="H4042" s="10" t="n">
        <v>220</v>
      </c>
      <c r="I4042" s="10" t="n">
        <v>0</v>
      </c>
      <c r="J4042" s="10" t="n">
        <v>0</v>
      </c>
      <c r="K4042" s="10" t="s">
        <v>20</v>
      </c>
      <c r="L4042" s="11" t="n">
        <v>41205.6555208333</v>
      </c>
      <c r="M4042" s="12" t="s">
        <v>2102</v>
      </c>
      <c r="N4042" s="12" t="s">
        <v>9081</v>
      </c>
      <c r="O4042" s="9" t="str">
        <f aca="false">HYPERLINK("https://pbs.twimg.com/profile_images/846077056089837570/9DcO0UTl_normal.jpg","View")</f>
        <v>View</v>
      </c>
      <c r="P4042" s="10"/>
    </row>
    <row r="4043" customFormat="false" ht="15.75" hidden="false" customHeight="false" outlineLevel="0" collapsed="false">
      <c r="A4043" s="6" t="n">
        <v>43030.5425</v>
      </c>
      <c r="B4043" s="7" t="str">
        <f aca="false">HYPERLINK("https://twitter.com/JJ199X","@JJ199X")</f>
        <v>@JJ199X</v>
      </c>
      <c r="C4043" s="14" t="s">
        <v>9782</v>
      </c>
      <c r="D4043" s="8" t="s">
        <v>9783</v>
      </c>
      <c r="E4043" s="9" t="str">
        <f aca="false">HYPERLINK("https://twitter.com/JJ199X/status/922191127385489408","922191127385489408")</f>
        <v>922191127385489408</v>
      </c>
      <c r="F4043" s="10" t="s">
        <v>39</v>
      </c>
      <c r="G4043" s="10" t="n">
        <v>1385</v>
      </c>
      <c r="H4043" s="10" t="n">
        <v>1063</v>
      </c>
      <c r="I4043" s="10" t="n">
        <v>17</v>
      </c>
      <c r="J4043" s="10" t="n">
        <v>0</v>
      </c>
      <c r="K4043" s="10" t="s">
        <v>20</v>
      </c>
      <c r="L4043" s="11" t="n">
        <v>40311.2086226852</v>
      </c>
      <c r="M4043" s="13" t="s">
        <v>9784</v>
      </c>
      <c r="N4043" s="13" t="s">
        <v>9785</v>
      </c>
      <c r="O4043" s="9" t="str">
        <f aca="false">HYPERLINK("https://pbs.twimg.com/profile_images/921859547915890688/DD8XVPYn_normal.jpg","View")</f>
        <v>View</v>
      </c>
      <c r="P4043" s="10"/>
    </row>
    <row r="4044" customFormat="false" ht="15.75" hidden="false" customHeight="false" outlineLevel="0" collapsed="false">
      <c r="A4044" s="6" t="n">
        <v>43030.5426273148</v>
      </c>
      <c r="B4044" s="7" t="str">
        <f aca="false">HYPERLINK("https://twitter.com/TaisHyltoft","@TaisHyltoft")</f>
        <v>@TaisHyltoft</v>
      </c>
      <c r="C4044" s="8" t="s">
        <v>9786</v>
      </c>
      <c r="D4044" s="8" t="s">
        <v>9787</v>
      </c>
      <c r="E4044" s="9" t="str">
        <f aca="false">HYPERLINK("https://twitter.com/TaisHyltoft/status/922191169752305665","922191169752305665")</f>
        <v>922191169752305665</v>
      </c>
      <c r="F4044" s="10" t="s">
        <v>51</v>
      </c>
      <c r="G4044" s="10" t="n">
        <v>30</v>
      </c>
      <c r="H4044" s="10" t="n">
        <v>101</v>
      </c>
      <c r="I4044" s="10" t="n">
        <v>1</v>
      </c>
      <c r="J4044" s="10" t="n">
        <v>0</v>
      </c>
      <c r="K4044" s="10" t="s">
        <v>20</v>
      </c>
      <c r="L4044" s="11" t="n">
        <v>40063.4365393519</v>
      </c>
      <c r="M4044" s="12" t="s">
        <v>9788</v>
      </c>
      <c r="N4044" s="12"/>
      <c r="O4044" s="9" t="str">
        <f aca="false">HYPERLINK("https://pbs.twimg.com/profile_images/720762685806231553/Y9VRDkid_normal.jpg","View")</f>
        <v>View</v>
      </c>
      <c r="P4044" s="10"/>
    </row>
    <row r="4045" customFormat="false" ht="15.75" hidden="false" customHeight="false" outlineLevel="0" collapsed="false">
      <c r="A4045" s="6" t="n">
        <v>43030.5426851852</v>
      </c>
      <c r="B4045" s="7" t="str">
        <f aca="false">HYPERLINK("https://twitter.com/InsdataInter","@InsdataInter")</f>
        <v>@InsdataInter</v>
      </c>
      <c r="C4045" s="8" t="s">
        <v>1860</v>
      </c>
      <c r="D4045" s="8" t="s">
        <v>7754</v>
      </c>
      <c r="E4045" s="9" t="str">
        <f aca="false">HYPERLINK("https://twitter.com/InsdataInter/status/922191193412456448","922191193412456448")</f>
        <v>922191193412456448</v>
      </c>
      <c r="F4045" s="10" t="s">
        <v>51</v>
      </c>
      <c r="G4045" s="10" t="n">
        <v>1729</v>
      </c>
      <c r="H4045" s="10" t="n">
        <v>2947</v>
      </c>
      <c r="I4045" s="10" t="n">
        <v>20</v>
      </c>
      <c r="J4045" s="10" t="n">
        <v>0</v>
      </c>
      <c r="K4045" s="10" t="s">
        <v>20</v>
      </c>
      <c r="L4045" s="11" t="n">
        <v>41533.3899768519</v>
      </c>
      <c r="M4045" s="12" t="s">
        <v>1861</v>
      </c>
      <c r="N4045" s="12"/>
      <c r="O4045" s="9" t="str">
        <f aca="false">HYPERLINK("https://pbs.twimg.com/profile_images/378800000501893520/b4582cd3ce52a7c47133d606b639176e_normal.jpeg","View")</f>
        <v>View</v>
      </c>
      <c r="P4045" s="10"/>
    </row>
    <row r="4046" customFormat="false" ht="15.75" hidden="false" customHeight="false" outlineLevel="0" collapsed="false">
      <c r="A4046" s="6" t="n">
        <v>43030.5427083333</v>
      </c>
      <c r="B4046" s="7" t="str">
        <f aca="false">HYPERLINK("https://twitter.com/grhutchens","@grhutchens")</f>
        <v>@grhutchens</v>
      </c>
      <c r="C4046" s="8" t="s">
        <v>9789</v>
      </c>
      <c r="D4046" s="8" t="s">
        <v>9790</v>
      </c>
      <c r="E4046" s="9" t="str">
        <f aca="false">HYPERLINK("https://twitter.com/grhutchens/status/922191202652270592","922191202652270592")</f>
        <v>922191202652270592</v>
      </c>
      <c r="F4046" s="10" t="s">
        <v>39</v>
      </c>
      <c r="G4046" s="10" t="n">
        <v>3020</v>
      </c>
      <c r="H4046" s="10" t="n">
        <v>2012</v>
      </c>
      <c r="I4046" s="10" t="n">
        <v>4</v>
      </c>
      <c r="J4046" s="10" t="n">
        <v>2</v>
      </c>
      <c r="K4046" s="10" t="s">
        <v>20</v>
      </c>
      <c r="L4046" s="11" t="n">
        <v>40521.1400115741</v>
      </c>
      <c r="M4046" s="12" t="s">
        <v>9791</v>
      </c>
      <c r="N4046" s="12" t="s">
        <v>9792</v>
      </c>
      <c r="O4046" s="9" t="str">
        <f aca="false">HYPERLINK("https://pbs.twimg.com/profile_images/630232111572606976/RYAG4UPH_normal.jpg","View")</f>
        <v>View</v>
      </c>
      <c r="P4046" s="10"/>
    </row>
    <row r="4047" customFormat="false" ht="15.75" hidden="false" customHeight="false" outlineLevel="0" collapsed="false">
      <c r="A4047" s="6" t="n">
        <v>43030.5431828704</v>
      </c>
      <c r="B4047" s="7" t="str">
        <f aca="false">HYPERLINK("https://twitter.com/DailyHeadlines","@DailyHeadlines")</f>
        <v>@DailyHeadlines</v>
      </c>
      <c r="C4047" s="8" t="s">
        <v>9793</v>
      </c>
      <c r="D4047" s="8" t="s">
        <v>9794</v>
      </c>
      <c r="E4047" s="9" t="str">
        <f aca="false">HYPERLINK("https://twitter.com/DailyHeadlines/status/922191374262456322","922191374262456322")</f>
        <v>922191374262456322</v>
      </c>
      <c r="F4047" s="10" t="s">
        <v>51</v>
      </c>
      <c r="G4047" s="10" t="n">
        <v>80</v>
      </c>
      <c r="H4047" s="10" t="n">
        <v>133</v>
      </c>
      <c r="I4047" s="10" t="n">
        <v>0</v>
      </c>
      <c r="J4047" s="10" t="n">
        <v>0</v>
      </c>
      <c r="K4047" s="10" t="s">
        <v>20</v>
      </c>
      <c r="L4047" s="11" t="n">
        <v>40613.3947569444</v>
      </c>
      <c r="M4047" s="12" t="s">
        <v>9682</v>
      </c>
      <c r="N4047" s="12" t="s">
        <v>9795</v>
      </c>
      <c r="O4047" s="9" t="str">
        <f aca="false">HYPERLINK("https://pbs.twimg.com/profile_images/1269055057/extra-news_normal.jpg","View")</f>
        <v>View</v>
      </c>
      <c r="P4047" s="10"/>
    </row>
    <row r="4048" customFormat="false" ht="15.75" hidden="false" customHeight="false" outlineLevel="0" collapsed="false">
      <c r="A4048" s="6" t="n">
        <v>43030.5432291667</v>
      </c>
      <c r="B4048" s="7" t="str">
        <f aca="false">HYPERLINK("https://twitter.com/newgyan","@newgyan")</f>
        <v>@newgyan</v>
      </c>
      <c r="C4048" s="8" t="s">
        <v>9796</v>
      </c>
      <c r="D4048" s="8" t="s">
        <v>8538</v>
      </c>
      <c r="E4048" s="9" t="str">
        <f aca="false">HYPERLINK("https://twitter.com/newgyan/status/922191388376162304","922191388376162304")</f>
        <v>922191388376162304</v>
      </c>
      <c r="F4048" s="10" t="s">
        <v>39</v>
      </c>
      <c r="G4048" s="10" t="n">
        <v>208</v>
      </c>
      <c r="H4048" s="10" t="n">
        <v>651</v>
      </c>
      <c r="I4048" s="10" t="n">
        <v>1015</v>
      </c>
      <c r="J4048" s="10" t="n">
        <v>0</v>
      </c>
      <c r="K4048" s="10" t="s">
        <v>20</v>
      </c>
      <c r="L4048" s="11" t="n">
        <v>42846.8214699074</v>
      </c>
      <c r="M4048" s="12" t="s">
        <v>9797</v>
      </c>
      <c r="N4048" s="12" t="s">
        <v>9798</v>
      </c>
      <c r="O4048" s="9" t="str">
        <f aca="false">HYPERLINK("https://pbs.twimg.com/profile_images/911534841564295168/UOrnWJS4_normal.jpg","View")</f>
        <v>View</v>
      </c>
      <c r="P4048" s="10"/>
    </row>
    <row r="4049" customFormat="false" ht="15.75" hidden="false" customHeight="false" outlineLevel="0" collapsed="false">
      <c r="A4049" s="6" t="n">
        <v>43030.5437268519</v>
      </c>
      <c r="B4049" s="7" t="str">
        <f aca="false">HYPERLINK("https://twitter.com/GrogsGamut","@GrogsGamut")</f>
        <v>@GrogsGamut</v>
      </c>
      <c r="C4049" s="8" t="s">
        <v>9799</v>
      </c>
      <c r="D4049" s="8" t="s">
        <v>9800</v>
      </c>
      <c r="E4049" s="9" t="str">
        <f aca="false">HYPERLINK("https://twitter.com/GrogsGamut/status/922191568932503553","922191568932503553")</f>
        <v>922191568932503553</v>
      </c>
      <c r="F4049" s="10" t="s">
        <v>51</v>
      </c>
      <c r="G4049" s="10" t="n">
        <v>46119</v>
      </c>
      <c r="H4049" s="10" t="n">
        <v>1759</v>
      </c>
      <c r="I4049" s="10" t="n">
        <v>4</v>
      </c>
      <c r="J4049" s="10" t="n">
        <v>0</v>
      </c>
      <c r="K4049" s="10" t="s">
        <v>20</v>
      </c>
      <c r="L4049" s="11" t="n">
        <v>39988.9352662037</v>
      </c>
      <c r="M4049" s="12" t="s">
        <v>233</v>
      </c>
      <c r="N4049" s="12" t="s">
        <v>9801</v>
      </c>
      <c r="O4049" s="9" t="str">
        <f aca="false">HYPERLINK("https://pbs.twimg.com/profile_images/1285347650/ralph_fiennes_normal.jpg","View")</f>
        <v>View</v>
      </c>
      <c r="P4049" s="10"/>
    </row>
    <row r="4050" customFormat="false" ht="15.75" hidden="false" customHeight="false" outlineLevel="0" collapsed="false">
      <c r="A4050" s="6" t="n">
        <v>43030.5442476852</v>
      </c>
      <c r="B4050" s="7" t="str">
        <f aca="false">HYPERLINK("https://twitter.com/gerrylynch","@gerrylynch")</f>
        <v>@gerrylynch</v>
      </c>
      <c r="C4050" s="8" t="s">
        <v>9802</v>
      </c>
      <c r="D4050" s="8" t="s">
        <v>9803</v>
      </c>
      <c r="E4050" s="9" t="str">
        <f aca="false">HYPERLINK("https://twitter.com/gerrylynch/status/922191758318100480","922191758318100480")</f>
        <v>922191758318100480</v>
      </c>
      <c r="F4050" s="10" t="s">
        <v>39</v>
      </c>
      <c r="G4050" s="10" t="n">
        <v>3222</v>
      </c>
      <c r="H4050" s="10" t="n">
        <v>1946</v>
      </c>
      <c r="I4050" s="10" t="n">
        <v>0</v>
      </c>
      <c r="J4050" s="10" t="n">
        <v>1</v>
      </c>
      <c r="K4050" s="10" t="s">
        <v>20</v>
      </c>
      <c r="L4050" s="11" t="n">
        <v>39874.2672337963</v>
      </c>
      <c r="M4050" s="12" t="s">
        <v>9804</v>
      </c>
      <c r="N4050" s="12" t="s">
        <v>9805</v>
      </c>
      <c r="O4050" s="9" t="str">
        <f aca="false">HYPERLINK("https://pbs.twimg.com/profile_images/784804817323560961/jKkBElP4_normal.jpg","View")</f>
        <v>View</v>
      </c>
      <c r="P4050" s="10"/>
    </row>
    <row r="4051" customFormat="false" ht="15.75" hidden="false" customHeight="false" outlineLevel="0" collapsed="false">
      <c r="A4051" s="6" t="n">
        <v>43030.5448611111</v>
      </c>
      <c r="B4051" s="7" t="str">
        <f aca="false">HYPERLINK("https://twitter.com/kim_babac","@kim_babac")</f>
        <v>@kim_babac</v>
      </c>
      <c r="C4051" s="8" t="s">
        <v>9806</v>
      </c>
      <c r="D4051" s="8" t="s">
        <v>9807</v>
      </c>
      <c r="E4051" s="9" t="str">
        <f aca="false">HYPERLINK("https://twitter.com/kim_babac/status/922191979861209088","922191979861209088")</f>
        <v>922191979861209088</v>
      </c>
      <c r="F4051" s="10" t="s">
        <v>60</v>
      </c>
      <c r="G4051" s="10" t="n">
        <v>39</v>
      </c>
      <c r="H4051" s="10" t="n">
        <v>6</v>
      </c>
      <c r="I4051" s="10" t="n">
        <v>0</v>
      </c>
      <c r="J4051" s="10" t="n">
        <v>0</v>
      </c>
      <c r="K4051" s="10" t="s">
        <v>20</v>
      </c>
      <c r="L4051" s="11" t="n">
        <v>42279.0269675926</v>
      </c>
      <c r="M4051" s="12" t="s">
        <v>9808</v>
      </c>
      <c r="N4051" s="12" t="s">
        <v>9809</v>
      </c>
      <c r="O4051" s="9" t="str">
        <f aca="false">HYPERLINK("https://pbs.twimg.com/profile_images/649851338700947456/qRQuARq0_normal.jpg","View")</f>
        <v>View</v>
      </c>
      <c r="P4051" s="10"/>
    </row>
    <row r="4052" customFormat="false" ht="15.75" hidden="false" customHeight="false" outlineLevel="0" collapsed="false">
      <c r="A4052" s="6" t="n">
        <v>43030.5449768519</v>
      </c>
      <c r="B4052" s="7" t="str">
        <f aca="false">HYPERLINK("https://twitter.com/AyodeleOlabode","@AyodeleOlabode")</f>
        <v>@AyodeleOlabode</v>
      </c>
      <c r="C4052" s="8" t="s">
        <v>9810</v>
      </c>
      <c r="D4052" s="8" t="s">
        <v>9783</v>
      </c>
      <c r="E4052" s="9" t="str">
        <f aca="false">HYPERLINK("https://twitter.com/AyodeleOlabode/status/922192023591051264","922192023591051264")</f>
        <v>922192023591051264</v>
      </c>
      <c r="F4052" s="10" t="s">
        <v>25</v>
      </c>
      <c r="G4052" s="10" t="n">
        <v>277</v>
      </c>
      <c r="H4052" s="10" t="n">
        <v>428</v>
      </c>
      <c r="I4052" s="10" t="n">
        <v>17</v>
      </c>
      <c r="J4052" s="10" t="n">
        <v>0</v>
      </c>
      <c r="K4052" s="10" t="s">
        <v>20</v>
      </c>
      <c r="L4052" s="11" t="n">
        <v>40263.1990856482</v>
      </c>
      <c r="M4052" s="12"/>
      <c r="N4052" s="12" t="s">
        <v>9811</v>
      </c>
      <c r="O4052" s="9" t="str">
        <f aca="false">HYPERLINK("https://pbs.twimg.com/profile_images/863476822385754116/nvtADZ2V_normal.jpg","View")</f>
        <v>View</v>
      </c>
      <c r="P4052" s="10"/>
    </row>
    <row r="4053" customFormat="false" ht="15.75" hidden="false" customHeight="false" outlineLevel="0" collapsed="false">
      <c r="A4053" s="6" t="n">
        <v>43030.545</v>
      </c>
      <c r="B4053" s="7" t="str">
        <f aca="false">HYPERLINK("https://twitter.com/EnigmaNetxx","@EnigmaNetxx")</f>
        <v>@EnigmaNetxx</v>
      </c>
      <c r="C4053" s="8" t="s">
        <v>9812</v>
      </c>
      <c r="D4053" s="8" t="s">
        <v>9783</v>
      </c>
      <c r="E4053" s="9" t="str">
        <f aca="false">HYPERLINK("https://twitter.com/EnigmaNetxx/status/922192030498930688","922192030498930688")</f>
        <v>922192030498930688</v>
      </c>
      <c r="F4053" s="10" t="s">
        <v>25</v>
      </c>
      <c r="G4053" s="10" t="n">
        <v>6436</v>
      </c>
      <c r="H4053" s="10" t="n">
        <v>582</v>
      </c>
      <c r="I4053" s="10" t="n">
        <v>17</v>
      </c>
      <c r="J4053" s="10" t="n">
        <v>0</v>
      </c>
      <c r="K4053" s="10" t="s">
        <v>20</v>
      </c>
      <c r="L4053" s="11" t="n">
        <v>40371.8137962963</v>
      </c>
      <c r="M4053" s="12" t="s">
        <v>9813</v>
      </c>
      <c r="N4053" s="12" t="s">
        <v>9814</v>
      </c>
      <c r="O4053" s="9" t="str">
        <f aca="false">HYPERLINK("https://pbs.twimg.com/profile_images/821147459875311616/zZRh52Rc_normal.jpg","View")</f>
        <v>View</v>
      </c>
      <c r="P4053" s="10"/>
    </row>
    <row r="4054" customFormat="false" ht="15.75" hidden="false" customHeight="false" outlineLevel="0" collapsed="false">
      <c r="A4054" s="6" t="n">
        <v>43030.5454166667</v>
      </c>
      <c r="B4054" s="7" t="str">
        <f aca="false">HYPERLINK("https://twitter.com/priyangsir","@priyangsir")</f>
        <v>@priyangsir</v>
      </c>
      <c r="C4054" s="8" t="s">
        <v>9815</v>
      </c>
      <c r="D4054" s="8" t="s">
        <v>8538</v>
      </c>
      <c r="E4054" s="9" t="str">
        <f aca="false">HYPERLINK("https://twitter.com/priyangsir/status/922192182546644992","922192182546644992")</f>
        <v>922192182546644992</v>
      </c>
      <c r="F4054" s="10" t="s">
        <v>51</v>
      </c>
      <c r="G4054" s="10" t="n">
        <v>92</v>
      </c>
      <c r="H4054" s="10" t="n">
        <v>260</v>
      </c>
      <c r="I4054" s="10" t="n">
        <v>1015</v>
      </c>
      <c r="J4054" s="10" t="n">
        <v>0</v>
      </c>
      <c r="K4054" s="10" t="s">
        <v>20</v>
      </c>
      <c r="L4054" s="11" t="n">
        <v>40364.4344907407</v>
      </c>
      <c r="M4054" s="12" t="s">
        <v>4414</v>
      </c>
      <c r="N4054" s="12" t="s">
        <v>9816</v>
      </c>
      <c r="O4054" s="9" t="str">
        <f aca="false">HYPERLINK("https://pbs.twimg.com/profile_images/805151712956686336/JdMiGxqq_normal.jpg","View")</f>
        <v>View</v>
      </c>
      <c r="P4054" s="10"/>
    </row>
    <row r="4055" customFormat="false" ht="15.75" hidden="false" customHeight="false" outlineLevel="0" collapsed="false">
      <c r="A4055" s="6" t="n">
        <v>43030.5456018519</v>
      </c>
      <c r="B4055" s="7" t="str">
        <f aca="false">HYPERLINK("https://twitter.com/purengom","@purengom")</f>
        <v>@purengom</v>
      </c>
      <c r="C4055" s="14" t="s">
        <v>9817</v>
      </c>
      <c r="D4055" s="8" t="s">
        <v>9818</v>
      </c>
      <c r="E4055" s="9" t="str">
        <f aca="false">HYPERLINK("https://twitter.com/purengom/status/922192248745234433","922192248745234433")</f>
        <v>922192248745234433</v>
      </c>
      <c r="F4055" s="9" t="s">
        <v>1147</v>
      </c>
      <c r="G4055" s="10" t="n">
        <v>2493</v>
      </c>
      <c r="H4055" s="10" t="n">
        <v>2116</v>
      </c>
      <c r="I4055" s="10" t="n">
        <v>1</v>
      </c>
      <c r="J4055" s="10" t="n">
        <v>0</v>
      </c>
      <c r="K4055" s="10" t="s">
        <v>20</v>
      </c>
      <c r="L4055" s="11" t="n">
        <v>40032.3920138889</v>
      </c>
      <c r="M4055" s="12" t="s">
        <v>4161</v>
      </c>
      <c r="N4055" s="12" t="s">
        <v>9819</v>
      </c>
      <c r="O4055" s="9" t="str">
        <f aca="false">HYPERLINK("https://pbs.twimg.com/profile_images/877844139957641216/p_-HFqBn_normal.jpg","View")</f>
        <v>View</v>
      </c>
      <c r="P4055" s="10"/>
    </row>
    <row r="4056" customFormat="false" ht="15.75" hidden="false" customHeight="false" outlineLevel="0" collapsed="false">
      <c r="A4056" s="6" t="n">
        <v>43030.5456944445</v>
      </c>
      <c r="B4056" s="7" t="str">
        <f aca="false">HYPERLINK("https://twitter.com/Priya_B_tweets","@Priya_B_tweets")</f>
        <v>@Priya_B_tweets</v>
      </c>
      <c r="C4056" s="8" t="s">
        <v>9820</v>
      </c>
      <c r="D4056" s="8" t="s">
        <v>8538</v>
      </c>
      <c r="E4056" s="9" t="str">
        <f aca="false">HYPERLINK("https://twitter.com/Priya_B_tweets/status/922192283901898752","922192283901898752")</f>
        <v>922192283901898752</v>
      </c>
      <c r="F4056" s="10" t="s">
        <v>25</v>
      </c>
      <c r="G4056" s="10" t="n">
        <v>100</v>
      </c>
      <c r="H4056" s="10" t="n">
        <v>26</v>
      </c>
      <c r="I4056" s="10" t="n">
        <v>1015</v>
      </c>
      <c r="J4056" s="10" t="n">
        <v>0</v>
      </c>
      <c r="K4056" s="10" t="s">
        <v>20</v>
      </c>
      <c r="L4056" s="11" t="n">
        <v>42803.4088888889</v>
      </c>
      <c r="M4056" s="12" t="s">
        <v>9821</v>
      </c>
      <c r="N4056" s="12" t="s">
        <v>9822</v>
      </c>
      <c r="O4056" s="9" t="str">
        <f aca="false">HYPERLINK("https://pbs.twimg.com/profile_images/885146772372193280/qWfdRQWt_normal.jpg","View")</f>
        <v>View</v>
      </c>
      <c r="P4056" s="10"/>
    </row>
    <row r="4057" customFormat="false" ht="15.75" hidden="false" customHeight="false" outlineLevel="0" collapsed="false">
      <c r="A4057" s="6" t="n">
        <v>43030.5458796296</v>
      </c>
      <c r="B4057" s="7" t="str">
        <f aca="false">HYPERLINK("https://twitter.com/morrowgl","@morrowgl")</f>
        <v>@morrowgl</v>
      </c>
      <c r="C4057" s="8" t="s">
        <v>9823</v>
      </c>
      <c r="D4057" s="8" t="s">
        <v>9824</v>
      </c>
      <c r="E4057" s="9" t="str">
        <f aca="false">HYPERLINK("https://twitter.com/morrowgl/status/922192351786881024","922192351786881024")</f>
        <v>922192351786881024</v>
      </c>
      <c r="F4057" s="10" t="s">
        <v>39</v>
      </c>
      <c r="G4057" s="10" t="n">
        <v>1457</v>
      </c>
      <c r="H4057" s="10" t="n">
        <v>1346</v>
      </c>
      <c r="I4057" s="10" t="n">
        <v>0</v>
      </c>
      <c r="J4057" s="10" t="n">
        <v>0</v>
      </c>
      <c r="K4057" s="10" t="s">
        <v>20</v>
      </c>
      <c r="L4057" s="11" t="n">
        <v>41254.8680902778</v>
      </c>
      <c r="M4057" s="12" t="s">
        <v>495</v>
      </c>
      <c r="N4057" s="12" t="s">
        <v>9825</v>
      </c>
      <c r="O4057" s="9" t="str">
        <f aca="false">HYPERLINK("https://pbs.twimg.com/profile_images/883841593714761728/yM7uL3TL_normal.jpg","View")</f>
        <v>View</v>
      </c>
      <c r="P4057" s="10"/>
    </row>
    <row r="4058" customFormat="false" ht="15.75" hidden="false" customHeight="false" outlineLevel="0" collapsed="false">
      <c r="A4058" s="6" t="n">
        <v>43030.5466666667</v>
      </c>
      <c r="B4058" s="7" t="str">
        <f aca="false">HYPERLINK("https://twitter.com/NTKRNow","@NTKRNow")</f>
        <v>@NTKRNow</v>
      </c>
      <c r="C4058" s="8" t="s">
        <v>829</v>
      </c>
      <c r="D4058" s="8" t="s">
        <v>9826</v>
      </c>
      <c r="E4058" s="9" t="str">
        <f aca="false">HYPERLINK("https://twitter.com/NTKRNow/status/922192633719590913","922192633719590913")</f>
        <v>922192633719590913</v>
      </c>
      <c r="F4058" s="10" t="s">
        <v>60</v>
      </c>
      <c r="G4058" s="10" t="n">
        <v>610</v>
      </c>
      <c r="H4058" s="10" t="n">
        <v>4</v>
      </c>
      <c r="I4058" s="10" t="n">
        <v>0</v>
      </c>
      <c r="J4058" s="10" t="n">
        <v>0</v>
      </c>
      <c r="K4058" s="10" t="s">
        <v>20</v>
      </c>
      <c r="L4058" s="11" t="n">
        <v>42402.810625</v>
      </c>
      <c r="M4058" s="12"/>
      <c r="N4058" s="12"/>
      <c r="O4058" s="9" t="str">
        <f aca="false">HYPERLINK("https://abs.twimg.com/sticky/default_profile_images/default_profile_normal.png","View")</f>
        <v>View</v>
      </c>
      <c r="P4058" s="10"/>
    </row>
    <row r="4059" customFormat="false" ht="15.75" hidden="false" customHeight="false" outlineLevel="0" collapsed="false">
      <c r="A4059" s="6" t="n">
        <v>43030.5468518518</v>
      </c>
      <c r="B4059" s="7" t="str">
        <f aca="false">HYPERLINK("https://twitter.com/tunckar","@tunckar")</f>
        <v>@tunckar</v>
      </c>
      <c r="C4059" s="8" t="s">
        <v>9827</v>
      </c>
      <c r="D4059" s="8" t="s">
        <v>9828</v>
      </c>
      <c r="E4059" s="9" t="str">
        <f aca="false">HYPERLINK("https://twitter.com/tunckar/status/922192702539812864","922192702539812864")</f>
        <v>922192702539812864</v>
      </c>
      <c r="F4059" s="10" t="s">
        <v>51</v>
      </c>
      <c r="G4059" s="10" t="n">
        <v>578</v>
      </c>
      <c r="H4059" s="10" t="n">
        <v>622</v>
      </c>
      <c r="I4059" s="10" t="n">
        <v>1</v>
      </c>
      <c r="J4059" s="10" t="n">
        <v>0</v>
      </c>
      <c r="K4059" s="10" t="s">
        <v>20</v>
      </c>
      <c r="L4059" s="11" t="n">
        <v>40014.0210648148</v>
      </c>
      <c r="M4059" s="12" t="s">
        <v>9829</v>
      </c>
      <c r="N4059" s="12" t="s">
        <v>9830</v>
      </c>
      <c r="O4059" s="9" t="str">
        <f aca="false">HYPERLINK("https://pbs.twimg.com/profile_images/777490677219336192/WxzzFaLx_normal.jpg","View")</f>
        <v>View</v>
      </c>
      <c r="P4059" s="10"/>
    </row>
    <row r="4060" customFormat="false" ht="15.75" hidden="false" customHeight="false" outlineLevel="0" collapsed="false">
      <c r="A4060" s="6" t="n">
        <v>43030.5472569444</v>
      </c>
      <c r="B4060" s="7" t="str">
        <f aca="false">HYPERLINK("https://twitter.com/coonavass","@coonavass")</f>
        <v>@coonavass</v>
      </c>
      <c r="C4060" s="8" t="s">
        <v>9831</v>
      </c>
      <c r="D4060" s="8" t="s">
        <v>9800</v>
      </c>
      <c r="E4060" s="9" t="str">
        <f aca="false">HYPERLINK("https://twitter.com/coonavass/status/922192848103006208","922192848103006208")</f>
        <v>922192848103006208</v>
      </c>
      <c r="F4060" s="10" t="s">
        <v>51</v>
      </c>
      <c r="G4060" s="10" t="n">
        <v>2641</v>
      </c>
      <c r="H4060" s="10" t="n">
        <v>2700</v>
      </c>
      <c r="I4060" s="10" t="n">
        <v>4</v>
      </c>
      <c r="J4060" s="10" t="n">
        <v>0</v>
      </c>
      <c r="K4060" s="10" t="s">
        <v>20</v>
      </c>
      <c r="L4060" s="11" t="n">
        <v>41734.722025463</v>
      </c>
      <c r="M4060" s="12"/>
      <c r="N4060" s="12" t="s">
        <v>9832</v>
      </c>
      <c r="O4060" s="9" t="str">
        <f aca="false">HYPERLINK("https://pbs.twimg.com/profile_images/467225319343026177/5pTUzly2_normal.jpeg","View")</f>
        <v>View</v>
      </c>
      <c r="P4060" s="10"/>
    </row>
    <row r="4061" customFormat="false" ht="15.75" hidden="false" customHeight="false" outlineLevel="0" collapsed="false">
      <c r="A4061" s="6" t="n">
        <v>43030.5472916667</v>
      </c>
      <c r="B4061" s="7" t="str">
        <f aca="false">HYPERLINK("https://twitter.com/KshatriBhunesh","@KshatriBhunesh")</f>
        <v>@KshatriBhunesh</v>
      </c>
      <c r="C4061" s="8" t="s">
        <v>9833</v>
      </c>
      <c r="D4061" s="8" t="s">
        <v>7905</v>
      </c>
      <c r="E4061" s="9" t="str">
        <f aca="false">HYPERLINK("https://twitter.com/KshatriBhunesh/status/922192861780520961","922192861780520961")</f>
        <v>922192861780520961</v>
      </c>
      <c r="F4061" s="10" t="s">
        <v>98</v>
      </c>
      <c r="G4061" s="10" t="n">
        <v>7</v>
      </c>
      <c r="H4061" s="10" t="n">
        <v>21</v>
      </c>
      <c r="I4061" s="10" t="n">
        <v>38</v>
      </c>
      <c r="J4061" s="10" t="n">
        <v>0</v>
      </c>
      <c r="K4061" s="10" t="s">
        <v>20</v>
      </c>
      <c r="L4061" s="11" t="n">
        <v>42863.4061458333</v>
      </c>
      <c r="M4061" s="12"/>
      <c r="N4061" s="12"/>
      <c r="O4061" s="9" t="str">
        <f aca="false">HYPERLINK("https://abs.twimg.com/sticky/default_profile_images/default_profile_normal.png","View")</f>
        <v>View</v>
      </c>
      <c r="P4061" s="10"/>
    </row>
    <row r="4062" customFormat="false" ht="15.75" hidden="false" customHeight="false" outlineLevel="0" collapsed="false">
      <c r="A4062" s="6" t="n">
        <v>43030.5474421296</v>
      </c>
      <c r="B4062" s="7" t="str">
        <f aca="false">HYPERLINK("https://twitter.com/Wersula","@Wersula")</f>
        <v>@Wersula</v>
      </c>
      <c r="C4062" s="8" t="s">
        <v>9834</v>
      </c>
      <c r="D4062" s="8" t="s">
        <v>9800</v>
      </c>
      <c r="E4062" s="9" t="str">
        <f aca="false">HYPERLINK("https://twitter.com/Wersula/status/922192916604321792","922192916604321792")</f>
        <v>922192916604321792</v>
      </c>
      <c r="F4062" s="10" t="s">
        <v>51</v>
      </c>
      <c r="G4062" s="10" t="n">
        <v>2060</v>
      </c>
      <c r="H4062" s="10" t="n">
        <v>2663</v>
      </c>
      <c r="I4062" s="10" t="n">
        <v>4</v>
      </c>
      <c r="J4062" s="10" t="n">
        <v>0</v>
      </c>
      <c r="K4062" s="10" t="s">
        <v>20</v>
      </c>
      <c r="L4062" s="11" t="n">
        <v>39967.189375</v>
      </c>
      <c r="M4062" s="12" t="s">
        <v>1199</v>
      </c>
      <c r="N4062" s="12" t="s">
        <v>9835</v>
      </c>
      <c r="O4062" s="9" t="str">
        <f aca="false">HYPERLINK("https://pbs.twimg.com/profile_images/1423892439/image_normal.jpg","View")</f>
        <v>View</v>
      </c>
      <c r="P4062" s="10"/>
    </row>
    <row r="4063" customFormat="false" ht="15.75" hidden="false" customHeight="false" outlineLevel="0" collapsed="false">
      <c r="A4063" s="6" t="n">
        <v>43030.5482523148</v>
      </c>
      <c r="B4063" s="7" t="str">
        <f aca="false">HYPERLINK("https://twitter.com/WallStreet4Modi","@WallStreet4Modi")</f>
        <v>@WallStreet4Modi</v>
      </c>
      <c r="C4063" s="8" t="s">
        <v>9836</v>
      </c>
      <c r="D4063" s="8" t="s">
        <v>8538</v>
      </c>
      <c r="E4063" s="9" t="str">
        <f aca="false">HYPERLINK("https://twitter.com/WallStreet4Modi/status/922193210448936960","922193210448936960")</f>
        <v>922193210448936960</v>
      </c>
      <c r="F4063" s="10" t="s">
        <v>39</v>
      </c>
      <c r="G4063" s="10" t="n">
        <v>183</v>
      </c>
      <c r="H4063" s="10" t="n">
        <v>178</v>
      </c>
      <c r="I4063" s="10" t="n">
        <v>1015</v>
      </c>
      <c r="J4063" s="10" t="n">
        <v>0</v>
      </c>
      <c r="K4063" s="10" t="s">
        <v>20</v>
      </c>
      <c r="L4063" s="11" t="n">
        <v>41693.7376273148</v>
      </c>
      <c r="M4063" s="12"/>
      <c r="N4063" s="12"/>
      <c r="O4063" s="9" t="str">
        <f aca="false">HYPERLINK("https://pbs.twimg.com/profile_images/695710960602869760/GdscZN1k_normal.jpg","View")</f>
        <v>View</v>
      </c>
      <c r="P4063" s="10"/>
    </row>
    <row r="4064" customFormat="false" ht="15.75" hidden="false" customHeight="false" outlineLevel="0" collapsed="false">
      <c r="A4064" s="6" t="n">
        <v>43030.5483796296</v>
      </c>
      <c r="B4064" s="7" t="str">
        <f aca="false">HYPERLINK("https://twitter.com/itsmyslate","@itsmyslate")</f>
        <v>@itsmyslate</v>
      </c>
      <c r="C4064" s="8" t="s">
        <v>9837</v>
      </c>
      <c r="D4064" s="8" t="s">
        <v>9783</v>
      </c>
      <c r="E4064" s="9" t="str">
        <f aca="false">HYPERLINK("https://twitter.com/itsmyslate/status/922193256829501440","922193256829501440")</f>
        <v>922193256829501440</v>
      </c>
      <c r="F4064" s="10" t="s">
        <v>25</v>
      </c>
      <c r="G4064" s="10" t="n">
        <v>768</v>
      </c>
      <c r="H4064" s="10" t="n">
        <v>4410</v>
      </c>
      <c r="I4064" s="10" t="n">
        <v>17</v>
      </c>
      <c r="J4064" s="10" t="n">
        <v>0</v>
      </c>
      <c r="K4064" s="10" t="s">
        <v>20</v>
      </c>
      <c r="L4064" s="11" t="n">
        <v>40245.3090046296</v>
      </c>
      <c r="M4064" s="12"/>
      <c r="N4064" s="12"/>
      <c r="O4064" s="9" t="str">
        <f aca="false">HYPERLINK("https://abs.twimg.com/sticky/default_profile_images/default_profile_normal.png","View")</f>
        <v>View</v>
      </c>
      <c r="P4064" s="10"/>
    </row>
    <row r="4065" customFormat="false" ht="15.75" hidden="false" customHeight="false" outlineLevel="0" collapsed="false">
      <c r="A4065" s="6" t="n">
        <v>43030.5488425926</v>
      </c>
      <c r="B4065" s="7" t="str">
        <f aca="false">HYPERLINK("https://twitter.com/b1e56df9ce6549f","@b1e56df9ce6549f")</f>
        <v>@b1e56df9ce6549f</v>
      </c>
      <c r="C4065" s="8" t="s">
        <v>9838</v>
      </c>
      <c r="D4065" s="8" t="s">
        <v>9783</v>
      </c>
      <c r="E4065" s="9" t="str">
        <f aca="false">HYPERLINK("https://twitter.com/b1e56df9ce6549f/status/922193426132676608","922193426132676608")</f>
        <v>922193426132676608</v>
      </c>
      <c r="F4065" s="10" t="s">
        <v>25</v>
      </c>
      <c r="G4065" s="10" t="n">
        <v>2390</v>
      </c>
      <c r="H4065" s="10" t="n">
        <v>2800</v>
      </c>
      <c r="I4065" s="10" t="n">
        <v>17</v>
      </c>
      <c r="J4065" s="10" t="n">
        <v>0</v>
      </c>
      <c r="K4065" s="10" t="s">
        <v>20</v>
      </c>
      <c r="L4065" s="11" t="n">
        <v>42188.5443981482</v>
      </c>
      <c r="M4065" s="12"/>
      <c r="N4065" s="12" t="s">
        <v>9839</v>
      </c>
      <c r="O4065" s="9" t="str">
        <f aca="false">HYPERLINK("https://pbs.twimg.com/profile_images/661404634246987776/gpMI4thm_normal.jpg","View")</f>
        <v>View</v>
      </c>
      <c r="P4065" s="10"/>
    </row>
    <row r="4066" customFormat="false" ht="15.75" hidden="false" customHeight="false" outlineLevel="0" collapsed="false">
      <c r="A4066" s="6" t="n">
        <v>43030.5497337963</v>
      </c>
      <c r="B4066" s="7" t="str">
        <f aca="false">HYPERLINK("https://twitter.com/SCGNalwa","@SCGNalwa")</f>
        <v>@SCGNalwa</v>
      </c>
      <c r="C4066" s="8" t="s">
        <v>9840</v>
      </c>
      <c r="D4066" s="8" t="s">
        <v>8538</v>
      </c>
      <c r="E4066" s="9" t="str">
        <f aca="false">HYPERLINK("https://twitter.com/SCGNalwa/status/922193748129402880","922193748129402880")</f>
        <v>922193748129402880</v>
      </c>
      <c r="F4066" s="10" t="s">
        <v>25</v>
      </c>
      <c r="G4066" s="10" t="n">
        <v>225</v>
      </c>
      <c r="H4066" s="10" t="n">
        <v>381</v>
      </c>
      <c r="I4066" s="10" t="n">
        <v>1015</v>
      </c>
      <c r="J4066" s="10" t="n">
        <v>0</v>
      </c>
      <c r="K4066" s="10" t="s">
        <v>20</v>
      </c>
      <c r="L4066" s="11" t="n">
        <v>42135.0963194444</v>
      </c>
      <c r="M4066" s="12" t="s">
        <v>9841</v>
      </c>
      <c r="N4066" s="12" t="s">
        <v>9842</v>
      </c>
      <c r="O4066" s="9" t="str">
        <f aca="false">HYPERLINK("https://pbs.twimg.com/profile_images/874672850363441152/-WRYe886_normal.jpg","View")</f>
        <v>View</v>
      </c>
      <c r="P4066" s="10"/>
    </row>
    <row r="4067" customFormat="false" ht="15.75" hidden="false" customHeight="false" outlineLevel="0" collapsed="false">
      <c r="A4067" s="6" t="n">
        <v>43030.550625</v>
      </c>
      <c r="B4067" s="7" t="str">
        <f aca="false">HYPERLINK("https://twitter.com/detectprst21","@detectprst21")</f>
        <v>@detectprst21</v>
      </c>
      <c r="C4067" s="8" t="s">
        <v>9843</v>
      </c>
      <c r="D4067" s="8" t="s">
        <v>7515</v>
      </c>
      <c r="E4067" s="9" t="str">
        <f aca="false">HYPERLINK("https://twitter.com/detectprst21/status/922194069123604480","922194069123604480")</f>
        <v>922194069123604480</v>
      </c>
      <c r="F4067" s="10" t="s">
        <v>177</v>
      </c>
      <c r="G4067" s="10" t="n">
        <v>1172</v>
      </c>
      <c r="H4067" s="10" t="n">
        <v>4890</v>
      </c>
      <c r="I4067" s="10" t="n">
        <v>25</v>
      </c>
      <c r="J4067" s="10" t="n">
        <v>0</v>
      </c>
      <c r="K4067" s="10" t="s">
        <v>20</v>
      </c>
      <c r="L4067" s="11" t="n">
        <v>42558.4924768519</v>
      </c>
      <c r="M4067" s="13" t="s">
        <v>9844</v>
      </c>
      <c r="N4067" s="13" t="s">
        <v>9845</v>
      </c>
      <c r="O4067" s="9" t="str">
        <f aca="false">HYPERLINK("https://pbs.twimg.com/profile_images/751133387855843328/a5GQ4DKf_normal.jpg","View")</f>
        <v>View</v>
      </c>
      <c r="P4067" s="10"/>
    </row>
    <row r="4068" customFormat="false" ht="15.75" hidden="false" customHeight="false" outlineLevel="0" collapsed="false">
      <c r="A4068" s="6" t="n">
        <v>43030.5518981481</v>
      </c>
      <c r="B4068" s="7" t="str">
        <f aca="false">HYPERLINK("https://twitter.com/detectprst21","@detectprst21")</f>
        <v>@detectprst21</v>
      </c>
      <c r="C4068" s="8" t="s">
        <v>9843</v>
      </c>
      <c r="D4068" s="8" t="s">
        <v>7627</v>
      </c>
      <c r="E4068" s="9" t="str">
        <f aca="false">HYPERLINK("https://twitter.com/detectprst21/status/922194529716912128","922194529716912128")</f>
        <v>922194529716912128</v>
      </c>
      <c r="F4068" s="10" t="s">
        <v>177</v>
      </c>
      <c r="G4068" s="10" t="n">
        <v>1172</v>
      </c>
      <c r="H4068" s="10" t="n">
        <v>4890</v>
      </c>
      <c r="I4068" s="10" t="n">
        <v>20</v>
      </c>
      <c r="J4068" s="10" t="n">
        <v>0</v>
      </c>
      <c r="K4068" s="10" t="s">
        <v>20</v>
      </c>
      <c r="L4068" s="11" t="n">
        <v>42558.4924768519</v>
      </c>
      <c r="M4068" s="13" t="s">
        <v>9844</v>
      </c>
      <c r="N4068" s="13" t="s">
        <v>9845</v>
      </c>
      <c r="O4068" s="9" t="str">
        <f aca="false">HYPERLINK("https://pbs.twimg.com/profile_images/751133387855843328/a5GQ4DKf_normal.jpg","View")</f>
        <v>View</v>
      </c>
      <c r="P4068" s="10"/>
    </row>
    <row r="4069" customFormat="false" ht="15.75" hidden="false" customHeight="false" outlineLevel="0" collapsed="false">
      <c r="A4069" s="6" t="n">
        <v>43030.5524768519</v>
      </c>
      <c r="B4069" s="7" t="str">
        <f aca="false">HYPERLINK("https://twitter.com/hardwalkk","@hardwalkk")</f>
        <v>@hardwalkk</v>
      </c>
      <c r="C4069" s="14" t="s">
        <v>9846</v>
      </c>
      <c r="D4069" s="8" t="s">
        <v>9783</v>
      </c>
      <c r="E4069" s="9" t="str">
        <f aca="false">HYPERLINK("https://twitter.com/hardwalkk/status/922194740627378176","922194740627378176")</f>
        <v>922194740627378176</v>
      </c>
      <c r="F4069" s="10" t="s">
        <v>39</v>
      </c>
      <c r="G4069" s="10" t="n">
        <v>315</v>
      </c>
      <c r="H4069" s="10" t="n">
        <v>585</v>
      </c>
      <c r="I4069" s="10" t="n">
        <v>17</v>
      </c>
      <c r="J4069" s="10" t="n">
        <v>0</v>
      </c>
      <c r="K4069" s="10" t="s">
        <v>20</v>
      </c>
      <c r="L4069" s="11" t="n">
        <v>40469.1063773148</v>
      </c>
      <c r="M4069" s="12"/>
      <c r="N4069" s="13" t="s">
        <v>9847</v>
      </c>
      <c r="O4069" s="9" t="str">
        <f aca="false">HYPERLINK("https://pbs.twimg.com/profile_images/672762679832895488/Ud7yqn73_normal.jpg","View")</f>
        <v>View</v>
      </c>
      <c r="P4069" s="10"/>
    </row>
    <row r="4070" customFormat="false" ht="15.75" hidden="false" customHeight="false" outlineLevel="0" collapsed="false">
      <c r="A4070" s="6" t="n">
        <v>43030.5527546296</v>
      </c>
      <c r="B4070" s="7" t="str">
        <f aca="false">HYPERLINK("https://twitter.com/shailendra1212","@shailendra1212")</f>
        <v>@shailendra1212</v>
      </c>
      <c r="C4070" s="8" t="s">
        <v>9848</v>
      </c>
      <c r="D4070" s="8" t="s">
        <v>8538</v>
      </c>
      <c r="E4070" s="9" t="str">
        <f aca="false">HYPERLINK("https://twitter.com/shailendra1212/status/922194841974407168","922194841974407168")</f>
        <v>922194841974407168</v>
      </c>
      <c r="F4070" s="10" t="s">
        <v>51</v>
      </c>
      <c r="G4070" s="10" t="n">
        <v>549</v>
      </c>
      <c r="H4070" s="10" t="n">
        <v>1136</v>
      </c>
      <c r="I4070" s="10" t="n">
        <v>1015</v>
      </c>
      <c r="J4070" s="10" t="n">
        <v>0</v>
      </c>
      <c r="K4070" s="10" t="s">
        <v>20</v>
      </c>
      <c r="L4070" s="11" t="n">
        <v>40297.3049305556</v>
      </c>
      <c r="M4070" s="12"/>
      <c r="N4070" s="12"/>
      <c r="O4070" s="9" t="str">
        <f aca="false">HYPERLINK("https://abs.twimg.com/sticky/default_profile_images/default_profile_normal.png","View")</f>
        <v>View</v>
      </c>
      <c r="P4070" s="10"/>
    </row>
    <row r="4071" customFormat="false" ht="15.75" hidden="false" customHeight="false" outlineLevel="0" collapsed="false">
      <c r="A4071" s="6" t="n">
        <v>43030.5530555556</v>
      </c>
      <c r="B4071" s="7" t="str">
        <f aca="false">HYPERLINK("https://twitter.com/Cindy_52s","@Cindy_52s")</f>
        <v>@Cindy_52s</v>
      </c>
      <c r="C4071" s="8" t="s">
        <v>9849</v>
      </c>
      <c r="D4071" s="8" t="s">
        <v>9725</v>
      </c>
      <c r="E4071" s="9" t="str">
        <f aca="false">HYPERLINK("https://twitter.com/Cindy_52s/status/922194952167272449","922194952167272449")</f>
        <v>922194952167272449</v>
      </c>
      <c r="F4071" s="10" t="s">
        <v>51</v>
      </c>
      <c r="G4071" s="10" t="n">
        <v>764</v>
      </c>
      <c r="H4071" s="10" t="n">
        <v>597</v>
      </c>
      <c r="I4071" s="10" t="n">
        <v>9</v>
      </c>
      <c r="J4071" s="10" t="n">
        <v>0</v>
      </c>
      <c r="K4071" s="10" t="s">
        <v>20</v>
      </c>
      <c r="L4071" s="11" t="n">
        <v>42596.640162037</v>
      </c>
      <c r="M4071" s="12" t="s">
        <v>230</v>
      </c>
      <c r="N4071" s="12"/>
      <c r="O4071" s="9" t="str">
        <f aca="false">HYPERLINK("https://abs.twimg.com/sticky/default_profile_images/default_profile_normal.png","View")</f>
        <v>View</v>
      </c>
      <c r="P4071" s="10"/>
    </row>
    <row r="4072" customFormat="false" ht="15.75" hidden="false" customHeight="false" outlineLevel="0" collapsed="false">
      <c r="A4072" s="6" t="n">
        <v>43030.5534606482</v>
      </c>
      <c r="B4072" s="7" t="str">
        <f aca="false">HYPERLINK("https://twitter.com/newslivenetwork","@newslivenetwork")</f>
        <v>@newslivenetwork</v>
      </c>
      <c r="C4072" s="8" t="s">
        <v>1668</v>
      </c>
      <c r="D4072" s="8" t="s">
        <v>9850</v>
      </c>
      <c r="E4072" s="9" t="str">
        <f aca="false">HYPERLINK("https://twitter.com/newslivenetwork/status/922195096984018944","922195096984018944")</f>
        <v>922195096984018944</v>
      </c>
      <c r="F4072" s="10" t="s">
        <v>55</v>
      </c>
      <c r="G4072" s="10" t="n">
        <v>272</v>
      </c>
      <c r="H4072" s="10" t="n">
        <v>87</v>
      </c>
      <c r="I4072" s="10" t="n">
        <v>0</v>
      </c>
      <c r="J4072" s="10" t="n">
        <v>0</v>
      </c>
      <c r="K4072" s="10" t="s">
        <v>20</v>
      </c>
      <c r="L4072" s="11" t="n">
        <v>42741.4719675926</v>
      </c>
      <c r="M4072" s="12" t="s">
        <v>1670</v>
      </c>
      <c r="N4072" s="12" t="s">
        <v>1671</v>
      </c>
      <c r="O4072" s="9" t="str">
        <f aca="false">HYPERLINK("https://pbs.twimg.com/profile_images/877414144424660992/scfhocj3_normal.jpg","View")</f>
        <v>View</v>
      </c>
      <c r="P4072" s="10"/>
    </row>
    <row r="4073" customFormat="false" ht="15.75" hidden="false" customHeight="false" outlineLevel="0" collapsed="false">
      <c r="A4073" s="6" t="n">
        <v>43030.5534837963</v>
      </c>
      <c r="B4073" s="7" t="str">
        <f aca="false">HYPERLINK("https://twitter.com/plumbumsurprise","@plumbumsurprise")</f>
        <v>@plumbumsurprise</v>
      </c>
      <c r="C4073" s="8" t="s">
        <v>9851</v>
      </c>
      <c r="D4073" s="8" t="s">
        <v>9852</v>
      </c>
      <c r="E4073" s="9" t="str">
        <f aca="false">HYPERLINK("https://twitter.com/plumbumsurprise/status/922195107150991361","922195107150991361")</f>
        <v>922195107150991361</v>
      </c>
      <c r="F4073" s="10" t="s">
        <v>9853</v>
      </c>
      <c r="G4073" s="10" t="n">
        <v>1373</v>
      </c>
      <c r="H4073" s="10" t="n">
        <v>1409</v>
      </c>
      <c r="I4073" s="10" t="n">
        <v>0</v>
      </c>
      <c r="J4073" s="10" t="n">
        <v>0</v>
      </c>
      <c r="K4073" s="10" t="s">
        <v>20</v>
      </c>
      <c r="L4073" s="11" t="n">
        <v>40527.3271643519</v>
      </c>
      <c r="M4073" s="12" t="s">
        <v>9854</v>
      </c>
      <c r="N4073" s="12" t="s">
        <v>9855</v>
      </c>
      <c r="O4073" s="9" t="str">
        <f aca="false">HYPERLINK("https://pbs.twimg.com/profile_images/709142685370748928/5OMBNGbC_normal.jpg","View")</f>
        <v>View</v>
      </c>
      <c r="P4073" s="10"/>
    </row>
    <row r="4074" customFormat="false" ht="15.75" hidden="false" customHeight="false" outlineLevel="0" collapsed="false">
      <c r="A4074" s="6" t="n">
        <v>43030.5537962963</v>
      </c>
      <c r="B4074" s="7" t="str">
        <f aca="false">HYPERLINK("https://twitter.com/serenahrm","@serenahrm")</f>
        <v>@serenahrm</v>
      </c>
      <c r="C4074" s="8" t="s">
        <v>9856</v>
      </c>
      <c r="D4074" s="8" t="s">
        <v>9857</v>
      </c>
      <c r="E4074" s="9" t="str">
        <f aca="false">HYPERLINK("https://twitter.com/serenahrm/status/922195219990372353","922195219990372353")</f>
        <v>922195219990372353</v>
      </c>
      <c r="F4074" s="10" t="s">
        <v>39</v>
      </c>
      <c r="G4074" s="10" t="n">
        <v>80</v>
      </c>
      <c r="H4074" s="10" t="n">
        <v>5</v>
      </c>
      <c r="I4074" s="10" t="n">
        <v>1</v>
      </c>
      <c r="J4074" s="10" t="n">
        <v>0</v>
      </c>
      <c r="K4074" s="10" t="s">
        <v>20</v>
      </c>
      <c r="L4074" s="11" t="n">
        <v>41369.2328125</v>
      </c>
      <c r="M4074" s="12" t="s">
        <v>9858</v>
      </c>
      <c r="N4074" s="12" t="s">
        <v>9859</v>
      </c>
      <c r="O4074" s="9" t="str">
        <f aca="false">HYPERLINK("https://pbs.twimg.com/profile_images/885541969002455041/fZey2S9g_normal.jpg","View")</f>
        <v>View</v>
      </c>
      <c r="P4074" s="10"/>
    </row>
    <row r="4075" customFormat="false" ht="15.75" hidden="false" customHeight="false" outlineLevel="0" collapsed="false">
      <c r="A4075" s="6" t="n">
        <v>43030.5552662037</v>
      </c>
      <c r="B4075" s="7" t="str">
        <f aca="false">HYPERLINK("https://twitter.com/NEWSdotCLUB","@NEWSdotCLUB")</f>
        <v>@NEWSdotCLUB</v>
      </c>
      <c r="C4075" s="8" t="s">
        <v>9860</v>
      </c>
      <c r="D4075" s="8" t="s">
        <v>9861</v>
      </c>
      <c r="E4075" s="9" t="str">
        <f aca="false">HYPERLINK("https://twitter.com/NEWSdotCLUB/status/922195754072137731","922195754072137731")</f>
        <v>922195754072137731</v>
      </c>
      <c r="F4075" s="9" t="s">
        <v>2138</v>
      </c>
      <c r="G4075" s="10" t="n">
        <v>443</v>
      </c>
      <c r="H4075" s="10" t="n">
        <v>2681</v>
      </c>
      <c r="I4075" s="10" t="n">
        <v>0</v>
      </c>
      <c r="J4075" s="10" t="n">
        <v>0</v>
      </c>
      <c r="K4075" s="10" t="s">
        <v>20</v>
      </c>
      <c r="L4075" s="11" t="n">
        <v>42771.4249884259</v>
      </c>
      <c r="M4075" s="12"/>
      <c r="N4075" s="12" t="s">
        <v>9862</v>
      </c>
      <c r="O4075" s="9" t="str">
        <f aca="false">HYPERLINK("https://pbs.twimg.com/profile_images/859778870190407681/Lgiax7Vk_normal.jpg","View")</f>
        <v>View</v>
      </c>
      <c r="P4075" s="10"/>
    </row>
    <row r="4076" customFormat="false" ht="15.75" hidden="false" customHeight="false" outlineLevel="0" collapsed="false">
      <c r="A4076" s="6" t="n">
        <v>43030.5554976852</v>
      </c>
      <c r="B4076" s="7" t="str">
        <f aca="false">HYPERLINK("https://twitter.com/revolution_fr","@revolution_fr")</f>
        <v>@revolution_fr</v>
      </c>
      <c r="C4076" s="8" t="s">
        <v>1579</v>
      </c>
      <c r="D4076" s="8" t="s">
        <v>9725</v>
      </c>
      <c r="E4076" s="9" t="str">
        <f aca="false">HYPERLINK("https://twitter.com/revolution_fr/status/922195834128740352","922195834128740352")</f>
        <v>922195834128740352</v>
      </c>
      <c r="F4076" s="10" t="s">
        <v>98</v>
      </c>
      <c r="G4076" s="10" t="n">
        <v>2663</v>
      </c>
      <c r="H4076" s="10" t="n">
        <v>3625</v>
      </c>
      <c r="I4076" s="10" t="n">
        <v>9</v>
      </c>
      <c r="J4076" s="10" t="n">
        <v>0</v>
      </c>
      <c r="K4076" s="10" t="s">
        <v>20</v>
      </c>
      <c r="L4076" s="11" t="n">
        <v>42400.3124305556</v>
      </c>
      <c r="M4076" s="12" t="s">
        <v>1580</v>
      </c>
      <c r="N4076" s="12" t="s">
        <v>1581</v>
      </c>
      <c r="O4076" s="9" t="str">
        <f aca="false">HYPERLINK("https://pbs.twimg.com/profile_images/912005330749575173/gmtBFZtv_normal.jpg","View")</f>
        <v>View</v>
      </c>
      <c r="P4076" s="10"/>
    </row>
    <row r="4077" customFormat="false" ht="15.75" hidden="false" customHeight="false" outlineLevel="0" collapsed="false">
      <c r="A4077" s="6" t="n">
        <v>43030.5555324074</v>
      </c>
      <c r="B4077" s="7" t="str">
        <f aca="false">HYPERLINK("https://twitter.com/psychosmology","@psychosmology")</f>
        <v>@psychosmology</v>
      </c>
      <c r="C4077" s="8" t="s">
        <v>9863</v>
      </c>
      <c r="D4077" s="8" t="s">
        <v>9725</v>
      </c>
      <c r="E4077" s="9" t="str">
        <f aca="false">HYPERLINK("https://twitter.com/psychosmology/status/922195850436030464","922195850436030464")</f>
        <v>922195850436030464</v>
      </c>
      <c r="F4077" s="10" t="s">
        <v>51</v>
      </c>
      <c r="G4077" s="10" t="n">
        <v>300</v>
      </c>
      <c r="H4077" s="10" t="n">
        <v>2961</v>
      </c>
      <c r="I4077" s="10" t="n">
        <v>9</v>
      </c>
      <c r="J4077" s="10" t="n">
        <v>0</v>
      </c>
      <c r="K4077" s="10" t="s">
        <v>20</v>
      </c>
      <c r="L4077" s="11" t="n">
        <v>40227.8536226852</v>
      </c>
      <c r="M4077" s="12" t="s">
        <v>9864</v>
      </c>
      <c r="N4077" s="12"/>
      <c r="O4077" s="9" t="str">
        <f aca="false">HYPERLINK("https://pbs.twimg.com/profile_images/439051938307383296/ZHbV430I_normal.jpeg","View")</f>
        <v>View</v>
      </c>
      <c r="P4077" s="10"/>
    </row>
    <row r="4078" customFormat="false" ht="15.75" hidden="false" customHeight="false" outlineLevel="0" collapsed="false">
      <c r="A4078" s="6" t="n">
        <v>43030.5564814815</v>
      </c>
      <c r="B4078" s="7" t="str">
        <f aca="false">HYPERLINK("https://twitter.com/getter7seven","@getter7seven")</f>
        <v>@getter7seven</v>
      </c>
      <c r="C4078" s="8" t="s">
        <v>9865</v>
      </c>
      <c r="D4078" s="8" t="s">
        <v>9670</v>
      </c>
      <c r="E4078" s="9" t="str">
        <f aca="false">HYPERLINK("https://twitter.com/getter7seven/status/922196191198240769","922196191198240769")</f>
        <v>922196191198240769</v>
      </c>
      <c r="F4078" s="10" t="s">
        <v>39</v>
      </c>
      <c r="G4078" s="10" t="n">
        <v>411</v>
      </c>
      <c r="H4078" s="10" t="n">
        <v>1072</v>
      </c>
      <c r="I4078" s="10" t="n">
        <v>11</v>
      </c>
      <c r="J4078" s="10" t="n">
        <v>0</v>
      </c>
      <c r="K4078" s="10" t="s">
        <v>20</v>
      </c>
      <c r="L4078" s="11" t="n">
        <v>40164.811099537</v>
      </c>
      <c r="M4078" s="12" t="s">
        <v>9866</v>
      </c>
      <c r="N4078" s="12" t="s">
        <v>9867</v>
      </c>
      <c r="O4078" s="9" t="str">
        <f aca="false">HYPERLINK("https://pbs.twimg.com/profile_images/1730562690/recentme_normal.jpg","View")</f>
        <v>View</v>
      </c>
      <c r="P4078" s="10"/>
    </row>
    <row r="4079" customFormat="false" ht="15.75" hidden="false" customHeight="false" outlineLevel="0" collapsed="false">
      <c r="A4079" s="6" t="n">
        <v>43030.5576851852</v>
      </c>
      <c r="B4079" s="7" t="str">
        <f aca="false">HYPERLINK("https://twitter.com/WorldNews_AU","@WorldNews_AU")</f>
        <v>@WorldNews_AU</v>
      </c>
      <c r="C4079" s="8" t="s">
        <v>2893</v>
      </c>
      <c r="D4079" s="8" t="s">
        <v>9868</v>
      </c>
      <c r="E4079" s="9" t="str">
        <f aca="false">HYPERLINK("https://twitter.com/WorldNews_AU/status/922196627456188421","922196627456188421")</f>
        <v>922196627456188421</v>
      </c>
      <c r="F4079" s="10" t="s">
        <v>3042</v>
      </c>
      <c r="G4079" s="10" t="n">
        <v>256</v>
      </c>
      <c r="H4079" s="10" t="n">
        <v>310</v>
      </c>
      <c r="I4079" s="10" t="n">
        <v>0</v>
      </c>
      <c r="J4079" s="10" t="n">
        <v>0</v>
      </c>
      <c r="K4079" s="10" t="s">
        <v>20</v>
      </c>
      <c r="L4079" s="11" t="n">
        <v>41958.3131018518</v>
      </c>
      <c r="M4079" s="12"/>
      <c r="N4079" s="12" t="s">
        <v>6483</v>
      </c>
      <c r="O4079" s="9" t="str">
        <f aca="false">HYPERLINK("https://pbs.twimg.com/profile_images/533643435845365760/QM0WKu0q_normal.png","View")</f>
        <v>View</v>
      </c>
      <c r="P4079" s="10"/>
    </row>
    <row r="4080" customFormat="false" ht="15.75" hidden="false" customHeight="false" outlineLevel="0" collapsed="false">
      <c r="A4080" s="6" t="n">
        <v>43030.5579513889</v>
      </c>
      <c r="B4080" s="7" t="str">
        <f aca="false">HYPERLINK("https://twitter.com/NewsBossIndia","@NewsBossIndia")</f>
        <v>@NewsBossIndia</v>
      </c>
      <c r="C4080" s="7" t="s">
        <v>2911</v>
      </c>
      <c r="D4080" s="8" t="s">
        <v>9869</v>
      </c>
      <c r="E4080" s="9" t="str">
        <f aca="false">HYPERLINK("https://twitter.com/NewsBossIndia/status/922196724415840256","922196724415840256")</f>
        <v>922196724415840256</v>
      </c>
      <c r="F4080" s="9" t="s">
        <v>2911</v>
      </c>
      <c r="G4080" s="10" t="n">
        <v>997</v>
      </c>
      <c r="H4080" s="10" t="n">
        <v>1</v>
      </c>
      <c r="I4080" s="10" t="n">
        <v>0</v>
      </c>
      <c r="J4080" s="10" t="n">
        <v>0</v>
      </c>
      <c r="K4080" s="10" t="s">
        <v>20</v>
      </c>
      <c r="L4080" s="11" t="n">
        <v>42564.3806134259</v>
      </c>
      <c r="M4080" s="12"/>
      <c r="N4080" s="12" t="s">
        <v>2913</v>
      </c>
      <c r="O4080" s="9" t="str">
        <f aca="false">HYPERLINK("https://pbs.twimg.com/profile_images/753260679692333057/AS4Xiw4q_normal.jpg","View")</f>
        <v>View</v>
      </c>
      <c r="P4080" s="10"/>
    </row>
    <row r="4081" customFormat="false" ht="15.75" hidden="false" customHeight="false" outlineLevel="0" collapsed="false">
      <c r="A4081" s="6" t="n">
        <v>43030.557962963</v>
      </c>
      <c r="B4081" s="7" t="str">
        <f aca="false">HYPERLINK("https://twitter.com/viking_tiger","@viking_tiger")</f>
        <v>@viking_tiger</v>
      </c>
      <c r="C4081" s="8" t="s">
        <v>9870</v>
      </c>
      <c r="D4081" s="8" t="s">
        <v>9696</v>
      </c>
      <c r="E4081" s="9" t="str">
        <f aca="false">HYPERLINK("https://twitter.com/viking_tiger/status/922196731089047554","922196731089047554")</f>
        <v>922196731089047554</v>
      </c>
      <c r="F4081" s="10" t="s">
        <v>25</v>
      </c>
      <c r="G4081" s="10" t="n">
        <v>7772</v>
      </c>
      <c r="H4081" s="10" t="n">
        <v>7261</v>
      </c>
      <c r="I4081" s="10" t="n">
        <v>7</v>
      </c>
      <c r="J4081" s="10" t="n">
        <v>0</v>
      </c>
      <c r="K4081" s="10" t="s">
        <v>20</v>
      </c>
      <c r="L4081" s="11" t="n">
        <v>40864.3370717593</v>
      </c>
      <c r="M4081" s="12" t="s">
        <v>9871</v>
      </c>
      <c r="N4081" s="12" t="s">
        <v>9872</v>
      </c>
      <c r="O4081" s="9" t="str">
        <f aca="false">HYPERLINK("https://pbs.twimg.com/profile_images/890974562653024257/1nwTiE3A_normal.jpg","View")</f>
        <v>View</v>
      </c>
      <c r="P4081" s="10"/>
    </row>
    <row r="4082" customFormat="false" ht="15.75" hidden="false" customHeight="false" outlineLevel="0" collapsed="false">
      <c r="A4082" s="6" t="n">
        <v>43030.5581134259</v>
      </c>
      <c r="B4082" s="7" t="str">
        <f aca="false">HYPERLINK("https://twitter.com/who_g","@who_g")</f>
        <v>@who_g</v>
      </c>
      <c r="C4082" s="8" t="s">
        <v>9873</v>
      </c>
      <c r="D4082" s="8" t="s">
        <v>9783</v>
      </c>
      <c r="E4082" s="9" t="str">
        <f aca="false">HYPERLINK("https://twitter.com/who_g/status/922196784465588226","922196784465588226")</f>
        <v>922196784465588226</v>
      </c>
      <c r="F4082" s="10" t="s">
        <v>177</v>
      </c>
      <c r="G4082" s="10" t="n">
        <v>922</v>
      </c>
      <c r="H4082" s="10" t="n">
        <v>851</v>
      </c>
      <c r="I4082" s="10" t="n">
        <v>17</v>
      </c>
      <c r="J4082" s="10" t="n">
        <v>0</v>
      </c>
      <c r="K4082" s="10" t="s">
        <v>20</v>
      </c>
      <c r="L4082" s="11" t="n">
        <v>40158.5366319444</v>
      </c>
      <c r="M4082" s="13" t="s">
        <v>152</v>
      </c>
      <c r="N4082" s="13" t="s">
        <v>9874</v>
      </c>
      <c r="O4082" s="9" t="str">
        <f aca="false">HYPERLINK("https://pbs.twimg.com/profile_images/797116710964719616/IPTNROM7_normal.jpg","View")</f>
        <v>View</v>
      </c>
      <c r="P4082" s="10"/>
    </row>
    <row r="4083" customFormat="false" ht="15.75" hidden="false" customHeight="false" outlineLevel="0" collapsed="false">
      <c r="A4083" s="6" t="n">
        <v>43030.5590625</v>
      </c>
      <c r="B4083" s="7" t="str">
        <f aca="false">HYPERLINK("https://twitter.com/Politics_NewsAU","@Politics_NewsAU")</f>
        <v>@Politics_NewsAU</v>
      </c>
      <c r="C4083" s="8" t="s">
        <v>9875</v>
      </c>
      <c r="D4083" s="8" t="s">
        <v>9876</v>
      </c>
      <c r="E4083" s="9" t="str">
        <f aca="false">HYPERLINK("https://twitter.com/Politics_NewsAU/status/922197126553260033","922197126553260033")</f>
        <v>922197126553260033</v>
      </c>
      <c r="F4083" s="10" t="s">
        <v>3042</v>
      </c>
      <c r="G4083" s="10" t="n">
        <v>401</v>
      </c>
      <c r="H4083" s="10" t="n">
        <v>535</v>
      </c>
      <c r="I4083" s="10" t="n">
        <v>0</v>
      </c>
      <c r="J4083" s="10" t="n">
        <v>0</v>
      </c>
      <c r="K4083" s="10" t="s">
        <v>20</v>
      </c>
      <c r="L4083" s="11" t="n">
        <v>41953.046712963</v>
      </c>
      <c r="M4083" s="12"/>
      <c r="N4083" s="12" t="s">
        <v>9877</v>
      </c>
      <c r="O4083" s="9" t="str">
        <f aca="false">HYPERLINK("https://pbs.twimg.com/profile_images/531735013843542017/mBfnbHot_normal.png","View")</f>
        <v>View</v>
      </c>
      <c r="P4083" s="10"/>
    </row>
    <row r="4084" customFormat="false" ht="15.75" hidden="false" customHeight="false" outlineLevel="0" collapsed="false">
      <c r="A4084" s="6" t="n">
        <v>43030.5599537037</v>
      </c>
      <c r="B4084" s="7" t="str">
        <f aca="false">HYPERLINK("https://twitter.com/marty713","@marty713")</f>
        <v>@marty713</v>
      </c>
      <c r="C4084" s="8" t="s">
        <v>9878</v>
      </c>
      <c r="D4084" s="8" t="s">
        <v>7627</v>
      </c>
      <c r="E4084" s="9" t="str">
        <f aca="false">HYPERLINK("https://twitter.com/marty713/status/922197449803993093","922197449803993093")</f>
        <v>922197449803993093</v>
      </c>
      <c r="F4084" s="10" t="s">
        <v>25</v>
      </c>
      <c r="G4084" s="10" t="n">
        <v>4917</v>
      </c>
      <c r="H4084" s="10" t="n">
        <v>5349</v>
      </c>
      <c r="I4084" s="10" t="n">
        <v>20</v>
      </c>
      <c r="J4084" s="10" t="n">
        <v>0</v>
      </c>
      <c r="K4084" s="10" t="s">
        <v>20</v>
      </c>
      <c r="L4084" s="11" t="n">
        <v>40273.6291435185</v>
      </c>
      <c r="M4084" s="12" t="s">
        <v>9879</v>
      </c>
      <c r="N4084" s="12" t="s">
        <v>9880</v>
      </c>
      <c r="O4084" s="9" t="str">
        <f aca="false">HYPERLINK("https://pbs.twimg.com/profile_images/842366132422115328/H3FErAUG_normal.jpg","View")</f>
        <v>View</v>
      </c>
      <c r="P4084" s="10"/>
    </row>
    <row r="4085" customFormat="false" ht="15.75" hidden="false" customHeight="false" outlineLevel="0" collapsed="false">
      <c r="A4085" s="6" t="n">
        <v>43030.5600810185</v>
      </c>
      <c r="B4085" s="7" t="str">
        <f aca="false">HYPERLINK("https://twitter.com/Shelshand","@Shelshand")</f>
        <v>@Shelshand</v>
      </c>
      <c r="C4085" s="8" t="s">
        <v>9881</v>
      </c>
      <c r="D4085" s="8" t="s">
        <v>7754</v>
      </c>
      <c r="E4085" s="9" t="str">
        <f aca="false">HYPERLINK("https://twitter.com/Shelshand/status/922197497149259776","922197497149259776")</f>
        <v>922197497149259776</v>
      </c>
      <c r="F4085" s="10" t="s">
        <v>25</v>
      </c>
      <c r="G4085" s="10" t="n">
        <v>642</v>
      </c>
      <c r="H4085" s="10" t="n">
        <v>2525</v>
      </c>
      <c r="I4085" s="10" t="n">
        <v>20</v>
      </c>
      <c r="J4085" s="10" t="n">
        <v>0</v>
      </c>
      <c r="K4085" s="10" t="s">
        <v>20</v>
      </c>
      <c r="L4085" s="11" t="n">
        <v>40899.3895949074</v>
      </c>
      <c r="M4085" s="12"/>
      <c r="N4085" s="12" t="s">
        <v>9882</v>
      </c>
      <c r="O4085" s="9" t="str">
        <f aca="false">HYPERLINK("https://pbs.twimg.com/profile_images/563123481177772032/WzWY8Uu3_normal.jpeg","View")</f>
        <v>View</v>
      </c>
      <c r="P4085" s="10"/>
    </row>
    <row r="4086" customFormat="false" ht="15.75" hidden="false" customHeight="false" outlineLevel="0" collapsed="false">
      <c r="A4086" s="6" t="n">
        <v>43030.5603009259</v>
      </c>
      <c r="B4086" s="7" t="str">
        <f aca="false">HYPERLINK("https://twitter.com/subramanya109","@subramanya109")</f>
        <v>@subramanya109</v>
      </c>
      <c r="C4086" s="8" t="s">
        <v>9883</v>
      </c>
      <c r="D4086" s="8" t="s">
        <v>8538</v>
      </c>
      <c r="E4086" s="9" t="str">
        <f aca="false">HYPERLINK("https://twitter.com/subramanya109/status/922197577553944576","922197577553944576")</f>
        <v>922197577553944576</v>
      </c>
      <c r="F4086" s="10" t="s">
        <v>98</v>
      </c>
      <c r="G4086" s="10" t="n">
        <v>342</v>
      </c>
      <c r="H4086" s="10" t="n">
        <v>272</v>
      </c>
      <c r="I4086" s="10" t="n">
        <v>1015</v>
      </c>
      <c r="J4086" s="10" t="n">
        <v>0</v>
      </c>
      <c r="K4086" s="10" t="s">
        <v>20</v>
      </c>
      <c r="L4086" s="11" t="n">
        <v>40205.8751967593</v>
      </c>
      <c r="M4086" s="12" t="s">
        <v>868</v>
      </c>
      <c r="N4086" s="12" t="s">
        <v>9884</v>
      </c>
      <c r="O4086" s="9" t="str">
        <f aca="false">HYPERLINK("https://pbs.twimg.com/profile_images/818806126133256193/hnXhOdCX_normal.jpg","View")</f>
        <v>View</v>
      </c>
      <c r="P4086" s="10"/>
    </row>
    <row r="4087" customFormat="false" ht="15.75" hidden="false" customHeight="false" outlineLevel="0" collapsed="false">
      <c r="A4087" s="6" t="n">
        <v>43030.5603125</v>
      </c>
      <c r="B4087" s="7" t="str">
        <f aca="false">HYPERLINK("https://twitter.com/haniabuagla","@haniabuagla")</f>
        <v>@haniabuagla</v>
      </c>
      <c r="C4087" s="8" t="s">
        <v>9885</v>
      </c>
      <c r="D4087" s="8" t="s">
        <v>9432</v>
      </c>
      <c r="E4087" s="9" t="str">
        <f aca="false">HYPERLINK("https://twitter.com/haniabuagla/status/922197579328315392","922197579328315392")</f>
        <v>922197579328315392</v>
      </c>
      <c r="F4087" s="10" t="s">
        <v>25</v>
      </c>
      <c r="G4087" s="10" t="n">
        <v>567</v>
      </c>
      <c r="H4087" s="10" t="n">
        <v>1209</v>
      </c>
      <c r="I4087" s="10" t="n">
        <v>6</v>
      </c>
      <c r="J4087" s="10" t="n">
        <v>0</v>
      </c>
      <c r="K4087" s="10" t="s">
        <v>20</v>
      </c>
      <c r="L4087" s="11" t="n">
        <v>40621.1366319444</v>
      </c>
      <c r="M4087" s="12" t="s">
        <v>2797</v>
      </c>
      <c r="N4087" s="12"/>
      <c r="O4087" s="9" t="str">
        <f aca="false">HYPERLINK("https://pbs.twimg.com/profile_images/861692323528286208/7Y49VvCM_normal.jpg","View")</f>
        <v>View</v>
      </c>
      <c r="P4087" s="10"/>
    </row>
    <row r="4088" customFormat="false" ht="15.75" hidden="false" customHeight="false" outlineLevel="0" collapsed="false">
      <c r="A4088" s="6" t="n">
        <v>43030.5603703704</v>
      </c>
      <c r="B4088" s="7" t="str">
        <f aca="false">HYPERLINK("https://twitter.com/sukaul","@sukaul")</f>
        <v>@sukaul</v>
      </c>
      <c r="C4088" s="8" t="s">
        <v>9886</v>
      </c>
      <c r="D4088" s="8" t="s">
        <v>8538</v>
      </c>
      <c r="E4088" s="9" t="str">
        <f aca="false">HYPERLINK("https://twitter.com/sukaul/status/922197600450772992","922197600450772992")</f>
        <v>922197600450772992</v>
      </c>
      <c r="F4088" s="10" t="s">
        <v>98</v>
      </c>
      <c r="G4088" s="10" t="n">
        <v>7927</v>
      </c>
      <c r="H4088" s="10" t="n">
        <v>786</v>
      </c>
      <c r="I4088" s="10" t="n">
        <v>1015</v>
      </c>
      <c r="J4088" s="10" t="n">
        <v>0</v>
      </c>
      <c r="K4088" s="10" t="s">
        <v>20</v>
      </c>
      <c r="L4088" s="11" t="n">
        <v>41218.4308449074</v>
      </c>
      <c r="M4088" s="12"/>
      <c r="N4088" s="12" t="s">
        <v>9887</v>
      </c>
      <c r="O4088" s="9" t="str">
        <f aca="false">HYPERLINK("https://pbs.twimg.com/profile_images/762438041751293952/3FsqR2ld_normal.jpg","View")</f>
        <v>View</v>
      </c>
      <c r="P4088" s="10"/>
    </row>
    <row r="4089" customFormat="false" ht="15.75" hidden="false" customHeight="false" outlineLevel="0" collapsed="false">
      <c r="A4089" s="6" t="n">
        <v>43030.5606018519</v>
      </c>
      <c r="B4089" s="7" t="str">
        <f aca="false">HYPERLINK("https://twitter.com/mhnitin","@mhnitin")</f>
        <v>@mhnitin</v>
      </c>
      <c r="C4089" s="8" t="s">
        <v>9888</v>
      </c>
      <c r="D4089" s="8" t="s">
        <v>8538</v>
      </c>
      <c r="E4089" s="9" t="str">
        <f aca="false">HYPERLINK("https://twitter.com/mhnitin/status/922197685267963905","922197685267963905")</f>
        <v>922197685267963905</v>
      </c>
      <c r="F4089" s="10" t="s">
        <v>25</v>
      </c>
      <c r="G4089" s="10" t="n">
        <v>43</v>
      </c>
      <c r="H4089" s="10" t="n">
        <v>99</v>
      </c>
      <c r="I4089" s="10" t="n">
        <v>1015</v>
      </c>
      <c r="J4089" s="10" t="n">
        <v>0</v>
      </c>
      <c r="K4089" s="10" t="s">
        <v>20</v>
      </c>
      <c r="L4089" s="11" t="n">
        <v>41263.0057407407</v>
      </c>
      <c r="M4089" s="12"/>
      <c r="N4089" s="12"/>
      <c r="O4089" s="9" t="str">
        <f aca="false">HYPERLINK("https://pbs.twimg.com/profile_images/920739824201428992/-xmjyvrQ_normal.jpg","View")</f>
        <v>View</v>
      </c>
      <c r="P4089" s="10"/>
    </row>
    <row r="4090" customFormat="false" ht="15.75" hidden="false" customHeight="false" outlineLevel="0" collapsed="false">
      <c r="A4090" s="6" t="n">
        <v>43030.5609375</v>
      </c>
      <c r="B4090" s="7" t="str">
        <f aca="false">HYPERLINK("https://twitter.com/UpdatesMalaysia","@UpdatesMalaysia")</f>
        <v>@UpdatesMalaysia</v>
      </c>
      <c r="C4090" s="8" t="s">
        <v>5259</v>
      </c>
      <c r="D4090" s="8" t="s">
        <v>9889</v>
      </c>
      <c r="E4090" s="9" t="str">
        <f aca="false">HYPERLINK("https://twitter.com/UpdatesMalaysia/status/922197807003459584","922197807003459584")</f>
        <v>922197807003459584</v>
      </c>
      <c r="F4090" s="10" t="s">
        <v>5259</v>
      </c>
      <c r="G4090" s="10" t="n">
        <v>188</v>
      </c>
      <c r="H4090" s="10" t="n">
        <v>507</v>
      </c>
      <c r="I4090" s="10" t="n">
        <v>0</v>
      </c>
      <c r="J4090" s="10" t="n">
        <v>0</v>
      </c>
      <c r="K4090" s="10" t="s">
        <v>20</v>
      </c>
      <c r="L4090" s="11" t="n">
        <v>42552.2981134259</v>
      </c>
      <c r="M4090" s="12" t="s">
        <v>5261</v>
      </c>
      <c r="N4090" s="12"/>
      <c r="O4090" s="9" t="str">
        <f aca="false">HYPERLINK("https://pbs.twimg.com/profile_images/851420871990300672/DqzExEzs_normal.jpg","View")</f>
        <v>View</v>
      </c>
      <c r="P4090" s="10"/>
    </row>
    <row r="4091" customFormat="false" ht="15.75" hidden="false" customHeight="false" outlineLevel="0" collapsed="false">
      <c r="A4091" s="6" t="n">
        <v>43030.5613657407</v>
      </c>
      <c r="B4091" s="7" t="str">
        <f aca="false">HYPERLINK("https://twitter.com/dttonews","@dttonews")</f>
        <v>@dttonews</v>
      </c>
      <c r="C4091" s="8" t="s">
        <v>9890</v>
      </c>
      <c r="D4091" s="8" t="s">
        <v>9891</v>
      </c>
      <c r="E4091" s="9" t="str">
        <f aca="false">HYPERLINK("https://twitter.com/dttonews/status/922197964122181637","922197964122181637")</f>
        <v>922197964122181637</v>
      </c>
      <c r="F4091" s="10" t="s">
        <v>47</v>
      </c>
      <c r="G4091" s="10" t="n">
        <v>409</v>
      </c>
      <c r="H4091" s="10" t="n">
        <v>1082</v>
      </c>
      <c r="I4091" s="10" t="n">
        <v>0</v>
      </c>
      <c r="J4091" s="10" t="n">
        <v>0</v>
      </c>
      <c r="K4091" s="10" t="s">
        <v>20</v>
      </c>
      <c r="L4091" s="11" t="n">
        <v>41327.2178703704</v>
      </c>
      <c r="M4091" s="12" t="s">
        <v>9892</v>
      </c>
      <c r="N4091" s="12"/>
      <c r="O4091" s="9" t="str">
        <f aca="false">HYPERLINK("https://pbs.twimg.com/profile_images/846890792102744064/123WFaPw_normal.jpg","View")</f>
        <v>View</v>
      </c>
      <c r="P4091" s="10"/>
    </row>
    <row r="4092" customFormat="false" ht="15.75" hidden="false" customHeight="false" outlineLevel="0" collapsed="false">
      <c r="A4092" s="6" t="n">
        <v>43030.5618402778</v>
      </c>
      <c r="B4092" s="7" t="str">
        <f aca="false">HYPERLINK("https://twitter.com/AskKashmir","@AskKashmir")</f>
        <v>@AskKashmir</v>
      </c>
      <c r="C4092" s="8" t="s">
        <v>6404</v>
      </c>
      <c r="D4092" s="8" t="s">
        <v>9893</v>
      </c>
      <c r="E4092" s="9" t="str">
        <f aca="false">HYPERLINK("https://twitter.com/AskKashmir/status/922198133043429376","922198133043429376")</f>
        <v>922198133043429376</v>
      </c>
      <c r="F4092" s="10" t="s">
        <v>55</v>
      </c>
      <c r="G4092" s="10" t="n">
        <v>7778</v>
      </c>
      <c r="H4092" s="10" t="n">
        <v>4844</v>
      </c>
      <c r="I4092" s="10" t="n">
        <v>0</v>
      </c>
      <c r="J4092" s="10" t="n">
        <v>0</v>
      </c>
      <c r="K4092" s="10" t="s">
        <v>20</v>
      </c>
      <c r="L4092" s="11" t="n">
        <v>40593.3715393519</v>
      </c>
      <c r="M4092" s="12" t="s">
        <v>6406</v>
      </c>
      <c r="N4092" s="12" t="s">
        <v>6407</v>
      </c>
      <c r="O4092" s="9" t="str">
        <f aca="false">HYPERLINK("https://pbs.twimg.com/profile_images/915128587715579906/xQtIVo6J_normal.jpg","View")</f>
        <v>View</v>
      </c>
      <c r="P4092" s="10"/>
    </row>
    <row r="4093" customFormat="false" ht="15.75" hidden="false" customHeight="false" outlineLevel="0" collapsed="false">
      <c r="A4093" s="6" t="n">
        <v>43030.5629050926</v>
      </c>
      <c r="B4093" s="7" t="str">
        <f aca="false">HYPERLINK("https://twitter.com/wearegorgeousfm","@wearegorgeousfm")</f>
        <v>@wearegorgeousfm</v>
      </c>
      <c r="C4093" s="8" t="s">
        <v>9894</v>
      </c>
      <c r="D4093" s="8" t="s">
        <v>9895</v>
      </c>
      <c r="E4093" s="9" t="str">
        <f aca="false">HYPERLINK("https://twitter.com/wearegorgeousfm/status/922198520634933249","922198520634933249")</f>
        <v>922198520634933249</v>
      </c>
      <c r="F4093" s="10" t="s">
        <v>47</v>
      </c>
      <c r="G4093" s="10" t="n">
        <v>612</v>
      </c>
      <c r="H4093" s="10" t="n">
        <v>498</v>
      </c>
      <c r="I4093" s="10" t="n">
        <v>0</v>
      </c>
      <c r="J4093" s="10" t="n">
        <v>0</v>
      </c>
      <c r="K4093" s="10" t="s">
        <v>20</v>
      </c>
      <c r="L4093" s="11" t="n">
        <v>41654.3068634259</v>
      </c>
      <c r="M4093" s="12" t="s">
        <v>9896</v>
      </c>
      <c r="N4093" s="12" t="s">
        <v>9897</v>
      </c>
      <c r="O4093" s="9" t="str">
        <f aca="false">HYPERLINK("https://pbs.twimg.com/profile_images/765075900312514564/1lGkL8Li_normal.jpg","View")</f>
        <v>View</v>
      </c>
      <c r="P4093" s="10"/>
    </row>
    <row r="4094" customFormat="false" ht="15.75" hidden="false" customHeight="false" outlineLevel="0" collapsed="false">
      <c r="A4094" s="6" t="n">
        <v>43030.5630555556</v>
      </c>
      <c r="B4094" s="7" t="str">
        <f aca="false">HYPERLINK("https://twitter.com/Haryourdehjii","@Haryourdehjii")</f>
        <v>@Haryourdehjii</v>
      </c>
      <c r="C4094" s="8" t="s">
        <v>6602</v>
      </c>
      <c r="D4094" s="8" t="s">
        <v>9783</v>
      </c>
      <c r="E4094" s="9" t="str">
        <f aca="false">HYPERLINK("https://twitter.com/Haryourdehjii/status/922198573378428928","922198573378428928")</f>
        <v>922198573378428928</v>
      </c>
      <c r="F4094" s="10" t="s">
        <v>25</v>
      </c>
      <c r="G4094" s="10" t="n">
        <v>692</v>
      </c>
      <c r="H4094" s="10" t="n">
        <v>175</v>
      </c>
      <c r="I4094" s="10" t="n">
        <v>17</v>
      </c>
      <c r="J4094" s="10" t="n">
        <v>0</v>
      </c>
      <c r="K4094" s="10" t="s">
        <v>20</v>
      </c>
      <c r="L4094" s="11" t="n">
        <v>41240.6621064815</v>
      </c>
      <c r="M4094" s="12" t="s">
        <v>6603</v>
      </c>
      <c r="N4094" s="12" t="s">
        <v>6604</v>
      </c>
      <c r="O4094" s="9" t="str">
        <f aca="false">HYPERLINK("https://pbs.twimg.com/profile_images/912454114189217792/v0x2hsb5_normal.jpg","View")</f>
        <v>View</v>
      </c>
      <c r="P4094" s="10"/>
    </row>
    <row r="4095" customFormat="false" ht="15.75" hidden="false" customHeight="false" outlineLevel="0" collapsed="false">
      <c r="A4095" s="6" t="n">
        <v>43030.5630555556</v>
      </c>
      <c r="B4095" s="7" t="str">
        <f aca="false">HYPERLINK("https://twitter.com/AssessmartTest","@AssessmartTest")</f>
        <v>@AssessmartTest</v>
      </c>
      <c r="C4095" s="8" t="s">
        <v>9898</v>
      </c>
      <c r="D4095" s="8" t="s">
        <v>9899</v>
      </c>
      <c r="E4095" s="9" t="str">
        <f aca="false">HYPERLINK("https://twitter.com/AssessmartTest/status/922198575714635782","922198575714635782")</f>
        <v>922198575714635782</v>
      </c>
      <c r="F4095" s="10" t="s">
        <v>110</v>
      </c>
      <c r="G4095" s="10" t="n">
        <v>15</v>
      </c>
      <c r="H4095" s="10" t="n">
        <v>66</v>
      </c>
      <c r="I4095" s="10" t="n">
        <v>0</v>
      </c>
      <c r="J4095" s="10" t="n">
        <v>0</v>
      </c>
      <c r="K4095" s="10" t="s">
        <v>20</v>
      </c>
      <c r="L4095" s="11" t="n">
        <v>42495.3369675926</v>
      </c>
      <c r="M4095" s="12"/>
      <c r="N4095" s="12"/>
      <c r="O4095" s="9" t="str">
        <f aca="false">HYPERLINK("https://abs.twimg.com/sticky/default_profile_images/default_profile_normal.png","View")</f>
        <v>View</v>
      </c>
      <c r="P4095" s="10"/>
    </row>
    <row r="4096" customFormat="false" ht="15.75" hidden="false" customHeight="false" outlineLevel="0" collapsed="false">
      <c r="A4096" s="6" t="n">
        <v>43030.563287037</v>
      </c>
      <c r="B4096" s="7" t="str">
        <f aca="false">HYPERLINK("https://twitter.com/trtworld","@trtworld")</f>
        <v>@trtworld</v>
      </c>
      <c r="C4096" s="8" t="s">
        <v>1552</v>
      </c>
      <c r="D4096" s="8" t="s">
        <v>9900</v>
      </c>
      <c r="E4096" s="9" t="str">
        <f aca="false">HYPERLINK("https://twitter.com/trtworld/status/922198657784360960","922198657784360960")</f>
        <v>922198657784360960</v>
      </c>
      <c r="F4096" s="9" t="s">
        <v>198</v>
      </c>
      <c r="G4096" s="10" t="n">
        <v>113610</v>
      </c>
      <c r="H4096" s="10" t="n">
        <v>9</v>
      </c>
      <c r="I4096" s="10" t="n">
        <v>11</v>
      </c>
      <c r="J4096" s="10" t="n">
        <v>5</v>
      </c>
      <c r="K4096" s="10" t="s">
        <v>20</v>
      </c>
      <c r="L4096" s="11" t="n">
        <v>42076.183125</v>
      </c>
      <c r="M4096" s="12"/>
      <c r="N4096" s="12" t="s">
        <v>1554</v>
      </c>
      <c r="O4096" s="9" t="str">
        <f aca="false">HYPERLINK("https://pbs.twimg.com/profile_images/604916087180754945/1aMHMBIj_normal.png","View")</f>
        <v>View</v>
      </c>
      <c r="P4096" s="10"/>
    </row>
    <row r="4097" customFormat="false" ht="15.75" hidden="false" customHeight="false" outlineLevel="0" collapsed="false">
      <c r="A4097" s="6" t="n">
        <v>43030.5633333333</v>
      </c>
      <c r="B4097" s="7" t="str">
        <f aca="false">HYPERLINK("https://twitter.com/tkarasik","@tkarasik")</f>
        <v>@tkarasik</v>
      </c>
      <c r="C4097" s="8" t="s">
        <v>9901</v>
      </c>
      <c r="D4097" s="8" t="s">
        <v>9725</v>
      </c>
      <c r="E4097" s="9" t="str">
        <f aca="false">HYPERLINK("https://twitter.com/tkarasik/status/922198674150748160","922198674150748160")</f>
        <v>922198674150748160</v>
      </c>
      <c r="F4097" s="10" t="s">
        <v>25</v>
      </c>
      <c r="G4097" s="10" t="n">
        <v>1745</v>
      </c>
      <c r="H4097" s="10" t="n">
        <v>416</v>
      </c>
      <c r="I4097" s="10" t="n">
        <v>9</v>
      </c>
      <c r="J4097" s="10" t="n">
        <v>0</v>
      </c>
      <c r="K4097" s="10" t="s">
        <v>20</v>
      </c>
      <c r="L4097" s="11" t="n">
        <v>40863.1614236111</v>
      </c>
      <c r="M4097" s="12"/>
      <c r="N4097" s="12" t="s">
        <v>9902</v>
      </c>
      <c r="O4097" s="9" t="str">
        <f aca="false">HYPERLINK("https://pbs.twimg.com/profile_images/480610868745367552/PXefHEzq_normal.jpeg","View")</f>
        <v>View</v>
      </c>
      <c r="P4097" s="10"/>
    </row>
    <row r="4098" customFormat="false" ht="15.75" hidden="false" customHeight="false" outlineLevel="0" collapsed="false">
      <c r="A4098" s="6" t="n">
        <v>43030.5635416667</v>
      </c>
      <c r="B4098" s="7" t="str">
        <f aca="false">HYPERLINK("https://twitter.com/Tweet2Sid","@Tweet2Sid")</f>
        <v>@Tweet2Sid</v>
      </c>
      <c r="C4098" s="8" t="s">
        <v>9903</v>
      </c>
      <c r="D4098" s="8" t="s">
        <v>9904</v>
      </c>
      <c r="E4098" s="9" t="str">
        <f aca="false">HYPERLINK("https://twitter.com/Tweet2Sid/status/922198750822567936","922198750822567936")</f>
        <v>922198750822567936</v>
      </c>
      <c r="F4098" s="10" t="s">
        <v>55</v>
      </c>
      <c r="G4098" s="10" t="n">
        <v>529</v>
      </c>
      <c r="H4098" s="10" t="n">
        <v>272</v>
      </c>
      <c r="I4098" s="10" t="n">
        <v>0</v>
      </c>
      <c r="J4098" s="10" t="n">
        <v>0</v>
      </c>
      <c r="K4098" s="10" t="s">
        <v>20</v>
      </c>
      <c r="L4098" s="11" t="n">
        <v>39999.7896527778</v>
      </c>
      <c r="M4098" s="12" t="s">
        <v>72</v>
      </c>
      <c r="N4098" s="12" t="s">
        <v>9905</v>
      </c>
      <c r="O4098" s="9" t="str">
        <f aca="false">HYPERLINK("https://pbs.twimg.com/profile_images/652924587789828096/WSaKMVSf_normal.jpg","View")</f>
        <v>View</v>
      </c>
      <c r="P4098" s="10"/>
    </row>
    <row r="4099" customFormat="false" ht="15.75" hidden="false" customHeight="false" outlineLevel="0" collapsed="false">
      <c r="A4099" s="6" t="n">
        <v>43030.5645949074</v>
      </c>
      <c r="B4099" s="7" t="str">
        <f aca="false">HYPERLINK("https://twitter.com/lucijordao","@lucijordao")</f>
        <v>@lucijordao</v>
      </c>
      <c r="C4099" s="8" t="s">
        <v>9906</v>
      </c>
      <c r="D4099" s="8" t="s">
        <v>9907</v>
      </c>
      <c r="E4099" s="9" t="str">
        <f aca="false">HYPERLINK("https://twitter.com/lucijordao/status/922199134416797697","922199134416797697")</f>
        <v>922199134416797697</v>
      </c>
      <c r="F4099" s="10" t="s">
        <v>177</v>
      </c>
      <c r="G4099" s="10" t="n">
        <v>813</v>
      </c>
      <c r="H4099" s="10" t="n">
        <v>1608</v>
      </c>
      <c r="I4099" s="10" t="n">
        <v>11</v>
      </c>
      <c r="J4099" s="10" t="n">
        <v>0</v>
      </c>
      <c r="K4099" s="10" t="s">
        <v>20</v>
      </c>
      <c r="L4099" s="11" t="n">
        <v>39995.2818518519</v>
      </c>
      <c r="M4099" s="12" t="s">
        <v>4050</v>
      </c>
      <c r="N4099" s="12" t="s">
        <v>9908</v>
      </c>
      <c r="O4099" s="9" t="str">
        <f aca="false">HYPERLINK("https://pbs.twimg.com/profile_images/850476355494047744/-h3AHx_g_normal.jpg","View")</f>
        <v>View</v>
      </c>
      <c r="P4099" s="10"/>
    </row>
    <row r="4100" customFormat="false" ht="15.75" hidden="false" customHeight="false" outlineLevel="0" collapsed="false">
      <c r="A4100" s="6" t="n">
        <v>43030.565</v>
      </c>
      <c r="B4100" s="7" t="str">
        <f aca="false">HYPERLINK("https://twitter.com/gencerali63","@gencerali63")</f>
        <v>@gencerali63</v>
      </c>
      <c r="C4100" s="8" t="s">
        <v>4147</v>
      </c>
      <c r="D4100" s="8" t="s">
        <v>9907</v>
      </c>
      <c r="E4100" s="9" t="str">
        <f aca="false">HYPERLINK("https://twitter.com/gencerali63/status/922199278789054465","922199278789054465")</f>
        <v>922199278789054465</v>
      </c>
      <c r="F4100" s="10" t="s">
        <v>25</v>
      </c>
      <c r="G4100" s="10" t="n">
        <v>437</v>
      </c>
      <c r="H4100" s="10" t="n">
        <v>380</v>
      </c>
      <c r="I4100" s="10" t="n">
        <v>11</v>
      </c>
      <c r="J4100" s="10" t="n">
        <v>0</v>
      </c>
      <c r="K4100" s="10" t="s">
        <v>20</v>
      </c>
      <c r="L4100" s="11" t="n">
        <v>42816.0587962963</v>
      </c>
      <c r="M4100" s="12" t="s">
        <v>752</v>
      </c>
      <c r="N4100" s="12" t="s">
        <v>4148</v>
      </c>
      <c r="O4100" s="9" t="str">
        <f aca="false">HYPERLINK("https://pbs.twimg.com/profile_images/911999137633247232/igTMPD9L_normal.jpg","View")</f>
        <v>View</v>
      </c>
      <c r="P4100" s="10"/>
    </row>
    <row r="4101" customFormat="false" ht="15.75" hidden="false" customHeight="false" outlineLevel="0" collapsed="false">
      <c r="A4101" s="6" t="n">
        <v>43030.5652546296</v>
      </c>
      <c r="B4101" s="7" t="str">
        <f aca="false">HYPERLINK("https://twitter.com/matglobal","@matglobal")</f>
        <v>@matglobal</v>
      </c>
      <c r="C4101" s="8" t="s">
        <v>3976</v>
      </c>
      <c r="D4101" s="8" t="s">
        <v>9909</v>
      </c>
      <c r="E4101" s="9" t="str">
        <f aca="false">HYPERLINK("https://twitter.com/matglobal/status/922199373618040838","922199373618040838")</f>
        <v>922199373618040838</v>
      </c>
      <c r="F4101" s="10" t="s">
        <v>55</v>
      </c>
      <c r="G4101" s="10" t="n">
        <v>1533</v>
      </c>
      <c r="H4101" s="10" t="n">
        <v>1475</v>
      </c>
      <c r="I4101" s="10" t="n">
        <v>0</v>
      </c>
      <c r="J4101" s="10" t="n">
        <v>0</v>
      </c>
      <c r="K4101" s="10" t="s">
        <v>20</v>
      </c>
      <c r="L4101" s="11" t="n">
        <v>40887.2283564815</v>
      </c>
      <c r="M4101" s="12" t="s">
        <v>2990</v>
      </c>
      <c r="N4101" s="12" t="s">
        <v>3978</v>
      </c>
      <c r="O4101" s="9" t="str">
        <f aca="false">HYPERLINK("https://pbs.twimg.com/profile_images/673814548684652544/cha7Er5K_normal.png","View")</f>
        <v>View</v>
      </c>
      <c r="P4101" s="10"/>
    </row>
    <row r="4102" customFormat="false" ht="15.75" hidden="false" customHeight="false" outlineLevel="0" collapsed="false">
      <c r="A4102" s="6" t="n">
        <v>43030.5658680556</v>
      </c>
      <c r="B4102" s="7" t="str">
        <f aca="false">HYPERLINK("https://twitter.com/YuceAntalyaspor","@YuceAntalyaspor")</f>
        <v>@YuceAntalyaspor</v>
      </c>
      <c r="C4102" s="8" t="s">
        <v>9910</v>
      </c>
      <c r="D4102" s="8" t="s">
        <v>9907</v>
      </c>
      <c r="E4102" s="9" t="str">
        <f aca="false">HYPERLINK("https://twitter.com/YuceAntalyaspor/status/922199595165339650","922199595165339650")</f>
        <v>922199595165339650</v>
      </c>
      <c r="F4102" s="10" t="s">
        <v>25</v>
      </c>
      <c r="G4102" s="10" t="n">
        <v>2102</v>
      </c>
      <c r="H4102" s="10" t="n">
        <v>3823</v>
      </c>
      <c r="I4102" s="10" t="n">
        <v>11</v>
      </c>
      <c r="J4102" s="10" t="n">
        <v>0</v>
      </c>
      <c r="K4102" s="10" t="s">
        <v>20</v>
      </c>
      <c r="L4102" s="11" t="n">
        <v>42733.1581712963</v>
      </c>
      <c r="M4102" s="12"/>
      <c r="N4102" s="12" t="s">
        <v>9911</v>
      </c>
      <c r="O4102" s="9" t="str">
        <f aca="false">HYPERLINK("https://pbs.twimg.com/profile_images/814749757516238848/sTzzzMuC_normal.jpg","View")</f>
        <v>View</v>
      </c>
      <c r="P4102" s="10"/>
    </row>
    <row r="4103" customFormat="false" ht="15.75" hidden="false" customHeight="false" outlineLevel="0" collapsed="false">
      <c r="A4103" s="6" t="n">
        <v>43030.5662615741</v>
      </c>
      <c r="B4103" s="7" t="str">
        <f aca="false">HYPERLINK("https://twitter.com/welshronald","@welshronald")</f>
        <v>@welshronald</v>
      </c>
      <c r="C4103" s="8" t="s">
        <v>9912</v>
      </c>
      <c r="D4103" s="8" t="s">
        <v>9913</v>
      </c>
      <c r="E4103" s="9" t="str">
        <f aca="false">HYPERLINK("https://twitter.com/welshronald/status/922199737398423552","922199737398423552")</f>
        <v>922199737398423552</v>
      </c>
      <c r="F4103" s="10" t="s">
        <v>177</v>
      </c>
      <c r="G4103" s="10" t="n">
        <v>700</v>
      </c>
      <c r="H4103" s="10" t="n">
        <v>451</v>
      </c>
      <c r="I4103" s="10" t="n">
        <v>0</v>
      </c>
      <c r="J4103" s="10" t="n">
        <v>0</v>
      </c>
      <c r="K4103" s="10" t="s">
        <v>20</v>
      </c>
      <c r="L4103" s="11" t="n">
        <v>40243.1261458333</v>
      </c>
      <c r="M4103" s="12" t="s">
        <v>9914</v>
      </c>
      <c r="N4103" s="12" t="s">
        <v>9915</v>
      </c>
      <c r="O4103" s="9" t="str">
        <f aca="false">HYPERLINK("https://pbs.twimg.com/profile_images/550719446906839042/JWi5yUHj_normal.jpeg","View")</f>
        <v>View</v>
      </c>
      <c r="P4103" s="10"/>
    </row>
    <row r="4104" customFormat="false" ht="15.75" hidden="false" customHeight="false" outlineLevel="0" collapsed="false">
      <c r="A4104" s="6" t="n">
        <v>43030.5663541667</v>
      </c>
      <c r="B4104" s="7" t="str">
        <f aca="false">HYPERLINK("https://twitter.com/Kawachi_Maru","@Kawachi_Maru")</f>
        <v>@Kawachi_Maru</v>
      </c>
      <c r="C4104" s="14" t="s">
        <v>9916</v>
      </c>
      <c r="D4104" s="8" t="s">
        <v>9917</v>
      </c>
      <c r="E4104" s="9" t="str">
        <f aca="false">HYPERLINK("https://twitter.com/Kawachi_Maru/status/922199770495459328","922199770495459328")</f>
        <v>922199770495459328</v>
      </c>
      <c r="F4104" s="10" t="s">
        <v>39</v>
      </c>
      <c r="G4104" s="10" t="n">
        <v>711</v>
      </c>
      <c r="H4104" s="10" t="n">
        <v>990</v>
      </c>
      <c r="I4104" s="10" t="n">
        <v>0</v>
      </c>
      <c r="J4104" s="10" t="n">
        <v>0</v>
      </c>
      <c r="K4104" s="10" t="s">
        <v>20</v>
      </c>
      <c r="L4104" s="11" t="n">
        <v>40547.0856134259</v>
      </c>
      <c r="M4104" s="12"/>
      <c r="N4104" s="12" t="s">
        <v>9918</v>
      </c>
      <c r="O4104" s="9" t="str">
        <f aca="false">HYPERLINK("https://pbs.twimg.com/profile_images/1207152497/Spinningarrows_normal.gif","View")</f>
        <v>View</v>
      </c>
      <c r="P4104" s="10"/>
    </row>
    <row r="4105" customFormat="false" ht="15.75" hidden="false" customHeight="false" outlineLevel="0" collapsed="false">
      <c r="A4105" s="6" t="n">
        <v>43030.5667708333</v>
      </c>
      <c r="B4105" s="7" t="str">
        <f aca="false">HYPERLINK("https://twitter.com/ThomasAGiles1","@ThomasAGiles1")</f>
        <v>@ThomasAGiles1</v>
      </c>
      <c r="C4105" s="8" t="s">
        <v>9919</v>
      </c>
      <c r="D4105" s="8" t="s">
        <v>9920</v>
      </c>
      <c r="E4105" s="9" t="str">
        <f aca="false">HYPERLINK("https://twitter.com/ThomasAGiles1/status/922199921029103616","922199921029103616")</f>
        <v>922199921029103616</v>
      </c>
      <c r="F4105" s="10" t="s">
        <v>39</v>
      </c>
      <c r="G4105" s="10" t="n">
        <v>2908</v>
      </c>
      <c r="H4105" s="10" t="n">
        <v>2736</v>
      </c>
      <c r="I4105" s="10" t="n">
        <v>0</v>
      </c>
      <c r="J4105" s="10" t="n">
        <v>0</v>
      </c>
      <c r="K4105" s="10" t="s">
        <v>20</v>
      </c>
      <c r="L4105" s="11" t="n">
        <v>41391.7265625</v>
      </c>
      <c r="M4105" s="12" t="s">
        <v>9921</v>
      </c>
      <c r="N4105" s="12" t="s">
        <v>9922</v>
      </c>
      <c r="O4105" s="9" t="str">
        <f aca="false">HYPERLINK("https://pbs.twimg.com/profile_images/697960748916420608/6O4kAyvI_normal.jpg","View")</f>
        <v>View</v>
      </c>
      <c r="P4105" s="10"/>
    </row>
    <row r="4106" customFormat="false" ht="15.75" hidden="false" customHeight="false" outlineLevel="0" collapsed="false">
      <c r="A4106" s="6" t="n">
        <v>43030.5672337963</v>
      </c>
      <c r="B4106" s="7" t="str">
        <f aca="false">HYPERLINK("https://twitter.com/drsatya74","@drsatya74")</f>
        <v>@drsatya74</v>
      </c>
      <c r="C4106" s="8" t="s">
        <v>9923</v>
      </c>
      <c r="D4106" s="8" t="s">
        <v>8538</v>
      </c>
      <c r="E4106" s="9" t="str">
        <f aca="false">HYPERLINK("https://twitter.com/drsatya74/status/922200090550312961","922200090550312961")</f>
        <v>922200090550312961</v>
      </c>
      <c r="F4106" s="10" t="s">
        <v>98</v>
      </c>
      <c r="G4106" s="10" t="n">
        <v>399</v>
      </c>
      <c r="H4106" s="10" t="n">
        <v>205</v>
      </c>
      <c r="I4106" s="10" t="n">
        <v>1015</v>
      </c>
      <c r="J4106" s="10" t="n">
        <v>0</v>
      </c>
      <c r="K4106" s="10" t="s">
        <v>20</v>
      </c>
      <c r="L4106" s="11" t="n">
        <v>40465.6662847222</v>
      </c>
      <c r="M4106" s="12" t="s">
        <v>4015</v>
      </c>
      <c r="N4106" s="12" t="s">
        <v>9924</v>
      </c>
      <c r="O4106" s="9" t="str">
        <f aca="false">HYPERLINK("https://pbs.twimg.com/profile_images/3406909126/186230421b2fc0584994dc9dafd3617d_normal.jpeg","View")</f>
        <v>View</v>
      </c>
      <c r="P4106" s="10"/>
    </row>
    <row r="4107" customFormat="false" ht="15.75" hidden="false" customHeight="false" outlineLevel="0" collapsed="false">
      <c r="A4107" s="6" t="n">
        <v>43030.5672685185</v>
      </c>
      <c r="B4107" s="7" t="str">
        <f aca="false">HYPERLINK("https://twitter.com/debia","@debia")</f>
        <v>@debia</v>
      </c>
      <c r="C4107" s="8" t="s">
        <v>9925</v>
      </c>
      <c r="D4107" s="8" t="s">
        <v>8538</v>
      </c>
      <c r="E4107" s="9" t="str">
        <f aca="false">HYPERLINK("https://twitter.com/debia/status/922200102646595584","922200102646595584")</f>
        <v>922200102646595584</v>
      </c>
      <c r="F4107" s="10" t="s">
        <v>25</v>
      </c>
      <c r="G4107" s="10" t="n">
        <v>35</v>
      </c>
      <c r="H4107" s="10" t="n">
        <v>67</v>
      </c>
      <c r="I4107" s="10" t="n">
        <v>1015</v>
      </c>
      <c r="J4107" s="10" t="n">
        <v>0</v>
      </c>
      <c r="K4107" s="10" t="s">
        <v>20</v>
      </c>
      <c r="L4107" s="11" t="n">
        <v>39687.0182986111</v>
      </c>
      <c r="M4107" s="12"/>
      <c r="N4107" s="12"/>
      <c r="O4107" s="9" t="str">
        <f aca="false">HYPERLINK("https://abs.twimg.com/sticky/default_profile_images/default_profile_normal.png","View")</f>
        <v>View</v>
      </c>
      <c r="P4107" s="10"/>
    </row>
    <row r="4108" customFormat="false" ht="15.75" hidden="false" customHeight="false" outlineLevel="0" collapsed="false">
      <c r="A4108" s="6" t="n">
        <v>43030.5680671296</v>
      </c>
      <c r="B4108" s="7" t="str">
        <f aca="false">HYPERLINK("https://twitter.com/MattyEast","@MattyEast")</f>
        <v>@MattyEast</v>
      </c>
      <c r="C4108" s="8" t="s">
        <v>9926</v>
      </c>
      <c r="D4108" s="8" t="s">
        <v>9927</v>
      </c>
      <c r="E4108" s="9" t="str">
        <f aca="false">HYPERLINK("https://twitter.com/MattyEast/status/922200389914472448","922200389914472448")</f>
        <v>922200389914472448</v>
      </c>
      <c r="F4108" s="10" t="s">
        <v>39</v>
      </c>
      <c r="G4108" s="10" t="n">
        <v>1091</v>
      </c>
      <c r="H4108" s="10" t="n">
        <v>2155</v>
      </c>
      <c r="I4108" s="10" t="n">
        <v>1</v>
      </c>
      <c r="J4108" s="10" t="n">
        <v>0</v>
      </c>
      <c r="K4108" s="10" t="s">
        <v>20</v>
      </c>
      <c r="L4108" s="11" t="n">
        <v>39876.9890509259</v>
      </c>
      <c r="M4108" s="12" t="s">
        <v>3962</v>
      </c>
      <c r="N4108" s="12" t="s">
        <v>9928</v>
      </c>
      <c r="O4108" s="9" t="str">
        <f aca="false">HYPERLINK("https://pbs.twimg.com/profile_images/555062100851052544/osxmfFI5_normal.jpeg","View")</f>
        <v>View</v>
      </c>
      <c r="P4108" s="10"/>
    </row>
    <row r="4109" customFormat="false" ht="15.75" hidden="false" customHeight="false" outlineLevel="0" collapsed="false">
      <c r="A4109" s="6" t="n">
        <v>43030.5685763889</v>
      </c>
      <c r="B4109" s="7" t="str">
        <f aca="false">HYPERLINK("https://twitter.com/unknowncorner","@unknowncorner")</f>
        <v>@unknowncorner</v>
      </c>
      <c r="C4109" s="8" t="s">
        <v>9929</v>
      </c>
      <c r="D4109" s="8" t="s">
        <v>9930</v>
      </c>
      <c r="E4109" s="9" t="str">
        <f aca="false">HYPERLINK("https://twitter.com/unknowncorner/status/922200574942154752","922200574942154752")</f>
        <v>922200574942154752</v>
      </c>
      <c r="F4109" s="10" t="s">
        <v>39</v>
      </c>
      <c r="G4109" s="10" t="n">
        <v>1419</v>
      </c>
      <c r="H4109" s="10" t="n">
        <v>843</v>
      </c>
      <c r="I4109" s="10" t="n">
        <v>0</v>
      </c>
      <c r="J4109" s="10" t="n">
        <v>1</v>
      </c>
      <c r="K4109" s="10" t="s">
        <v>20</v>
      </c>
      <c r="L4109" s="11" t="n">
        <v>40084.8781597222</v>
      </c>
      <c r="M4109" s="12" t="s">
        <v>9759</v>
      </c>
      <c r="N4109" s="12" t="s">
        <v>9929</v>
      </c>
      <c r="O4109" s="9" t="str">
        <f aca="false">HYPERLINK("https://pbs.twimg.com/profile_images/2032790730/IMG_Long_Beach_normal.jpg","View")</f>
        <v>View</v>
      </c>
      <c r="P4109" s="10"/>
    </row>
    <row r="4110" customFormat="false" ht="15.75" hidden="false" customHeight="false" outlineLevel="0" collapsed="false">
      <c r="A4110" s="6" t="n">
        <v>43030.5688888889</v>
      </c>
      <c r="B4110" s="7" t="str">
        <f aca="false">HYPERLINK("https://twitter.com/peterjtbarker","@peterjtbarker")</f>
        <v>@peterjtbarker</v>
      </c>
      <c r="C4110" s="8" t="s">
        <v>9931</v>
      </c>
      <c r="D4110" s="8" t="s">
        <v>9932</v>
      </c>
      <c r="E4110" s="9" t="str">
        <f aca="false">HYPERLINK("https://twitter.com/peterjtbarker/status/922200687215198209","922200687215198209")</f>
        <v>922200687215198209</v>
      </c>
      <c r="F4110" s="10" t="s">
        <v>39</v>
      </c>
      <c r="G4110" s="10" t="n">
        <v>23</v>
      </c>
      <c r="H4110" s="10" t="n">
        <v>82</v>
      </c>
      <c r="I4110" s="10" t="n">
        <v>0</v>
      </c>
      <c r="J4110" s="10" t="n">
        <v>0</v>
      </c>
      <c r="K4110" s="10" t="s">
        <v>20</v>
      </c>
      <c r="L4110" s="11" t="n">
        <v>42685.5759722222</v>
      </c>
      <c r="M4110" s="12" t="s">
        <v>1039</v>
      </c>
      <c r="N4110" s="12" t="s">
        <v>9933</v>
      </c>
      <c r="O4110" s="9" t="str">
        <f aca="false">HYPERLINK("https://pbs.twimg.com/profile_images/797972187365814272/bjJk8nC0_normal.jpg","View")</f>
        <v>View</v>
      </c>
      <c r="P4110" s="10"/>
    </row>
    <row r="4111" customFormat="false" ht="15.75" hidden="false" customHeight="false" outlineLevel="0" collapsed="false">
      <c r="A4111" s="6" t="n">
        <v>43030.569525463</v>
      </c>
      <c r="B4111" s="7" t="str">
        <f aca="false">HYPERLINK("https://twitter.com/NewsyVideos","@NewsyVideos")</f>
        <v>@NewsyVideos</v>
      </c>
      <c r="C4111" s="8" t="s">
        <v>9934</v>
      </c>
      <c r="D4111" s="8" t="s">
        <v>9935</v>
      </c>
      <c r="E4111" s="9" t="str">
        <f aca="false">HYPERLINK("https://twitter.com/NewsyVideos/status/922200920108224512","922200920108224512")</f>
        <v>922200920108224512</v>
      </c>
      <c r="F4111" s="10" t="s">
        <v>1167</v>
      </c>
      <c r="G4111" s="10" t="n">
        <v>64562</v>
      </c>
      <c r="H4111" s="10" t="n">
        <v>1704</v>
      </c>
      <c r="I4111" s="10" t="n">
        <v>0</v>
      </c>
      <c r="J4111" s="10" t="n">
        <v>2</v>
      </c>
      <c r="K4111" s="10" t="s">
        <v>20</v>
      </c>
      <c r="L4111" s="11" t="n">
        <v>39384.5760300926</v>
      </c>
      <c r="M4111" s="12" t="s">
        <v>230</v>
      </c>
      <c r="N4111" s="12" t="s">
        <v>9936</v>
      </c>
      <c r="O4111" s="9" t="str">
        <f aca="false">HYPERLINK("https://pbs.twimg.com/profile_images/875453422425829377/32cnrEL7_normal.jpg","View")</f>
        <v>View</v>
      </c>
      <c r="P4111" s="10"/>
    </row>
    <row r="4112" customFormat="false" ht="15.75" hidden="false" customHeight="false" outlineLevel="0" collapsed="false">
      <c r="A4112" s="6" t="n">
        <v>43030.5700115741</v>
      </c>
      <c r="B4112" s="7" t="str">
        <f aca="false">HYPERLINK("https://twitter.com/shivaji_1983","@shivaji_1983")</f>
        <v>@shivaji_1983</v>
      </c>
      <c r="C4112" s="8" t="s">
        <v>9937</v>
      </c>
      <c r="D4112" s="8" t="s">
        <v>8779</v>
      </c>
      <c r="E4112" s="9" t="str">
        <f aca="false">HYPERLINK("https://twitter.com/shivaji_1983/status/922201096227119105","922201096227119105")</f>
        <v>922201096227119105</v>
      </c>
      <c r="F4112" s="10" t="s">
        <v>25</v>
      </c>
      <c r="G4112" s="10" t="n">
        <v>2519</v>
      </c>
      <c r="H4112" s="10" t="n">
        <v>371</v>
      </c>
      <c r="I4112" s="10" t="n">
        <v>4</v>
      </c>
      <c r="J4112" s="10" t="n">
        <v>0</v>
      </c>
      <c r="K4112" s="10" t="s">
        <v>20</v>
      </c>
      <c r="L4112" s="11" t="n">
        <v>41004.1200925926</v>
      </c>
      <c r="M4112" s="12" t="s">
        <v>868</v>
      </c>
      <c r="N4112" s="12" t="s">
        <v>9938</v>
      </c>
      <c r="O4112" s="9" t="str">
        <f aca="false">HYPERLINK("https://pbs.twimg.com/profile_images/475238467996090368/CIvKuKCG_normal.jpeg","View")</f>
        <v>View</v>
      </c>
      <c r="P4112" s="10"/>
    </row>
    <row r="4113" customFormat="false" ht="15.75" hidden="false" customHeight="false" outlineLevel="0" collapsed="false">
      <c r="A4113" s="6" t="n">
        <v>43030.5703935185</v>
      </c>
      <c r="B4113" s="7" t="str">
        <f aca="false">HYPERLINK("https://twitter.com/EagleStarNET","@EagleStarNET")</f>
        <v>@EagleStarNET</v>
      </c>
      <c r="C4113" s="7" t="s">
        <v>8217</v>
      </c>
      <c r="D4113" s="8" t="s">
        <v>9939</v>
      </c>
      <c r="E4113" s="9" t="str">
        <f aca="false">HYPERLINK("https://twitter.com/EagleStarNET/status/922201231921176578","922201231921176578")</f>
        <v>922201231921176578</v>
      </c>
      <c r="F4113" s="10" t="s">
        <v>8219</v>
      </c>
      <c r="G4113" s="10" t="n">
        <v>113025</v>
      </c>
      <c r="H4113" s="10" t="n">
        <v>10482</v>
      </c>
      <c r="I4113" s="10" t="n">
        <v>1</v>
      </c>
      <c r="J4113" s="10" t="n">
        <v>0</v>
      </c>
      <c r="K4113" s="10" t="s">
        <v>20</v>
      </c>
      <c r="L4113" s="11" t="n">
        <v>39863.6382407407</v>
      </c>
      <c r="M4113" s="12" t="s">
        <v>8220</v>
      </c>
      <c r="N4113" s="12" t="s">
        <v>8221</v>
      </c>
      <c r="O4113" s="9" t="str">
        <f aca="false">HYPERLINK("https://pbs.twimg.com/profile_images/1281792618/es_logo_metallic_gold_2_normal.jpg","View")</f>
        <v>View</v>
      </c>
      <c r="P4113" s="10"/>
    </row>
    <row r="4114" customFormat="false" ht="15.75" hidden="false" customHeight="false" outlineLevel="0" collapsed="false">
      <c r="A4114" s="6" t="n">
        <v>43030.5703935185</v>
      </c>
      <c r="B4114" s="7" t="str">
        <f aca="false">HYPERLINK("https://twitter.com/RobRe62","@RobRe62")</f>
        <v>@RobRe62</v>
      </c>
      <c r="C4114" s="8" t="s">
        <v>9940</v>
      </c>
      <c r="D4114" s="8" t="s">
        <v>9941</v>
      </c>
      <c r="E4114" s="9" t="str">
        <f aca="false">HYPERLINK("https://twitter.com/RobRe62/status/922201233536045059","922201233536045059")</f>
        <v>922201233536045059</v>
      </c>
      <c r="F4114" s="10" t="s">
        <v>9942</v>
      </c>
      <c r="G4114" s="10" t="n">
        <v>18732</v>
      </c>
      <c r="H4114" s="10" t="n">
        <v>3244</v>
      </c>
      <c r="I4114" s="10" t="n">
        <v>0</v>
      </c>
      <c r="J4114" s="10" t="n">
        <v>0</v>
      </c>
      <c r="K4114" s="10" t="s">
        <v>20</v>
      </c>
      <c r="L4114" s="11" t="n">
        <v>40409.124224537</v>
      </c>
      <c r="M4114" s="12" t="s">
        <v>9943</v>
      </c>
      <c r="N4114" s="12" t="s">
        <v>9944</v>
      </c>
      <c r="O4114" s="9" t="str">
        <f aca="false">HYPERLINK("https://pbs.twimg.com/profile_images/886159127935930369/wVqSOuN5_normal.jpg","View")</f>
        <v>View</v>
      </c>
      <c r="P4114" s="10"/>
    </row>
    <row r="4115" customFormat="false" ht="15.75" hidden="false" customHeight="false" outlineLevel="0" collapsed="false">
      <c r="A4115" s="6" t="n">
        <v>43030.5705324074</v>
      </c>
      <c r="B4115" s="7" t="str">
        <f aca="false">HYPERLINK("https://twitter.com/VMuppi","@VMuppi")</f>
        <v>@VMuppi</v>
      </c>
      <c r="C4115" s="8" t="s">
        <v>9945</v>
      </c>
      <c r="D4115" s="8" t="s">
        <v>8538</v>
      </c>
      <c r="E4115" s="9" t="str">
        <f aca="false">HYPERLINK("https://twitter.com/VMuppi/status/922201285683830785","922201285683830785")</f>
        <v>922201285683830785</v>
      </c>
      <c r="F4115" s="10" t="s">
        <v>39</v>
      </c>
      <c r="G4115" s="10" t="n">
        <v>1063</v>
      </c>
      <c r="H4115" s="10" t="n">
        <v>683</v>
      </c>
      <c r="I4115" s="10" t="n">
        <v>1015</v>
      </c>
      <c r="J4115" s="10" t="n">
        <v>0</v>
      </c>
      <c r="K4115" s="10" t="s">
        <v>20</v>
      </c>
      <c r="L4115" s="11" t="n">
        <v>39914.2726388889</v>
      </c>
      <c r="M4115" s="12"/>
      <c r="N4115" s="12"/>
      <c r="O4115" s="9" t="str">
        <f aca="false">HYPERLINK("https://pbs.twimg.com/profile_images/594482814785040384/J2MpsH-Z_normal.png","View")</f>
        <v>View</v>
      </c>
      <c r="P4115" s="10"/>
    </row>
    <row r="4116" customFormat="false" ht="15.75" hidden="false" customHeight="false" outlineLevel="0" collapsed="false">
      <c r="A4116" s="6" t="n">
        <v>43030.5709375</v>
      </c>
      <c r="B4116" s="7" t="str">
        <f aca="false">HYPERLINK("https://twitter.com/vagabondoc","@vagabondoc")</f>
        <v>@vagabondoc</v>
      </c>
      <c r="C4116" s="8" t="s">
        <v>9946</v>
      </c>
      <c r="D4116" s="8" t="s">
        <v>8538</v>
      </c>
      <c r="E4116" s="9" t="str">
        <f aca="false">HYPERLINK("https://twitter.com/vagabondoc/status/922201430542422017","922201430542422017")</f>
        <v>922201430542422017</v>
      </c>
      <c r="F4116" s="10" t="s">
        <v>51</v>
      </c>
      <c r="G4116" s="10" t="n">
        <v>784</v>
      </c>
      <c r="H4116" s="10" t="n">
        <v>595</v>
      </c>
      <c r="I4116" s="10" t="n">
        <v>1015</v>
      </c>
      <c r="J4116" s="10" t="n">
        <v>0</v>
      </c>
      <c r="K4116" s="10" t="s">
        <v>20</v>
      </c>
      <c r="L4116" s="11" t="n">
        <v>40449.9916666667</v>
      </c>
      <c r="M4116" s="12" t="s">
        <v>1635</v>
      </c>
      <c r="N4116" s="12" t="s">
        <v>9947</v>
      </c>
      <c r="O4116" s="9" t="str">
        <f aca="false">HYPERLINK("https://pbs.twimg.com/profile_images/918748663408615424/cIrk3g2M_normal.jpg","View")</f>
        <v>View</v>
      </c>
      <c r="P4116" s="10"/>
    </row>
    <row r="4117" customFormat="false" ht="15.75" hidden="false" customHeight="false" outlineLevel="0" collapsed="false">
      <c r="A4117" s="6" t="n">
        <v>43030.5710185185</v>
      </c>
      <c r="B4117" s="7" t="str">
        <f aca="false">HYPERLINK("https://twitter.com/vivekas","@vivekas")</f>
        <v>@vivekas</v>
      </c>
      <c r="C4117" s="8" t="s">
        <v>9948</v>
      </c>
      <c r="D4117" s="8" t="s">
        <v>8538</v>
      </c>
      <c r="E4117" s="9" t="str">
        <f aca="false">HYPERLINK("https://twitter.com/vivekas/status/922201459763982336","922201459763982336")</f>
        <v>922201459763982336</v>
      </c>
      <c r="F4117" s="10" t="s">
        <v>25</v>
      </c>
      <c r="G4117" s="10" t="n">
        <v>739</v>
      </c>
      <c r="H4117" s="10" t="n">
        <v>667</v>
      </c>
      <c r="I4117" s="10" t="n">
        <v>1015</v>
      </c>
      <c r="J4117" s="10" t="n">
        <v>0</v>
      </c>
      <c r="K4117" s="10" t="s">
        <v>20</v>
      </c>
      <c r="L4117" s="11" t="n">
        <v>39903.9179050926</v>
      </c>
      <c r="M4117" s="12" t="s">
        <v>8994</v>
      </c>
      <c r="N4117" s="12" t="s">
        <v>9949</v>
      </c>
      <c r="O4117" s="9" t="str">
        <f aca="false">HYPERLINK("https://pbs.twimg.com/profile_images/871770810788085761/1_tz-4yD_normal.jpg","View")</f>
        <v>View</v>
      </c>
      <c r="P4117" s="10"/>
    </row>
    <row r="4118" customFormat="false" ht="15.75" hidden="false" customHeight="false" outlineLevel="0" collapsed="false">
      <c r="A4118" s="6" t="n">
        <v>43030.5713078704</v>
      </c>
      <c r="B4118" s="7" t="str">
        <f aca="false">HYPERLINK("https://twitter.com/mammeri14828362","@mammeri14828362")</f>
        <v>@mammeri14828362</v>
      </c>
      <c r="C4118" s="8" t="s">
        <v>8222</v>
      </c>
      <c r="D4118" s="8" t="s">
        <v>9950</v>
      </c>
      <c r="E4118" s="9" t="str">
        <f aca="false">HYPERLINK("https://twitter.com/mammeri14828362/status/922201564928008192","922201564928008192")</f>
        <v>922201564928008192</v>
      </c>
      <c r="F4118" s="10" t="s">
        <v>25</v>
      </c>
      <c r="G4118" s="10" t="n">
        <v>1829</v>
      </c>
      <c r="H4118" s="10" t="n">
        <v>5004</v>
      </c>
      <c r="I4118" s="10" t="n">
        <v>1</v>
      </c>
      <c r="J4118" s="10" t="n">
        <v>0</v>
      </c>
      <c r="K4118" s="10" t="s">
        <v>20</v>
      </c>
      <c r="L4118" s="11" t="n">
        <v>42792.4388425926</v>
      </c>
      <c r="M4118" s="12"/>
      <c r="N4118" s="12"/>
      <c r="O4118" s="9" t="str">
        <f aca="false">HYPERLINK("https://pbs.twimg.com/profile_images/835971152182927362/KoDgkXxy_normal.jpg","View")</f>
        <v>View</v>
      </c>
      <c r="P4118" s="10"/>
    </row>
    <row r="4119" customFormat="false" ht="15.75" hidden="false" customHeight="false" outlineLevel="0" collapsed="false">
      <c r="A4119" s="6" t="n">
        <v>43030.5715393518</v>
      </c>
      <c r="B4119" s="7" t="str">
        <f aca="false">HYPERLINK("https://twitter.com/shafeeg","@shafeeg")</f>
        <v>@shafeeg</v>
      </c>
      <c r="C4119" s="8" t="s">
        <v>9951</v>
      </c>
      <c r="D4119" s="8" t="s">
        <v>9907</v>
      </c>
      <c r="E4119" s="9" t="str">
        <f aca="false">HYPERLINK("https://twitter.com/shafeeg/status/922201650483290112","922201650483290112")</f>
        <v>922201650483290112</v>
      </c>
      <c r="F4119" s="10" t="s">
        <v>51</v>
      </c>
      <c r="G4119" s="10" t="n">
        <v>4216</v>
      </c>
      <c r="H4119" s="10" t="n">
        <v>1617</v>
      </c>
      <c r="I4119" s="10" t="n">
        <v>11</v>
      </c>
      <c r="J4119" s="10" t="n">
        <v>0</v>
      </c>
      <c r="K4119" s="10" t="s">
        <v>20</v>
      </c>
      <c r="L4119" s="11" t="n">
        <v>39782.8329513889</v>
      </c>
      <c r="M4119" s="12" t="s">
        <v>9952</v>
      </c>
      <c r="N4119" s="12" t="s">
        <v>9953</v>
      </c>
      <c r="O4119" s="9" t="str">
        <f aca="false">HYPERLINK("https://pbs.twimg.com/profile_images/908589593888309248/TkR778Lg_normal.jpg","View")</f>
        <v>View</v>
      </c>
      <c r="P4119" s="10"/>
    </row>
    <row r="4120" customFormat="false" ht="15.75" hidden="false" customHeight="false" outlineLevel="0" collapsed="false">
      <c r="A4120" s="6" t="n">
        <v>43030.5716666667</v>
      </c>
      <c r="B4120" s="7" t="str">
        <f aca="false">HYPERLINK("https://twitter.com/PhamNguyenly","@PhamNguyenly")</f>
        <v>@PhamNguyenly</v>
      </c>
      <c r="C4120" s="8" t="s">
        <v>1538</v>
      </c>
      <c r="D4120" s="8" t="s">
        <v>9954</v>
      </c>
      <c r="E4120" s="9" t="str">
        <f aca="false">HYPERLINK("https://twitter.com/PhamNguyenly/status/922201693999247360","922201693999247360")</f>
        <v>922201693999247360</v>
      </c>
      <c r="F4120" s="10" t="s">
        <v>55</v>
      </c>
      <c r="G4120" s="10" t="n">
        <v>174</v>
      </c>
      <c r="H4120" s="10" t="n">
        <v>48</v>
      </c>
      <c r="I4120" s="10" t="n">
        <v>0</v>
      </c>
      <c r="J4120" s="10" t="n">
        <v>0</v>
      </c>
      <c r="K4120" s="10" t="s">
        <v>20</v>
      </c>
      <c r="L4120" s="11" t="n">
        <v>42379.075162037</v>
      </c>
      <c r="M4120" s="12"/>
      <c r="N4120" s="12"/>
      <c r="O4120" s="9" t="str">
        <f aca="false">HYPERLINK("https://pbs.twimg.com/profile_images/686123123029053440/tlIsdN69_normal.jpg","View")</f>
        <v>View</v>
      </c>
      <c r="P4120" s="10"/>
    </row>
    <row r="4121" customFormat="false" ht="15.75" hidden="false" customHeight="false" outlineLevel="0" collapsed="false">
      <c r="A4121" s="6" t="n">
        <v>43030.5732986111</v>
      </c>
      <c r="B4121" s="7" t="str">
        <f aca="false">HYPERLINK("https://twitter.com/a4TvIGf1rP7nWRB","@a4TvIGf1rP7nWRB")</f>
        <v>@a4TvIGf1rP7nWRB</v>
      </c>
      <c r="C4121" s="14" t="s">
        <v>9955</v>
      </c>
      <c r="D4121" s="8" t="s">
        <v>6707</v>
      </c>
      <c r="E4121" s="9" t="str">
        <f aca="false">HYPERLINK("https://twitter.com/a4TvIGf1rP7nWRB/status/922202286914289664","922202286914289664")</f>
        <v>922202286914289664</v>
      </c>
      <c r="F4121" s="10" t="s">
        <v>51</v>
      </c>
      <c r="G4121" s="10" t="n">
        <v>146</v>
      </c>
      <c r="H4121" s="10" t="n">
        <v>204</v>
      </c>
      <c r="I4121" s="10" t="n">
        <v>97</v>
      </c>
      <c r="J4121" s="10" t="n">
        <v>0</v>
      </c>
      <c r="K4121" s="10" t="s">
        <v>20</v>
      </c>
      <c r="L4121" s="11" t="n">
        <v>42993.3937152778</v>
      </c>
      <c r="M4121" s="13" t="s">
        <v>9956</v>
      </c>
      <c r="N4121" s="13" t="s">
        <v>9957</v>
      </c>
      <c r="O4121" s="9" t="str">
        <f aca="false">HYPERLINK("https://pbs.twimg.com/profile_images/920837041004220416/sy6osgH6_normal.jpg","View")</f>
        <v>View</v>
      </c>
      <c r="P4121" s="10"/>
    </row>
    <row r="4122" customFormat="false" ht="15.75" hidden="false" customHeight="false" outlineLevel="0" collapsed="false">
      <c r="A4122" s="6" t="n">
        <v>43030.5735300926</v>
      </c>
      <c r="B4122" s="7" t="str">
        <f aca="false">HYPERLINK("https://twitter.com/alizardx","@alizardx")</f>
        <v>@alizardx</v>
      </c>
      <c r="C4122" s="8" t="s">
        <v>9958</v>
      </c>
      <c r="D4122" s="8" t="s">
        <v>9670</v>
      </c>
      <c r="E4122" s="9" t="str">
        <f aca="false">HYPERLINK("https://twitter.com/alizardx/status/922202372423610368","922202372423610368")</f>
        <v>922202372423610368</v>
      </c>
      <c r="F4122" s="10" t="s">
        <v>25</v>
      </c>
      <c r="G4122" s="10" t="n">
        <v>2227</v>
      </c>
      <c r="H4122" s="10" t="n">
        <v>1481</v>
      </c>
      <c r="I4122" s="10" t="n">
        <v>11</v>
      </c>
      <c r="J4122" s="10" t="n">
        <v>0</v>
      </c>
      <c r="K4122" s="10" t="s">
        <v>20</v>
      </c>
      <c r="L4122" s="11" t="n">
        <v>40572.1158680556</v>
      </c>
      <c r="M4122" s="12" t="s">
        <v>9959</v>
      </c>
      <c r="N4122" s="12" t="s">
        <v>9960</v>
      </c>
      <c r="O4122" s="9" t="str">
        <f aca="false">HYPERLINK("https://pbs.twimg.com/profile_images/541562137936551936/mNV26kuM_normal.jpeg","View")</f>
        <v>View</v>
      </c>
      <c r="P4122" s="10"/>
    </row>
    <row r="4123" customFormat="false" ht="15.75" hidden="false" customHeight="false" outlineLevel="0" collapsed="false">
      <c r="A4123" s="6" t="n">
        <v>43030.5745601852</v>
      </c>
      <c r="B4123" s="7" t="str">
        <f aca="false">HYPERLINK("https://twitter.com/websterwakeemup","@websterwakeemup")</f>
        <v>@websterwakeemup</v>
      </c>
      <c r="C4123" s="8" t="s">
        <v>9961</v>
      </c>
      <c r="D4123" s="8" t="s">
        <v>9962</v>
      </c>
      <c r="E4123" s="9" t="str">
        <f aca="false">HYPERLINK("https://twitter.com/websterwakeemup/status/922202745729200128","922202745729200128")</f>
        <v>922202745729200128</v>
      </c>
      <c r="F4123" s="10" t="s">
        <v>39</v>
      </c>
      <c r="G4123" s="10" t="n">
        <v>586</v>
      </c>
      <c r="H4123" s="10" t="n">
        <v>1039</v>
      </c>
      <c r="I4123" s="10" t="n">
        <v>0</v>
      </c>
      <c r="J4123" s="10" t="n">
        <v>0</v>
      </c>
      <c r="K4123" s="10" t="s">
        <v>20</v>
      </c>
      <c r="L4123" s="11" t="n">
        <v>42651.5549652778</v>
      </c>
      <c r="M4123" s="12" t="s">
        <v>9963</v>
      </c>
      <c r="N4123" s="12" t="s">
        <v>9964</v>
      </c>
      <c r="O4123" s="9" t="str">
        <f aca="false">HYPERLINK("https://pbs.twimg.com/profile_images/784857885477965824/GM2_1Byr_normal.jpg","View")</f>
        <v>View</v>
      </c>
      <c r="P4123" s="10"/>
    </row>
    <row r="4124" customFormat="false" ht="15.75" hidden="false" customHeight="false" outlineLevel="0" collapsed="false">
      <c r="A4124" s="6" t="n">
        <v>43030.5755439815</v>
      </c>
      <c r="B4124" s="7" t="str">
        <f aca="false">HYPERLINK("https://twitter.com/breakingknowlez","@breakingknowlez")</f>
        <v>@breakingknowlez</v>
      </c>
      <c r="C4124" s="8" t="s">
        <v>9708</v>
      </c>
      <c r="D4124" s="8" t="s">
        <v>9965</v>
      </c>
      <c r="E4124" s="9" t="str">
        <f aca="false">HYPERLINK("https://twitter.com/breakingknowlez/status/922203101133721600","922203101133721600")</f>
        <v>922203101133721600</v>
      </c>
      <c r="F4124" s="10" t="s">
        <v>55</v>
      </c>
      <c r="G4124" s="10" t="n">
        <v>379</v>
      </c>
      <c r="H4124" s="10" t="n">
        <v>100</v>
      </c>
      <c r="I4124" s="10" t="n">
        <v>0</v>
      </c>
      <c r="J4124" s="10" t="n">
        <v>0</v>
      </c>
      <c r="K4124" s="10" t="s">
        <v>20</v>
      </c>
      <c r="L4124" s="11" t="n">
        <v>41087.2706134259</v>
      </c>
      <c r="M4124" s="12" t="s">
        <v>7434</v>
      </c>
      <c r="N4124" s="12" t="s">
        <v>9710</v>
      </c>
      <c r="O4124" s="9" t="str">
        <f aca="false">HYPERLINK("https://pbs.twimg.com/profile_images/665966096663506944/cBf1Cg_c_normal.png","View")</f>
        <v>View</v>
      </c>
      <c r="P4124" s="10"/>
    </row>
    <row r="4125" customFormat="false" ht="15.75" hidden="false" customHeight="false" outlineLevel="0" collapsed="false">
      <c r="A4125" s="6" t="n">
        <v>43030.5760300926</v>
      </c>
      <c r="B4125" s="7" t="str">
        <f aca="false">HYPERLINK("https://twitter.com/polticalquest","@polticalquest")</f>
        <v>@polticalquest</v>
      </c>
      <c r="C4125" s="8" t="s">
        <v>9966</v>
      </c>
      <c r="D4125" s="8" t="s">
        <v>9907</v>
      </c>
      <c r="E4125" s="9" t="str">
        <f aca="false">HYPERLINK("https://twitter.com/polticalquest/status/922203276589785088","922203276589785088")</f>
        <v>922203276589785088</v>
      </c>
      <c r="F4125" s="10" t="s">
        <v>25</v>
      </c>
      <c r="G4125" s="10" t="n">
        <v>3070</v>
      </c>
      <c r="H4125" s="10" t="n">
        <v>4996</v>
      </c>
      <c r="I4125" s="10" t="n">
        <v>11</v>
      </c>
      <c r="J4125" s="10" t="n">
        <v>0</v>
      </c>
      <c r="K4125" s="10" t="s">
        <v>20</v>
      </c>
      <c r="L4125" s="11" t="n">
        <v>41714.5503240741</v>
      </c>
      <c r="M4125" s="12" t="s">
        <v>230</v>
      </c>
      <c r="N4125" s="12" t="s">
        <v>9967</v>
      </c>
      <c r="O4125" s="9" t="str">
        <f aca="false">HYPERLINK("https://pbs.twimg.com/profile_images/918818914926075905/mOnkE3Qm_normal.jpg","View")</f>
        <v>View</v>
      </c>
      <c r="P4125" s="10"/>
    </row>
    <row r="4126" customFormat="false" ht="15.75" hidden="false" customHeight="false" outlineLevel="0" collapsed="false">
      <c r="A4126" s="6" t="n">
        <v>43030.5760763889</v>
      </c>
      <c r="B4126" s="7" t="str">
        <f aca="false">HYPERLINK("https://twitter.com/shivaji_1983","@shivaji_1983")</f>
        <v>@shivaji_1983</v>
      </c>
      <c r="C4126" s="8" t="s">
        <v>9937</v>
      </c>
      <c r="D4126" s="8" t="s">
        <v>8538</v>
      </c>
      <c r="E4126" s="9" t="str">
        <f aca="false">HYPERLINK("https://twitter.com/shivaji_1983/status/922203294193389568","922203294193389568")</f>
        <v>922203294193389568</v>
      </c>
      <c r="F4126" s="10" t="s">
        <v>25</v>
      </c>
      <c r="G4126" s="10" t="n">
        <v>2519</v>
      </c>
      <c r="H4126" s="10" t="n">
        <v>371</v>
      </c>
      <c r="I4126" s="10" t="n">
        <v>1015</v>
      </c>
      <c r="J4126" s="10" t="n">
        <v>0</v>
      </c>
      <c r="K4126" s="10" t="s">
        <v>20</v>
      </c>
      <c r="L4126" s="11" t="n">
        <v>41004.1200925926</v>
      </c>
      <c r="M4126" s="12" t="s">
        <v>868</v>
      </c>
      <c r="N4126" s="12" t="s">
        <v>9938</v>
      </c>
      <c r="O4126" s="9" t="str">
        <f aca="false">HYPERLINK("https://pbs.twimg.com/profile_images/475238467996090368/CIvKuKCG_normal.jpeg","View")</f>
        <v>View</v>
      </c>
      <c r="P4126" s="10"/>
    </row>
    <row r="4127" customFormat="false" ht="15.75" hidden="false" customHeight="false" outlineLevel="0" collapsed="false">
      <c r="A4127" s="6" t="n">
        <v>43030.5764351852</v>
      </c>
      <c r="B4127" s="7" t="str">
        <f aca="false">HYPERLINK("https://twitter.com/Canada24News","@Canada24News")</f>
        <v>@Canada24News</v>
      </c>
      <c r="C4127" s="8" t="s">
        <v>9968</v>
      </c>
      <c r="D4127" s="8" t="s">
        <v>9969</v>
      </c>
      <c r="E4127" s="9" t="str">
        <f aca="false">HYPERLINK("https://twitter.com/Canada24News/status/922203423667314688","922203423667314688")</f>
        <v>922203423667314688</v>
      </c>
      <c r="F4127" s="10" t="s">
        <v>9970</v>
      </c>
      <c r="G4127" s="10" t="n">
        <v>17</v>
      </c>
      <c r="H4127" s="10" t="n">
        <v>10</v>
      </c>
      <c r="I4127" s="10" t="n">
        <v>0</v>
      </c>
      <c r="J4127" s="10" t="n">
        <v>0</v>
      </c>
      <c r="K4127" s="10" t="s">
        <v>20</v>
      </c>
      <c r="L4127" s="11" t="n">
        <v>42851.2356944445</v>
      </c>
      <c r="M4127" s="12" t="s">
        <v>9971</v>
      </c>
      <c r="N4127" s="12"/>
      <c r="O4127" s="9" t="str">
        <f aca="false">HYPERLINK("https://pbs.twimg.com/profile_images/859849828859293700/jWPcXNDq_normal.jpg","View")</f>
        <v>View</v>
      </c>
      <c r="P4127" s="10"/>
    </row>
    <row r="4128" customFormat="false" ht="15.75" hidden="false" customHeight="false" outlineLevel="0" collapsed="false">
      <c r="A4128" s="6" t="n">
        <v>43030.5768981482</v>
      </c>
      <c r="B4128" s="7" t="str">
        <f aca="false">HYPERLINK("https://twitter.com/NamVietNetwork","@NamVietNetwork")</f>
        <v>@NamVietNetwork</v>
      </c>
      <c r="C4128" s="8" t="s">
        <v>2489</v>
      </c>
      <c r="D4128" s="8" t="s">
        <v>9972</v>
      </c>
      <c r="E4128" s="9" t="str">
        <f aca="false">HYPERLINK("https://twitter.com/NamVietNetwork/status/922203589665312771","922203589665312771")</f>
        <v>922203589665312771</v>
      </c>
      <c r="F4128" s="10" t="s">
        <v>55</v>
      </c>
      <c r="G4128" s="10" t="n">
        <v>1540</v>
      </c>
      <c r="H4128" s="10" t="n">
        <v>147</v>
      </c>
      <c r="I4128" s="10" t="n">
        <v>0</v>
      </c>
      <c r="J4128" s="10" t="n">
        <v>0</v>
      </c>
      <c r="K4128" s="10" t="s">
        <v>20</v>
      </c>
      <c r="L4128" s="11" t="n">
        <v>40189.0717476852</v>
      </c>
      <c r="M4128" s="12" t="s">
        <v>2491</v>
      </c>
      <c r="N4128" s="12" t="s">
        <v>2492</v>
      </c>
      <c r="O4128" s="9" t="str">
        <f aca="false">HYPERLINK("https://pbs.twimg.com/profile_images/2509866256/6fjgs8rtts7014kqe70t_normal.jpeg","View")</f>
        <v>View</v>
      </c>
      <c r="P4128" s="10"/>
    </row>
    <row r="4129" customFormat="false" ht="15.75" hidden="false" customHeight="false" outlineLevel="0" collapsed="false">
      <c r="A4129" s="6" t="n">
        <v>43030.5774884259</v>
      </c>
      <c r="B4129" s="7" t="str">
        <f aca="false">HYPERLINK("https://twitter.com/USB55700200","@USB55700200")</f>
        <v>@USB55700200</v>
      </c>
      <c r="C4129" s="14" t="s">
        <v>9973</v>
      </c>
      <c r="D4129" s="8" t="s">
        <v>7803</v>
      </c>
      <c r="E4129" s="9" t="str">
        <f aca="false">HYPERLINK("https://twitter.com/USB55700200/status/922203803939565568","922203803939565568")</f>
        <v>922203803939565568</v>
      </c>
      <c r="F4129" s="10" t="s">
        <v>51</v>
      </c>
      <c r="G4129" s="10" t="n">
        <v>129</v>
      </c>
      <c r="H4129" s="10" t="n">
        <v>25</v>
      </c>
      <c r="I4129" s="10" t="n">
        <v>30</v>
      </c>
      <c r="J4129" s="10" t="n">
        <v>0</v>
      </c>
      <c r="K4129" s="10" t="s">
        <v>20</v>
      </c>
      <c r="L4129" s="11" t="n">
        <v>42545.454837963</v>
      </c>
      <c r="M4129" s="12"/>
      <c r="N4129" s="12" t="s">
        <v>9974</v>
      </c>
      <c r="O4129" s="9" t="str">
        <f aca="false">HYPERLINK("https://pbs.twimg.com/profile_images/757094560216428544/4DWjQD_O_normal.jpg","View")</f>
        <v>View</v>
      </c>
      <c r="P4129" s="10"/>
    </row>
    <row r="4130" customFormat="false" ht="15.75" hidden="false" customHeight="false" outlineLevel="0" collapsed="false">
      <c r="A4130" s="6" t="n">
        <v>43030.5781365741</v>
      </c>
      <c r="B4130" s="7" t="str">
        <f aca="false">HYPERLINK("https://twitter.com/habla_con_Gian","@habla_con_Gian")</f>
        <v>@habla_con_Gian</v>
      </c>
      <c r="C4130" s="8" t="s">
        <v>9975</v>
      </c>
      <c r="D4130" s="8" t="s">
        <v>9976</v>
      </c>
      <c r="E4130" s="9" t="str">
        <f aca="false">HYPERLINK("https://twitter.com/habla_con_Gian/status/922204039865077767","922204039865077767")</f>
        <v>922204039865077767</v>
      </c>
      <c r="F4130" s="10" t="s">
        <v>51</v>
      </c>
      <c r="G4130" s="10" t="n">
        <v>1045</v>
      </c>
      <c r="H4130" s="10" t="n">
        <v>5002</v>
      </c>
      <c r="I4130" s="10" t="n">
        <v>0</v>
      </c>
      <c r="J4130" s="10" t="n">
        <v>0</v>
      </c>
      <c r="K4130" s="10" t="s">
        <v>20</v>
      </c>
      <c r="L4130" s="11" t="n">
        <v>42610.2160069444</v>
      </c>
      <c r="M4130" s="12" t="s">
        <v>9977</v>
      </c>
      <c r="N4130" s="12" t="s">
        <v>9978</v>
      </c>
      <c r="O4130" s="9" t="str">
        <f aca="false">HYPERLINK("https://pbs.twimg.com/profile_images/775646146551287808/3FrsDgV-_normal.jpg","View")</f>
        <v>View</v>
      </c>
      <c r="P4130" s="10"/>
    </row>
    <row r="4131" customFormat="false" ht="15.75" hidden="false" customHeight="false" outlineLevel="0" collapsed="false">
      <c r="A4131" s="6" t="n">
        <v>43030.5782523148</v>
      </c>
      <c r="B4131" s="7" t="str">
        <f aca="false">HYPERLINK("https://twitter.com/Geo45","@Geo45")</f>
        <v>@Geo45</v>
      </c>
      <c r="C4131" s="8" t="s">
        <v>9979</v>
      </c>
      <c r="D4131" s="8" t="s">
        <v>9907</v>
      </c>
      <c r="E4131" s="9" t="str">
        <f aca="false">HYPERLINK("https://twitter.com/Geo45/status/922204080927277056","922204080927277056")</f>
        <v>922204080927277056</v>
      </c>
      <c r="F4131" s="10" t="s">
        <v>25</v>
      </c>
      <c r="G4131" s="10" t="n">
        <v>272</v>
      </c>
      <c r="H4131" s="10" t="n">
        <v>715</v>
      </c>
      <c r="I4131" s="10" t="n">
        <v>11</v>
      </c>
      <c r="J4131" s="10" t="n">
        <v>0</v>
      </c>
      <c r="K4131" s="10" t="s">
        <v>20</v>
      </c>
      <c r="L4131" s="11" t="n">
        <v>39895.1312615741</v>
      </c>
      <c r="M4131" s="12" t="s">
        <v>9980</v>
      </c>
      <c r="N4131" s="12" t="s">
        <v>9981</v>
      </c>
      <c r="O4131" s="9" t="str">
        <f aca="false">HYPERLINK("https://pbs.twimg.com/profile_images/1282079549/image_normal.jpg","View")</f>
        <v>View</v>
      </c>
      <c r="P4131" s="10"/>
    </row>
    <row r="4132" customFormat="false" ht="15.75" hidden="false" customHeight="false" outlineLevel="0" collapsed="false">
      <c r="A4132" s="6" t="n">
        <v>43030.5787268518</v>
      </c>
      <c r="B4132" s="7" t="str">
        <f aca="false">HYPERLINK("https://twitter.com/CollectedN","@CollectedN")</f>
        <v>@CollectedN</v>
      </c>
      <c r="C4132" s="8" t="s">
        <v>1803</v>
      </c>
      <c r="D4132" s="8" t="s">
        <v>9982</v>
      </c>
      <c r="E4132" s="9" t="str">
        <f aca="false">HYPERLINK("https://twitter.com/CollectedN/status/922204252323352582","922204252323352582")</f>
        <v>922204252323352582</v>
      </c>
      <c r="F4132" s="10" t="s">
        <v>60</v>
      </c>
      <c r="G4132" s="10" t="n">
        <v>21998</v>
      </c>
      <c r="H4132" s="10" t="n">
        <v>16536</v>
      </c>
      <c r="I4132" s="10" t="n">
        <v>0</v>
      </c>
      <c r="J4132" s="10" t="n">
        <v>0</v>
      </c>
      <c r="K4132" s="10" t="s">
        <v>20</v>
      </c>
      <c r="L4132" s="11" t="n">
        <v>41333.7684027778</v>
      </c>
      <c r="M4132" s="12"/>
      <c r="N4132" s="12" t="s">
        <v>1805</v>
      </c>
      <c r="O4132" s="9" t="str">
        <f aca="false">HYPERLINK("https://pbs.twimg.com/profile_images/705925817277108224/nGS1Ko7F_normal.jpg","View")</f>
        <v>View</v>
      </c>
      <c r="P4132" s="10"/>
    </row>
    <row r="4133" customFormat="false" ht="15.75" hidden="false" customHeight="false" outlineLevel="0" collapsed="false">
      <c r="A4133" s="6" t="n">
        <v>43030.5788541667</v>
      </c>
      <c r="B4133" s="7" t="str">
        <f aca="false">HYPERLINK("https://twitter.com/skommana1","@skommana1")</f>
        <v>@skommana1</v>
      </c>
      <c r="C4133" s="8" t="s">
        <v>9983</v>
      </c>
      <c r="D4133" s="8" t="s">
        <v>8538</v>
      </c>
      <c r="E4133" s="9" t="str">
        <f aca="false">HYPERLINK("https://twitter.com/skommana1/status/922204299710607362","922204299710607362")</f>
        <v>922204299710607362</v>
      </c>
      <c r="F4133" s="10" t="s">
        <v>25</v>
      </c>
      <c r="G4133" s="10" t="n">
        <v>305</v>
      </c>
      <c r="H4133" s="10" t="n">
        <v>18</v>
      </c>
      <c r="I4133" s="10" t="n">
        <v>1015</v>
      </c>
      <c r="J4133" s="10" t="n">
        <v>0</v>
      </c>
      <c r="K4133" s="10" t="s">
        <v>20</v>
      </c>
      <c r="L4133" s="11" t="n">
        <v>40887.5498958333</v>
      </c>
      <c r="M4133" s="12"/>
      <c r="N4133" s="12" t="s">
        <v>9984</v>
      </c>
      <c r="O4133" s="9" t="str">
        <f aca="false">HYPERLINK("https://pbs.twimg.com/profile_images/597589233943977984/p9OsErGR_normal.jpg","View")</f>
        <v>View</v>
      </c>
      <c r="P4133" s="10"/>
    </row>
    <row r="4134" customFormat="false" ht="15.75" hidden="false" customHeight="false" outlineLevel="0" collapsed="false">
      <c r="A4134" s="6" t="n">
        <v>43030.5790162037</v>
      </c>
      <c r="B4134" s="7" t="str">
        <f aca="false">HYPERLINK("https://twitter.com/DrMarkPBarry","@DrMarkPBarry")</f>
        <v>@DrMarkPBarry</v>
      </c>
      <c r="C4134" s="8" t="s">
        <v>9985</v>
      </c>
      <c r="D4134" s="8" t="s">
        <v>9986</v>
      </c>
      <c r="E4134" s="9" t="str">
        <f aca="false">HYPERLINK("https://twitter.com/DrMarkPBarry/status/922204359080972290","922204359080972290")</f>
        <v>922204359080972290</v>
      </c>
      <c r="F4134" s="10" t="s">
        <v>9853</v>
      </c>
      <c r="G4134" s="10" t="n">
        <v>1306</v>
      </c>
      <c r="H4134" s="10" t="n">
        <v>90</v>
      </c>
      <c r="I4134" s="10" t="n">
        <v>0</v>
      </c>
      <c r="J4134" s="10" t="n">
        <v>1</v>
      </c>
      <c r="K4134" s="10" t="s">
        <v>20</v>
      </c>
      <c r="L4134" s="11" t="n">
        <v>40123.5622569445</v>
      </c>
      <c r="M4134" s="12" t="s">
        <v>9987</v>
      </c>
      <c r="N4134" s="12" t="s">
        <v>9988</v>
      </c>
      <c r="O4134" s="9" t="str">
        <f aca="false">HYPERLINK("https://pbs.twimg.com/profile_images/870119932348030976/hfZcyeqs_normal.jpg","View")</f>
        <v>View</v>
      </c>
      <c r="P4134" s="10"/>
    </row>
    <row r="4135" customFormat="false" ht="15.75" hidden="false" customHeight="false" outlineLevel="0" collapsed="false">
      <c r="A4135" s="6" t="n">
        <v>43030.5793055556</v>
      </c>
      <c r="B4135" s="7" t="str">
        <f aca="false">HYPERLINK("https://twitter.com/bonja1","@bonja1")</f>
        <v>@bonja1</v>
      </c>
      <c r="C4135" s="8" t="s">
        <v>9989</v>
      </c>
      <c r="D4135" s="8" t="s">
        <v>6707</v>
      </c>
      <c r="E4135" s="9" t="str">
        <f aca="false">HYPERLINK("https://twitter.com/bonja1/status/922204462491602946","922204462491602946")</f>
        <v>922204462491602946</v>
      </c>
      <c r="F4135" s="10" t="s">
        <v>51</v>
      </c>
      <c r="G4135" s="10" t="n">
        <v>1118</v>
      </c>
      <c r="H4135" s="10" t="n">
        <v>1058</v>
      </c>
      <c r="I4135" s="10" t="n">
        <v>97</v>
      </c>
      <c r="J4135" s="10" t="n">
        <v>0</v>
      </c>
      <c r="K4135" s="10" t="s">
        <v>20</v>
      </c>
      <c r="L4135" s="11" t="n">
        <v>40618.8068402778</v>
      </c>
      <c r="M4135" s="12" t="s">
        <v>502</v>
      </c>
      <c r="N4135" s="13" t="s">
        <v>9990</v>
      </c>
      <c r="O4135" s="9" t="str">
        <f aca="false">HYPERLINK("https://pbs.twimg.com/profile_images/1910919510/longhorns_5_normal.PNG","View")</f>
        <v>View</v>
      </c>
      <c r="P4135" s="10"/>
    </row>
    <row r="4136" customFormat="false" ht="15.75" hidden="false" customHeight="false" outlineLevel="0" collapsed="false">
      <c r="A4136" s="6" t="n">
        <v>43030.5793402778</v>
      </c>
      <c r="B4136" s="7" t="str">
        <f aca="false">HYPERLINK("https://twitter.com/euronews","@euronews")</f>
        <v>@euronews</v>
      </c>
      <c r="C4136" s="8" t="s">
        <v>6728</v>
      </c>
      <c r="D4136" s="8" t="s">
        <v>9991</v>
      </c>
      <c r="E4136" s="9" t="str">
        <f aca="false">HYPERLINK("https://twitter.com/euronews/status/922204477687500800","922204477687500800")</f>
        <v>922204477687500800</v>
      </c>
      <c r="F4136" s="10" t="s">
        <v>2506</v>
      </c>
      <c r="G4136" s="10" t="n">
        <v>272106</v>
      </c>
      <c r="H4136" s="10" t="n">
        <v>785</v>
      </c>
      <c r="I4136" s="10" t="n">
        <v>10</v>
      </c>
      <c r="J4136" s="10" t="n">
        <v>8</v>
      </c>
      <c r="K4136" s="10" t="s">
        <v>20</v>
      </c>
      <c r="L4136" s="11" t="n">
        <v>39890.2480439815</v>
      </c>
      <c r="M4136" s="12" t="s">
        <v>1635</v>
      </c>
      <c r="N4136" s="12" t="s">
        <v>6730</v>
      </c>
      <c r="O4136" s="9" t="str">
        <f aca="false">HYPERLINK("https://pbs.twimg.com/profile_images/732665354242150400/tZsCnjuh_normal.jpg","View")</f>
        <v>View</v>
      </c>
      <c r="P4136" s="10"/>
    </row>
    <row r="4137" customFormat="false" ht="15.75" hidden="false" customHeight="false" outlineLevel="0" collapsed="false">
      <c r="A4137" s="6" t="n">
        <v>43030.5793634259</v>
      </c>
      <c r="B4137" s="7" t="str">
        <f aca="false">HYPERLINK("https://twitter.com/stonemessenger1","@stonemessenger1")</f>
        <v>@stonemessenger1</v>
      </c>
      <c r="C4137" s="8" t="s">
        <v>9992</v>
      </c>
      <c r="D4137" s="8" t="s">
        <v>9993</v>
      </c>
      <c r="E4137" s="9" t="str">
        <f aca="false">HYPERLINK("https://twitter.com/stonemessenger1/status/922204485795106816","922204485795106816")</f>
        <v>922204485795106816</v>
      </c>
      <c r="F4137" s="10" t="s">
        <v>39</v>
      </c>
      <c r="G4137" s="10" t="n">
        <v>35</v>
      </c>
      <c r="H4137" s="10" t="n">
        <v>118</v>
      </c>
      <c r="I4137" s="10" t="n">
        <v>0</v>
      </c>
      <c r="J4137" s="10" t="n">
        <v>0</v>
      </c>
      <c r="K4137" s="10" t="s">
        <v>20</v>
      </c>
      <c r="L4137" s="11" t="n">
        <v>42844.1902662037</v>
      </c>
      <c r="M4137" s="12" t="s">
        <v>2495</v>
      </c>
      <c r="N4137" s="12" t="s">
        <v>9994</v>
      </c>
      <c r="O4137" s="9" t="str">
        <f aca="false">HYPERLINK("https://pbs.twimg.com/profile_images/857277324848373760/Z7TapfPl_normal.jpg","View")</f>
        <v>View</v>
      </c>
      <c r="P4137" s="10"/>
    </row>
    <row r="4138" customFormat="false" ht="15.75" hidden="false" customHeight="false" outlineLevel="0" collapsed="false">
      <c r="A4138" s="6" t="n">
        <v>43030.5794675926</v>
      </c>
      <c r="B4138" s="7" t="str">
        <f aca="false">HYPERLINK("https://twitter.com/CSzenci","@CSzenci")</f>
        <v>@CSzenci</v>
      </c>
      <c r="C4138" s="8" t="s">
        <v>9995</v>
      </c>
      <c r="D4138" s="8" t="s">
        <v>9996</v>
      </c>
      <c r="E4138" s="9" t="str">
        <f aca="false">HYPERLINK("https://twitter.com/CSzenci/status/922204521639677952","922204521639677952")</f>
        <v>922204521639677952</v>
      </c>
      <c r="F4138" s="10" t="s">
        <v>177</v>
      </c>
      <c r="G4138" s="10" t="n">
        <v>1060</v>
      </c>
      <c r="H4138" s="10" t="n">
        <v>1275</v>
      </c>
      <c r="I4138" s="10" t="n">
        <v>10</v>
      </c>
      <c r="J4138" s="10" t="n">
        <v>0</v>
      </c>
      <c r="K4138" s="10" t="s">
        <v>20</v>
      </c>
      <c r="L4138" s="11" t="n">
        <v>41666.5698611111</v>
      </c>
      <c r="M4138" s="12" t="s">
        <v>9997</v>
      </c>
      <c r="N4138" s="12"/>
      <c r="O4138" s="9" t="str">
        <f aca="false">HYPERLINK("https://abs.twimg.com/sticky/default_profile_images/default_profile_normal.png","View")</f>
        <v>View</v>
      </c>
      <c r="P4138" s="10"/>
    </row>
    <row r="4139" customFormat="false" ht="15.75" hidden="false" customHeight="false" outlineLevel="0" collapsed="false">
      <c r="A4139" s="6" t="n">
        <v>43030.5795486111</v>
      </c>
      <c r="B4139" s="7" t="str">
        <f aca="false">HYPERLINK("https://twitter.com/CedarTreeAdvice","@CedarTreeAdvice")</f>
        <v>@CedarTreeAdvice</v>
      </c>
      <c r="C4139" s="8" t="s">
        <v>9998</v>
      </c>
      <c r="D4139" s="8" t="s">
        <v>9996</v>
      </c>
      <c r="E4139" s="9" t="str">
        <f aca="false">HYPERLINK("https://twitter.com/CedarTreeAdvice/status/922204552086073345","922204552086073345")</f>
        <v>922204552086073345</v>
      </c>
      <c r="F4139" s="10" t="s">
        <v>51</v>
      </c>
      <c r="G4139" s="10" t="n">
        <v>1148</v>
      </c>
      <c r="H4139" s="10" t="n">
        <v>2390</v>
      </c>
      <c r="I4139" s="10" t="n">
        <v>10</v>
      </c>
      <c r="J4139" s="10" t="n">
        <v>0</v>
      </c>
      <c r="K4139" s="10" t="s">
        <v>20</v>
      </c>
      <c r="L4139" s="11" t="n">
        <v>41719.5872222222</v>
      </c>
      <c r="M4139" s="12" t="s">
        <v>182</v>
      </c>
      <c r="N4139" s="12" t="s">
        <v>9999</v>
      </c>
      <c r="O4139" s="9" t="str">
        <f aca="false">HYPERLINK("https://pbs.twimg.com/profile_images/630714763635523584/t1A4E_sS_normal.jpg","View")</f>
        <v>View</v>
      </c>
      <c r="P4139" s="10"/>
    </row>
    <row r="4140" customFormat="false" ht="15.75" hidden="false" customHeight="false" outlineLevel="0" collapsed="false">
      <c r="A4140" s="6" t="n">
        <v>43030.5797569444</v>
      </c>
      <c r="B4140" s="7" t="str">
        <f aca="false">HYPERLINK("https://twitter.com/boniface59","@boniface59")</f>
        <v>@boniface59</v>
      </c>
      <c r="C4140" s="8" t="s">
        <v>10000</v>
      </c>
      <c r="D4140" s="8" t="s">
        <v>10001</v>
      </c>
      <c r="E4140" s="9" t="str">
        <f aca="false">HYPERLINK("https://twitter.com/boniface59/status/922204626165702656","922204626165702656")</f>
        <v>922204626165702656</v>
      </c>
      <c r="F4140" s="10" t="s">
        <v>47</v>
      </c>
      <c r="G4140" s="10" t="n">
        <v>22</v>
      </c>
      <c r="H4140" s="10" t="n">
        <v>132</v>
      </c>
      <c r="I4140" s="10" t="n">
        <v>0</v>
      </c>
      <c r="J4140" s="10" t="n">
        <v>1</v>
      </c>
      <c r="K4140" s="10" t="s">
        <v>20</v>
      </c>
      <c r="L4140" s="11" t="n">
        <v>39871.3493171296</v>
      </c>
      <c r="M4140" s="12"/>
      <c r="N4140" s="12"/>
      <c r="O4140" s="9" t="str">
        <f aca="false">HYPERLINK("https://pbs.twimg.com/profile_images/378800000758891914/37e3017b9431ad397d11effd3e901d84_normal.jpeg","View")</f>
        <v>View</v>
      </c>
      <c r="P4140" s="10"/>
    </row>
    <row r="4141" customFormat="false" ht="15.75" hidden="false" customHeight="false" outlineLevel="0" collapsed="false">
      <c r="A4141" s="6" t="n">
        <v>43030.5800810185</v>
      </c>
      <c r="B4141" s="7" t="str">
        <f aca="false">HYPERLINK("https://twitter.com/bonja1","@bonja1")</f>
        <v>@bonja1</v>
      </c>
      <c r="C4141" s="8" t="s">
        <v>9989</v>
      </c>
      <c r="D4141" s="8" t="s">
        <v>4984</v>
      </c>
      <c r="E4141" s="9" t="str">
        <f aca="false">HYPERLINK("https://twitter.com/bonja1/status/922204743874875393","922204743874875393")</f>
        <v>922204743874875393</v>
      </c>
      <c r="F4141" s="10" t="s">
        <v>51</v>
      </c>
      <c r="G4141" s="10" t="n">
        <v>1118</v>
      </c>
      <c r="H4141" s="10" t="n">
        <v>1058</v>
      </c>
      <c r="I4141" s="10" t="n">
        <v>187</v>
      </c>
      <c r="J4141" s="10" t="n">
        <v>0</v>
      </c>
      <c r="K4141" s="10" t="s">
        <v>20</v>
      </c>
      <c r="L4141" s="11" t="n">
        <v>40618.8068402778</v>
      </c>
      <c r="M4141" s="12" t="s">
        <v>502</v>
      </c>
      <c r="N4141" s="13" t="s">
        <v>9990</v>
      </c>
      <c r="O4141" s="9" t="str">
        <f aca="false">HYPERLINK("https://pbs.twimg.com/profile_images/1910919510/longhorns_5_normal.PNG","View")</f>
        <v>View</v>
      </c>
      <c r="P4141" s="10"/>
    </row>
    <row r="4142" customFormat="false" ht="15.75" hidden="false" customHeight="false" outlineLevel="0" collapsed="false">
      <c r="A4142" s="6" t="n">
        <v>43030.5802199074</v>
      </c>
      <c r="B4142" s="7" t="str">
        <f aca="false">HYPERLINK("https://twitter.com/diegodelunamx","@diegodelunamx")</f>
        <v>@diegodelunamx</v>
      </c>
      <c r="C4142" s="8" t="s">
        <v>10002</v>
      </c>
      <c r="D4142" s="8" t="s">
        <v>9996</v>
      </c>
      <c r="E4142" s="9" t="str">
        <f aca="false">HYPERLINK("https://twitter.com/diegodelunamx/status/922204792965029890","922204792965029890")</f>
        <v>922204792965029890</v>
      </c>
      <c r="F4142" s="10" t="s">
        <v>25</v>
      </c>
      <c r="G4142" s="10" t="n">
        <v>4588</v>
      </c>
      <c r="H4142" s="10" t="n">
        <v>4996</v>
      </c>
      <c r="I4142" s="10" t="n">
        <v>10</v>
      </c>
      <c r="J4142" s="10" t="n">
        <v>0</v>
      </c>
      <c r="K4142" s="10" t="s">
        <v>20</v>
      </c>
      <c r="L4142" s="11" t="n">
        <v>40030.4518402778</v>
      </c>
      <c r="M4142" s="12" t="s">
        <v>7957</v>
      </c>
      <c r="N4142" s="12" t="s">
        <v>10003</v>
      </c>
      <c r="O4142" s="9" t="str">
        <f aca="false">HYPERLINK("https://pbs.twimg.com/profile_images/914623117502418945/PMMlaCFV_normal.jpg","View")</f>
        <v>View</v>
      </c>
      <c r="P4142" s="10"/>
    </row>
    <row r="4143" customFormat="false" ht="15.75" hidden="false" customHeight="false" outlineLevel="0" collapsed="false">
      <c r="A4143" s="6" t="n">
        <v>43030.5803356482</v>
      </c>
      <c r="B4143" s="7" t="str">
        <f aca="false">HYPERLINK("https://twitter.com/drhussein_ismal","@drhussein_ismal")</f>
        <v>@drhussein_ismal</v>
      </c>
      <c r="C4143" s="8" t="s">
        <v>10004</v>
      </c>
      <c r="D4143" s="8" t="s">
        <v>9996</v>
      </c>
      <c r="E4143" s="9" t="str">
        <f aca="false">HYPERLINK("https://twitter.com/drhussein_ismal/status/922204834970963968","922204834970963968")</f>
        <v>922204834970963968</v>
      </c>
      <c r="F4143" s="10" t="s">
        <v>51</v>
      </c>
      <c r="G4143" s="10" t="n">
        <v>234</v>
      </c>
      <c r="H4143" s="10" t="n">
        <v>566</v>
      </c>
      <c r="I4143" s="10" t="n">
        <v>10</v>
      </c>
      <c r="J4143" s="10" t="n">
        <v>0</v>
      </c>
      <c r="K4143" s="10" t="s">
        <v>20</v>
      </c>
      <c r="L4143" s="11" t="n">
        <v>41521.5224537037</v>
      </c>
      <c r="M4143" s="12"/>
      <c r="N4143" s="12"/>
      <c r="O4143" s="9" t="str">
        <f aca="false">HYPERLINK("https://pbs.twimg.com/profile_images/378800000612583753/311c0309fcc8e0f53d99cd42a9440d46_normal.jpeg","View")</f>
        <v>View</v>
      </c>
      <c r="P4143" s="10"/>
    </row>
    <row r="4144" customFormat="false" ht="15.75" hidden="false" customHeight="false" outlineLevel="0" collapsed="false">
      <c r="A4144" s="6" t="n">
        <v>43030.5803587963</v>
      </c>
      <c r="B4144" s="7" t="str">
        <f aca="false">HYPERLINK("https://twitter.com/memeorandum","@memeorandum")</f>
        <v>@memeorandum</v>
      </c>
      <c r="C4144" s="8" t="s">
        <v>10005</v>
      </c>
      <c r="D4144" s="8" t="s">
        <v>10006</v>
      </c>
      <c r="E4144" s="9" t="str">
        <f aca="false">HYPERLINK("https://twitter.com/memeorandum/status/922204844533927936","922204844533927936")</f>
        <v>922204844533927936</v>
      </c>
      <c r="F4144" s="10" t="s">
        <v>10005</v>
      </c>
      <c r="G4144" s="10" t="n">
        <v>10838</v>
      </c>
      <c r="H4144" s="10" t="n">
        <v>4</v>
      </c>
      <c r="I4144" s="10" t="n">
        <v>0</v>
      </c>
      <c r="J4144" s="10" t="n">
        <v>1</v>
      </c>
      <c r="K4144" s="10" t="s">
        <v>20</v>
      </c>
      <c r="L4144" s="11" t="n">
        <v>39148.0940625</v>
      </c>
      <c r="M4144" s="12" t="s">
        <v>10007</v>
      </c>
      <c r="N4144" s="12" t="s">
        <v>10008</v>
      </c>
      <c r="O4144" s="9" t="str">
        <f aca="false">HYPERLINK("https://pbs.twimg.com/profile_images/696565962309382144/pMo4sXjK_normal.png","View")</f>
        <v>View</v>
      </c>
      <c r="P4144" s="10"/>
    </row>
    <row r="4145" customFormat="false" ht="15.75" hidden="false" customHeight="false" outlineLevel="0" collapsed="false">
      <c r="A4145" s="6" t="n">
        <v>43030.5806018519</v>
      </c>
      <c r="B4145" s="7" t="str">
        <f aca="false">HYPERLINK("https://twitter.com/bonja1","@bonja1")</f>
        <v>@bonja1</v>
      </c>
      <c r="C4145" s="8" t="s">
        <v>9989</v>
      </c>
      <c r="D4145" s="8" t="s">
        <v>8538</v>
      </c>
      <c r="E4145" s="9" t="str">
        <f aca="false">HYPERLINK("https://twitter.com/bonja1/status/922204935273533440","922204935273533440")</f>
        <v>922204935273533440</v>
      </c>
      <c r="F4145" s="10" t="s">
        <v>51</v>
      </c>
      <c r="G4145" s="10" t="n">
        <v>1118</v>
      </c>
      <c r="H4145" s="10" t="n">
        <v>1058</v>
      </c>
      <c r="I4145" s="10" t="n">
        <v>1015</v>
      </c>
      <c r="J4145" s="10" t="n">
        <v>0</v>
      </c>
      <c r="K4145" s="10" t="s">
        <v>20</v>
      </c>
      <c r="L4145" s="11" t="n">
        <v>40618.8068402778</v>
      </c>
      <c r="M4145" s="12" t="s">
        <v>502</v>
      </c>
      <c r="N4145" s="13" t="s">
        <v>9990</v>
      </c>
      <c r="O4145" s="9" t="str">
        <f aca="false">HYPERLINK("https://pbs.twimg.com/profile_images/1910919510/longhorns_5_normal.PNG","View")</f>
        <v>View</v>
      </c>
      <c r="P4145" s="10"/>
    </row>
    <row r="4146" customFormat="false" ht="15.75" hidden="false" customHeight="false" outlineLevel="0" collapsed="false">
      <c r="A4146" s="6" t="n">
        <v>43030.5806481482</v>
      </c>
      <c r="B4146" s="7" t="str">
        <f aca="false">HYPERLINK("https://twitter.com/IVejvoda","@IVejvoda")</f>
        <v>@IVejvoda</v>
      </c>
      <c r="C4146" s="8" t="s">
        <v>10009</v>
      </c>
      <c r="D4146" s="8" t="s">
        <v>9996</v>
      </c>
      <c r="E4146" s="9" t="str">
        <f aca="false">HYPERLINK("https://twitter.com/IVejvoda/status/922204949454491648","922204949454491648")</f>
        <v>922204949454491648</v>
      </c>
      <c r="F4146" s="10" t="s">
        <v>51</v>
      </c>
      <c r="G4146" s="10" t="n">
        <v>3195</v>
      </c>
      <c r="H4146" s="10" t="n">
        <v>2782</v>
      </c>
      <c r="I4146" s="10" t="n">
        <v>10</v>
      </c>
      <c r="J4146" s="10" t="n">
        <v>0</v>
      </c>
      <c r="K4146" s="10" t="s">
        <v>20</v>
      </c>
      <c r="L4146" s="11" t="n">
        <v>40745.0311111111</v>
      </c>
      <c r="M4146" s="12"/>
      <c r="N4146" s="12" t="s">
        <v>10010</v>
      </c>
      <c r="O4146" s="9" t="str">
        <f aca="false">HYPERLINK("https://pbs.twimg.com/profile_images/577264263078752256/7Spsa61B_normal.jpeg","View")</f>
        <v>View</v>
      </c>
      <c r="P4146" s="10"/>
    </row>
    <row r="4147" customFormat="false" ht="15.75" hidden="false" customHeight="false" outlineLevel="0" collapsed="false">
      <c r="A4147" s="6" t="n">
        <v>43030.5807986111</v>
      </c>
      <c r="B4147" s="7" t="str">
        <f aca="false">HYPERLINK("https://twitter.com/bonja1","@bonja1")</f>
        <v>@bonja1</v>
      </c>
      <c r="C4147" s="8" t="s">
        <v>9989</v>
      </c>
      <c r="D4147" s="8" t="s">
        <v>7627</v>
      </c>
      <c r="E4147" s="9" t="str">
        <f aca="false">HYPERLINK("https://twitter.com/bonja1/status/922205003460304896","922205003460304896")</f>
        <v>922205003460304896</v>
      </c>
      <c r="F4147" s="10" t="s">
        <v>51</v>
      </c>
      <c r="G4147" s="10" t="n">
        <v>1118</v>
      </c>
      <c r="H4147" s="10" t="n">
        <v>1058</v>
      </c>
      <c r="I4147" s="10" t="n">
        <v>20</v>
      </c>
      <c r="J4147" s="10" t="n">
        <v>0</v>
      </c>
      <c r="K4147" s="10" t="s">
        <v>20</v>
      </c>
      <c r="L4147" s="11" t="n">
        <v>40618.8068402778</v>
      </c>
      <c r="M4147" s="12" t="s">
        <v>502</v>
      </c>
      <c r="N4147" s="13" t="s">
        <v>9990</v>
      </c>
      <c r="O4147" s="9" t="str">
        <f aca="false">HYPERLINK("https://pbs.twimg.com/profile_images/1910919510/longhorns_5_normal.PNG","View")</f>
        <v>View</v>
      </c>
      <c r="P4147" s="10"/>
    </row>
    <row r="4148" customFormat="false" ht="15.75" hidden="false" customHeight="false" outlineLevel="0" collapsed="false">
      <c r="A4148" s="6" t="n">
        <v>43030.5808101852</v>
      </c>
      <c r="B4148" s="7" t="str">
        <f aca="false">HYPERLINK("https://twitter.com/NewsMixerBG","@NewsMixerBG")</f>
        <v>@NewsMixerBG</v>
      </c>
      <c r="C4148" s="8" t="s">
        <v>10011</v>
      </c>
      <c r="D4148" s="8" t="s">
        <v>10012</v>
      </c>
      <c r="E4148" s="9" t="str">
        <f aca="false">HYPERLINK("https://twitter.com/NewsMixerBG/status/922205009944641537","922205009944641537")</f>
        <v>922205009944641537</v>
      </c>
      <c r="F4148" s="10" t="s">
        <v>60</v>
      </c>
      <c r="G4148" s="10" t="n">
        <v>4275</v>
      </c>
      <c r="H4148" s="10" t="n">
        <v>3209</v>
      </c>
      <c r="I4148" s="10" t="n">
        <v>0</v>
      </c>
      <c r="J4148" s="10" t="n">
        <v>0</v>
      </c>
      <c r="K4148" s="10" t="s">
        <v>20</v>
      </c>
      <c r="L4148" s="11" t="n">
        <v>40413.4931712963</v>
      </c>
      <c r="M4148" s="12" t="s">
        <v>10013</v>
      </c>
      <c r="N4148" s="12" t="s">
        <v>10014</v>
      </c>
      <c r="O4148" s="9" t="str">
        <f aca="false">HYPERLINK("https://pbs.twimg.com/profile_images/696802813104386048/RuImxQOc_normal.png","View")</f>
        <v>View</v>
      </c>
      <c r="P4148" s="10"/>
    </row>
    <row r="4149" customFormat="false" ht="15.75" hidden="false" customHeight="false" outlineLevel="0" collapsed="false">
      <c r="A4149" s="6" t="n">
        <v>43030.5808680556</v>
      </c>
      <c r="B4149" s="7" t="str">
        <f aca="false">HYPERLINK("https://twitter.com/aughaddkaliputr","@aughaddkaliputr")</f>
        <v>@aughaddkaliputr</v>
      </c>
      <c r="C4149" s="8" t="s">
        <v>10015</v>
      </c>
      <c r="D4149" s="8" t="s">
        <v>8538</v>
      </c>
      <c r="E4149" s="9" t="str">
        <f aca="false">HYPERLINK("https://twitter.com/aughaddkaliputr/status/922205029389434880","922205029389434880")</f>
        <v>922205029389434880</v>
      </c>
      <c r="F4149" s="10" t="s">
        <v>25</v>
      </c>
      <c r="G4149" s="10" t="n">
        <v>313</v>
      </c>
      <c r="H4149" s="10" t="n">
        <v>261</v>
      </c>
      <c r="I4149" s="10" t="n">
        <v>1015</v>
      </c>
      <c r="J4149" s="10" t="n">
        <v>0</v>
      </c>
      <c r="K4149" s="10" t="s">
        <v>20</v>
      </c>
      <c r="L4149" s="11" t="n">
        <v>42824.075</v>
      </c>
      <c r="M4149" s="12" t="s">
        <v>10016</v>
      </c>
      <c r="N4149" s="12" t="s">
        <v>10017</v>
      </c>
      <c r="O4149" s="9" t="str">
        <f aca="false">HYPERLINK("https://pbs.twimg.com/profile_images/892419278808285185/dVnm-AFO_normal.jpg","View")</f>
        <v>View</v>
      </c>
      <c r="P4149" s="10"/>
    </row>
    <row r="4150" customFormat="false" ht="15.75" hidden="false" customHeight="false" outlineLevel="0" collapsed="false">
      <c r="A4150" s="6" t="n">
        <v>43030.5808680556</v>
      </c>
      <c r="B4150" s="7" t="str">
        <f aca="false">HYPERLINK("https://twitter.com/RealTimeHack","@RealTimeHack")</f>
        <v>@RealTimeHack</v>
      </c>
      <c r="C4150" s="8" t="s">
        <v>2422</v>
      </c>
      <c r="D4150" s="8" t="s">
        <v>10018</v>
      </c>
      <c r="E4150" s="9" t="str">
        <f aca="false">HYPERLINK("https://twitter.com/RealTimeHack/status/922205030165504001","922205030165504001")</f>
        <v>922205030165504001</v>
      </c>
      <c r="F4150" s="10" t="s">
        <v>60</v>
      </c>
      <c r="G4150" s="10" t="n">
        <v>2184</v>
      </c>
      <c r="H4150" s="10" t="n">
        <v>1282</v>
      </c>
      <c r="I4150" s="10" t="n">
        <v>0</v>
      </c>
      <c r="J4150" s="10" t="n">
        <v>0</v>
      </c>
      <c r="K4150" s="10" t="s">
        <v>20</v>
      </c>
      <c r="L4150" s="11" t="n">
        <v>40641.3992013889</v>
      </c>
      <c r="M4150" s="12" t="s">
        <v>2424</v>
      </c>
      <c r="N4150" s="12" t="s">
        <v>2425</v>
      </c>
      <c r="O4150" s="9" t="str">
        <f aca="false">HYPERLINK("https://pbs.twimg.com/profile_images/1304602852/Nuke_Egg_normal.gif","View")</f>
        <v>View</v>
      </c>
      <c r="P4150" s="10"/>
    </row>
    <row r="4151" customFormat="false" ht="15.75" hidden="false" customHeight="false" outlineLevel="0" collapsed="false">
      <c r="A4151" s="6" t="n">
        <v>43030.5809953704</v>
      </c>
      <c r="B4151" s="7" t="str">
        <f aca="false">HYPERLINK("https://twitter.com/krishna_yuvan","@krishna_yuvan")</f>
        <v>@krishna_yuvan</v>
      </c>
      <c r="C4151" s="8" t="s">
        <v>10019</v>
      </c>
      <c r="D4151" s="8" t="s">
        <v>8538</v>
      </c>
      <c r="E4151" s="9" t="str">
        <f aca="false">HYPERLINK("https://twitter.com/krishna_yuvan/status/922205074419433472","922205074419433472")</f>
        <v>922205074419433472</v>
      </c>
      <c r="F4151" s="10" t="s">
        <v>25</v>
      </c>
      <c r="G4151" s="10" t="n">
        <v>42</v>
      </c>
      <c r="H4151" s="10" t="n">
        <v>115</v>
      </c>
      <c r="I4151" s="10" t="n">
        <v>1015</v>
      </c>
      <c r="J4151" s="10" t="n">
        <v>0</v>
      </c>
      <c r="K4151" s="10" t="s">
        <v>20</v>
      </c>
      <c r="L4151" s="11" t="n">
        <v>42430.383587963</v>
      </c>
      <c r="M4151" s="12"/>
      <c r="N4151" s="12"/>
      <c r="O4151" s="9" t="str">
        <f aca="false">HYPERLINK("https://pbs.twimg.com/profile_images/704716990938636288/GMy-23AG_normal.jpg","View")</f>
        <v>View</v>
      </c>
      <c r="P4151" s="10"/>
    </row>
    <row r="4152" customFormat="false" ht="15.75" hidden="false" customHeight="false" outlineLevel="0" collapsed="false">
      <c r="A4152" s="6" t="n">
        <v>43030.5813310185</v>
      </c>
      <c r="B4152" s="7" t="str">
        <f aca="false">HYPERLINK("https://twitter.com/Anon_Eu","@Anon_Eu")</f>
        <v>@Anon_Eu</v>
      </c>
      <c r="C4152" s="8" t="s">
        <v>1270</v>
      </c>
      <c r="D4152" s="8" t="s">
        <v>10020</v>
      </c>
      <c r="E4152" s="9" t="str">
        <f aca="false">HYPERLINK("https://twitter.com/Anon_Eu/status/922205198868553728","922205198868553728")</f>
        <v>922205198868553728</v>
      </c>
      <c r="F4152" s="9" t="s">
        <v>1147</v>
      </c>
      <c r="G4152" s="10" t="n">
        <v>13150</v>
      </c>
      <c r="H4152" s="10" t="n">
        <v>6968</v>
      </c>
      <c r="I4152" s="10" t="n">
        <v>0</v>
      </c>
      <c r="J4152" s="10" t="n">
        <v>0</v>
      </c>
      <c r="K4152" s="10" t="s">
        <v>20</v>
      </c>
      <c r="L4152" s="11" t="n">
        <v>41161.5910416667</v>
      </c>
      <c r="M4152" s="12" t="s">
        <v>1272</v>
      </c>
      <c r="N4152" s="12" t="s">
        <v>1273</v>
      </c>
      <c r="O4152" s="9" t="str">
        <f aca="false">HYPERLINK("https://pbs.twimg.com/profile_images/839870179282669570/K5jLYmlF_normal.jpg","View")</f>
        <v>View</v>
      </c>
      <c r="P4152" s="10"/>
    </row>
    <row r="4153" customFormat="false" ht="15.75" hidden="false" customHeight="false" outlineLevel="0" collapsed="false">
      <c r="A4153" s="6" t="n">
        <v>43030.5813310185</v>
      </c>
      <c r="B4153" s="7" t="str">
        <f aca="false">HYPERLINK("https://twitter.com/sa_tw1","@sa_tw1")</f>
        <v>@sa_tw1</v>
      </c>
      <c r="C4153" s="8" t="s">
        <v>10021</v>
      </c>
      <c r="D4153" s="8" t="s">
        <v>9907</v>
      </c>
      <c r="E4153" s="9" t="str">
        <f aca="false">HYPERLINK("https://twitter.com/sa_tw1/status/922205199241953280","922205199241953280")</f>
        <v>922205199241953280</v>
      </c>
      <c r="F4153" s="10" t="s">
        <v>39</v>
      </c>
      <c r="G4153" s="10" t="n">
        <v>396</v>
      </c>
      <c r="H4153" s="10" t="n">
        <v>392</v>
      </c>
      <c r="I4153" s="10" t="n">
        <v>11</v>
      </c>
      <c r="J4153" s="10" t="n">
        <v>0</v>
      </c>
      <c r="K4153" s="10" t="s">
        <v>20</v>
      </c>
      <c r="L4153" s="11" t="n">
        <v>41322.5578009259</v>
      </c>
      <c r="M4153" s="12" t="s">
        <v>10022</v>
      </c>
      <c r="N4153" s="13" t="s">
        <v>10023</v>
      </c>
      <c r="O4153" s="9" t="str">
        <f aca="false">HYPERLINK("https://pbs.twimg.com/profile_images/640668601888845825/MOTDZQb5_normal.jpg","View")</f>
        <v>View</v>
      </c>
      <c r="P4153" s="10"/>
    </row>
    <row r="4154" customFormat="false" ht="15.75" hidden="false" customHeight="false" outlineLevel="0" collapsed="false">
      <c r="A4154" s="6" t="n">
        <v>43030.5813541667</v>
      </c>
      <c r="B4154" s="7" t="str">
        <f aca="false">HYPERLINK("https://twitter.com/NewsUpdate24Int","@NewsUpdate24Int")</f>
        <v>@NewsUpdate24Int</v>
      </c>
      <c r="C4154" s="8" t="s">
        <v>5444</v>
      </c>
      <c r="D4154" s="8" t="s">
        <v>10024</v>
      </c>
      <c r="E4154" s="9" t="str">
        <f aca="false">HYPERLINK("https://twitter.com/NewsUpdate24Int/status/922205206816976896","922205206816976896")</f>
        <v>922205206816976896</v>
      </c>
      <c r="F4154" s="10" t="s">
        <v>60</v>
      </c>
      <c r="G4154" s="10" t="n">
        <v>1289</v>
      </c>
      <c r="H4154" s="10" t="n">
        <v>54</v>
      </c>
      <c r="I4154" s="10" t="n">
        <v>0</v>
      </c>
      <c r="J4154" s="10" t="n">
        <v>0</v>
      </c>
      <c r="K4154" s="10" t="s">
        <v>20</v>
      </c>
      <c r="L4154" s="11" t="n">
        <v>42142.5818171296</v>
      </c>
      <c r="M4154" s="12" t="s">
        <v>4866</v>
      </c>
      <c r="N4154" s="12" t="s">
        <v>5446</v>
      </c>
      <c r="O4154" s="9" t="str">
        <f aca="false">HYPERLINK("https://pbs.twimg.com/profile_images/858443073717764096/OPmPGIMa_normal.jpg","View")</f>
        <v>View</v>
      </c>
      <c r="P4154" s="10"/>
    </row>
    <row r="4155" customFormat="false" ht="15.75" hidden="false" customHeight="false" outlineLevel="0" collapsed="false">
      <c r="A4155" s="6" t="n">
        <v>43030.5813541667</v>
      </c>
      <c r="B4155" s="7" t="str">
        <f aca="false">HYPERLINK("https://twitter.com/1eddieameh","@1eddieameh")</f>
        <v>@1eddieameh</v>
      </c>
      <c r="C4155" s="8" t="s">
        <v>5027</v>
      </c>
      <c r="D4155" s="8" t="s">
        <v>9996</v>
      </c>
      <c r="E4155" s="9" t="str">
        <f aca="false">HYPERLINK("https://twitter.com/1eddieameh/status/922205207282331648","922205207282331648")</f>
        <v>922205207282331648</v>
      </c>
      <c r="F4155" s="10" t="s">
        <v>25</v>
      </c>
      <c r="G4155" s="10" t="n">
        <v>290</v>
      </c>
      <c r="H4155" s="10" t="n">
        <v>570</v>
      </c>
      <c r="I4155" s="10" t="n">
        <v>10</v>
      </c>
      <c r="J4155" s="10" t="n">
        <v>0</v>
      </c>
      <c r="K4155" s="10" t="s">
        <v>20</v>
      </c>
      <c r="L4155" s="11" t="n">
        <v>40686.0637962963</v>
      </c>
      <c r="M4155" s="12" t="s">
        <v>5028</v>
      </c>
      <c r="N4155" s="12" t="s">
        <v>5029</v>
      </c>
      <c r="O4155" s="9" t="str">
        <f aca="false">HYPERLINK("https://pbs.twimg.com/profile_images/529824243551182848/rUcFI9VA_normal.jpeg","View")</f>
        <v>View</v>
      </c>
      <c r="P4155" s="10"/>
    </row>
    <row r="4156" customFormat="false" ht="15.75" hidden="false" customHeight="false" outlineLevel="0" collapsed="false">
      <c r="A4156" s="6" t="n">
        <v>43030.5819907407</v>
      </c>
      <c r="B4156" s="7" t="str">
        <f aca="false">HYPERLINK("https://twitter.com/christianebuddy","@christianebuddy")</f>
        <v>@christianebuddy</v>
      </c>
      <c r="C4156" s="8" t="s">
        <v>7298</v>
      </c>
      <c r="D4156" s="8" t="s">
        <v>10025</v>
      </c>
      <c r="E4156" s="9" t="str">
        <f aca="false">HYPERLINK("https://twitter.com/christianebuddy/status/922205437373702144","922205437373702144")</f>
        <v>922205437373702144</v>
      </c>
      <c r="F4156" s="10" t="s">
        <v>7300</v>
      </c>
      <c r="G4156" s="10" t="n">
        <v>1956</v>
      </c>
      <c r="H4156" s="10" t="n">
        <v>1941</v>
      </c>
      <c r="I4156" s="10" t="n">
        <v>0</v>
      </c>
      <c r="J4156" s="10" t="n">
        <v>0</v>
      </c>
      <c r="K4156" s="10" t="s">
        <v>20</v>
      </c>
      <c r="L4156" s="11" t="n">
        <v>39855.2006828704</v>
      </c>
      <c r="M4156" s="12" t="s">
        <v>132</v>
      </c>
      <c r="N4156" s="12" t="s">
        <v>7301</v>
      </c>
      <c r="O4156" s="9" t="str">
        <f aca="false">HYPERLINK("https://pbs.twimg.com/profile_images/1381293199/Screen_shot_2011-06-04_at_12.48.42_normal.png","View")</f>
        <v>View</v>
      </c>
      <c r="P4156" s="10"/>
    </row>
    <row r="4157" customFormat="false" ht="15.75" hidden="false" customHeight="false" outlineLevel="0" collapsed="false">
      <c r="A4157" s="6" t="n">
        <v>43030.5821180556</v>
      </c>
      <c r="B4157" s="7" t="str">
        <f aca="false">HYPERLINK("https://twitter.com/new16media","@new16media")</f>
        <v>@new16media</v>
      </c>
      <c r="C4157" s="8" t="s">
        <v>10026</v>
      </c>
      <c r="D4157" s="8" t="s">
        <v>10027</v>
      </c>
      <c r="E4157" s="9" t="str">
        <f aca="false">HYPERLINK("https://twitter.com/new16media/status/922205482923843585","922205482923843585")</f>
        <v>922205482923843585</v>
      </c>
      <c r="F4157" s="10" t="s">
        <v>60</v>
      </c>
      <c r="G4157" s="10" t="n">
        <v>319</v>
      </c>
      <c r="H4157" s="10" t="n">
        <v>201</v>
      </c>
      <c r="I4157" s="10" t="n">
        <v>0</v>
      </c>
      <c r="J4157" s="10" t="n">
        <v>0</v>
      </c>
      <c r="K4157" s="10" t="s">
        <v>20</v>
      </c>
      <c r="L4157" s="11" t="n">
        <v>42445.5372569445</v>
      </c>
      <c r="M4157" s="12"/>
      <c r="N4157" s="12" t="s">
        <v>10028</v>
      </c>
      <c r="O4157" s="9" t="str">
        <f aca="false">HYPERLINK("https://pbs.twimg.com/profile_images/710193799990009856/ungccyDS_normal.jpg","View")</f>
        <v>View</v>
      </c>
      <c r="P4157" s="10"/>
    </row>
    <row r="4158" customFormat="false" ht="15.75" hidden="false" customHeight="false" outlineLevel="0" collapsed="false">
      <c r="A4158" s="6" t="n">
        <v>43030.5821412037</v>
      </c>
      <c r="B4158" s="7" t="str">
        <f aca="false">HYPERLINK("https://twitter.com/i__Global","@i__Global")</f>
        <v>@i__Global</v>
      </c>
      <c r="C4158" s="8" t="s">
        <v>6771</v>
      </c>
      <c r="D4158" s="8" t="s">
        <v>10029</v>
      </c>
      <c r="E4158" s="9" t="str">
        <f aca="false">HYPERLINK("https://twitter.com/i__Global/status/922205492960747521","922205492960747521")</f>
        <v>922205492960747521</v>
      </c>
      <c r="F4158" s="10" t="s">
        <v>60</v>
      </c>
      <c r="G4158" s="10" t="n">
        <v>317</v>
      </c>
      <c r="H4158" s="10" t="n">
        <v>541</v>
      </c>
      <c r="I4158" s="10" t="n">
        <v>0</v>
      </c>
      <c r="J4158" s="10" t="n">
        <v>0</v>
      </c>
      <c r="K4158" s="10" t="s">
        <v>20</v>
      </c>
      <c r="L4158" s="11" t="n">
        <v>41975.4296412037</v>
      </c>
      <c r="M4158" s="12" t="s">
        <v>1143</v>
      </c>
      <c r="N4158" s="12"/>
      <c r="O4158" s="9" t="str">
        <f aca="false">HYPERLINK("https://pbs.twimg.com/profile_images/539846499421532160/RQ0XgLb__normal.png","View")</f>
        <v>View</v>
      </c>
      <c r="P4158" s="10"/>
    </row>
    <row r="4159" customFormat="false" ht="15.75" hidden="false" customHeight="false" outlineLevel="0" collapsed="false">
      <c r="A4159" s="6" t="n">
        <v>43030.5822337963</v>
      </c>
      <c r="B4159" s="7" t="str">
        <f aca="false">HYPERLINK("https://twitter.com/NarayanNed","@NarayanNed")</f>
        <v>@NarayanNed</v>
      </c>
      <c r="C4159" s="8" t="s">
        <v>10030</v>
      </c>
      <c r="D4159" s="8" t="s">
        <v>8538</v>
      </c>
      <c r="E4159" s="9" t="str">
        <f aca="false">HYPERLINK("https://twitter.com/NarayanNed/status/922205526439608320","922205526439608320")</f>
        <v>922205526439608320</v>
      </c>
      <c r="F4159" s="10" t="s">
        <v>25</v>
      </c>
      <c r="G4159" s="10" t="n">
        <v>3744</v>
      </c>
      <c r="H4159" s="10" t="n">
        <v>963</v>
      </c>
      <c r="I4159" s="10" t="n">
        <v>1015</v>
      </c>
      <c r="J4159" s="10" t="n">
        <v>0</v>
      </c>
      <c r="K4159" s="10" t="s">
        <v>20</v>
      </c>
      <c r="L4159" s="11" t="n">
        <v>40606.3320949074</v>
      </c>
      <c r="M4159" s="12" t="s">
        <v>10031</v>
      </c>
      <c r="N4159" s="12" t="s">
        <v>10032</v>
      </c>
      <c r="O4159" s="9" t="str">
        <f aca="false">HYPERLINK("https://pbs.twimg.com/profile_images/646858771432521729/pFqmA3Fi_normal.jpg","View")</f>
        <v>View</v>
      </c>
      <c r="P4159" s="10"/>
    </row>
    <row r="4160" customFormat="false" ht="15.75" hidden="false" customHeight="false" outlineLevel="0" collapsed="false">
      <c r="A4160" s="6" t="n">
        <v>43030.5827546296</v>
      </c>
      <c r="B4160" s="7" t="str">
        <f aca="false">HYPERLINK("https://twitter.com/MaranAlessandro","@MaranAlessandro")</f>
        <v>@MaranAlessandro</v>
      </c>
      <c r="C4160" s="8" t="s">
        <v>10033</v>
      </c>
      <c r="D4160" s="8" t="s">
        <v>10034</v>
      </c>
      <c r="E4160" s="9" t="str">
        <f aca="false">HYPERLINK("https://twitter.com/MaranAlessandro/status/922205714872926210","922205714872926210")</f>
        <v>922205714872926210</v>
      </c>
      <c r="F4160" s="10" t="s">
        <v>177</v>
      </c>
      <c r="G4160" s="10" t="n">
        <v>5812</v>
      </c>
      <c r="H4160" s="10" t="n">
        <v>3786</v>
      </c>
      <c r="I4160" s="10" t="n">
        <v>0</v>
      </c>
      <c r="J4160" s="10" t="n">
        <v>0</v>
      </c>
      <c r="K4160" s="10" t="s">
        <v>20</v>
      </c>
      <c r="L4160" s="11" t="n">
        <v>40665.2451157407</v>
      </c>
      <c r="M4160" s="12" t="s">
        <v>10035</v>
      </c>
      <c r="N4160" s="12" t="s">
        <v>10036</v>
      </c>
      <c r="O4160" s="9" t="str">
        <f aca="false">HYPERLINK("https://pbs.twimg.com/profile_images/668149849116811265/Ccrl6M32_normal.jpg","View")</f>
        <v>View</v>
      </c>
      <c r="P4160" s="10"/>
    </row>
    <row r="4161" customFormat="false" ht="15.75" hidden="false" customHeight="false" outlineLevel="0" collapsed="false">
      <c r="A4161" s="6" t="n">
        <v>43030.582962963</v>
      </c>
      <c r="B4161" s="7" t="str">
        <f aca="false">HYPERLINK("https://twitter.com/inews2day","@inews2day")</f>
        <v>@inews2day</v>
      </c>
      <c r="C4161" s="8" t="s">
        <v>10037</v>
      </c>
      <c r="D4161" s="8" t="s">
        <v>10038</v>
      </c>
      <c r="E4161" s="9" t="str">
        <f aca="false">HYPERLINK("https://twitter.com/inews2day/status/922205787686088704","922205787686088704")</f>
        <v>922205787686088704</v>
      </c>
      <c r="F4161" s="9" t="s">
        <v>979</v>
      </c>
      <c r="G4161" s="10" t="n">
        <v>498</v>
      </c>
      <c r="H4161" s="10" t="n">
        <v>0</v>
      </c>
      <c r="I4161" s="10" t="n">
        <v>0</v>
      </c>
      <c r="J4161" s="10" t="n">
        <v>0</v>
      </c>
      <c r="K4161" s="10" t="s">
        <v>20</v>
      </c>
      <c r="L4161" s="11" t="n">
        <v>42055.1109722222</v>
      </c>
      <c r="M4161" s="12" t="s">
        <v>10039</v>
      </c>
      <c r="N4161" s="12" t="s">
        <v>10040</v>
      </c>
      <c r="O4161" s="9" t="str">
        <f aca="false">HYPERLINK("https://pbs.twimg.com/profile_images/568731081323466752/-oyEQpj9_normal.jpeg","View")</f>
        <v>View</v>
      </c>
      <c r="P4161" s="10"/>
    </row>
    <row r="4162" customFormat="false" ht="15.75" hidden="false" customHeight="false" outlineLevel="0" collapsed="false">
      <c r="A4162" s="6" t="n">
        <v>43030.5835069444</v>
      </c>
      <c r="B4162" s="7" t="str">
        <f aca="false">HYPERLINK("https://twitter.com/CardenasElanie","@CardenasElanie")</f>
        <v>@CardenasElanie</v>
      </c>
      <c r="C4162" s="8" t="s">
        <v>10041</v>
      </c>
      <c r="D4162" s="8" t="s">
        <v>9996</v>
      </c>
      <c r="E4162" s="9" t="str">
        <f aca="false">HYPERLINK("https://twitter.com/CardenasElanie/status/922205987590742016","922205987590742016")</f>
        <v>922205987590742016</v>
      </c>
      <c r="F4162" s="10" t="s">
        <v>51</v>
      </c>
      <c r="G4162" s="10" t="n">
        <v>2522</v>
      </c>
      <c r="H4162" s="10" t="n">
        <v>1957</v>
      </c>
      <c r="I4162" s="10" t="n">
        <v>10</v>
      </c>
      <c r="J4162" s="10" t="n">
        <v>0</v>
      </c>
      <c r="K4162" s="10" t="s">
        <v>20</v>
      </c>
      <c r="L4162" s="11" t="n">
        <v>42253.4872222222</v>
      </c>
      <c r="M4162" s="12"/>
      <c r="N4162" s="12" t="s">
        <v>10042</v>
      </c>
      <c r="O4162" s="9" t="str">
        <f aca="false">HYPERLINK("https://pbs.twimg.com/profile_images/640595959542493185/9y5gnaIG_normal.png","View")</f>
        <v>View</v>
      </c>
      <c r="P4162" s="10"/>
    </row>
    <row r="4163" customFormat="false" ht="15.75" hidden="false" customHeight="false" outlineLevel="0" collapsed="false">
      <c r="A4163" s="6" t="n">
        <v>43030.5836921296</v>
      </c>
      <c r="B4163" s="7" t="str">
        <f aca="false">HYPERLINK("https://twitter.com/NAR","@NAR")</f>
        <v>@NAR</v>
      </c>
      <c r="C4163" s="8" t="s">
        <v>1471</v>
      </c>
      <c r="D4163" s="8" t="s">
        <v>10043</v>
      </c>
      <c r="E4163" s="9" t="str">
        <f aca="false">HYPERLINK("https://twitter.com/NAR/status/922206051272929280","922206051272929280")</f>
        <v>922206051272929280</v>
      </c>
      <c r="F4163" s="10" t="s">
        <v>268</v>
      </c>
      <c r="G4163" s="10" t="n">
        <v>57287</v>
      </c>
      <c r="H4163" s="10" t="n">
        <v>23</v>
      </c>
      <c r="I4163" s="10" t="n">
        <v>5</v>
      </c>
      <c r="J4163" s="10" t="n">
        <v>5</v>
      </c>
      <c r="K4163" s="10" t="s">
        <v>20</v>
      </c>
      <c r="L4163" s="11" t="n">
        <v>40890.8868634259</v>
      </c>
      <c r="M4163" s="12" t="s">
        <v>1473</v>
      </c>
      <c r="N4163" s="12" t="s">
        <v>1474</v>
      </c>
      <c r="O4163" s="9" t="str">
        <f aca="false">HYPERLINK("https://pbs.twimg.com/profile_images/669688096879841280/kyJYc3j-_normal.png","View")</f>
        <v>View</v>
      </c>
      <c r="P4163" s="10"/>
    </row>
    <row r="4164" customFormat="false" ht="15.75" hidden="false" customHeight="false" outlineLevel="0" collapsed="false">
      <c r="A4164" s="6" t="n">
        <v>43030.5840625</v>
      </c>
      <c r="B4164" s="7" t="str">
        <f aca="false">HYPERLINK("https://twitter.com/PMunozLorite","@PMunozLorite")</f>
        <v>@PMunozLorite</v>
      </c>
      <c r="C4164" s="8" t="s">
        <v>351</v>
      </c>
      <c r="D4164" s="8" t="s">
        <v>10044</v>
      </c>
      <c r="E4164" s="9" t="str">
        <f aca="false">HYPERLINK("https://twitter.com/PMunozLorite/status/922206185746501632","922206185746501632")</f>
        <v>922206185746501632</v>
      </c>
      <c r="F4164" s="10" t="s">
        <v>110</v>
      </c>
      <c r="G4164" s="10" t="n">
        <v>2678</v>
      </c>
      <c r="H4164" s="10" t="n">
        <v>4946</v>
      </c>
      <c r="I4164" s="10" t="n">
        <v>0</v>
      </c>
      <c r="J4164" s="10" t="n">
        <v>0</v>
      </c>
      <c r="K4164" s="10" t="s">
        <v>20</v>
      </c>
      <c r="L4164" s="11" t="n">
        <v>39769.5892939815</v>
      </c>
      <c r="M4164" s="12" t="s">
        <v>353</v>
      </c>
      <c r="N4164" s="12" t="s">
        <v>354</v>
      </c>
      <c r="O4164" s="9" t="str">
        <f aca="false">HYPERLINK("https://pbs.twimg.com/profile_images/574247662901403648/LzeOfYmt_normal.jpeg","View")</f>
        <v>View</v>
      </c>
      <c r="P4164" s="10"/>
    </row>
    <row r="4165" customFormat="false" ht="15.75" hidden="false" customHeight="false" outlineLevel="0" collapsed="false">
      <c r="A4165" s="6" t="n">
        <v>43030.5842476852</v>
      </c>
      <c r="B4165" s="7" t="str">
        <f aca="false">HYPERLINK("https://twitter.com/plsburydoughboy","@plsburydoughboy")</f>
        <v>@plsburydoughboy</v>
      </c>
      <c r="C4165" s="8" t="s">
        <v>10045</v>
      </c>
      <c r="D4165" s="8" t="s">
        <v>9670</v>
      </c>
      <c r="E4165" s="9" t="str">
        <f aca="false">HYPERLINK("https://twitter.com/plsburydoughboy/status/922206256026206208","922206256026206208")</f>
        <v>922206256026206208</v>
      </c>
      <c r="F4165" s="10" t="s">
        <v>39</v>
      </c>
      <c r="G4165" s="10" t="n">
        <v>1449</v>
      </c>
      <c r="H4165" s="10" t="n">
        <v>74</v>
      </c>
      <c r="I4165" s="10" t="n">
        <v>11</v>
      </c>
      <c r="J4165" s="10" t="n">
        <v>0</v>
      </c>
      <c r="K4165" s="10" t="s">
        <v>20</v>
      </c>
      <c r="L4165" s="11" t="n">
        <v>39913.0272569444</v>
      </c>
      <c r="M4165" s="12" t="s">
        <v>1239</v>
      </c>
      <c r="N4165" s="12" t="s">
        <v>10046</v>
      </c>
      <c r="O4165" s="9" t="str">
        <f aca="false">HYPERLINK("https://pbs.twimg.com/profile_images/890095438682107904/SqBoAb-E_normal.jpg","View")</f>
        <v>View</v>
      </c>
      <c r="P4165" s="10"/>
    </row>
    <row r="4166" customFormat="false" ht="15.75" hidden="false" customHeight="false" outlineLevel="0" collapsed="false">
      <c r="A4166" s="6" t="n">
        <v>43030.5843402778</v>
      </c>
      <c r="B4166" s="7" t="str">
        <f aca="false">HYPERLINK("https://twitter.com/68emir61","@68emir61")</f>
        <v>@68emir61</v>
      </c>
      <c r="C4166" s="8" t="s">
        <v>10047</v>
      </c>
      <c r="D4166" s="8" t="s">
        <v>9907</v>
      </c>
      <c r="E4166" s="9" t="str">
        <f aca="false">HYPERLINK("https://twitter.com/68emir61/status/922206286598606848","922206286598606848")</f>
        <v>922206286598606848</v>
      </c>
      <c r="F4166" s="10" t="s">
        <v>51</v>
      </c>
      <c r="G4166" s="10" t="n">
        <v>245</v>
      </c>
      <c r="H4166" s="10" t="n">
        <v>640</v>
      </c>
      <c r="I4166" s="10" t="n">
        <v>11</v>
      </c>
      <c r="J4166" s="10" t="n">
        <v>0</v>
      </c>
      <c r="K4166" s="10" t="s">
        <v>20</v>
      </c>
      <c r="L4166" s="11" t="n">
        <v>42545.0914467593</v>
      </c>
      <c r="M4166" s="12" t="s">
        <v>1077</v>
      </c>
      <c r="N4166" s="12" t="s">
        <v>10048</v>
      </c>
      <c r="O4166" s="9" t="str">
        <f aca="false">HYPERLINK("https://pbs.twimg.com/profile_images/835180196923744257/kOz5gVFv_normal.jpg","View")</f>
        <v>View</v>
      </c>
      <c r="P4166" s="10"/>
    </row>
    <row r="4167" customFormat="false" ht="15.75" hidden="false" customHeight="false" outlineLevel="0" collapsed="false">
      <c r="A4167" s="6" t="n">
        <v>43030.584375</v>
      </c>
      <c r="B4167" s="7" t="str">
        <f aca="false">HYPERLINK("https://twitter.com/JPNBUZZ","@JPNBUZZ")</f>
        <v>@JPNBUZZ</v>
      </c>
      <c r="C4167" s="8" t="s">
        <v>10049</v>
      </c>
      <c r="D4167" s="8" t="s">
        <v>10050</v>
      </c>
      <c r="E4167" s="9" t="str">
        <f aca="false">HYPERLINK("https://twitter.com/JPNBUZZ/status/922206300011925505","922206300011925505")</f>
        <v>922206300011925505</v>
      </c>
      <c r="F4167" s="10" t="s">
        <v>10051</v>
      </c>
      <c r="G4167" s="10" t="n">
        <v>3117</v>
      </c>
      <c r="H4167" s="10" t="n">
        <v>2312</v>
      </c>
      <c r="I4167" s="10" t="n">
        <v>0</v>
      </c>
      <c r="J4167" s="10" t="n">
        <v>0</v>
      </c>
      <c r="K4167" s="10" t="s">
        <v>20</v>
      </c>
      <c r="L4167" s="11" t="n">
        <v>40911.4427430556</v>
      </c>
      <c r="M4167" s="12" t="s">
        <v>10052</v>
      </c>
      <c r="N4167" s="12" t="s">
        <v>10053</v>
      </c>
      <c r="O4167" s="9" t="str">
        <f aca="false">HYPERLINK("https://pbs.twimg.com/profile_images/1811452476/JPN_BUZZ_TWITTER_normal.jpg","View")</f>
        <v>View</v>
      </c>
      <c r="P4167" s="10"/>
    </row>
    <row r="4168" customFormat="false" ht="15.75" hidden="false" customHeight="false" outlineLevel="0" collapsed="false">
      <c r="A4168" s="6" t="n">
        <v>43030.5845601852</v>
      </c>
      <c r="B4168" s="7" t="str">
        <f aca="false">HYPERLINK("https://twitter.com/WaddleDunc","@WaddleDunc")</f>
        <v>@WaddleDunc</v>
      </c>
      <c r="C4168" s="8" t="s">
        <v>10054</v>
      </c>
      <c r="D4168" s="8" t="s">
        <v>9670</v>
      </c>
      <c r="E4168" s="9" t="str">
        <f aca="false">HYPERLINK("https://twitter.com/WaddleDunc/status/922206369381412865","922206369381412865")</f>
        <v>922206369381412865</v>
      </c>
      <c r="F4168" s="10" t="s">
        <v>276</v>
      </c>
      <c r="G4168" s="10" t="n">
        <v>193</v>
      </c>
      <c r="H4168" s="10" t="n">
        <v>642</v>
      </c>
      <c r="I4168" s="10" t="n">
        <v>11</v>
      </c>
      <c r="J4168" s="10" t="n">
        <v>0</v>
      </c>
      <c r="K4168" s="10" t="s">
        <v>20</v>
      </c>
      <c r="L4168" s="11" t="n">
        <v>41019.8095023148</v>
      </c>
      <c r="M4168" s="12" t="s">
        <v>10055</v>
      </c>
      <c r="N4168" s="12" t="s">
        <v>10056</v>
      </c>
      <c r="O4168" s="9" t="str">
        <f aca="false">HYPERLINK("https://pbs.twimg.com/profile_images/842139157614882816/mfJzeeFA_normal.jpg","View")</f>
        <v>View</v>
      </c>
      <c r="P4168" s="10"/>
    </row>
    <row r="4169" customFormat="false" ht="15.75" hidden="false" customHeight="false" outlineLevel="0" collapsed="false">
      <c r="A4169" s="6" t="n">
        <v>43030.585</v>
      </c>
      <c r="B4169" s="7" t="str">
        <f aca="false">HYPERLINK("https://twitter.com/3X04N0N","@3X04N0N")</f>
        <v>@3X04N0N</v>
      </c>
      <c r="C4169" s="8" t="s">
        <v>1278</v>
      </c>
      <c r="D4169" s="8" t="s">
        <v>10057</v>
      </c>
      <c r="E4169" s="9" t="str">
        <f aca="false">HYPERLINK("https://twitter.com/3X04N0N/status/922206525464117248","922206525464117248")</f>
        <v>922206525464117248</v>
      </c>
      <c r="F4169" s="10" t="s">
        <v>60</v>
      </c>
      <c r="G4169" s="10" t="n">
        <v>922</v>
      </c>
      <c r="H4169" s="10" t="n">
        <v>295</v>
      </c>
      <c r="I4169" s="10" t="n">
        <v>0</v>
      </c>
      <c r="J4169" s="10" t="n">
        <v>0</v>
      </c>
      <c r="K4169" s="10" t="s">
        <v>20</v>
      </c>
      <c r="L4169" s="11" t="n">
        <v>42066.5668518519</v>
      </c>
      <c r="M4169" s="12"/>
      <c r="N4169" s="12" t="s">
        <v>1280</v>
      </c>
      <c r="O4169" s="9" t="str">
        <f aca="false">HYPERLINK("https://pbs.twimg.com/profile_images/793550507205914625/qBVxzsrU_normal.jpg","View")</f>
        <v>View</v>
      </c>
      <c r="P4169" s="10"/>
    </row>
    <row r="4170" customFormat="false" ht="15.75" hidden="false" customHeight="false" outlineLevel="0" collapsed="false">
      <c r="A4170" s="6" t="n">
        <v>43030.5851736111</v>
      </c>
      <c r="B4170" s="7" t="str">
        <f aca="false">HYPERLINK("https://twitter.com/andrewcorreia21","@andrewcorreia21")</f>
        <v>@andrewcorreia21</v>
      </c>
      <c r="C4170" s="8" t="s">
        <v>10058</v>
      </c>
      <c r="D4170" s="8" t="s">
        <v>10059</v>
      </c>
      <c r="E4170" s="9" t="str">
        <f aca="false">HYPERLINK("https://twitter.com/andrewcorreia21/status/922206588974370817","922206588974370817")</f>
        <v>922206588974370817</v>
      </c>
      <c r="F4170" s="10" t="s">
        <v>331</v>
      </c>
      <c r="G4170" s="10" t="n">
        <v>233</v>
      </c>
      <c r="H4170" s="10" t="n">
        <v>0</v>
      </c>
      <c r="I4170" s="10" t="n">
        <v>0</v>
      </c>
      <c r="J4170" s="10" t="n">
        <v>0</v>
      </c>
      <c r="K4170" s="10" t="s">
        <v>20</v>
      </c>
      <c r="L4170" s="11" t="n">
        <v>42836.4702546296</v>
      </c>
      <c r="M4170" s="12" t="s">
        <v>601</v>
      </c>
      <c r="N4170" s="12"/>
      <c r="O4170" s="9" t="str">
        <f aca="false">HYPERLINK("https://pbs.twimg.com/profile_images/851875257866534913/DHlBtOMH_normal.jpg","View")</f>
        <v>View</v>
      </c>
      <c r="P4170" s="10"/>
    </row>
    <row r="4171" customFormat="false" ht="15.75" hidden="false" customHeight="false" outlineLevel="0" collapsed="false">
      <c r="A4171" s="6" t="n">
        <v>43030.5853587963</v>
      </c>
      <c r="B4171" s="7" t="str">
        <f aca="false">HYPERLINK("https://twitter.com/VijeeshCTK","@VijeeshCTK")</f>
        <v>@VijeeshCTK</v>
      </c>
      <c r="C4171" s="8" t="s">
        <v>10060</v>
      </c>
      <c r="D4171" s="8" t="s">
        <v>8538</v>
      </c>
      <c r="E4171" s="9" t="str">
        <f aca="false">HYPERLINK("https://twitter.com/VijeeshCTK/status/922206656833794048","922206656833794048")</f>
        <v>922206656833794048</v>
      </c>
      <c r="F4171" s="10" t="s">
        <v>177</v>
      </c>
      <c r="G4171" s="10" t="n">
        <v>9247</v>
      </c>
      <c r="H4171" s="10" t="n">
        <v>9061</v>
      </c>
      <c r="I4171" s="10" t="n">
        <v>1015</v>
      </c>
      <c r="J4171" s="10" t="n">
        <v>0</v>
      </c>
      <c r="K4171" s="10" t="s">
        <v>20</v>
      </c>
      <c r="L4171" s="11" t="n">
        <v>40692.3067708333</v>
      </c>
      <c r="M4171" s="12" t="s">
        <v>10061</v>
      </c>
      <c r="N4171" s="12" t="s">
        <v>10062</v>
      </c>
      <c r="O4171" s="9" t="str">
        <f aca="false">HYPERLINK("https://pbs.twimg.com/profile_images/601269944710365184/3GqWPlKJ_normal.png","View")</f>
        <v>View</v>
      </c>
      <c r="P4171" s="10"/>
    </row>
    <row r="4172" customFormat="false" ht="15.75" hidden="false" customHeight="false" outlineLevel="0" collapsed="false">
      <c r="A4172" s="6" t="n">
        <v>43030.5855787037</v>
      </c>
      <c r="B4172" s="7" t="str">
        <f aca="false">HYPERLINK("https://twitter.com/3NovicesEU","@3NovicesEU")</f>
        <v>@3NovicesEU</v>
      </c>
      <c r="C4172" s="8" t="s">
        <v>2996</v>
      </c>
      <c r="D4172" s="8" t="s">
        <v>10063</v>
      </c>
      <c r="E4172" s="9" t="str">
        <f aca="false">HYPERLINK("https://twitter.com/3NovicesEU/status/922206737582739456","922206737582739456")</f>
        <v>922206737582739456</v>
      </c>
      <c r="F4172" s="10" t="s">
        <v>60</v>
      </c>
      <c r="G4172" s="10" t="n">
        <v>377</v>
      </c>
      <c r="H4172" s="10" t="n">
        <v>633</v>
      </c>
      <c r="I4172" s="10" t="n">
        <v>0</v>
      </c>
      <c r="J4172" s="10" t="n">
        <v>0</v>
      </c>
      <c r="K4172" s="10" t="s">
        <v>20</v>
      </c>
      <c r="L4172" s="11" t="n">
        <v>42275.8468518519</v>
      </c>
      <c r="M4172" s="12" t="s">
        <v>1635</v>
      </c>
      <c r="N4172" s="12" t="s">
        <v>2998</v>
      </c>
      <c r="O4172" s="9" t="str">
        <f aca="false">HYPERLINK("https://pbs.twimg.com/profile_images/648699070412775424/q--vQwCk_normal.jpg","View")</f>
        <v>View</v>
      </c>
      <c r="P4172" s="10"/>
    </row>
    <row r="4173" customFormat="false" ht="15.75" hidden="false" customHeight="false" outlineLevel="0" collapsed="false">
      <c r="A4173" s="6" t="n">
        <v>43030.5857060185</v>
      </c>
      <c r="B4173" s="7" t="str">
        <f aca="false">HYPERLINK("https://twitter.com/Tweet2Sid","@Tweet2Sid")</f>
        <v>@Tweet2Sid</v>
      </c>
      <c r="C4173" s="8" t="s">
        <v>9903</v>
      </c>
      <c r="D4173" s="8" t="s">
        <v>10064</v>
      </c>
      <c r="E4173" s="9" t="str">
        <f aca="false">HYPERLINK("https://twitter.com/Tweet2Sid/status/922206784009404416","922206784009404416")</f>
        <v>922206784009404416</v>
      </c>
      <c r="F4173" s="10" t="s">
        <v>55</v>
      </c>
      <c r="G4173" s="10" t="n">
        <v>529</v>
      </c>
      <c r="H4173" s="10" t="n">
        <v>272</v>
      </c>
      <c r="I4173" s="10" t="n">
        <v>0</v>
      </c>
      <c r="J4173" s="10" t="n">
        <v>0</v>
      </c>
      <c r="K4173" s="10" t="s">
        <v>20</v>
      </c>
      <c r="L4173" s="11" t="n">
        <v>39999.7896527778</v>
      </c>
      <c r="M4173" s="12" t="s">
        <v>72</v>
      </c>
      <c r="N4173" s="12" t="s">
        <v>9905</v>
      </c>
      <c r="O4173" s="9" t="str">
        <f aca="false">HYPERLINK("https://pbs.twimg.com/profile_images/652924587789828096/WSaKMVSf_normal.jpg","View")</f>
        <v>View</v>
      </c>
      <c r="P4173" s="10"/>
    </row>
    <row r="4174" customFormat="false" ht="15.75" hidden="false" customHeight="false" outlineLevel="0" collapsed="false">
      <c r="A4174" s="6" t="n">
        <v>43030.5860300926</v>
      </c>
      <c r="B4174" s="7" t="str">
        <f aca="false">HYPERLINK("https://twitter.com/kapilspawar","@kapilspawar")</f>
        <v>@kapilspawar</v>
      </c>
      <c r="C4174" s="8" t="s">
        <v>10065</v>
      </c>
      <c r="D4174" s="8" t="s">
        <v>8538</v>
      </c>
      <c r="E4174" s="9" t="str">
        <f aca="false">HYPERLINK("https://twitter.com/kapilspawar/status/922206901856739328","922206901856739328")</f>
        <v>922206901856739328</v>
      </c>
      <c r="F4174" s="10" t="s">
        <v>25</v>
      </c>
      <c r="G4174" s="10" t="n">
        <v>92</v>
      </c>
      <c r="H4174" s="10" t="n">
        <v>197</v>
      </c>
      <c r="I4174" s="10" t="n">
        <v>1015</v>
      </c>
      <c r="J4174" s="10" t="n">
        <v>0</v>
      </c>
      <c r="K4174" s="10" t="s">
        <v>20</v>
      </c>
      <c r="L4174" s="11" t="n">
        <v>40092.2904861111</v>
      </c>
      <c r="M4174" s="12" t="s">
        <v>10066</v>
      </c>
      <c r="N4174" s="12"/>
      <c r="O4174" s="9" t="str">
        <f aca="false">HYPERLINK("https://abs.twimg.com/sticky/default_profile_images/default_profile_normal.png","View")</f>
        <v>View</v>
      </c>
      <c r="P4174" s="10"/>
    </row>
    <row r="4175" customFormat="false" ht="15.75" hidden="false" customHeight="false" outlineLevel="0" collapsed="false">
      <c r="A4175" s="6" t="n">
        <v>43030.5863425926</v>
      </c>
      <c r="B4175" s="7" t="str">
        <f aca="false">HYPERLINK("https://twitter.com/InsdataInter","@InsdataInter")</f>
        <v>@InsdataInter</v>
      </c>
      <c r="C4175" s="8" t="s">
        <v>1860</v>
      </c>
      <c r="D4175" s="8" t="s">
        <v>7046</v>
      </c>
      <c r="E4175" s="9" t="str">
        <f aca="false">HYPERLINK("https://twitter.com/InsdataInter/status/922207011923742726","922207011923742726")</f>
        <v>922207011923742726</v>
      </c>
      <c r="F4175" s="10" t="s">
        <v>51</v>
      </c>
      <c r="G4175" s="10" t="n">
        <v>1729</v>
      </c>
      <c r="H4175" s="10" t="n">
        <v>2947</v>
      </c>
      <c r="I4175" s="10" t="n">
        <v>53</v>
      </c>
      <c r="J4175" s="10" t="n">
        <v>0</v>
      </c>
      <c r="K4175" s="10" t="s">
        <v>20</v>
      </c>
      <c r="L4175" s="11" t="n">
        <v>41533.3899768519</v>
      </c>
      <c r="M4175" s="12" t="s">
        <v>1861</v>
      </c>
      <c r="N4175" s="12"/>
      <c r="O4175" s="9" t="str">
        <f aca="false">HYPERLINK("https://pbs.twimg.com/profile_images/378800000501893520/b4582cd3ce52a7c47133d606b639176e_normal.jpeg","View")</f>
        <v>View</v>
      </c>
      <c r="P4175" s="10"/>
    </row>
    <row r="4176" customFormat="false" ht="15.75" hidden="false" customHeight="false" outlineLevel="0" collapsed="false">
      <c r="A4176" s="6" t="n">
        <v>43030.5863888889</v>
      </c>
      <c r="B4176" s="7" t="str">
        <f aca="false">HYPERLINK("https://twitter.com/InsdataInter","@InsdataInter")</f>
        <v>@InsdataInter</v>
      </c>
      <c r="C4176" s="8" t="s">
        <v>1860</v>
      </c>
      <c r="D4176" s="8" t="s">
        <v>6945</v>
      </c>
      <c r="E4176" s="9" t="str">
        <f aca="false">HYPERLINK("https://twitter.com/InsdataInter/status/922207028847824896","922207028847824896")</f>
        <v>922207028847824896</v>
      </c>
      <c r="F4176" s="10" t="s">
        <v>51</v>
      </c>
      <c r="G4176" s="10" t="n">
        <v>1729</v>
      </c>
      <c r="H4176" s="10" t="n">
        <v>2947</v>
      </c>
      <c r="I4176" s="10" t="n">
        <v>22</v>
      </c>
      <c r="J4176" s="10" t="n">
        <v>0</v>
      </c>
      <c r="K4176" s="10" t="s">
        <v>20</v>
      </c>
      <c r="L4176" s="11" t="n">
        <v>41533.3899768519</v>
      </c>
      <c r="M4176" s="12" t="s">
        <v>1861</v>
      </c>
      <c r="N4176" s="12"/>
      <c r="O4176" s="9" t="str">
        <f aca="false">HYPERLINK("https://pbs.twimg.com/profile_images/378800000501893520/b4582cd3ce52a7c47133d606b639176e_normal.jpeg","View")</f>
        <v>View</v>
      </c>
      <c r="P4176" s="10"/>
    </row>
    <row r="4177" customFormat="false" ht="15.75" hidden="false" customHeight="false" outlineLevel="0" collapsed="false">
      <c r="A4177" s="6" t="n">
        <v>43030.5868055556</v>
      </c>
      <c r="B4177" s="7" t="str">
        <f aca="false">HYPERLINK("https://twitter.com/stojeipatrze","@stojeipatrze")</f>
        <v>@stojeipatrze</v>
      </c>
      <c r="C4177" s="8" t="s">
        <v>10067</v>
      </c>
      <c r="D4177" s="8" t="s">
        <v>10068</v>
      </c>
      <c r="E4177" s="9" t="str">
        <f aca="false">HYPERLINK("https://twitter.com/stojeipatrze/status/922207179863707648","922207179863707648")</f>
        <v>922207179863707648</v>
      </c>
      <c r="F4177" s="10" t="s">
        <v>25</v>
      </c>
      <c r="G4177" s="10" t="n">
        <v>684</v>
      </c>
      <c r="H4177" s="10" t="n">
        <v>99</v>
      </c>
      <c r="I4177" s="10" t="n">
        <v>0</v>
      </c>
      <c r="J4177" s="10" t="n">
        <v>1</v>
      </c>
      <c r="K4177" s="10" t="s">
        <v>20</v>
      </c>
      <c r="L4177" s="11" t="n">
        <v>40316.4810532407</v>
      </c>
      <c r="M4177" s="12" t="s">
        <v>10069</v>
      </c>
      <c r="N4177" s="12" t="s">
        <v>10070</v>
      </c>
      <c r="O4177" s="9" t="str">
        <f aca="false">HYPERLINK("https://pbs.twimg.com/profile_images/693482803086909441/aL4fRFpI_normal.png","View")</f>
        <v>View</v>
      </c>
      <c r="P4177" s="10"/>
    </row>
    <row r="4178" customFormat="false" ht="15.75" hidden="false" customHeight="false" outlineLevel="0" collapsed="false">
      <c r="A4178" s="6" t="n">
        <v>43030.5876851852</v>
      </c>
      <c r="B4178" s="7" t="str">
        <f aca="false">HYPERLINK("https://twitter.com/inews2day","@inews2day")</f>
        <v>@inews2day</v>
      </c>
      <c r="C4178" s="8" t="s">
        <v>10037</v>
      </c>
      <c r="D4178" s="8" t="s">
        <v>10071</v>
      </c>
      <c r="E4178" s="9" t="str">
        <f aca="false">HYPERLINK("https://twitter.com/inews2day/status/922207501063467008","922207501063467008")</f>
        <v>922207501063467008</v>
      </c>
      <c r="F4178" s="10" t="s">
        <v>60</v>
      </c>
      <c r="G4178" s="10" t="n">
        <v>498</v>
      </c>
      <c r="H4178" s="10" t="n">
        <v>0</v>
      </c>
      <c r="I4178" s="10" t="n">
        <v>0</v>
      </c>
      <c r="J4178" s="10" t="n">
        <v>0</v>
      </c>
      <c r="K4178" s="10" t="s">
        <v>20</v>
      </c>
      <c r="L4178" s="11" t="n">
        <v>42055.1109722222</v>
      </c>
      <c r="M4178" s="12" t="s">
        <v>10039</v>
      </c>
      <c r="N4178" s="12" t="s">
        <v>10040</v>
      </c>
      <c r="O4178" s="9" t="str">
        <f aca="false">HYPERLINK("https://pbs.twimg.com/profile_images/568731081323466752/-oyEQpj9_normal.jpeg","View")</f>
        <v>View</v>
      </c>
      <c r="P4178" s="10"/>
    </row>
    <row r="4179" customFormat="false" ht="15.75" hidden="false" customHeight="false" outlineLevel="0" collapsed="false">
      <c r="A4179" s="6" t="n">
        <v>43030.5877430556</v>
      </c>
      <c r="B4179" s="7" t="str">
        <f aca="false">HYPERLINK("https://twitter.com/frontier2ban","@frontier2ban")</f>
        <v>@frontier2ban</v>
      </c>
      <c r="C4179" s="14" t="s">
        <v>2010</v>
      </c>
      <c r="D4179" s="8" t="s">
        <v>10072</v>
      </c>
      <c r="E4179" s="9" t="str">
        <f aca="false">HYPERLINK("https://twitter.com/frontier2ban/status/922207522915831808","922207522915831808")</f>
        <v>922207522915831808</v>
      </c>
      <c r="F4179" s="10" t="s">
        <v>39</v>
      </c>
      <c r="G4179" s="10" t="n">
        <v>1416</v>
      </c>
      <c r="H4179" s="10" t="n">
        <v>842</v>
      </c>
      <c r="I4179" s="10" t="n">
        <v>0</v>
      </c>
      <c r="J4179" s="10" t="n">
        <v>0</v>
      </c>
      <c r="K4179" s="10" t="s">
        <v>20</v>
      </c>
      <c r="L4179" s="11" t="n">
        <v>40384.5677314815</v>
      </c>
      <c r="M4179" s="12" t="s">
        <v>2012</v>
      </c>
      <c r="N4179" s="13" t="s">
        <v>2013</v>
      </c>
      <c r="O4179" s="9" t="str">
        <f aca="false">HYPERLINK("https://pbs.twimg.com/profile_images/680129166721855488/8OI73d9O_normal.jpg","View")</f>
        <v>View</v>
      </c>
      <c r="P4179" s="10"/>
    </row>
    <row r="4180" customFormat="false" ht="15.75" hidden="false" customHeight="false" outlineLevel="0" collapsed="false">
      <c r="A4180" s="6" t="n">
        <v>43030.5879861111</v>
      </c>
      <c r="B4180" s="7" t="str">
        <f aca="false">HYPERLINK("https://twitter.com/tthanomnua","@tthanomnua")</f>
        <v>@tthanomnua</v>
      </c>
      <c r="C4180" s="8" t="s">
        <v>3718</v>
      </c>
      <c r="D4180" s="8" t="s">
        <v>10073</v>
      </c>
      <c r="E4180" s="9" t="str">
        <f aca="false">HYPERLINK("https://twitter.com/tthanomnua/status/922207609213526016","922207609213526016")</f>
        <v>922207609213526016</v>
      </c>
      <c r="F4180" s="10" t="s">
        <v>25</v>
      </c>
      <c r="G4180" s="10" t="n">
        <v>1335</v>
      </c>
      <c r="H4180" s="10" t="n">
        <v>477</v>
      </c>
      <c r="I4180" s="10" t="n">
        <v>5</v>
      </c>
      <c r="J4180" s="10" t="n">
        <v>0</v>
      </c>
      <c r="K4180" s="10" t="s">
        <v>20</v>
      </c>
      <c r="L4180" s="11" t="n">
        <v>40260.7666898148</v>
      </c>
      <c r="M4180" s="12" t="s">
        <v>3719</v>
      </c>
      <c r="N4180" s="12" t="s">
        <v>3720</v>
      </c>
      <c r="O4180" s="9" t="str">
        <f aca="false">HYPERLINK("https://pbs.twimg.com/profile_images/786689732055015424/fAasB3Vt_normal.jpg","View")</f>
        <v>View</v>
      </c>
      <c r="P4180" s="10"/>
    </row>
    <row r="4181" customFormat="false" ht="15.75" hidden="false" customHeight="false" outlineLevel="0" collapsed="false">
      <c r="A4181" s="6" t="n">
        <v>43030.5885300926</v>
      </c>
      <c r="B4181" s="7" t="str">
        <f aca="false">HYPERLINK("https://twitter.com/CaseyBillX","@CaseyBillX")</f>
        <v>@CaseyBillX</v>
      </c>
      <c r="C4181" s="8" t="s">
        <v>2159</v>
      </c>
      <c r="D4181" s="8" t="s">
        <v>7627</v>
      </c>
      <c r="E4181" s="9" t="str">
        <f aca="false">HYPERLINK("https://twitter.com/CaseyBillX/status/922207808476418048","922207808476418048")</f>
        <v>922207808476418048</v>
      </c>
      <c r="F4181" s="10" t="s">
        <v>2160</v>
      </c>
      <c r="G4181" s="10" t="n">
        <v>2484</v>
      </c>
      <c r="H4181" s="10" t="n">
        <v>5001</v>
      </c>
      <c r="I4181" s="10" t="n">
        <v>20</v>
      </c>
      <c r="J4181" s="10" t="n">
        <v>0</v>
      </c>
      <c r="K4181" s="10" t="s">
        <v>20</v>
      </c>
      <c r="L4181" s="11" t="n">
        <v>42997.1530208333</v>
      </c>
      <c r="M4181" s="12"/>
      <c r="N4181" s="12"/>
      <c r="O4181" s="9" t="str">
        <f aca="false">HYPERLINK("https://pbs.twimg.com/profile_images/910103474003525633/_kzNa9NX_normal.jpg","View")</f>
        <v>View</v>
      </c>
      <c r="P4181" s="10"/>
    </row>
    <row r="4182" customFormat="false" ht="15.75" hidden="false" customHeight="false" outlineLevel="0" collapsed="false">
      <c r="A4182" s="6" t="n">
        <v>43030.5886689815</v>
      </c>
      <c r="B4182" s="7" t="str">
        <f aca="false">HYPERLINK("https://twitter.com/NTKRNow","@NTKRNow")</f>
        <v>@NTKRNow</v>
      </c>
      <c r="C4182" s="8" t="s">
        <v>829</v>
      </c>
      <c r="D4182" s="8" t="s">
        <v>10074</v>
      </c>
      <c r="E4182" s="9" t="str">
        <f aca="false">HYPERLINK("https://twitter.com/NTKRNow/status/922207855440285698","922207855440285698")</f>
        <v>922207855440285698</v>
      </c>
      <c r="F4182" s="10" t="s">
        <v>60</v>
      </c>
      <c r="G4182" s="10" t="n">
        <v>610</v>
      </c>
      <c r="H4182" s="10" t="n">
        <v>4</v>
      </c>
      <c r="I4182" s="10" t="n">
        <v>0</v>
      </c>
      <c r="J4182" s="10" t="n">
        <v>0</v>
      </c>
      <c r="K4182" s="10" t="s">
        <v>20</v>
      </c>
      <c r="L4182" s="11" t="n">
        <v>42402.810625</v>
      </c>
      <c r="M4182" s="12"/>
      <c r="N4182" s="12"/>
      <c r="O4182" s="9" t="str">
        <f aca="false">HYPERLINK("https://abs.twimg.com/sticky/default_profile_images/default_profile_normal.png","View")</f>
        <v>View</v>
      </c>
      <c r="P4182" s="10"/>
    </row>
    <row r="4183" customFormat="false" ht="15.75" hidden="false" customHeight="false" outlineLevel="0" collapsed="false">
      <c r="A4183" s="6" t="n">
        <v>43030.5886805556</v>
      </c>
      <c r="B4183" s="7" t="str">
        <f aca="false">HYPERLINK("https://twitter.com/Chi312Chi","@Chi312Chi")</f>
        <v>@Chi312Chi</v>
      </c>
      <c r="C4183" s="8" t="s">
        <v>1359</v>
      </c>
      <c r="D4183" s="8" t="s">
        <v>7627</v>
      </c>
      <c r="E4183" s="9" t="str">
        <f aca="false">HYPERLINK("https://twitter.com/Chi312Chi/status/922207859403784192","922207859403784192")</f>
        <v>922207859403784192</v>
      </c>
      <c r="F4183" s="10" t="s">
        <v>4100</v>
      </c>
      <c r="G4183" s="10" t="n">
        <v>580</v>
      </c>
      <c r="H4183" s="10" t="n">
        <v>2786</v>
      </c>
      <c r="I4183" s="10" t="n">
        <v>20</v>
      </c>
      <c r="J4183" s="10" t="n">
        <v>0</v>
      </c>
      <c r="K4183" s="10" t="s">
        <v>20</v>
      </c>
      <c r="L4183" s="11" t="n">
        <v>41645.8166203704</v>
      </c>
      <c r="M4183" s="12"/>
      <c r="N4183" s="12"/>
      <c r="O4183" s="9" t="str">
        <f aca="false">HYPERLINK("https://pbs.twimg.com/profile_images/918940173085413376/0qeHPlF8_normal.jpg","View")</f>
        <v>View</v>
      </c>
      <c r="P4183" s="10"/>
    </row>
    <row r="4184" customFormat="false" ht="15.75" hidden="false" customHeight="false" outlineLevel="0" collapsed="false">
      <c r="A4184" s="6" t="n">
        <v>43030.5890740741</v>
      </c>
      <c r="B4184" s="7" t="str">
        <f aca="false">HYPERLINK("https://twitter.com/KsMuvva","@KsMuvva")</f>
        <v>@KsMuvva</v>
      </c>
      <c r="C4184" s="8" t="s">
        <v>10075</v>
      </c>
      <c r="D4184" s="8" t="s">
        <v>8538</v>
      </c>
      <c r="E4184" s="9" t="str">
        <f aca="false">HYPERLINK("https://twitter.com/KsMuvva/status/922208004942041089","922208004942041089")</f>
        <v>922208004942041089</v>
      </c>
      <c r="F4184" s="10" t="s">
        <v>51</v>
      </c>
      <c r="G4184" s="10" t="n">
        <v>306</v>
      </c>
      <c r="H4184" s="10" t="n">
        <v>2191</v>
      </c>
      <c r="I4184" s="10" t="n">
        <v>1015</v>
      </c>
      <c r="J4184" s="10" t="n">
        <v>0</v>
      </c>
      <c r="K4184" s="10" t="s">
        <v>20</v>
      </c>
      <c r="L4184" s="11" t="n">
        <v>40939.2053472222</v>
      </c>
      <c r="M4184" s="12" t="s">
        <v>182</v>
      </c>
      <c r="N4184" s="12" t="s">
        <v>10076</v>
      </c>
      <c r="O4184" s="9" t="str">
        <f aca="false">HYPERLINK("https://pbs.twimg.com/profile_images/706237307238666242/iIGr_KsA_normal.jpg","View")</f>
        <v>View</v>
      </c>
      <c r="P4184" s="10"/>
    </row>
    <row r="4185" customFormat="false" ht="15.75" hidden="false" customHeight="false" outlineLevel="0" collapsed="false">
      <c r="A4185" s="6" t="n">
        <v>43030.5892939815</v>
      </c>
      <c r="B4185" s="7" t="str">
        <f aca="false">HYPERLINK("https://twitter.com/gbrading","@gbrading")</f>
        <v>@gbrading</v>
      </c>
      <c r="C4185" s="8" t="s">
        <v>10077</v>
      </c>
      <c r="D4185" s="8" t="s">
        <v>10078</v>
      </c>
      <c r="E4185" s="9" t="str">
        <f aca="false">HYPERLINK("https://twitter.com/gbrading/status/922208081785884673","922208081785884673")</f>
        <v>922208081785884673</v>
      </c>
      <c r="F4185" s="10" t="s">
        <v>39</v>
      </c>
      <c r="G4185" s="10" t="n">
        <v>201</v>
      </c>
      <c r="H4185" s="10" t="n">
        <v>195</v>
      </c>
      <c r="I4185" s="10" t="n">
        <v>0</v>
      </c>
      <c r="J4185" s="10" t="n">
        <v>0</v>
      </c>
      <c r="K4185" s="10" t="s">
        <v>20</v>
      </c>
      <c r="L4185" s="11" t="n">
        <v>39895.2433449074</v>
      </c>
      <c r="M4185" s="12" t="s">
        <v>10079</v>
      </c>
      <c r="N4185" s="12" t="s">
        <v>10080</v>
      </c>
      <c r="O4185" s="9" t="str">
        <f aca="false">HYPERLINK("https://pbs.twimg.com/profile_images/858748132947001347/VvFRPosu_normal.jpg","View")</f>
        <v>View</v>
      </c>
      <c r="P4185" s="10"/>
    </row>
    <row r="4186" customFormat="false" ht="15.75" hidden="false" customHeight="false" outlineLevel="0" collapsed="false">
      <c r="A4186" s="6" t="n">
        <v>43030.589375</v>
      </c>
      <c r="B4186" s="7" t="str">
        <f aca="false">HYPERLINK("https://twitter.com/BigTowFuzz","@BigTowFuzz")</f>
        <v>@BigTowFuzz</v>
      </c>
      <c r="C4186" s="8" t="s">
        <v>10081</v>
      </c>
      <c r="D4186" s="8" t="s">
        <v>6409</v>
      </c>
      <c r="E4186" s="9" t="str">
        <f aca="false">HYPERLINK("https://twitter.com/BigTowFuzz/status/922208112383352832","922208112383352832")</f>
        <v>922208112383352832</v>
      </c>
      <c r="F4186" s="10" t="s">
        <v>39</v>
      </c>
      <c r="G4186" s="10" t="n">
        <v>87</v>
      </c>
      <c r="H4186" s="10" t="n">
        <v>213</v>
      </c>
      <c r="I4186" s="10" t="n">
        <v>0</v>
      </c>
      <c r="J4186" s="10" t="n">
        <v>0</v>
      </c>
      <c r="K4186" s="10" t="s">
        <v>20</v>
      </c>
      <c r="L4186" s="11" t="n">
        <v>42515.1862615741</v>
      </c>
      <c r="M4186" s="12" t="s">
        <v>10082</v>
      </c>
      <c r="N4186" s="12" t="s">
        <v>10083</v>
      </c>
      <c r="O4186" s="9" t="str">
        <f aca="false">HYPERLINK("https://pbs.twimg.com/profile_images/735432806109696002/BAwbKHeS_normal.jpg","View")</f>
        <v>View</v>
      </c>
      <c r="P4186" s="10"/>
    </row>
    <row r="4187" customFormat="false" ht="15.75" hidden="false" customHeight="false" outlineLevel="0" collapsed="false">
      <c r="A4187" s="6" t="n">
        <v>43030.589837963</v>
      </c>
      <c r="B4187" s="7" t="str">
        <f aca="false">HYPERLINK("https://twitter.com/worldnews_net","@worldnews_net")</f>
        <v>@worldnews_net</v>
      </c>
      <c r="C4187" s="8" t="s">
        <v>1738</v>
      </c>
      <c r="D4187" s="8" t="s">
        <v>10084</v>
      </c>
      <c r="E4187" s="9" t="str">
        <f aca="false">HYPERLINK("https://twitter.com/worldnews_net/status/922208278679048195","922208278679048195")</f>
        <v>922208278679048195</v>
      </c>
      <c r="F4187" s="10" t="s">
        <v>60</v>
      </c>
      <c r="G4187" s="10" t="n">
        <v>6454</v>
      </c>
      <c r="H4187" s="10" t="n">
        <v>1317</v>
      </c>
      <c r="I4187" s="10" t="n">
        <v>0</v>
      </c>
      <c r="J4187" s="10" t="n">
        <v>0</v>
      </c>
      <c r="K4187" s="10" t="s">
        <v>20</v>
      </c>
      <c r="L4187" s="11" t="n">
        <v>42056.080162037</v>
      </c>
      <c r="M4187" s="12"/>
      <c r="N4187" s="12" t="s">
        <v>1740</v>
      </c>
      <c r="O4187" s="9" t="str">
        <f aca="false">HYPERLINK("https://pbs.twimg.com/profile_images/570163852034076672/nbok5qlW_normal.jpeg","View")</f>
        <v>View</v>
      </c>
      <c r="P4187" s="10"/>
    </row>
    <row r="4188" customFormat="false" ht="15.75" hidden="false" customHeight="false" outlineLevel="0" collapsed="false">
      <c r="A4188" s="6" t="n">
        <v>43030.590462963</v>
      </c>
      <c r="B4188" s="7" t="str">
        <f aca="false">HYPERLINK("https://twitter.com/pescghnup","@pescghnup")</f>
        <v>@pescghnup</v>
      </c>
      <c r="C4188" s="14" t="s">
        <v>10085</v>
      </c>
      <c r="D4188" s="8" t="s">
        <v>10086</v>
      </c>
      <c r="E4188" s="9" t="str">
        <f aca="false">HYPERLINK("https://twitter.com/pescghnup/status/922208505737523201","922208505737523201")</f>
        <v>922208505737523201</v>
      </c>
      <c r="F4188" s="10" t="s">
        <v>177</v>
      </c>
      <c r="G4188" s="10" t="n">
        <v>255</v>
      </c>
      <c r="H4188" s="10" t="n">
        <v>294</v>
      </c>
      <c r="I4188" s="10" t="n">
        <v>0</v>
      </c>
      <c r="J4188" s="10" t="n">
        <v>0</v>
      </c>
      <c r="K4188" s="10" t="s">
        <v>20</v>
      </c>
      <c r="L4188" s="11" t="n">
        <v>42195.3412962963</v>
      </c>
      <c r="M4188" s="12" t="s">
        <v>10087</v>
      </c>
      <c r="N4188" s="13" t="s">
        <v>10088</v>
      </c>
      <c r="O4188" s="9" t="str">
        <f aca="false">HYPERLINK("https://pbs.twimg.com/profile_images/900764814670090240/xAJFRxhj_normal.jpg","View")</f>
        <v>View</v>
      </c>
      <c r="P4188" s="10"/>
    </row>
    <row r="4189" customFormat="false" ht="15.75" hidden="false" customHeight="false" outlineLevel="0" collapsed="false">
      <c r="A4189" s="6" t="n">
        <v>43030.5905671296</v>
      </c>
      <c r="B4189" s="7" t="str">
        <f aca="false">HYPERLINK("https://twitter.com/NamVietNetwork","@NamVietNetwork")</f>
        <v>@NamVietNetwork</v>
      </c>
      <c r="C4189" s="8" t="s">
        <v>2489</v>
      </c>
      <c r="D4189" s="8" t="s">
        <v>10089</v>
      </c>
      <c r="E4189" s="9" t="str">
        <f aca="false">HYPERLINK("https://twitter.com/NamVietNetwork/status/922208544165978112","922208544165978112")</f>
        <v>922208544165978112</v>
      </c>
      <c r="F4189" s="10" t="s">
        <v>55</v>
      </c>
      <c r="G4189" s="10" t="n">
        <v>1540</v>
      </c>
      <c r="H4189" s="10" t="n">
        <v>147</v>
      </c>
      <c r="I4189" s="10" t="n">
        <v>0</v>
      </c>
      <c r="J4189" s="10" t="n">
        <v>0</v>
      </c>
      <c r="K4189" s="10" t="s">
        <v>20</v>
      </c>
      <c r="L4189" s="11" t="n">
        <v>40189.0717476852</v>
      </c>
      <c r="M4189" s="12" t="s">
        <v>2491</v>
      </c>
      <c r="N4189" s="12" t="s">
        <v>2492</v>
      </c>
      <c r="O4189" s="9" t="str">
        <f aca="false">HYPERLINK("https://pbs.twimg.com/profile_images/2509866256/6fjgs8rtts7014kqe70t_normal.jpeg","View")</f>
        <v>View</v>
      </c>
      <c r="P4189" s="10"/>
    </row>
    <row r="4190" customFormat="false" ht="15.75" hidden="false" customHeight="false" outlineLevel="0" collapsed="false">
      <c r="A4190" s="6" t="n">
        <v>43030.5906828704</v>
      </c>
      <c r="B4190" s="7" t="str">
        <f aca="false">HYPERLINK("https://twitter.com/farangkeenok","@farangkeenok")</f>
        <v>@farangkeenok</v>
      </c>
      <c r="C4190" s="8" t="s">
        <v>10090</v>
      </c>
      <c r="D4190" s="8" t="s">
        <v>10073</v>
      </c>
      <c r="E4190" s="9" t="str">
        <f aca="false">HYPERLINK("https://twitter.com/farangkeenok/status/922208585915949056","922208585915949056")</f>
        <v>922208585915949056</v>
      </c>
      <c r="F4190" s="10" t="s">
        <v>39</v>
      </c>
      <c r="G4190" s="10" t="n">
        <v>9</v>
      </c>
      <c r="H4190" s="10" t="n">
        <v>239</v>
      </c>
      <c r="I4190" s="10" t="n">
        <v>5</v>
      </c>
      <c r="J4190" s="10" t="n">
        <v>0</v>
      </c>
      <c r="K4190" s="10" t="s">
        <v>20</v>
      </c>
      <c r="L4190" s="11" t="n">
        <v>43029.5540393519</v>
      </c>
      <c r="M4190" s="12" t="s">
        <v>10091</v>
      </c>
      <c r="N4190" s="12" t="s">
        <v>10092</v>
      </c>
      <c r="O4190" s="9" t="str">
        <f aca="false">HYPERLINK("https://pbs.twimg.com/profile_images/922196194851303425/9P3Qbrcg_normal.jpg","View")</f>
        <v>View</v>
      </c>
      <c r="P4190" s="10"/>
    </row>
    <row r="4191" customFormat="false" ht="15.75" hidden="false" customHeight="false" outlineLevel="0" collapsed="false">
      <c r="A4191" s="6" t="n">
        <v>43030.5907291667</v>
      </c>
      <c r="B4191" s="7" t="str">
        <f aca="false">HYPERLINK("https://twitter.com/stbessgirl","@stbessgirl")</f>
        <v>@stbessgirl</v>
      </c>
      <c r="C4191" s="8" t="s">
        <v>10093</v>
      </c>
      <c r="D4191" s="8" t="s">
        <v>10094</v>
      </c>
      <c r="E4191" s="9" t="str">
        <f aca="false">HYPERLINK("https://twitter.com/stbessgirl/status/922208602961661952","922208602961661952")</f>
        <v>922208602961661952</v>
      </c>
      <c r="F4191" s="10" t="s">
        <v>51</v>
      </c>
      <c r="G4191" s="10" t="n">
        <v>431</v>
      </c>
      <c r="H4191" s="10" t="n">
        <v>284</v>
      </c>
      <c r="I4191" s="10" t="n">
        <v>0</v>
      </c>
      <c r="J4191" s="10" t="n">
        <v>0</v>
      </c>
      <c r="K4191" s="10" t="s">
        <v>20</v>
      </c>
      <c r="L4191" s="11" t="n">
        <v>40424.779537037</v>
      </c>
      <c r="M4191" s="12" t="s">
        <v>893</v>
      </c>
      <c r="N4191" s="12" t="s">
        <v>10095</v>
      </c>
      <c r="O4191" s="9" t="str">
        <f aca="false">HYPERLINK("https://pbs.twimg.com/profile_images/904987556143648768/3PPxlrIi_normal.jpg","View")</f>
        <v>View</v>
      </c>
      <c r="P4191" s="10"/>
    </row>
    <row r="4192" customFormat="false" ht="15.75" hidden="false" customHeight="false" outlineLevel="0" collapsed="false">
      <c r="A4192" s="6" t="n">
        <v>43030.5909027778</v>
      </c>
      <c r="B4192" s="7" t="str">
        <f aca="false">HYPERLINK("https://twitter.com/Babblers_net","@Babblers_net")</f>
        <v>@Babblers_net</v>
      </c>
      <c r="C4192" s="8" t="s">
        <v>10096</v>
      </c>
      <c r="D4192" s="8" t="s">
        <v>10097</v>
      </c>
      <c r="E4192" s="9" t="str">
        <f aca="false">HYPERLINK("https://twitter.com/Babblers_net/status/922208664466919424","922208664466919424")</f>
        <v>922208664466919424</v>
      </c>
      <c r="F4192" s="10" t="s">
        <v>55</v>
      </c>
      <c r="G4192" s="10" t="n">
        <v>5779</v>
      </c>
      <c r="H4192" s="10" t="n">
        <v>32</v>
      </c>
      <c r="I4192" s="10" t="n">
        <v>0</v>
      </c>
      <c r="J4192" s="10" t="n">
        <v>0</v>
      </c>
      <c r="K4192" s="10" t="s">
        <v>20</v>
      </c>
      <c r="L4192" s="11" t="n">
        <v>42637.5366319444</v>
      </c>
      <c r="M4192" s="12"/>
      <c r="N4192" s="12"/>
      <c r="O4192" s="9" t="str">
        <f aca="false">HYPERLINK("https://pbs.twimg.com/profile_images/807655312442290176/p-r8Gd65_normal.jpg","View")</f>
        <v>View</v>
      </c>
      <c r="P4192" s="10"/>
    </row>
    <row r="4193" customFormat="false" ht="15.75" hidden="false" customHeight="false" outlineLevel="0" collapsed="false">
      <c r="A4193" s="6" t="n">
        <v>43030.5909606481</v>
      </c>
      <c r="B4193" s="7" t="str">
        <f aca="false">HYPERLINK("https://twitter.com/ersakthivel1","@ersakthivel1")</f>
        <v>@ersakthivel1</v>
      </c>
      <c r="C4193" s="8" t="s">
        <v>10098</v>
      </c>
      <c r="D4193" s="8" t="s">
        <v>8538</v>
      </c>
      <c r="E4193" s="9" t="str">
        <f aca="false">HYPERLINK("https://twitter.com/ersakthivel1/status/922208687380246528","922208687380246528")</f>
        <v>922208687380246528</v>
      </c>
      <c r="F4193" s="10" t="s">
        <v>98</v>
      </c>
      <c r="G4193" s="10" t="n">
        <v>470</v>
      </c>
      <c r="H4193" s="10" t="n">
        <v>179</v>
      </c>
      <c r="I4193" s="10" t="n">
        <v>1015</v>
      </c>
      <c r="J4193" s="10" t="n">
        <v>0</v>
      </c>
      <c r="K4193" s="10" t="s">
        <v>20</v>
      </c>
      <c r="L4193" s="11" t="n">
        <v>41663.1354050926</v>
      </c>
      <c r="M4193" s="12"/>
      <c r="N4193" s="12" t="s">
        <v>10099</v>
      </c>
      <c r="O4193" s="9" t="str">
        <f aca="false">HYPERLINK("https://pbs.twimg.com/profile_images/697767114350800896/3iUmg5Dl_normal.jpg","View")</f>
        <v>View</v>
      </c>
      <c r="P4193" s="10"/>
    </row>
    <row r="4194" customFormat="false" ht="15.75" hidden="false" customHeight="false" outlineLevel="0" collapsed="false">
      <c r="A4194" s="6" t="n">
        <v>43030.5916319445</v>
      </c>
      <c r="B4194" s="7" t="str">
        <f aca="false">HYPERLINK("https://twitter.com/TheJNetworks","@TheJNetworks")</f>
        <v>@TheJNetworks</v>
      </c>
      <c r="C4194" s="8" t="s">
        <v>10100</v>
      </c>
      <c r="D4194" s="8" t="s">
        <v>10101</v>
      </c>
      <c r="E4194" s="9" t="str">
        <f aca="false">HYPERLINK("https://twitter.com/TheJNetworks/status/922208931514126343","922208931514126343")</f>
        <v>922208931514126343</v>
      </c>
      <c r="F4194" s="10" t="s">
        <v>10100</v>
      </c>
      <c r="G4194" s="10" t="n">
        <v>9833</v>
      </c>
      <c r="H4194" s="10" t="n">
        <v>212</v>
      </c>
      <c r="I4194" s="10" t="n">
        <v>3</v>
      </c>
      <c r="J4194" s="10" t="n">
        <v>2</v>
      </c>
      <c r="K4194" s="10" t="s">
        <v>20</v>
      </c>
      <c r="L4194" s="11" t="n">
        <v>42194.8191319444</v>
      </c>
      <c r="M4194" s="12"/>
      <c r="N4194" s="12"/>
      <c r="O4194" s="9" t="str">
        <f aca="false">HYPERLINK("https://pbs.twimg.com/profile_images/709843923162767360/scvH687M_normal.jpg","View")</f>
        <v>View</v>
      </c>
      <c r="P4194" s="10"/>
    </row>
    <row r="4195" customFormat="false" ht="15.75" hidden="false" customHeight="false" outlineLevel="0" collapsed="false">
      <c r="A4195" s="6" t="n">
        <v>43030.5918287037</v>
      </c>
      <c r="B4195" s="7" t="str">
        <f aca="false">HYPERLINK("https://twitter.com/urbbladi","@urbbladi")</f>
        <v>@urbbladi</v>
      </c>
      <c r="C4195" s="8" t="s">
        <v>10102</v>
      </c>
      <c r="D4195" s="8" t="s">
        <v>9783</v>
      </c>
      <c r="E4195" s="9" t="str">
        <f aca="false">HYPERLINK("https://twitter.com/urbbladi/status/922209001273782272","922209001273782272")</f>
        <v>922209001273782272</v>
      </c>
      <c r="F4195" s="10" t="s">
        <v>3790</v>
      </c>
      <c r="G4195" s="10" t="n">
        <v>131</v>
      </c>
      <c r="H4195" s="10" t="n">
        <v>93</v>
      </c>
      <c r="I4195" s="10" t="n">
        <v>17</v>
      </c>
      <c r="J4195" s="10" t="n">
        <v>0</v>
      </c>
      <c r="K4195" s="10" t="s">
        <v>20</v>
      </c>
      <c r="L4195" s="11" t="n">
        <v>42299.3346643519</v>
      </c>
      <c r="M4195" s="12"/>
      <c r="N4195" s="12" t="s">
        <v>10103</v>
      </c>
      <c r="O4195" s="9" t="str">
        <f aca="false">HYPERLINK("https://pbs.twimg.com/profile_images/911148219639484417/uBVF31-P_normal.jpg","View")</f>
        <v>View</v>
      </c>
      <c r="P4195" s="10"/>
    </row>
    <row r="4196" customFormat="false" ht="15.75" hidden="false" customHeight="false" outlineLevel="0" collapsed="false">
      <c r="A4196" s="6" t="n">
        <v>43030.5924768519</v>
      </c>
      <c r="B4196" s="7" t="str">
        <f aca="false">HYPERLINK("https://twitter.com/MohitVed9","@MohitVed9")</f>
        <v>@MohitVed9</v>
      </c>
      <c r="C4196" s="8" t="s">
        <v>10104</v>
      </c>
      <c r="D4196" s="8" t="s">
        <v>8538</v>
      </c>
      <c r="E4196" s="9" t="str">
        <f aca="false">HYPERLINK("https://twitter.com/MohitVed9/status/922209237148696576","922209237148696576")</f>
        <v>922209237148696576</v>
      </c>
      <c r="F4196" s="10" t="s">
        <v>25</v>
      </c>
      <c r="G4196" s="10" t="n">
        <v>9</v>
      </c>
      <c r="H4196" s="10" t="n">
        <v>367</v>
      </c>
      <c r="I4196" s="10" t="n">
        <v>1015</v>
      </c>
      <c r="J4196" s="10" t="n">
        <v>0</v>
      </c>
      <c r="K4196" s="10" t="s">
        <v>20</v>
      </c>
      <c r="L4196" s="11" t="n">
        <v>42973.248587963</v>
      </c>
      <c r="M4196" s="12"/>
      <c r="N4196" s="12"/>
      <c r="O4196" s="9" t="str">
        <f aca="false">HYPERLINK("https://abs.twimg.com/sticky/default_profile_images/default_profile_normal.png","View")</f>
        <v>View</v>
      </c>
      <c r="P4196" s="10"/>
    </row>
    <row r="4197" customFormat="false" ht="15.75" hidden="false" customHeight="false" outlineLevel="0" collapsed="false">
      <c r="A4197" s="6" t="n">
        <v>43030.5928587963</v>
      </c>
      <c r="B4197" s="7" t="str">
        <f aca="false">HYPERLINK("https://twitter.com/HilalUlukan","@HilalUlukan")</f>
        <v>@HilalUlukan</v>
      </c>
      <c r="C4197" s="8" t="s">
        <v>10105</v>
      </c>
      <c r="D4197" s="8" t="s">
        <v>9907</v>
      </c>
      <c r="E4197" s="9" t="str">
        <f aca="false">HYPERLINK("https://twitter.com/HilalUlukan/status/922209374499729408","922209374499729408")</f>
        <v>922209374499729408</v>
      </c>
      <c r="F4197" s="10" t="s">
        <v>10106</v>
      </c>
      <c r="G4197" s="10" t="n">
        <v>2125</v>
      </c>
      <c r="H4197" s="10" t="n">
        <v>3804</v>
      </c>
      <c r="I4197" s="10" t="n">
        <v>11</v>
      </c>
      <c r="J4197" s="10" t="n">
        <v>0</v>
      </c>
      <c r="K4197" s="10" t="s">
        <v>20</v>
      </c>
      <c r="L4197" s="11" t="n">
        <v>42229.9746296296</v>
      </c>
      <c r="M4197" s="12" t="s">
        <v>182</v>
      </c>
      <c r="N4197" s="12" t="s">
        <v>10107</v>
      </c>
      <c r="O4197" s="9" t="str">
        <f aca="false">HYPERLINK("https://pbs.twimg.com/profile_images/897130241025560581/zBMUiAkZ_normal.jpg","View")</f>
        <v>View</v>
      </c>
      <c r="P4197" s="10"/>
    </row>
    <row r="4198" customFormat="false" ht="15.75" hidden="false" customHeight="false" outlineLevel="0" collapsed="false">
      <c r="A4198" s="6" t="n">
        <v>43030.5928935185</v>
      </c>
      <c r="B4198" s="7" t="str">
        <f aca="false">HYPERLINK("https://twitter.com/frontier2ban","@frontier2ban")</f>
        <v>@frontier2ban</v>
      </c>
      <c r="C4198" s="14" t="s">
        <v>2010</v>
      </c>
      <c r="D4198" s="8" t="s">
        <v>10108</v>
      </c>
      <c r="E4198" s="9" t="str">
        <f aca="false">HYPERLINK("https://twitter.com/frontier2ban/status/922209389599166464","922209389599166464")</f>
        <v>922209389599166464</v>
      </c>
      <c r="F4198" s="10" t="s">
        <v>39</v>
      </c>
      <c r="G4198" s="10" t="n">
        <v>1416</v>
      </c>
      <c r="H4198" s="10" t="n">
        <v>842</v>
      </c>
      <c r="I4198" s="10" t="n">
        <v>0</v>
      </c>
      <c r="J4198" s="10" t="n">
        <v>0</v>
      </c>
      <c r="K4198" s="10" t="s">
        <v>20</v>
      </c>
      <c r="L4198" s="11" t="n">
        <v>40384.5677314815</v>
      </c>
      <c r="M4198" s="12" t="s">
        <v>2012</v>
      </c>
      <c r="N4198" s="13" t="s">
        <v>2013</v>
      </c>
      <c r="O4198" s="9" t="str">
        <f aca="false">HYPERLINK("https://pbs.twimg.com/profile_images/680129166721855488/8OI73d9O_normal.jpg","View")</f>
        <v>View</v>
      </c>
      <c r="P4198" s="10"/>
    </row>
    <row r="4199" customFormat="false" ht="15.75" hidden="false" customHeight="false" outlineLevel="0" collapsed="false">
      <c r="A4199" s="6" t="n">
        <v>43030.5931134259</v>
      </c>
      <c r="B4199" s="7" t="str">
        <f aca="false">HYPERLINK("https://twitter.com/motokorich","@motokorich")</f>
        <v>@motokorich</v>
      </c>
      <c r="C4199" s="8" t="s">
        <v>3936</v>
      </c>
      <c r="D4199" s="8" t="s">
        <v>10109</v>
      </c>
      <c r="E4199" s="9" t="str">
        <f aca="false">HYPERLINK("https://twitter.com/motokorich/status/922209466157854720","922209466157854720")</f>
        <v>922209466157854720</v>
      </c>
      <c r="F4199" s="10" t="s">
        <v>51</v>
      </c>
      <c r="G4199" s="10" t="n">
        <v>25708</v>
      </c>
      <c r="H4199" s="10" t="n">
        <v>2567</v>
      </c>
      <c r="I4199" s="10" t="n">
        <v>16</v>
      </c>
      <c r="J4199" s="10" t="n">
        <v>24</v>
      </c>
      <c r="K4199" s="10" t="s">
        <v>20</v>
      </c>
      <c r="L4199" s="11" t="n">
        <v>39993.357037037</v>
      </c>
      <c r="M4199" s="12" t="s">
        <v>574</v>
      </c>
      <c r="N4199" s="13" t="s">
        <v>3938</v>
      </c>
      <c r="O4199" s="9" t="str">
        <f aca="false">HYPERLINK("https://pbs.twimg.com/profile_images/781455693597413380/eASkJAc5_normal.jpg","View")</f>
        <v>View</v>
      </c>
      <c r="P4199" s="10"/>
    </row>
    <row r="4200" customFormat="false" ht="15.75" hidden="false" customHeight="false" outlineLevel="0" collapsed="false">
      <c r="A4200" s="6" t="n">
        <v>43030.5932060185</v>
      </c>
      <c r="B4200" s="7" t="str">
        <f aca="false">HYPERLINK("https://twitter.com/Aalam_Sinan","@Aalam_Sinan")</f>
        <v>@Aalam_Sinan</v>
      </c>
      <c r="C4200" s="8" t="s">
        <v>10110</v>
      </c>
      <c r="D4200" s="8" t="s">
        <v>10111</v>
      </c>
      <c r="E4200" s="9" t="str">
        <f aca="false">HYPERLINK("https://twitter.com/Aalam_Sinan/status/922209499934584834","922209499934584834")</f>
        <v>922209499934584834</v>
      </c>
      <c r="F4200" s="10" t="s">
        <v>60</v>
      </c>
      <c r="G4200" s="10" t="n">
        <v>6</v>
      </c>
      <c r="H4200" s="10" t="n">
        <v>33</v>
      </c>
      <c r="I4200" s="10" t="n">
        <v>0</v>
      </c>
      <c r="J4200" s="10" t="n">
        <v>0</v>
      </c>
      <c r="K4200" s="10" t="s">
        <v>20</v>
      </c>
      <c r="L4200" s="11" t="n">
        <v>43020.8303935185</v>
      </c>
      <c r="M4200" s="12" t="s">
        <v>10112</v>
      </c>
      <c r="N4200" s="12" t="s">
        <v>10113</v>
      </c>
      <c r="O4200" s="9" t="str">
        <f aca="false">HYPERLINK("https://pbs.twimg.com/profile_images/918692142423228418/0MfpX5yy_normal.jpg","View")</f>
        <v>View</v>
      </c>
      <c r="P4200" s="10"/>
    </row>
    <row r="4201" customFormat="false" ht="15.75" hidden="false" customHeight="false" outlineLevel="0" collapsed="false">
      <c r="A4201" s="6" t="n">
        <v>43030.5934837963</v>
      </c>
      <c r="B4201" s="7" t="str">
        <f aca="false">HYPERLINK("https://twitter.com/QxNews","@QxNews")</f>
        <v>@QxNews</v>
      </c>
      <c r="C4201" s="8" t="s">
        <v>3009</v>
      </c>
      <c r="D4201" s="8" t="s">
        <v>9996</v>
      </c>
      <c r="E4201" s="9" t="str">
        <f aca="false">HYPERLINK("https://twitter.com/QxNews/status/922209602921361408","922209602921361408")</f>
        <v>922209602921361408</v>
      </c>
      <c r="F4201" s="10" t="s">
        <v>3011</v>
      </c>
      <c r="G4201" s="10" t="n">
        <v>3236</v>
      </c>
      <c r="H4201" s="10" t="n">
        <v>271</v>
      </c>
      <c r="I4201" s="10" t="n">
        <v>10</v>
      </c>
      <c r="J4201" s="10" t="n">
        <v>0</v>
      </c>
      <c r="K4201" s="10" t="s">
        <v>20</v>
      </c>
      <c r="L4201" s="11" t="n">
        <v>41497.8580671296</v>
      </c>
      <c r="M4201" s="12" t="s">
        <v>502</v>
      </c>
      <c r="N4201" s="12" t="s">
        <v>3012</v>
      </c>
      <c r="O4201" s="9" t="str">
        <f aca="false">HYPERLINK("https://pbs.twimg.com/profile_images/597288578092240896/ePlmSYCH_normal.png","View")</f>
        <v>View</v>
      </c>
      <c r="P4201" s="10"/>
    </row>
    <row r="4202" customFormat="false" ht="15.75" hidden="false" customHeight="false" outlineLevel="0" collapsed="false">
      <c r="A4202" s="6" t="n">
        <v>43030.5940393519</v>
      </c>
      <c r="B4202" s="7" t="str">
        <f aca="false">HYPERLINK("https://twitter.com/AlexContestBot","@AlexContestBot")</f>
        <v>@AlexContestBot</v>
      </c>
      <c r="C4202" s="8" t="s">
        <v>2191</v>
      </c>
      <c r="D4202" s="8" t="s">
        <v>7627</v>
      </c>
      <c r="E4202" s="9" t="str">
        <f aca="false">HYPERLINK("https://twitter.com/AlexContestBot/status/922209802482102272","922209802482102272")</f>
        <v>922209802482102272</v>
      </c>
      <c r="F4202" s="10" t="s">
        <v>5202</v>
      </c>
      <c r="G4202" s="10" t="n">
        <v>619</v>
      </c>
      <c r="H4202" s="10" t="n">
        <v>5003</v>
      </c>
      <c r="I4202" s="10" t="n">
        <v>20</v>
      </c>
      <c r="J4202" s="10" t="n">
        <v>0</v>
      </c>
      <c r="K4202" s="10" t="s">
        <v>20</v>
      </c>
      <c r="L4202" s="11" t="n">
        <v>42987.5389814815</v>
      </c>
      <c r="M4202" s="12"/>
      <c r="N4202" s="12"/>
      <c r="O4202" s="9" t="str">
        <f aca="false">HYPERLINK("https://abs.twimg.com/sticky/default_profile_images/default_profile_normal.png","View")</f>
        <v>View</v>
      </c>
      <c r="P4202" s="10"/>
    </row>
    <row r="4203" customFormat="false" ht="15.75" hidden="false" customHeight="false" outlineLevel="0" collapsed="false">
      <c r="A4203" s="6" t="n">
        <v>43030.5942476852</v>
      </c>
      <c r="B4203" s="7" t="str">
        <f aca="false">HYPERLINK("https://twitter.com/DailyKv","@DailyKv")</f>
        <v>@DailyKv</v>
      </c>
      <c r="C4203" s="8" t="s">
        <v>10114</v>
      </c>
      <c r="D4203" s="8" t="s">
        <v>10115</v>
      </c>
      <c r="E4203" s="9" t="str">
        <f aca="false">HYPERLINK("https://twitter.com/DailyKv/status/922209877212135424","922209877212135424")</f>
        <v>922209877212135424</v>
      </c>
      <c r="F4203" s="10" t="s">
        <v>110</v>
      </c>
      <c r="G4203" s="10" t="n">
        <v>51</v>
      </c>
      <c r="H4203" s="10" t="n">
        <v>6</v>
      </c>
      <c r="I4203" s="10" t="n">
        <v>0</v>
      </c>
      <c r="J4203" s="10" t="n">
        <v>0</v>
      </c>
      <c r="K4203" s="10" t="s">
        <v>20</v>
      </c>
      <c r="L4203" s="11" t="n">
        <v>40990.0614583333</v>
      </c>
      <c r="M4203" s="12" t="s">
        <v>10116</v>
      </c>
      <c r="N4203" s="12" t="s">
        <v>10117</v>
      </c>
      <c r="O4203" s="9" t="str">
        <f aca="false">HYPERLINK("https://abs.twimg.com/sticky/default_profile_images/default_profile_normal.png","View")</f>
        <v>View</v>
      </c>
      <c r="P4203" s="10"/>
    </row>
    <row r="4204" customFormat="false" ht="15.75" hidden="false" customHeight="false" outlineLevel="0" collapsed="false">
      <c r="A4204" s="6" t="n">
        <v>43030.5942476852</v>
      </c>
      <c r="B4204" s="7" t="str">
        <f aca="false">HYPERLINK("https://twitter.com/VotingFemaIe","@VotingFemaIe")</f>
        <v>@VotingFemaIe</v>
      </c>
      <c r="C4204" s="8" t="s">
        <v>10118</v>
      </c>
      <c r="D4204" s="8" t="s">
        <v>10119</v>
      </c>
      <c r="E4204" s="9" t="str">
        <f aca="false">HYPERLINK("https://twitter.com/VotingFemaIe/status/922209878126444545","922209878126444545")</f>
        <v>922209878126444545</v>
      </c>
      <c r="F4204" s="10" t="s">
        <v>276</v>
      </c>
      <c r="G4204" s="10" t="n">
        <v>8285</v>
      </c>
      <c r="H4204" s="10" t="n">
        <v>8404</v>
      </c>
      <c r="I4204" s="10" t="n">
        <v>2</v>
      </c>
      <c r="J4204" s="10" t="n">
        <v>4</v>
      </c>
      <c r="K4204" s="10" t="s">
        <v>20</v>
      </c>
      <c r="L4204" s="11" t="n">
        <v>42603.4670601852</v>
      </c>
      <c r="M4204" s="12" t="s">
        <v>10120</v>
      </c>
      <c r="N4204" s="12" t="s">
        <v>10121</v>
      </c>
      <c r="O4204" s="9" t="str">
        <f aca="false">HYPERLINK("https://pbs.twimg.com/profile_images/827699221524475905/-_WuJNiE_normal.jpg","View")</f>
        <v>View</v>
      </c>
      <c r="P4204" s="10"/>
    </row>
    <row r="4205" customFormat="false" ht="15.75" hidden="false" customHeight="false" outlineLevel="0" collapsed="false">
      <c r="A4205" s="6" t="n">
        <v>43030.594375</v>
      </c>
      <c r="B4205" s="7" t="str">
        <f aca="false">HYPERLINK("https://twitter.com/satyabr59370764","@satyabr59370764")</f>
        <v>@satyabr59370764</v>
      </c>
      <c r="C4205" s="8" t="s">
        <v>10122</v>
      </c>
      <c r="D4205" s="8" t="s">
        <v>8538</v>
      </c>
      <c r="E4205" s="9" t="str">
        <f aca="false">HYPERLINK("https://twitter.com/satyabr59370764/status/922209922820947968","922209922820947968")</f>
        <v>922209922820947968</v>
      </c>
      <c r="F4205" s="10" t="s">
        <v>98</v>
      </c>
      <c r="G4205" s="10" t="n">
        <v>69</v>
      </c>
      <c r="H4205" s="10" t="n">
        <v>323</v>
      </c>
      <c r="I4205" s="10" t="n">
        <v>1015</v>
      </c>
      <c r="J4205" s="10" t="n">
        <v>0</v>
      </c>
      <c r="K4205" s="10" t="s">
        <v>20</v>
      </c>
      <c r="L4205" s="11" t="n">
        <v>41263.2203587963</v>
      </c>
      <c r="M4205" s="12" t="s">
        <v>10123</v>
      </c>
      <c r="N4205" s="12" t="s">
        <v>10124</v>
      </c>
      <c r="O4205" s="9" t="str">
        <f aca="false">HYPERLINK("https://pbs.twimg.com/profile_images/785072038738145280/XnOHeHze_normal.jpg","View")</f>
        <v>View</v>
      </c>
      <c r="P4205" s="10"/>
    </row>
    <row r="4206" customFormat="false" ht="15.75" hidden="false" customHeight="false" outlineLevel="0" collapsed="false">
      <c r="A4206" s="6" t="n">
        <v>43030.5944212963</v>
      </c>
      <c r="B4206" s="7" t="str">
        <f aca="false">HYPERLINK("https://twitter.com/Rocketnews1","@Rocketnews1")</f>
        <v>@Rocketnews1</v>
      </c>
      <c r="C4206" s="8" t="s">
        <v>1880</v>
      </c>
      <c r="D4206" s="8" t="s">
        <v>10125</v>
      </c>
      <c r="E4206" s="9" t="str">
        <f aca="false">HYPERLINK("https://twitter.com/Rocketnews1/status/922209940336504832","922209940336504832")</f>
        <v>922209940336504832</v>
      </c>
      <c r="F4206" s="10" t="s">
        <v>1882</v>
      </c>
      <c r="G4206" s="10" t="n">
        <v>181</v>
      </c>
      <c r="H4206" s="10" t="n">
        <v>15</v>
      </c>
      <c r="I4206" s="10" t="n">
        <v>0</v>
      </c>
      <c r="J4206" s="10" t="n">
        <v>0</v>
      </c>
      <c r="K4206" s="10" t="s">
        <v>20</v>
      </c>
      <c r="L4206" s="11" t="n">
        <v>41354.3074189815</v>
      </c>
      <c r="M4206" s="12"/>
      <c r="N4206" s="12" t="s">
        <v>1883</v>
      </c>
      <c r="O4206" s="9" t="str">
        <f aca="false">HYPERLINK("https://pbs.twimg.com/profile_images/3409516523/1b0e7afc97e354cf330487934ec5a462_normal.jpeg","View")</f>
        <v>View</v>
      </c>
      <c r="P4206" s="10"/>
    </row>
    <row r="4207" customFormat="false" ht="15.75" hidden="false" customHeight="false" outlineLevel="0" collapsed="false">
      <c r="A4207" s="6" t="n">
        <v>43030.5946990741</v>
      </c>
      <c r="B4207" s="7" t="str">
        <f aca="false">HYPERLINK("https://twitter.com/jakeadelstein","@jakeadelstein")</f>
        <v>@jakeadelstein</v>
      </c>
      <c r="C4207" s="8" t="s">
        <v>10126</v>
      </c>
      <c r="D4207" s="8" t="s">
        <v>10127</v>
      </c>
      <c r="E4207" s="9" t="str">
        <f aca="false">HYPERLINK("https://twitter.com/jakeadelstein/status/922210039959494656","922210039959494656")</f>
        <v>922210039959494656</v>
      </c>
      <c r="F4207" s="10" t="s">
        <v>51</v>
      </c>
      <c r="G4207" s="10" t="n">
        <v>20523</v>
      </c>
      <c r="H4207" s="10" t="n">
        <v>2085</v>
      </c>
      <c r="I4207" s="10" t="n">
        <v>8</v>
      </c>
      <c r="J4207" s="10" t="n">
        <v>0</v>
      </c>
      <c r="K4207" s="10" t="s">
        <v>20</v>
      </c>
      <c r="L4207" s="11" t="n">
        <v>40122.5857986111</v>
      </c>
      <c r="M4207" s="12" t="s">
        <v>10128</v>
      </c>
      <c r="N4207" s="12" t="s">
        <v>10129</v>
      </c>
      <c r="O4207" s="9" t="str">
        <f aca="false">HYPERLINK("https://pbs.twimg.com/profile_images/923254903862050816/G9tYgQ5I_normal.jpg","View")</f>
        <v>View</v>
      </c>
      <c r="P4207" s="10"/>
    </row>
    <row r="4208" customFormat="false" ht="15.75" hidden="false" customHeight="false" outlineLevel="0" collapsed="false">
      <c r="A4208" s="6" t="n">
        <v>43030.595775463</v>
      </c>
      <c r="B4208" s="7" t="str">
        <f aca="false">HYPERLINK("https://twitter.com/tmcats6","@tmcats6")</f>
        <v>@tmcats6</v>
      </c>
      <c r="C4208" s="8" t="s">
        <v>10130</v>
      </c>
      <c r="D4208" s="8" t="s">
        <v>10131</v>
      </c>
      <c r="E4208" s="9" t="str">
        <f aca="false">HYPERLINK("https://twitter.com/tmcats6/status/922210432382918656","922210432382918656")</f>
        <v>922210432382918656</v>
      </c>
      <c r="F4208" s="10" t="s">
        <v>25</v>
      </c>
      <c r="G4208" s="10" t="n">
        <v>673</v>
      </c>
      <c r="H4208" s="10" t="n">
        <v>777</v>
      </c>
      <c r="I4208" s="10" t="n">
        <v>2</v>
      </c>
      <c r="J4208" s="10" t="n">
        <v>0</v>
      </c>
      <c r="K4208" s="10" t="s">
        <v>20</v>
      </c>
      <c r="L4208" s="11" t="n">
        <v>42920.4139236111</v>
      </c>
      <c r="M4208" s="12" t="s">
        <v>1961</v>
      </c>
      <c r="N4208" s="12" t="s">
        <v>10132</v>
      </c>
      <c r="O4208" s="9" t="str">
        <f aca="false">HYPERLINK("https://pbs.twimg.com/profile_images/882287333927792645/hKCENw0X_normal.jpg","View")</f>
        <v>View</v>
      </c>
      <c r="P4208" s="10"/>
    </row>
    <row r="4209" customFormat="false" ht="15.75" hidden="false" customHeight="false" outlineLevel="0" collapsed="false">
      <c r="A4209" s="6" t="n">
        <v>43030.5958333333</v>
      </c>
      <c r="B4209" s="7" t="str">
        <f aca="false">HYPERLINK("https://twitter.com/Tamilisthan","@Tamilisthan")</f>
        <v>@Tamilisthan</v>
      </c>
      <c r="C4209" s="8" t="s">
        <v>10133</v>
      </c>
      <c r="D4209" s="8" t="s">
        <v>8538</v>
      </c>
      <c r="E4209" s="9" t="str">
        <f aca="false">HYPERLINK("https://twitter.com/Tamilisthan/status/922210453853372416","922210453853372416")</f>
        <v>922210453853372416</v>
      </c>
      <c r="F4209" s="10" t="s">
        <v>51</v>
      </c>
      <c r="G4209" s="10" t="n">
        <v>312</v>
      </c>
      <c r="H4209" s="10" t="n">
        <v>374</v>
      </c>
      <c r="I4209" s="10" t="n">
        <v>1015</v>
      </c>
      <c r="J4209" s="10" t="n">
        <v>0</v>
      </c>
      <c r="K4209" s="10" t="s">
        <v>20</v>
      </c>
      <c r="L4209" s="11" t="n">
        <v>42417.1640856482</v>
      </c>
      <c r="M4209" s="12" t="s">
        <v>10134</v>
      </c>
      <c r="N4209" s="12" t="s">
        <v>10135</v>
      </c>
      <c r="O4209" s="9" t="str">
        <f aca="false">HYPERLINK("https://pbs.twimg.com/profile_images/905358892929957890/m6vRhX3n_normal.jpg","View")</f>
        <v>View</v>
      </c>
      <c r="P4209" s="10"/>
    </row>
    <row r="4210" customFormat="false" ht="15.75" hidden="false" customHeight="false" outlineLevel="0" collapsed="false">
      <c r="A4210" s="6" t="n">
        <v>43030.5959837963</v>
      </c>
      <c r="B4210" s="7" t="str">
        <f aca="false">HYPERLINK("https://twitter.com/anyalhas","@anyalhas")</f>
        <v>@anyalhas</v>
      </c>
      <c r="C4210" s="8" t="s">
        <v>10136</v>
      </c>
      <c r="D4210" s="8" t="s">
        <v>4124</v>
      </c>
      <c r="E4210" s="9" t="str">
        <f aca="false">HYPERLINK("https://twitter.com/anyalhas/status/922210506240348161","922210506240348161")</f>
        <v>922210506240348161</v>
      </c>
      <c r="F4210" s="10" t="s">
        <v>51</v>
      </c>
      <c r="G4210" s="10" t="n">
        <v>3879</v>
      </c>
      <c r="H4210" s="10" t="n">
        <v>3342</v>
      </c>
      <c r="I4210" s="10" t="n">
        <v>111</v>
      </c>
      <c r="J4210" s="10" t="n">
        <v>0</v>
      </c>
      <c r="K4210" s="10" t="s">
        <v>20</v>
      </c>
      <c r="L4210" s="11" t="n">
        <v>40240.9390625</v>
      </c>
      <c r="M4210" s="12" t="s">
        <v>10137</v>
      </c>
      <c r="N4210" s="12" t="s">
        <v>10138</v>
      </c>
      <c r="O4210" s="9" t="str">
        <f aca="false">HYPERLINK("https://pbs.twimg.com/profile_images/2570626714/zyt5a03nzzq4m4z4t2j6_normal.jpeg","View")</f>
        <v>View</v>
      </c>
      <c r="P4210" s="10"/>
    </row>
    <row r="4211" customFormat="false" ht="15.75" hidden="false" customHeight="false" outlineLevel="0" collapsed="false">
      <c r="A4211" s="6" t="n">
        <v>43030.5960763889</v>
      </c>
      <c r="B4211" s="7" t="str">
        <f aca="false">HYPERLINK("https://twitter.com/beautiful__naki","@beautiful__naki")</f>
        <v>@beautiful__naki</v>
      </c>
      <c r="C4211" s="8" t="s">
        <v>10139</v>
      </c>
      <c r="D4211" s="8" t="s">
        <v>10140</v>
      </c>
      <c r="E4211" s="9" t="str">
        <f aca="false">HYPERLINK("https://twitter.com/beautiful__naki/status/922210540683964416","922210540683964416")</f>
        <v>922210540683964416</v>
      </c>
      <c r="F4211" s="10" t="s">
        <v>25</v>
      </c>
      <c r="G4211" s="10" t="n">
        <v>48</v>
      </c>
      <c r="H4211" s="10" t="n">
        <v>1804</v>
      </c>
      <c r="I4211" s="10" t="n">
        <v>3</v>
      </c>
      <c r="J4211" s="10" t="n">
        <v>0</v>
      </c>
      <c r="K4211" s="10" t="s">
        <v>20</v>
      </c>
      <c r="L4211" s="11" t="n">
        <v>41724.0093287037</v>
      </c>
      <c r="M4211" s="12" t="s">
        <v>319</v>
      </c>
      <c r="N4211" s="12" t="s">
        <v>10141</v>
      </c>
      <c r="O4211" s="9" t="str">
        <f aca="false">HYPERLINK("https://pbs.twimg.com/profile_images/749727507373514753/f88Cpw7s_normal.jpg","View")</f>
        <v>View</v>
      </c>
      <c r="P4211" s="10"/>
    </row>
    <row r="4212" customFormat="false" ht="15.75" hidden="false" customHeight="false" outlineLevel="0" collapsed="false">
      <c r="A4212" s="6" t="n">
        <v>43030.5962268518</v>
      </c>
      <c r="B4212" s="7" t="str">
        <f aca="false">HYPERLINK("https://twitter.com/schollzy31","@schollzy31")</f>
        <v>@schollzy31</v>
      </c>
      <c r="C4212" s="8" t="s">
        <v>10142</v>
      </c>
      <c r="D4212" s="8" t="s">
        <v>10140</v>
      </c>
      <c r="E4212" s="9" t="str">
        <f aca="false">HYPERLINK("https://twitter.com/schollzy31/status/922210593955868673","922210593955868673")</f>
        <v>922210593955868673</v>
      </c>
      <c r="F4212" s="10" t="s">
        <v>25</v>
      </c>
      <c r="G4212" s="10" t="n">
        <v>41</v>
      </c>
      <c r="H4212" s="10" t="n">
        <v>1685</v>
      </c>
      <c r="I4212" s="10" t="n">
        <v>3</v>
      </c>
      <c r="J4212" s="10" t="n">
        <v>0</v>
      </c>
      <c r="K4212" s="10" t="s">
        <v>20</v>
      </c>
      <c r="L4212" s="11" t="n">
        <v>42063.4957523148</v>
      </c>
      <c r="M4212" s="12" t="s">
        <v>10143</v>
      </c>
      <c r="N4212" s="12" t="s">
        <v>10144</v>
      </c>
      <c r="O4212" s="9" t="str">
        <f aca="false">HYPERLINK("https://pbs.twimg.com/profile_images/770373633797742593/B2iThbQ5_normal.jpg","View")</f>
        <v>View</v>
      </c>
      <c r="P4212" s="10"/>
    </row>
    <row r="4213" customFormat="false" ht="15.75" hidden="false" customHeight="false" outlineLevel="0" collapsed="false">
      <c r="A4213" s="6" t="n">
        <v>43030.596724537</v>
      </c>
      <c r="B4213" s="7" t="str">
        <f aca="false">HYPERLINK("https://twitter.com/Ramyavaran","@Ramyavaran")</f>
        <v>@Ramyavaran</v>
      </c>
      <c r="C4213" s="8" t="s">
        <v>10145</v>
      </c>
      <c r="D4213" s="8" t="s">
        <v>8538</v>
      </c>
      <c r="E4213" s="9" t="str">
        <f aca="false">HYPERLINK("https://twitter.com/Ramyavaran/status/922210777024446464","922210777024446464")</f>
        <v>922210777024446464</v>
      </c>
      <c r="F4213" s="10" t="s">
        <v>51</v>
      </c>
      <c r="G4213" s="10" t="n">
        <v>284</v>
      </c>
      <c r="H4213" s="10" t="n">
        <v>357</v>
      </c>
      <c r="I4213" s="10" t="n">
        <v>1015</v>
      </c>
      <c r="J4213" s="10" t="n">
        <v>0</v>
      </c>
      <c r="K4213" s="10" t="s">
        <v>20</v>
      </c>
      <c r="L4213" s="11" t="n">
        <v>40290.2335532407</v>
      </c>
      <c r="M4213" s="12"/>
      <c r="N4213" s="12"/>
      <c r="O4213" s="9" t="str">
        <f aca="false">HYPERLINK("https://pbs.twimg.com/profile_images/535209561561788417/ZXT2E7FD_normal.jpeg","View")</f>
        <v>View</v>
      </c>
      <c r="P4213" s="10"/>
    </row>
    <row r="4214" customFormat="false" ht="15.75" hidden="false" customHeight="false" outlineLevel="0" collapsed="false">
      <c r="A4214" s="6" t="n">
        <v>43030.5967824074</v>
      </c>
      <c r="B4214" s="7" t="str">
        <f aca="false">HYPERLINK("https://twitter.com/krunox123","@krunox123")</f>
        <v>@krunox123</v>
      </c>
      <c r="C4214" s="8" t="s">
        <v>1049</v>
      </c>
      <c r="D4214" s="8" t="s">
        <v>10146</v>
      </c>
      <c r="E4214" s="9" t="str">
        <f aca="false">HYPERLINK("https://twitter.com/krunox123/status/922210798478520321","922210798478520321")</f>
        <v>922210798478520321</v>
      </c>
      <c r="F4214" s="10" t="s">
        <v>60</v>
      </c>
      <c r="G4214" s="10" t="n">
        <v>10225</v>
      </c>
      <c r="H4214" s="10" t="n">
        <v>2</v>
      </c>
      <c r="I4214" s="10" t="n">
        <v>0</v>
      </c>
      <c r="J4214" s="10" t="n">
        <v>0</v>
      </c>
      <c r="K4214" s="10" t="s">
        <v>20</v>
      </c>
      <c r="L4214" s="11" t="n">
        <v>40938.2278935185</v>
      </c>
      <c r="M4214" s="12" t="s">
        <v>1051</v>
      </c>
      <c r="N4214" s="12" t="s">
        <v>1052</v>
      </c>
      <c r="O4214" s="9" t="str">
        <f aca="false">HYPERLINK("https://pbs.twimg.com/profile_images/824952382618349568/2SFIkM2x_normal.jpg","View")</f>
        <v>View</v>
      </c>
      <c r="P4214" s="10"/>
    </row>
    <row r="4215" customFormat="false" ht="15.75" hidden="false" customHeight="false" outlineLevel="0" collapsed="false">
      <c r="A4215" s="6" t="n">
        <v>43030.5970601852</v>
      </c>
      <c r="B4215" s="7" t="str">
        <f aca="false">HYPERLINK("https://twitter.com/Anil_Aarush","@Anil_Aarush")</f>
        <v>@Anil_Aarush</v>
      </c>
      <c r="C4215" s="8" t="s">
        <v>10147</v>
      </c>
      <c r="D4215" s="8" t="s">
        <v>8538</v>
      </c>
      <c r="E4215" s="9" t="str">
        <f aca="false">HYPERLINK("https://twitter.com/Anil_Aarush/status/922210899162787841","922210899162787841")</f>
        <v>922210899162787841</v>
      </c>
      <c r="F4215" s="10" t="s">
        <v>98</v>
      </c>
      <c r="G4215" s="10" t="n">
        <v>6312</v>
      </c>
      <c r="H4215" s="10" t="n">
        <v>291</v>
      </c>
      <c r="I4215" s="10" t="n">
        <v>1015</v>
      </c>
      <c r="J4215" s="10" t="n">
        <v>0</v>
      </c>
      <c r="K4215" s="10" t="s">
        <v>20</v>
      </c>
      <c r="L4215" s="11" t="n">
        <v>40082.6882523148</v>
      </c>
      <c r="M4215" s="12" t="s">
        <v>357</v>
      </c>
      <c r="N4215" s="12" t="s">
        <v>10148</v>
      </c>
      <c r="O4215" s="9" t="str">
        <f aca="false">HYPERLINK("https://pbs.twimg.com/profile_images/908848928640004097/YKi60xod_normal.jpg","View")</f>
        <v>View</v>
      </c>
      <c r="P4215" s="10"/>
    </row>
    <row r="4216" customFormat="false" ht="15.75" hidden="false" customHeight="false" outlineLevel="0" collapsed="false">
      <c r="A4216" s="6" t="n">
        <v>43030.5971875</v>
      </c>
      <c r="B4216" s="7" t="str">
        <f aca="false">HYPERLINK("https://twitter.com/GlobalNational","@GlobalNational")</f>
        <v>@GlobalNational</v>
      </c>
      <c r="C4216" s="8" t="s">
        <v>10149</v>
      </c>
      <c r="D4216" s="8" t="s">
        <v>10150</v>
      </c>
      <c r="E4216" s="9" t="str">
        <f aca="false">HYPERLINK("https://twitter.com/GlobalNational/status/922210945597878272","922210945597878272")</f>
        <v>922210945597878272</v>
      </c>
      <c r="F4216" s="10" t="s">
        <v>268</v>
      </c>
      <c r="G4216" s="10" t="n">
        <v>151307</v>
      </c>
      <c r="H4216" s="10" t="n">
        <v>472</v>
      </c>
      <c r="I4216" s="10" t="n">
        <v>1</v>
      </c>
      <c r="J4216" s="10" t="n">
        <v>1</v>
      </c>
      <c r="K4216" s="10" t="s">
        <v>20</v>
      </c>
      <c r="L4216" s="11" t="n">
        <v>39779.4220486111</v>
      </c>
      <c r="M4216" s="12" t="s">
        <v>10151</v>
      </c>
      <c r="N4216" s="12" t="s">
        <v>10152</v>
      </c>
      <c r="O4216" s="9" t="str">
        <f aca="false">HYPERLINK("https://pbs.twimg.com/profile_images/378800000469913105/a33975ef68b3b20423736733b0ea1dbe_normal.jpeg","View")</f>
        <v>View</v>
      </c>
      <c r="P4216" s="10"/>
    </row>
    <row r="4217" customFormat="false" ht="15.75" hidden="false" customHeight="false" outlineLevel="0" collapsed="false">
      <c r="A4217" s="6" t="n">
        <v>43030.5977430556</v>
      </c>
      <c r="B4217" s="7" t="str">
        <f aca="false">HYPERLINK("https://twitter.com/listelian","@listelian")</f>
        <v>@listelian</v>
      </c>
      <c r="C4217" s="8" t="s">
        <v>10153</v>
      </c>
      <c r="D4217" s="8" t="s">
        <v>9670</v>
      </c>
      <c r="E4217" s="9" t="str">
        <f aca="false">HYPERLINK("https://twitter.com/listelian/status/922211143405334529","922211143405334529")</f>
        <v>922211143405334529</v>
      </c>
      <c r="F4217" s="10" t="s">
        <v>10154</v>
      </c>
      <c r="G4217" s="10" t="n">
        <v>236</v>
      </c>
      <c r="H4217" s="10" t="n">
        <v>236</v>
      </c>
      <c r="I4217" s="10" t="n">
        <v>11</v>
      </c>
      <c r="J4217" s="10" t="n">
        <v>0</v>
      </c>
      <c r="K4217" s="10" t="s">
        <v>20</v>
      </c>
      <c r="L4217" s="11" t="n">
        <v>39163.4290740741</v>
      </c>
      <c r="M4217" s="12" t="s">
        <v>1350</v>
      </c>
      <c r="N4217" s="12" t="s">
        <v>10155</v>
      </c>
      <c r="O4217" s="9" t="str">
        <f aca="false">HYPERLINK("https://pbs.twimg.com/profile_images/724025042418294785/a2DtfSWs_normal.jpg","View")</f>
        <v>View</v>
      </c>
      <c r="P4217" s="10"/>
    </row>
    <row r="4218" customFormat="false" ht="15.75" hidden="false" customHeight="false" outlineLevel="0" collapsed="false">
      <c r="A4218" s="6" t="n">
        <v>43030.5978240741</v>
      </c>
      <c r="B4218" s="7" t="str">
        <f aca="false">HYPERLINK("https://twitter.com/OkkuYuka","@OkkuYuka")</f>
        <v>@OkkuYuka</v>
      </c>
      <c r="C4218" s="8" t="s">
        <v>10156</v>
      </c>
      <c r="D4218" s="8" t="s">
        <v>10127</v>
      </c>
      <c r="E4218" s="9" t="str">
        <f aca="false">HYPERLINK("https://twitter.com/OkkuYuka/status/922211173726130177","922211173726130177")</f>
        <v>922211173726130177</v>
      </c>
      <c r="F4218" s="10" t="s">
        <v>51</v>
      </c>
      <c r="G4218" s="10" t="n">
        <v>94</v>
      </c>
      <c r="H4218" s="10" t="n">
        <v>891</v>
      </c>
      <c r="I4218" s="10" t="n">
        <v>8</v>
      </c>
      <c r="J4218" s="10" t="n">
        <v>0</v>
      </c>
      <c r="K4218" s="10" t="s">
        <v>20</v>
      </c>
      <c r="L4218" s="11" t="n">
        <v>41295.256099537</v>
      </c>
      <c r="M4218" s="12"/>
      <c r="N4218" s="12"/>
      <c r="O4218" s="9" t="str">
        <f aca="false">HYPERLINK("https://pbs.twimg.com/profile_images/812456633116884992/eLEFwdne_normal.jpg","View")</f>
        <v>View</v>
      </c>
      <c r="P4218" s="10"/>
    </row>
    <row r="4219" customFormat="false" ht="15.75" hidden="false" customHeight="false" outlineLevel="0" collapsed="false">
      <c r="A4219" s="6" t="n">
        <v>43030.5980208333</v>
      </c>
      <c r="B4219" s="7" t="str">
        <f aca="false">HYPERLINK("https://twitter.com/generalnews_UK","@generalnews_UK")</f>
        <v>@generalnews_UK</v>
      </c>
      <c r="C4219" s="8" t="s">
        <v>10157</v>
      </c>
      <c r="D4219" s="8" t="s">
        <v>10158</v>
      </c>
      <c r="E4219" s="9" t="str">
        <f aca="false">HYPERLINK("https://twitter.com/generalnews_UK/status/922211245146693632","922211245146693632")</f>
        <v>922211245146693632</v>
      </c>
      <c r="F4219" s="10" t="s">
        <v>3042</v>
      </c>
      <c r="G4219" s="10" t="n">
        <v>1150</v>
      </c>
      <c r="H4219" s="10" t="n">
        <v>989</v>
      </c>
      <c r="I4219" s="10" t="n">
        <v>0</v>
      </c>
      <c r="J4219" s="10" t="n">
        <v>0</v>
      </c>
      <c r="K4219" s="10" t="s">
        <v>20</v>
      </c>
      <c r="L4219" s="11" t="n">
        <v>41690.518912037</v>
      </c>
      <c r="M4219" s="12"/>
      <c r="N4219" s="12" t="s">
        <v>10159</v>
      </c>
      <c r="O4219" s="9" t="str">
        <f aca="false">HYPERLINK("https://pbs.twimg.com/profile_images/436598363765878784/AC7SLRk__normal.png","View")</f>
        <v>View</v>
      </c>
      <c r="P4219" s="10"/>
    </row>
    <row r="4220" customFormat="false" ht="15.75" hidden="false" customHeight="false" outlineLevel="0" collapsed="false">
      <c r="A4220" s="6" t="n">
        <v>43030.5982986111</v>
      </c>
      <c r="B4220" s="7" t="str">
        <f aca="false">HYPERLINK("https://twitter.com/eha_news","@eha_news")</f>
        <v>@eha_news</v>
      </c>
      <c r="C4220" s="8" t="s">
        <v>10160</v>
      </c>
      <c r="D4220" s="8" t="s">
        <v>10161</v>
      </c>
      <c r="E4220" s="9" t="str">
        <f aca="false">HYPERLINK("https://twitter.com/eha_news/status/922211346820812802","922211346820812802")</f>
        <v>922211346820812802</v>
      </c>
      <c r="F4220" s="10" t="s">
        <v>51</v>
      </c>
      <c r="G4220" s="10" t="n">
        <v>5047</v>
      </c>
      <c r="H4220" s="10" t="n">
        <v>2</v>
      </c>
      <c r="I4220" s="10" t="n">
        <v>3</v>
      </c>
      <c r="J4220" s="10" t="n">
        <v>2</v>
      </c>
      <c r="K4220" s="10" t="s">
        <v>20</v>
      </c>
      <c r="L4220" s="11" t="n">
        <v>42703.3860416667</v>
      </c>
      <c r="M4220" s="12" t="s">
        <v>8102</v>
      </c>
      <c r="N4220" s="12" t="s">
        <v>10162</v>
      </c>
      <c r="O4220" s="9" t="str">
        <f aca="false">HYPERLINK("https://pbs.twimg.com/profile_images/870752129186758656/wCyXVa6h_normal.jpg","View")</f>
        <v>View</v>
      </c>
      <c r="P4220" s="10"/>
    </row>
    <row r="4221" customFormat="false" ht="15.75" hidden="false" customHeight="false" outlineLevel="0" collapsed="false">
      <c r="A4221" s="6" t="n">
        <v>43030.5991666667</v>
      </c>
      <c r="B4221" s="7" t="str">
        <f aca="false">HYPERLINK("https://twitter.com/NamasteToIndia","@NamasteToIndia")</f>
        <v>@NamasteToIndia</v>
      </c>
      <c r="C4221" s="8" t="s">
        <v>10163</v>
      </c>
      <c r="D4221" s="8" t="s">
        <v>10164</v>
      </c>
      <c r="E4221" s="9" t="str">
        <f aca="false">HYPERLINK("https://twitter.com/NamasteToIndia/status/922211659606659072","922211659606659072")</f>
        <v>922211659606659072</v>
      </c>
      <c r="F4221" s="10" t="s">
        <v>51</v>
      </c>
      <c r="G4221" s="10" t="n">
        <v>7719</v>
      </c>
      <c r="H4221" s="10" t="n">
        <v>8471</v>
      </c>
      <c r="I4221" s="10" t="n">
        <v>25</v>
      </c>
      <c r="J4221" s="10" t="n">
        <v>32</v>
      </c>
      <c r="K4221" s="10" t="s">
        <v>20</v>
      </c>
      <c r="L4221" s="11" t="n">
        <v>42887.4914583333</v>
      </c>
      <c r="M4221" s="12" t="s">
        <v>10165</v>
      </c>
      <c r="N4221" s="12" t="s">
        <v>10166</v>
      </c>
      <c r="O4221" s="9" t="str">
        <f aca="false">HYPERLINK("https://pbs.twimg.com/profile_images/899616610234662912/-_Bcndzn_normal.jpg","View")</f>
        <v>View</v>
      </c>
      <c r="P4221" s="10"/>
    </row>
    <row r="4222" customFormat="false" ht="15.75" hidden="false" customHeight="false" outlineLevel="0" collapsed="false">
      <c r="A4222" s="6" t="n">
        <v>43030.5993055556</v>
      </c>
      <c r="B4222" s="7" t="str">
        <f aca="false">HYPERLINK("https://twitter.com/GauravP02327314","@GauravP02327314")</f>
        <v>@GauravP02327314</v>
      </c>
      <c r="C4222" s="8" t="s">
        <v>10167</v>
      </c>
      <c r="D4222" s="8" t="s">
        <v>10168</v>
      </c>
      <c r="E4222" s="9" t="str">
        <f aca="false">HYPERLINK("https://twitter.com/GauravP02327314/status/922211711645507584","922211711645507584")</f>
        <v>922211711645507584</v>
      </c>
      <c r="F4222" s="10" t="s">
        <v>51</v>
      </c>
      <c r="G4222" s="10" t="n">
        <v>7</v>
      </c>
      <c r="H4222" s="10" t="n">
        <v>9</v>
      </c>
      <c r="I4222" s="10" t="n">
        <v>25</v>
      </c>
      <c r="J4222" s="10" t="n">
        <v>0</v>
      </c>
      <c r="K4222" s="10" t="s">
        <v>20</v>
      </c>
      <c r="L4222" s="11" t="n">
        <v>42984.5536111111</v>
      </c>
      <c r="M4222" s="12"/>
      <c r="N4222" s="12"/>
      <c r="O4222" s="9" t="str">
        <f aca="false">HYPERLINK("https://abs.twimg.com/sticky/default_profile_images/default_profile_normal.png","View")</f>
        <v>View</v>
      </c>
      <c r="P4222" s="10"/>
    </row>
    <row r="4223" customFormat="false" ht="15.75" hidden="false" customHeight="false" outlineLevel="0" collapsed="false">
      <c r="A4223" s="6" t="n">
        <v>43030.5994675926</v>
      </c>
      <c r="B4223" s="7" t="str">
        <f aca="false">HYPERLINK("https://twitter.com/takeshi1a","@takeshi1a")</f>
        <v>@takeshi1a</v>
      </c>
      <c r="C4223" s="8" t="s">
        <v>10169</v>
      </c>
      <c r="D4223" s="8" t="s">
        <v>7262</v>
      </c>
      <c r="E4223" s="9" t="str">
        <f aca="false">HYPERLINK("https://twitter.com/takeshi1a/status/922211771749867520","922211771749867520")</f>
        <v>922211771749867520</v>
      </c>
      <c r="F4223" s="10" t="s">
        <v>51</v>
      </c>
      <c r="G4223" s="10" t="n">
        <v>1007</v>
      </c>
      <c r="H4223" s="10" t="n">
        <v>832</v>
      </c>
      <c r="I4223" s="10" t="n">
        <v>7</v>
      </c>
      <c r="J4223" s="10" t="n">
        <v>0</v>
      </c>
      <c r="K4223" s="10" t="s">
        <v>20</v>
      </c>
      <c r="L4223" s="11" t="n">
        <v>40837.050787037</v>
      </c>
      <c r="M4223" s="12"/>
      <c r="N4223" s="13" t="s">
        <v>10170</v>
      </c>
      <c r="O4223" s="9" t="str">
        <f aca="false">HYPERLINK("https://pbs.twimg.com/profile_images/548608058595622912/ZhzN40Iv_normal.jpeg","View")</f>
        <v>View</v>
      </c>
      <c r="P4223" s="10"/>
    </row>
    <row r="4224" customFormat="false" ht="15.75" hidden="false" customHeight="false" outlineLevel="0" collapsed="false">
      <c r="A4224" s="6" t="n">
        <v>43030.5996643519</v>
      </c>
      <c r="B4224" s="7" t="str">
        <f aca="false">HYPERLINK("https://twitter.com/AdamSmi03067091","@AdamSmi03067091")</f>
        <v>@AdamSmi03067091</v>
      </c>
      <c r="C4224" s="8" t="s">
        <v>10171</v>
      </c>
      <c r="D4224" s="8" t="s">
        <v>10168</v>
      </c>
      <c r="E4224" s="9" t="str">
        <f aca="false">HYPERLINK("https://twitter.com/AdamSmi03067091/status/922211839898927105","922211839898927105")</f>
        <v>922211839898927105</v>
      </c>
      <c r="F4224" s="10" t="s">
        <v>51</v>
      </c>
      <c r="G4224" s="10" t="n">
        <v>6</v>
      </c>
      <c r="H4224" s="10" t="n">
        <v>3</v>
      </c>
      <c r="I4224" s="10" t="n">
        <v>25</v>
      </c>
      <c r="J4224" s="10" t="n">
        <v>0</v>
      </c>
      <c r="K4224" s="10" t="s">
        <v>20</v>
      </c>
      <c r="L4224" s="11" t="n">
        <v>42987.5190162037</v>
      </c>
      <c r="M4224" s="12"/>
      <c r="N4224" s="12"/>
      <c r="O4224" s="9" t="str">
        <f aca="false">HYPERLINK("https://abs.twimg.com/sticky/default_profile_images/default_profile_normal.png","View")</f>
        <v>View</v>
      </c>
      <c r="P4224" s="10"/>
    </row>
    <row r="4225" customFormat="false" ht="15.75" hidden="false" customHeight="false" outlineLevel="0" collapsed="false">
      <c r="A4225" s="6" t="n">
        <v>43030.5996643519</v>
      </c>
      <c r="B4225" s="7" t="str">
        <f aca="false">HYPERLINK("https://twitter.com/imdharmic","@imdharmic")</f>
        <v>@imdharmic</v>
      </c>
      <c r="C4225" s="8" t="s">
        <v>10172</v>
      </c>
      <c r="D4225" s="8" t="s">
        <v>8538</v>
      </c>
      <c r="E4225" s="9" t="str">
        <f aca="false">HYPERLINK("https://twitter.com/imdharmic/status/922211843426283520","922211843426283520")</f>
        <v>922211843426283520</v>
      </c>
      <c r="F4225" s="10" t="s">
        <v>39</v>
      </c>
      <c r="G4225" s="10" t="n">
        <v>1096</v>
      </c>
      <c r="H4225" s="10" t="n">
        <v>1390</v>
      </c>
      <c r="I4225" s="10" t="n">
        <v>1015</v>
      </c>
      <c r="J4225" s="10" t="n">
        <v>0</v>
      </c>
      <c r="K4225" s="10" t="s">
        <v>20</v>
      </c>
      <c r="L4225" s="11" t="n">
        <v>40888.9997916667</v>
      </c>
      <c r="M4225" s="12"/>
      <c r="N4225" s="12" t="s">
        <v>10173</v>
      </c>
      <c r="O4225" s="9" t="str">
        <f aca="false">HYPERLINK("https://pbs.twimg.com/profile_images/875257135847809025/az2Zl79R_normal.jpg","View")</f>
        <v>View</v>
      </c>
      <c r="P4225" s="10"/>
    </row>
    <row r="4226" customFormat="false" ht="15.75" hidden="false" customHeight="false" outlineLevel="0" collapsed="false">
      <c r="A4226" s="6" t="n">
        <v>43030.5996759259</v>
      </c>
      <c r="B4226" s="7" t="str">
        <f aca="false">HYPERLINK("https://twitter.com/foysol000","@foysol000")</f>
        <v>@foysol000</v>
      </c>
      <c r="C4226" s="8" t="s">
        <v>10174</v>
      </c>
      <c r="D4226" s="8" t="s">
        <v>10175</v>
      </c>
      <c r="E4226" s="9" t="str">
        <f aca="false">HYPERLINK("https://twitter.com/foysol000/status/922211844407820288","922211844407820288")</f>
        <v>922211844407820288</v>
      </c>
      <c r="F4226" s="10" t="s">
        <v>39</v>
      </c>
      <c r="G4226" s="10" t="n">
        <v>294</v>
      </c>
      <c r="H4226" s="10" t="n">
        <v>119</v>
      </c>
      <c r="I4226" s="10" t="n">
        <v>0</v>
      </c>
      <c r="J4226" s="10" t="n">
        <v>0</v>
      </c>
      <c r="K4226" s="10" t="s">
        <v>20</v>
      </c>
      <c r="L4226" s="11" t="n">
        <v>40933.3794328704</v>
      </c>
      <c r="M4226" s="12" t="s">
        <v>893</v>
      </c>
      <c r="N4226" s="12" t="s">
        <v>10176</v>
      </c>
      <c r="O4226" s="9" t="str">
        <f aca="false">HYPERLINK("https://pbs.twimg.com/profile_images/598493695651008512/uMeFe4kr_normal.jpg","View")</f>
        <v>View</v>
      </c>
      <c r="P4226" s="10"/>
    </row>
    <row r="4227" customFormat="false" ht="15.75" hidden="false" customHeight="false" outlineLevel="0" collapsed="false">
      <c r="A4227" s="6" t="n">
        <v>43030.5998032407</v>
      </c>
      <c r="B4227" s="7" t="str">
        <f aca="false">HYPERLINK("https://twitter.com/beingnetnobody","@beingnetnobody")</f>
        <v>@beingnetnobody</v>
      </c>
      <c r="C4227" s="8" t="s">
        <v>10177</v>
      </c>
      <c r="D4227" s="8" t="s">
        <v>10168</v>
      </c>
      <c r="E4227" s="9" t="str">
        <f aca="false">HYPERLINK("https://twitter.com/beingnetnobody/status/922211891958595584","922211891958595584")</f>
        <v>922211891958595584</v>
      </c>
      <c r="F4227" s="10" t="s">
        <v>51</v>
      </c>
      <c r="G4227" s="10" t="n">
        <v>6</v>
      </c>
      <c r="H4227" s="10" t="n">
        <v>51</v>
      </c>
      <c r="I4227" s="10" t="n">
        <v>25</v>
      </c>
      <c r="J4227" s="10" t="n">
        <v>0</v>
      </c>
      <c r="K4227" s="10" t="s">
        <v>20</v>
      </c>
      <c r="L4227" s="11" t="n">
        <v>42985.9509375</v>
      </c>
      <c r="M4227" s="12"/>
      <c r="N4227" s="12"/>
      <c r="O4227" s="9" t="str">
        <f aca="false">HYPERLINK("https://abs.twimg.com/sticky/default_profile_images/default_profile_normal.png","View")</f>
        <v>View</v>
      </c>
      <c r="P4227" s="10"/>
    </row>
    <row r="4228" customFormat="false" ht="15.75" hidden="false" customHeight="false" outlineLevel="0" collapsed="false">
      <c r="A4228" s="6" t="n">
        <v>43030.5999074074</v>
      </c>
      <c r="B4228" s="7" t="str">
        <f aca="false">HYPERLINK("https://twitter.com/newslivenetwork","@newslivenetwork")</f>
        <v>@newslivenetwork</v>
      </c>
      <c r="C4228" s="8" t="s">
        <v>1668</v>
      </c>
      <c r="D4228" s="8" t="s">
        <v>10178</v>
      </c>
      <c r="E4228" s="9" t="str">
        <f aca="false">HYPERLINK("https://twitter.com/newslivenetwork/status/922211927593488384","922211927593488384")</f>
        <v>922211927593488384</v>
      </c>
      <c r="F4228" s="10" t="s">
        <v>55</v>
      </c>
      <c r="G4228" s="10" t="n">
        <v>272</v>
      </c>
      <c r="H4228" s="10" t="n">
        <v>87</v>
      </c>
      <c r="I4228" s="10" t="n">
        <v>0</v>
      </c>
      <c r="J4228" s="10" t="n">
        <v>0</v>
      </c>
      <c r="K4228" s="10" t="s">
        <v>20</v>
      </c>
      <c r="L4228" s="11" t="n">
        <v>42741.4719675926</v>
      </c>
      <c r="M4228" s="12" t="s">
        <v>1670</v>
      </c>
      <c r="N4228" s="12" t="s">
        <v>1671</v>
      </c>
      <c r="O4228" s="9" t="str">
        <f aca="false">HYPERLINK("https://pbs.twimg.com/profile_images/877414144424660992/scfhocj3_normal.jpg","View")</f>
        <v>View</v>
      </c>
      <c r="P4228" s="10"/>
    </row>
    <row r="4229" customFormat="false" ht="15.75" hidden="false" customHeight="false" outlineLevel="0" collapsed="false">
      <c r="A4229" s="6" t="n">
        <v>43030.6000810185</v>
      </c>
      <c r="B4229" s="7" t="str">
        <f aca="false">HYPERLINK("https://twitter.com/publlcpbear","@publlcpbear")</f>
        <v>@publlcpbear</v>
      </c>
      <c r="C4229" s="8" t="s">
        <v>10179</v>
      </c>
      <c r="D4229" s="8" t="s">
        <v>10140</v>
      </c>
      <c r="E4229" s="9" t="str">
        <f aca="false">HYPERLINK("https://twitter.com/publlcpbear/status/922211992508751872","922211992508751872")</f>
        <v>922211992508751872</v>
      </c>
      <c r="F4229" s="10" t="s">
        <v>25</v>
      </c>
      <c r="G4229" s="10" t="n">
        <v>53</v>
      </c>
      <c r="H4229" s="10" t="n">
        <v>1750</v>
      </c>
      <c r="I4229" s="10" t="n">
        <v>3</v>
      </c>
      <c r="J4229" s="10" t="n">
        <v>0</v>
      </c>
      <c r="K4229" s="10" t="s">
        <v>20</v>
      </c>
      <c r="L4229" s="11" t="n">
        <v>41742.5400462963</v>
      </c>
      <c r="M4229" s="12" t="s">
        <v>7121</v>
      </c>
      <c r="N4229" s="12" t="s">
        <v>10180</v>
      </c>
      <c r="O4229" s="9" t="str">
        <f aca="false">HYPERLINK("https://pbs.twimg.com/profile_images/749735788334559232/pyCGTaTp_normal.jpg","View")</f>
        <v>View</v>
      </c>
      <c r="P4229" s="10"/>
    </row>
    <row r="4230" customFormat="false" ht="15.75" hidden="false" customHeight="false" outlineLevel="0" collapsed="false">
      <c r="A4230" s="6" t="n">
        <v>43030.6000925926</v>
      </c>
      <c r="B4230" s="7" t="str">
        <f aca="false">HYPERLINK("https://twitter.com/yodaka00594030","@yodaka00594030")</f>
        <v>@yodaka00594030</v>
      </c>
      <c r="C4230" s="8" t="s">
        <v>10181</v>
      </c>
      <c r="D4230" s="8" t="s">
        <v>10168</v>
      </c>
      <c r="E4230" s="9" t="str">
        <f aca="false">HYPERLINK("https://twitter.com/yodaka00594030/status/922211997256531968","922211997256531968")</f>
        <v>922211997256531968</v>
      </c>
      <c r="F4230" s="10" t="s">
        <v>51</v>
      </c>
      <c r="G4230" s="10" t="n">
        <v>107</v>
      </c>
      <c r="H4230" s="10" t="n">
        <v>264</v>
      </c>
      <c r="I4230" s="10" t="n">
        <v>25</v>
      </c>
      <c r="J4230" s="10" t="n">
        <v>0</v>
      </c>
      <c r="K4230" s="10" t="s">
        <v>20</v>
      </c>
      <c r="L4230" s="11" t="n">
        <v>42899.2165509259</v>
      </c>
      <c r="M4230" s="13" t="s">
        <v>152</v>
      </c>
      <c r="N4230" s="13" t="s">
        <v>10182</v>
      </c>
      <c r="O4230" s="9" t="str">
        <f aca="false">HYPERLINK("https://pbs.twimg.com/profile_images/875834421668003840/tK0VMNCC_normal.jpg","View")</f>
        <v>View</v>
      </c>
      <c r="P4230" s="10"/>
    </row>
    <row r="4231" customFormat="false" ht="15.75" hidden="false" customHeight="false" outlineLevel="0" collapsed="false">
      <c r="A4231" s="6" t="n">
        <v>43030.6001157407</v>
      </c>
      <c r="B4231" s="7" t="str">
        <f aca="false">HYPERLINK("https://twitter.com/jkush090","@jkush090")</f>
        <v>@jkush090</v>
      </c>
      <c r="C4231" s="8" t="s">
        <v>10183</v>
      </c>
      <c r="D4231" s="8" t="s">
        <v>10168</v>
      </c>
      <c r="E4231" s="9" t="str">
        <f aca="false">HYPERLINK("https://twitter.com/jkush090/status/922212004063875073","922212004063875073")</f>
        <v>922212004063875073</v>
      </c>
      <c r="F4231" s="10" t="s">
        <v>51</v>
      </c>
      <c r="G4231" s="10" t="n">
        <v>6</v>
      </c>
      <c r="H4231" s="10" t="n">
        <v>8</v>
      </c>
      <c r="I4231" s="10" t="n">
        <v>25</v>
      </c>
      <c r="J4231" s="10" t="n">
        <v>0</v>
      </c>
      <c r="K4231" s="10" t="s">
        <v>20</v>
      </c>
      <c r="L4231" s="11" t="n">
        <v>42981.2552777778</v>
      </c>
      <c r="M4231" s="12" t="s">
        <v>64</v>
      </c>
      <c r="N4231" s="12"/>
      <c r="O4231" s="9" t="str">
        <f aca="false">HYPERLINK("https://abs.twimg.com/sticky/default_profile_images/default_profile_normal.png","View")</f>
        <v>View</v>
      </c>
      <c r="P4231" s="10"/>
    </row>
    <row r="4232" customFormat="false" ht="15.75" hidden="false" customHeight="false" outlineLevel="0" collapsed="false">
      <c r="A4232" s="6" t="n">
        <v>43030.6004282407</v>
      </c>
      <c r="B4232" s="7" t="str">
        <f aca="false">HYPERLINK("https://twitter.com/happycrj","@happycrj")</f>
        <v>@happycrj</v>
      </c>
      <c r="C4232" s="8" t="s">
        <v>10184</v>
      </c>
      <c r="D4232" s="8" t="s">
        <v>10168</v>
      </c>
      <c r="E4232" s="9" t="str">
        <f aca="false">HYPERLINK("https://twitter.com/happycrj/status/922212117591101440","922212117591101440")</f>
        <v>922212117591101440</v>
      </c>
      <c r="F4232" s="10" t="s">
        <v>51</v>
      </c>
      <c r="G4232" s="10" t="n">
        <v>88</v>
      </c>
      <c r="H4232" s="10" t="n">
        <v>146</v>
      </c>
      <c r="I4232" s="10" t="n">
        <v>25</v>
      </c>
      <c r="J4232" s="10" t="n">
        <v>0</v>
      </c>
      <c r="K4232" s="10" t="s">
        <v>20</v>
      </c>
      <c r="L4232" s="11" t="n">
        <v>42974.968900463</v>
      </c>
      <c r="M4232" s="12" t="s">
        <v>64</v>
      </c>
      <c r="N4232" s="12"/>
      <c r="O4232" s="9" t="str">
        <f aca="false">HYPERLINK("https://pbs.twimg.com/profile_images/902189067206402049/dkP5Dhsi_normal.jpg","View")</f>
        <v>View</v>
      </c>
      <c r="P4232" s="10"/>
    </row>
    <row r="4233" customFormat="false" ht="15.75" hidden="false" customHeight="false" outlineLevel="0" collapsed="false">
      <c r="A4233" s="6" t="n">
        <v>43030.6005787037</v>
      </c>
      <c r="B4233" s="7" t="str">
        <f aca="false">HYPERLINK("https://twitter.com/beingthetanmay","@beingthetanmay")</f>
        <v>@beingthetanmay</v>
      </c>
      <c r="C4233" s="8" t="s">
        <v>10185</v>
      </c>
      <c r="D4233" s="8" t="s">
        <v>10168</v>
      </c>
      <c r="E4233" s="9" t="str">
        <f aca="false">HYPERLINK("https://twitter.com/beingthetanmay/status/922212171441778688","922212171441778688")</f>
        <v>922212171441778688</v>
      </c>
      <c r="F4233" s="10" t="s">
        <v>51</v>
      </c>
      <c r="G4233" s="10" t="n">
        <v>6</v>
      </c>
      <c r="H4233" s="10" t="n">
        <v>2</v>
      </c>
      <c r="I4233" s="10" t="n">
        <v>25</v>
      </c>
      <c r="J4233" s="10" t="n">
        <v>0</v>
      </c>
      <c r="K4233" s="10" t="s">
        <v>20</v>
      </c>
      <c r="L4233" s="11" t="n">
        <v>42966.1053472222</v>
      </c>
      <c r="M4233" s="12"/>
      <c r="N4233" s="12"/>
      <c r="O4233" s="9" t="str">
        <f aca="false">HYPERLINK("https://abs.twimg.com/sticky/default_profile_images/default_profile_normal.png","View")</f>
        <v>View</v>
      </c>
      <c r="P4233" s="10"/>
    </row>
    <row r="4234" customFormat="false" ht="15.75" hidden="false" customHeight="false" outlineLevel="0" collapsed="false">
      <c r="A4234" s="6" t="n">
        <v>43030.6006134259</v>
      </c>
      <c r="B4234" s="7" t="str">
        <f aca="false">HYPERLINK("https://twitter.com/rajgrad","@rajgrad")</f>
        <v>@rajgrad</v>
      </c>
      <c r="C4234" s="8" t="s">
        <v>10186</v>
      </c>
      <c r="D4234" s="8" t="s">
        <v>8538</v>
      </c>
      <c r="E4234" s="9" t="str">
        <f aca="false">HYPERLINK("https://twitter.com/rajgrad/status/922212186138824704","922212186138824704")</f>
        <v>922212186138824704</v>
      </c>
      <c r="F4234" s="10" t="s">
        <v>25</v>
      </c>
      <c r="G4234" s="10" t="n">
        <v>188</v>
      </c>
      <c r="H4234" s="10" t="n">
        <v>524</v>
      </c>
      <c r="I4234" s="10" t="n">
        <v>1015</v>
      </c>
      <c r="J4234" s="10" t="n">
        <v>0</v>
      </c>
      <c r="K4234" s="10" t="s">
        <v>20</v>
      </c>
      <c r="L4234" s="11" t="n">
        <v>40278.290625</v>
      </c>
      <c r="M4234" s="12" t="s">
        <v>5326</v>
      </c>
      <c r="N4234" s="12" t="s">
        <v>10187</v>
      </c>
      <c r="O4234" s="9" t="str">
        <f aca="false">HYPERLINK("https://pbs.twimg.com/profile_images/899297652264906752/kxd0r_Pw_normal.jpg","View")</f>
        <v>View</v>
      </c>
      <c r="P4234" s="10"/>
    </row>
    <row r="4235" customFormat="false" ht="15.75" hidden="false" customHeight="false" outlineLevel="0" collapsed="false">
      <c r="A4235" s="6" t="n">
        <v>43030.6007407407</v>
      </c>
      <c r="B4235" s="7" t="str">
        <f aca="false">HYPERLINK("https://twitter.com/globalnews","@globalnews")</f>
        <v>@globalnews</v>
      </c>
      <c r="C4235" s="7" t="s">
        <v>10188</v>
      </c>
      <c r="D4235" s="8" t="s">
        <v>10189</v>
      </c>
      <c r="E4235" s="9" t="str">
        <f aca="false">HYPERLINK("https://twitter.com/globalnews/status/922212231273689090","922212231273689090")</f>
        <v>922212231273689090</v>
      </c>
      <c r="F4235" s="10" t="s">
        <v>268</v>
      </c>
      <c r="G4235" s="10" t="n">
        <v>263591</v>
      </c>
      <c r="H4235" s="10" t="n">
        <v>2092</v>
      </c>
      <c r="I4235" s="10" t="n">
        <v>2</v>
      </c>
      <c r="J4235" s="10" t="n">
        <v>1</v>
      </c>
      <c r="K4235" s="10" t="s">
        <v>20</v>
      </c>
      <c r="L4235" s="11" t="n">
        <v>40231.4120949074</v>
      </c>
      <c r="M4235" s="12"/>
      <c r="N4235" s="12" t="s">
        <v>10190</v>
      </c>
      <c r="O4235" s="9" t="str">
        <f aca="false">HYPERLINK("https://pbs.twimg.com/profile_images/722490988120289280/iF92VumO_normal.jpg","View")</f>
        <v>View</v>
      </c>
      <c r="P4235" s="10"/>
    </row>
    <row r="4236" customFormat="false" ht="15.75" hidden="false" customHeight="false" outlineLevel="0" collapsed="false">
      <c r="A4236" s="6" t="n">
        <v>43030.6007407407</v>
      </c>
      <c r="B4236" s="7" t="str">
        <f aca="false">HYPERLINK("https://twitter.com/GlobalBC","@GlobalBC")</f>
        <v>@GlobalBC</v>
      </c>
      <c r="C4236" s="8" t="s">
        <v>10191</v>
      </c>
      <c r="D4236" s="8" t="s">
        <v>10192</v>
      </c>
      <c r="E4236" s="9" t="str">
        <f aca="false">HYPERLINK("https://twitter.com/GlobalBC/status/922212231948926977","922212231948926977")</f>
        <v>922212231948926977</v>
      </c>
      <c r="F4236" s="10" t="s">
        <v>268</v>
      </c>
      <c r="G4236" s="10" t="n">
        <v>301672</v>
      </c>
      <c r="H4236" s="10" t="n">
        <v>734</v>
      </c>
      <c r="I4236" s="10" t="n">
        <v>1</v>
      </c>
      <c r="J4236" s="10" t="n">
        <v>1</v>
      </c>
      <c r="K4236" s="10" t="s">
        <v>20</v>
      </c>
      <c r="L4236" s="11" t="n">
        <v>39856.501712963</v>
      </c>
      <c r="M4236" s="12" t="s">
        <v>10193</v>
      </c>
      <c r="N4236" s="12" t="s">
        <v>10194</v>
      </c>
      <c r="O4236" s="9" t="str">
        <f aca="false">HYPERLINK("https://pbs.twimg.com/profile_images/722493597698818048/ui1xDkiB_normal.jpg","View")</f>
        <v>View</v>
      </c>
      <c r="P4236" s="10"/>
    </row>
    <row r="4237" customFormat="false" ht="15.75" hidden="false" customHeight="false" outlineLevel="0" collapsed="false">
      <c r="A4237" s="6" t="n">
        <v>43030.6007523148</v>
      </c>
      <c r="B4237" s="7" t="str">
        <f aca="false">HYPERLINK("https://twitter.com/GlobalEdmonton","@GlobalEdmonton")</f>
        <v>@GlobalEdmonton</v>
      </c>
      <c r="C4237" s="8" t="s">
        <v>10195</v>
      </c>
      <c r="D4237" s="8" t="s">
        <v>10196</v>
      </c>
      <c r="E4237" s="9" t="str">
        <f aca="false">HYPERLINK("https://twitter.com/GlobalEdmonton/status/922212234922774528","922212234922774528")</f>
        <v>922212234922774528</v>
      </c>
      <c r="F4237" s="10" t="s">
        <v>268</v>
      </c>
      <c r="G4237" s="10" t="n">
        <v>187953</v>
      </c>
      <c r="H4237" s="10" t="n">
        <v>276</v>
      </c>
      <c r="I4237" s="10" t="n">
        <v>0</v>
      </c>
      <c r="J4237" s="10" t="n">
        <v>0</v>
      </c>
      <c r="K4237" s="10" t="s">
        <v>20</v>
      </c>
      <c r="L4237" s="11" t="n">
        <v>39862.678125</v>
      </c>
      <c r="M4237" s="12" t="s">
        <v>10197</v>
      </c>
      <c r="N4237" s="12" t="s">
        <v>10198</v>
      </c>
      <c r="O4237" s="9" t="str">
        <f aca="false">HYPERLINK("https://pbs.twimg.com/profile_images/722494425142677504/UFIhsyZ4_normal.jpg","View")</f>
        <v>View</v>
      </c>
      <c r="P4237" s="10"/>
    </row>
    <row r="4238" customFormat="false" ht="15.75" hidden="false" customHeight="false" outlineLevel="0" collapsed="false">
      <c r="A4238" s="6" t="n">
        <v>43030.6007523148</v>
      </c>
      <c r="B4238" s="7" t="str">
        <f aca="false">HYPERLINK("https://twitter.com/globalnewsto","@globalnewsto")</f>
        <v>@globalnewsto</v>
      </c>
      <c r="C4238" s="8" t="s">
        <v>10199</v>
      </c>
      <c r="D4238" s="8" t="s">
        <v>10200</v>
      </c>
      <c r="E4238" s="9" t="str">
        <f aca="false">HYPERLINK("https://twitter.com/globalnewsto/status/922212235946151937","922212235946151937")</f>
        <v>922212235946151937</v>
      </c>
      <c r="F4238" s="10" t="s">
        <v>268</v>
      </c>
      <c r="G4238" s="10" t="n">
        <v>141542</v>
      </c>
      <c r="H4238" s="10" t="n">
        <v>1226</v>
      </c>
      <c r="I4238" s="10" t="n">
        <v>0</v>
      </c>
      <c r="J4238" s="10" t="n">
        <v>1</v>
      </c>
      <c r="K4238" s="10" t="s">
        <v>20</v>
      </c>
      <c r="L4238" s="11" t="n">
        <v>39502.0928703704</v>
      </c>
      <c r="M4238" s="12" t="s">
        <v>9682</v>
      </c>
      <c r="N4238" s="12" t="s">
        <v>10201</v>
      </c>
      <c r="O4238" s="9" t="str">
        <f aca="false">HYPERLINK("https://pbs.twimg.com/profile_images/722495756351840256/oDrAgBzX_normal.jpg","View")</f>
        <v>View</v>
      </c>
      <c r="P4238" s="10"/>
    </row>
    <row r="4239" customFormat="false" ht="15.75" hidden="false" customHeight="false" outlineLevel="0" collapsed="false">
      <c r="A4239" s="6" t="n">
        <v>43030.600787037</v>
      </c>
      <c r="B4239" s="7" t="str">
        <f aca="false">HYPERLINK("https://twitter.com/desidelicacies","@desidelicacies")</f>
        <v>@desidelicacies</v>
      </c>
      <c r="C4239" s="8" t="s">
        <v>10202</v>
      </c>
      <c r="D4239" s="8" t="s">
        <v>10168</v>
      </c>
      <c r="E4239" s="9" t="str">
        <f aca="false">HYPERLINK("https://twitter.com/desidelicacies/status/922212250068254720","922212250068254720")</f>
        <v>922212250068254720</v>
      </c>
      <c r="F4239" s="10" t="s">
        <v>51</v>
      </c>
      <c r="G4239" s="10" t="n">
        <v>169</v>
      </c>
      <c r="H4239" s="10" t="n">
        <v>245</v>
      </c>
      <c r="I4239" s="10" t="n">
        <v>25</v>
      </c>
      <c r="J4239" s="10" t="n">
        <v>0</v>
      </c>
      <c r="K4239" s="10" t="s">
        <v>20</v>
      </c>
      <c r="L4239" s="11" t="n">
        <v>42960.1463541667</v>
      </c>
      <c r="M4239" s="12" t="s">
        <v>8728</v>
      </c>
      <c r="N4239" s="12" t="s">
        <v>10203</v>
      </c>
      <c r="O4239" s="9" t="str">
        <f aca="false">HYPERLINK("https://pbs.twimg.com/profile_images/896681999309561856/NgunfDN9_normal.jpg","View")</f>
        <v>View</v>
      </c>
      <c r="P4239" s="10"/>
    </row>
    <row r="4240" customFormat="false" ht="15.75" hidden="false" customHeight="false" outlineLevel="0" collapsed="false">
      <c r="A4240" s="6" t="n">
        <v>43030.6010300926</v>
      </c>
      <c r="B4240" s="7" t="str">
        <f aca="false">HYPERLINK("https://twitter.com/domainer78","@domainer78")</f>
        <v>@domainer78</v>
      </c>
      <c r="C4240" s="8" t="s">
        <v>10204</v>
      </c>
      <c r="D4240" s="8" t="s">
        <v>10205</v>
      </c>
      <c r="E4240" s="9" t="str">
        <f aca="false">HYPERLINK("https://twitter.com/domainer78/status/922212335841882115","922212335841882115")</f>
        <v>922212335841882115</v>
      </c>
      <c r="F4240" s="10" t="s">
        <v>39</v>
      </c>
      <c r="G4240" s="10" t="n">
        <v>1732</v>
      </c>
      <c r="H4240" s="10" t="n">
        <v>1313</v>
      </c>
      <c r="I4240" s="10" t="n">
        <v>0</v>
      </c>
      <c r="J4240" s="10" t="n">
        <v>0</v>
      </c>
      <c r="K4240" s="10" t="s">
        <v>20</v>
      </c>
      <c r="L4240" s="11" t="n">
        <v>39898.9385300926</v>
      </c>
      <c r="M4240" s="12" t="s">
        <v>3932</v>
      </c>
      <c r="N4240" s="12" t="s">
        <v>10206</v>
      </c>
      <c r="O4240" s="9" t="str">
        <f aca="false">HYPERLINK("https://pbs.twimg.com/profile_images/801243556027330560/-pmO-f8E_normal.jpg","View")</f>
        <v>View</v>
      </c>
      <c r="P4240" s="10"/>
    </row>
    <row r="4241" customFormat="false" ht="15.75" hidden="false" customHeight="false" outlineLevel="0" collapsed="false">
      <c r="A4241" s="6" t="n">
        <v>43030.6010416667</v>
      </c>
      <c r="B4241" s="7" t="str">
        <f aca="false">HYPERLINK("https://twitter.com/TeamCrjPlus","@TeamCrjPlus")</f>
        <v>@TeamCrjPlus</v>
      </c>
      <c r="C4241" s="8" t="s">
        <v>10207</v>
      </c>
      <c r="D4241" s="8" t="s">
        <v>10168</v>
      </c>
      <c r="E4241" s="9" t="str">
        <f aca="false">HYPERLINK("https://twitter.com/TeamCrjPlus/status/922212338635235328","922212338635235328")</f>
        <v>922212338635235328</v>
      </c>
      <c r="F4241" s="10" t="s">
        <v>51</v>
      </c>
      <c r="G4241" s="10" t="n">
        <v>1047</v>
      </c>
      <c r="H4241" s="10" t="n">
        <v>2</v>
      </c>
      <c r="I4241" s="10" t="n">
        <v>25</v>
      </c>
      <c r="J4241" s="10" t="n">
        <v>0</v>
      </c>
      <c r="K4241" s="10" t="s">
        <v>20</v>
      </c>
      <c r="L4241" s="11" t="n">
        <v>42874.3049652778</v>
      </c>
      <c r="M4241" s="12"/>
      <c r="N4241" s="12" t="s">
        <v>10184</v>
      </c>
      <c r="O4241" s="9" t="str">
        <f aca="false">HYPERLINK("https://pbs.twimg.com/profile_images/865579740270256128/4V0zqCR1_normal.jpg","View")</f>
        <v>View</v>
      </c>
      <c r="P4241" s="10"/>
    </row>
    <row r="4242" customFormat="false" ht="15.75" hidden="false" customHeight="false" outlineLevel="0" collapsed="false">
      <c r="A4242" s="6" t="n">
        <v>43030.6010648148</v>
      </c>
      <c r="B4242" s="7" t="str">
        <f aca="false">HYPERLINK("https://twitter.com/arifjamallodhi","@arifjamallodhi")</f>
        <v>@arifjamallodhi</v>
      </c>
      <c r="C4242" s="8" t="s">
        <v>3649</v>
      </c>
      <c r="D4242" s="8" t="s">
        <v>10208</v>
      </c>
      <c r="E4242" s="9" t="str">
        <f aca="false">HYPERLINK("https://twitter.com/arifjamallodhi/status/922212349280505858","922212349280505858")</f>
        <v>922212349280505858</v>
      </c>
      <c r="F4242" s="10" t="s">
        <v>39</v>
      </c>
      <c r="G4242" s="10" t="n">
        <v>1117</v>
      </c>
      <c r="H4242" s="10" t="n">
        <v>621</v>
      </c>
      <c r="I4242" s="10" t="n">
        <v>2</v>
      </c>
      <c r="J4242" s="10" t="n">
        <v>0</v>
      </c>
      <c r="K4242" s="10" t="s">
        <v>20</v>
      </c>
      <c r="L4242" s="11" t="n">
        <v>40175.2164236111</v>
      </c>
      <c r="M4242" s="12"/>
      <c r="N4242" s="12" t="s">
        <v>3650</v>
      </c>
      <c r="O4242" s="9" t="str">
        <f aca="false">HYPERLINK("https://pbs.twimg.com/profile_images/639750512967946240/fvAtY6x8_normal.jpg","View")</f>
        <v>View</v>
      </c>
      <c r="P4242" s="10"/>
    </row>
    <row r="4243" customFormat="false" ht="15.75" hidden="false" customHeight="false" outlineLevel="0" collapsed="false">
      <c r="A4243" s="6" t="n">
        <v>43030.601099537</v>
      </c>
      <c r="B4243" s="7" t="str">
        <f aca="false">HYPERLINK("https://twitter.com/ShoriNaveen","@ShoriNaveen")</f>
        <v>@ShoriNaveen</v>
      </c>
      <c r="C4243" s="8" t="s">
        <v>10209</v>
      </c>
      <c r="D4243" s="8" t="s">
        <v>8538</v>
      </c>
      <c r="E4243" s="9" t="str">
        <f aca="false">HYPERLINK("https://twitter.com/ShoriNaveen/status/922212359891927040","922212359891927040")</f>
        <v>922212359891927040</v>
      </c>
      <c r="F4243" s="10" t="s">
        <v>25</v>
      </c>
      <c r="G4243" s="10" t="n">
        <v>196</v>
      </c>
      <c r="H4243" s="10" t="n">
        <v>335</v>
      </c>
      <c r="I4243" s="10" t="n">
        <v>1015</v>
      </c>
      <c r="J4243" s="10" t="n">
        <v>0</v>
      </c>
      <c r="K4243" s="10" t="s">
        <v>20</v>
      </c>
      <c r="L4243" s="11" t="n">
        <v>42052.9451851852</v>
      </c>
      <c r="M4243" s="12" t="s">
        <v>64</v>
      </c>
      <c r="N4243" s="12" t="s">
        <v>10210</v>
      </c>
      <c r="O4243" s="9" t="str">
        <f aca="false">HYPERLINK("https://pbs.twimg.com/profile_images/906735982099161088/-qYtnRS0_normal.jpg","View")</f>
        <v>View</v>
      </c>
      <c r="P4243" s="10"/>
    </row>
    <row r="4244" customFormat="false" ht="15.75" hidden="false" customHeight="false" outlineLevel="0" collapsed="false">
      <c r="A4244" s="6" t="n">
        <v>43030.6012384259</v>
      </c>
      <c r="B4244" s="7" t="str">
        <f aca="false">HYPERLINK("https://twitter.com/mtremblay2010","@mtremblay2010")</f>
        <v>@mtremblay2010</v>
      </c>
      <c r="C4244" s="8" t="s">
        <v>10211</v>
      </c>
      <c r="D4244" s="8" t="s">
        <v>10208</v>
      </c>
      <c r="E4244" s="9" t="str">
        <f aca="false">HYPERLINK("https://twitter.com/mtremblay2010/status/922212410689191938","922212410689191938")</f>
        <v>922212410689191938</v>
      </c>
      <c r="F4244" s="10" t="s">
        <v>51</v>
      </c>
      <c r="G4244" s="10" t="n">
        <v>591</v>
      </c>
      <c r="H4244" s="10" t="n">
        <v>951</v>
      </c>
      <c r="I4244" s="10" t="n">
        <v>2</v>
      </c>
      <c r="J4244" s="10" t="n">
        <v>0</v>
      </c>
      <c r="K4244" s="10" t="s">
        <v>20</v>
      </c>
      <c r="L4244" s="11" t="n">
        <v>40399.5800694444</v>
      </c>
      <c r="M4244" s="12" t="s">
        <v>10212</v>
      </c>
      <c r="N4244" s="12" t="s">
        <v>10213</v>
      </c>
      <c r="O4244" s="9" t="str">
        <f aca="false">HYPERLINK("https://pbs.twimg.com/profile_images/3449366134/bf08d8c69f1a630ae15550f8facc34ef_normal.jpeg","View")</f>
        <v>View</v>
      </c>
      <c r="P4244" s="10"/>
    </row>
    <row r="4245" customFormat="false" ht="15.75" hidden="false" customHeight="false" outlineLevel="0" collapsed="false">
      <c r="A4245" s="6" t="n">
        <v>43030.60125</v>
      </c>
      <c r="B4245" s="7" t="str">
        <f aca="false">HYPERLINK("https://twitter.com/NextFew","@NextFew")</f>
        <v>@NextFew</v>
      </c>
      <c r="C4245" s="8" t="s">
        <v>10214</v>
      </c>
      <c r="D4245" s="8" t="s">
        <v>10168</v>
      </c>
      <c r="E4245" s="9" t="str">
        <f aca="false">HYPERLINK("https://twitter.com/NextFew/status/922212414501748736","922212414501748736")</f>
        <v>922212414501748736</v>
      </c>
      <c r="F4245" s="10" t="s">
        <v>51</v>
      </c>
      <c r="G4245" s="10" t="n">
        <v>415</v>
      </c>
      <c r="H4245" s="10" t="n">
        <v>17</v>
      </c>
      <c r="I4245" s="10" t="n">
        <v>25</v>
      </c>
      <c r="J4245" s="10" t="n">
        <v>0</v>
      </c>
      <c r="K4245" s="10" t="s">
        <v>20</v>
      </c>
      <c r="L4245" s="11" t="n">
        <v>42614.3119328704</v>
      </c>
      <c r="M4245" s="12" t="s">
        <v>64</v>
      </c>
      <c r="N4245" s="12" t="s">
        <v>10215</v>
      </c>
      <c r="O4245" s="9" t="str">
        <f aca="false">HYPERLINK("https://pbs.twimg.com/profile_images/909856481448665089/VuxSXVtG_normal.jpg","View")</f>
        <v>View</v>
      </c>
      <c r="P4245" s="10"/>
    </row>
    <row r="4246" customFormat="false" ht="15.75" hidden="false" customHeight="false" outlineLevel="0" collapsed="false">
      <c r="A4246" s="6" t="n">
        <v>43030.6014930556</v>
      </c>
      <c r="B4246" s="7" t="str">
        <f aca="false">HYPERLINK("https://twitter.com/newssummedupuk","@newssummedupuk")</f>
        <v>@newssummedupuk</v>
      </c>
      <c r="C4246" s="8" t="s">
        <v>2458</v>
      </c>
      <c r="D4246" s="8" t="s">
        <v>10216</v>
      </c>
      <c r="E4246" s="9" t="str">
        <f aca="false">HYPERLINK("https://twitter.com/newssummedupuk/status/922212503219617792","922212503219617792")</f>
        <v>922212503219617792</v>
      </c>
      <c r="F4246" s="10" t="s">
        <v>1179</v>
      </c>
      <c r="G4246" s="10" t="n">
        <v>62</v>
      </c>
      <c r="H4246" s="10" t="n">
        <v>99</v>
      </c>
      <c r="I4246" s="10" t="n">
        <v>0</v>
      </c>
      <c r="J4246" s="10" t="n">
        <v>1</v>
      </c>
      <c r="K4246" s="10" t="s">
        <v>20</v>
      </c>
      <c r="L4246" s="11" t="n">
        <v>42534.2836574074</v>
      </c>
      <c r="M4246" s="12" t="s">
        <v>182</v>
      </c>
      <c r="N4246" s="12" t="s">
        <v>2460</v>
      </c>
      <c r="O4246" s="9" t="str">
        <f aca="false">HYPERLINK("https://pbs.twimg.com/profile_images/742353419147436032/yIX83zk-_normal.jpg","View")</f>
        <v>View</v>
      </c>
      <c r="P4246" s="10"/>
    </row>
    <row r="4247" customFormat="false" ht="15.75" hidden="false" customHeight="false" outlineLevel="0" collapsed="false">
      <c r="A4247" s="6" t="n">
        <v>43030.6015509259</v>
      </c>
      <c r="B4247" s="7" t="str">
        <f aca="false">HYPERLINK("https://twitter.com/SAMURAIwithB","@SAMURAIwithB")</f>
        <v>@SAMURAIwithB</v>
      </c>
      <c r="C4247" s="8" t="s">
        <v>10217</v>
      </c>
      <c r="D4247" s="8" t="s">
        <v>10168</v>
      </c>
      <c r="E4247" s="9" t="str">
        <f aca="false">HYPERLINK("https://twitter.com/SAMURAIwithB/status/922212524430258177","922212524430258177")</f>
        <v>922212524430258177</v>
      </c>
      <c r="F4247" s="10" t="s">
        <v>25</v>
      </c>
      <c r="G4247" s="10" t="n">
        <v>237</v>
      </c>
      <c r="H4247" s="10" t="n">
        <v>258</v>
      </c>
      <c r="I4247" s="10" t="n">
        <v>25</v>
      </c>
      <c r="J4247" s="10" t="n">
        <v>0</v>
      </c>
      <c r="K4247" s="10" t="s">
        <v>20</v>
      </c>
      <c r="L4247" s="11" t="n">
        <v>42827.2326736111</v>
      </c>
      <c r="M4247" s="12"/>
      <c r="N4247" s="13" t="s">
        <v>10218</v>
      </c>
      <c r="O4247" s="9" t="str">
        <f aca="false">HYPERLINK("https://pbs.twimg.com/profile_images/892573714910334976/Hj023znw_normal.jpg","View")</f>
        <v>View</v>
      </c>
      <c r="P4247" s="10"/>
    </row>
    <row r="4248" customFormat="false" ht="15.75" hidden="false" customHeight="false" outlineLevel="0" collapsed="false">
      <c r="A4248" s="6" t="n">
        <v>43030.6032291667</v>
      </c>
      <c r="B4248" s="7" t="str">
        <f aca="false">HYPERLINK("https://twitter.com/NewsRichs789","@NewsRichs789")</f>
        <v>@NewsRichs789</v>
      </c>
      <c r="C4248" s="8" t="s">
        <v>5115</v>
      </c>
      <c r="D4248" s="8" t="s">
        <v>4124</v>
      </c>
      <c r="E4248" s="9" t="str">
        <f aca="false">HYPERLINK("https://twitter.com/NewsRichs789/status/922213132185071616","922213132185071616")</f>
        <v>922213132185071616</v>
      </c>
      <c r="F4248" s="10" t="s">
        <v>51</v>
      </c>
      <c r="G4248" s="10" t="n">
        <v>3784</v>
      </c>
      <c r="H4248" s="10" t="n">
        <v>4156</v>
      </c>
      <c r="I4248" s="10" t="n">
        <v>111</v>
      </c>
      <c r="J4248" s="10" t="n">
        <v>0</v>
      </c>
      <c r="K4248" s="10" t="s">
        <v>20</v>
      </c>
      <c r="L4248" s="11" t="n">
        <v>42597.8642708333</v>
      </c>
      <c r="M4248" s="12"/>
      <c r="N4248" s="12" t="s">
        <v>10219</v>
      </c>
      <c r="O4248" s="9" t="str">
        <f aca="false">HYPERLINK("https://pbs.twimg.com/profile_images/817107429423017985/CqjFenHO_normal.jpg","View")</f>
        <v>View</v>
      </c>
      <c r="P4248" s="10"/>
    </row>
    <row r="4249" customFormat="false" ht="15.75" hidden="false" customHeight="false" outlineLevel="0" collapsed="false">
      <c r="A4249" s="6" t="n">
        <v>43030.6039236111</v>
      </c>
      <c r="B4249" s="7" t="str">
        <f aca="false">HYPERLINK("https://twitter.com/isodhinegel10","@isodhinegel10")</f>
        <v>@isodhinegel10</v>
      </c>
      <c r="C4249" s="14" t="s">
        <v>7857</v>
      </c>
      <c r="D4249" s="8" t="s">
        <v>10168</v>
      </c>
      <c r="E4249" s="9" t="str">
        <f aca="false">HYPERLINK("https://twitter.com/isodhinegel10/status/922213384883281920","922213384883281920")</f>
        <v>922213384883281920</v>
      </c>
      <c r="F4249" s="10" t="s">
        <v>39</v>
      </c>
      <c r="G4249" s="10" t="n">
        <v>216</v>
      </c>
      <c r="H4249" s="10" t="n">
        <v>269</v>
      </c>
      <c r="I4249" s="10" t="n">
        <v>25</v>
      </c>
      <c r="J4249" s="10" t="n">
        <v>0</v>
      </c>
      <c r="K4249" s="10" t="s">
        <v>20</v>
      </c>
      <c r="L4249" s="11" t="n">
        <v>41607.8681597222</v>
      </c>
      <c r="M4249" s="13" t="s">
        <v>152</v>
      </c>
      <c r="N4249" s="13" t="s">
        <v>7858</v>
      </c>
      <c r="O4249" s="9" t="str">
        <f aca="false">HYPERLINK("https://pbs.twimg.com/profile_images/887441042861047808/ipu80CIt_normal.jpg","View")</f>
        <v>View</v>
      </c>
      <c r="P4249" s="10"/>
    </row>
    <row r="4250" customFormat="false" ht="15.75" hidden="false" customHeight="false" outlineLevel="0" collapsed="false">
      <c r="A4250" s="6" t="n">
        <v>43030.6042708333</v>
      </c>
      <c r="B4250" s="7" t="str">
        <f aca="false">HYPERLINK("https://twitter.com/dtytrivedi","@dtytrivedi")</f>
        <v>@dtytrivedi</v>
      </c>
      <c r="C4250" s="8" t="s">
        <v>10220</v>
      </c>
      <c r="D4250" s="8" t="s">
        <v>8538</v>
      </c>
      <c r="E4250" s="9" t="str">
        <f aca="false">HYPERLINK("https://twitter.com/dtytrivedi/status/922213510381056001","922213510381056001")</f>
        <v>922213510381056001</v>
      </c>
      <c r="F4250" s="10" t="s">
        <v>51</v>
      </c>
      <c r="G4250" s="10" t="n">
        <v>354</v>
      </c>
      <c r="H4250" s="10" t="n">
        <v>2226</v>
      </c>
      <c r="I4250" s="10" t="n">
        <v>1015</v>
      </c>
      <c r="J4250" s="10" t="n">
        <v>0</v>
      </c>
      <c r="K4250" s="10" t="s">
        <v>20</v>
      </c>
      <c r="L4250" s="11" t="n">
        <v>40294.3332407407</v>
      </c>
      <c r="M4250" s="12" t="s">
        <v>814</v>
      </c>
      <c r="N4250" s="12" t="s">
        <v>10221</v>
      </c>
      <c r="O4250" s="9" t="str">
        <f aca="false">HYPERLINK("https://pbs.twimg.com/profile_images/432349595692048386/l-pDPelZ_normal.jpeg","View")</f>
        <v>View</v>
      </c>
      <c r="P4250" s="10"/>
    </row>
    <row r="4251" customFormat="false" ht="15.75" hidden="false" customHeight="false" outlineLevel="0" collapsed="false">
      <c r="A4251" s="6" t="n">
        <v>43030.6042939815</v>
      </c>
      <c r="B4251" s="7" t="str">
        <f aca="false">HYPERLINK("https://twitter.com/niranjanpai","@niranjanpai")</f>
        <v>@niranjanpai</v>
      </c>
      <c r="C4251" s="8" t="s">
        <v>10222</v>
      </c>
      <c r="D4251" s="8" t="s">
        <v>8538</v>
      </c>
      <c r="E4251" s="9" t="str">
        <f aca="false">HYPERLINK("https://twitter.com/niranjanpai/status/922213517725351936","922213517725351936")</f>
        <v>922213517725351936</v>
      </c>
      <c r="F4251" s="10" t="s">
        <v>25</v>
      </c>
      <c r="G4251" s="10" t="n">
        <v>420</v>
      </c>
      <c r="H4251" s="10" t="n">
        <v>48</v>
      </c>
      <c r="I4251" s="10" t="n">
        <v>1015</v>
      </c>
      <c r="J4251" s="10" t="n">
        <v>0</v>
      </c>
      <c r="K4251" s="10" t="s">
        <v>20</v>
      </c>
      <c r="L4251" s="11" t="n">
        <v>40109.1108680556</v>
      </c>
      <c r="M4251" s="12"/>
      <c r="N4251" s="12" t="s">
        <v>10223</v>
      </c>
      <c r="O4251" s="9" t="str">
        <f aca="false">HYPERLINK("https://pbs.twimg.com/profile_images/472648731234287617/HAak71Dm_normal.jpeg","View")</f>
        <v>View</v>
      </c>
      <c r="P4251" s="10"/>
    </row>
    <row r="4252" customFormat="false" ht="15.75" hidden="false" customHeight="false" outlineLevel="0" collapsed="false">
      <c r="A4252" s="6" t="n">
        <v>43030.6044328704</v>
      </c>
      <c r="B4252" s="7" t="str">
        <f aca="false">HYPERLINK("https://twitter.com/zengirl55","@zengirl55")</f>
        <v>@zengirl55</v>
      </c>
      <c r="C4252" s="8" t="s">
        <v>10224</v>
      </c>
      <c r="D4252" s="8" t="s">
        <v>10225</v>
      </c>
      <c r="E4252" s="9" t="str">
        <f aca="false">HYPERLINK("https://twitter.com/zengirl55/status/922213568853848064","922213568853848064")</f>
        <v>922213568853848064</v>
      </c>
      <c r="F4252" s="10" t="s">
        <v>51</v>
      </c>
      <c r="G4252" s="10" t="n">
        <v>528</v>
      </c>
      <c r="H4252" s="10" t="n">
        <v>2028</v>
      </c>
      <c r="I4252" s="10" t="n">
        <v>16</v>
      </c>
      <c r="J4252" s="10" t="n">
        <v>0</v>
      </c>
      <c r="K4252" s="10" t="s">
        <v>20</v>
      </c>
      <c r="L4252" s="11" t="n">
        <v>41455.6431828704</v>
      </c>
      <c r="M4252" s="12" t="s">
        <v>588</v>
      </c>
      <c r="N4252" s="12" t="s">
        <v>10226</v>
      </c>
      <c r="O4252" s="9" t="str">
        <f aca="false">HYPERLINK("https://pbs.twimg.com/profile_images/747626858192113668/tDneSvjO_normal.jpg","View")</f>
        <v>View</v>
      </c>
      <c r="P4252" s="10"/>
    </row>
    <row r="4253" customFormat="false" ht="15.75" hidden="false" customHeight="false" outlineLevel="0" collapsed="false">
      <c r="A4253" s="6" t="n">
        <v>43030.6049421296</v>
      </c>
      <c r="B4253" s="7" t="str">
        <f aca="false">HYPERLINK("https://twitter.com/wilc0076","@wilc0076")</f>
        <v>@wilc0076</v>
      </c>
      <c r="C4253" s="8" t="s">
        <v>10227</v>
      </c>
      <c r="D4253" s="8" t="s">
        <v>9670</v>
      </c>
      <c r="E4253" s="9" t="str">
        <f aca="false">HYPERLINK("https://twitter.com/wilc0076/status/922213753390817280","922213753390817280")</f>
        <v>922213753390817280</v>
      </c>
      <c r="F4253" s="10" t="s">
        <v>3763</v>
      </c>
      <c r="G4253" s="10" t="n">
        <v>62</v>
      </c>
      <c r="H4253" s="10" t="n">
        <v>38</v>
      </c>
      <c r="I4253" s="10" t="n">
        <v>11</v>
      </c>
      <c r="J4253" s="10" t="n">
        <v>0</v>
      </c>
      <c r="K4253" s="10" t="s">
        <v>20</v>
      </c>
      <c r="L4253" s="11" t="n">
        <v>39822.8961689815</v>
      </c>
      <c r="M4253" s="12"/>
      <c r="N4253" s="12"/>
      <c r="O4253" s="9" t="str">
        <f aca="false">HYPERLINK("https://pbs.twimg.com/profile_images/634733445/wilc0076_normal.jpg","View")</f>
        <v>View</v>
      </c>
      <c r="P4253" s="10"/>
    </row>
    <row r="4254" customFormat="false" ht="15.75" hidden="false" customHeight="false" outlineLevel="0" collapsed="false">
      <c r="A4254" s="6" t="n">
        <v>43030.6053703704</v>
      </c>
      <c r="B4254" s="7" t="str">
        <f aca="false">HYPERLINK("https://twitter.com/PoliticalReader","@PoliticalReader")</f>
        <v>@PoliticalReader</v>
      </c>
      <c r="C4254" s="8" t="s">
        <v>10228</v>
      </c>
      <c r="D4254" s="8" t="s">
        <v>10229</v>
      </c>
      <c r="E4254" s="9" t="str">
        <f aca="false">HYPERLINK("https://twitter.com/PoliticalReader/status/922213907137261569","922213907137261569")</f>
        <v>922213907137261569</v>
      </c>
      <c r="F4254" s="10" t="s">
        <v>10230</v>
      </c>
      <c r="G4254" s="10" t="n">
        <v>1438</v>
      </c>
      <c r="H4254" s="10" t="n">
        <v>1480</v>
      </c>
      <c r="I4254" s="10" t="n">
        <v>0</v>
      </c>
      <c r="J4254" s="10" t="n">
        <v>0</v>
      </c>
      <c r="K4254" s="10" t="s">
        <v>20</v>
      </c>
      <c r="L4254" s="11" t="n">
        <v>42722.0721990741</v>
      </c>
      <c r="M4254" s="12" t="s">
        <v>1778</v>
      </c>
      <c r="N4254" s="12" t="s">
        <v>10231</v>
      </c>
      <c r="O4254" s="9" t="str">
        <f aca="false">HYPERLINK("https://pbs.twimg.com/profile_images/810499477345861632/Qog87VOj_normal.jpg","View")</f>
        <v>View</v>
      </c>
      <c r="P4254" s="10"/>
    </row>
    <row r="4255" customFormat="false" ht="15.75" hidden="false" customHeight="false" outlineLevel="0" collapsed="false">
      <c r="A4255" s="6" t="n">
        <v>43030.6056018519</v>
      </c>
      <c r="B4255" s="7" t="str">
        <f aca="false">HYPERLINK("https://twitter.com/sublubber","@sublubber")</f>
        <v>@sublubber</v>
      </c>
      <c r="C4255" s="8" t="s">
        <v>10232</v>
      </c>
      <c r="D4255" s="8" t="s">
        <v>9519</v>
      </c>
      <c r="E4255" s="9" t="str">
        <f aca="false">HYPERLINK("https://twitter.com/sublubber/status/922213992738840577","922213992738840577")</f>
        <v>922213992738840577</v>
      </c>
      <c r="F4255" s="10" t="s">
        <v>51</v>
      </c>
      <c r="G4255" s="10" t="n">
        <v>116</v>
      </c>
      <c r="H4255" s="10" t="n">
        <v>404</v>
      </c>
      <c r="I4255" s="10" t="n">
        <v>11</v>
      </c>
      <c r="J4255" s="10" t="n">
        <v>0</v>
      </c>
      <c r="K4255" s="10" t="s">
        <v>20</v>
      </c>
      <c r="L4255" s="11" t="n">
        <v>40576.7386458333</v>
      </c>
      <c r="M4255" s="12" t="s">
        <v>1479</v>
      </c>
      <c r="N4255" s="12" t="s">
        <v>10233</v>
      </c>
      <c r="O4255" s="9" t="str">
        <f aca="false">HYPERLINK("https://pbs.twimg.com/profile_images/881655926322810880/vhiMDyNU_normal.jpg","View")</f>
        <v>View</v>
      </c>
      <c r="P4255" s="10"/>
    </row>
    <row r="4256" customFormat="false" ht="15.75" hidden="false" customHeight="false" outlineLevel="0" collapsed="false">
      <c r="A4256" s="6" t="n">
        <v>43030.6059143519</v>
      </c>
      <c r="B4256" s="7" t="str">
        <f aca="false">HYPERLINK("https://twitter.com/BrianScifiFan","@BrianScifiFan")</f>
        <v>@BrianScifiFan</v>
      </c>
      <c r="C4256" s="8" t="s">
        <v>10234</v>
      </c>
      <c r="D4256" s="8" t="s">
        <v>10235</v>
      </c>
      <c r="E4256" s="9" t="str">
        <f aca="false">HYPERLINK("https://twitter.com/BrianScifiFan/status/922214104806445056","922214104806445056")</f>
        <v>922214104806445056</v>
      </c>
      <c r="F4256" s="10" t="s">
        <v>51</v>
      </c>
      <c r="G4256" s="10" t="n">
        <v>1486</v>
      </c>
      <c r="H4256" s="10" t="n">
        <v>2529</v>
      </c>
      <c r="I4256" s="10" t="n">
        <v>0</v>
      </c>
      <c r="J4256" s="10" t="n">
        <v>0</v>
      </c>
      <c r="K4256" s="10" t="s">
        <v>20</v>
      </c>
      <c r="L4256" s="11" t="n">
        <v>41111.7824537037</v>
      </c>
      <c r="M4256" s="12" t="s">
        <v>10236</v>
      </c>
      <c r="N4256" s="12" t="s">
        <v>10237</v>
      </c>
      <c r="O4256" s="9" t="str">
        <f aca="false">HYPERLINK("https://pbs.twimg.com/profile_images/794934988961628160/7vgjfijr_normal.jpg","View")</f>
        <v>View</v>
      </c>
      <c r="P4256" s="10"/>
    </row>
    <row r="4257" customFormat="false" ht="15.75" hidden="false" customHeight="false" outlineLevel="0" collapsed="false">
      <c r="A4257" s="6" t="n">
        <v>43030.6061111111</v>
      </c>
      <c r="B4257" s="7" t="str">
        <f aca="false">HYPERLINK("https://twitter.com/asgerrojle","@asgerrojle")</f>
        <v>@asgerrojle</v>
      </c>
      <c r="C4257" s="8" t="s">
        <v>10238</v>
      </c>
      <c r="D4257" s="8" t="s">
        <v>10239</v>
      </c>
      <c r="E4257" s="9" t="str">
        <f aca="false">HYPERLINK("https://twitter.com/asgerrojle/status/922214177820745728","922214177820745728")</f>
        <v>922214177820745728</v>
      </c>
      <c r="F4257" s="10" t="s">
        <v>39</v>
      </c>
      <c r="G4257" s="10" t="n">
        <v>1580</v>
      </c>
      <c r="H4257" s="10" t="n">
        <v>1963</v>
      </c>
      <c r="I4257" s="10" t="n">
        <v>1</v>
      </c>
      <c r="J4257" s="10" t="n">
        <v>0</v>
      </c>
      <c r="K4257" s="10" t="s">
        <v>20</v>
      </c>
      <c r="L4257" s="11" t="n">
        <v>39873.0715856481</v>
      </c>
      <c r="M4257" s="12" t="s">
        <v>10240</v>
      </c>
      <c r="N4257" s="12" t="s">
        <v>10241</v>
      </c>
      <c r="O4257" s="9" t="str">
        <f aca="false">HYPERLINK("https://pbs.twimg.com/profile_images/1627188655/kabukicho_normal.jpg","View")</f>
        <v>View</v>
      </c>
      <c r="P4257" s="10"/>
    </row>
    <row r="4258" customFormat="false" ht="15.75" hidden="false" customHeight="false" outlineLevel="0" collapsed="false">
      <c r="A4258" s="6" t="n">
        <v>43030.6068518519</v>
      </c>
      <c r="B4258" s="7" t="str">
        <f aca="false">HYPERLINK("https://twitter.com/JJonny72","@JJonny72")</f>
        <v>@JJonny72</v>
      </c>
      <c r="C4258" s="8" t="s">
        <v>10242</v>
      </c>
      <c r="D4258" s="8" t="s">
        <v>10243</v>
      </c>
      <c r="E4258" s="9" t="str">
        <f aca="false">HYPERLINK("https://twitter.com/JJonny72/status/922214444037541888","922214444037541888")</f>
        <v>922214444037541888</v>
      </c>
      <c r="F4258" s="10" t="s">
        <v>55</v>
      </c>
      <c r="G4258" s="10" t="n">
        <v>714</v>
      </c>
      <c r="H4258" s="10" t="n">
        <v>599</v>
      </c>
      <c r="I4258" s="10" t="n">
        <v>0</v>
      </c>
      <c r="J4258" s="10" t="n">
        <v>0</v>
      </c>
      <c r="K4258" s="10" t="s">
        <v>20</v>
      </c>
      <c r="L4258" s="11" t="n">
        <v>40791.280625</v>
      </c>
      <c r="M4258" s="12"/>
      <c r="N4258" s="12" t="s">
        <v>10244</v>
      </c>
      <c r="O4258" s="9" t="str">
        <f aca="false">HYPERLINK("https://pbs.twimg.com/profile_images/1529761640/22_711_100__normal.jpg","View")</f>
        <v>View</v>
      </c>
      <c r="P4258" s="10"/>
    </row>
    <row r="4259" customFormat="false" ht="15.75" hidden="false" customHeight="false" outlineLevel="0" collapsed="false">
      <c r="A4259" s="6" t="n">
        <v>43030.6072222222</v>
      </c>
      <c r="B4259" s="7" t="str">
        <f aca="false">HYPERLINK("https://twitter.com/a_spiteri","@a_spiteri")</f>
        <v>@a_spiteri</v>
      </c>
      <c r="C4259" s="8" t="s">
        <v>10245</v>
      </c>
      <c r="D4259" s="8" t="s">
        <v>10246</v>
      </c>
      <c r="E4259" s="9" t="str">
        <f aca="false">HYPERLINK("https://twitter.com/a_spiteri/status/922214581178634241","922214581178634241")</f>
        <v>922214581178634241</v>
      </c>
      <c r="F4259" s="10" t="s">
        <v>39</v>
      </c>
      <c r="G4259" s="10" t="n">
        <v>409</v>
      </c>
      <c r="H4259" s="10" t="n">
        <v>522</v>
      </c>
      <c r="I4259" s="10" t="n">
        <v>2</v>
      </c>
      <c r="J4259" s="10" t="n">
        <v>2</v>
      </c>
      <c r="K4259" s="10" t="s">
        <v>20</v>
      </c>
      <c r="L4259" s="11" t="n">
        <v>42045.5843171296</v>
      </c>
      <c r="M4259" s="12" t="s">
        <v>10247</v>
      </c>
      <c r="N4259" s="12" t="s">
        <v>10248</v>
      </c>
      <c r="O4259" s="9" t="str">
        <f aca="false">HYPERLINK("https://pbs.twimg.com/profile_images/567438102222737408/wdrdFIGd_normal.jpeg","View")</f>
        <v>View</v>
      </c>
      <c r="P4259" s="10"/>
    </row>
    <row r="4260" customFormat="false" ht="15.75" hidden="false" customHeight="false" outlineLevel="0" collapsed="false">
      <c r="A4260" s="6" t="n">
        <v>43030.6079050926</v>
      </c>
      <c r="B4260" s="7" t="str">
        <f aca="false">HYPERLINK("https://twitter.com/1104Bj","@1104Bj")</f>
        <v>@1104Bj</v>
      </c>
      <c r="C4260" s="8" t="s">
        <v>10249</v>
      </c>
      <c r="D4260" s="8" t="s">
        <v>10250</v>
      </c>
      <c r="E4260" s="9" t="str">
        <f aca="false">HYPERLINK("https://twitter.com/1104Bj/status/922214828663541760","922214828663541760")</f>
        <v>922214828663541760</v>
      </c>
      <c r="F4260" s="10" t="s">
        <v>39</v>
      </c>
      <c r="G4260" s="10" t="n">
        <v>38</v>
      </c>
      <c r="H4260" s="10" t="n">
        <v>200</v>
      </c>
      <c r="I4260" s="10" t="n">
        <v>1</v>
      </c>
      <c r="J4260" s="10" t="n">
        <v>0</v>
      </c>
      <c r="K4260" s="10" t="s">
        <v>20</v>
      </c>
      <c r="L4260" s="11" t="n">
        <v>42962.2409722222</v>
      </c>
      <c r="M4260" s="12"/>
      <c r="N4260" s="12" t="s">
        <v>10251</v>
      </c>
      <c r="O4260" s="9" t="str">
        <f aca="false">HYPERLINK("https://pbs.twimg.com/profile_images/897441348025843712/KKBfohJK_normal.jpg","View")</f>
        <v>View</v>
      </c>
      <c r="P4260" s="10"/>
    </row>
    <row r="4261" customFormat="false" ht="15.75" hidden="false" customHeight="false" outlineLevel="0" collapsed="false">
      <c r="A4261" s="6" t="n">
        <v>43030.6097800926</v>
      </c>
      <c r="B4261" s="7" t="str">
        <f aca="false">HYPERLINK("https://twitter.com/BillGraveland","@BillGraveland")</f>
        <v>@BillGraveland</v>
      </c>
      <c r="C4261" s="8" t="s">
        <v>10252</v>
      </c>
      <c r="D4261" s="8" t="s">
        <v>10253</v>
      </c>
      <c r="E4261" s="9" t="str">
        <f aca="false">HYPERLINK("https://twitter.com/BillGraveland/status/922215505645023232","922215505645023232")</f>
        <v>922215505645023232</v>
      </c>
      <c r="F4261" s="10" t="s">
        <v>51</v>
      </c>
      <c r="G4261" s="10" t="n">
        <v>2691</v>
      </c>
      <c r="H4261" s="10" t="n">
        <v>198</v>
      </c>
      <c r="I4261" s="10" t="n">
        <v>1</v>
      </c>
      <c r="J4261" s="10" t="n">
        <v>0</v>
      </c>
      <c r="K4261" s="10" t="s">
        <v>20</v>
      </c>
      <c r="L4261" s="11" t="n">
        <v>40164.5209143519</v>
      </c>
      <c r="M4261" s="12" t="s">
        <v>10254</v>
      </c>
      <c r="N4261" s="12" t="s">
        <v>10255</v>
      </c>
      <c r="O4261" s="9" t="str">
        <f aca="false">HYPERLINK("https://pbs.twimg.com/profile_images/736707387382321152/ugi0lxb-_normal.jpg","View")</f>
        <v>View</v>
      </c>
      <c r="P4261" s="10"/>
    </row>
    <row r="4262" customFormat="false" ht="15.75" hidden="false" customHeight="false" outlineLevel="0" collapsed="false">
      <c r="A4262" s="6" t="n">
        <v>43030.6100694444</v>
      </c>
      <c r="B4262" s="7" t="str">
        <f aca="false">HYPERLINK("https://twitter.com/Tweet2Sid","@Tweet2Sid")</f>
        <v>@Tweet2Sid</v>
      </c>
      <c r="C4262" s="8" t="s">
        <v>9903</v>
      </c>
      <c r="D4262" s="8" t="s">
        <v>10256</v>
      </c>
      <c r="E4262" s="9" t="str">
        <f aca="false">HYPERLINK("https://twitter.com/Tweet2Sid/status/922215612499324931","922215612499324931")</f>
        <v>922215612499324931</v>
      </c>
      <c r="F4262" s="10" t="s">
        <v>55</v>
      </c>
      <c r="G4262" s="10" t="n">
        <v>529</v>
      </c>
      <c r="H4262" s="10" t="n">
        <v>272</v>
      </c>
      <c r="I4262" s="10" t="n">
        <v>0</v>
      </c>
      <c r="J4262" s="10" t="n">
        <v>0</v>
      </c>
      <c r="K4262" s="10" t="s">
        <v>20</v>
      </c>
      <c r="L4262" s="11" t="n">
        <v>39999.7896527778</v>
      </c>
      <c r="M4262" s="12" t="s">
        <v>72</v>
      </c>
      <c r="N4262" s="12" t="s">
        <v>9905</v>
      </c>
      <c r="O4262" s="9" t="str">
        <f aca="false">HYPERLINK("https://pbs.twimg.com/profile_images/652924587789828096/WSaKMVSf_normal.jpg","View")</f>
        <v>View</v>
      </c>
      <c r="P4262" s="10"/>
    </row>
    <row r="4263" customFormat="false" ht="15.75" hidden="false" customHeight="false" outlineLevel="0" collapsed="false">
      <c r="A4263" s="6" t="n">
        <v>43030.6101273148</v>
      </c>
      <c r="B4263" s="7" t="str">
        <f aca="false">HYPERLINK("https://twitter.com/sid221B","@sid221B")</f>
        <v>@sid221B</v>
      </c>
      <c r="C4263" s="8" t="s">
        <v>10257</v>
      </c>
      <c r="D4263" s="8" t="s">
        <v>8538</v>
      </c>
      <c r="E4263" s="9" t="str">
        <f aca="false">HYPERLINK("https://twitter.com/sid221B/status/922215631235067904","922215631235067904")</f>
        <v>922215631235067904</v>
      </c>
      <c r="F4263" s="10" t="s">
        <v>25</v>
      </c>
      <c r="G4263" s="10" t="n">
        <v>93</v>
      </c>
      <c r="H4263" s="10" t="n">
        <v>367</v>
      </c>
      <c r="I4263" s="10" t="n">
        <v>1015</v>
      </c>
      <c r="J4263" s="10" t="n">
        <v>0</v>
      </c>
      <c r="K4263" s="10" t="s">
        <v>20</v>
      </c>
      <c r="L4263" s="11" t="n">
        <v>42822.4540972222</v>
      </c>
      <c r="M4263" s="12" t="s">
        <v>72</v>
      </c>
      <c r="N4263" s="12" t="s">
        <v>10258</v>
      </c>
      <c r="O4263" s="9" t="str">
        <f aca="false">HYPERLINK("https://pbs.twimg.com/profile_images/918874585495322624/3QcHv_O1_normal.jpg","View")</f>
        <v>View</v>
      </c>
      <c r="P4263" s="10"/>
    </row>
    <row r="4264" customFormat="false" ht="15.75" hidden="false" customHeight="false" outlineLevel="0" collapsed="false">
      <c r="A4264" s="6" t="n">
        <v>43030.6110069444</v>
      </c>
      <c r="B4264" s="7" t="str">
        <f aca="false">HYPERLINK("https://twitter.com/satpalsetia54","@satpalsetia54")</f>
        <v>@satpalsetia54</v>
      </c>
      <c r="C4264" s="8" t="s">
        <v>10259</v>
      </c>
      <c r="D4264" s="8" t="s">
        <v>8538</v>
      </c>
      <c r="E4264" s="9" t="str">
        <f aca="false">HYPERLINK("https://twitter.com/satpalsetia54/status/922215951130439680","922215951130439680")</f>
        <v>922215951130439680</v>
      </c>
      <c r="F4264" s="10" t="s">
        <v>25</v>
      </c>
      <c r="G4264" s="10" t="n">
        <v>3558</v>
      </c>
      <c r="H4264" s="10" t="n">
        <v>2638</v>
      </c>
      <c r="I4264" s="10" t="n">
        <v>1015</v>
      </c>
      <c r="J4264" s="10" t="n">
        <v>0</v>
      </c>
      <c r="K4264" s="10" t="s">
        <v>20</v>
      </c>
      <c r="L4264" s="11" t="n">
        <v>41317.0765509259</v>
      </c>
      <c r="M4264" s="12"/>
      <c r="N4264" s="12" t="s">
        <v>10260</v>
      </c>
      <c r="O4264" s="9" t="str">
        <f aca="false">HYPERLINK("https://pbs.twimg.com/profile_images/923199847003406338/zIru-ATC_normal.jpg","View")</f>
        <v>View</v>
      </c>
      <c r="P4264" s="10"/>
    </row>
    <row r="4265" customFormat="false" ht="15.75" hidden="false" customHeight="false" outlineLevel="0" collapsed="false">
      <c r="A4265" s="6" t="n">
        <v>43030.6116666667</v>
      </c>
      <c r="B4265" s="7" t="str">
        <f aca="false">HYPERLINK("https://twitter.com/chandra0822","@chandra0822")</f>
        <v>@chandra0822</v>
      </c>
      <c r="C4265" s="8" t="s">
        <v>10261</v>
      </c>
      <c r="D4265" s="8" t="s">
        <v>8538</v>
      </c>
      <c r="E4265" s="9" t="str">
        <f aca="false">HYPERLINK("https://twitter.com/chandra0822/status/922216189190737921","922216189190737921")</f>
        <v>922216189190737921</v>
      </c>
      <c r="F4265" s="10" t="s">
        <v>25</v>
      </c>
      <c r="G4265" s="10" t="n">
        <v>1124</v>
      </c>
      <c r="H4265" s="10" t="n">
        <v>4963</v>
      </c>
      <c r="I4265" s="10" t="n">
        <v>1015</v>
      </c>
      <c r="J4265" s="10" t="n">
        <v>0</v>
      </c>
      <c r="K4265" s="10" t="s">
        <v>20</v>
      </c>
      <c r="L4265" s="11" t="n">
        <v>39967.9115046296</v>
      </c>
      <c r="M4265" s="12" t="s">
        <v>2930</v>
      </c>
      <c r="N4265" s="12" t="s">
        <v>10262</v>
      </c>
      <c r="O4265" s="9" t="str">
        <f aca="false">HYPERLINK("https://pbs.twimg.com/profile_images/923623265020420096/9nk-xSZd_normal.jpg","View")</f>
        <v>View</v>
      </c>
      <c r="P4265" s="10"/>
    </row>
    <row r="4266" customFormat="false" ht="15.75" hidden="false" customHeight="false" outlineLevel="0" collapsed="false">
      <c r="A4266" s="6" t="n">
        <v>43030.6122337963</v>
      </c>
      <c r="B4266" s="7" t="str">
        <f aca="false">HYPERLINK("https://twitter.com/harit3","@harit3")</f>
        <v>@harit3</v>
      </c>
      <c r="C4266" s="8" t="s">
        <v>10263</v>
      </c>
      <c r="D4266" s="8" t="s">
        <v>10264</v>
      </c>
      <c r="E4266" s="9" t="str">
        <f aca="false">HYPERLINK("https://twitter.com/harit3/status/922216396683169794","922216396683169794")</f>
        <v>922216396683169794</v>
      </c>
      <c r="F4266" s="10" t="s">
        <v>110</v>
      </c>
      <c r="G4266" s="10" t="n">
        <v>129</v>
      </c>
      <c r="H4266" s="10" t="n">
        <v>40</v>
      </c>
      <c r="I4266" s="10" t="n">
        <v>0</v>
      </c>
      <c r="J4266" s="10" t="n">
        <v>0</v>
      </c>
      <c r="K4266" s="10" t="s">
        <v>20</v>
      </c>
      <c r="L4266" s="11" t="n">
        <v>40361.0663310185</v>
      </c>
      <c r="M4266" s="12"/>
      <c r="N4266" s="12" t="s">
        <v>10265</v>
      </c>
      <c r="O4266" s="9" t="str">
        <f aca="false">HYPERLINK("https://pbs.twimg.com/profile_images/1154902800/DSC_1262__2__comp_normal.JPG","View")</f>
        <v>View</v>
      </c>
      <c r="P4266" s="10"/>
    </row>
    <row r="4267" customFormat="false" ht="15.75" hidden="false" customHeight="false" outlineLevel="0" collapsed="false">
      <c r="A4267" s="6" t="n">
        <v>43030.6123263889</v>
      </c>
      <c r="B4267" s="7" t="str">
        <f aca="false">HYPERLINK("https://twitter.com/itradeph","@itradeph")</f>
        <v>@itradeph</v>
      </c>
      <c r="C4267" s="8" t="s">
        <v>134</v>
      </c>
      <c r="D4267" s="8" t="s">
        <v>10266</v>
      </c>
      <c r="E4267" s="9" t="str">
        <f aca="false">HYPERLINK("https://twitter.com/itradeph/status/922216430791045120","922216430791045120")</f>
        <v>922216430791045120</v>
      </c>
      <c r="F4267" s="10" t="s">
        <v>39</v>
      </c>
      <c r="G4267" s="10" t="n">
        <v>8648</v>
      </c>
      <c r="H4267" s="10" t="n">
        <v>1</v>
      </c>
      <c r="I4267" s="10" t="n">
        <v>0</v>
      </c>
      <c r="J4267" s="10" t="n">
        <v>0</v>
      </c>
      <c r="K4267" s="10" t="s">
        <v>20</v>
      </c>
      <c r="L4267" s="11" t="n">
        <v>40854.3479513889</v>
      </c>
      <c r="M4267" s="12" t="s">
        <v>136</v>
      </c>
      <c r="N4267" s="12" t="s">
        <v>137</v>
      </c>
      <c r="O4267" s="9" t="str">
        <f aca="false">HYPERLINK("https://pbs.twimg.com/profile_images/826610890019463170/xHbMaaeI_normal.jpg","View")</f>
        <v>View</v>
      </c>
      <c r="P4267" s="10"/>
    </row>
    <row r="4268" customFormat="false" ht="15.75" hidden="false" customHeight="false" outlineLevel="0" collapsed="false">
      <c r="A4268" s="6" t="n">
        <v>43030.6126388889</v>
      </c>
      <c r="B4268" s="7" t="str">
        <f aca="false">HYPERLINK("https://twitter.com/matglobal","@matglobal")</f>
        <v>@matglobal</v>
      </c>
      <c r="C4268" s="8" t="s">
        <v>3976</v>
      </c>
      <c r="D4268" s="8" t="s">
        <v>10267</v>
      </c>
      <c r="E4268" s="9" t="str">
        <f aca="false">HYPERLINK("https://twitter.com/matglobal/status/922216543777382400","922216543777382400")</f>
        <v>922216543777382400</v>
      </c>
      <c r="F4268" s="10" t="s">
        <v>55</v>
      </c>
      <c r="G4268" s="10" t="n">
        <v>1533</v>
      </c>
      <c r="H4268" s="10" t="n">
        <v>1475</v>
      </c>
      <c r="I4268" s="10" t="n">
        <v>0</v>
      </c>
      <c r="J4268" s="10" t="n">
        <v>0</v>
      </c>
      <c r="K4268" s="10" t="s">
        <v>20</v>
      </c>
      <c r="L4268" s="11" t="n">
        <v>40887.2283564815</v>
      </c>
      <c r="M4268" s="12" t="s">
        <v>2990</v>
      </c>
      <c r="N4268" s="12" t="s">
        <v>3978</v>
      </c>
      <c r="O4268" s="9" t="str">
        <f aca="false">HYPERLINK("https://pbs.twimg.com/profile_images/673814548684652544/cha7Er5K_normal.png","View")</f>
        <v>View</v>
      </c>
      <c r="P4268" s="10"/>
    </row>
    <row r="4269" customFormat="false" ht="15.75" hidden="false" customHeight="false" outlineLevel="0" collapsed="false">
      <c r="A4269" s="6" t="n">
        <v>43030.6128125</v>
      </c>
      <c r="B4269" s="7" t="str">
        <f aca="false">HYPERLINK("https://twitter.com/sabitarahim","@sabitarahim")</f>
        <v>@sabitarahim</v>
      </c>
      <c r="C4269" s="8" t="s">
        <v>10268</v>
      </c>
      <c r="D4269" s="8" t="s">
        <v>10269</v>
      </c>
      <c r="E4269" s="9" t="str">
        <f aca="false">HYPERLINK("https://twitter.com/sabitarahim/status/922216606129934336","922216606129934336")</f>
        <v>922216606129934336</v>
      </c>
      <c r="F4269" s="10" t="s">
        <v>25</v>
      </c>
      <c r="G4269" s="10" t="n">
        <v>361</v>
      </c>
      <c r="H4269" s="10" t="n">
        <v>197</v>
      </c>
      <c r="I4269" s="10" t="n">
        <v>0</v>
      </c>
      <c r="J4269" s="10" t="n">
        <v>0</v>
      </c>
      <c r="K4269" s="10" t="s">
        <v>20</v>
      </c>
      <c r="L4269" s="11" t="n">
        <v>41619.4563078704</v>
      </c>
      <c r="M4269" s="12" t="s">
        <v>72</v>
      </c>
      <c r="N4269" s="12"/>
      <c r="O4269" s="9" t="str">
        <f aca="false">HYPERLINK("https://pbs.twimg.com/profile_images/378800000859781011/kSYcYpUD_normal.jpeg","View")</f>
        <v>View</v>
      </c>
      <c r="P4269" s="10"/>
    </row>
    <row r="4270" customFormat="false" ht="15.75" hidden="false" customHeight="false" outlineLevel="0" collapsed="false">
      <c r="A4270" s="6" t="n">
        <v>43030.6130092593</v>
      </c>
      <c r="B4270" s="7" t="str">
        <f aca="false">HYPERLINK("https://twitter.com/fredyburgos70","@fredyburgos70")</f>
        <v>@fredyburgos70</v>
      </c>
      <c r="C4270" s="8" t="s">
        <v>10270</v>
      </c>
      <c r="D4270" s="8" t="s">
        <v>10271</v>
      </c>
      <c r="E4270" s="9" t="str">
        <f aca="false">HYPERLINK("https://twitter.com/fredyburgos70/status/922216675793166337","922216675793166337")</f>
        <v>922216675793166337</v>
      </c>
      <c r="F4270" s="10" t="s">
        <v>25</v>
      </c>
      <c r="G4270" s="10" t="n">
        <v>1022</v>
      </c>
      <c r="H4270" s="10" t="n">
        <v>1771</v>
      </c>
      <c r="I4270" s="10" t="n">
        <v>0</v>
      </c>
      <c r="J4270" s="10" t="n">
        <v>3</v>
      </c>
      <c r="K4270" s="10" t="s">
        <v>20</v>
      </c>
      <c r="L4270" s="11" t="n">
        <v>42220.3560416667</v>
      </c>
      <c r="M4270" s="12" t="s">
        <v>4934</v>
      </c>
      <c r="N4270" s="12" t="s">
        <v>10272</v>
      </c>
      <c r="O4270" s="9" t="str">
        <f aca="false">HYPERLINK("https://pbs.twimg.com/profile_images/921418062817120258/QUc32V5j_normal.jpg","View")</f>
        <v>View</v>
      </c>
      <c r="P4270" s="10"/>
    </row>
    <row r="4271" customFormat="false" ht="15.75" hidden="false" customHeight="false" outlineLevel="0" collapsed="false">
      <c r="A4271" s="6" t="n">
        <v>43030.6135532407</v>
      </c>
      <c r="B4271" s="7" t="str">
        <f aca="false">HYPERLINK("https://twitter.com/injtokyo","@injtokyo")</f>
        <v>@injtokyo</v>
      </c>
      <c r="C4271" s="14" t="s">
        <v>10273</v>
      </c>
      <c r="D4271" s="8" t="s">
        <v>9996</v>
      </c>
      <c r="E4271" s="9" t="str">
        <f aca="false">HYPERLINK("https://twitter.com/injtokyo/status/922216874879811584","922216874879811584")</f>
        <v>922216874879811584</v>
      </c>
      <c r="F4271" s="10" t="s">
        <v>51</v>
      </c>
      <c r="G4271" s="10" t="n">
        <v>3841</v>
      </c>
      <c r="H4271" s="10" t="n">
        <v>4999</v>
      </c>
      <c r="I4271" s="10" t="n">
        <v>10</v>
      </c>
      <c r="J4271" s="10" t="n">
        <v>0</v>
      </c>
      <c r="K4271" s="10" t="s">
        <v>20</v>
      </c>
      <c r="L4271" s="11" t="n">
        <v>40356.363900463</v>
      </c>
      <c r="M4271" s="12" t="s">
        <v>10274</v>
      </c>
      <c r="N4271" s="12" t="s">
        <v>10275</v>
      </c>
      <c r="O4271" s="9" t="str">
        <f aca="false">HYPERLINK("https://pbs.twimg.com/profile_images/465682118928912384/XpXhGKf__normal.jpeg","View")</f>
        <v>View</v>
      </c>
      <c r="P4271" s="10"/>
    </row>
    <row r="4272" customFormat="false" ht="15.75" hidden="false" customHeight="false" outlineLevel="0" collapsed="false">
      <c r="A4272" s="6" t="n">
        <v>43030.6143518519</v>
      </c>
      <c r="B4272" s="7" t="str">
        <f aca="false">HYPERLINK("https://twitter.com/yuuji_K1","@yuuji_K1")</f>
        <v>@yuuji_K1</v>
      </c>
      <c r="C4272" s="8" t="s">
        <v>1490</v>
      </c>
      <c r="D4272" s="8" t="s">
        <v>10073</v>
      </c>
      <c r="E4272" s="9" t="str">
        <f aca="false">HYPERLINK("https://twitter.com/yuuji_K1/status/922217165649993728","922217165649993728")</f>
        <v>922217165649993728</v>
      </c>
      <c r="F4272" s="10" t="s">
        <v>51</v>
      </c>
      <c r="G4272" s="10" t="n">
        <v>2337</v>
      </c>
      <c r="H4272" s="10" t="n">
        <v>2256</v>
      </c>
      <c r="I4272" s="10" t="n">
        <v>5</v>
      </c>
      <c r="J4272" s="10" t="n">
        <v>0</v>
      </c>
      <c r="K4272" s="10" t="s">
        <v>20</v>
      </c>
      <c r="L4272" s="11" t="n">
        <v>41720.1160069445</v>
      </c>
      <c r="M4272" s="12"/>
      <c r="N4272" s="12" t="s">
        <v>1491</v>
      </c>
      <c r="O4272" s="9" t="str">
        <f aca="false">HYPERLINK("https://pbs.twimg.com/profile_images/447319649642770432/l3MsVwx__normal.jpeg","View")</f>
        <v>View</v>
      </c>
      <c r="P4272" s="10"/>
    </row>
    <row r="4273" customFormat="false" ht="15.75" hidden="false" customHeight="false" outlineLevel="0" collapsed="false">
      <c r="A4273" s="6" t="n">
        <v>43030.6146643519</v>
      </c>
      <c r="B4273" s="7" t="str">
        <f aca="false">HYPERLINK("https://twitter.com/kiyo880921","@kiyo880921")</f>
        <v>@kiyo880921</v>
      </c>
      <c r="C4273" s="8" t="s">
        <v>10276</v>
      </c>
      <c r="D4273" s="8" t="s">
        <v>7803</v>
      </c>
      <c r="E4273" s="9" t="str">
        <f aca="false">HYPERLINK("https://twitter.com/kiyo880921/status/922217276278894592","922217276278894592")</f>
        <v>922217276278894592</v>
      </c>
      <c r="F4273" s="10" t="s">
        <v>25</v>
      </c>
      <c r="G4273" s="10" t="n">
        <v>261</v>
      </c>
      <c r="H4273" s="10" t="n">
        <v>358</v>
      </c>
      <c r="I4273" s="10" t="n">
        <v>30</v>
      </c>
      <c r="J4273" s="10" t="n">
        <v>0</v>
      </c>
      <c r="K4273" s="10" t="s">
        <v>20</v>
      </c>
      <c r="L4273" s="11" t="n">
        <v>40828.2988425926</v>
      </c>
      <c r="M4273" s="13" t="s">
        <v>10277</v>
      </c>
      <c r="N4273" s="12" t="s">
        <v>10278</v>
      </c>
      <c r="O4273" s="9" t="str">
        <f aca="false">HYPERLINK("https://pbs.twimg.com/profile_images/1613698109/8ETF9C5w_normal","View")</f>
        <v>View</v>
      </c>
      <c r="P4273" s="10"/>
    </row>
    <row r="4274" customFormat="false" ht="15.75" hidden="false" customHeight="false" outlineLevel="0" collapsed="false">
      <c r="A4274" s="6" t="n">
        <v>43030.6146990741</v>
      </c>
      <c r="B4274" s="7" t="str">
        <f aca="false">HYPERLINK("https://twitter.com/yuuji_K1","@yuuji_K1")</f>
        <v>@yuuji_K1</v>
      </c>
      <c r="C4274" s="8" t="s">
        <v>1490</v>
      </c>
      <c r="D4274" s="8" t="s">
        <v>7371</v>
      </c>
      <c r="E4274" s="9" t="str">
        <f aca="false">HYPERLINK("https://twitter.com/yuuji_K1/status/922217287666483200","922217287666483200")</f>
        <v>922217287666483200</v>
      </c>
      <c r="F4274" s="10" t="s">
        <v>51</v>
      </c>
      <c r="G4274" s="10" t="n">
        <v>2337</v>
      </c>
      <c r="H4274" s="10" t="n">
        <v>2256</v>
      </c>
      <c r="I4274" s="10" t="n">
        <v>16</v>
      </c>
      <c r="J4274" s="10" t="n">
        <v>0</v>
      </c>
      <c r="K4274" s="10" t="s">
        <v>20</v>
      </c>
      <c r="L4274" s="11" t="n">
        <v>41720.1160069445</v>
      </c>
      <c r="M4274" s="12"/>
      <c r="N4274" s="12" t="s">
        <v>1491</v>
      </c>
      <c r="O4274" s="9" t="str">
        <f aca="false">HYPERLINK("https://pbs.twimg.com/profile_images/447319649642770432/l3MsVwx__normal.jpeg","View")</f>
        <v>View</v>
      </c>
      <c r="P4274" s="10"/>
    </row>
    <row r="4275" customFormat="false" ht="15.75" hidden="false" customHeight="false" outlineLevel="0" collapsed="false">
      <c r="A4275" s="6" t="n">
        <v>43030.6147337963</v>
      </c>
      <c r="B4275" s="7" t="str">
        <f aca="false">HYPERLINK("https://twitter.com/yuuji_K1","@yuuji_K1")</f>
        <v>@yuuji_K1</v>
      </c>
      <c r="C4275" s="8" t="s">
        <v>1490</v>
      </c>
      <c r="D4275" s="8" t="s">
        <v>7275</v>
      </c>
      <c r="E4275" s="9" t="str">
        <f aca="false">HYPERLINK("https://twitter.com/yuuji_K1/status/922217304166772736","922217304166772736")</f>
        <v>922217304166772736</v>
      </c>
      <c r="F4275" s="10" t="s">
        <v>51</v>
      </c>
      <c r="G4275" s="10" t="n">
        <v>2337</v>
      </c>
      <c r="H4275" s="10" t="n">
        <v>2256</v>
      </c>
      <c r="I4275" s="10" t="n">
        <v>9</v>
      </c>
      <c r="J4275" s="10" t="n">
        <v>0</v>
      </c>
      <c r="K4275" s="10" t="s">
        <v>20</v>
      </c>
      <c r="L4275" s="11" t="n">
        <v>41720.1160069445</v>
      </c>
      <c r="M4275" s="12"/>
      <c r="N4275" s="12" t="s">
        <v>1491</v>
      </c>
      <c r="O4275" s="9" t="str">
        <f aca="false">HYPERLINK("https://pbs.twimg.com/profile_images/447319649642770432/l3MsVwx__normal.jpeg","View")</f>
        <v>View</v>
      </c>
      <c r="P4275" s="10"/>
    </row>
    <row r="4276" customFormat="false" ht="15.75" hidden="false" customHeight="false" outlineLevel="0" collapsed="false">
      <c r="A4276" s="6" t="n">
        <v>43030.6149537037</v>
      </c>
      <c r="B4276" s="7" t="str">
        <f aca="false">HYPERLINK("https://twitter.com/MyAutoBlogging","@MyAutoBlogging")</f>
        <v>@MyAutoBlogging</v>
      </c>
      <c r="C4276" s="8" t="s">
        <v>10279</v>
      </c>
      <c r="D4276" s="8" t="s">
        <v>10280</v>
      </c>
      <c r="E4276" s="9" t="str">
        <f aca="false">HYPERLINK("https://twitter.com/MyAutoBlogging/status/922217381472092160","922217381472092160")</f>
        <v>922217381472092160</v>
      </c>
      <c r="F4276" s="10" t="s">
        <v>10279</v>
      </c>
      <c r="G4276" s="10" t="n">
        <v>8323</v>
      </c>
      <c r="H4276" s="10" t="n">
        <v>69</v>
      </c>
      <c r="I4276" s="10" t="n">
        <v>0</v>
      </c>
      <c r="J4276" s="10" t="n">
        <v>0</v>
      </c>
      <c r="K4276" s="10" t="s">
        <v>20</v>
      </c>
      <c r="L4276" s="11" t="n">
        <v>41667.7564351852</v>
      </c>
      <c r="M4276" s="12" t="s">
        <v>10281</v>
      </c>
      <c r="N4276" s="12" t="s">
        <v>10282</v>
      </c>
      <c r="O4276" s="9" t="str">
        <f aca="false">HYPERLINK("https://pbs.twimg.com/profile_images/566615020767694849/L7c1dZuH_normal.png","View")</f>
        <v>View</v>
      </c>
      <c r="P4276" s="10"/>
    </row>
    <row r="4277" customFormat="false" ht="15.75" hidden="false" customHeight="false" outlineLevel="0" collapsed="false">
      <c r="A4277" s="6" t="n">
        <v>43030.6153819444</v>
      </c>
      <c r="B4277" s="7" t="str">
        <f aca="false">HYPERLINK("https://twitter.com/Fernand67345954","@Fernand67345954")</f>
        <v>@Fernand67345954</v>
      </c>
      <c r="C4277" s="8" t="s">
        <v>10283</v>
      </c>
      <c r="D4277" s="8" t="s">
        <v>10284</v>
      </c>
      <c r="E4277" s="9" t="str">
        <f aca="false">HYPERLINK("https://twitter.com/Fernand67345954/status/922217535440687105","922217535440687105")</f>
        <v>922217535440687105</v>
      </c>
      <c r="F4277" s="10" t="s">
        <v>51</v>
      </c>
      <c r="G4277" s="10" t="n">
        <v>671</v>
      </c>
      <c r="H4277" s="10" t="n">
        <v>5001</v>
      </c>
      <c r="I4277" s="10" t="n">
        <v>0</v>
      </c>
      <c r="J4277" s="10" t="n">
        <v>0</v>
      </c>
      <c r="K4277" s="10" t="s">
        <v>20</v>
      </c>
      <c r="L4277" s="11" t="n">
        <v>42811.6804050926</v>
      </c>
      <c r="M4277" s="12" t="s">
        <v>295</v>
      </c>
      <c r="N4277" s="12"/>
      <c r="O4277" s="9" t="str">
        <f aca="false">HYPERLINK("https://pbs.twimg.com/profile_images/842893856420974592/onF5CfqK_normal.jpg","View")</f>
        <v>View</v>
      </c>
      <c r="P4277" s="10"/>
    </row>
    <row r="4278" customFormat="false" ht="15.75" hidden="false" customHeight="false" outlineLevel="0" collapsed="false">
      <c r="A4278" s="6" t="n">
        <v>43030.6157986111</v>
      </c>
      <c r="B4278" s="7" t="str">
        <f aca="false">HYPERLINK("https://twitter.com/RakiTweets","@RakiTweets")</f>
        <v>@RakiTweets</v>
      </c>
      <c r="C4278" s="8" t="s">
        <v>10220</v>
      </c>
      <c r="D4278" s="8" t="s">
        <v>6707</v>
      </c>
      <c r="E4278" s="9" t="str">
        <f aca="false">HYPERLINK("https://twitter.com/RakiTweets/status/922217687236988933","922217687236988933")</f>
        <v>922217687236988933</v>
      </c>
      <c r="F4278" s="10" t="s">
        <v>39</v>
      </c>
      <c r="G4278" s="10" t="n">
        <v>1676</v>
      </c>
      <c r="H4278" s="10" t="n">
        <v>158</v>
      </c>
      <c r="I4278" s="10" t="n">
        <v>97</v>
      </c>
      <c r="J4278" s="10" t="n">
        <v>0</v>
      </c>
      <c r="K4278" s="10" t="s">
        <v>20</v>
      </c>
      <c r="L4278" s="11" t="n">
        <v>40281.3521296296</v>
      </c>
      <c r="M4278" s="12"/>
      <c r="N4278" s="12"/>
      <c r="O4278" s="9" t="str">
        <f aca="false">HYPERLINK("https://pbs.twimg.com/profile_images/842550114724069378/GU9Lxuo4_normal.jpg","View")</f>
        <v>View</v>
      </c>
      <c r="P4278" s="10"/>
    </row>
    <row r="4279" customFormat="false" ht="15.75" hidden="false" customHeight="false" outlineLevel="0" collapsed="false">
      <c r="A4279" s="6" t="n">
        <v>43030.6162384259</v>
      </c>
      <c r="B4279" s="7" t="str">
        <f aca="false">HYPERLINK("https://twitter.com/NTKRNow","@NTKRNow")</f>
        <v>@NTKRNow</v>
      </c>
      <c r="C4279" s="8" t="s">
        <v>829</v>
      </c>
      <c r="D4279" s="8" t="s">
        <v>10285</v>
      </c>
      <c r="E4279" s="9" t="str">
        <f aca="false">HYPERLINK("https://twitter.com/NTKRNow/status/922217846486241280","922217846486241280")</f>
        <v>922217846486241280</v>
      </c>
      <c r="F4279" s="10" t="s">
        <v>60</v>
      </c>
      <c r="G4279" s="10" t="n">
        <v>610</v>
      </c>
      <c r="H4279" s="10" t="n">
        <v>4</v>
      </c>
      <c r="I4279" s="10" t="n">
        <v>0</v>
      </c>
      <c r="J4279" s="10" t="n">
        <v>0</v>
      </c>
      <c r="K4279" s="10" t="s">
        <v>20</v>
      </c>
      <c r="L4279" s="11" t="n">
        <v>42402.810625</v>
      </c>
      <c r="M4279" s="12"/>
      <c r="N4279" s="12"/>
      <c r="O4279" s="9" t="str">
        <f aca="false">HYPERLINK("https://abs.twimg.com/sticky/default_profile_images/default_profile_normal.png","View")</f>
        <v>View</v>
      </c>
      <c r="P4279" s="10"/>
    </row>
    <row r="4280" customFormat="false" ht="15.75" hidden="false" customHeight="false" outlineLevel="0" collapsed="false">
      <c r="A4280" s="6" t="n">
        <v>43030.6163194445</v>
      </c>
      <c r="B4280" s="7" t="str">
        <f aca="false">HYPERLINK("https://twitter.com/shandym","@shandym")</f>
        <v>@shandym</v>
      </c>
      <c r="C4280" s="8" t="s">
        <v>10286</v>
      </c>
      <c r="D4280" s="8" t="s">
        <v>8538</v>
      </c>
      <c r="E4280" s="9" t="str">
        <f aca="false">HYPERLINK("https://twitter.com/shandym/status/922217877263880192","922217877263880192")</f>
        <v>922217877263880192</v>
      </c>
      <c r="F4280" s="10" t="s">
        <v>25</v>
      </c>
      <c r="G4280" s="10" t="n">
        <v>100</v>
      </c>
      <c r="H4280" s="10" t="n">
        <v>302</v>
      </c>
      <c r="I4280" s="10" t="n">
        <v>1015</v>
      </c>
      <c r="J4280" s="10" t="n">
        <v>0</v>
      </c>
      <c r="K4280" s="10" t="s">
        <v>20</v>
      </c>
      <c r="L4280" s="11" t="n">
        <v>39901.0157175926</v>
      </c>
      <c r="M4280" s="12" t="s">
        <v>186</v>
      </c>
      <c r="N4280" s="12" t="s">
        <v>10287</v>
      </c>
      <c r="O4280" s="9" t="str">
        <f aca="false">HYPERLINK("https://pbs.twimg.com/profile_images/838005735652876288/KNn0Swfz_normal.jpg","View")</f>
        <v>View</v>
      </c>
      <c r="P4280" s="10"/>
    </row>
    <row r="4281" customFormat="false" ht="15.75" hidden="false" customHeight="false" outlineLevel="0" collapsed="false">
      <c r="A4281" s="6" t="n">
        <v>43030.616400463</v>
      </c>
      <c r="B4281" s="7" t="str">
        <f aca="false">HYPERLINK("https://twitter.com/ricbrownie","@ricbrownie")</f>
        <v>@ricbrownie</v>
      </c>
      <c r="C4281" s="8" t="s">
        <v>10288</v>
      </c>
      <c r="D4281" s="8" t="s">
        <v>7905</v>
      </c>
      <c r="E4281" s="9" t="str">
        <f aca="false">HYPERLINK("https://twitter.com/ricbrownie/status/922217906552713217","922217906552713217")</f>
        <v>922217906552713217</v>
      </c>
      <c r="F4281" s="10" t="s">
        <v>39</v>
      </c>
      <c r="G4281" s="10" t="n">
        <v>33</v>
      </c>
      <c r="H4281" s="10" t="n">
        <v>298</v>
      </c>
      <c r="I4281" s="10" t="n">
        <v>38</v>
      </c>
      <c r="J4281" s="10" t="n">
        <v>0</v>
      </c>
      <c r="K4281" s="10" t="s">
        <v>20</v>
      </c>
      <c r="L4281" s="11" t="n">
        <v>42919.2974768518</v>
      </c>
      <c r="M4281" s="12"/>
      <c r="N4281" s="12"/>
      <c r="O4281" s="9" t="str">
        <f aca="false">HYPERLINK("https://abs.twimg.com/sticky/default_profile_images/default_profile_normal.png","View")</f>
        <v>View</v>
      </c>
      <c r="P4281" s="10"/>
    </row>
    <row r="4282" customFormat="false" ht="15.75" hidden="false" customHeight="false" outlineLevel="0" collapsed="false">
      <c r="A4282" s="6" t="n">
        <v>43030.6165046296</v>
      </c>
      <c r="B4282" s="7" t="str">
        <f aca="false">HYPERLINK("https://twitter.com/shardsambit","@shardsambit")</f>
        <v>@shardsambit</v>
      </c>
      <c r="C4282" s="8" t="s">
        <v>10289</v>
      </c>
      <c r="D4282" s="8" t="s">
        <v>9670</v>
      </c>
      <c r="E4282" s="9" t="str">
        <f aca="false">HYPERLINK("https://twitter.com/shardsambit/status/922217944628600832","922217944628600832")</f>
        <v>922217944628600832</v>
      </c>
      <c r="F4282" s="10" t="s">
        <v>25</v>
      </c>
      <c r="G4282" s="10" t="n">
        <v>810</v>
      </c>
      <c r="H4282" s="10" t="n">
        <v>656</v>
      </c>
      <c r="I4282" s="10" t="n">
        <v>11</v>
      </c>
      <c r="J4282" s="10" t="n">
        <v>0</v>
      </c>
      <c r="K4282" s="10" t="s">
        <v>20</v>
      </c>
      <c r="L4282" s="11" t="n">
        <v>40494.7476041667</v>
      </c>
      <c r="M4282" s="12" t="s">
        <v>10290</v>
      </c>
      <c r="N4282" s="12" t="s">
        <v>10291</v>
      </c>
      <c r="O4282" s="9" t="str">
        <f aca="false">HYPERLINK("https://pbs.twimg.com/profile_images/871893566217310208/G4FTXU7x_normal.jpg","View")</f>
        <v>View</v>
      </c>
      <c r="P4282" s="10"/>
    </row>
    <row r="4283" customFormat="false" ht="15.75" hidden="false" customHeight="false" outlineLevel="0" collapsed="false">
      <c r="A4283" s="6" t="n">
        <v>43030.6167476852</v>
      </c>
      <c r="B4283" s="7" t="str">
        <f aca="false">HYPERLINK("https://twitter.com/waweru","@waweru")</f>
        <v>@waweru</v>
      </c>
      <c r="C4283" s="8" t="s">
        <v>10292</v>
      </c>
      <c r="D4283" s="8" t="s">
        <v>10225</v>
      </c>
      <c r="E4283" s="9" t="str">
        <f aca="false">HYPERLINK("https://twitter.com/waweru/status/922218032063279105","922218032063279105")</f>
        <v>922218032063279105</v>
      </c>
      <c r="F4283" s="10" t="s">
        <v>51</v>
      </c>
      <c r="G4283" s="10" t="n">
        <v>2376</v>
      </c>
      <c r="H4283" s="10" t="n">
        <v>2901</v>
      </c>
      <c r="I4283" s="10" t="n">
        <v>16</v>
      </c>
      <c r="J4283" s="10" t="n">
        <v>0</v>
      </c>
      <c r="K4283" s="10" t="s">
        <v>20</v>
      </c>
      <c r="L4283" s="11" t="n">
        <v>39267.1942708333</v>
      </c>
      <c r="M4283" s="12"/>
      <c r="N4283" s="12" t="s">
        <v>10293</v>
      </c>
      <c r="O4283" s="9" t="str">
        <f aca="false">HYPERLINK("https://pbs.twimg.com/profile_images/378800000129449578/c0cef7794dc04876b3bc45593b062cf5_normal.jpeg","View")</f>
        <v>View</v>
      </c>
      <c r="P4283" s="10"/>
    </row>
    <row r="4284" customFormat="false" ht="15.75" hidden="false" customHeight="false" outlineLevel="0" collapsed="false">
      <c r="A4284" s="6" t="n">
        <v>43030.6178587963</v>
      </c>
      <c r="B4284" s="7" t="str">
        <f aca="false">HYPERLINK("https://twitter.com/socialnn","@socialnn")</f>
        <v>@socialnn</v>
      </c>
      <c r="C4284" s="8" t="s">
        <v>10294</v>
      </c>
      <c r="D4284" s="8" t="s">
        <v>10295</v>
      </c>
      <c r="E4284" s="9" t="str">
        <f aca="false">HYPERLINK("https://twitter.com/socialnn/status/922218436759080961","922218436759080961")</f>
        <v>922218436759080961</v>
      </c>
      <c r="F4284" s="10" t="s">
        <v>39</v>
      </c>
      <c r="G4284" s="10" t="n">
        <v>1634</v>
      </c>
      <c r="H4284" s="10" t="n">
        <v>2117</v>
      </c>
      <c r="I4284" s="10" t="n">
        <v>0</v>
      </c>
      <c r="J4284" s="10" t="n">
        <v>0</v>
      </c>
      <c r="K4284" s="10" t="s">
        <v>20</v>
      </c>
      <c r="L4284" s="11" t="n">
        <v>40974.544375</v>
      </c>
      <c r="M4284" s="12" t="s">
        <v>10296</v>
      </c>
      <c r="N4284" s="12" t="s">
        <v>10297</v>
      </c>
      <c r="O4284" s="9" t="str">
        <f aca="false">HYPERLINK("https://pbs.twimg.com/profile_images/2148443354/Usesocial_normal.jpg","View")</f>
        <v>View</v>
      </c>
      <c r="P4284" s="10"/>
    </row>
    <row r="4285" customFormat="false" ht="15.75" hidden="false" customHeight="false" outlineLevel="0" collapsed="false">
      <c r="A4285" s="6" t="n">
        <v>43030.6179050926</v>
      </c>
      <c r="B4285" s="7" t="str">
        <f aca="false">HYPERLINK("https://twitter.com/marvellous997","@marvellous997")</f>
        <v>@marvellous997</v>
      </c>
      <c r="C4285" s="8" t="s">
        <v>1788</v>
      </c>
      <c r="D4285" s="8" t="s">
        <v>10298</v>
      </c>
      <c r="E4285" s="9" t="str">
        <f aca="false">HYPERLINK("https://twitter.com/marvellous997/status/922218452202479616","922218452202479616")</f>
        <v>922218452202479616</v>
      </c>
      <c r="F4285" s="10" t="s">
        <v>55</v>
      </c>
      <c r="G4285" s="10" t="n">
        <v>792</v>
      </c>
      <c r="H4285" s="10" t="n">
        <v>59</v>
      </c>
      <c r="I4285" s="10" t="n">
        <v>0</v>
      </c>
      <c r="J4285" s="10" t="n">
        <v>0</v>
      </c>
      <c r="K4285" s="10" t="s">
        <v>20</v>
      </c>
      <c r="L4285" s="11" t="n">
        <v>41334.1588078704</v>
      </c>
      <c r="M4285" s="12" t="s">
        <v>1790</v>
      </c>
      <c r="N4285" s="12" t="s">
        <v>1791</v>
      </c>
      <c r="O4285" s="9" t="str">
        <f aca="false">HYPERLINK("https://pbs.twimg.com/profile_images/765082261150720000/AKwZsJGh_normal.jpg","View")</f>
        <v>View</v>
      </c>
      <c r="P4285" s="10"/>
    </row>
    <row r="4286" customFormat="false" ht="15.75" hidden="false" customHeight="false" outlineLevel="0" collapsed="false">
      <c r="A4286" s="6" t="n">
        <v>43030.6181712963</v>
      </c>
      <c r="B4286" s="7" t="str">
        <f aca="false">HYPERLINK("https://twitter.com/Victor_Sedge","@Victor_Sedge")</f>
        <v>@Victor_Sedge</v>
      </c>
      <c r="C4286" s="8" t="s">
        <v>10299</v>
      </c>
      <c r="D4286" s="8" t="s">
        <v>6707</v>
      </c>
      <c r="E4286" s="9" t="str">
        <f aca="false">HYPERLINK("https://twitter.com/Victor_Sedge/status/922218546871992320","922218546871992320")</f>
        <v>922218546871992320</v>
      </c>
      <c r="F4286" s="10" t="s">
        <v>39</v>
      </c>
      <c r="G4286" s="10" t="n">
        <v>1642</v>
      </c>
      <c r="H4286" s="10" t="n">
        <v>3126</v>
      </c>
      <c r="I4286" s="10" t="n">
        <v>97</v>
      </c>
      <c r="J4286" s="10" t="n">
        <v>0</v>
      </c>
      <c r="K4286" s="10" t="s">
        <v>20</v>
      </c>
      <c r="L4286" s="11" t="n">
        <v>40698.230787037</v>
      </c>
      <c r="M4286" s="12" t="s">
        <v>574</v>
      </c>
      <c r="N4286" s="13" t="s">
        <v>10300</v>
      </c>
      <c r="O4286" s="9" t="str">
        <f aca="false">HYPERLINK("https://pbs.twimg.com/profile_images/918650882715041793/DF8LyiM5_normal.jpg","View")</f>
        <v>View</v>
      </c>
      <c r="P4286" s="10"/>
    </row>
    <row r="4287" customFormat="false" ht="15.75" hidden="false" customHeight="false" outlineLevel="0" collapsed="false">
      <c r="A4287" s="6" t="n">
        <v>43030.6182175926</v>
      </c>
      <c r="B4287" s="7" t="str">
        <f aca="false">HYPERLINK("https://twitter.com/Dr_GautamMKCG","@Dr_GautamMKCG")</f>
        <v>@Dr_GautamMKCG</v>
      </c>
      <c r="C4287" s="8" t="s">
        <v>9531</v>
      </c>
      <c r="D4287" s="8" t="s">
        <v>10168</v>
      </c>
      <c r="E4287" s="9" t="str">
        <f aca="false">HYPERLINK("https://twitter.com/Dr_GautamMKCG/status/922218563259138048","922218563259138048")</f>
        <v>922218563259138048</v>
      </c>
      <c r="F4287" s="10" t="s">
        <v>25</v>
      </c>
      <c r="G4287" s="10" t="n">
        <v>154</v>
      </c>
      <c r="H4287" s="10" t="n">
        <v>336</v>
      </c>
      <c r="I4287" s="10" t="n">
        <v>25</v>
      </c>
      <c r="J4287" s="10" t="n">
        <v>0</v>
      </c>
      <c r="K4287" s="10" t="s">
        <v>20</v>
      </c>
      <c r="L4287" s="11" t="n">
        <v>40906.0100810185</v>
      </c>
      <c r="M4287" s="12"/>
      <c r="N4287" s="12" t="s">
        <v>9532</v>
      </c>
      <c r="O4287" s="9" t="str">
        <f aca="false">HYPERLINK("https://pbs.twimg.com/profile_images/870631104117579776/lbpRb3Hy_normal.jpg","View")</f>
        <v>View</v>
      </c>
      <c r="P4287" s="10"/>
    </row>
    <row r="4288" customFormat="false" ht="15.75" hidden="false" customHeight="false" outlineLevel="0" collapsed="false">
      <c r="A4288" s="6" t="n">
        <v>43030.6182175926</v>
      </c>
      <c r="B4288" s="7" t="str">
        <f aca="false">HYPERLINK("https://twitter.com/Victor_Sedge","@Victor_Sedge")</f>
        <v>@Victor_Sedge</v>
      </c>
      <c r="C4288" s="8" t="s">
        <v>10299</v>
      </c>
      <c r="D4288" s="8" t="s">
        <v>7803</v>
      </c>
      <c r="E4288" s="9" t="str">
        <f aca="false">HYPERLINK("https://twitter.com/Victor_Sedge/status/922218565574336512","922218565574336512")</f>
        <v>922218565574336512</v>
      </c>
      <c r="F4288" s="10" t="s">
        <v>39</v>
      </c>
      <c r="G4288" s="10" t="n">
        <v>1642</v>
      </c>
      <c r="H4288" s="10" t="n">
        <v>3126</v>
      </c>
      <c r="I4288" s="10" t="n">
        <v>30</v>
      </c>
      <c r="J4288" s="10" t="n">
        <v>0</v>
      </c>
      <c r="K4288" s="10" t="s">
        <v>20</v>
      </c>
      <c r="L4288" s="11" t="n">
        <v>40698.230787037</v>
      </c>
      <c r="M4288" s="12" t="s">
        <v>574</v>
      </c>
      <c r="N4288" s="13" t="s">
        <v>10300</v>
      </c>
      <c r="O4288" s="9" t="str">
        <f aca="false">HYPERLINK("https://pbs.twimg.com/profile_images/918650882715041793/DF8LyiM5_normal.jpg","View")</f>
        <v>View</v>
      </c>
      <c r="P4288" s="10"/>
    </row>
    <row r="4289" customFormat="false" ht="15.75" hidden="false" customHeight="false" outlineLevel="0" collapsed="false">
      <c r="A4289" s="6" t="n">
        <v>43030.618275463</v>
      </c>
      <c r="B4289" s="7" t="str">
        <f aca="false">HYPERLINK("https://twitter.com/SavetheUSNation","@SavetheUSNation")</f>
        <v>@SavetheUSNation</v>
      </c>
      <c r="C4289" s="8" t="s">
        <v>8808</v>
      </c>
      <c r="D4289" s="8" t="s">
        <v>10301</v>
      </c>
      <c r="E4289" s="9" t="str">
        <f aca="false">HYPERLINK("https://twitter.com/SavetheUSNation/status/922218585820409856","922218585820409856")</f>
        <v>922218585820409856</v>
      </c>
      <c r="F4289" s="10" t="s">
        <v>60</v>
      </c>
      <c r="G4289" s="10" t="n">
        <v>1014</v>
      </c>
      <c r="H4289" s="10" t="n">
        <v>361</v>
      </c>
      <c r="I4289" s="10" t="n">
        <v>0</v>
      </c>
      <c r="J4289" s="10" t="n">
        <v>0</v>
      </c>
      <c r="K4289" s="10" t="s">
        <v>20</v>
      </c>
      <c r="L4289" s="11" t="n">
        <v>42071.6278472222</v>
      </c>
      <c r="M4289" s="12" t="s">
        <v>230</v>
      </c>
      <c r="N4289" s="12" t="s">
        <v>8810</v>
      </c>
      <c r="O4289" s="9" t="str">
        <f aca="false">HYPERLINK("https://pbs.twimg.com/profile_images/886025562833027072/7NlPkmM6_normal.jpg","View")</f>
        <v>View</v>
      </c>
      <c r="P4289" s="10"/>
    </row>
    <row r="4290" customFormat="false" ht="15.75" hidden="false" customHeight="false" outlineLevel="0" collapsed="false">
      <c r="A4290" s="6" t="n">
        <v>43030.6187847222</v>
      </c>
      <c r="B4290" s="7" t="str">
        <f aca="false">HYPERLINK("https://twitter.com/Deep_37_2000","@Deep_37_2000")</f>
        <v>@Deep_37_2000</v>
      </c>
      <c r="C4290" s="8" t="s">
        <v>10302</v>
      </c>
      <c r="D4290" s="8" t="s">
        <v>8538</v>
      </c>
      <c r="E4290" s="9" t="str">
        <f aca="false">HYPERLINK("https://twitter.com/Deep_37_2000/status/922218769790877697","922218769790877697")</f>
        <v>922218769790877697</v>
      </c>
      <c r="F4290" s="10" t="s">
        <v>39</v>
      </c>
      <c r="G4290" s="10" t="n">
        <v>457</v>
      </c>
      <c r="H4290" s="10" t="n">
        <v>2515</v>
      </c>
      <c r="I4290" s="10" t="n">
        <v>1015</v>
      </c>
      <c r="J4290" s="10" t="n">
        <v>0</v>
      </c>
      <c r="K4290" s="10" t="s">
        <v>20</v>
      </c>
      <c r="L4290" s="11" t="n">
        <v>41329.0313078704</v>
      </c>
      <c r="M4290" s="12" t="s">
        <v>4839</v>
      </c>
      <c r="N4290" s="12" t="s">
        <v>10303</v>
      </c>
      <c r="O4290" s="9" t="str">
        <f aca="false">HYPERLINK("https://pbs.twimg.com/profile_images/648264177912406016/y7wq7I15_normal.jpg","View")</f>
        <v>View</v>
      </c>
      <c r="P4290" s="10"/>
    </row>
    <row r="4291" customFormat="false" ht="15.75" hidden="false" customHeight="false" outlineLevel="0" collapsed="false">
      <c r="A4291" s="6" t="n">
        <v>43030.6191666667</v>
      </c>
      <c r="B4291" s="7" t="str">
        <f aca="false">HYPERLINK("https://twitter.com/Bhunju","@Bhunju")</f>
        <v>@Bhunju</v>
      </c>
      <c r="C4291" s="8" t="s">
        <v>10304</v>
      </c>
      <c r="D4291" s="8" t="s">
        <v>6707</v>
      </c>
      <c r="E4291" s="9" t="str">
        <f aca="false">HYPERLINK("https://twitter.com/Bhunju/status/922218910438580224","922218910438580224")</f>
        <v>922218910438580224</v>
      </c>
      <c r="F4291" s="10" t="s">
        <v>25</v>
      </c>
      <c r="G4291" s="10" t="n">
        <v>711</v>
      </c>
      <c r="H4291" s="10" t="n">
        <v>1923</v>
      </c>
      <c r="I4291" s="10" t="n">
        <v>97</v>
      </c>
      <c r="J4291" s="10" t="n">
        <v>0</v>
      </c>
      <c r="K4291" s="10" t="s">
        <v>20</v>
      </c>
      <c r="L4291" s="11" t="n">
        <v>40528.9678703704</v>
      </c>
      <c r="M4291" s="12" t="s">
        <v>230</v>
      </c>
      <c r="N4291" s="12" t="s">
        <v>10305</v>
      </c>
      <c r="O4291" s="9" t="str">
        <f aca="false">HYPERLINK("https://pbs.twimg.com/profile_images/700581534990864384/Ot_NjNDD_normal.jpg","View")</f>
        <v>View</v>
      </c>
      <c r="P4291" s="10"/>
    </row>
    <row r="4292" customFormat="false" ht="15.75" hidden="false" customHeight="false" outlineLevel="0" collapsed="false">
      <c r="A4292" s="6" t="n">
        <v>43030.6192939815</v>
      </c>
      <c r="B4292" s="7" t="str">
        <f aca="false">HYPERLINK("https://twitter.com/sanjayranbir","@sanjayranbir")</f>
        <v>@sanjayranbir</v>
      </c>
      <c r="C4292" s="8" t="s">
        <v>10306</v>
      </c>
      <c r="D4292" s="8" t="s">
        <v>10307</v>
      </c>
      <c r="E4292" s="9" t="str">
        <f aca="false">HYPERLINK("https://twitter.com/sanjayranbir/status/922218953459552256","922218953459552256")</f>
        <v>922218953459552256</v>
      </c>
      <c r="F4292" s="10" t="s">
        <v>39</v>
      </c>
      <c r="G4292" s="10" t="n">
        <v>3744</v>
      </c>
      <c r="H4292" s="10" t="n">
        <v>1162</v>
      </c>
      <c r="I4292" s="10" t="n">
        <v>0</v>
      </c>
      <c r="J4292" s="10" t="n">
        <v>0</v>
      </c>
      <c r="K4292" s="10" t="s">
        <v>20</v>
      </c>
      <c r="L4292" s="11" t="n">
        <v>40010.2472453704</v>
      </c>
      <c r="M4292" s="12" t="s">
        <v>10308</v>
      </c>
      <c r="N4292" s="12" t="s">
        <v>10309</v>
      </c>
      <c r="O4292" s="9" t="str">
        <f aca="false">HYPERLINK("https://pbs.twimg.com/profile_images/858843365844111362/-8hg8Kzc_normal.jpg","View")</f>
        <v>View</v>
      </c>
      <c r="P4292" s="10"/>
    </row>
    <row r="4293" customFormat="false" ht="15.75" hidden="false" customHeight="false" outlineLevel="0" collapsed="false">
      <c r="A4293" s="6" t="n">
        <v>43030.6195833333</v>
      </c>
      <c r="B4293" s="7" t="str">
        <f aca="false">HYPERLINK("https://twitter.com/jqk7194","@jqk7194")</f>
        <v>@jqk7194</v>
      </c>
      <c r="C4293" s="8" t="s">
        <v>10310</v>
      </c>
      <c r="D4293" s="8" t="s">
        <v>7515</v>
      </c>
      <c r="E4293" s="9" t="str">
        <f aca="false">HYPERLINK("https://twitter.com/jqk7194/status/922219057889316864","922219057889316864")</f>
        <v>922219057889316864</v>
      </c>
      <c r="F4293" s="10" t="s">
        <v>25</v>
      </c>
      <c r="G4293" s="10" t="n">
        <v>2129</v>
      </c>
      <c r="H4293" s="10" t="n">
        <v>5001</v>
      </c>
      <c r="I4293" s="10" t="n">
        <v>25</v>
      </c>
      <c r="J4293" s="10" t="n">
        <v>0</v>
      </c>
      <c r="K4293" s="10" t="s">
        <v>20</v>
      </c>
      <c r="L4293" s="11" t="n">
        <v>39885.7234606481</v>
      </c>
      <c r="M4293" s="12"/>
      <c r="N4293" s="12" t="s">
        <v>10311</v>
      </c>
      <c r="O4293" s="9" t="str">
        <f aca="false">HYPERLINK("https://pbs.twimg.com/profile_images/533259350609891328/yAlSdl0H_normal.jpeg","View")</f>
        <v>View</v>
      </c>
      <c r="P4293" s="10"/>
    </row>
    <row r="4294" customFormat="false" ht="15.75" hidden="false" customHeight="false" outlineLevel="0" collapsed="false">
      <c r="A4294" s="6" t="n">
        <v>43030.6196759259</v>
      </c>
      <c r="B4294" s="7" t="str">
        <f aca="false">HYPERLINK("https://twitter.com/jqk7194","@jqk7194")</f>
        <v>@jqk7194</v>
      </c>
      <c r="C4294" s="8" t="s">
        <v>10310</v>
      </c>
      <c r="D4294" s="8" t="s">
        <v>4984</v>
      </c>
      <c r="E4294" s="9" t="str">
        <f aca="false">HYPERLINK("https://twitter.com/jqk7194/status/922219092479823873","922219092479823873")</f>
        <v>922219092479823873</v>
      </c>
      <c r="F4294" s="10" t="s">
        <v>25</v>
      </c>
      <c r="G4294" s="10" t="n">
        <v>2129</v>
      </c>
      <c r="H4294" s="10" t="n">
        <v>5001</v>
      </c>
      <c r="I4294" s="10" t="n">
        <v>187</v>
      </c>
      <c r="J4294" s="10" t="n">
        <v>0</v>
      </c>
      <c r="K4294" s="10" t="s">
        <v>20</v>
      </c>
      <c r="L4294" s="11" t="n">
        <v>39885.7234606481</v>
      </c>
      <c r="M4294" s="12"/>
      <c r="N4294" s="12" t="s">
        <v>10311</v>
      </c>
      <c r="O4294" s="9" t="str">
        <f aca="false">HYPERLINK("https://pbs.twimg.com/profile_images/533259350609891328/yAlSdl0H_normal.jpeg","View")</f>
        <v>View</v>
      </c>
      <c r="P4294" s="10"/>
    </row>
    <row r="4295" customFormat="false" ht="15.75" hidden="false" customHeight="false" outlineLevel="0" collapsed="false">
      <c r="A4295" s="6" t="n">
        <v>43030.6197337963</v>
      </c>
      <c r="B4295" s="7" t="str">
        <f aca="false">HYPERLINK("https://twitter.com/jqk7194","@jqk7194")</f>
        <v>@jqk7194</v>
      </c>
      <c r="C4295" s="8" t="s">
        <v>10310</v>
      </c>
      <c r="D4295" s="8" t="s">
        <v>4068</v>
      </c>
      <c r="E4295" s="9" t="str">
        <f aca="false">HYPERLINK("https://twitter.com/jqk7194/status/922219114155962374","922219114155962374")</f>
        <v>922219114155962374</v>
      </c>
      <c r="F4295" s="10" t="s">
        <v>25</v>
      </c>
      <c r="G4295" s="10" t="n">
        <v>2129</v>
      </c>
      <c r="H4295" s="10" t="n">
        <v>5001</v>
      </c>
      <c r="I4295" s="10" t="n">
        <v>50</v>
      </c>
      <c r="J4295" s="10" t="n">
        <v>0</v>
      </c>
      <c r="K4295" s="10" t="s">
        <v>20</v>
      </c>
      <c r="L4295" s="11" t="n">
        <v>39885.7234606481</v>
      </c>
      <c r="M4295" s="12"/>
      <c r="N4295" s="12" t="s">
        <v>10311</v>
      </c>
      <c r="O4295" s="9" t="str">
        <f aca="false">HYPERLINK("https://pbs.twimg.com/profile_images/533259350609891328/yAlSdl0H_normal.jpeg","View")</f>
        <v>View</v>
      </c>
      <c r="P4295" s="10"/>
    </row>
    <row r="4296" customFormat="false" ht="15.75" hidden="false" customHeight="false" outlineLevel="0" collapsed="false">
      <c r="A4296" s="6" t="n">
        <v>43030.6201736111</v>
      </c>
      <c r="B4296" s="7" t="str">
        <f aca="false">HYPERLINK("https://twitter.com/SingapoRRe","@SingapoRRe")</f>
        <v>@SingapoRRe</v>
      </c>
      <c r="C4296" s="8" t="s">
        <v>186</v>
      </c>
      <c r="D4296" s="8" t="s">
        <v>10312</v>
      </c>
      <c r="E4296" s="9" t="str">
        <f aca="false">HYPERLINK("https://twitter.com/SingapoRRe/status/922219271899492352","922219271899492352")</f>
        <v>922219271899492352</v>
      </c>
      <c r="F4296" s="10" t="s">
        <v>6103</v>
      </c>
      <c r="G4296" s="10" t="n">
        <v>2428</v>
      </c>
      <c r="H4296" s="10" t="n">
        <v>1411</v>
      </c>
      <c r="I4296" s="10" t="n">
        <v>0</v>
      </c>
      <c r="J4296" s="10" t="n">
        <v>0</v>
      </c>
      <c r="K4296" s="10" t="s">
        <v>20</v>
      </c>
      <c r="L4296" s="11" t="n">
        <v>41967.9496296296</v>
      </c>
      <c r="M4296" s="12"/>
      <c r="N4296" s="12" t="s">
        <v>10313</v>
      </c>
      <c r="O4296" s="9" t="str">
        <f aca="false">HYPERLINK("https://pbs.twimg.com/profile_images/749157593252233221/ZZTQW68O_normal.jpg","View")</f>
        <v>View</v>
      </c>
      <c r="P4296" s="10"/>
    </row>
    <row r="4297" customFormat="false" ht="15.75" hidden="false" customHeight="false" outlineLevel="0" collapsed="false">
      <c r="A4297" s="6" t="n">
        <v>43030.6208333333</v>
      </c>
      <c r="B4297" s="7" t="str">
        <f aca="false">HYPERLINK("https://twitter.com/tepunamike","@tepunamike")</f>
        <v>@tepunamike</v>
      </c>
      <c r="C4297" s="8" t="s">
        <v>10314</v>
      </c>
      <c r="D4297" s="8" t="s">
        <v>8871</v>
      </c>
      <c r="E4297" s="9" t="str">
        <f aca="false">HYPERLINK("https://twitter.com/tepunamike/status/922219511842869248","922219511842869248")</f>
        <v>922219511842869248</v>
      </c>
      <c r="F4297" s="10" t="s">
        <v>51</v>
      </c>
      <c r="G4297" s="10" t="n">
        <v>1782</v>
      </c>
      <c r="H4297" s="10" t="n">
        <v>151</v>
      </c>
      <c r="I4297" s="10" t="n">
        <v>7</v>
      </c>
      <c r="J4297" s="10" t="n">
        <v>0</v>
      </c>
      <c r="K4297" s="10" t="s">
        <v>20</v>
      </c>
      <c r="L4297" s="11" t="n">
        <v>40860.0126967593</v>
      </c>
      <c r="M4297" s="12" t="s">
        <v>10315</v>
      </c>
      <c r="N4297" s="12" t="s">
        <v>10316</v>
      </c>
      <c r="O4297" s="9" t="str">
        <f aca="false">HYPERLINK("https://pbs.twimg.com/profile_images/2714506510/e9df4228a8655340c8593bf1f6bbdacc_normal.jpeg","View")</f>
        <v>View</v>
      </c>
      <c r="P4297" s="10"/>
    </row>
    <row r="4298" customFormat="false" ht="15.75" hidden="false" customHeight="false" outlineLevel="0" collapsed="false">
      <c r="A4298" s="6" t="n">
        <v>43030.6218287037</v>
      </c>
      <c r="B4298" s="7" t="str">
        <f aca="false">HYPERLINK("https://twitter.com/sastrychada","@sastrychada")</f>
        <v>@sastrychada</v>
      </c>
      <c r="C4298" s="8" t="s">
        <v>10317</v>
      </c>
      <c r="D4298" s="8" t="s">
        <v>8538</v>
      </c>
      <c r="E4298" s="9" t="str">
        <f aca="false">HYPERLINK("https://twitter.com/sastrychada/status/922219874876715009","922219874876715009")</f>
        <v>922219874876715009</v>
      </c>
      <c r="F4298" s="10" t="s">
        <v>25</v>
      </c>
      <c r="G4298" s="10" t="n">
        <v>2694</v>
      </c>
      <c r="H4298" s="10" t="n">
        <v>3541</v>
      </c>
      <c r="I4298" s="10" t="n">
        <v>1015</v>
      </c>
      <c r="J4298" s="10" t="n">
        <v>0</v>
      </c>
      <c r="K4298" s="10" t="s">
        <v>20</v>
      </c>
      <c r="L4298" s="11" t="n">
        <v>40252.8302083333</v>
      </c>
      <c r="M4298" s="12"/>
      <c r="N4298" s="12" t="s">
        <v>10318</v>
      </c>
      <c r="O4298" s="9" t="str">
        <f aca="false">HYPERLINK("https://pbs.twimg.com/profile_images/902916704480575488/35kVdnd6_normal.jpg","View")</f>
        <v>View</v>
      </c>
      <c r="P4298" s="10"/>
    </row>
    <row r="4299" customFormat="false" ht="15.75" hidden="false" customHeight="false" outlineLevel="0" collapsed="false">
      <c r="A4299" s="6" t="n">
        <v>43030.6219212963</v>
      </c>
      <c r="B4299" s="7" t="str">
        <f aca="false">HYPERLINK("https://twitter.com/breakingknowlez","@breakingknowlez")</f>
        <v>@breakingknowlez</v>
      </c>
      <c r="C4299" s="8" t="s">
        <v>9708</v>
      </c>
      <c r="D4299" s="8" t="s">
        <v>10319</v>
      </c>
      <c r="E4299" s="9" t="str">
        <f aca="false">HYPERLINK("https://twitter.com/breakingknowlez/status/922219907303006208","922219907303006208")</f>
        <v>922219907303006208</v>
      </c>
      <c r="F4299" s="10" t="s">
        <v>55</v>
      </c>
      <c r="G4299" s="10" t="n">
        <v>379</v>
      </c>
      <c r="H4299" s="10" t="n">
        <v>100</v>
      </c>
      <c r="I4299" s="10" t="n">
        <v>0</v>
      </c>
      <c r="J4299" s="10" t="n">
        <v>0</v>
      </c>
      <c r="K4299" s="10" t="s">
        <v>20</v>
      </c>
      <c r="L4299" s="11" t="n">
        <v>41087.2706134259</v>
      </c>
      <c r="M4299" s="12" t="s">
        <v>7434</v>
      </c>
      <c r="N4299" s="12" t="s">
        <v>9710</v>
      </c>
      <c r="O4299" s="9" t="str">
        <f aca="false">HYPERLINK("https://pbs.twimg.com/profile_images/665966096663506944/cBf1Cg_c_normal.png","View")</f>
        <v>View</v>
      </c>
      <c r="P4299" s="10"/>
    </row>
    <row r="4300" customFormat="false" ht="15.75" hidden="false" customHeight="false" outlineLevel="0" collapsed="false">
      <c r="A4300" s="6" t="n">
        <v>43030.6236574074</v>
      </c>
      <c r="B4300" s="7" t="str">
        <f aca="false">HYPERLINK("https://twitter.com/VarshaThacker","@VarshaThacker")</f>
        <v>@VarshaThacker</v>
      </c>
      <c r="C4300" s="8" t="s">
        <v>10320</v>
      </c>
      <c r="D4300" s="8" t="s">
        <v>8538</v>
      </c>
      <c r="E4300" s="9" t="str">
        <f aca="false">HYPERLINK("https://twitter.com/VarshaThacker/status/922220537329225728","922220537329225728")</f>
        <v>922220537329225728</v>
      </c>
      <c r="F4300" s="10" t="s">
        <v>25</v>
      </c>
      <c r="G4300" s="10" t="n">
        <v>1665</v>
      </c>
      <c r="H4300" s="10" t="n">
        <v>1262</v>
      </c>
      <c r="I4300" s="10" t="n">
        <v>1015</v>
      </c>
      <c r="J4300" s="10" t="n">
        <v>0</v>
      </c>
      <c r="K4300" s="10" t="s">
        <v>20</v>
      </c>
      <c r="L4300" s="11" t="n">
        <v>40722.978599537</v>
      </c>
      <c r="M4300" s="12"/>
      <c r="N4300" s="12" t="s">
        <v>10321</v>
      </c>
      <c r="O4300" s="9" t="str">
        <f aca="false">HYPERLINK("https://pbs.twimg.com/profile_images/1769898041/296511_258089804213745_257688954253830_845150_965099604_n__1__normal.jpg","View")</f>
        <v>View</v>
      </c>
      <c r="P4300" s="10"/>
    </row>
    <row r="4301" customFormat="false" ht="15.75" hidden="false" customHeight="false" outlineLevel="0" collapsed="false">
      <c r="A4301" s="6" t="n">
        <v>43030.6237962963</v>
      </c>
      <c r="B4301" s="7" t="str">
        <f aca="false">HYPERLINK("https://twitter.com/silkyshradha","@silkyshradha")</f>
        <v>@silkyshradha</v>
      </c>
      <c r="C4301" s="8" t="s">
        <v>10322</v>
      </c>
      <c r="D4301" s="8" t="s">
        <v>8538</v>
      </c>
      <c r="E4301" s="9" t="str">
        <f aca="false">HYPERLINK("https://twitter.com/silkyshradha/status/922220585618325504","922220585618325504")</f>
        <v>922220585618325504</v>
      </c>
      <c r="F4301" s="10" t="s">
        <v>25</v>
      </c>
      <c r="G4301" s="10" t="n">
        <v>109</v>
      </c>
      <c r="H4301" s="10" t="n">
        <v>46</v>
      </c>
      <c r="I4301" s="10" t="n">
        <v>1015</v>
      </c>
      <c r="J4301" s="10" t="n">
        <v>0</v>
      </c>
      <c r="K4301" s="10" t="s">
        <v>20</v>
      </c>
      <c r="L4301" s="11" t="n">
        <v>40719.5538773148</v>
      </c>
      <c r="M4301" s="12" t="s">
        <v>10323</v>
      </c>
      <c r="N4301" s="12" t="s">
        <v>10324</v>
      </c>
      <c r="O4301" s="9" t="str">
        <f aca="false">HYPERLINK("https://abs.twimg.com/sticky/default_profile_images/default_profile_normal.png","View")</f>
        <v>View</v>
      </c>
      <c r="P4301" s="10"/>
    </row>
    <row r="4302" customFormat="false" ht="15.75" hidden="false" customHeight="false" outlineLevel="0" collapsed="false">
      <c r="A4302" s="6" t="n">
        <v>43030.6241666667</v>
      </c>
      <c r="B4302" s="7" t="str">
        <f aca="false">HYPERLINK("https://twitter.com/KhusrauKhan","@KhusrauKhan")</f>
        <v>@KhusrauKhan</v>
      </c>
      <c r="C4302" s="8" t="s">
        <v>10325</v>
      </c>
      <c r="D4302" s="8" t="s">
        <v>8538</v>
      </c>
      <c r="E4302" s="9" t="str">
        <f aca="false">HYPERLINK("https://twitter.com/KhusrauKhan/status/922220720553209856","922220720553209856")</f>
        <v>922220720553209856</v>
      </c>
      <c r="F4302" s="10" t="s">
        <v>25</v>
      </c>
      <c r="G4302" s="10" t="n">
        <v>116</v>
      </c>
      <c r="H4302" s="10" t="n">
        <v>643</v>
      </c>
      <c r="I4302" s="10" t="n">
        <v>1015</v>
      </c>
      <c r="J4302" s="10" t="n">
        <v>0</v>
      </c>
      <c r="K4302" s="10" t="s">
        <v>20</v>
      </c>
      <c r="L4302" s="11" t="n">
        <v>42855.6904166667</v>
      </c>
      <c r="M4302" s="12"/>
      <c r="N4302" s="12" t="s">
        <v>10326</v>
      </c>
      <c r="O4302" s="9" t="str">
        <f aca="false">HYPERLINK("https://pbs.twimg.com/profile_images/894508758184845312/-i_U8gSq_normal.jpg","View")</f>
        <v>View</v>
      </c>
      <c r="P4302" s="10"/>
    </row>
    <row r="4303" customFormat="false" ht="15.75" hidden="false" customHeight="false" outlineLevel="0" collapsed="false">
      <c r="A4303" s="6" t="n">
        <v>43030.6248611111</v>
      </c>
      <c r="B4303" s="7" t="str">
        <f aca="false">HYPERLINK("https://twitter.com/RiSensei","@RiSensei")</f>
        <v>@RiSensei</v>
      </c>
      <c r="C4303" s="8" t="s">
        <v>10327</v>
      </c>
      <c r="D4303" s="8" t="s">
        <v>4068</v>
      </c>
      <c r="E4303" s="9" t="str">
        <f aca="false">HYPERLINK("https://twitter.com/RiSensei/status/922220973767630848","922220973767630848")</f>
        <v>922220973767630848</v>
      </c>
      <c r="F4303" s="10" t="s">
        <v>10328</v>
      </c>
      <c r="G4303" s="10" t="n">
        <v>417</v>
      </c>
      <c r="H4303" s="10" t="n">
        <v>1447</v>
      </c>
      <c r="I4303" s="10" t="n">
        <v>50</v>
      </c>
      <c r="J4303" s="10" t="n">
        <v>0</v>
      </c>
      <c r="K4303" s="10" t="s">
        <v>20</v>
      </c>
      <c r="L4303" s="11" t="n">
        <v>39907.2697916667</v>
      </c>
      <c r="M4303" s="13" t="s">
        <v>10329</v>
      </c>
      <c r="N4303" s="12" t="s">
        <v>10330</v>
      </c>
      <c r="O4303" s="9" t="str">
        <f aca="false">HYPERLINK("https://pbs.twimg.com/profile_images/1748006242/polar_bear_tongue_normal.jpg","View")</f>
        <v>View</v>
      </c>
      <c r="P4303" s="10"/>
    </row>
    <row r="4304" customFormat="false" ht="15.75" hidden="false" customHeight="false" outlineLevel="0" collapsed="false">
      <c r="A4304" s="6" t="n">
        <v>43030.6257986111</v>
      </c>
      <c r="B4304" s="7" t="str">
        <f aca="false">HYPERLINK("https://twitter.com/mit_obe","@mit_obe")</f>
        <v>@mit_obe</v>
      </c>
      <c r="C4304" s="8" t="s">
        <v>7387</v>
      </c>
      <c r="D4304" s="8" t="s">
        <v>10331</v>
      </c>
      <c r="E4304" s="9" t="str">
        <f aca="false">HYPERLINK("https://twitter.com/mit_obe/status/922221311908130818","922221311908130818")</f>
        <v>922221311908130818</v>
      </c>
      <c r="F4304" s="10" t="s">
        <v>51</v>
      </c>
      <c r="G4304" s="10" t="n">
        <v>1496</v>
      </c>
      <c r="H4304" s="10" t="n">
        <v>299</v>
      </c>
      <c r="I4304" s="10" t="n">
        <v>1</v>
      </c>
      <c r="J4304" s="10" t="n">
        <v>0</v>
      </c>
      <c r="K4304" s="10" t="s">
        <v>20</v>
      </c>
      <c r="L4304" s="11" t="n">
        <v>41472.7236226852</v>
      </c>
      <c r="M4304" s="12" t="s">
        <v>102</v>
      </c>
      <c r="N4304" s="12" t="s">
        <v>7389</v>
      </c>
      <c r="O4304" s="9" t="str">
        <f aca="false">HYPERLINK("https://pbs.twimg.com/profile_images/912457089007575041/iunAue57_normal.jpg","View")</f>
        <v>View</v>
      </c>
      <c r="P4304" s="10"/>
    </row>
    <row r="4305" customFormat="false" ht="15.75" hidden="false" customHeight="false" outlineLevel="0" collapsed="false">
      <c r="A4305" s="6" t="n">
        <v>43030.6272337963</v>
      </c>
      <c r="B4305" s="7" t="str">
        <f aca="false">HYPERLINK("https://twitter.com/loop_samoa","@loop_samoa")</f>
        <v>@loop_samoa</v>
      </c>
      <c r="C4305" s="8" t="s">
        <v>10332</v>
      </c>
      <c r="D4305" s="8" t="s">
        <v>10333</v>
      </c>
      <c r="E4305" s="9" t="str">
        <f aca="false">HYPERLINK("https://twitter.com/loop_samoa/status/922221833457250305","922221833457250305")</f>
        <v>922221833457250305</v>
      </c>
      <c r="F4305" s="10" t="s">
        <v>47</v>
      </c>
      <c r="G4305" s="10" t="n">
        <v>163</v>
      </c>
      <c r="H4305" s="10" t="n">
        <v>207</v>
      </c>
      <c r="I4305" s="10" t="n">
        <v>0</v>
      </c>
      <c r="J4305" s="10" t="n">
        <v>0</v>
      </c>
      <c r="K4305" s="10" t="s">
        <v>20</v>
      </c>
      <c r="L4305" s="11" t="n">
        <v>42387.6848148148</v>
      </c>
      <c r="M4305" s="12" t="s">
        <v>10334</v>
      </c>
      <c r="N4305" s="12" t="s">
        <v>10335</v>
      </c>
      <c r="O4305" s="9" t="str">
        <f aca="false">HYPERLINK("https://pbs.twimg.com/profile_images/689969529120788481/UrL0tB5C_normal.png","View")</f>
        <v>View</v>
      </c>
      <c r="P4305" s="10"/>
    </row>
    <row r="4306" customFormat="false" ht="15.75" hidden="false" customHeight="false" outlineLevel="0" collapsed="false">
      <c r="A4306" s="6" t="n">
        <v>43030.6275</v>
      </c>
      <c r="B4306" s="7" t="str">
        <f aca="false">HYPERLINK("https://twitter.com/yogasamudra","@yogasamudra")</f>
        <v>@yogasamudra</v>
      </c>
      <c r="C4306" s="8" t="s">
        <v>10336</v>
      </c>
      <c r="D4306" s="8" t="s">
        <v>7046</v>
      </c>
      <c r="E4306" s="9" t="str">
        <f aca="false">HYPERLINK("https://twitter.com/yogasamudra/status/922221930651926529","922221930651926529")</f>
        <v>922221930651926529</v>
      </c>
      <c r="F4306" s="10" t="s">
        <v>51</v>
      </c>
      <c r="G4306" s="10" t="n">
        <v>661</v>
      </c>
      <c r="H4306" s="10" t="n">
        <v>578</v>
      </c>
      <c r="I4306" s="10" t="n">
        <v>53</v>
      </c>
      <c r="J4306" s="10" t="n">
        <v>0</v>
      </c>
      <c r="K4306" s="10" t="s">
        <v>20</v>
      </c>
      <c r="L4306" s="11" t="n">
        <v>40288.9912731482</v>
      </c>
      <c r="M4306" s="12" t="s">
        <v>1371</v>
      </c>
      <c r="N4306" s="12" t="s">
        <v>10337</v>
      </c>
      <c r="O4306" s="9" t="str">
        <f aca="false">HYPERLINK("https://pbs.twimg.com/profile_images/908349108032741376/lDFwAImj_normal.jpg","View")</f>
        <v>View</v>
      </c>
      <c r="P4306" s="10"/>
    </row>
    <row r="4307" customFormat="false" ht="15.75" hidden="false" customHeight="false" outlineLevel="0" collapsed="false">
      <c r="A4307" s="6" t="n">
        <v>43030.6277777778</v>
      </c>
      <c r="B4307" s="7" t="str">
        <f aca="false">HYPERLINK("https://twitter.com/singhak","@singhak")</f>
        <v>@singhak</v>
      </c>
      <c r="C4307" s="8" t="s">
        <v>10338</v>
      </c>
      <c r="D4307" s="8" t="s">
        <v>10073</v>
      </c>
      <c r="E4307" s="9" t="str">
        <f aca="false">HYPERLINK("https://twitter.com/singhak/status/922222028555419653","922222028555419653")</f>
        <v>922222028555419653</v>
      </c>
      <c r="F4307" s="10" t="s">
        <v>177</v>
      </c>
      <c r="G4307" s="10" t="n">
        <v>251</v>
      </c>
      <c r="H4307" s="10" t="n">
        <v>81</v>
      </c>
      <c r="I4307" s="10" t="n">
        <v>5</v>
      </c>
      <c r="J4307" s="10" t="n">
        <v>0</v>
      </c>
      <c r="K4307" s="10" t="s">
        <v>20</v>
      </c>
      <c r="L4307" s="11" t="n">
        <v>39855.8415046296</v>
      </c>
      <c r="M4307" s="12" t="s">
        <v>10339</v>
      </c>
      <c r="N4307" s="12" t="s">
        <v>10340</v>
      </c>
      <c r="O4307" s="9" t="str">
        <f aca="false">HYPERLINK("https://pbs.twimg.com/profile_images/3490822976/6caaf161f036558f9e67de61dcc24ebb_normal.jpeg","View")</f>
        <v>View</v>
      </c>
      <c r="P4307" s="10"/>
    </row>
    <row r="4308" customFormat="false" ht="15.75" hidden="false" customHeight="false" outlineLevel="0" collapsed="false">
      <c r="A4308" s="6" t="n">
        <v>43030.6278125</v>
      </c>
      <c r="B4308" s="7" t="str">
        <f aca="false">HYPERLINK("https://twitter.com/starrick1","@starrick1")</f>
        <v>@starrick1</v>
      </c>
      <c r="C4308" s="8" t="s">
        <v>10341</v>
      </c>
      <c r="D4308" s="8" t="s">
        <v>9696</v>
      </c>
      <c r="E4308" s="9" t="str">
        <f aca="false">HYPERLINK("https://twitter.com/starrick1/status/922222040765132801","922222040765132801")</f>
        <v>922222040765132801</v>
      </c>
      <c r="F4308" s="10" t="s">
        <v>39</v>
      </c>
      <c r="G4308" s="10" t="n">
        <v>1121</v>
      </c>
      <c r="H4308" s="10" t="n">
        <v>465</v>
      </c>
      <c r="I4308" s="10" t="n">
        <v>7</v>
      </c>
      <c r="J4308" s="10" t="n">
        <v>0</v>
      </c>
      <c r="K4308" s="10" t="s">
        <v>20</v>
      </c>
      <c r="L4308" s="11" t="n">
        <v>40747.448275463</v>
      </c>
      <c r="M4308" s="12"/>
      <c r="N4308" s="12"/>
      <c r="O4308" s="9" t="str">
        <f aca="false">HYPERLINK("https://pbs.twimg.com/profile_images/2375429495/n6cm58qi4ihpzusgmv2l_normal.jpeg","View")</f>
        <v>View</v>
      </c>
      <c r="P4308" s="10"/>
    </row>
    <row r="4309" customFormat="false" ht="15.75" hidden="false" customHeight="false" outlineLevel="0" collapsed="false">
      <c r="A4309" s="6" t="n">
        <v>43030.6284953704</v>
      </c>
      <c r="B4309" s="7" t="str">
        <f aca="false">HYPERLINK("https://twitter.com/NatCh88568609","@NatCh88568609")</f>
        <v>@NatCh88568609</v>
      </c>
      <c r="C4309" s="8" t="s">
        <v>10342</v>
      </c>
      <c r="D4309" s="8" t="s">
        <v>8223</v>
      </c>
      <c r="E4309" s="9" t="str">
        <f aca="false">HYPERLINK("https://twitter.com/NatCh88568609/status/922222287935303682","922222287935303682")</f>
        <v>922222287935303682</v>
      </c>
      <c r="F4309" s="10" t="s">
        <v>25</v>
      </c>
      <c r="G4309" s="10" t="n">
        <v>88</v>
      </c>
      <c r="H4309" s="10" t="n">
        <v>826</v>
      </c>
      <c r="I4309" s="10" t="n">
        <v>3</v>
      </c>
      <c r="J4309" s="10" t="n">
        <v>0</v>
      </c>
      <c r="K4309" s="10" t="s">
        <v>20</v>
      </c>
      <c r="L4309" s="11" t="n">
        <v>42984.4311689815</v>
      </c>
      <c r="M4309" s="12"/>
      <c r="N4309" s="12"/>
      <c r="O4309" s="9" t="str">
        <f aca="false">HYPERLINK("https://pbs.twimg.com/profile_images/922942520790618112/jMUBZAsY_normal.jpg","View")</f>
        <v>View</v>
      </c>
      <c r="P4309" s="10"/>
    </row>
    <row r="4310" customFormat="false" ht="15.75" hidden="false" customHeight="false" outlineLevel="0" collapsed="false">
      <c r="A4310" s="6" t="n">
        <v>43030.6319328704</v>
      </c>
      <c r="B4310" s="7" t="str">
        <f aca="false">HYPERLINK("https://twitter.com/masafummi","@masafummi")</f>
        <v>@masafummi</v>
      </c>
      <c r="C4310" s="14" t="s">
        <v>10343</v>
      </c>
      <c r="D4310" s="8" t="s">
        <v>9783</v>
      </c>
      <c r="E4310" s="9" t="str">
        <f aca="false">HYPERLINK("https://twitter.com/masafummi/status/922223537028349953","922223537028349953")</f>
        <v>922223537028349953</v>
      </c>
      <c r="F4310" s="10" t="s">
        <v>51</v>
      </c>
      <c r="G4310" s="10" t="n">
        <v>253</v>
      </c>
      <c r="H4310" s="10" t="n">
        <v>558</v>
      </c>
      <c r="I4310" s="10" t="n">
        <v>17</v>
      </c>
      <c r="J4310" s="10" t="n">
        <v>0</v>
      </c>
      <c r="K4310" s="10" t="s">
        <v>20</v>
      </c>
      <c r="L4310" s="11" t="n">
        <v>42031.1270138889</v>
      </c>
      <c r="M4310" s="13" t="s">
        <v>152</v>
      </c>
      <c r="N4310" s="13" t="s">
        <v>10344</v>
      </c>
      <c r="O4310" s="9" t="str">
        <f aca="false">HYPERLINK("https://pbs.twimg.com/profile_images/908114316779438080/PDIF6o94_normal.jpg","View")</f>
        <v>View</v>
      </c>
      <c r="P4310" s="10"/>
    </row>
    <row r="4311" customFormat="false" ht="15.75" hidden="false" customHeight="false" outlineLevel="0" collapsed="false">
      <c r="A4311" s="6" t="n">
        <v>43030.6326388889</v>
      </c>
      <c r="B4311" s="7" t="str">
        <f aca="false">HYPERLINK("https://twitter.com/rainbow2373","@rainbow2373")</f>
        <v>@rainbow2373</v>
      </c>
      <c r="C4311" s="8" t="s">
        <v>10345</v>
      </c>
      <c r="D4311" s="8" t="s">
        <v>10168</v>
      </c>
      <c r="E4311" s="9" t="str">
        <f aca="false">HYPERLINK("https://twitter.com/rainbow2373/status/922223789731037186","922223789731037186")</f>
        <v>922223789731037186</v>
      </c>
      <c r="F4311" s="10" t="s">
        <v>25</v>
      </c>
      <c r="G4311" s="10" t="n">
        <v>462</v>
      </c>
      <c r="H4311" s="10" t="n">
        <v>1071</v>
      </c>
      <c r="I4311" s="10" t="n">
        <v>25</v>
      </c>
      <c r="J4311" s="10" t="n">
        <v>0</v>
      </c>
      <c r="K4311" s="10" t="s">
        <v>20</v>
      </c>
      <c r="L4311" s="11" t="n">
        <v>41723.931087963</v>
      </c>
      <c r="M4311" s="12"/>
      <c r="N4311" s="12" t="s">
        <v>10346</v>
      </c>
      <c r="O4311" s="9" t="str">
        <f aca="false">HYPERLINK("https://pbs.twimg.com/profile_images/448704950852272128/yLS5yjGd_normal.jpeg","View")</f>
        <v>View</v>
      </c>
      <c r="P4311" s="10"/>
    </row>
    <row r="4312" customFormat="false" ht="15.75" hidden="false" customHeight="false" outlineLevel="0" collapsed="false">
      <c r="A4312" s="6" t="n">
        <v>43030.6331365741</v>
      </c>
      <c r="B4312" s="7" t="str">
        <f aca="false">HYPERLINK("https://twitter.com/Ranjiar","@Ranjiar")</f>
        <v>@Ranjiar</v>
      </c>
      <c r="C4312" s="8" t="s">
        <v>10347</v>
      </c>
      <c r="D4312" s="8" t="s">
        <v>8538</v>
      </c>
      <c r="E4312" s="9" t="str">
        <f aca="false">HYPERLINK("https://twitter.com/Ranjiar/status/922223971881205760","922223971881205760")</f>
        <v>922223971881205760</v>
      </c>
      <c r="F4312" s="10" t="s">
        <v>25</v>
      </c>
      <c r="G4312" s="10" t="n">
        <v>62</v>
      </c>
      <c r="H4312" s="10" t="n">
        <v>34</v>
      </c>
      <c r="I4312" s="10" t="n">
        <v>1015</v>
      </c>
      <c r="J4312" s="10" t="n">
        <v>0</v>
      </c>
      <c r="K4312" s="10" t="s">
        <v>20</v>
      </c>
      <c r="L4312" s="11" t="n">
        <v>41507.0965972222</v>
      </c>
      <c r="M4312" s="12"/>
      <c r="N4312" s="12"/>
      <c r="O4312" s="9" t="str">
        <f aca="false">HYPERLINK("https://abs.twimg.com/sticky/default_profile_images/default_profile_normal.png","View")</f>
        <v>View</v>
      </c>
      <c r="P4312" s="10"/>
    </row>
    <row r="4313" customFormat="false" ht="15.75" hidden="false" customHeight="false" outlineLevel="0" collapsed="false">
      <c r="A4313" s="6" t="n">
        <v>43030.6336226852</v>
      </c>
      <c r="B4313" s="7" t="str">
        <f aca="false">HYPERLINK("https://twitter.com/feedbackoptions","@feedbackoptions")</f>
        <v>@feedbackoptions</v>
      </c>
      <c r="C4313" s="8" t="s">
        <v>2374</v>
      </c>
      <c r="D4313" s="8" t="s">
        <v>6945</v>
      </c>
      <c r="E4313" s="9" t="str">
        <f aca="false">HYPERLINK("https://twitter.com/feedbackoptions/status/922224145512980480","922224145512980480")</f>
        <v>922224145512980480</v>
      </c>
      <c r="F4313" s="10" t="s">
        <v>51</v>
      </c>
      <c r="G4313" s="10" t="n">
        <v>59</v>
      </c>
      <c r="H4313" s="10" t="n">
        <v>276</v>
      </c>
      <c r="I4313" s="10" t="n">
        <v>22</v>
      </c>
      <c r="J4313" s="10" t="n">
        <v>0</v>
      </c>
      <c r="K4313" s="10" t="s">
        <v>20</v>
      </c>
      <c r="L4313" s="11" t="n">
        <v>42925.2414699074</v>
      </c>
      <c r="M4313" s="12"/>
      <c r="N4313" s="12"/>
      <c r="O4313" s="9" t="str">
        <f aca="false">HYPERLINK("https://pbs.twimg.com/profile_images/884927071037902848/4NrU-v7r_normal.jpg","View")</f>
        <v>View</v>
      </c>
      <c r="P4313" s="10"/>
    </row>
    <row r="4314" customFormat="false" ht="15.75" hidden="false" customHeight="false" outlineLevel="0" collapsed="false">
      <c r="A4314" s="6" t="n">
        <v>43030.6365277778</v>
      </c>
      <c r="B4314" s="7" t="str">
        <f aca="false">HYPERLINK("https://twitter.com/m0if48","@m0if48")</f>
        <v>@m0if48</v>
      </c>
      <c r="C4314" s="8" t="s">
        <v>10348</v>
      </c>
      <c r="D4314" s="8" t="s">
        <v>9725</v>
      </c>
      <c r="E4314" s="9" t="str">
        <f aca="false">HYPERLINK("https://twitter.com/m0if48/status/922225198677368832","922225198677368832")</f>
        <v>922225198677368832</v>
      </c>
      <c r="F4314" s="10" t="s">
        <v>51</v>
      </c>
      <c r="G4314" s="10" t="n">
        <v>1672</v>
      </c>
      <c r="H4314" s="10" t="n">
        <v>27</v>
      </c>
      <c r="I4314" s="10" t="n">
        <v>9</v>
      </c>
      <c r="J4314" s="10" t="n">
        <v>0</v>
      </c>
      <c r="K4314" s="10" t="s">
        <v>20</v>
      </c>
      <c r="L4314" s="11" t="n">
        <v>39676.5291666667</v>
      </c>
      <c r="M4314" s="13" t="s">
        <v>10349</v>
      </c>
      <c r="N4314" s="12"/>
      <c r="O4314" s="9" t="str">
        <f aca="false">HYPERLINK("https://pbs.twimg.com/profile_images/877058417835130880/bOIgVJlQ_normal.jpg","View")</f>
        <v>View</v>
      </c>
      <c r="P4314" s="10"/>
    </row>
    <row r="4315" customFormat="false" ht="15.75" hidden="false" customHeight="false" outlineLevel="0" collapsed="false">
      <c r="A4315" s="6" t="n">
        <v>43030.6374768519</v>
      </c>
      <c r="B4315" s="7" t="str">
        <f aca="false">HYPERLINK("https://twitter.com/europa_charon","@europa_charon")</f>
        <v>@europa_charon</v>
      </c>
      <c r="C4315" s="8" t="s">
        <v>10350</v>
      </c>
      <c r="D4315" s="8" t="s">
        <v>4984</v>
      </c>
      <c r="E4315" s="9" t="str">
        <f aca="false">HYPERLINK("https://twitter.com/europa_charon/status/922225544531296256","922225544531296256")</f>
        <v>922225544531296256</v>
      </c>
      <c r="F4315" s="10" t="s">
        <v>98</v>
      </c>
      <c r="G4315" s="10" t="n">
        <v>207</v>
      </c>
      <c r="H4315" s="10" t="n">
        <v>79</v>
      </c>
      <c r="I4315" s="10" t="n">
        <v>187</v>
      </c>
      <c r="J4315" s="10" t="n">
        <v>0</v>
      </c>
      <c r="K4315" s="10" t="s">
        <v>20</v>
      </c>
      <c r="L4315" s="11" t="n">
        <v>40618.1810416667</v>
      </c>
      <c r="M4315" s="12" t="s">
        <v>10351</v>
      </c>
      <c r="N4315" s="12" t="s">
        <v>10352</v>
      </c>
      <c r="O4315" s="9" t="str">
        <f aca="false">HYPERLINK("https://pbs.twimg.com/profile_images/916066190216142848/7nzFppYc_normal.jpg","View")</f>
        <v>View</v>
      </c>
      <c r="P4315" s="10"/>
    </row>
    <row r="4316" customFormat="false" ht="15.75" hidden="false" customHeight="false" outlineLevel="0" collapsed="false">
      <c r="A4316" s="6" t="n">
        <v>43030.6389351852</v>
      </c>
      <c r="B4316" s="7" t="str">
        <f aca="false">HYPERLINK("https://twitter.com/NewsUSElections","@NewsUSElections")</f>
        <v>@NewsUSElections</v>
      </c>
      <c r="C4316" s="8" t="s">
        <v>10353</v>
      </c>
      <c r="D4316" s="8" t="s">
        <v>10354</v>
      </c>
      <c r="E4316" s="9" t="str">
        <f aca="false">HYPERLINK("https://twitter.com/NewsUSElections/status/922226073873600512","922226073873600512")</f>
        <v>922226073873600512</v>
      </c>
      <c r="F4316" s="10" t="s">
        <v>3042</v>
      </c>
      <c r="G4316" s="10" t="n">
        <v>1996</v>
      </c>
      <c r="H4316" s="10" t="n">
        <v>1948</v>
      </c>
      <c r="I4316" s="10" t="n">
        <v>0</v>
      </c>
      <c r="J4316" s="10" t="n">
        <v>0</v>
      </c>
      <c r="K4316" s="10" t="s">
        <v>20</v>
      </c>
      <c r="L4316" s="11" t="n">
        <v>40972.1823842593</v>
      </c>
      <c r="M4316" s="12" t="s">
        <v>230</v>
      </c>
      <c r="N4316" s="12" t="s">
        <v>10355</v>
      </c>
      <c r="O4316" s="9" t="str">
        <f aca="false">HYPERLINK("https://pbs.twimg.com/profile_images/1871898121/News_locker_icon_normal.jpg","View")</f>
        <v>View</v>
      </c>
      <c r="P4316" s="10"/>
    </row>
    <row r="4317" customFormat="false" ht="15.75" hidden="false" customHeight="false" outlineLevel="0" collapsed="false">
      <c r="A4317" s="6" t="n">
        <v>43030.6402430556</v>
      </c>
      <c r="B4317" s="7" t="str">
        <f aca="false">HYPERLINK("https://twitter.com/lorenzojavier7","@lorenzojavier7")</f>
        <v>@lorenzojavier7</v>
      </c>
      <c r="C4317" s="8" t="s">
        <v>10356</v>
      </c>
      <c r="D4317" s="8" t="s">
        <v>7046</v>
      </c>
      <c r="E4317" s="9" t="str">
        <f aca="false">HYPERLINK("https://twitter.com/lorenzojavier7/status/922226546336784384","922226546336784384")</f>
        <v>922226546336784384</v>
      </c>
      <c r="F4317" s="10" t="s">
        <v>25</v>
      </c>
      <c r="G4317" s="10" t="n">
        <v>1969</v>
      </c>
      <c r="H4317" s="10" t="n">
        <v>2781</v>
      </c>
      <c r="I4317" s="10" t="n">
        <v>53</v>
      </c>
      <c r="J4317" s="10" t="n">
        <v>0</v>
      </c>
      <c r="K4317" s="10" t="s">
        <v>20</v>
      </c>
      <c r="L4317" s="11" t="n">
        <v>40612.3474421296</v>
      </c>
      <c r="M4317" s="12" t="s">
        <v>10357</v>
      </c>
      <c r="N4317" s="12" t="s">
        <v>10358</v>
      </c>
      <c r="O4317" s="9" t="str">
        <f aca="false">HYPERLINK("https://pbs.twimg.com/profile_images/908486479109853184/H0-WlGX6_normal.jpg","View")</f>
        <v>View</v>
      </c>
      <c r="P4317" s="10"/>
    </row>
    <row r="4318" customFormat="false" ht="15.75" hidden="false" customHeight="false" outlineLevel="0" collapsed="false">
      <c r="A4318" s="6" t="n">
        <v>43030.6408680556</v>
      </c>
      <c r="B4318" s="7" t="str">
        <f aca="false">HYPERLINK("https://twitter.com/vigilant_Amey","@vigilant_Amey")</f>
        <v>@vigilant_Amey</v>
      </c>
      <c r="C4318" s="8" t="s">
        <v>10359</v>
      </c>
      <c r="D4318" s="8" t="s">
        <v>8538</v>
      </c>
      <c r="E4318" s="9" t="str">
        <f aca="false">HYPERLINK("https://twitter.com/vigilant_Amey/status/922226771784863744","922226771784863744")</f>
        <v>922226771784863744</v>
      </c>
      <c r="F4318" s="10" t="s">
        <v>25</v>
      </c>
      <c r="G4318" s="10" t="n">
        <v>322</v>
      </c>
      <c r="H4318" s="10" t="n">
        <v>371</v>
      </c>
      <c r="I4318" s="10" t="n">
        <v>1015</v>
      </c>
      <c r="J4318" s="10" t="n">
        <v>0</v>
      </c>
      <c r="K4318" s="10" t="s">
        <v>20</v>
      </c>
      <c r="L4318" s="11" t="n">
        <v>40260.3051967593</v>
      </c>
      <c r="M4318" s="12" t="s">
        <v>253</v>
      </c>
      <c r="N4318" s="12" t="s">
        <v>10360</v>
      </c>
      <c r="O4318" s="9" t="str">
        <f aca="false">HYPERLINK("https://pbs.twimg.com/profile_images/471832230814162944/By6js_WF_normal.jpeg","View")</f>
        <v>View</v>
      </c>
      <c r="P4318" s="10"/>
    </row>
    <row r="4319" customFormat="false" ht="15.75" hidden="false" customHeight="false" outlineLevel="0" collapsed="false">
      <c r="A4319" s="6" t="n">
        <v>43030.6409143519</v>
      </c>
      <c r="B4319" s="7" t="str">
        <f aca="false">HYPERLINK("https://twitter.com/hardikpatel89","@hardikpatel89")</f>
        <v>@hardikpatel89</v>
      </c>
      <c r="C4319" s="8" t="s">
        <v>10361</v>
      </c>
      <c r="D4319" s="8" t="s">
        <v>8538</v>
      </c>
      <c r="E4319" s="9" t="str">
        <f aca="false">HYPERLINK("https://twitter.com/hardikpatel89/status/922226790017277954","922226790017277954")</f>
        <v>922226790017277954</v>
      </c>
      <c r="F4319" s="10" t="s">
        <v>25</v>
      </c>
      <c r="G4319" s="10" t="n">
        <v>81</v>
      </c>
      <c r="H4319" s="10" t="n">
        <v>258</v>
      </c>
      <c r="I4319" s="10" t="n">
        <v>1015</v>
      </c>
      <c r="J4319" s="10" t="n">
        <v>0</v>
      </c>
      <c r="K4319" s="10" t="s">
        <v>20</v>
      </c>
      <c r="L4319" s="11" t="n">
        <v>39998.8217939815</v>
      </c>
      <c r="M4319" s="12" t="s">
        <v>253</v>
      </c>
      <c r="N4319" s="12"/>
      <c r="O4319" s="9" t="str">
        <f aca="false">HYPERLINK("https://pbs.twimg.com/profile_images/2290268868/ptj4fanaq7tipez82srq_normal.jpeg","View")</f>
        <v>View</v>
      </c>
      <c r="P4319" s="10"/>
    </row>
    <row r="4320" customFormat="false" ht="15.75" hidden="false" customHeight="false" outlineLevel="0" collapsed="false">
      <c r="A4320" s="6" t="n">
        <v>43030.6410069444</v>
      </c>
      <c r="B4320" s="7" t="str">
        <f aca="false">HYPERLINK("https://twitter.com/Art_Buic","@Art_Buic")</f>
        <v>@Art_Buic</v>
      </c>
      <c r="C4320" s="8" t="s">
        <v>10362</v>
      </c>
      <c r="D4320" s="8" t="s">
        <v>10363</v>
      </c>
      <c r="E4320" s="9" t="str">
        <f aca="false">HYPERLINK("https://twitter.com/Art_Buic/status/922226824007974914","922226824007974914")</f>
        <v>922226824007974914</v>
      </c>
      <c r="F4320" s="10" t="s">
        <v>51</v>
      </c>
      <c r="G4320" s="10" t="n">
        <v>224</v>
      </c>
      <c r="H4320" s="10" t="n">
        <v>418</v>
      </c>
      <c r="I4320" s="10" t="n">
        <v>1</v>
      </c>
      <c r="J4320" s="10" t="n">
        <v>0</v>
      </c>
      <c r="K4320" s="10" t="s">
        <v>20</v>
      </c>
      <c r="L4320" s="11" t="n">
        <v>40250.5038194444</v>
      </c>
      <c r="M4320" s="12"/>
      <c r="N4320" s="12" t="s">
        <v>10364</v>
      </c>
      <c r="O4320" s="9" t="str">
        <f aca="false">HYPERLINK("https://pbs.twimg.com/profile_images/883734293142360064/dzwtGD0g_normal.jpg","View")</f>
        <v>View</v>
      </c>
      <c r="P4320" s="10"/>
    </row>
    <row r="4321" customFormat="false" ht="15.75" hidden="false" customHeight="false" outlineLevel="0" collapsed="false">
      <c r="A4321" s="6" t="n">
        <v>43030.6410300926</v>
      </c>
      <c r="B4321" s="7" t="str">
        <f aca="false">HYPERLINK("https://twitter.com/stefanikola","@stefanikola")</f>
        <v>@stefanikola</v>
      </c>
      <c r="C4321" s="8" t="s">
        <v>10365</v>
      </c>
      <c r="D4321" s="8" t="s">
        <v>9670</v>
      </c>
      <c r="E4321" s="9" t="str">
        <f aca="false">HYPERLINK("https://twitter.com/stefanikola/status/922226830232444928","922226830232444928")</f>
        <v>922226830232444928</v>
      </c>
      <c r="F4321" s="10" t="s">
        <v>51</v>
      </c>
      <c r="G4321" s="10" t="n">
        <v>95</v>
      </c>
      <c r="H4321" s="10" t="n">
        <v>112</v>
      </c>
      <c r="I4321" s="10" t="n">
        <v>11</v>
      </c>
      <c r="J4321" s="10" t="n">
        <v>0</v>
      </c>
      <c r="K4321" s="10" t="s">
        <v>20</v>
      </c>
      <c r="L4321" s="11" t="n">
        <v>41867.4360763889</v>
      </c>
      <c r="M4321" s="12" t="s">
        <v>10366</v>
      </c>
      <c r="N4321" s="12" t="s">
        <v>10367</v>
      </c>
      <c r="O4321" s="9" t="str">
        <f aca="false">HYPERLINK("https://pbs.twimg.com/profile_images/733070964955602944/EBG4srLF_normal.jpg","View")</f>
        <v>View</v>
      </c>
      <c r="P4321" s="10"/>
    </row>
    <row r="4322" customFormat="false" ht="15.75" hidden="false" customHeight="false" outlineLevel="0" collapsed="false">
      <c r="A4322" s="6" t="n">
        <v>43030.6418865741</v>
      </c>
      <c r="B4322" s="7" t="str">
        <f aca="false">HYPERLINK("https://twitter.com/lhethert","@lhethert")</f>
        <v>@lhethert</v>
      </c>
      <c r="C4322" s="8" t="s">
        <v>10368</v>
      </c>
      <c r="D4322" s="8" t="s">
        <v>9800</v>
      </c>
      <c r="E4322" s="9" t="str">
        <f aca="false">HYPERLINK("https://twitter.com/lhethert/status/922227140480745473","922227140480745473")</f>
        <v>922227140480745473</v>
      </c>
      <c r="F4322" s="10" t="s">
        <v>39</v>
      </c>
      <c r="G4322" s="10" t="n">
        <v>45</v>
      </c>
      <c r="H4322" s="10" t="n">
        <v>67</v>
      </c>
      <c r="I4322" s="10" t="n">
        <v>4</v>
      </c>
      <c r="J4322" s="10" t="n">
        <v>0</v>
      </c>
      <c r="K4322" s="10" t="s">
        <v>20</v>
      </c>
      <c r="L4322" s="11" t="n">
        <v>39477.6441203704</v>
      </c>
      <c r="M4322" s="12" t="s">
        <v>1507</v>
      </c>
      <c r="N4322" s="12" t="s">
        <v>10369</v>
      </c>
      <c r="O4322" s="9" t="str">
        <f aca="false">HYPERLINK("https://pbs.twimg.com/profile_images/46934452/blob_normal.jpg","View")</f>
        <v>View</v>
      </c>
      <c r="P4322" s="10"/>
    </row>
    <row r="4323" customFormat="false" ht="15.75" hidden="false" customHeight="false" outlineLevel="0" collapsed="false">
      <c r="A4323" s="6" t="n">
        <v>43030.6420023148</v>
      </c>
      <c r="B4323" s="7" t="str">
        <f aca="false">HYPERLINK("https://twitter.com/IndianMaher","@IndianMaher")</f>
        <v>@IndianMaher</v>
      </c>
      <c r="C4323" s="8" t="s">
        <v>10370</v>
      </c>
      <c r="D4323" s="8" t="s">
        <v>8538</v>
      </c>
      <c r="E4323" s="9" t="str">
        <f aca="false">HYPERLINK("https://twitter.com/IndianMaher/status/922227185129349120","922227185129349120")</f>
        <v>922227185129349120</v>
      </c>
      <c r="F4323" s="10" t="s">
        <v>51</v>
      </c>
      <c r="G4323" s="10" t="n">
        <v>417</v>
      </c>
      <c r="H4323" s="10" t="n">
        <v>598</v>
      </c>
      <c r="I4323" s="10" t="n">
        <v>1015</v>
      </c>
      <c r="J4323" s="10" t="n">
        <v>0</v>
      </c>
      <c r="K4323" s="10" t="s">
        <v>20</v>
      </c>
      <c r="L4323" s="11" t="n">
        <v>40696.5567361111</v>
      </c>
      <c r="M4323" s="12"/>
      <c r="N4323" s="12"/>
      <c r="O4323" s="9" t="str">
        <f aca="false">HYPERLINK("https://pbs.twimg.com/profile_images/1554453817/image_normal.jpg","View")</f>
        <v>View</v>
      </c>
      <c r="P4323" s="10"/>
    </row>
    <row r="4324" customFormat="false" ht="15.75" hidden="false" customHeight="false" outlineLevel="0" collapsed="false">
      <c r="A4324" s="6" t="n">
        <v>43030.6435648148</v>
      </c>
      <c r="B4324" s="7" t="str">
        <f aca="false">HYPERLINK("https://twitter.com/GreenGrounded","@GreenGrounded")</f>
        <v>@GreenGrounded</v>
      </c>
      <c r="C4324" s="8" t="s">
        <v>10371</v>
      </c>
      <c r="D4324" s="8" t="s">
        <v>6408</v>
      </c>
      <c r="E4324" s="9" t="str">
        <f aca="false">HYPERLINK("https://twitter.com/GreenGrounded/status/922227748856324096","922227748856324096")</f>
        <v>922227748856324096</v>
      </c>
      <c r="F4324" s="10" t="s">
        <v>51</v>
      </c>
      <c r="G4324" s="10" t="n">
        <v>7382</v>
      </c>
      <c r="H4324" s="10" t="n">
        <v>8121</v>
      </c>
      <c r="I4324" s="10" t="n">
        <v>2</v>
      </c>
      <c r="J4324" s="10" t="n">
        <v>0</v>
      </c>
      <c r="K4324" s="10" t="s">
        <v>20</v>
      </c>
      <c r="L4324" s="11" t="n">
        <v>41234.1807175926</v>
      </c>
      <c r="M4324" s="12" t="s">
        <v>10372</v>
      </c>
      <c r="N4324" s="12" t="s">
        <v>10373</v>
      </c>
      <c r="O4324" s="9" t="str">
        <f aca="false">HYPERLINK("https://pbs.twimg.com/profile_images/2877616361/74cab4ffdeecb8394980110af2119486_normal.png","View")</f>
        <v>View</v>
      </c>
      <c r="P4324" s="10"/>
    </row>
    <row r="4325" customFormat="false" ht="15.75" hidden="false" customHeight="false" outlineLevel="0" collapsed="false">
      <c r="A4325" s="6" t="n">
        <v>43030.6443634259</v>
      </c>
      <c r="B4325" s="7" t="str">
        <f aca="false">HYPERLINK("https://twitter.com/sCITRAr","@sCITRAr")</f>
        <v>@sCITRAr</v>
      </c>
      <c r="C4325" s="8" t="s">
        <v>10374</v>
      </c>
      <c r="D4325" s="8" t="s">
        <v>9783</v>
      </c>
      <c r="E4325" s="9" t="str">
        <f aca="false">HYPERLINK("https://twitter.com/sCITRAr/status/922228040184168448","922228040184168448")</f>
        <v>922228040184168448</v>
      </c>
      <c r="F4325" s="10" t="s">
        <v>25</v>
      </c>
      <c r="G4325" s="10" t="n">
        <v>456</v>
      </c>
      <c r="H4325" s="10" t="n">
        <v>290</v>
      </c>
      <c r="I4325" s="10" t="n">
        <v>17</v>
      </c>
      <c r="J4325" s="10" t="n">
        <v>0</v>
      </c>
      <c r="K4325" s="10" t="s">
        <v>20</v>
      </c>
      <c r="L4325" s="11" t="n">
        <v>40505.9554050926</v>
      </c>
      <c r="M4325" s="12"/>
      <c r="N4325" s="12" t="s">
        <v>10375</v>
      </c>
      <c r="O4325" s="9" t="str">
        <f aca="false">HYPERLINK("https://pbs.twimg.com/profile_images/913351233976410112/V2tT7nVW_normal.jpg","View")</f>
        <v>View</v>
      </c>
      <c r="P4325" s="10"/>
    </row>
    <row r="4326" customFormat="false" ht="15.75" hidden="false" customHeight="false" outlineLevel="0" collapsed="false">
      <c r="A4326" s="6" t="n">
        <v>43030.6445023148</v>
      </c>
      <c r="B4326" s="7" t="str">
        <f aca="false">HYPERLINK("https://twitter.com/ARPIRiskPolicy","@ARPIRiskPolicy")</f>
        <v>@ARPIRiskPolicy</v>
      </c>
      <c r="C4326" s="8" t="s">
        <v>10376</v>
      </c>
      <c r="D4326" s="8" t="s">
        <v>10377</v>
      </c>
      <c r="E4326" s="9" t="str">
        <f aca="false">HYPERLINK("https://twitter.com/ARPIRiskPolicy/status/922228091308490753","922228091308490753")</f>
        <v>922228091308490753</v>
      </c>
      <c r="F4326" s="10" t="s">
        <v>51</v>
      </c>
      <c r="G4326" s="10" t="n">
        <v>3658</v>
      </c>
      <c r="H4326" s="10" t="n">
        <v>3728</v>
      </c>
      <c r="I4326" s="10" t="n">
        <v>1</v>
      </c>
      <c r="J4326" s="10" t="n">
        <v>0</v>
      </c>
      <c r="K4326" s="10" t="s">
        <v>20</v>
      </c>
      <c r="L4326" s="11" t="n">
        <v>41042.9424421296</v>
      </c>
      <c r="M4326" s="12" t="s">
        <v>10378</v>
      </c>
      <c r="N4326" s="12" t="s">
        <v>10379</v>
      </c>
      <c r="O4326" s="9" t="str">
        <f aca="false">HYPERLINK("https://pbs.twimg.com/profile_images/789705128215322624/0dzcwLsX_normal.jpg","View")</f>
        <v>View</v>
      </c>
      <c r="P4326" s="10"/>
    </row>
    <row r="4327" customFormat="false" ht="15.75" hidden="false" customHeight="false" outlineLevel="0" collapsed="false">
      <c r="A4327" s="6" t="n">
        <v>43030.6448611111</v>
      </c>
      <c r="B4327" s="7" t="str">
        <f aca="false">HYPERLINK("https://twitter.com/ErdenebulganB","@ErdenebulganB")</f>
        <v>@ErdenebulganB</v>
      </c>
      <c r="C4327" s="8" t="s">
        <v>10380</v>
      </c>
      <c r="D4327" s="8" t="s">
        <v>5846</v>
      </c>
      <c r="E4327" s="9" t="str">
        <f aca="false">HYPERLINK("https://twitter.com/ErdenebulganB/status/922228221273284608","922228221273284608")</f>
        <v>922228221273284608</v>
      </c>
      <c r="F4327" s="10" t="s">
        <v>25</v>
      </c>
      <c r="G4327" s="10" t="n">
        <v>15294</v>
      </c>
      <c r="H4327" s="10" t="n">
        <v>8106</v>
      </c>
      <c r="I4327" s="10" t="n">
        <v>16</v>
      </c>
      <c r="J4327" s="10" t="n">
        <v>0</v>
      </c>
      <c r="K4327" s="10" t="s">
        <v>20</v>
      </c>
      <c r="L4327" s="11" t="n">
        <v>41410.3023842593</v>
      </c>
      <c r="M4327" s="12" t="s">
        <v>10381</v>
      </c>
      <c r="N4327" s="12" t="s">
        <v>10382</v>
      </c>
      <c r="O4327" s="9" t="str">
        <f aca="false">HYPERLINK("https://pbs.twimg.com/profile_images/788177005271355392/aZshZ194_normal.jpg","View")</f>
        <v>View</v>
      </c>
      <c r="P4327" s="10"/>
    </row>
    <row r="4328" customFormat="false" ht="15.75" hidden="false" customHeight="false" outlineLevel="0" collapsed="false">
      <c r="A4328" s="6" t="n">
        <v>43030.6448958333</v>
      </c>
      <c r="B4328" s="7" t="str">
        <f aca="false">HYPERLINK("https://twitter.com/carlworker","@carlworker")</f>
        <v>@carlworker</v>
      </c>
      <c r="C4328" s="8" t="s">
        <v>2486</v>
      </c>
      <c r="D4328" s="8" t="s">
        <v>8871</v>
      </c>
      <c r="E4328" s="9" t="str">
        <f aca="false">HYPERLINK("https://twitter.com/carlworker/status/922228232899792896","922228232899792896")</f>
        <v>922228232899792896</v>
      </c>
      <c r="F4328" s="10" t="s">
        <v>177</v>
      </c>
      <c r="G4328" s="10" t="n">
        <v>728</v>
      </c>
      <c r="H4328" s="10" t="n">
        <v>292</v>
      </c>
      <c r="I4328" s="10" t="n">
        <v>7</v>
      </c>
      <c r="J4328" s="10" t="n">
        <v>0</v>
      </c>
      <c r="K4328" s="10" t="s">
        <v>20</v>
      </c>
      <c r="L4328" s="11" t="n">
        <v>40606.1787615741</v>
      </c>
      <c r="M4328" s="12" t="s">
        <v>2487</v>
      </c>
      <c r="N4328" s="12" t="s">
        <v>2488</v>
      </c>
      <c r="O4328" s="9" t="str">
        <f aca="false">HYPERLINK("https://pbs.twimg.com/profile_images/711116232393535488/LTzf8344_normal.jpg","View")</f>
        <v>View</v>
      </c>
      <c r="P4328" s="10"/>
    </row>
    <row r="4329" customFormat="false" ht="15.75" hidden="false" customHeight="false" outlineLevel="0" collapsed="false">
      <c r="A4329" s="6" t="n">
        <v>43030.6475925926</v>
      </c>
      <c r="B4329" s="7" t="str">
        <f aca="false">HYPERLINK("https://twitter.com/kinlian","@kinlian")</f>
        <v>@kinlian</v>
      </c>
      <c r="C4329" s="8" t="s">
        <v>10383</v>
      </c>
      <c r="D4329" s="8" t="s">
        <v>10384</v>
      </c>
      <c r="E4329" s="9" t="str">
        <f aca="false">HYPERLINK("https://twitter.com/kinlian/status/922229212039151616","922229212039151616")</f>
        <v>922229212039151616</v>
      </c>
      <c r="F4329" s="10" t="s">
        <v>47</v>
      </c>
      <c r="G4329" s="10" t="n">
        <v>1534</v>
      </c>
      <c r="H4329" s="10" t="n">
        <v>121</v>
      </c>
      <c r="I4329" s="10" t="n">
        <v>0</v>
      </c>
      <c r="J4329" s="10" t="n">
        <v>0</v>
      </c>
      <c r="K4329" s="10" t="s">
        <v>20</v>
      </c>
      <c r="L4329" s="11" t="n">
        <v>39869.972650463</v>
      </c>
      <c r="M4329" s="12" t="s">
        <v>186</v>
      </c>
      <c r="N4329" s="12" t="s">
        <v>10385</v>
      </c>
      <c r="O4329" s="9" t="str">
        <f aca="false">HYPERLINK("https://pbs.twimg.com/profile_images/1117598600/TKL_photo_blog_normal.jpg","View")</f>
        <v>View</v>
      </c>
      <c r="P4329" s="10"/>
    </row>
    <row r="4330" customFormat="false" ht="15.75" hidden="false" customHeight="false" outlineLevel="0" collapsed="false">
      <c r="A4330" s="6" t="n">
        <v>43030.6477662037</v>
      </c>
      <c r="B4330" s="7" t="str">
        <f aca="false">HYPERLINK("https://twitter.com/AdityaEvready","@AdityaEvready")</f>
        <v>@AdityaEvready</v>
      </c>
      <c r="C4330" s="8" t="s">
        <v>10386</v>
      </c>
      <c r="D4330" s="8" t="s">
        <v>8538</v>
      </c>
      <c r="E4330" s="9" t="str">
        <f aca="false">HYPERLINK("https://twitter.com/AdityaEvready/status/922229271715704832","922229271715704832")</f>
        <v>922229271715704832</v>
      </c>
      <c r="F4330" s="10" t="s">
        <v>98</v>
      </c>
      <c r="G4330" s="10" t="n">
        <v>27</v>
      </c>
      <c r="H4330" s="10" t="n">
        <v>125</v>
      </c>
      <c r="I4330" s="10" t="n">
        <v>1015</v>
      </c>
      <c r="J4330" s="10" t="n">
        <v>0</v>
      </c>
      <c r="K4330" s="10" t="s">
        <v>20</v>
      </c>
      <c r="L4330" s="11" t="n">
        <v>41655.8148958333</v>
      </c>
      <c r="M4330" s="12" t="s">
        <v>72</v>
      </c>
      <c r="N4330" s="12" t="s">
        <v>10387</v>
      </c>
      <c r="O4330" s="9" t="str">
        <f aca="false">HYPERLINK("https://pbs.twimg.com/profile_images/899887908751945728/8-G5hZnx_normal.jpg","View")</f>
        <v>View</v>
      </c>
      <c r="P4330" s="10"/>
    </row>
    <row r="4331" customFormat="false" ht="15.75" hidden="false" customHeight="false" outlineLevel="0" collapsed="false">
      <c r="A4331" s="6" t="n">
        <v>43030.6478587963</v>
      </c>
      <c r="B4331" s="7" t="str">
        <f aca="false">HYPERLINK("https://twitter.com/magnifyk","@magnifyk")</f>
        <v>@magnifyk</v>
      </c>
      <c r="C4331" s="8" t="s">
        <v>4780</v>
      </c>
      <c r="D4331" s="8" t="s">
        <v>5813</v>
      </c>
      <c r="E4331" s="9" t="str">
        <f aca="false">HYPERLINK("https://twitter.com/magnifyk/status/922229308051152896","922229308051152896")</f>
        <v>922229308051152896</v>
      </c>
      <c r="F4331" s="10" t="s">
        <v>51</v>
      </c>
      <c r="G4331" s="10" t="n">
        <v>35838</v>
      </c>
      <c r="H4331" s="10" t="n">
        <v>38596</v>
      </c>
      <c r="I4331" s="10" t="n">
        <v>3</v>
      </c>
      <c r="J4331" s="10" t="n">
        <v>0</v>
      </c>
      <c r="K4331" s="10" t="s">
        <v>20</v>
      </c>
      <c r="L4331" s="11" t="n">
        <v>39945.5502893518</v>
      </c>
      <c r="M4331" s="12" t="s">
        <v>4782</v>
      </c>
      <c r="N4331" s="12" t="s">
        <v>4783</v>
      </c>
      <c r="O4331" s="9" t="str">
        <f aca="false">HYPERLINK("https://pbs.twimg.com/profile_images/427750582/banner_normal.jpg","View")</f>
        <v>View</v>
      </c>
      <c r="P4331" s="10"/>
    </row>
    <row r="4332" customFormat="false" ht="15.75" hidden="false" customHeight="false" outlineLevel="0" collapsed="false">
      <c r="A4332" s="6" t="n">
        <v>43030.6479976852</v>
      </c>
      <c r="B4332" s="7" t="str">
        <f aca="false">HYPERLINK("https://twitter.com/newslivenetwork","@newslivenetwork")</f>
        <v>@newslivenetwork</v>
      </c>
      <c r="C4332" s="8" t="s">
        <v>1668</v>
      </c>
      <c r="D4332" s="8" t="s">
        <v>10388</v>
      </c>
      <c r="E4332" s="9" t="str">
        <f aca="false">HYPERLINK("https://twitter.com/newslivenetwork/status/922229358592450560","922229358592450560")</f>
        <v>922229358592450560</v>
      </c>
      <c r="F4332" s="10" t="s">
        <v>55</v>
      </c>
      <c r="G4332" s="10" t="n">
        <v>272</v>
      </c>
      <c r="H4332" s="10" t="n">
        <v>87</v>
      </c>
      <c r="I4332" s="10" t="n">
        <v>0</v>
      </c>
      <c r="J4332" s="10" t="n">
        <v>0</v>
      </c>
      <c r="K4332" s="10" t="s">
        <v>20</v>
      </c>
      <c r="L4332" s="11" t="n">
        <v>42741.4719675926</v>
      </c>
      <c r="M4332" s="12" t="s">
        <v>1670</v>
      </c>
      <c r="N4332" s="12" t="s">
        <v>1671</v>
      </c>
      <c r="O4332" s="9" t="str">
        <f aca="false">HYPERLINK("https://pbs.twimg.com/profile_images/877414144424660992/scfhocj3_normal.jpg","View")</f>
        <v>View</v>
      </c>
      <c r="P4332" s="10"/>
    </row>
    <row r="4333" customFormat="false" ht="15.75" hidden="false" customHeight="false" outlineLevel="0" collapsed="false">
      <c r="A4333" s="6" t="n">
        <v>43030.6480787037</v>
      </c>
      <c r="B4333" s="7" t="str">
        <f aca="false">HYPERLINK("https://twitter.com/ksenseibnps","@ksenseibnps")</f>
        <v>@ksenseibnps</v>
      </c>
      <c r="C4333" s="8" t="s">
        <v>10389</v>
      </c>
      <c r="D4333" s="8" t="s">
        <v>9673</v>
      </c>
      <c r="E4333" s="9" t="str">
        <f aca="false">HYPERLINK("https://twitter.com/ksenseibnps/status/922229387927330817","922229387927330817")</f>
        <v>922229387927330817</v>
      </c>
      <c r="F4333" s="10" t="s">
        <v>25</v>
      </c>
      <c r="G4333" s="10" t="n">
        <v>369</v>
      </c>
      <c r="H4333" s="10" t="n">
        <v>184</v>
      </c>
      <c r="I4333" s="10" t="n">
        <v>6</v>
      </c>
      <c r="J4333" s="10" t="n">
        <v>0</v>
      </c>
      <c r="K4333" s="10" t="s">
        <v>20</v>
      </c>
      <c r="L4333" s="11" t="n">
        <v>40739.2518171296</v>
      </c>
      <c r="M4333" s="13" t="s">
        <v>10390</v>
      </c>
      <c r="N4333" s="13" t="s">
        <v>10391</v>
      </c>
      <c r="O4333" s="9" t="str">
        <f aca="false">HYPERLINK("https://pbs.twimg.com/profile_images/885260294322176000/LpWHP0US_normal.jpg","View")</f>
        <v>View</v>
      </c>
      <c r="P4333" s="10"/>
    </row>
    <row r="4334" customFormat="false" ht="15.75" hidden="false" customHeight="false" outlineLevel="0" collapsed="false">
      <c r="A4334" s="6" t="n">
        <v>43030.6482175926</v>
      </c>
      <c r="B4334" s="7" t="str">
        <f aca="false">HYPERLINK("https://twitter.com/trade_live","@trade_live")</f>
        <v>@trade_live</v>
      </c>
      <c r="C4334" s="8" t="s">
        <v>10392</v>
      </c>
      <c r="D4334" s="8" t="s">
        <v>8871</v>
      </c>
      <c r="E4334" s="9" t="str">
        <f aca="false">HYPERLINK("https://twitter.com/trade_live/status/922229436996612097","922229436996612097")</f>
        <v>922229436996612097</v>
      </c>
      <c r="F4334" s="10" t="s">
        <v>39</v>
      </c>
      <c r="G4334" s="10" t="n">
        <v>4137</v>
      </c>
      <c r="H4334" s="10" t="n">
        <v>3493</v>
      </c>
      <c r="I4334" s="10" t="n">
        <v>7</v>
      </c>
      <c r="J4334" s="10" t="n">
        <v>0</v>
      </c>
      <c r="K4334" s="10" t="s">
        <v>20</v>
      </c>
      <c r="L4334" s="11" t="n">
        <v>42352.5003240741</v>
      </c>
      <c r="M4334" s="12" t="s">
        <v>10393</v>
      </c>
      <c r="N4334" s="12" t="s">
        <v>10394</v>
      </c>
      <c r="O4334" s="9" t="str">
        <f aca="false">HYPERLINK("https://pbs.twimg.com/profile_images/708725262272172033/agr5NKbs_normal.jpg","View")</f>
        <v>View</v>
      </c>
      <c r="P4334" s="10"/>
    </row>
    <row r="4335" customFormat="false" ht="15.75" hidden="false" customHeight="false" outlineLevel="0" collapsed="false">
      <c r="A4335" s="6" t="n">
        <v>43030.6490740741</v>
      </c>
      <c r="B4335" s="7" t="str">
        <f aca="false">HYPERLINK("https://twitter.com/carlbildt","@carlbildt")</f>
        <v>@carlbildt</v>
      </c>
      <c r="C4335" s="8" t="s">
        <v>10395</v>
      </c>
      <c r="D4335" s="8" t="s">
        <v>10396</v>
      </c>
      <c r="E4335" s="9" t="str">
        <f aca="false">HYPERLINK("https://twitter.com/carlbildt/status/922229748868280321","922229748868280321")</f>
        <v>922229748868280321</v>
      </c>
      <c r="F4335" s="10" t="s">
        <v>177</v>
      </c>
      <c r="G4335" s="10" t="n">
        <v>662537</v>
      </c>
      <c r="H4335" s="10" t="n">
        <v>2412</v>
      </c>
      <c r="I4335" s="10" t="n">
        <v>14</v>
      </c>
      <c r="J4335" s="10" t="n">
        <v>16</v>
      </c>
      <c r="K4335" s="10" t="s">
        <v>20</v>
      </c>
      <c r="L4335" s="11" t="n">
        <v>39815.0931365741</v>
      </c>
      <c r="M4335" s="12"/>
      <c r="N4335" s="12" t="s">
        <v>10397</v>
      </c>
      <c r="O4335" s="9" t="str">
        <f aca="false">HYPERLINK("https://pbs.twimg.com/profile_images/845592890994839553/IPoUmvTp_normal.jpg","View")</f>
        <v>View</v>
      </c>
      <c r="P4335" s="10"/>
    </row>
    <row r="4336" customFormat="false" ht="15.75" hidden="false" customHeight="false" outlineLevel="0" collapsed="false">
      <c r="A4336" s="6" t="n">
        <v>43030.6497800926</v>
      </c>
      <c r="B4336" s="7" t="str">
        <f aca="false">HYPERLINK("https://twitter.com/PollVoyeur","@PollVoyeur")</f>
        <v>@PollVoyeur</v>
      </c>
      <c r="C4336" s="8" t="s">
        <v>906</v>
      </c>
      <c r="D4336" s="8" t="s">
        <v>10398</v>
      </c>
      <c r="E4336" s="9" t="str">
        <f aca="false">HYPERLINK("https://twitter.com/PollVoyeur/status/922230000740311040","922230000740311040")</f>
        <v>922230000740311040</v>
      </c>
      <c r="F4336" s="10" t="s">
        <v>39</v>
      </c>
      <c r="G4336" s="10" t="n">
        <v>103</v>
      </c>
      <c r="H4336" s="10" t="n">
        <v>414</v>
      </c>
      <c r="I4336" s="10" t="n">
        <v>0</v>
      </c>
      <c r="J4336" s="10" t="n">
        <v>0</v>
      </c>
      <c r="K4336" s="10" t="s">
        <v>20</v>
      </c>
      <c r="L4336" s="11" t="n">
        <v>43010.8158796296</v>
      </c>
      <c r="M4336" s="12"/>
      <c r="N4336" s="12" t="s">
        <v>908</v>
      </c>
      <c r="O4336" s="9" t="str">
        <f aca="false">HYPERLINK("https://pbs.twimg.com/profile_images/915046961828347904/5BKoFkUy_normal.jpg","View")</f>
        <v>View</v>
      </c>
      <c r="P4336" s="10"/>
    </row>
    <row r="4337" customFormat="false" ht="15.75" hidden="false" customHeight="false" outlineLevel="0" collapsed="false">
      <c r="A4337" s="6" t="n">
        <v>43030.6511689815</v>
      </c>
      <c r="B4337" s="7" t="str">
        <f aca="false">HYPERLINK("https://twitter.com/CAPEuropeFR","@CAPEuropeFR")</f>
        <v>@CAPEuropeFR</v>
      </c>
      <c r="C4337" s="8" t="s">
        <v>5930</v>
      </c>
      <c r="D4337" s="8" t="s">
        <v>10399</v>
      </c>
      <c r="E4337" s="9" t="str">
        <f aca="false">HYPERLINK("https://twitter.com/CAPEuropeFR/status/922230505977798656","922230505977798656")</f>
        <v>922230505977798656</v>
      </c>
      <c r="F4337" s="10" t="s">
        <v>25</v>
      </c>
      <c r="G4337" s="10" t="n">
        <v>1534</v>
      </c>
      <c r="H4337" s="10" t="n">
        <v>869</v>
      </c>
      <c r="I4337" s="10" t="n">
        <v>1</v>
      </c>
      <c r="J4337" s="10" t="n">
        <v>0</v>
      </c>
      <c r="K4337" s="10" t="s">
        <v>20</v>
      </c>
      <c r="L4337" s="11" t="n">
        <v>42549.2896064815</v>
      </c>
      <c r="M4337" s="12" t="s">
        <v>1754</v>
      </c>
      <c r="N4337" s="12" t="s">
        <v>5932</v>
      </c>
      <c r="O4337" s="9" t="str">
        <f aca="false">HYPERLINK("https://pbs.twimg.com/profile_images/747791873394282496/8FvQoDRY_normal.jpg","View")</f>
        <v>View</v>
      </c>
      <c r="P4337" s="10"/>
    </row>
    <row r="4338" customFormat="false" ht="15.75" hidden="false" customHeight="false" outlineLevel="0" collapsed="false">
      <c r="A4338" s="6" t="n">
        <v>43030.6515856482</v>
      </c>
      <c r="B4338" s="7" t="str">
        <f aca="false">HYPERLINK("https://twitter.com/nneusj","@nneusj")</f>
        <v>@nneusj</v>
      </c>
      <c r="C4338" s="8" t="s">
        <v>834</v>
      </c>
      <c r="D4338" s="8" t="s">
        <v>4984</v>
      </c>
      <c r="E4338" s="9" t="str">
        <f aca="false">HYPERLINK("https://twitter.com/nneusj/status/922230657878773762","922230657878773762")</f>
        <v>922230657878773762</v>
      </c>
      <c r="F4338" s="10" t="s">
        <v>39</v>
      </c>
      <c r="G4338" s="10" t="n">
        <v>240</v>
      </c>
      <c r="H4338" s="10" t="n">
        <v>1887</v>
      </c>
      <c r="I4338" s="10" t="n">
        <v>187</v>
      </c>
      <c r="J4338" s="10" t="n">
        <v>0</v>
      </c>
      <c r="K4338" s="10" t="s">
        <v>20</v>
      </c>
      <c r="L4338" s="11" t="n">
        <v>42310.5218981481</v>
      </c>
      <c r="M4338" s="12"/>
      <c r="N4338" s="12"/>
      <c r="O4338" s="9" t="str">
        <f aca="false">HYPERLINK("https://pbs.twimg.com/profile_images/661281424570454016/IY6X6O9R_normal.jpg","View")</f>
        <v>View</v>
      </c>
      <c r="P4338" s="10"/>
    </row>
    <row r="4339" customFormat="false" ht="15.75" hidden="false" customHeight="false" outlineLevel="0" collapsed="false">
      <c r="A4339" s="6" t="n">
        <v>43030.651875</v>
      </c>
      <c r="B4339" s="7" t="str">
        <f aca="false">HYPERLINK("https://twitter.com/Aditya2d","@Aditya2d")</f>
        <v>@Aditya2d</v>
      </c>
      <c r="C4339" s="8" t="s">
        <v>10400</v>
      </c>
      <c r="D4339" s="8" t="s">
        <v>9613</v>
      </c>
      <c r="E4339" s="9" t="str">
        <f aca="false">HYPERLINK("https://twitter.com/Aditya2d/status/922230760224026624","922230760224026624")</f>
        <v>922230760224026624</v>
      </c>
      <c r="F4339" s="10" t="s">
        <v>25</v>
      </c>
      <c r="G4339" s="10" t="n">
        <v>29</v>
      </c>
      <c r="H4339" s="10" t="n">
        <v>40</v>
      </c>
      <c r="I4339" s="10" t="n">
        <v>2</v>
      </c>
      <c r="J4339" s="10" t="n">
        <v>0</v>
      </c>
      <c r="K4339" s="10" t="s">
        <v>20</v>
      </c>
      <c r="L4339" s="11" t="n">
        <v>41724.2377777778</v>
      </c>
      <c r="M4339" s="12"/>
      <c r="N4339" s="12"/>
      <c r="O4339" s="9" t="str">
        <f aca="false">HYPERLINK("https://pbs.twimg.com/profile_images/448802809345875969/TU4OyiRx_normal.jpeg","View")</f>
        <v>View</v>
      </c>
      <c r="P4339" s="10"/>
    </row>
    <row r="4340" customFormat="false" ht="15.75" hidden="false" customHeight="false" outlineLevel="0" collapsed="false">
      <c r="A4340" s="6" t="n">
        <v>43030.6519907407</v>
      </c>
      <c r="B4340" s="7" t="str">
        <f aca="false">HYPERLINK("https://twitter.com/bratNvet","@bratNvet")</f>
        <v>@bratNvet</v>
      </c>
      <c r="C4340" s="8" t="s">
        <v>10401</v>
      </c>
      <c r="D4340" s="8" t="s">
        <v>10402</v>
      </c>
      <c r="E4340" s="9" t="str">
        <f aca="false">HYPERLINK("https://twitter.com/bratNvet/status/922230802984964097","922230802984964097")</f>
        <v>922230802984964097</v>
      </c>
      <c r="F4340" s="10" t="s">
        <v>39</v>
      </c>
      <c r="G4340" s="10" t="n">
        <v>1195</v>
      </c>
      <c r="H4340" s="10" t="n">
        <v>1193</v>
      </c>
      <c r="I4340" s="10" t="n">
        <v>0</v>
      </c>
      <c r="J4340" s="10" t="n">
        <v>1</v>
      </c>
      <c r="K4340" s="10" t="s">
        <v>20</v>
      </c>
      <c r="L4340" s="11" t="n">
        <v>40169.4532638889</v>
      </c>
      <c r="M4340" s="12" t="s">
        <v>601</v>
      </c>
      <c r="N4340" s="12" t="s">
        <v>10403</v>
      </c>
      <c r="O4340" s="9" t="str">
        <f aca="false">HYPERLINK("https://pbs.twimg.com/profile_images/836017334661734400/SDP9sUZT_normal.jpg","View")</f>
        <v>View</v>
      </c>
      <c r="P4340" s="10"/>
    </row>
    <row r="4341" customFormat="false" ht="15.75" hidden="false" customHeight="false" outlineLevel="0" collapsed="false">
      <c r="A4341" s="6" t="n">
        <v>43030.6520023148</v>
      </c>
      <c r="B4341" s="7" t="str">
        <f aca="false">HYPERLINK("https://twitter.com/BrantH2015","@BrantH2015")</f>
        <v>@BrantH2015</v>
      </c>
      <c r="C4341" s="8" t="s">
        <v>10404</v>
      </c>
      <c r="D4341" s="8" t="s">
        <v>10405</v>
      </c>
      <c r="E4341" s="9" t="str">
        <f aca="false">HYPERLINK("https://twitter.com/BrantH2015/status/922230807787433991","922230807787433991")</f>
        <v>922230807787433991</v>
      </c>
      <c r="F4341" s="10" t="s">
        <v>276</v>
      </c>
      <c r="G4341" s="10" t="n">
        <v>98</v>
      </c>
      <c r="H4341" s="10" t="n">
        <v>903</v>
      </c>
      <c r="I4341" s="10" t="n">
        <v>3</v>
      </c>
      <c r="J4341" s="10" t="n">
        <v>0</v>
      </c>
      <c r="K4341" s="10" t="s">
        <v>20</v>
      </c>
      <c r="L4341" s="11" t="n">
        <v>42344.480462963</v>
      </c>
      <c r="M4341" s="12"/>
      <c r="N4341" s="12"/>
      <c r="O4341" s="9" t="str">
        <f aca="false">HYPERLINK("https://pbs.twimg.com/profile_images/718398946897473536/qZEklTHF_normal.jpg","View")</f>
        <v>View</v>
      </c>
      <c r="P4341" s="10"/>
    </row>
    <row r="4342" customFormat="false" ht="15.75" hidden="false" customHeight="false" outlineLevel="0" collapsed="false">
      <c r="A4342" s="6" t="n">
        <v>43030.6520023148</v>
      </c>
      <c r="B4342" s="7" t="str">
        <f aca="false">HYPERLINK("https://twitter.com/Kennndale","@Kennndale")</f>
        <v>@Kennndale</v>
      </c>
      <c r="C4342" s="8" t="s">
        <v>10406</v>
      </c>
      <c r="D4342" s="8" t="s">
        <v>10405</v>
      </c>
      <c r="E4342" s="9" t="str">
        <f aca="false">HYPERLINK("https://twitter.com/Kennndale/status/922230808051625984","922230808051625984")</f>
        <v>922230808051625984</v>
      </c>
      <c r="F4342" s="10" t="s">
        <v>276</v>
      </c>
      <c r="G4342" s="10" t="n">
        <v>81</v>
      </c>
      <c r="H4342" s="10" t="n">
        <v>362</v>
      </c>
      <c r="I4342" s="10" t="n">
        <v>3</v>
      </c>
      <c r="J4342" s="10" t="n">
        <v>0</v>
      </c>
      <c r="K4342" s="10" t="s">
        <v>20</v>
      </c>
      <c r="L4342" s="11" t="n">
        <v>42270.4815162037</v>
      </c>
      <c r="M4342" s="12"/>
      <c r="N4342" s="12" t="s">
        <v>10407</v>
      </c>
      <c r="O4342" s="9" t="str">
        <f aca="false">HYPERLINK("https://pbs.twimg.com/profile_images/654595708469669888/-poFTtrj_normal.jpg","View")</f>
        <v>View</v>
      </c>
      <c r="P4342" s="10"/>
    </row>
    <row r="4343" customFormat="false" ht="15.75" hidden="false" customHeight="false" outlineLevel="0" collapsed="false">
      <c r="A4343" s="6" t="n">
        <v>43030.6522569444</v>
      </c>
      <c r="B4343" s="7" t="str">
        <f aca="false">HYPERLINK("https://twitter.com/avilonjoel","@avilonjoel")</f>
        <v>@avilonjoel</v>
      </c>
      <c r="C4343" s="8" t="s">
        <v>10408</v>
      </c>
      <c r="D4343" s="8" t="s">
        <v>5813</v>
      </c>
      <c r="E4343" s="9" t="str">
        <f aca="false">HYPERLINK("https://twitter.com/avilonjoel/status/922230901836275712","922230901836275712")</f>
        <v>922230901836275712</v>
      </c>
      <c r="F4343" s="10" t="s">
        <v>51</v>
      </c>
      <c r="G4343" s="10" t="n">
        <v>1932</v>
      </c>
      <c r="H4343" s="10" t="n">
        <v>3085</v>
      </c>
      <c r="I4343" s="10" t="n">
        <v>3</v>
      </c>
      <c r="J4343" s="10" t="n">
        <v>0</v>
      </c>
      <c r="K4343" s="10" t="s">
        <v>20</v>
      </c>
      <c r="L4343" s="11" t="n">
        <v>42588.1980902778</v>
      </c>
      <c r="M4343" s="12"/>
      <c r="N4343" s="15" t="s">
        <v>10409</v>
      </c>
      <c r="O4343" s="9" t="str">
        <f aca="false">HYPERLINK("https://pbs.twimg.com/profile_images/761892673854865408/h2zzspvJ_normal.jpg","View")</f>
        <v>View</v>
      </c>
      <c r="P4343" s="10"/>
    </row>
    <row r="4344" customFormat="false" ht="15.75" hidden="false" customHeight="false" outlineLevel="0" collapsed="false">
      <c r="A4344" s="6" t="n">
        <v>43030.6524768519</v>
      </c>
      <c r="B4344" s="7" t="str">
        <f aca="false">HYPERLINK("https://twitter.com/SihabBD","@SihabBD")</f>
        <v>@SihabBD</v>
      </c>
      <c r="C4344" s="8" t="s">
        <v>10410</v>
      </c>
      <c r="D4344" s="8" t="s">
        <v>10405</v>
      </c>
      <c r="E4344" s="9" t="str">
        <f aca="false">HYPERLINK("https://twitter.com/SihabBD/status/922230979670036481","922230979670036481")</f>
        <v>922230979670036481</v>
      </c>
      <c r="F4344" s="10" t="s">
        <v>10411</v>
      </c>
      <c r="G4344" s="10" t="n">
        <v>1118</v>
      </c>
      <c r="H4344" s="10" t="n">
        <v>156</v>
      </c>
      <c r="I4344" s="10" t="n">
        <v>3</v>
      </c>
      <c r="J4344" s="10" t="n">
        <v>0</v>
      </c>
      <c r="K4344" s="10" t="s">
        <v>20</v>
      </c>
      <c r="L4344" s="11" t="n">
        <v>40275.0475925926</v>
      </c>
      <c r="M4344" s="12" t="s">
        <v>2875</v>
      </c>
      <c r="N4344" s="12" t="s">
        <v>10412</v>
      </c>
      <c r="O4344" s="9" t="str">
        <f aca="false">HYPERLINK("https://pbs.twimg.com/profile_images/866317468200968192/E_fsti2Q_normal.jpg","View")</f>
        <v>View</v>
      </c>
      <c r="P4344" s="10"/>
    </row>
    <row r="4345" customFormat="false" ht="15.75" hidden="false" customHeight="false" outlineLevel="0" collapsed="false">
      <c r="A4345" s="6" t="n">
        <v>43030.652662037</v>
      </c>
      <c r="B4345" s="7" t="str">
        <f aca="false">HYPERLINK("https://twitter.com/21law","@21law")</f>
        <v>@21law</v>
      </c>
      <c r="C4345" s="8" t="s">
        <v>10413</v>
      </c>
      <c r="D4345" s="8" t="s">
        <v>10414</v>
      </c>
      <c r="E4345" s="9" t="str">
        <f aca="false">HYPERLINK("https://twitter.com/21law/status/922231045608693760","922231045608693760")</f>
        <v>922231045608693760</v>
      </c>
      <c r="F4345" s="10" t="s">
        <v>39</v>
      </c>
      <c r="G4345" s="10" t="n">
        <v>1435</v>
      </c>
      <c r="H4345" s="10" t="n">
        <v>2568</v>
      </c>
      <c r="I4345" s="10" t="n">
        <v>14</v>
      </c>
      <c r="J4345" s="10" t="n">
        <v>0</v>
      </c>
      <c r="K4345" s="10" t="s">
        <v>20</v>
      </c>
      <c r="L4345" s="11" t="n">
        <v>40567.7964699074</v>
      </c>
      <c r="M4345" s="12" t="s">
        <v>1359</v>
      </c>
      <c r="N4345" s="12" t="s">
        <v>10415</v>
      </c>
      <c r="O4345" s="9" t="str">
        <f aca="false">HYPERLINK("https://pbs.twimg.com/profile_images/853667256844165120/1eV3vPph_normal.jpg","View")</f>
        <v>View</v>
      </c>
      <c r="P4345" s="10"/>
    </row>
    <row r="4346" customFormat="false" ht="15.75" hidden="false" customHeight="false" outlineLevel="0" collapsed="false">
      <c r="A4346" s="6" t="n">
        <v>43030.6528125</v>
      </c>
      <c r="B4346" s="7" t="str">
        <f aca="false">HYPERLINK("https://twitter.com/SCMP_News","@SCMP_News")</f>
        <v>@SCMP_News</v>
      </c>
      <c r="C4346" s="8" t="s">
        <v>2290</v>
      </c>
      <c r="D4346" s="8" t="s">
        <v>10416</v>
      </c>
      <c r="E4346" s="9" t="str">
        <f aca="false">HYPERLINK("https://twitter.com/SCMP_News/status/922231100575010816","922231100575010816")</f>
        <v>922231100575010816</v>
      </c>
      <c r="F4346" s="10" t="s">
        <v>1167</v>
      </c>
      <c r="G4346" s="10" t="n">
        <v>506530</v>
      </c>
      <c r="H4346" s="10" t="n">
        <v>345</v>
      </c>
      <c r="I4346" s="10" t="n">
        <v>4</v>
      </c>
      <c r="J4346" s="10" t="n">
        <v>3</v>
      </c>
      <c r="K4346" s="10" t="s">
        <v>20</v>
      </c>
      <c r="L4346" s="11" t="n">
        <v>39884.077662037</v>
      </c>
      <c r="M4346" s="12" t="s">
        <v>68</v>
      </c>
      <c r="N4346" s="12" t="s">
        <v>2292</v>
      </c>
      <c r="O4346" s="9" t="str">
        <f aca="false">HYPERLINK("https://pbs.twimg.com/profile_images/593315521707159552/nSAjByJO_normal.png","View")</f>
        <v>View</v>
      </c>
      <c r="P4346" s="10"/>
    </row>
    <row r="4347" customFormat="false" ht="15.75" hidden="false" customHeight="false" outlineLevel="0" collapsed="false">
      <c r="A4347" s="6" t="n">
        <v>43030.6528935185</v>
      </c>
      <c r="B4347" s="7" t="str">
        <f aca="false">HYPERLINK("https://twitter.com/jzca1l","@jzca1l")</f>
        <v>@jzca1l</v>
      </c>
      <c r="C4347" s="8" t="s">
        <v>9076</v>
      </c>
      <c r="D4347" s="8" t="s">
        <v>10417</v>
      </c>
      <c r="E4347" s="9" t="str">
        <f aca="false">HYPERLINK("https://twitter.com/jzca1l/status/922231131650506752","922231131650506752")</f>
        <v>922231131650506752</v>
      </c>
      <c r="F4347" s="10" t="s">
        <v>39</v>
      </c>
      <c r="G4347" s="10" t="n">
        <v>12</v>
      </c>
      <c r="H4347" s="10" t="n">
        <v>45</v>
      </c>
      <c r="I4347" s="10" t="n">
        <v>4</v>
      </c>
      <c r="J4347" s="10" t="n">
        <v>0</v>
      </c>
      <c r="K4347" s="10" t="s">
        <v>20</v>
      </c>
      <c r="L4347" s="11" t="n">
        <v>43002.0697106482</v>
      </c>
      <c r="M4347" s="12" t="s">
        <v>9077</v>
      </c>
      <c r="N4347" s="12" t="s">
        <v>9078</v>
      </c>
      <c r="O4347" s="9" t="str">
        <f aca="false">HYPERLINK("https://pbs.twimg.com/profile_images/911873755105837056/GuymLny2_normal.jpg","View")</f>
        <v>View</v>
      </c>
      <c r="P4347" s="10"/>
    </row>
    <row r="4348" customFormat="false" ht="15.75" hidden="false" customHeight="false" outlineLevel="0" collapsed="false">
      <c r="A4348" s="6" t="n">
        <v>43030.6529282407</v>
      </c>
      <c r="B4348" s="7" t="str">
        <f aca="false">HYPERLINK("https://twitter.com/jeffers75109741","@jeffers75109741")</f>
        <v>@jeffers75109741</v>
      </c>
      <c r="C4348" s="8" t="s">
        <v>9074</v>
      </c>
      <c r="D4348" s="8" t="s">
        <v>10417</v>
      </c>
      <c r="E4348" s="9" t="str">
        <f aca="false">HYPERLINK("https://twitter.com/jeffers75109741/status/922231141591015424","922231141591015424")</f>
        <v>922231141591015424</v>
      </c>
      <c r="F4348" s="10" t="s">
        <v>39</v>
      </c>
      <c r="G4348" s="10" t="n">
        <v>8</v>
      </c>
      <c r="H4348" s="10" t="n">
        <v>52</v>
      </c>
      <c r="I4348" s="10" t="n">
        <v>4</v>
      </c>
      <c r="J4348" s="10" t="n">
        <v>0</v>
      </c>
      <c r="K4348" s="10" t="s">
        <v>20</v>
      </c>
      <c r="L4348" s="11" t="n">
        <v>43020.2811111111</v>
      </c>
      <c r="M4348" s="12"/>
      <c r="N4348" s="12"/>
      <c r="O4348" s="9" t="str">
        <f aca="false">HYPERLINK("https://pbs.twimg.com/profile_images/920298934626426882/2opxO_ju_normal.jpg","View")</f>
        <v>View</v>
      </c>
      <c r="P4348" s="10"/>
    </row>
    <row r="4349" customFormat="false" ht="15.75" hidden="false" customHeight="false" outlineLevel="0" collapsed="false">
      <c r="A4349" s="6" t="n">
        <v>43030.652974537</v>
      </c>
      <c r="B4349" s="7" t="str">
        <f aca="false">HYPERLINK("https://twitter.com/_awilly_","@_awilly_")</f>
        <v>@_awilly_</v>
      </c>
      <c r="C4349" s="8" t="s">
        <v>10418</v>
      </c>
      <c r="D4349" s="8" t="s">
        <v>10417</v>
      </c>
      <c r="E4349" s="9" t="str">
        <f aca="false">HYPERLINK("https://twitter.com/_awilly_/status/922231158758195206","922231158758195206")</f>
        <v>922231158758195206</v>
      </c>
      <c r="F4349" s="10" t="s">
        <v>51</v>
      </c>
      <c r="G4349" s="10" t="n">
        <v>206</v>
      </c>
      <c r="H4349" s="10" t="n">
        <v>856</v>
      </c>
      <c r="I4349" s="10" t="n">
        <v>4</v>
      </c>
      <c r="J4349" s="10" t="n">
        <v>0</v>
      </c>
      <c r="K4349" s="10" t="s">
        <v>20</v>
      </c>
      <c r="L4349" s="11" t="n">
        <v>42010.5837962963</v>
      </c>
      <c r="M4349" s="12" t="s">
        <v>1572</v>
      </c>
      <c r="N4349" s="12" t="s">
        <v>10419</v>
      </c>
      <c r="O4349" s="9" t="str">
        <f aca="false">HYPERLINK("https://pbs.twimg.com/profile_images/908384029740691456/K8O0W0mY_normal.jpg","View")</f>
        <v>View</v>
      </c>
      <c r="P4349" s="10"/>
    </row>
    <row r="4350" customFormat="false" ht="15.75" hidden="false" customHeight="false" outlineLevel="0" collapsed="false">
      <c r="A4350" s="6" t="n">
        <v>43030.653275463</v>
      </c>
      <c r="B4350" s="7" t="str">
        <f aca="false">HYPERLINK("https://twitter.com/rajeevsom","@rajeevsom")</f>
        <v>@rajeevsom</v>
      </c>
      <c r="C4350" s="8" t="s">
        <v>10420</v>
      </c>
      <c r="D4350" s="8" t="s">
        <v>8538</v>
      </c>
      <c r="E4350" s="9" t="str">
        <f aca="false">HYPERLINK("https://twitter.com/rajeevsom/status/922231268204363776","922231268204363776")</f>
        <v>922231268204363776</v>
      </c>
      <c r="F4350" s="10" t="s">
        <v>25</v>
      </c>
      <c r="G4350" s="10" t="n">
        <v>330</v>
      </c>
      <c r="H4350" s="10" t="n">
        <v>555</v>
      </c>
      <c r="I4350" s="10" t="n">
        <v>1015</v>
      </c>
      <c r="J4350" s="10" t="n">
        <v>0</v>
      </c>
      <c r="K4350" s="10" t="s">
        <v>20</v>
      </c>
      <c r="L4350" s="11" t="n">
        <v>40318.9700231482</v>
      </c>
      <c r="M4350" s="12"/>
      <c r="N4350" s="12"/>
      <c r="O4350" s="9" t="str">
        <f aca="false">HYPERLINK("https://pbs.twimg.com/profile_images/871986595502718976/_DQ_8uOL_normal.jpg","View")</f>
        <v>View</v>
      </c>
      <c r="P4350" s="10"/>
    </row>
    <row r="4351" customFormat="false" ht="15.75" hidden="false" customHeight="false" outlineLevel="0" collapsed="false">
      <c r="A4351" s="6" t="n">
        <v>43030.6533217593</v>
      </c>
      <c r="B4351" s="7" t="str">
        <f aca="false">HYPERLINK("https://twitter.com/ANCALERTS","@ANCALERTS")</f>
        <v>@ANCALERTS</v>
      </c>
      <c r="C4351" s="8" t="s">
        <v>10421</v>
      </c>
      <c r="D4351" s="8" t="s">
        <v>10422</v>
      </c>
      <c r="E4351" s="9" t="str">
        <f aca="false">HYPERLINK("https://twitter.com/ANCALERTS/status/922231284985819137","922231284985819137")</f>
        <v>922231284985819137</v>
      </c>
      <c r="F4351" s="9" t="s">
        <v>198</v>
      </c>
      <c r="G4351" s="10" t="n">
        <v>4450558</v>
      </c>
      <c r="H4351" s="10" t="n">
        <v>780</v>
      </c>
      <c r="I4351" s="10" t="n">
        <v>1</v>
      </c>
      <c r="J4351" s="10" t="n">
        <v>1</v>
      </c>
      <c r="K4351" s="10" t="s">
        <v>20</v>
      </c>
      <c r="L4351" s="11" t="n">
        <v>39968.6016666667</v>
      </c>
      <c r="M4351" s="12" t="s">
        <v>1239</v>
      </c>
      <c r="N4351" s="12" t="s">
        <v>10423</v>
      </c>
      <c r="O4351" s="9" t="str">
        <f aca="false">HYPERLINK("https://pbs.twimg.com/profile_images/658664801204224000/c8YAaKM2_normal.jpg","View")</f>
        <v>View</v>
      </c>
      <c r="P4351" s="10"/>
    </row>
    <row r="4352" customFormat="false" ht="15.75" hidden="false" customHeight="false" outlineLevel="0" collapsed="false">
      <c r="A4352" s="6" t="n">
        <v>43030.6535763889</v>
      </c>
      <c r="B4352" s="7" t="str">
        <f aca="false">HYPERLINK("https://twitter.com/MarcasPadraig","@MarcasPadraig")</f>
        <v>@MarcasPadraig</v>
      </c>
      <c r="C4352" s="8" t="s">
        <v>10424</v>
      </c>
      <c r="D4352" s="8" t="s">
        <v>10425</v>
      </c>
      <c r="E4352" s="9" t="str">
        <f aca="false">HYPERLINK("https://twitter.com/MarcasPadraig/status/922231378732896257","922231378732896257")</f>
        <v>922231378732896257</v>
      </c>
      <c r="F4352" s="10" t="s">
        <v>110</v>
      </c>
      <c r="G4352" s="10" t="n">
        <v>2070</v>
      </c>
      <c r="H4352" s="10" t="n">
        <v>3280</v>
      </c>
      <c r="I4352" s="10" t="n">
        <v>0</v>
      </c>
      <c r="J4352" s="10" t="n">
        <v>0</v>
      </c>
      <c r="K4352" s="10" t="s">
        <v>20</v>
      </c>
      <c r="L4352" s="11" t="n">
        <v>39984.2027314815</v>
      </c>
      <c r="M4352" s="12" t="s">
        <v>10426</v>
      </c>
      <c r="N4352" s="12" t="s">
        <v>10427</v>
      </c>
      <c r="O4352" s="9" t="str">
        <f aca="false">HYPERLINK("https://pbs.twimg.com/profile_images/854105826742738944/jHaoAsri_normal.jpg","View")</f>
        <v>View</v>
      </c>
      <c r="P4352" s="10"/>
    </row>
    <row r="4353" customFormat="false" ht="15.75" hidden="false" customHeight="false" outlineLevel="0" collapsed="false">
      <c r="A4353" s="6" t="n">
        <v>43030.6535763889</v>
      </c>
      <c r="B4353" s="7" t="str">
        <f aca="false">HYPERLINK("https://twitter.com/mpn_news","@mpn_news")</f>
        <v>@mpn_news</v>
      </c>
      <c r="C4353" s="8" t="s">
        <v>10428</v>
      </c>
      <c r="D4353" s="8" t="s">
        <v>10429</v>
      </c>
      <c r="E4353" s="9" t="str">
        <f aca="false">HYPERLINK("https://twitter.com/mpn_news/status/922231379097776130","922231379097776130")</f>
        <v>922231379097776130</v>
      </c>
      <c r="F4353" s="10" t="s">
        <v>110</v>
      </c>
      <c r="G4353" s="10" t="n">
        <v>14</v>
      </c>
      <c r="H4353" s="10" t="n">
        <v>5</v>
      </c>
      <c r="I4353" s="10" t="n">
        <v>0</v>
      </c>
      <c r="J4353" s="10" t="n">
        <v>0</v>
      </c>
      <c r="K4353" s="10" t="s">
        <v>20</v>
      </c>
      <c r="L4353" s="11" t="n">
        <v>42823.4933333333</v>
      </c>
      <c r="M4353" s="12" t="s">
        <v>6755</v>
      </c>
      <c r="N4353" s="12" t="s">
        <v>10430</v>
      </c>
      <c r="O4353" s="9" t="str">
        <f aca="false">HYPERLINK("https://pbs.twimg.com/profile_images/908363177435566080/QRAtEdaN_normal.jpg","View")</f>
        <v>View</v>
      </c>
      <c r="P4353" s="10"/>
    </row>
    <row r="4354" customFormat="false" ht="15.75" hidden="false" customHeight="false" outlineLevel="0" collapsed="false">
      <c r="A4354" s="6" t="n">
        <v>43030.65375</v>
      </c>
      <c r="B4354" s="7" t="str">
        <f aca="false">HYPERLINK("https://twitter.com/boanderson36","@boanderson36")</f>
        <v>@boanderson36</v>
      </c>
      <c r="C4354" s="8" t="s">
        <v>10431</v>
      </c>
      <c r="D4354" s="8" t="s">
        <v>8192</v>
      </c>
      <c r="E4354" s="9" t="str">
        <f aca="false">HYPERLINK("https://twitter.com/boanderson36/status/922231442834427904","922231442834427904")</f>
        <v>922231442834427904</v>
      </c>
      <c r="F4354" s="10" t="s">
        <v>51</v>
      </c>
      <c r="G4354" s="10" t="n">
        <v>178</v>
      </c>
      <c r="H4354" s="10" t="n">
        <v>330</v>
      </c>
      <c r="I4354" s="10" t="n">
        <v>8</v>
      </c>
      <c r="J4354" s="10" t="n">
        <v>0</v>
      </c>
      <c r="K4354" s="10" t="s">
        <v>20</v>
      </c>
      <c r="L4354" s="11" t="n">
        <v>41676.5132291667</v>
      </c>
      <c r="M4354" s="12"/>
      <c r="N4354" s="12"/>
      <c r="O4354" s="9" t="str">
        <f aca="false">HYPERLINK("https://pbs.twimg.com/profile_images/763862546113789952/JV535p3C_normal.jpg","View")</f>
        <v>View</v>
      </c>
      <c r="P4354" s="10"/>
    </row>
    <row r="4355" customFormat="false" ht="15.75" hidden="false" customHeight="false" outlineLevel="0" collapsed="false">
      <c r="A4355" s="6" t="n">
        <v>43030.6547222222</v>
      </c>
      <c r="B4355" s="7" t="str">
        <f aca="false">HYPERLINK("https://twitter.com/HoansSolo","@HoansSolo")</f>
        <v>@HoansSolo</v>
      </c>
      <c r="C4355" s="8" t="s">
        <v>10432</v>
      </c>
      <c r="D4355" s="8" t="s">
        <v>10433</v>
      </c>
      <c r="E4355" s="9" t="str">
        <f aca="false">HYPERLINK("https://twitter.com/HoansSolo/status/922231793448865792","922231793448865792")</f>
        <v>922231793448865792</v>
      </c>
      <c r="F4355" s="10" t="s">
        <v>39</v>
      </c>
      <c r="G4355" s="10" t="n">
        <v>5070</v>
      </c>
      <c r="H4355" s="10" t="n">
        <v>596</v>
      </c>
      <c r="I4355" s="10" t="n">
        <v>0</v>
      </c>
      <c r="J4355" s="10" t="n">
        <v>1</v>
      </c>
      <c r="K4355" s="10" t="s">
        <v>20</v>
      </c>
      <c r="L4355" s="11" t="n">
        <v>39891.4187384259</v>
      </c>
      <c r="M4355" s="12" t="s">
        <v>491</v>
      </c>
      <c r="N4355" s="12" t="s">
        <v>10434</v>
      </c>
      <c r="O4355" s="9" t="str">
        <f aca="false">HYPERLINK("https://pbs.twimg.com/profile_images/821262963357188097/-cAesvSi_normal.jpg","View")</f>
        <v>View</v>
      </c>
      <c r="P4355" s="10"/>
    </row>
    <row r="4356" customFormat="false" ht="15.75" hidden="false" customHeight="false" outlineLevel="0" collapsed="false">
      <c r="A4356" s="6" t="n">
        <v>43030.6550231482</v>
      </c>
      <c r="B4356" s="7" t="str">
        <f aca="false">HYPERLINK("https://twitter.com/Brooklinewise","@Brooklinewise")</f>
        <v>@Brooklinewise</v>
      </c>
      <c r="C4356" s="8" t="s">
        <v>10435</v>
      </c>
      <c r="D4356" s="8" t="s">
        <v>10436</v>
      </c>
      <c r="E4356" s="9" t="str">
        <f aca="false">HYPERLINK("https://twitter.com/Brooklinewise/status/922231903352008704","922231903352008704")</f>
        <v>922231903352008704</v>
      </c>
      <c r="F4356" s="10" t="s">
        <v>39</v>
      </c>
      <c r="G4356" s="10" t="n">
        <v>666</v>
      </c>
      <c r="H4356" s="10" t="n">
        <v>902</v>
      </c>
      <c r="I4356" s="10" t="n">
        <v>0</v>
      </c>
      <c r="J4356" s="10" t="n">
        <v>0</v>
      </c>
      <c r="K4356" s="10" t="s">
        <v>20</v>
      </c>
      <c r="L4356" s="11" t="n">
        <v>41679.7372685185</v>
      </c>
      <c r="M4356" s="12"/>
      <c r="N4356" s="13" t="s">
        <v>10437</v>
      </c>
      <c r="O4356" s="9" t="str">
        <f aca="false">HYPERLINK("https://pbs.twimg.com/profile_images/597878384895533057/e7TfJcy8_normal.jpg","View")</f>
        <v>View</v>
      </c>
      <c r="P4356" s="10"/>
    </row>
    <row r="4357" customFormat="false" ht="15.75" hidden="false" customHeight="false" outlineLevel="0" collapsed="false">
      <c r="A4357" s="6" t="n">
        <v>43030.6550347222</v>
      </c>
      <c r="B4357" s="7" t="str">
        <f aca="false">HYPERLINK("https://twitter.com/deepak_bansal11","@deepak_bansal11")</f>
        <v>@deepak_bansal11</v>
      </c>
      <c r="C4357" s="8" t="s">
        <v>10438</v>
      </c>
      <c r="D4357" s="8" t="s">
        <v>8538</v>
      </c>
      <c r="E4357" s="9" t="str">
        <f aca="false">HYPERLINK("https://twitter.com/deepak_bansal11/status/922231908884287488","922231908884287488")</f>
        <v>922231908884287488</v>
      </c>
      <c r="F4357" s="10" t="s">
        <v>51</v>
      </c>
      <c r="G4357" s="10" t="n">
        <v>593</v>
      </c>
      <c r="H4357" s="10" t="n">
        <v>128</v>
      </c>
      <c r="I4357" s="10" t="n">
        <v>1015</v>
      </c>
      <c r="J4357" s="10" t="n">
        <v>0</v>
      </c>
      <c r="K4357" s="10" t="s">
        <v>20</v>
      </c>
      <c r="L4357" s="11" t="n">
        <v>42065.4093171296</v>
      </c>
      <c r="M4357" s="12"/>
      <c r="N4357" s="12" t="s">
        <v>10439</v>
      </c>
      <c r="O4357" s="9" t="str">
        <f aca="false">HYPERLINK("https://pbs.twimg.com/profile_images/756074513343713280/BRt3qXHl_normal.jpg","View")</f>
        <v>View</v>
      </c>
      <c r="P4357" s="10"/>
    </row>
    <row r="4358" customFormat="false" ht="15.75" hidden="false" customHeight="false" outlineLevel="0" collapsed="false">
      <c r="A4358" s="6" t="n">
        <v>43030.6555092593</v>
      </c>
      <c r="B4358" s="7" t="str">
        <f aca="false">HYPERLINK("https://twitter.com/tejida","@tejida")</f>
        <v>@tejida</v>
      </c>
      <c r="C4358" s="8" t="s">
        <v>10440</v>
      </c>
      <c r="D4358" s="8" t="s">
        <v>10414</v>
      </c>
      <c r="E4358" s="9" t="str">
        <f aca="false">HYPERLINK("https://twitter.com/tejida/status/922232080398012421","922232080398012421")</f>
        <v>922232080398012421</v>
      </c>
      <c r="F4358" s="10" t="s">
        <v>177</v>
      </c>
      <c r="G4358" s="10" t="n">
        <v>1036</v>
      </c>
      <c r="H4358" s="10" t="n">
        <v>1413</v>
      </c>
      <c r="I4358" s="10" t="n">
        <v>14</v>
      </c>
      <c r="J4358" s="10" t="n">
        <v>0</v>
      </c>
      <c r="K4358" s="10" t="s">
        <v>20</v>
      </c>
      <c r="L4358" s="11" t="n">
        <v>39970.6629166667</v>
      </c>
      <c r="M4358" s="12" t="s">
        <v>502</v>
      </c>
      <c r="N4358" s="12" t="s">
        <v>10441</v>
      </c>
      <c r="O4358" s="9" t="str">
        <f aca="false">HYPERLINK("https://pbs.twimg.com/profile_images/923302024833392641/SJ9Yq79E_normal.jpg","View")</f>
        <v>View</v>
      </c>
      <c r="P4358" s="10"/>
    </row>
    <row r="4359" customFormat="false" ht="15.75" hidden="false" customHeight="false" outlineLevel="0" collapsed="false">
      <c r="A4359" s="6" t="n">
        <v>43030.6556134259</v>
      </c>
      <c r="B4359" s="7" t="str">
        <f aca="false">HYPERLINK("https://twitter.com/ponkohaha000","@ponkohaha000")</f>
        <v>@ponkohaha000</v>
      </c>
      <c r="C4359" s="14" t="s">
        <v>10442</v>
      </c>
      <c r="D4359" s="8" t="s">
        <v>10168</v>
      </c>
      <c r="E4359" s="9" t="str">
        <f aca="false">HYPERLINK("https://twitter.com/ponkohaha000/status/922232116368236544","922232116368236544")</f>
        <v>922232116368236544</v>
      </c>
      <c r="F4359" s="10" t="s">
        <v>39</v>
      </c>
      <c r="G4359" s="10" t="n">
        <v>8233</v>
      </c>
      <c r="H4359" s="10" t="n">
        <v>6601</v>
      </c>
      <c r="I4359" s="10" t="n">
        <v>25</v>
      </c>
      <c r="J4359" s="10" t="n">
        <v>0</v>
      </c>
      <c r="K4359" s="10" t="s">
        <v>20</v>
      </c>
      <c r="L4359" s="11" t="n">
        <v>41347.9741435185</v>
      </c>
      <c r="M4359" s="12"/>
      <c r="N4359" s="13" t="s">
        <v>10443</v>
      </c>
      <c r="O4359" s="9" t="str">
        <f aca="false">HYPERLINK("https://pbs.twimg.com/profile_images/921891672111198208/gvZ1ljg5_normal.jpg","View")</f>
        <v>View</v>
      </c>
      <c r="P4359" s="10"/>
    </row>
    <row r="4360" customFormat="false" ht="15.75" hidden="false" customHeight="false" outlineLevel="0" collapsed="false">
      <c r="A4360" s="6" t="n">
        <v>43030.6561689815</v>
      </c>
      <c r="B4360" s="7" t="str">
        <f aca="false">HYPERLINK("https://twitter.com/zoquaiy","@zoquaiy")</f>
        <v>@zoquaiy</v>
      </c>
      <c r="C4360" s="8" t="s">
        <v>756</v>
      </c>
      <c r="D4360" s="8" t="s">
        <v>7736</v>
      </c>
      <c r="E4360" s="9" t="str">
        <f aca="false">HYPERLINK("https://twitter.com/zoquaiy/status/922232316365123584","922232316365123584")</f>
        <v>922232316365123584</v>
      </c>
      <c r="F4360" s="10" t="s">
        <v>25</v>
      </c>
      <c r="G4360" s="10" t="n">
        <v>228</v>
      </c>
      <c r="H4360" s="10" t="n">
        <v>79</v>
      </c>
      <c r="I4360" s="10" t="n">
        <v>31</v>
      </c>
      <c r="J4360" s="10" t="n">
        <v>0</v>
      </c>
      <c r="K4360" s="10" t="s">
        <v>20</v>
      </c>
      <c r="L4360" s="11" t="n">
        <v>42943.3029398148</v>
      </c>
      <c r="M4360" s="12" t="n">
        <v>5034</v>
      </c>
      <c r="N4360" s="12" t="s">
        <v>757</v>
      </c>
      <c r="O4360" s="9" t="str">
        <f aca="false">HYPERLINK("https://pbs.twimg.com/profile_images/914820528665325568/gk_EH6Ki_normal.jpg","View")</f>
        <v>View</v>
      </c>
      <c r="P4360" s="10"/>
    </row>
    <row r="4361" customFormat="false" ht="15.75" hidden="false" customHeight="false" outlineLevel="0" collapsed="false">
      <c r="A4361" s="6" t="n">
        <v>43030.6561805556</v>
      </c>
      <c r="B4361" s="7" t="str">
        <f aca="false">HYPERLINK("https://twitter.com/hi1867","@hi1867")</f>
        <v>@hi1867</v>
      </c>
      <c r="C4361" s="8" t="s">
        <v>10444</v>
      </c>
      <c r="D4361" s="8" t="s">
        <v>10168</v>
      </c>
      <c r="E4361" s="9" t="str">
        <f aca="false">HYPERLINK("https://twitter.com/hi1867/status/922232320446275584","922232320446275584")</f>
        <v>922232320446275584</v>
      </c>
      <c r="F4361" s="10" t="s">
        <v>39</v>
      </c>
      <c r="G4361" s="10" t="n">
        <v>214</v>
      </c>
      <c r="H4361" s="10" t="n">
        <v>796</v>
      </c>
      <c r="I4361" s="10" t="n">
        <v>25</v>
      </c>
      <c r="J4361" s="10" t="n">
        <v>0</v>
      </c>
      <c r="K4361" s="10" t="s">
        <v>20</v>
      </c>
      <c r="L4361" s="11" t="n">
        <v>41881.0171875</v>
      </c>
      <c r="M4361" s="13" t="s">
        <v>152</v>
      </c>
      <c r="N4361" s="13" t="s">
        <v>10445</v>
      </c>
      <c r="O4361" s="9" t="str">
        <f aca="false">HYPERLINK("https://pbs.twimg.com/profile_images/908757236779966464/ZXuHwzYS_normal.jpg","View")</f>
        <v>View</v>
      </c>
      <c r="P4361" s="10"/>
    </row>
    <row r="4362" customFormat="false" ht="15.75" hidden="false" customHeight="false" outlineLevel="0" collapsed="false">
      <c r="A4362" s="6" t="n">
        <v>43030.6566435185</v>
      </c>
      <c r="B4362" s="7" t="str">
        <f aca="false">HYPERLINK("https://twitter.com/Beduac","@Beduac")</f>
        <v>@Beduac</v>
      </c>
      <c r="C4362" s="8" t="s">
        <v>10446</v>
      </c>
      <c r="D4362" s="8" t="s">
        <v>10447</v>
      </c>
      <c r="E4362" s="9" t="str">
        <f aca="false">HYPERLINK("https://twitter.com/Beduac/status/922232488164057088","922232488164057088")</f>
        <v>922232488164057088</v>
      </c>
      <c r="F4362" s="10" t="s">
        <v>110</v>
      </c>
      <c r="G4362" s="10" t="n">
        <v>1966</v>
      </c>
      <c r="H4362" s="10" t="n">
        <v>986</v>
      </c>
      <c r="I4362" s="10" t="n">
        <v>0</v>
      </c>
      <c r="J4362" s="10" t="n">
        <v>0</v>
      </c>
      <c r="K4362" s="10" t="s">
        <v>20</v>
      </c>
      <c r="L4362" s="11" t="n">
        <v>39666.2978819444</v>
      </c>
      <c r="M4362" s="12"/>
      <c r="N4362" s="12"/>
      <c r="O4362" s="9" t="str">
        <f aca="false">HYPERLINK("https://pbs.twimg.com/profile_images/220645146/P-01_normal.jpg","View")</f>
        <v>View</v>
      </c>
      <c r="P4362" s="10"/>
    </row>
    <row r="4363" customFormat="false" ht="15.75" hidden="false" customHeight="false" outlineLevel="0" collapsed="false">
      <c r="A4363" s="6" t="n">
        <v>43030.6583101852</v>
      </c>
      <c r="B4363" s="7" t="str">
        <f aca="false">HYPERLINK("https://twitter.com/Tweet2Sid","@Tweet2Sid")</f>
        <v>@Tweet2Sid</v>
      </c>
      <c r="C4363" s="8" t="s">
        <v>9903</v>
      </c>
      <c r="D4363" s="8" t="s">
        <v>10448</v>
      </c>
      <c r="E4363" s="9" t="str">
        <f aca="false">HYPERLINK("https://twitter.com/Tweet2Sid/status/922233094484217858","922233094484217858")</f>
        <v>922233094484217858</v>
      </c>
      <c r="F4363" s="10" t="s">
        <v>55</v>
      </c>
      <c r="G4363" s="10" t="n">
        <v>529</v>
      </c>
      <c r="H4363" s="10" t="n">
        <v>272</v>
      </c>
      <c r="I4363" s="10" t="n">
        <v>1</v>
      </c>
      <c r="J4363" s="10" t="n">
        <v>0</v>
      </c>
      <c r="K4363" s="10" t="s">
        <v>20</v>
      </c>
      <c r="L4363" s="11" t="n">
        <v>39999.7896527778</v>
      </c>
      <c r="M4363" s="12" t="s">
        <v>72</v>
      </c>
      <c r="N4363" s="12" t="s">
        <v>9905</v>
      </c>
      <c r="O4363" s="9" t="str">
        <f aca="false">HYPERLINK("https://pbs.twimg.com/profile_images/652924587789828096/WSaKMVSf_normal.jpg","View")</f>
        <v>View</v>
      </c>
      <c r="P4363" s="10"/>
    </row>
    <row r="4364" customFormat="false" ht="15.75" hidden="false" customHeight="false" outlineLevel="0" collapsed="false">
      <c r="A4364" s="6" t="n">
        <v>43030.6585069444</v>
      </c>
      <c r="B4364" s="7" t="str">
        <f aca="false">HYPERLINK("https://twitter.com/Mr_Hind404","@Mr_Hind404")</f>
        <v>@Mr_Hind404</v>
      </c>
      <c r="C4364" s="8" t="s">
        <v>10449</v>
      </c>
      <c r="D4364" s="8" t="s">
        <v>10450</v>
      </c>
      <c r="E4364" s="9" t="str">
        <f aca="false">HYPERLINK("https://twitter.com/Mr_Hind404/status/922233166647177217","922233166647177217")</f>
        <v>922233166647177217</v>
      </c>
      <c r="F4364" s="10" t="s">
        <v>10451</v>
      </c>
      <c r="G4364" s="10" t="n">
        <v>163</v>
      </c>
      <c r="H4364" s="10" t="n">
        <v>3</v>
      </c>
      <c r="I4364" s="10" t="n">
        <v>1</v>
      </c>
      <c r="J4364" s="10" t="n">
        <v>0</v>
      </c>
      <c r="K4364" s="10" t="s">
        <v>20</v>
      </c>
      <c r="L4364" s="11" t="n">
        <v>42950.6020023148</v>
      </c>
      <c r="M4364" s="12" t="s">
        <v>72</v>
      </c>
      <c r="N4364" s="12" t="s">
        <v>10452</v>
      </c>
      <c r="O4364" s="9" t="str">
        <f aca="false">HYPERLINK("https://pbs.twimg.com/profile_images/893223377237712896/s1jkoMu__normal.jpg","View")</f>
        <v>View</v>
      </c>
      <c r="P4364" s="10"/>
    </row>
    <row r="4365" customFormat="false" ht="15.75" hidden="false" customHeight="false" outlineLevel="0" collapsed="false">
      <c r="A4365" s="6" t="n">
        <v>43030.658599537</v>
      </c>
      <c r="B4365" s="7" t="str">
        <f aca="false">HYPERLINK("https://twitter.com/PolishchukVlady","@PolishchukVlady")</f>
        <v>@PolishchukVlady</v>
      </c>
      <c r="C4365" s="8" t="s">
        <v>10453</v>
      </c>
      <c r="D4365" s="8" t="s">
        <v>10417</v>
      </c>
      <c r="E4365" s="9" t="str">
        <f aca="false">HYPERLINK("https://twitter.com/PolishchukVlady/status/922233197798322177","922233197798322177")</f>
        <v>922233197798322177</v>
      </c>
      <c r="F4365" s="10" t="s">
        <v>25</v>
      </c>
      <c r="G4365" s="10" t="n">
        <v>694</v>
      </c>
      <c r="H4365" s="10" t="n">
        <v>2442</v>
      </c>
      <c r="I4365" s="10" t="n">
        <v>4</v>
      </c>
      <c r="J4365" s="10" t="n">
        <v>0</v>
      </c>
      <c r="K4365" s="10" t="s">
        <v>20</v>
      </c>
      <c r="L4365" s="11" t="n">
        <v>41530.4844791667</v>
      </c>
      <c r="M4365" s="12" t="s">
        <v>10454</v>
      </c>
      <c r="N4365" s="12" t="s">
        <v>10455</v>
      </c>
      <c r="O4365" s="9" t="str">
        <f aca="false">HYPERLINK("https://pbs.twimg.com/profile_images/519604804956336129/jVChFqsQ_normal.jpeg","View")</f>
        <v>View</v>
      </c>
      <c r="P4365" s="10"/>
    </row>
    <row r="4366" customFormat="false" ht="15.75" hidden="false" customHeight="false" outlineLevel="0" collapsed="false">
      <c r="A4366" s="6" t="n">
        <v>43030.6591319444</v>
      </c>
      <c r="B4366" s="7" t="str">
        <f aca="false">HYPERLINK("https://twitter.com/delarunwoman","@delarunwoman")</f>
        <v>@delarunwoman</v>
      </c>
      <c r="C4366" s="8" t="s">
        <v>10456</v>
      </c>
      <c r="D4366" s="8" t="s">
        <v>10414</v>
      </c>
      <c r="E4366" s="9" t="str">
        <f aca="false">HYPERLINK("https://twitter.com/delarunwoman/status/922233392397193216","922233392397193216")</f>
        <v>922233392397193216</v>
      </c>
      <c r="F4366" s="10" t="s">
        <v>25</v>
      </c>
      <c r="G4366" s="10" t="n">
        <v>113</v>
      </c>
      <c r="H4366" s="10" t="n">
        <v>260</v>
      </c>
      <c r="I4366" s="10" t="n">
        <v>14</v>
      </c>
      <c r="J4366" s="10" t="n">
        <v>0</v>
      </c>
      <c r="K4366" s="10" t="s">
        <v>20</v>
      </c>
      <c r="L4366" s="11" t="n">
        <v>42682.9522569444</v>
      </c>
      <c r="M4366" s="12"/>
      <c r="N4366" s="12"/>
      <c r="O4366" s="9" t="str">
        <f aca="false">HYPERLINK("https://abs.twimg.com/sticky/default_profile_images/default_profile_normal.png","View")</f>
        <v>View</v>
      </c>
      <c r="P4366" s="10"/>
    </row>
    <row r="4367" customFormat="false" ht="15.75" hidden="false" customHeight="false" outlineLevel="0" collapsed="false">
      <c r="A4367" s="6" t="n">
        <v>43030.6594328704</v>
      </c>
      <c r="B4367" s="7" t="str">
        <f aca="false">HYPERLINK("https://twitter.com/CharlesOudom","@CharlesOudom")</f>
        <v>@CharlesOudom</v>
      </c>
      <c r="C4367" s="8" t="s">
        <v>10457</v>
      </c>
      <c r="D4367" s="8" t="s">
        <v>10458</v>
      </c>
      <c r="E4367" s="9" t="str">
        <f aca="false">HYPERLINK("https://twitter.com/CharlesOudom/status/922233502354960384","922233502354960384")</f>
        <v>922233502354960384</v>
      </c>
      <c r="F4367" s="10" t="s">
        <v>25</v>
      </c>
      <c r="G4367" s="10" t="n">
        <v>1679</v>
      </c>
      <c r="H4367" s="10" t="n">
        <v>1148</v>
      </c>
      <c r="I4367" s="10" t="n">
        <v>0</v>
      </c>
      <c r="J4367" s="10" t="n">
        <v>0</v>
      </c>
      <c r="K4367" s="10" t="s">
        <v>20</v>
      </c>
      <c r="L4367" s="11" t="n">
        <v>41075.4055555556</v>
      </c>
      <c r="M4367" s="12" t="s">
        <v>10459</v>
      </c>
      <c r="N4367" s="12" t="s">
        <v>10460</v>
      </c>
      <c r="O4367" s="9" t="str">
        <f aca="false">HYPERLINK("https://pbs.twimg.com/profile_images/922772238658441216/uZQZqpBY_normal.jpg","View")</f>
        <v>View</v>
      </c>
      <c r="P4367" s="10"/>
    </row>
    <row r="4368" customFormat="false" ht="15.75" hidden="false" customHeight="false" outlineLevel="0" collapsed="false">
      <c r="A4368" s="6" t="n">
        <v>43030.6599884259</v>
      </c>
      <c r="B4368" s="7" t="str">
        <f aca="false">HYPERLINK("https://twitter.com/matglobal","@matglobal")</f>
        <v>@matglobal</v>
      </c>
      <c r="C4368" s="8" t="s">
        <v>3976</v>
      </c>
      <c r="D4368" s="8" t="s">
        <v>10461</v>
      </c>
      <c r="E4368" s="9" t="str">
        <f aca="false">HYPERLINK("https://twitter.com/matglobal/status/922233701811007488","922233701811007488")</f>
        <v>922233701811007488</v>
      </c>
      <c r="F4368" s="10" t="s">
        <v>55</v>
      </c>
      <c r="G4368" s="10" t="n">
        <v>1533</v>
      </c>
      <c r="H4368" s="10" t="n">
        <v>1475</v>
      </c>
      <c r="I4368" s="10" t="n">
        <v>0</v>
      </c>
      <c r="J4368" s="10" t="n">
        <v>0</v>
      </c>
      <c r="K4368" s="10" t="s">
        <v>20</v>
      </c>
      <c r="L4368" s="11" t="n">
        <v>40887.2283564815</v>
      </c>
      <c r="M4368" s="12" t="s">
        <v>2990</v>
      </c>
      <c r="N4368" s="12" t="s">
        <v>3978</v>
      </c>
      <c r="O4368" s="9" t="str">
        <f aca="false">HYPERLINK("https://pbs.twimg.com/profile_images/673814548684652544/cha7Er5K_normal.png","View")</f>
        <v>View</v>
      </c>
      <c r="P4368" s="10"/>
    </row>
    <row r="4369" customFormat="false" ht="15.75" hidden="false" customHeight="false" outlineLevel="0" collapsed="false">
      <c r="A4369" s="6" t="n">
        <v>43030.6606712963</v>
      </c>
      <c r="B4369" s="7" t="str">
        <f aca="false">HYPERLINK("https://twitter.com/sayvari","@sayvari")</f>
        <v>@sayvari</v>
      </c>
      <c r="C4369" s="8" t="s">
        <v>10462</v>
      </c>
      <c r="D4369" s="8" t="s">
        <v>7905</v>
      </c>
      <c r="E4369" s="9" t="str">
        <f aca="false">HYPERLINK("https://twitter.com/sayvari/status/922233950038364161","922233950038364161")</f>
        <v>922233950038364161</v>
      </c>
      <c r="F4369" s="10" t="s">
        <v>25</v>
      </c>
      <c r="G4369" s="10" t="n">
        <v>363</v>
      </c>
      <c r="H4369" s="10" t="n">
        <v>275</v>
      </c>
      <c r="I4369" s="10" t="n">
        <v>38</v>
      </c>
      <c r="J4369" s="10" t="n">
        <v>0</v>
      </c>
      <c r="K4369" s="10" t="s">
        <v>20</v>
      </c>
      <c r="L4369" s="11" t="n">
        <v>39982.3393518518</v>
      </c>
      <c r="M4369" s="12"/>
      <c r="N4369" s="12" t="s">
        <v>10463</v>
      </c>
      <c r="O4369" s="9" t="str">
        <f aca="false">HYPERLINK("https://pbs.twimg.com/profile_images/614896973825613824/ivYwQ3k__normal.jpg","View")</f>
        <v>View</v>
      </c>
      <c r="P4369" s="10"/>
    </row>
    <row r="4370" customFormat="false" ht="15.75" hidden="false" customHeight="false" outlineLevel="0" collapsed="false">
      <c r="A4370" s="6" t="n">
        <v>43030.6611689815</v>
      </c>
      <c r="B4370" s="7" t="str">
        <f aca="false">HYPERLINK("https://twitter.com/abigailpollak","@abigailpollak")</f>
        <v>@abigailpollak</v>
      </c>
      <c r="C4370" s="8" t="s">
        <v>10464</v>
      </c>
      <c r="D4370" s="8" t="s">
        <v>10465</v>
      </c>
      <c r="E4370" s="9" t="str">
        <f aca="false">HYPERLINK("https://twitter.com/abigailpollak/status/922234128765997058","922234128765997058")</f>
        <v>922234128765997058</v>
      </c>
      <c r="F4370" s="9" t="s">
        <v>1147</v>
      </c>
      <c r="G4370" s="10" t="n">
        <v>1847</v>
      </c>
      <c r="H4370" s="10" t="n">
        <v>3443</v>
      </c>
      <c r="I4370" s="10" t="n">
        <v>0</v>
      </c>
      <c r="J4370" s="10" t="n">
        <v>0</v>
      </c>
      <c r="K4370" s="10" t="s">
        <v>20</v>
      </c>
      <c r="L4370" s="11" t="n">
        <v>41645.3944907407</v>
      </c>
      <c r="M4370" s="12" t="s">
        <v>651</v>
      </c>
      <c r="N4370" s="12" t="s">
        <v>10466</v>
      </c>
      <c r="O4370" s="9" t="str">
        <f aca="false">HYPERLINK("https://pbs.twimg.com/profile_images/693309494151872512/jHztf4ov_normal.jpg","View")</f>
        <v>View</v>
      </c>
      <c r="P4370" s="10"/>
    </row>
    <row r="4371" customFormat="false" ht="15.75" hidden="false" customHeight="false" outlineLevel="0" collapsed="false">
      <c r="A4371" s="6" t="n">
        <v>43030.6628472222</v>
      </c>
      <c r="B4371" s="7" t="str">
        <f aca="false">HYPERLINK("https://twitter.com/AsiaAccessEU","@AsiaAccessEU")</f>
        <v>@AsiaAccessEU</v>
      </c>
      <c r="C4371" s="8" t="s">
        <v>10467</v>
      </c>
      <c r="D4371" s="8" t="s">
        <v>10468</v>
      </c>
      <c r="E4371" s="9" t="str">
        <f aca="false">HYPERLINK("https://twitter.com/AsiaAccessEU/status/922234738869506049","922234738869506049")</f>
        <v>922234738869506049</v>
      </c>
      <c r="F4371" s="10" t="s">
        <v>39</v>
      </c>
      <c r="G4371" s="10" t="n">
        <v>215</v>
      </c>
      <c r="H4371" s="10" t="n">
        <v>295</v>
      </c>
      <c r="I4371" s="10" t="n">
        <v>0</v>
      </c>
      <c r="J4371" s="10" t="n">
        <v>0</v>
      </c>
      <c r="K4371" s="10" t="s">
        <v>20</v>
      </c>
      <c r="L4371" s="11" t="n">
        <v>42428.5419097222</v>
      </c>
      <c r="M4371" s="12" t="s">
        <v>10469</v>
      </c>
      <c r="N4371" s="12" t="s">
        <v>10470</v>
      </c>
      <c r="O4371" s="9" t="str">
        <f aca="false">HYPERLINK("https://pbs.twimg.com/profile_images/705826590094135298/u1s8m5gp_normal.jpg","View")</f>
        <v>View</v>
      </c>
      <c r="P4371" s="10"/>
    </row>
    <row r="4372" customFormat="false" ht="15.75" hidden="false" customHeight="false" outlineLevel="0" collapsed="false">
      <c r="A4372" s="6" t="n">
        <v>43030.6628819444</v>
      </c>
      <c r="B4372" s="7" t="str">
        <f aca="false">HYPERLINK("https://twitter.com/RobChristie11","@RobChristie11")</f>
        <v>@RobChristie11</v>
      </c>
      <c r="C4372" s="8" t="s">
        <v>10471</v>
      </c>
      <c r="D4372" s="8" t="s">
        <v>10131</v>
      </c>
      <c r="E4372" s="9" t="str">
        <f aca="false">HYPERLINK("https://twitter.com/RobChristie11/status/922234749317517312","922234749317517312")</f>
        <v>922234749317517312</v>
      </c>
      <c r="F4372" s="10" t="s">
        <v>177</v>
      </c>
      <c r="G4372" s="10" t="n">
        <v>4562</v>
      </c>
      <c r="H4372" s="10" t="n">
        <v>3888</v>
      </c>
      <c r="I4372" s="10" t="n">
        <v>2</v>
      </c>
      <c r="J4372" s="10" t="n">
        <v>0</v>
      </c>
      <c r="K4372" s="10" t="s">
        <v>20</v>
      </c>
      <c r="L4372" s="11" t="n">
        <v>42605.5145023148</v>
      </c>
      <c r="M4372" s="12"/>
      <c r="N4372" s="12" t="s">
        <v>10472</v>
      </c>
      <c r="O4372" s="9" t="str">
        <f aca="false">HYPERLINK("https://pbs.twimg.com/profile_images/768172777492848640/VwS8gCSq_normal.jpg","View")</f>
        <v>View</v>
      </c>
      <c r="P4372" s="10"/>
    </row>
    <row r="4373" customFormat="false" ht="15.75" hidden="false" customHeight="false" outlineLevel="0" collapsed="false">
      <c r="A4373" s="6" t="n">
        <v>43030.6633217593</v>
      </c>
      <c r="B4373" s="7" t="str">
        <f aca="false">HYPERLINK("https://twitter.com/gurunoiyusan","@gurunoiyusan")</f>
        <v>@gurunoiyusan</v>
      </c>
      <c r="C4373" s="14" t="s">
        <v>10473</v>
      </c>
      <c r="D4373" s="8" t="s">
        <v>10168</v>
      </c>
      <c r="E4373" s="9" t="str">
        <f aca="false">HYPERLINK("https://twitter.com/gurunoiyusan/status/922234910399533056","922234910399533056")</f>
        <v>922234910399533056</v>
      </c>
      <c r="F4373" s="10" t="s">
        <v>51</v>
      </c>
      <c r="G4373" s="10" t="n">
        <v>105</v>
      </c>
      <c r="H4373" s="10" t="n">
        <v>180</v>
      </c>
      <c r="I4373" s="10" t="n">
        <v>25</v>
      </c>
      <c r="J4373" s="10" t="n">
        <v>0</v>
      </c>
      <c r="K4373" s="10" t="s">
        <v>20</v>
      </c>
      <c r="L4373" s="11" t="n">
        <v>42819.6877662037</v>
      </c>
      <c r="M4373" s="12"/>
      <c r="N4373" s="13" t="s">
        <v>10474</v>
      </c>
      <c r="O4373" s="9" t="str">
        <f aca="false">HYPERLINK("https://pbs.twimg.com/profile_images/846259640862097409/_z6eCsoW_normal.jpg","View")</f>
        <v>View</v>
      </c>
      <c r="P4373" s="10"/>
    </row>
    <row r="4374" customFormat="false" ht="15.75" hidden="false" customHeight="false" outlineLevel="0" collapsed="false">
      <c r="A4374" s="6" t="n">
        <v>43030.6636805556</v>
      </c>
      <c r="B4374" s="7" t="str">
        <f aca="false">HYPERLINK("https://twitter.com/mercilesscults","@mercilesscults")</f>
        <v>@mercilesscults</v>
      </c>
      <c r="C4374" s="14" t="s">
        <v>10475</v>
      </c>
      <c r="D4374" s="8" t="s">
        <v>4984</v>
      </c>
      <c r="E4374" s="9" t="str">
        <f aca="false">HYPERLINK("https://twitter.com/mercilesscults/status/922235040448241664","922235040448241664")</f>
        <v>922235040448241664</v>
      </c>
      <c r="F4374" s="10" t="s">
        <v>25</v>
      </c>
      <c r="G4374" s="10" t="n">
        <v>376</v>
      </c>
      <c r="H4374" s="10" t="n">
        <v>1832</v>
      </c>
      <c r="I4374" s="10" t="n">
        <v>187</v>
      </c>
      <c r="J4374" s="10" t="n">
        <v>0</v>
      </c>
      <c r="K4374" s="10" t="s">
        <v>20</v>
      </c>
      <c r="L4374" s="11" t="n">
        <v>41274.8678935185</v>
      </c>
      <c r="M4374" s="12"/>
      <c r="N4374" s="13" t="s">
        <v>10476</v>
      </c>
      <c r="O4374" s="9" t="str">
        <f aca="false">HYPERLINK("https://pbs.twimg.com/profile_images/911789159987134464/S-gg8WOU_normal.jpg","View")</f>
        <v>View</v>
      </c>
      <c r="P4374" s="10"/>
    </row>
    <row r="4375" customFormat="false" ht="15.75" hidden="false" customHeight="false" outlineLevel="0" collapsed="false">
      <c r="A4375" s="6" t="n">
        <v>43030.6639236111</v>
      </c>
      <c r="B4375" s="7" t="str">
        <f aca="false">HYPERLINK("https://twitter.com/shivarthn","@shivarthn")</f>
        <v>@shivarthn</v>
      </c>
      <c r="C4375" s="8" t="s">
        <v>10477</v>
      </c>
      <c r="D4375" s="8" t="s">
        <v>10478</v>
      </c>
      <c r="E4375" s="9" t="str">
        <f aca="false">HYPERLINK("https://twitter.com/shivarthn/status/922235126247051264","922235126247051264")</f>
        <v>922235126247051264</v>
      </c>
      <c r="F4375" s="10" t="s">
        <v>51</v>
      </c>
      <c r="G4375" s="10" t="n">
        <v>334</v>
      </c>
      <c r="H4375" s="10" t="n">
        <v>1221</v>
      </c>
      <c r="I4375" s="10" t="n">
        <v>0</v>
      </c>
      <c r="J4375" s="10" t="n">
        <v>0</v>
      </c>
      <c r="K4375" s="10" t="s">
        <v>20</v>
      </c>
      <c r="L4375" s="11" t="n">
        <v>40357.9628935185</v>
      </c>
      <c r="M4375" s="12" t="s">
        <v>2920</v>
      </c>
      <c r="N4375" s="12" t="s">
        <v>10479</v>
      </c>
      <c r="O4375" s="9" t="str">
        <f aca="false">HYPERLINK("https://pbs.twimg.com/profile_images/663484894262206465/9PqQkMAk_normal.jpg","View")</f>
        <v>View</v>
      </c>
      <c r="P4375" s="10"/>
    </row>
    <row r="4376" customFormat="false" ht="15.75" hidden="false" customHeight="false" outlineLevel="0" collapsed="false">
      <c r="A4376" s="6" t="n">
        <v>43030.6648263889</v>
      </c>
      <c r="B4376" s="7" t="str">
        <f aca="false">HYPERLINK("https://twitter.com/Shah_IsKing","@Shah_IsKing")</f>
        <v>@Shah_IsKing</v>
      </c>
      <c r="C4376" s="8" t="s">
        <v>10480</v>
      </c>
      <c r="D4376" s="8" t="s">
        <v>8538</v>
      </c>
      <c r="E4376" s="9" t="str">
        <f aca="false">HYPERLINK("https://twitter.com/Shah_IsKing/status/922235454472314880","922235454472314880")</f>
        <v>922235454472314880</v>
      </c>
      <c r="F4376" s="10" t="s">
        <v>51</v>
      </c>
      <c r="G4376" s="10" t="n">
        <v>105</v>
      </c>
      <c r="H4376" s="10" t="n">
        <v>236</v>
      </c>
      <c r="I4376" s="10" t="n">
        <v>1015</v>
      </c>
      <c r="J4376" s="10" t="n">
        <v>0</v>
      </c>
      <c r="K4376" s="10" t="s">
        <v>20</v>
      </c>
      <c r="L4376" s="11" t="n">
        <v>41152.3451851852</v>
      </c>
      <c r="M4376" s="12" t="s">
        <v>8508</v>
      </c>
      <c r="N4376" s="12" t="s">
        <v>10481</v>
      </c>
      <c r="O4376" s="9" t="str">
        <f aca="false">HYPERLINK("https://pbs.twimg.com/profile_images/753234589988954113/yTrW0n3g_normal.jpg","View")</f>
        <v>View</v>
      </c>
      <c r="P4376" s="10"/>
    </row>
    <row r="4377" customFormat="false" ht="15.75" hidden="false" customHeight="false" outlineLevel="0" collapsed="false">
      <c r="A4377" s="6" t="n">
        <v>43030.6655787037</v>
      </c>
      <c r="B4377" s="7" t="str">
        <f aca="false">HYPERLINK("https://twitter.com/iam13599398","@iam13599398")</f>
        <v>@iam13599398</v>
      </c>
      <c r="C4377" s="8" t="s">
        <v>10482</v>
      </c>
      <c r="D4377" s="8" t="s">
        <v>10168</v>
      </c>
      <c r="E4377" s="9" t="str">
        <f aca="false">HYPERLINK("https://twitter.com/iam13599398/status/922235726481145856","922235726481145856")</f>
        <v>922235726481145856</v>
      </c>
      <c r="F4377" s="10" t="s">
        <v>98</v>
      </c>
      <c r="G4377" s="10" t="n">
        <v>55</v>
      </c>
      <c r="H4377" s="10" t="n">
        <v>67</v>
      </c>
      <c r="I4377" s="10" t="n">
        <v>25</v>
      </c>
      <c r="J4377" s="10" t="n">
        <v>0</v>
      </c>
      <c r="K4377" s="10" t="s">
        <v>20</v>
      </c>
      <c r="L4377" s="11" t="n">
        <v>43023.0455439815</v>
      </c>
      <c r="M4377" s="13" t="s">
        <v>3128</v>
      </c>
      <c r="N4377" s="13" t="s">
        <v>10483</v>
      </c>
      <c r="O4377" s="9" t="str">
        <f aca="false">HYPERLINK("https://abs.twimg.com/sticky/default_profile_images/default_profile_normal.png","View")</f>
        <v>View</v>
      </c>
      <c r="P4377" s="10"/>
    </row>
    <row r="4378" customFormat="false" ht="15.75" hidden="false" customHeight="false" outlineLevel="0" collapsed="false">
      <c r="A4378" s="6" t="n">
        <v>43030.6658564815</v>
      </c>
      <c r="B4378" s="7" t="str">
        <f aca="false">HYPERLINK("https://twitter.com/DonDurgad","@DonDurgad")</f>
        <v>@DonDurgad</v>
      </c>
      <c r="C4378" s="8" t="s">
        <v>10484</v>
      </c>
      <c r="D4378" s="8" t="s">
        <v>10414</v>
      </c>
      <c r="E4378" s="9" t="str">
        <f aca="false">HYPERLINK("https://twitter.com/DonDurgad/status/922235828952293382","922235828952293382")</f>
        <v>922235828952293382</v>
      </c>
      <c r="F4378" s="10" t="s">
        <v>39</v>
      </c>
      <c r="G4378" s="10" t="n">
        <v>960</v>
      </c>
      <c r="H4378" s="10" t="n">
        <v>347</v>
      </c>
      <c r="I4378" s="10" t="n">
        <v>14</v>
      </c>
      <c r="J4378" s="10" t="n">
        <v>0</v>
      </c>
      <c r="K4378" s="10" t="s">
        <v>20</v>
      </c>
      <c r="L4378" s="11" t="n">
        <v>41041.5349884259</v>
      </c>
      <c r="M4378" s="12" t="s">
        <v>10485</v>
      </c>
      <c r="N4378" s="12" t="s">
        <v>10486</v>
      </c>
      <c r="O4378" s="9" t="str">
        <f aca="false">HYPERLINK("https://pbs.twimg.com/profile_images/3036313248/0180f9e52609e60a6904d2a2291eaefa_normal.jpeg","View")</f>
        <v>View</v>
      </c>
      <c r="P4378" s="10"/>
    </row>
    <row r="4379" customFormat="false" ht="15.75" hidden="false" customHeight="false" outlineLevel="0" collapsed="false">
      <c r="A4379" s="6" t="n">
        <v>43030.6663888889</v>
      </c>
      <c r="B4379" s="7" t="str">
        <f aca="false">HYPERLINK("https://twitter.com/SwoyangS","@SwoyangS")</f>
        <v>@SwoyangS</v>
      </c>
      <c r="C4379" s="8" t="s">
        <v>10487</v>
      </c>
      <c r="D4379" s="8" t="s">
        <v>9783</v>
      </c>
      <c r="E4379" s="9" t="str">
        <f aca="false">HYPERLINK("https://twitter.com/SwoyangS/status/922236020673863681","922236020673863681")</f>
        <v>922236020673863681</v>
      </c>
      <c r="F4379" s="10" t="s">
        <v>25</v>
      </c>
      <c r="G4379" s="10" t="n">
        <v>15</v>
      </c>
      <c r="H4379" s="10" t="n">
        <v>163</v>
      </c>
      <c r="I4379" s="10" t="n">
        <v>17</v>
      </c>
      <c r="J4379" s="10" t="n">
        <v>0</v>
      </c>
      <c r="K4379" s="10" t="s">
        <v>20</v>
      </c>
      <c r="L4379" s="11" t="n">
        <v>42122.4165856482</v>
      </c>
      <c r="M4379" s="12" t="s">
        <v>10488</v>
      </c>
      <c r="N4379" s="12" t="s">
        <v>10489</v>
      </c>
      <c r="O4379" s="9" t="str">
        <f aca="false">HYPERLINK("https://pbs.twimg.com/profile_images/769850476074524673/NUC9Q8Ml_normal.jpg","View")</f>
        <v>View</v>
      </c>
      <c r="P4379" s="10"/>
    </row>
    <row r="4380" customFormat="false" ht="15.75" hidden="false" customHeight="false" outlineLevel="0" collapsed="false">
      <c r="A4380" s="6" t="n">
        <v>43030.666712963</v>
      </c>
      <c r="B4380" s="7" t="str">
        <f aca="false">HYPERLINK("https://twitter.com/loop_tonga","@loop_tonga")</f>
        <v>@loop_tonga</v>
      </c>
      <c r="C4380" s="8" t="s">
        <v>10490</v>
      </c>
      <c r="D4380" s="8" t="s">
        <v>10491</v>
      </c>
      <c r="E4380" s="9" t="str">
        <f aca="false">HYPERLINK("https://twitter.com/loop_tonga/status/922236139439759361","922236139439759361")</f>
        <v>922236139439759361</v>
      </c>
      <c r="F4380" s="10" t="s">
        <v>47</v>
      </c>
      <c r="G4380" s="10" t="n">
        <v>119</v>
      </c>
      <c r="H4380" s="10" t="n">
        <v>174</v>
      </c>
      <c r="I4380" s="10" t="n">
        <v>0</v>
      </c>
      <c r="J4380" s="10" t="n">
        <v>0</v>
      </c>
      <c r="K4380" s="10" t="s">
        <v>20</v>
      </c>
      <c r="L4380" s="11" t="n">
        <v>42387.6976736111</v>
      </c>
      <c r="M4380" s="12"/>
      <c r="N4380" s="12" t="s">
        <v>10492</v>
      </c>
      <c r="O4380" s="9" t="str">
        <f aca="false">HYPERLINK("https://pbs.twimg.com/profile_images/689247719353810945/EGpATnbu_normal.png","View")</f>
        <v>View</v>
      </c>
      <c r="P4380" s="10"/>
    </row>
    <row r="4381" customFormat="false" ht="15.75" hidden="false" customHeight="false" outlineLevel="0" collapsed="false">
      <c r="A4381" s="6" t="n">
        <v>43030.6667476852</v>
      </c>
      <c r="B4381" s="7" t="str">
        <f aca="false">HYPERLINK("https://twitter.com/KazushiNagayama","@KazushiNagayama")</f>
        <v>@KazushiNagayama</v>
      </c>
      <c r="C4381" s="8" t="s">
        <v>10493</v>
      </c>
      <c r="D4381" s="8" t="s">
        <v>10494</v>
      </c>
      <c r="E4381" s="9" t="str">
        <f aca="false">HYPERLINK("https://twitter.com/KazushiNagayama/status/922236150022004737","922236150022004737")</f>
        <v>922236150022004737</v>
      </c>
      <c r="F4381" s="10" t="s">
        <v>51</v>
      </c>
      <c r="G4381" s="10" t="n">
        <v>1927</v>
      </c>
      <c r="H4381" s="10" t="n">
        <v>109</v>
      </c>
      <c r="I4381" s="10" t="n">
        <v>0</v>
      </c>
      <c r="J4381" s="10" t="n">
        <v>0</v>
      </c>
      <c r="K4381" s="10" t="s">
        <v>20</v>
      </c>
      <c r="L4381" s="11" t="n">
        <v>40686.2265972222</v>
      </c>
      <c r="M4381" s="12" t="s">
        <v>10495</v>
      </c>
      <c r="N4381" s="12" t="s">
        <v>10496</v>
      </c>
      <c r="O4381" s="9" t="str">
        <f aca="false">HYPERLINK("https://pbs.twimg.com/profile_images/615965275943366657/ttFKi-FN_normal.jpg","View")</f>
        <v>View</v>
      </c>
      <c r="P4381" s="10"/>
    </row>
    <row r="4382" customFormat="false" ht="15.75" hidden="false" customHeight="false" outlineLevel="0" collapsed="false">
      <c r="A4382" s="6" t="n">
        <v>43030.6673842593</v>
      </c>
      <c r="B4382" s="7" t="str">
        <f aca="false">HYPERLINK("https://twitter.com/sgarret13","@sgarret13")</f>
        <v>@sgarret13</v>
      </c>
      <c r="C4382" s="8" t="s">
        <v>10497</v>
      </c>
      <c r="D4382" s="8" t="s">
        <v>10498</v>
      </c>
      <c r="E4382" s="9" t="str">
        <f aca="false">HYPERLINK("https://twitter.com/sgarret13/status/922236381241409536","922236381241409536")</f>
        <v>922236381241409536</v>
      </c>
      <c r="F4382" s="10" t="s">
        <v>51</v>
      </c>
      <c r="G4382" s="10" t="n">
        <v>1053</v>
      </c>
      <c r="H4382" s="10" t="n">
        <v>1283</v>
      </c>
      <c r="I4382" s="10" t="n">
        <v>0</v>
      </c>
      <c r="J4382" s="10" t="n">
        <v>0</v>
      </c>
      <c r="K4382" s="10" t="s">
        <v>20</v>
      </c>
      <c r="L4382" s="11" t="n">
        <v>41428.3006365741</v>
      </c>
      <c r="M4382" s="12" t="s">
        <v>182</v>
      </c>
      <c r="N4382" s="12" t="s">
        <v>10499</v>
      </c>
      <c r="O4382" s="9" t="str">
        <f aca="false">HYPERLINK("https://pbs.twimg.com/profile_images/780804128125648896/je7YZRp2_normal.jpg","View")</f>
        <v>View</v>
      </c>
      <c r="P4382" s="10"/>
    </row>
    <row r="4383" customFormat="false" ht="15.75" hidden="false" customHeight="false" outlineLevel="0" collapsed="false">
      <c r="A4383" s="6" t="n">
        <v>43030.6675462963</v>
      </c>
      <c r="B4383" s="7" t="str">
        <f aca="false">HYPERLINK("https://twitter.com/nochebur","@nochebur")</f>
        <v>@nochebur</v>
      </c>
      <c r="C4383" s="8" t="s">
        <v>3569</v>
      </c>
      <c r="D4383" s="8" t="s">
        <v>10500</v>
      </c>
      <c r="E4383" s="9" t="str">
        <f aca="false">HYPERLINK("https://twitter.com/nochebur/status/922236439919652864","922236439919652864")</f>
        <v>922236439919652864</v>
      </c>
      <c r="F4383" s="10" t="s">
        <v>3571</v>
      </c>
      <c r="G4383" s="10" t="n">
        <v>142</v>
      </c>
      <c r="H4383" s="10" t="n">
        <v>368</v>
      </c>
      <c r="I4383" s="10" t="n">
        <v>0</v>
      </c>
      <c r="J4383" s="10" t="n">
        <v>0</v>
      </c>
      <c r="K4383" s="10" t="s">
        <v>20</v>
      </c>
      <c r="L4383" s="11" t="n">
        <v>40029.5442708333</v>
      </c>
      <c r="M4383" s="12" t="s">
        <v>1436</v>
      </c>
      <c r="N4383" s="12" t="s">
        <v>3572</v>
      </c>
      <c r="O4383" s="9" t="str">
        <f aca="false">HYPERLINK("https://pbs.twimg.com/profile_images/834538403706314752/YVVqcKjW_normal.jpg","View")</f>
        <v>View</v>
      </c>
      <c r="P4383" s="10"/>
    </row>
    <row r="4384" customFormat="false" ht="15.75" hidden="false" customHeight="false" outlineLevel="0" collapsed="false">
      <c r="A4384" s="6" t="n">
        <v>43030.6690393519</v>
      </c>
      <c r="B4384" s="7" t="str">
        <f aca="false">HYPERLINK("https://twitter.com/Sauce_ki_botal","@Sauce_ki_botal")</f>
        <v>@Sauce_ki_botal</v>
      </c>
      <c r="C4384" s="8" t="s">
        <v>10501</v>
      </c>
      <c r="D4384" s="8" t="s">
        <v>8538</v>
      </c>
      <c r="E4384" s="9" t="str">
        <f aca="false">HYPERLINK("https://twitter.com/Sauce_ki_botal/status/922236981635047424","922236981635047424")</f>
        <v>922236981635047424</v>
      </c>
      <c r="F4384" s="10" t="s">
        <v>51</v>
      </c>
      <c r="G4384" s="10" t="n">
        <v>247</v>
      </c>
      <c r="H4384" s="10" t="n">
        <v>262</v>
      </c>
      <c r="I4384" s="10" t="n">
        <v>1015</v>
      </c>
      <c r="J4384" s="10" t="n">
        <v>0</v>
      </c>
      <c r="K4384" s="10" t="s">
        <v>20</v>
      </c>
      <c r="L4384" s="11" t="n">
        <v>42194.3136342593</v>
      </c>
      <c r="M4384" s="12" t="s">
        <v>10502</v>
      </c>
      <c r="N4384" s="12" t="s">
        <v>10503</v>
      </c>
      <c r="O4384" s="9" t="str">
        <f aca="false">HYPERLINK("https://pbs.twimg.com/profile_images/820579450567786498/WAhRPmJm_normal.jpg","View")</f>
        <v>View</v>
      </c>
      <c r="P4384" s="10"/>
    </row>
    <row r="4385" customFormat="false" ht="15.75" hidden="false" customHeight="false" outlineLevel="0" collapsed="false">
      <c r="A4385" s="6" t="n">
        <v>43030.6695486111</v>
      </c>
      <c r="B4385" s="7" t="str">
        <f aca="false">HYPERLINK("https://twitter.com/invent_therapy","@invent_therapy")</f>
        <v>@invent_therapy</v>
      </c>
      <c r="C4385" s="8" t="s">
        <v>2808</v>
      </c>
      <c r="D4385" s="8" t="s">
        <v>10504</v>
      </c>
      <c r="E4385" s="9" t="str">
        <f aca="false">HYPERLINK("https://twitter.com/invent_therapy/status/922237166024921088","922237166024921088")</f>
        <v>922237166024921088</v>
      </c>
      <c r="F4385" s="9" t="s">
        <v>1147</v>
      </c>
      <c r="G4385" s="10" t="n">
        <v>62160</v>
      </c>
      <c r="H4385" s="10" t="n">
        <v>1943</v>
      </c>
      <c r="I4385" s="10" t="n">
        <v>0</v>
      </c>
      <c r="J4385" s="10" t="n">
        <v>0</v>
      </c>
      <c r="K4385" s="10" t="s">
        <v>20</v>
      </c>
      <c r="L4385" s="11" t="n">
        <v>39878.7376157407</v>
      </c>
      <c r="M4385" s="12" t="s">
        <v>752</v>
      </c>
      <c r="N4385" s="12" t="s">
        <v>2810</v>
      </c>
      <c r="O4385" s="9" t="str">
        <f aca="false">HYPERLINK("https://pbs.twimg.com/profile_images/738788282771771393/smAfi3r__normal.jpg","View")</f>
        <v>View</v>
      </c>
      <c r="P4385" s="10"/>
    </row>
    <row r="4386" customFormat="false" ht="15.75" hidden="false" customHeight="false" outlineLevel="0" collapsed="false">
      <c r="A4386" s="6" t="n">
        <v>43030.6700231482</v>
      </c>
      <c r="B4386" s="7" t="str">
        <f aca="false">HYPERLINK("https://twitter.com/breakingknowlez","@breakingknowlez")</f>
        <v>@breakingknowlez</v>
      </c>
      <c r="C4386" s="8" t="s">
        <v>9708</v>
      </c>
      <c r="D4386" s="8" t="s">
        <v>10505</v>
      </c>
      <c r="E4386" s="9" t="str">
        <f aca="false">HYPERLINK("https://twitter.com/breakingknowlez/status/922237340357193728","922237340357193728")</f>
        <v>922237340357193728</v>
      </c>
      <c r="F4386" s="10" t="s">
        <v>55</v>
      </c>
      <c r="G4386" s="10" t="n">
        <v>379</v>
      </c>
      <c r="H4386" s="10" t="n">
        <v>100</v>
      </c>
      <c r="I4386" s="10" t="n">
        <v>0</v>
      </c>
      <c r="J4386" s="10" t="n">
        <v>0</v>
      </c>
      <c r="K4386" s="10" t="s">
        <v>20</v>
      </c>
      <c r="L4386" s="11" t="n">
        <v>41087.2706134259</v>
      </c>
      <c r="M4386" s="12" t="s">
        <v>7434</v>
      </c>
      <c r="N4386" s="12" t="s">
        <v>9710</v>
      </c>
      <c r="O4386" s="9" t="str">
        <f aca="false">HYPERLINK("https://pbs.twimg.com/profile_images/665966096663506944/cBf1Cg_c_normal.png","View")</f>
        <v>View</v>
      </c>
      <c r="P4386" s="10"/>
    </row>
    <row r="4387" customFormat="false" ht="15.75" hidden="false" customHeight="false" outlineLevel="0" collapsed="false">
      <c r="A4387" s="6" t="n">
        <v>43030.6703356481</v>
      </c>
      <c r="B4387" s="7" t="str">
        <f aca="false">HYPERLINK("https://twitter.com/MorbidMortal","@MorbidMortal")</f>
        <v>@MorbidMortal</v>
      </c>
      <c r="C4387" s="8" t="s">
        <v>10506</v>
      </c>
      <c r="D4387" s="8" t="s">
        <v>8538</v>
      </c>
      <c r="E4387" s="9" t="str">
        <f aca="false">HYPERLINK("https://twitter.com/MorbidMortal/status/922237449807454208","922237449807454208")</f>
        <v>922237449807454208</v>
      </c>
      <c r="F4387" s="10" t="s">
        <v>25</v>
      </c>
      <c r="G4387" s="10" t="n">
        <v>666</v>
      </c>
      <c r="H4387" s="10" t="n">
        <v>467</v>
      </c>
      <c r="I4387" s="10" t="n">
        <v>1015</v>
      </c>
      <c r="J4387" s="10" t="n">
        <v>0</v>
      </c>
      <c r="K4387" s="10" t="s">
        <v>20</v>
      </c>
      <c r="L4387" s="11" t="n">
        <v>40142.3238657407</v>
      </c>
      <c r="M4387" s="12" t="s">
        <v>8668</v>
      </c>
      <c r="N4387" s="12" t="s">
        <v>10507</v>
      </c>
      <c r="O4387" s="9" t="str">
        <f aca="false">HYPERLINK("https://pbs.twimg.com/profile_images/857532205244993536/JdY464Cb_normal.jpg","View")</f>
        <v>View</v>
      </c>
      <c r="P4387" s="10"/>
    </row>
    <row r="4388" customFormat="false" ht="15.75" hidden="false" customHeight="false" outlineLevel="0" collapsed="false">
      <c r="A4388" s="6" t="n">
        <v>43030.6713078704</v>
      </c>
      <c r="B4388" s="7" t="str">
        <f aca="false">HYPERLINK("https://twitter.com/NareshMendon","@NareshMendon")</f>
        <v>@NareshMendon</v>
      </c>
      <c r="C4388" s="8" t="s">
        <v>10508</v>
      </c>
      <c r="D4388" s="8" t="s">
        <v>8538</v>
      </c>
      <c r="E4388" s="9" t="str">
        <f aca="false">HYPERLINK("https://twitter.com/NareshMendon/status/922237804356059136","922237804356059136")</f>
        <v>922237804356059136</v>
      </c>
      <c r="F4388" s="10" t="s">
        <v>25</v>
      </c>
      <c r="G4388" s="10" t="n">
        <v>204</v>
      </c>
      <c r="H4388" s="10" t="n">
        <v>1193</v>
      </c>
      <c r="I4388" s="10" t="n">
        <v>1015</v>
      </c>
      <c r="J4388" s="10" t="n">
        <v>0</v>
      </c>
      <c r="K4388" s="10" t="s">
        <v>20</v>
      </c>
      <c r="L4388" s="11" t="n">
        <v>41702.1055902778</v>
      </c>
      <c r="M4388" s="12" t="s">
        <v>598</v>
      </c>
      <c r="N4388" s="12"/>
      <c r="O4388" s="9" t="str">
        <f aca="false">HYPERLINK("https://pbs.twimg.com/profile_images/549523906038480898/XqkA9kZk_normal.jpeg","View")</f>
        <v>View</v>
      </c>
      <c r="P4388" s="10"/>
    </row>
    <row r="4389" customFormat="false" ht="15.75" hidden="false" customHeight="false" outlineLevel="0" collapsed="false">
      <c r="A4389" s="6" t="n">
        <v>43030.6722569444</v>
      </c>
      <c r="B4389" s="7" t="str">
        <f aca="false">HYPERLINK("https://twitter.com/AmarendraAK","@AmarendraAK")</f>
        <v>@AmarendraAK</v>
      </c>
      <c r="C4389" s="8" t="s">
        <v>10509</v>
      </c>
      <c r="D4389" s="8" t="s">
        <v>8538</v>
      </c>
      <c r="E4389" s="9" t="str">
        <f aca="false">HYPERLINK("https://twitter.com/AmarendraAK/status/922238149664825344","922238149664825344")</f>
        <v>922238149664825344</v>
      </c>
      <c r="F4389" s="10" t="s">
        <v>25</v>
      </c>
      <c r="G4389" s="10" t="n">
        <v>1307</v>
      </c>
      <c r="H4389" s="10" t="n">
        <v>2559</v>
      </c>
      <c r="I4389" s="10" t="n">
        <v>1015</v>
      </c>
      <c r="J4389" s="10" t="n">
        <v>0</v>
      </c>
      <c r="K4389" s="10" t="s">
        <v>20</v>
      </c>
      <c r="L4389" s="11" t="n">
        <v>41590.4551041667</v>
      </c>
      <c r="M4389" s="12"/>
      <c r="N4389" s="12" t="s">
        <v>10510</v>
      </c>
      <c r="O4389" s="9" t="str">
        <f aca="false">HYPERLINK("https://pbs.twimg.com/profile_images/755013843969912832/PTwzRAPT_normal.jpg","View")</f>
        <v>View</v>
      </c>
      <c r="P4389" s="10"/>
    </row>
    <row r="4390" customFormat="false" ht="15.75" hidden="false" customHeight="false" outlineLevel="0" collapsed="false">
      <c r="A4390" s="6" t="n">
        <v>43030.6723032407</v>
      </c>
      <c r="B4390" s="7" t="str">
        <f aca="false">HYPERLINK("https://twitter.com/ScribbleNotepad","@ScribbleNotepad")</f>
        <v>@ScribbleNotepad</v>
      </c>
      <c r="C4390" s="8" t="s">
        <v>10511</v>
      </c>
      <c r="D4390" s="8" t="s">
        <v>10168</v>
      </c>
      <c r="E4390" s="9" t="str">
        <f aca="false">HYPERLINK("https://twitter.com/ScribbleNotepad/status/922238163661156352","922238163661156352")</f>
        <v>922238163661156352</v>
      </c>
      <c r="F4390" s="10" t="s">
        <v>51</v>
      </c>
      <c r="G4390" s="10" t="n">
        <v>1709</v>
      </c>
      <c r="H4390" s="10" t="n">
        <v>2235</v>
      </c>
      <c r="I4390" s="10" t="n">
        <v>25</v>
      </c>
      <c r="J4390" s="10" t="n">
        <v>0</v>
      </c>
      <c r="K4390" s="10" t="s">
        <v>20</v>
      </c>
      <c r="L4390" s="11" t="n">
        <v>41791.5486458333</v>
      </c>
      <c r="M4390" s="13" t="s">
        <v>152</v>
      </c>
      <c r="N4390" s="13" t="s">
        <v>10512</v>
      </c>
      <c r="O4390" s="9" t="str">
        <f aca="false">HYPERLINK("https://pbs.twimg.com/profile_images/831073801030889472/Iytmq5hb_normal.jpg","View")</f>
        <v>View</v>
      </c>
      <c r="P4390" s="10"/>
    </row>
    <row r="4391" customFormat="false" ht="15.75" hidden="false" customHeight="false" outlineLevel="0" collapsed="false">
      <c r="A4391" s="6" t="n">
        <v>43030.6727662037</v>
      </c>
      <c r="B4391" s="7" t="str">
        <f aca="false">HYPERLINK("https://twitter.com/twtuncaysahin","@twtuncaysahin")</f>
        <v>@twtuncaysahin</v>
      </c>
      <c r="C4391" s="8" t="s">
        <v>2024</v>
      </c>
      <c r="D4391" s="8" t="s">
        <v>9907</v>
      </c>
      <c r="E4391" s="9" t="str">
        <f aca="false">HYPERLINK("https://twitter.com/twtuncaysahin/status/922238333941698560","922238333941698560")</f>
        <v>922238333941698560</v>
      </c>
      <c r="F4391" s="10" t="s">
        <v>25</v>
      </c>
      <c r="G4391" s="10" t="n">
        <v>643</v>
      </c>
      <c r="H4391" s="10" t="n">
        <v>1486</v>
      </c>
      <c r="I4391" s="10" t="n">
        <v>11</v>
      </c>
      <c r="J4391" s="10" t="n">
        <v>0</v>
      </c>
      <c r="K4391" s="10" t="s">
        <v>20</v>
      </c>
      <c r="L4391" s="11" t="n">
        <v>41375.0419560185</v>
      </c>
      <c r="M4391" s="12" t="s">
        <v>2025</v>
      </c>
      <c r="N4391" s="12" t="s">
        <v>2026</v>
      </c>
      <c r="O4391" s="9" t="str">
        <f aca="false">HYPERLINK("https://pbs.twimg.com/profile_images/872553801764528129/7n5VCchK_normal.jpg","View")</f>
        <v>View</v>
      </c>
      <c r="P4391" s="10"/>
    </row>
    <row r="4392" customFormat="false" ht="15.75" hidden="false" customHeight="false" outlineLevel="0" collapsed="false">
      <c r="A4392" s="6" t="n">
        <v>43030.6728819444</v>
      </c>
      <c r="B4392" s="7" t="str">
        <f aca="false">HYPERLINK("https://twitter.com/neginabe014","@neginabe014")</f>
        <v>@neginabe014</v>
      </c>
      <c r="C4392" s="14" t="s">
        <v>10513</v>
      </c>
      <c r="D4392" s="8" t="s">
        <v>10168</v>
      </c>
      <c r="E4392" s="9" t="str">
        <f aca="false">HYPERLINK("https://twitter.com/neginabe014/status/922238373418246145","922238373418246145")</f>
        <v>922238373418246145</v>
      </c>
      <c r="F4392" s="10" t="s">
        <v>25</v>
      </c>
      <c r="G4392" s="10" t="n">
        <v>232</v>
      </c>
      <c r="H4392" s="10" t="n">
        <v>33</v>
      </c>
      <c r="I4392" s="10" t="n">
        <v>25</v>
      </c>
      <c r="J4392" s="10" t="n">
        <v>0</v>
      </c>
      <c r="K4392" s="10" t="s">
        <v>20</v>
      </c>
      <c r="L4392" s="11" t="n">
        <v>42581.1748611111</v>
      </c>
      <c r="M4392" s="12"/>
      <c r="N4392" s="13" t="s">
        <v>10514</v>
      </c>
      <c r="O4392" s="9" t="str">
        <f aca="false">HYPERLINK("https://pbs.twimg.com/profile_images/764657559491846144/ASuHUqX4_normal.jpg","View")</f>
        <v>View</v>
      </c>
      <c r="P4392" s="10"/>
    </row>
    <row r="4393" customFormat="false" ht="15.75" hidden="false" customHeight="false" outlineLevel="0" collapsed="false">
      <c r="A4393" s="6" t="n">
        <v>43030.672974537</v>
      </c>
      <c r="B4393" s="7" t="str">
        <f aca="false">HYPERLINK("https://twitter.com/JoseDiaz2997","@JoseDiaz2997")</f>
        <v>@JoseDiaz2997</v>
      </c>
      <c r="C4393" s="8" t="s">
        <v>10515</v>
      </c>
      <c r="D4393" s="8" t="s">
        <v>10516</v>
      </c>
      <c r="E4393" s="9" t="str">
        <f aca="false">HYPERLINK("https://twitter.com/JoseDiaz2997/status/922238406796623872","922238406796623872")</f>
        <v>922238406796623872</v>
      </c>
      <c r="F4393" s="9" t="s">
        <v>1147</v>
      </c>
      <c r="G4393" s="10" t="n">
        <v>0</v>
      </c>
      <c r="H4393" s="10" t="n">
        <v>4</v>
      </c>
      <c r="I4393" s="10" t="n">
        <v>0</v>
      </c>
      <c r="J4393" s="10" t="n">
        <v>0</v>
      </c>
      <c r="K4393" s="10" t="s">
        <v>20</v>
      </c>
      <c r="L4393" s="11" t="n">
        <v>42972.627025463</v>
      </c>
      <c r="M4393" s="12" t="s">
        <v>3891</v>
      </c>
      <c r="N4393" s="12"/>
      <c r="O4393" s="9" t="str">
        <f aca="false">HYPERLINK("https://pbs.twimg.com/profile_images/901204478208204802/gz_abFk8_normal.jpg","View")</f>
        <v>View</v>
      </c>
      <c r="P4393" s="10"/>
    </row>
    <row r="4394" customFormat="false" ht="15.75" hidden="false" customHeight="false" outlineLevel="0" collapsed="false">
      <c r="A4394" s="6" t="n">
        <v>43030.6729976852</v>
      </c>
      <c r="B4394" s="7" t="str">
        <f aca="false">HYPERLINK("https://twitter.com/baburajvarma","@baburajvarma")</f>
        <v>@baburajvarma</v>
      </c>
      <c r="C4394" s="8" t="s">
        <v>10517</v>
      </c>
      <c r="D4394" s="8" t="s">
        <v>8538</v>
      </c>
      <c r="E4394" s="9" t="str">
        <f aca="false">HYPERLINK("https://twitter.com/baburajvarma/status/922238414874820608","922238414874820608")</f>
        <v>922238414874820608</v>
      </c>
      <c r="F4394" s="10" t="s">
        <v>25</v>
      </c>
      <c r="G4394" s="10" t="n">
        <v>462</v>
      </c>
      <c r="H4394" s="10" t="n">
        <v>253</v>
      </c>
      <c r="I4394" s="10" t="n">
        <v>1015</v>
      </c>
      <c r="J4394" s="10" t="n">
        <v>0</v>
      </c>
      <c r="K4394" s="10" t="s">
        <v>20</v>
      </c>
      <c r="L4394" s="11" t="n">
        <v>40012.144525463</v>
      </c>
      <c r="M4394" s="12" t="s">
        <v>10518</v>
      </c>
      <c r="N4394" s="12" t="s">
        <v>10519</v>
      </c>
      <c r="O4394" s="9" t="str">
        <f aca="false">HYPERLINK("https://pbs.twimg.com/profile_images/628047161280720896/pp2nrF8U_normal.jpg","View")</f>
        <v>View</v>
      </c>
      <c r="P4394" s="10"/>
    </row>
    <row r="4395" customFormat="false" ht="15.75" hidden="false" customHeight="false" outlineLevel="0" collapsed="false">
      <c r="A4395" s="6" t="n">
        <v>43030.6736574074</v>
      </c>
      <c r="B4395" s="7" t="str">
        <f aca="false">HYPERLINK("https://twitter.com/loop_vanuatu","@loop_vanuatu")</f>
        <v>@loop_vanuatu</v>
      </c>
      <c r="C4395" s="8" t="s">
        <v>10520</v>
      </c>
      <c r="D4395" s="8" t="s">
        <v>10521</v>
      </c>
      <c r="E4395" s="9" t="str">
        <f aca="false">HYPERLINK("https://twitter.com/loop_vanuatu/status/922238655275573249","922238655275573249")</f>
        <v>922238655275573249</v>
      </c>
      <c r="F4395" s="10" t="s">
        <v>47</v>
      </c>
      <c r="G4395" s="10" t="n">
        <v>193</v>
      </c>
      <c r="H4395" s="10" t="n">
        <v>110</v>
      </c>
      <c r="I4395" s="10" t="n">
        <v>0</v>
      </c>
      <c r="J4395" s="10" t="n">
        <v>0</v>
      </c>
      <c r="K4395" s="10" t="s">
        <v>20</v>
      </c>
      <c r="L4395" s="11" t="n">
        <v>42387.7603587963</v>
      </c>
      <c r="M4395" s="12" t="s">
        <v>10522</v>
      </c>
      <c r="N4395" s="12" t="s">
        <v>10523</v>
      </c>
      <c r="O4395" s="9" t="str">
        <f aca="false">HYPERLINK("https://pbs.twimg.com/profile_images/689969737015648257/rKNhI22O_normal.png","View")</f>
        <v>View</v>
      </c>
      <c r="P4395" s="10"/>
    </row>
    <row r="4396" customFormat="false" ht="15.75" hidden="false" customHeight="false" outlineLevel="0" collapsed="false">
      <c r="A4396" s="6" t="n">
        <v>43030.6752662037</v>
      </c>
      <c r="B4396" s="7" t="str">
        <f aca="false">HYPERLINK("https://twitter.com/mane_mbsmith","@mane_mbsmith")</f>
        <v>@mane_mbsmith</v>
      </c>
      <c r="C4396" s="8" t="s">
        <v>10524</v>
      </c>
      <c r="D4396" s="8" t="s">
        <v>10525</v>
      </c>
      <c r="E4396" s="9" t="str">
        <f aca="false">HYPERLINK("https://twitter.com/mane_mbsmith/status/922239239554613248","922239239554613248")</f>
        <v>922239239554613248</v>
      </c>
      <c r="F4396" s="10" t="s">
        <v>25</v>
      </c>
      <c r="G4396" s="10" t="n">
        <v>2260</v>
      </c>
      <c r="H4396" s="10" t="n">
        <v>4864</v>
      </c>
      <c r="I4396" s="10" t="n">
        <v>9</v>
      </c>
      <c r="J4396" s="10" t="n">
        <v>0</v>
      </c>
      <c r="K4396" s="10" t="s">
        <v>20</v>
      </c>
      <c r="L4396" s="11" t="n">
        <v>42447.3732986111</v>
      </c>
      <c r="M4396" s="12" t="s">
        <v>10526</v>
      </c>
      <c r="N4396" s="12" t="s">
        <v>10527</v>
      </c>
      <c r="O4396" s="9" t="str">
        <f aca="false">HYPERLINK("https://pbs.twimg.com/profile_images/792840847385513984/R348xMbW_normal.jpg","View")</f>
        <v>View</v>
      </c>
      <c r="P4396" s="10"/>
    </row>
    <row r="4397" customFormat="false" ht="15.75" hidden="false" customHeight="false" outlineLevel="0" collapsed="false">
      <c r="A4397" s="6" t="n">
        <v>43030.6756944445</v>
      </c>
      <c r="B4397" s="7" t="str">
        <f aca="false">HYPERLINK("https://twitter.com/_Sidharth","@_Sidharth")</f>
        <v>@_Sidharth</v>
      </c>
      <c r="C4397" s="8" t="s">
        <v>10528</v>
      </c>
      <c r="D4397" s="8" t="s">
        <v>10529</v>
      </c>
      <c r="E4397" s="9" t="str">
        <f aca="false">HYPERLINK("https://twitter.com/_Sidharth/status/922239394425294848","922239394425294848")</f>
        <v>922239394425294848</v>
      </c>
      <c r="F4397" s="10" t="s">
        <v>1167</v>
      </c>
      <c r="G4397" s="10" t="n">
        <v>88</v>
      </c>
      <c r="H4397" s="10" t="n">
        <v>109</v>
      </c>
      <c r="I4397" s="10" t="n">
        <v>0</v>
      </c>
      <c r="J4397" s="10" t="n">
        <v>0</v>
      </c>
      <c r="K4397" s="10" t="s">
        <v>20</v>
      </c>
      <c r="L4397" s="11" t="n">
        <v>40184.4109375</v>
      </c>
      <c r="M4397" s="12" t="s">
        <v>10530</v>
      </c>
      <c r="N4397" s="12" t="s">
        <v>10531</v>
      </c>
      <c r="O4397" s="9" t="str">
        <f aca="false">HYPERLINK("https://pbs.twimg.com/profile_images/757277954829234176/qO0ZbY9j_normal.jpg","View")</f>
        <v>View</v>
      </c>
      <c r="P4397" s="10"/>
    </row>
    <row r="4398" customFormat="false" ht="15.75" hidden="false" customHeight="false" outlineLevel="0" collapsed="false">
      <c r="A4398" s="6" t="n">
        <v>43030.6764699074</v>
      </c>
      <c r="B4398" s="7" t="str">
        <f aca="false">HYPERLINK("https://twitter.com/BeyondRhetoric_","@BeyondRhetoric_")</f>
        <v>@BeyondRhetoric_</v>
      </c>
      <c r="C4398" s="8" t="s">
        <v>10532</v>
      </c>
      <c r="D4398" s="8" t="s">
        <v>8538</v>
      </c>
      <c r="E4398" s="9" t="str">
        <f aca="false">HYPERLINK("https://twitter.com/BeyondRhetoric_/status/922239676362113024","922239676362113024")</f>
        <v>922239676362113024</v>
      </c>
      <c r="F4398" s="10" t="s">
        <v>25</v>
      </c>
      <c r="G4398" s="10" t="n">
        <v>87</v>
      </c>
      <c r="H4398" s="10" t="n">
        <v>629</v>
      </c>
      <c r="I4398" s="10" t="n">
        <v>1015</v>
      </c>
      <c r="J4398" s="10" t="n">
        <v>0</v>
      </c>
      <c r="K4398" s="10" t="s">
        <v>20</v>
      </c>
      <c r="L4398" s="11" t="n">
        <v>40067.2029513889</v>
      </c>
      <c r="M4398" s="12"/>
      <c r="N4398" s="12"/>
      <c r="O4398" s="9" t="str">
        <f aca="false">HYPERLINK("https://abs.twimg.com/sticky/default_profile_images/default_profile_normal.png","View")</f>
        <v>View</v>
      </c>
      <c r="P4398" s="10"/>
    </row>
    <row r="4399" customFormat="false" ht="15.75" hidden="false" customHeight="false" outlineLevel="0" collapsed="false">
      <c r="A4399" s="6" t="n">
        <v>43030.6770717593</v>
      </c>
      <c r="B4399" s="7" t="str">
        <f aca="false">HYPERLINK("https://twitter.com/myrnadamasco","@myrnadamasco")</f>
        <v>@myrnadamasco</v>
      </c>
      <c r="C4399" s="8" t="s">
        <v>10533</v>
      </c>
      <c r="D4399" s="8" t="s">
        <v>10534</v>
      </c>
      <c r="E4399" s="9" t="str">
        <f aca="false">HYPERLINK("https://twitter.com/myrnadamasco/status/922239891781533696","922239891781533696")</f>
        <v>922239891781533696</v>
      </c>
      <c r="F4399" s="10" t="s">
        <v>51</v>
      </c>
      <c r="G4399" s="10" t="n">
        <v>537</v>
      </c>
      <c r="H4399" s="10" t="n">
        <v>1198</v>
      </c>
      <c r="I4399" s="10" t="n">
        <v>1</v>
      </c>
      <c r="J4399" s="10" t="n">
        <v>0</v>
      </c>
      <c r="K4399" s="10" t="s">
        <v>20</v>
      </c>
      <c r="L4399" s="11" t="n">
        <v>42699.5335648148</v>
      </c>
      <c r="M4399" s="12" t="s">
        <v>10535</v>
      </c>
      <c r="N4399" s="12" t="s">
        <v>10536</v>
      </c>
      <c r="O4399" s="9" t="str">
        <f aca="false">HYPERLINK("https://pbs.twimg.com/profile_images/897750622941855744/kWc7LDk-_normal.jpg","View")</f>
        <v>View</v>
      </c>
      <c r="P4399" s="10"/>
    </row>
    <row r="4400" customFormat="false" ht="15.75" hidden="false" customHeight="false" outlineLevel="0" collapsed="false">
      <c r="A4400" s="6" t="n">
        <v>43030.6771296296</v>
      </c>
      <c r="B4400" s="7" t="str">
        <f aca="false">HYPERLINK("https://twitter.com/FirtsContact","@FirtsContact")</f>
        <v>@FirtsContact</v>
      </c>
      <c r="C4400" s="8" t="s">
        <v>10537</v>
      </c>
      <c r="D4400" s="8" t="s">
        <v>10538</v>
      </c>
      <c r="E4400" s="9" t="str">
        <f aca="false">HYPERLINK("https://twitter.com/FirtsContact/status/922239914493620224","922239914493620224")</f>
        <v>922239914493620224</v>
      </c>
      <c r="F4400" s="9" t="s">
        <v>1147</v>
      </c>
      <c r="G4400" s="10" t="n">
        <v>1067</v>
      </c>
      <c r="H4400" s="10" t="n">
        <v>966</v>
      </c>
      <c r="I4400" s="10" t="n">
        <v>0</v>
      </c>
      <c r="J4400" s="10" t="n">
        <v>0</v>
      </c>
      <c r="K4400" s="10" t="s">
        <v>20</v>
      </c>
      <c r="L4400" s="11" t="n">
        <v>42204.5177893519</v>
      </c>
      <c r="M4400" s="12" t="s">
        <v>230</v>
      </c>
      <c r="N4400" s="12" t="s">
        <v>10539</v>
      </c>
      <c r="O4400" s="9" t="str">
        <f aca="false">HYPERLINK("https://pbs.twimg.com/profile_images/876453111233212416/uDeLFiP7_normal.jpg","View")</f>
        <v>View</v>
      </c>
      <c r="P4400" s="10"/>
    </row>
    <row r="4401" customFormat="false" ht="15.75" hidden="false" customHeight="false" outlineLevel="0" collapsed="false">
      <c r="A4401" s="6" t="n">
        <v>43030.677349537</v>
      </c>
      <c r="B4401" s="7" t="str">
        <f aca="false">HYPERLINK("https://twitter.com/yourrealestate4","@yourrealestate4")</f>
        <v>@yourrealestate4</v>
      </c>
      <c r="C4401" s="8" t="s">
        <v>10540</v>
      </c>
      <c r="D4401" s="8" t="s">
        <v>10541</v>
      </c>
      <c r="E4401" s="9" t="str">
        <f aca="false">HYPERLINK("https://twitter.com/yourrealestate4/status/922239995523592192","922239995523592192")</f>
        <v>922239995523592192</v>
      </c>
      <c r="F4401" s="10" t="s">
        <v>10542</v>
      </c>
      <c r="G4401" s="10" t="n">
        <v>1</v>
      </c>
      <c r="H4401" s="10" t="n">
        <v>33</v>
      </c>
      <c r="I4401" s="10" t="n">
        <v>0</v>
      </c>
      <c r="J4401" s="10" t="n">
        <v>0</v>
      </c>
      <c r="K4401" s="10" t="s">
        <v>20</v>
      </c>
      <c r="L4401" s="11" t="n">
        <v>42993.218287037</v>
      </c>
      <c r="M4401" s="12"/>
      <c r="N4401" s="12"/>
      <c r="O4401" s="9" t="str">
        <f aca="false">HYPERLINK("https://pbs.twimg.com/profile_images/909729223572520960/-QuNxUZD_normal.jpg","View")</f>
        <v>View</v>
      </c>
      <c r="P4401" s="10"/>
    </row>
    <row r="4402" customFormat="false" ht="15.75" hidden="false" customHeight="false" outlineLevel="0" collapsed="false">
      <c r="A4402" s="6" t="n">
        <v>43030.6786921296</v>
      </c>
      <c r="B4402" s="7" t="str">
        <f aca="false">HYPERLINK("https://twitter.com/The_News_DIVA","@The_News_DIVA")</f>
        <v>@The_News_DIVA</v>
      </c>
      <c r="C4402" s="8" t="s">
        <v>10543</v>
      </c>
      <c r="D4402" s="8" t="s">
        <v>10544</v>
      </c>
      <c r="E4402" s="9" t="str">
        <f aca="false">HYPERLINK("https://twitter.com/The_News_DIVA/status/922240478409646085","922240478409646085")</f>
        <v>922240478409646085</v>
      </c>
      <c r="F4402" s="9" t="s">
        <v>2138</v>
      </c>
      <c r="G4402" s="10" t="n">
        <v>121770</v>
      </c>
      <c r="H4402" s="10" t="n">
        <v>120667</v>
      </c>
      <c r="I4402" s="10" t="n">
        <v>2</v>
      </c>
      <c r="J4402" s="10" t="n">
        <v>2</v>
      </c>
      <c r="K4402" s="10" t="s">
        <v>20</v>
      </c>
      <c r="L4402" s="11" t="n">
        <v>39649.2709722222</v>
      </c>
      <c r="M4402" s="12" t="s">
        <v>10545</v>
      </c>
      <c r="N4402" s="12" t="s">
        <v>10546</v>
      </c>
      <c r="O4402" s="9" t="str">
        <f aca="false">HYPERLINK("https://pbs.twimg.com/profile_images/2339424243/yi6x1e8o318u40z0gp3w_normal.png","View")</f>
        <v>View</v>
      </c>
      <c r="P4402" s="10"/>
    </row>
    <row r="4403" customFormat="false" ht="15.75" hidden="false" customHeight="false" outlineLevel="0" collapsed="false">
      <c r="A4403" s="6" t="n">
        <v>43030.6788657407</v>
      </c>
      <c r="B4403" s="7" t="str">
        <f aca="false">HYPERLINK("https://twitter.com/mimiho2008","@mimiho2008")</f>
        <v>@mimiho2008</v>
      </c>
      <c r="C4403" s="8" t="s">
        <v>10547</v>
      </c>
      <c r="D4403" s="8" t="s">
        <v>3631</v>
      </c>
      <c r="E4403" s="9" t="str">
        <f aca="false">HYPERLINK("https://twitter.com/mimiho2008/status/922240544847273984","922240544847273984")</f>
        <v>922240544847273984</v>
      </c>
      <c r="F4403" s="10" t="s">
        <v>51</v>
      </c>
      <c r="G4403" s="10" t="n">
        <v>14</v>
      </c>
      <c r="H4403" s="10" t="n">
        <v>149</v>
      </c>
      <c r="I4403" s="10" t="n">
        <v>16</v>
      </c>
      <c r="J4403" s="10" t="n">
        <v>0</v>
      </c>
      <c r="K4403" s="10" t="s">
        <v>20</v>
      </c>
      <c r="L4403" s="11" t="n">
        <v>42522.3049768519</v>
      </c>
      <c r="M4403" s="12"/>
      <c r="N4403" s="12"/>
      <c r="O4403" s="9" t="str">
        <f aca="false">HYPERLINK("https://pbs.twimg.com/profile_images/921348786424709121/HDbckR0M_normal.jpg","View")</f>
        <v>View</v>
      </c>
      <c r="P4403" s="10"/>
    </row>
    <row r="4404" customFormat="false" ht="15.75" hidden="false" customHeight="false" outlineLevel="0" collapsed="false">
      <c r="A4404" s="6" t="n">
        <v>43030.6789236111</v>
      </c>
      <c r="B4404" s="7" t="str">
        <f aca="false">HYPERLINK("https://twitter.com/JustKat54","@JustKat54")</f>
        <v>@JustKat54</v>
      </c>
      <c r="C4404" s="8" t="s">
        <v>10548</v>
      </c>
      <c r="D4404" s="8" t="s">
        <v>10414</v>
      </c>
      <c r="E4404" s="9" t="str">
        <f aca="false">HYPERLINK("https://twitter.com/JustKat54/status/922240562778050561","922240562778050561")</f>
        <v>922240562778050561</v>
      </c>
      <c r="F4404" s="10" t="s">
        <v>39</v>
      </c>
      <c r="G4404" s="10" t="n">
        <v>198</v>
      </c>
      <c r="H4404" s="10" t="n">
        <v>107</v>
      </c>
      <c r="I4404" s="10" t="n">
        <v>14</v>
      </c>
      <c r="J4404" s="10" t="n">
        <v>0</v>
      </c>
      <c r="K4404" s="10" t="s">
        <v>20</v>
      </c>
      <c r="L4404" s="11" t="n">
        <v>42347.8685648148</v>
      </c>
      <c r="M4404" s="12" t="s">
        <v>6162</v>
      </c>
      <c r="N4404" s="12"/>
      <c r="O4404" s="9" t="str">
        <f aca="false">HYPERLINK("https://pbs.twimg.com/profile_images/674814049238978560/4xxii28E_normal.jpg","View")</f>
        <v>View</v>
      </c>
      <c r="P4404" s="10"/>
    </row>
    <row r="4405" customFormat="false" ht="15.75" hidden="false" customHeight="false" outlineLevel="0" collapsed="false">
      <c r="A4405" s="6" t="n">
        <v>43030.6792824074</v>
      </c>
      <c r="B4405" s="7" t="str">
        <f aca="false">HYPERLINK("https://twitter.com/Blaiserboy","@Blaiserboy")</f>
        <v>@Blaiserboy</v>
      </c>
      <c r="C4405" s="8" t="s">
        <v>10549</v>
      </c>
      <c r="D4405" s="8" t="s">
        <v>10550</v>
      </c>
      <c r="E4405" s="9" t="str">
        <f aca="false">HYPERLINK("https://twitter.com/Blaiserboy/status/922240694600605696","922240694600605696")</f>
        <v>922240694600605696</v>
      </c>
      <c r="F4405" s="9" t="s">
        <v>1147</v>
      </c>
      <c r="G4405" s="10" t="n">
        <v>2416</v>
      </c>
      <c r="H4405" s="10" t="n">
        <v>551</v>
      </c>
      <c r="I4405" s="10" t="n">
        <v>1</v>
      </c>
      <c r="J4405" s="10" t="n">
        <v>0</v>
      </c>
      <c r="K4405" s="10" t="s">
        <v>20</v>
      </c>
      <c r="L4405" s="11" t="n">
        <v>40000.1337962963</v>
      </c>
      <c r="M4405" s="12" t="s">
        <v>4050</v>
      </c>
      <c r="N4405" s="12" t="s">
        <v>10551</v>
      </c>
      <c r="O4405" s="9" t="str">
        <f aca="false">HYPERLINK("https://pbs.twimg.com/profile_images/534793235634216960/rKIHcTlG_normal.jpeg","View")</f>
        <v>View</v>
      </c>
      <c r="P4405" s="10"/>
    </row>
    <row r="4406" customFormat="false" ht="15.75" hidden="false" customHeight="false" outlineLevel="0" collapsed="false">
      <c r="A4406" s="6" t="n">
        <v>43030.6819444444</v>
      </c>
      <c r="B4406" s="7" t="str">
        <f aca="false">HYPERLINK("https://twitter.com/lalithseetharam","@lalithseetharam")</f>
        <v>@lalithseetharam</v>
      </c>
      <c r="C4406" s="8" t="s">
        <v>10552</v>
      </c>
      <c r="D4406" s="8" t="s">
        <v>8538</v>
      </c>
      <c r="E4406" s="9" t="str">
        <f aca="false">HYPERLINK("https://twitter.com/lalithseetharam/status/922241659793948672","922241659793948672")</f>
        <v>922241659793948672</v>
      </c>
      <c r="F4406" s="10" t="s">
        <v>51</v>
      </c>
      <c r="G4406" s="10" t="n">
        <v>258</v>
      </c>
      <c r="H4406" s="10" t="n">
        <v>219</v>
      </c>
      <c r="I4406" s="10" t="n">
        <v>1015</v>
      </c>
      <c r="J4406" s="10" t="n">
        <v>0</v>
      </c>
      <c r="K4406" s="10" t="s">
        <v>20</v>
      </c>
      <c r="L4406" s="11" t="n">
        <v>40127.9785069444</v>
      </c>
      <c r="M4406" s="12"/>
      <c r="N4406" s="12" t="s">
        <v>10553</v>
      </c>
      <c r="O4406" s="9" t="str">
        <f aca="false">HYPERLINK("https://abs.twimg.com/sticky/default_profile_images/default_profile_normal.png","View")</f>
        <v>View</v>
      </c>
      <c r="P4406" s="10"/>
    </row>
    <row r="4407" customFormat="false" ht="15.75" hidden="false" customHeight="false" outlineLevel="0" collapsed="false">
      <c r="A4407" s="6" t="n">
        <v>43030.6827199074</v>
      </c>
      <c r="B4407" s="7" t="str">
        <f aca="false">HYPERLINK("https://twitter.com/politicsnews11","@politicsnews11")</f>
        <v>@politicsnews11</v>
      </c>
      <c r="C4407" s="8" t="s">
        <v>10554</v>
      </c>
      <c r="D4407" s="8" t="s">
        <v>10555</v>
      </c>
      <c r="E4407" s="9" t="str">
        <f aca="false">HYPERLINK("https://twitter.com/politicsnews11/status/922241941407854592","922241941407854592")</f>
        <v>922241941407854592</v>
      </c>
      <c r="F4407" s="9" t="s">
        <v>1147</v>
      </c>
      <c r="G4407" s="10" t="n">
        <v>749</v>
      </c>
      <c r="H4407" s="10" t="n">
        <v>2715</v>
      </c>
      <c r="I4407" s="10" t="n">
        <v>0</v>
      </c>
      <c r="J4407" s="10" t="n">
        <v>0</v>
      </c>
      <c r="K4407" s="10" t="s">
        <v>20</v>
      </c>
      <c r="L4407" s="11" t="n">
        <v>42608.4671064815</v>
      </c>
      <c r="M4407" s="12" t="s">
        <v>3891</v>
      </c>
      <c r="N4407" s="12" t="s">
        <v>10556</v>
      </c>
      <c r="O4407" s="9" t="str">
        <f aca="false">HYPERLINK("https://pbs.twimg.com/profile_images/769239483577491456/Vh99KQpI_normal.jpg","View")</f>
        <v>View</v>
      </c>
      <c r="P4407" s="10"/>
    </row>
    <row r="4408" customFormat="false" ht="15.75" hidden="false" customHeight="false" outlineLevel="0" collapsed="false">
      <c r="A4408" s="6" t="n">
        <v>43030.6827314815</v>
      </c>
      <c r="B4408" s="7" t="str">
        <f aca="false">HYPERLINK("https://twitter.com/Feeds4U","@Feeds4U")</f>
        <v>@Feeds4U</v>
      </c>
      <c r="C4408" s="8" t="s">
        <v>10557</v>
      </c>
      <c r="D4408" s="8" t="s">
        <v>10558</v>
      </c>
      <c r="E4408" s="9" t="str">
        <f aca="false">HYPERLINK("https://twitter.com/Feeds4U/status/922241945195257856","922241945195257856")</f>
        <v>922241945195257856</v>
      </c>
      <c r="F4408" s="9" t="s">
        <v>1147</v>
      </c>
      <c r="G4408" s="10" t="n">
        <v>1232</v>
      </c>
      <c r="H4408" s="10" t="n">
        <v>36</v>
      </c>
      <c r="I4408" s="10" t="n">
        <v>0</v>
      </c>
      <c r="J4408" s="10" t="n">
        <v>0</v>
      </c>
      <c r="K4408" s="10" t="s">
        <v>20</v>
      </c>
      <c r="L4408" s="11" t="n">
        <v>41109.3196064815</v>
      </c>
      <c r="M4408" s="12" t="s">
        <v>10559</v>
      </c>
      <c r="N4408" s="12" t="s">
        <v>10560</v>
      </c>
      <c r="O4408" s="9" t="str">
        <f aca="false">HYPERLINK("https://pbs.twimg.com/profile_images/2412476580/2z35h5a9trjhxsin18kp_normal.jpeg","View")</f>
        <v>View</v>
      </c>
      <c r="P4408" s="10"/>
    </row>
    <row r="4409" customFormat="false" ht="15.75" hidden="false" customHeight="false" outlineLevel="0" collapsed="false">
      <c r="A4409" s="6" t="n">
        <v>43030.6827546296</v>
      </c>
      <c r="B4409" s="7" t="str">
        <f aca="false">HYPERLINK("https://twitter.com/LeonoraInterssa","@LeonoraInterssa")</f>
        <v>@LeonoraInterssa</v>
      </c>
      <c r="C4409" s="8" t="s">
        <v>10561</v>
      </c>
      <c r="D4409" s="8" t="s">
        <v>10562</v>
      </c>
      <c r="E4409" s="9" t="str">
        <f aca="false">HYPERLINK("https://twitter.com/LeonoraInterssa/status/922241951390351360","922241951390351360")</f>
        <v>922241951390351360</v>
      </c>
      <c r="F4409" s="9" t="s">
        <v>1147</v>
      </c>
      <c r="G4409" s="10" t="n">
        <v>3227</v>
      </c>
      <c r="H4409" s="10" t="n">
        <v>1122</v>
      </c>
      <c r="I4409" s="10" t="n">
        <v>0</v>
      </c>
      <c r="J4409" s="10" t="n">
        <v>0</v>
      </c>
      <c r="K4409" s="10" t="s">
        <v>20</v>
      </c>
      <c r="L4409" s="11" t="n">
        <v>41421.1832986111</v>
      </c>
      <c r="M4409" s="12"/>
      <c r="N4409" s="12" t="s">
        <v>10563</v>
      </c>
      <c r="O4409" s="9" t="str">
        <f aca="false">HYPERLINK("https://pbs.twimg.com/profile_images/3718018631/41cbfb1db4d2864338581c93ae8e7013_normal.jpeg","View")</f>
        <v>View</v>
      </c>
      <c r="P4409" s="10"/>
    </row>
    <row r="4410" customFormat="false" ht="15.75" hidden="false" customHeight="false" outlineLevel="0" collapsed="false">
      <c r="A4410" s="6" t="n">
        <v>43030.6840393519</v>
      </c>
      <c r="B4410" s="7" t="str">
        <f aca="false">HYPERLINK("https://twitter.com/DefendEvropa","@DefendEvropa")</f>
        <v>@DefendEvropa</v>
      </c>
      <c r="C4410" s="8" t="s">
        <v>10564</v>
      </c>
      <c r="D4410" s="8" t="s">
        <v>10565</v>
      </c>
      <c r="E4410" s="9" t="str">
        <f aca="false">HYPERLINK("https://twitter.com/DefendEvropa/status/922242419323633664","922242419323633664")</f>
        <v>922242419323633664</v>
      </c>
      <c r="F4410" s="10" t="s">
        <v>10566</v>
      </c>
      <c r="G4410" s="10" t="n">
        <v>22409</v>
      </c>
      <c r="H4410" s="10" t="n">
        <v>18</v>
      </c>
      <c r="I4410" s="10" t="n">
        <v>8</v>
      </c>
      <c r="J4410" s="10" t="n">
        <v>16</v>
      </c>
      <c r="K4410" s="10" t="s">
        <v>20</v>
      </c>
      <c r="L4410" s="11" t="n">
        <v>40636.7637152778</v>
      </c>
      <c r="M4410" s="12" t="s">
        <v>10567</v>
      </c>
      <c r="N4410" s="12" t="s">
        <v>10568</v>
      </c>
      <c r="O4410" s="9" t="str">
        <f aca="false">HYPERLINK("https://pbs.twimg.com/profile_images/852124265306632193/uqCeM6vP_normal.jpg","View")</f>
        <v>View</v>
      </c>
      <c r="P4410" s="10"/>
    </row>
    <row r="4411" customFormat="false" ht="15.75" hidden="false" customHeight="false" outlineLevel="0" collapsed="false">
      <c r="A4411" s="6" t="n">
        <v>43030.6846527778</v>
      </c>
      <c r="B4411" s="7" t="str">
        <f aca="false">HYPERLINK("https://twitter.com/Japan_Guide1","@Japan_Guide1")</f>
        <v>@Japan_Guide1</v>
      </c>
      <c r="C4411" s="8" t="s">
        <v>2121</v>
      </c>
      <c r="D4411" s="8" t="s">
        <v>10569</v>
      </c>
      <c r="E4411" s="9" t="str">
        <f aca="false">HYPERLINK("https://twitter.com/Japan_Guide1/status/922242641596530688","922242641596530688")</f>
        <v>922242641596530688</v>
      </c>
      <c r="F4411" s="10" t="s">
        <v>39</v>
      </c>
      <c r="G4411" s="10" t="n">
        <v>129</v>
      </c>
      <c r="H4411" s="10" t="n">
        <v>8</v>
      </c>
      <c r="I4411" s="10" t="n">
        <v>0</v>
      </c>
      <c r="J4411" s="10" t="n">
        <v>0</v>
      </c>
      <c r="K4411" s="10" t="s">
        <v>20</v>
      </c>
      <c r="L4411" s="11" t="n">
        <v>41757.8528819444</v>
      </c>
      <c r="M4411" s="12" t="s">
        <v>574</v>
      </c>
      <c r="N4411" s="12" t="s">
        <v>2123</v>
      </c>
      <c r="O4411" s="9" t="str">
        <f aca="false">HYPERLINK("https://pbs.twimg.com/profile_images/461037999447240704/PtnAzrJz_normal.jpeg","View")</f>
        <v>View</v>
      </c>
      <c r="P4411" s="10"/>
    </row>
    <row r="4412" customFormat="false" ht="15.75" hidden="false" customHeight="false" outlineLevel="0" collapsed="false">
      <c r="A4412" s="6" t="n">
        <v>43030.6849074074</v>
      </c>
      <c r="B4412" s="7" t="str">
        <f aca="false">HYPERLINK("https://twitter.com/MitraPrakash","@MitraPrakash")</f>
        <v>@MitraPrakash</v>
      </c>
      <c r="C4412" s="8" t="s">
        <v>10570</v>
      </c>
      <c r="D4412" s="8" t="s">
        <v>8538</v>
      </c>
      <c r="E4412" s="9" t="str">
        <f aca="false">HYPERLINK("https://twitter.com/MitraPrakash/status/922242732806037504","922242732806037504")</f>
        <v>922242732806037504</v>
      </c>
      <c r="F4412" s="10" t="s">
        <v>51</v>
      </c>
      <c r="G4412" s="10" t="n">
        <v>211</v>
      </c>
      <c r="H4412" s="10" t="n">
        <v>617</v>
      </c>
      <c r="I4412" s="10" t="n">
        <v>1015</v>
      </c>
      <c r="J4412" s="10" t="n">
        <v>0</v>
      </c>
      <c r="K4412" s="10" t="s">
        <v>20</v>
      </c>
      <c r="L4412" s="11" t="n">
        <v>40694.8964699074</v>
      </c>
      <c r="M4412" s="12"/>
      <c r="N4412" s="12"/>
      <c r="O4412" s="9" t="str">
        <f aca="false">HYPERLINK("https://pbs.twimg.com/profile_images/554511475755069440/X0-Wsav8_normal.jpeg","View")</f>
        <v>View</v>
      </c>
      <c r="P4412" s="10"/>
    </row>
    <row r="4413" customFormat="false" ht="15.75" hidden="false" customHeight="false" outlineLevel="0" collapsed="false">
      <c r="A4413" s="6" t="n">
        <v>43030.6850347222</v>
      </c>
      <c r="B4413" s="7" t="str">
        <f aca="false">HYPERLINK("https://twitter.com/asktaka","@asktaka")</f>
        <v>@asktaka</v>
      </c>
      <c r="C4413" s="8" t="s">
        <v>10571</v>
      </c>
      <c r="D4413" s="8" t="s">
        <v>10572</v>
      </c>
      <c r="E4413" s="9" t="str">
        <f aca="false">HYPERLINK("https://twitter.com/asktaka/status/922242779140558848","922242779140558848")</f>
        <v>922242779140558848</v>
      </c>
      <c r="F4413" s="10" t="s">
        <v>110</v>
      </c>
      <c r="G4413" s="10" t="n">
        <v>1227</v>
      </c>
      <c r="H4413" s="10" t="n">
        <v>499</v>
      </c>
      <c r="I4413" s="10" t="n">
        <v>0</v>
      </c>
      <c r="J4413" s="10" t="n">
        <v>0</v>
      </c>
      <c r="K4413" s="10" t="s">
        <v>20</v>
      </c>
      <c r="L4413" s="11" t="n">
        <v>40169.7161574074</v>
      </c>
      <c r="M4413" s="12" t="s">
        <v>3825</v>
      </c>
      <c r="N4413" s="13" t="s">
        <v>10573</v>
      </c>
      <c r="O4413" s="9" t="str">
        <f aca="false">HYPERLINK("https://pbs.twimg.com/profile_images/757565786139484160/f8UvCdzk_normal.jpg","View")</f>
        <v>View</v>
      </c>
      <c r="P4413" s="10"/>
    </row>
    <row r="4414" customFormat="false" ht="15.75" hidden="false" customHeight="false" outlineLevel="0" collapsed="false">
      <c r="A4414" s="6" t="n">
        <v>43030.6850347222</v>
      </c>
      <c r="B4414" s="7" t="str">
        <f aca="false">HYPERLINK("https://twitter.com/takaochikubu","@takaochikubu")</f>
        <v>@takaochikubu</v>
      </c>
      <c r="C4414" s="8" t="s">
        <v>3823</v>
      </c>
      <c r="D4414" s="8" t="s">
        <v>10574</v>
      </c>
      <c r="E4414" s="9" t="str">
        <f aca="false">HYPERLINK("https://twitter.com/takaochikubu/status/922242779346079744","922242779346079744")</f>
        <v>922242779346079744</v>
      </c>
      <c r="F4414" s="10" t="s">
        <v>110</v>
      </c>
      <c r="G4414" s="10" t="n">
        <v>154</v>
      </c>
      <c r="H4414" s="10" t="n">
        <v>237</v>
      </c>
      <c r="I4414" s="10" t="n">
        <v>0</v>
      </c>
      <c r="J4414" s="10" t="n">
        <v>0</v>
      </c>
      <c r="K4414" s="10" t="s">
        <v>20</v>
      </c>
      <c r="L4414" s="11" t="n">
        <v>40173.2107638889</v>
      </c>
      <c r="M4414" s="12" t="s">
        <v>3825</v>
      </c>
      <c r="N4414" s="12" t="s">
        <v>3826</v>
      </c>
      <c r="O4414" s="9" t="str">
        <f aca="false">HYPERLINK("https://pbs.twimg.com/profile_images/826263560875499520/HXG9LEeh_normal.jpg","View")</f>
        <v>View</v>
      </c>
      <c r="P4414" s="10"/>
    </row>
    <row r="4415" customFormat="false" ht="15.75" hidden="false" customHeight="false" outlineLevel="0" collapsed="false">
      <c r="A4415" s="6" t="n">
        <v>43030.6859606481</v>
      </c>
      <c r="B4415" s="7" t="str">
        <f aca="false">HYPERLINK("https://twitter.com/yscharan","@yscharan")</f>
        <v>@yscharan</v>
      </c>
      <c r="C4415" s="8" t="s">
        <v>10575</v>
      </c>
      <c r="D4415" s="8" t="s">
        <v>8538</v>
      </c>
      <c r="E4415" s="9" t="str">
        <f aca="false">HYPERLINK("https://twitter.com/yscharan/status/922243114944815106","922243114944815106")</f>
        <v>922243114944815106</v>
      </c>
      <c r="F4415" s="10" t="s">
        <v>25</v>
      </c>
      <c r="G4415" s="10" t="n">
        <v>132</v>
      </c>
      <c r="H4415" s="10" t="n">
        <v>757</v>
      </c>
      <c r="I4415" s="10" t="n">
        <v>1015</v>
      </c>
      <c r="J4415" s="10" t="n">
        <v>0</v>
      </c>
      <c r="K4415" s="10" t="s">
        <v>20</v>
      </c>
      <c r="L4415" s="11" t="n">
        <v>41785.3783449074</v>
      </c>
      <c r="M4415" s="12" t="s">
        <v>10576</v>
      </c>
      <c r="N4415" s="12"/>
      <c r="O4415" s="9" t="str">
        <f aca="false">HYPERLINK("https://pbs.twimg.com/profile_images/583263973681704960/VC1eK8qV_normal.jpg","View")</f>
        <v>View</v>
      </c>
      <c r="P4415" s="10"/>
    </row>
    <row r="4416" customFormat="false" ht="15.75" hidden="false" customHeight="false" outlineLevel="0" collapsed="false">
      <c r="A4416" s="6" t="n">
        <v>43030.686087963</v>
      </c>
      <c r="B4416" s="7" t="str">
        <f aca="false">HYPERLINK("https://twitter.com/cgnetwork","@cgnetwork")</f>
        <v>@cgnetwork</v>
      </c>
      <c r="C4416" s="8" t="s">
        <v>372</v>
      </c>
      <c r="D4416" s="8" t="s">
        <v>10577</v>
      </c>
      <c r="E4416" s="9" t="str">
        <f aca="false">HYPERLINK("https://twitter.com/cgnetwork/status/922243160801251328","922243160801251328")</f>
        <v>922243160801251328</v>
      </c>
      <c r="F4416" s="10" t="s">
        <v>55</v>
      </c>
      <c r="G4416" s="10" t="n">
        <v>1176</v>
      </c>
      <c r="H4416" s="10" t="n">
        <v>497</v>
      </c>
      <c r="I4416" s="10" t="n">
        <v>0</v>
      </c>
      <c r="J4416" s="10" t="n">
        <v>0</v>
      </c>
      <c r="K4416" s="10" t="s">
        <v>20</v>
      </c>
      <c r="L4416" s="11" t="n">
        <v>39992.0619791667</v>
      </c>
      <c r="M4416" s="12" t="s">
        <v>374</v>
      </c>
      <c r="N4416" s="12" t="s">
        <v>375</v>
      </c>
      <c r="O4416" s="9" t="str">
        <f aca="false">HYPERLINK("https://pbs.twimg.com/profile_images/286683233/Francis_Lim_Passport_Size_photo_image.jpg_normal.jpg","View")</f>
        <v>View</v>
      </c>
      <c r="P4416" s="10"/>
    </row>
    <row r="4417" customFormat="false" ht="15.75" hidden="false" customHeight="false" outlineLevel="0" collapsed="false">
      <c r="A4417" s="6" t="n">
        <v>43030.6861574074</v>
      </c>
      <c r="B4417" s="7" t="str">
        <f aca="false">HYPERLINK("https://twitter.com/alexfrless","@alexfrless")</f>
        <v>@alexfrless</v>
      </c>
      <c r="C4417" s="8" t="s">
        <v>10578</v>
      </c>
      <c r="D4417" s="8" t="s">
        <v>10579</v>
      </c>
      <c r="E4417" s="9" t="str">
        <f aca="false">HYPERLINK("https://twitter.com/alexfrless/status/922243186084290560","922243186084290560")</f>
        <v>922243186084290560</v>
      </c>
      <c r="F4417" s="10" t="s">
        <v>25</v>
      </c>
      <c r="G4417" s="10" t="n">
        <v>98</v>
      </c>
      <c r="H4417" s="10" t="n">
        <v>2231</v>
      </c>
      <c r="I4417" s="10" t="n">
        <v>2</v>
      </c>
      <c r="J4417" s="10" t="n">
        <v>0</v>
      </c>
      <c r="K4417" s="10" t="s">
        <v>20</v>
      </c>
      <c r="L4417" s="11" t="n">
        <v>40638.9820601852</v>
      </c>
      <c r="M4417" s="12" t="s">
        <v>10580</v>
      </c>
      <c r="N4417" s="12" t="s">
        <v>10581</v>
      </c>
      <c r="O4417" s="9" t="str">
        <f aca="false">HYPERLINK("https://pbs.twimg.com/profile_images/764959435605377033/QHCgq8a4_normal.jpg","View")</f>
        <v>View</v>
      </c>
      <c r="P4417" s="10"/>
    </row>
    <row r="4418" customFormat="false" ht="15.75" hidden="false" customHeight="false" outlineLevel="0" collapsed="false">
      <c r="A4418" s="6" t="n">
        <v>43030.6867708333</v>
      </c>
      <c r="B4418" s="7" t="str">
        <f aca="false">HYPERLINK("https://twitter.com/metacode","@metacode")</f>
        <v>@metacode</v>
      </c>
      <c r="C4418" s="8" t="s">
        <v>10582</v>
      </c>
      <c r="D4418" s="8" t="s">
        <v>10583</v>
      </c>
      <c r="E4418" s="9" t="str">
        <f aca="false">HYPERLINK("https://twitter.com/metacode/status/922243409166979074","922243409166979074")</f>
        <v>922243409166979074</v>
      </c>
      <c r="F4418" s="10" t="s">
        <v>39</v>
      </c>
      <c r="G4418" s="10" t="n">
        <v>725</v>
      </c>
      <c r="H4418" s="10" t="n">
        <v>25</v>
      </c>
      <c r="I4418" s="10" t="n">
        <v>0</v>
      </c>
      <c r="J4418" s="10" t="n">
        <v>0</v>
      </c>
      <c r="K4418" s="10" t="s">
        <v>20</v>
      </c>
      <c r="L4418" s="11" t="n">
        <v>39824.324224537</v>
      </c>
      <c r="M4418" s="12" t="s">
        <v>10584</v>
      </c>
      <c r="N4418" s="12" t="s">
        <v>10585</v>
      </c>
      <c r="O4418" s="9" t="str">
        <f aca="false">HYPERLINK("https://pbs.twimg.com/profile_images/799733189946130432/6b3d2PD4_normal.jpg","View")</f>
        <v>View</v>
      </c>
      <c r="P4418" s="10"/>
    </row>
    <row r="4419" customFormat="false" ht="15.75" hidden="false" customHeight="false" outlineLevel="0" collapsed="false">
      <c r="A4419" s="6" t="n">
        <v>43030.6867824074</v>
      </c>
      <c r="B4419" s="7" t="str">
        <f aca="false">HYPERLINK("https://twitter.com/_Mauna_","@_Mauna_")</f>
        <v>@_Mauna_</v>
      </c>
      <c r="C4419" s="8" t="s">
        <v>10586</v>
      </c>
      <c r="D4419" s="8" t="s">
        <v>8538</v>
      </c>
      <c r="E4419" s="9" t="str">
        <f aca="false">HYPERLINK("https://twitter.com/_Mauna_/status/922243410714435585","922243410714435585")</f>
        <v>922243410714435585</v>
      </c>
      <c r="F4419" s="10" t="s">
        <v>25</v>
      </c>
      <c r="G4419" s="10" t="n">
        <v>4615</v>
      </c>
      <c r="H4419" s="10" t="n">
        <v>803</v>
      </c>
      <c r="I4419" s="10" t="n">
        <v>1015</v>
      </c>
      <c r="J4419" s="10" t="n">
        <v>0</v>
      </c>
      <c r="K4419" s="10" t="s">
        <v>20</v>
      </c>
      <c r="L4419" s="11" t="n">
        <v>39944.0322106481</v>
      </c>
      <c r="M4419" s="12" t="s">
        <v>10587</v>
      </c>
      <c r="N4419" s="12" t="s">
        <v>10588</v>
      </c>
      <c r="O4419" s="9" t="str">
        <f aca="false">HYPERLINK("https://pbs.twimg.com/profile_images/568267058937217024/zONqT617_normal.jpeg","View")</f>
        <v>View</v>
      </c>
      <c r="P4419" s="10"/>
    </row>
    <row r="4420" customFormat="false" ht="15.75" hidden="false" customHeight="false" outlineLevel="0" collapsed="false">
      <c r="A4420" s="6" t="n">
        <v>43030.6875925926</v>
      </c>
      <c r="B4420" s="7" t="str">
        <f aca="false">HYPERLINK("https://twitter.com/srag4568","@srag4568")</f>
        <v>@srag4568</v>
      </c>
      <c r="C4420" s="8" t="s">
        <v>10589</v>
      </c>
      <c r="D4420" s="8" t="s">
        <v>6707</v>
      </c>
      <c r="E4420" s="9" t="str">
        <f aca="false">HYPERLINK("https://twitter.com/srag4568/status/922243704349446147","922243704349446147")</f>
        <v>922243704349446147</v>
      </c>
      <c r="F4420" s="10" t="s">
        <v>51</v>
      </c>
      <c r="G4420" s="10" t="n">
        <v>350</v>
      </c>
      <c r="H4420" s="10" t="n">
        <v>375</v>
      </c>
      <c r="I4420" s="10" t="n">
        <v>97</v>
      </c>
      <c r="J4420" s="10" t="n">
        <v>0</v>
      </c>
      <c r="K4420" s="10" t="s">
        <v>20</v>
      </c>
      <c r="L4420" s="11" t="n">
        <v>40011.7902314815</v>
      </c>
      <c r="M4420" s="12"/>
      <c r="N4420" s="12"/>
      <c r="O4420" s="9" t="str">
        <f aca="false">HYPERLINK("https://pbs.twimg.com/profile_images/684612342420668416/yaUY2x2Z_normal.jpg","View")</f>
        <v>View</v>
      </c>
      <c r="P4420" s="10"/>
    </row>
    <row r="4421" customFormat="false" ht="15.75" hidden="false" customHeight="false" outlineLevel="0" collapsed="false">
      <c r="A4421" s="6" t="n">
        <v>43030.6886342593</v>
      </c>
      <c r="B4421" s="7" t="str">
        <f aca="false">HYPERLINK("https://twitter.com/bkum2000","@bkum2000")</f>
        <v>@bkum2000</v>
      </c>
      <c r="C4421" s="8" t="s">
        <v>10590</v>
      </c>
      <c r="D4421" s="8" t="s">
        <v>8538</v>
      </c>
      <c r="E4421" s="9" t="str">
        <f aca="false">HYPERLINK("https://twitter.com/bkum2000/status/922244083656966146","922244083656966146")</f>
        <v>922244083656966146</v>
      </c>
      <c r="F4421" s="10" t="s">
        <v>177</v>
      </c>
      <c r="G4421" s="10" t="n">
        <v>284</v>
      </c>
      <c r="H4421" s="10" t="n">
        <v>204</v>
      </c>
      <c r="I4421" s="10" t="n">
        <v>1015</v>
      </c>
      <c r="J4421" s="10" t="n">
        <v>0</v>
      </c>
      <c r="K4421" s="10" t="s">
        <v>20</v>
      </c>
      <c r="L4421" s="11" t="n">
        <v>40083.2518055556</v>
      </c>
      <c r="M4421" s="12" t="s">
        <v>10591</v>
      </c>
      <c r="N4421" s="12" t="s">
        <v>10592</v>
      </c>
      <c r="O4421" s="9" t="str">
        <f aca="false">HYPERLINK("https://pbs.twimg.com/profile_images/490459950934528001/8uwL-gsa_normal.jpeg","View")</f>
        <v>View</v>
      </c>
      <c r="P4421" s="10"/>
    </row>
    <row r="4422" customFormat="false" ht="15.75" hidden="false" customHeight="false" outlineLevel="0" collapsed="false">
      <c r="A4422" s="6" t="n">
        <v>43030.6890277778</v>
      </c>
      <c r="B4422" s="7" t="str">
        <f aca="false">HYPERLINK("https://twitter.com/Badke_babu","@Badke_babu")</f>
        <v>@Badke_babu</v>
      </c>
      <c r="C4422" s="8" t="s">
        <v>10593</v>
      </c>
      <c r="D4422" s="8" t="s">
        <v>8538</v>
      </c>
      <c r="E4422" s="9" t="str">
        <f aca="false">HYPERLINK("https://twitter.com/Badke_babu/status/922244225814556672","922244225814556672")</f>
        <v>922244225814556672</v>
      </c>
      <c r="F4422" s="10" t="s">
        <v>51</v>
      </c>
      <c r="G4422" s="10" t="n">
        <v>913</v>
      </c>
      <c r="H4422" s="10" t="n">
        <v>648</v>
      </c>
      <c r="I4422" s="10" t="n">
        <v>1015</v>
      </c>
      <c r="J4422" s="10" t="n">
        <v>0</v>
      </c>
      <c r="K4422" s="10" t="s">
        <v>20</v>
      </c>
      <c r="L4422" s="11" t="n">
        <v>40953.3430439815</v>
      </c>
      <c r="M4422" s="12" t="s">
        <v>10594</v>
      </c>
      <c r="N4422" s="12" t="s">
        <v>10595</v>
      </c>
      <c r="O4422" s="9" t="str">
        <f aca="false">HYPERLINK("https://pbs.twimg.com/profile_images/917191509165826049/2P3lwQgx_normal.jpg","View")</f>
        <v>View</v>
      </c>
      <c r="P4422" s="10"/>
    </row>
    <row r="4423" customFormat="false" ht="15.75" hidden="false" customHeight="false" outlineLevel="0" collapsed="false">
      <c r="A4423" s="6" t="n">
        <v>43030.6895138889</v>
      </c>
      <c r="B4423" s="7" t="str">
        <f aca="false">HYPERLINK("https://twitter.com/adi_0812","@adi_0812")</f>
        <v>@adi_0812</v>
      </c>
      <c r="C4423" s="8" t="s">
        <v>10596</v>
      </c>
      <c r="D4423" s="8" t="s">
        <v>8538</v>
      </c>
      <c r="E4423" s="9" t="str">
        <f aca="false">HYPERLINK("https://twitter.com/adi_0812/status/922244400838729728","922244400838729728")</f>
        <v>922244400838729728</v>
      </c>
      <c r="F4423" s="10" t="s">
        <v>51</v>
      </c>
      <c r="G4423" s="10" t="n">
        <v>68</v>
      </c>
      <c r="H4423" s="10" t="n">
        <v>295</v>
      </c>
      <c r="I4423" s="10" t="n">
        <v>1015</v>
      </c>
      <c r="J4423" s="10" t="n">
        <v>0</v>
      </c>
      <c r="K4423" s="10" t="s">
        <v>20</v>
      </c>
      <c r="L4423" s="11" t="n">
        <v>41219.3258796296</v>
      </c>
      <c r="M4423" s="12" t="s">
        <v>68</v>
      </c>
      <c r="N4423" s="12"/>
      <c r="O4423" s="9" t="str">
        <f aca="false">HYPERLINK("https://pbs.twimg.com/profile_images/515103616068108288/_mXb0Uzw_normal.jpeg","View")</f>
        <v>View</v>
      </c>
      <c r="P4423" s="10"/>
    </row>
    <row r="4424" customFormat="false" ht="15.75" hidden="false" customHeight="false" outlineLevel="0" collapsed="false">
      <c r="A4424" s="6" t="n">
        <v>43030.6905439815</v>
      </c>
      <c r="B4424" s="7" t="str">
        <f aca="false">HYPERLINK("https://twitter.com/Gopalee67","@Gopalee67")</f>
        <v>@Gopalee67</v>
      </c>
      <c r="C4424" s="8" t="s">
        <v>10597</v>
      </c>
      <c r="D4424" s="8" t="s">
        <v>8538</v>
      </c>
      <c r="E4424" s="9" t="str">
        <f aca="false">HYPERLINK("https://twitter.com/Gopalee67/status/922244775150944256","922244775150944256")</f>
        <v>922244775150944256</v>
      </c>
      <c r="F4424" s="10" t="s">
        <v>25</v>
      </c>
      <c r="G4424" s="10" t="n">
        <v>7120</v>
      </c>
      <c r="H4424" s="10" t="n">
        <v>863</v>
      </c>
      <c r="I4424" s="10" t="n">
        <v>1015</v>
      </c>
      <c r="J4424" s="10" t="n">
        <v>0</v>
      </c>
      <c r="K4424" s="10" t="s">
        <v>20</v>
      </c>
      <c r="L4424" s="11" t="n">
        <v>40549.3636805556</v>
      </c>
      <c r="M4424" s="12" t="s">
        <v>10598</v>
      </c>
      <c r="N4424" s="12" t="s">
        <v>10599</v>
      </c>
      <c r="O4424" s="9" t="str">
        <f aca="false">HYPERLINK("https://pbs.twimg.com/profile_images/871751455413116928/vgC2NDcO_normal.jpg","View")</f>
        <v>View</v>
      </c>
      <c r="P4424" s="10"/>
    </row>
    <row r="4425" customFormat="false" ht="15.75" hidden="false" customHeight="false" outlineLevel="0" collapsed="false">
      <c r="A4425" s="6" t="n">
        <v>43030.690625</v>
      </c>
      <c r="B4425" s="7" t="str">
        <f aca="false">HYPERLINK("https://twitter.com/Miyuri3724","@Miyuri3724")</f>
        <v>@Miyuri3724</v>
      </c>
      <c r="C4425" s="8" t="s">
        <v>10600</v>
      </c>
      <c r="D4425" s="8" t="s">
        <v>10601</v>
      </c>
      <c r="E4425" s="9" t="str">
        <f aca="false">HYPERLINK("https://twitter.com/Miyuri3724/status/922244803538010112","922244803538010112")</f>
        <v>922244803538010112</v>
      </c>
      <c r="F4425" s="10" t="s">
        <v>51</v>
      </c>
      <c r="G4425" s="10" t="n">
        <v>1700</v>
      </c>
      <c r="H4425" s="10" t="n">
        <v>2373</v>
      </c>
      <c r="I4425" s="10" t="n">
        <v>2</v>
      </c>
      <c r="J4425" s="10" t="n">
        <v>0</v>
      </c>
      <c r="K4425" s="10" t="s">
        <v>20</v>
      </c>
      <c r="L4425" s="11" t="n">
        <v>41740.3108680556</v>
      </c>
      <c r="M4425" s="12" t="s">
        <v>10602</v>
      </c>
      <c r="N4425" s="12" t="s">
        <v>10603</v>
      </c>
      <c r="O4425" s="9" t="str">
        <f aca="false">HYPERLINK("https://pbs.twimg.com/profile_images/454643103731691520/UFUiASEa_normal.jpeg","View")</f>
        <v>View</v>
      </c>
      <c r="P4425" s="10"/>
    </row>
    <row r="4426" customFormat="false" ht="15.75" hidden="false" customHeight="false" outlineLevel="0" collapsed="false">
      <c r="A4426" s="6" t="n">
        <v>43030.6910763889</v>
      </c>
      <c r="B4426" s="7" t="str">
        <f aca="false">HYPERLINK("https://twitter.com/ivbaoshi","@ivbaoshi")</f>
        <v>@ivbaoshi</v>
      </c>
      <c r="C4426" s="8" t="s">
        <v>10604</v>
      </c>
      <c r="D4426" s="8" t="s">
        <v>10605</v>
      </c>
      <c r="E4426" s="9" t="str">
        <f aca="false">HYPERLINK("https://twitter.com/ivbaoshi/status/922244965928984577","922244965928984577")</f>
        <v>922244965928984577</v>
      </c>
      <c r="F4426" s="10" t="s">
        <v>98</v>
      </c>
      <c r="G4426" s="10" t="n">
        <v>1111</v>
      </c>
      <c r="H4426" s="10" t="n">
        <v>1427</v>
      </c>
      <c r="I4426" s="10" t="n">
        <v>0</v>
      </c>
      <c r="J4426" s="10" t="n">
        <v>0</v>
      </c>
      <c r="K4426" s="10" t="s">
        <v>20</v>
      </c>
      <c r="L4426" s="11" t="n">
        <v>40046.2541435185</v>
      </c>
      <c r="M4426" s="12" t="s">
        <v>10606</v>
      </c>
      <c r="N4426" s="12" t="s">
        <v>10607</v>
      </c>
      <c r="O4426" s="9" t="str">
        <f aca="false">HYPERLINK("https://pbs.twimg.com/profile_images/918919559691816961/8IjP25WZ_normal.jpg","View")</f>
        <v>View</v>
      </c>
      <c r="P4426" s="10"/>
    </row>
    <row r="4427" customFormat="false" ht="15.75" hidden="false" customHeight="false" outlineLevel="0" collapsed="false">
      <c r="A4427" s="6" t="n">
        <v>43030.691412037</v>
      </c>
      <c r="B4427" s="7" t="str">
        <f aca="false">HYPERLINK("https://twitter.com/Japan_Guide1","@Japan_Guide1")</f>
        <v>@Japan_Guide1</v>
      </c>
      <c r="C4427" s="8" t="s">
        <v>2121</v>
      </c>
      <c r="D4427" s="8" t="s">
        <v>10608</v>
      </c>
      <c r="E4427" s="9" t="str">
        <f aca="false">HYPERLINK("https://twitter.com/Japan_Guide1/status/922245088104910848","922245088104910848")</f>
        <v>922245088104910848</v>
      </c>
      <c r="F4427" s="10" t="s">
        <v>1658</v>
      </c>
      <c r="G4427" s="10" t="n">
        <v>129</v>
      </c>
      <c r="H4427" s="10" t="n">
        <v>8</v>
      </c>
      <c r="I4427" s="10" t="n">
        <v>0</v>
      </c>
      <c r="J4427" s="10" t="n">
        <v>0</v>
      </c>
      <c r="K4427" s="10" t="s">
        <v>20</v>
      </c>
      <c r="L4427" s="11" t="n">
        <v>41757.8528819444</v>
      </c>
      <c r="M4427" s="12" t="s">
        <v>574</v>
      </c>
      <c r="N4427" s="12" t="s">
        <v>2123</v>
      </c>
      <c r="O4427" s="9" t="str">
        <f aca="false">HYPERLINK("https://pbs.twimg.com/profile_images/461037999447240704/PtnAzrJz_normal.jpeg","View")</f>
        <v>View</v>
      </c>
      <c r="P4427" s="10"/>
    </row>
    <row r="4428" customFormat="false" ht="15.75" hidden="false" customHeight="false" outlineLevel="0" collapsed="false">
      <c r="A4428" s="6" t="n">
        <v>43030.691724537</v>
      </c>
      <c r="B4428" s="7" t="str">
        <f aca="false">HYPERLINK("https://twitter.com/TobyBrlllon","@TobyBrlllon")</f>
        <v>@TobyBrlllon</v>
      </c>
      <c r="C4428" s="8" t="s">
        <v>10609</v>
      </c>
      <c r="D4428" s="8" t="s">
        <v>10579</v>
      </c>
      <c r="E4428" s="9" t="str">
        <f aca="false">HYPERLINK("https://twitter.com/TobyBrlllon/status/922245204815511553","922245204815511553")</f>
        <v>922245204815511553</v>
      </c>
      <c r="F4428" s="10" t="s">
        <v>25</v>
      </c>
      <c r="G4428" s="10" t="n">
        <v>80</v>
      </c>
      <c r="H4428" s="10" t="n">
        <v>2218</v>
      </c>
      <c r="I4428" s="10" t="n">
        <v>2</v>
      </c>
      <c r="J4428" s="10" t="n">
        <v>0</v>
      </c>
      <c r="K4428" s="10" t="s">
        <v>20</v>
      </c>
      <c r="L4428" s="11" t="n">
        <v>40656.5760648148</v>
      </c>
      <c r="M4428" s="12" t="s">
        <v>10610</v>
      </c>
      <c r="N4428" s="12" t="s">
        <v>10611</v>
      </c>
      <c r="O4428" s="9" t="str">
        <f aca="false">HYPERLINK("https://pbs.twimg.com/profile_images/770377603433762816/ucoY5mXj_normal.jpg","View")</f>
        <v>View</v>
      </c>
      <c r="P4428" s="10"/>
    </row>
    <row r="4429" customFormat="false" ht="15.75" hidden="false" customHeight="false" outlineLevel="0" collapsed="false">
      <c r="A4429" s="6" t="n">
        <v>43030.692037037</v>
      </c>
      <c r="B4429" s="7" t="str">
        <f aca="false">HYPERLINK("https://twitter.com/shreenathsingh1","@shreenathsingh1")</f>
        <v>@shreenathsingh1</v>
      </c>
      <c r="C4429" s="8" t="s">
        <v>10612</v>
      </c>
      <c r="D4429" s="8" t="s">
        <v>10613</v>
      </c>
      <c r="E4429" s="9" t="str">
        <f aca="false">HYPERLINK("https://twitter.com/shreenathsingh1/status/922245317499682818","922245317499682818")</f>
        <v>922245317499682818</v>
      </c>
      <c r="F4429" s="10" t="s">
        <v>177</v>
      </c>
      <c r="G4429" s="10" t="n">
        <v>515</v>
      </c>
      <c r="H4429" s="10" t="n">
        <v>337</v>
      </c>
      <c r="I4429" s="10" t="n">
        <v>0</v>
      </c>
      <c r="J4429" s="10" t="n">
        <v>0</v>
      </c>
      <c r="K4429" s="10" t="s">
        <v>20</v>
      </c>
      <c r="L4429" s="11" t="n">
        <v>41205.591400463</v>
      </c>
      <c r="M4429" s="12" t="s">
        <v>10614</v>
      </c>
      <c r="N4429" s="12" t="s">
        <v>10615</v>
      </c>
      <c r="O4429" s="9" t="str">
        <f aca="false">HYPERLINK("https://pbs.twimg.com/profile_images/685792947607093248/5ywNqyNz_normal.jpg","View")</f>
        <v>View</v>
      </c>
      <c r="P4429" s="10"/>
    </row>
    <row r="4430" customFormat="false" ht="15.75" hidden="false" customHeight="false" outlineLevel="0" collapsed="false">
      <c r="A4430" s="6" t="n">
        <v>43030.6921296296</v>
      </c>
      <c r="B4430" s="7" t="str">
        <f aca="false">HYPERLINK("https://twitter.com/Guri_y_Gura","@Guri_y_Gura")</f>
        <v>@Guri_y_Gura</v>
      </c>
      <c r="C4430" s="8" t="s">
        <v>10616</v>
      </c>
      <c r="D4430" s="8" t="s">
        <v>9725</v>
      </c>
      <c r="E4430" s="9" t="str">
        <f aca="false">HYPERLINK("https://twitter.com/Guri_y_Gura/status/922245348889804800","922245348889804800")</f>
        <v>922245348889804800</v>
      </c>
      <c r="F4430" s="10" t="s">
        <v>177</v>
      </c>
      <c r="G4430" s="10" t="n">
        <v>9</v>
      </c>
      <c r="H4430" s="10" t="n">
        <v>81</v>
      </c>
      <c r="I4430" s="10" t="n">
        <v>9</v>
      </c>
      <c r="J4430" s="10" t="n">
        <v>0</v>
      </c>
      <c r="K4430" s="10" t="s">
        <v>20</v>
      </c>
      <c r="L4430" s="11" t="n">
        <v>41051.2656828704</v>
      </c>
      <c r="M4430" s="12"/>
      <c r="N4430" s="12" t="s">
        <v>10617</v>
      </c>
      <c r="O4430" s="9" t="str">
        <f aca="false">HYPERLINK("https://pbs.twimg.com/profile_images/2711142150/79b74451cbb8cff91f5880121acd9217_normal.jpeg","View")</f>
        <v>View</v>
      </c>
      <c r="P4430" s="10"/>
    </row>
    <row r="4431" customFormat="false" ht="15.75" hidden="false" customHeight="false" outlineLevel="0" collapsed="false">
      <c r="A4431" s="6" t="n">
        <v>43030.6931597222</v>
      </c>
      <c r="B4431" s="7" t="str">
        <f aca="false">HYPERLINK("https://twitter.com/NowPolicy","@NowPolicy")</f>
        <v>@NowPolicy</v>
      </c>
      <c r="C4431" s="8" t="s">
        <v>10618</v>
      </c>
      <c r="D4431" s="8" t="s">
        <v>10619</v>
      </c>
      <c r="E4431" s="9" t="str">
        <f aca="false">HYPERLINK("https://twitter.com/NowPolicy/status/922245721117507584","922245721117507584")</f>
        <v>922245721117507584</v>
      </c>
      <c r="F4431" s="9" t="s">
        <v>1147</v>
      </c>
      <c r="G4431" s="10" t="n">
        <v>1171</v>
      </c>
      <c r="H4431" s="10" t="n">
        <v>1148</v>
      </c>
      <c r="I4431" s="10" t="n">
        <v>0</v>
      </c>
      <c r="J4431" s="10" t="n">
        <v>0</v>
      </c>
      <c r="K4431" s="10" t="s">
        <v>20</v>
      </c>
      <c r="L4431" s="11" t="n">
        <v>42661.4275925926</v>
      </c>
      <c r="M4431" s="12" t="s">
        <v>230</v>
      </c>
      <c r="N4431" s="12"/>
      <c r="O4431" s="9" t="str">
        <f aca="false">HYPERLINK("https://pbs.twimg.com/profile_images/788431347694051328/5SvfmShb_normal.jpg","View")</f>
        <v>View</v>
      </c>
      <c r="P4431" s="10"/>
    </row>
    <row r="4432" customFormat="false" ht="15.75" hidden="false" customHeight="false" outlineLevel="0" collapsed="false">
      <c r="A4432" s="6" t="n">
        <v>43030.6932986111</v>
      </c>
      <c r="B4432" s="7" t="str">
        <f aca="false">HYPERLINK("https://twitter.com/AntiGOPActivist","@AntiGOPActivist")</f>
        <v>@AntiGOPActivist</v>
      </c>
      <c r="C4432" s="8" t="s">
        <v>10620</v>
      </c>
      <c r="D4432" s="8" t="s">
        <v>10621</v>
      </c>
      <c r="E4432" s="9" t="str">
        <f aca="false">HYPERLINK("https://twitter.com/AntiGOPActivist/status/922245773240102912","922245773240102912")</f>
        <v>922245773240102912</v>
      </c>
      <c r="F4432" s="10" t="s">
        <v>39</v>
      </c>
      <c r="G4432" s="10" t="n">
        <v>4550</v>
      </c>
      <c r="H4432" s="10" t="n">
        <v>4210</v>
      </c>
      <c r="I4432" s="10" t="n">
        <v>0</v>
      </c>
      <c r="J4432" s="10" t="n">
        <v>0</v>
      </c>
      <c r="K4432" s="10" t="s">
        <v>20</v>
      </c>
      <c r="L4432" s="11" t="n">
        <v>41270.6184722222</v>
      </c>
      <c r="M4432" s="12" t="s">
        <v>4839</v>
      </c>
      <c r="N4432" s="12" t="s">
        <v>10622</v>
      </c>
      <c r="O4432" s="9" t="str">
        <f aca="false">HYPERLINK("https://pbs.twimg.com/profile_images/901669340713369601/12Hwut2-_normal.jpg","View")</f>
        <v>View</v>
      </c>
      <c r="P4432" s="10"/>
    </row>
    <row r="4433" customFormat="false" ht="15.75" hidden="false" customHeight="false" outlineLevel="0" collapsed="false">
      <c r="A4433" s="6" t="n">
        <v>43030.6934722222</v>
      </c>
      <c r="B4433" s="7" t="str">
        <f aca="false">HYPERLINK("https://twitter.com/6metaphor","@6metaphor")</f>
        <v>@6metaphor</v>
      </c>
      <c r="C4433" s="8" t="s">
        <v>10623</v>
      </c>
      <c r="D4433" s="8" t="s">
        <v>8538</v>
      </c>
      <c r="E4433" s="9" t="str">
        <f aca="false">HYPERLINK("https://twitter.com/6metaphor/status/922245835290791937","922245835290791937")</f>
        <v>922245835290791937</v>
      </c>
      <c r="F4433" s="10" t="s">
        <v>51</v>
      </c>
      <c r="G4433" s="10" t="n">
        <v>48</v>
      </c>
      <c r="H4433" s="10" t="n">
        <v>208</v>
      </c>
      <c r="I4433" s="10" t="n">
        <v>1015</v>
      </c>
      <c r="J4433" s="10" t="n">
        <v>0</v>
      </c>
      <c r="K4433" s="10" t="s">
        <v>20</v>
      </c>
      <c r="L4433" s="11" t="n">
        <v>41778.3549305556</v>
      </c>
      <c r="M4433" s="12"/>
      <c r="N4433" s="12" t="s">
        <v>10624</v>
      </c>
      <c r="O4433" s="9" t="str">
        <f aca="false">HYPERLINK("https://abs.twimg.com/sticky/default_profile_images/default_profile_normal.png","View")</f>
        <v>View</v>
      </c>
      <c r="P4433" s="10"/>
    </row>
    <row r="4434" customFormat="false" ht="15.75" hidden="false" customHeight="false" outlineLevel="0" collapsed="false">
      <c r="A4434" s="6" t="n">
        <v>43030.693587963</v>
      </c>
      <c r="B4434" s="7" t="str">
        <f aca="false">HYPERLINK("https://twitter.com/AlbertGoldie","@AlbertGoldie")</f>
        <v>@AlbertGoldie</v>
      </c>
      <c r="C4434" s="8" t="s">
        <v>10625</v>
      </c>
      <c r="D4434" s="8" t="s">
        <v>10626</v>
      </c>
      <c r="E4434" s="9" t="str">
        <f aca="false">HYPERLINK("https://twitter.com/AlbertGoldie/status/922245879070969856","922245879070969856")</f>
        <v>922245879070969856</v>
      </c>
      <c r="F4434" s="10" t="s">
        <v>51</v>
      </c>
      <c r="G4434" s="10" t="n">
        <v>1236</v>
      </c>
      <c r="H4434" s="10" t="n">
        <v>1783</v>
      </c>
      <c r="I4434" s="10" t="n">
        <v>1</v>
      </c>
      <c r="J4434" s="10" t="n">
        <v>0</v>
      </c>
      <c r="K4434" s="10" t="s">
        <v>20</v>
      </c>
      <c r="L4434" s="11" t="n">
        <v>40721.3408564815</v>
      </c>
      <c r="M4434" s="12" t="s">
        <v>4050</v>
      </c>
      <c r="N4434" s="12" t="s">
        <v>10627</v>
      </c>
      <c r="O4434" s="9" t="str">
        <f aca="false">HYPERLINK("https://pbs.twimg.com/profile_images/902356400495583233/Iz1sUdYS_normal.jpg","View")</f>
        <v>View</v>
      </c>
      <c r="P4434" s="10"/>
    </row>
    <row r="4435" customFormat="false" ht="15.75" hidden="false" customHeight="false" outlineLevel="0" collapsed="false">
      <c r="A4435" s="6" t="n">
        <v>43030.6939583333</v>
      </c>
      <c r="B4435" s="7" t="str">
        <f aca="false">HYPERLINK("https://twitter.com/newslivenetwork","@newslivenetwork")</f>
        <v>@newslivenetwork</v>
      </c>
      <c r="C4435" s="8" t="s">
        <v>1668</v>
      </c>
      <c r="D4435" s="8" t="s">
        <v>10628</v>
      </c>
      <c r="E4435" s="9" t="str">
        <f aca="false">HYPERLINK("https://twitter.com/newslivenetwork/status/922246012303040512","922246012303040512")</f>
        <v>922246012303040512</v>
      </c>
      <c r="F4435" s="10" t="s">
        <v>55</v>
      </c>
      <c r="G4435" s="10" t="n">
        <v>272</v>
      </c>
      <c r="H4435" s="10" t="n">
        <v>87</v>
      </c>
      <c r="I4435" s="10" t="n">
        <v>0</v>
      </c>
      <c r="J4435" s="10" t="n">
        <v>0</v>
      </c>
      <c r="K4435" s="10" t="s">
        <v>20</v>
      </c>
      <c r="L4435" s="11" t="n">
        <v>42741.4719675926</v>
      </c>
      <c r="M4435" s="12" t="s">
        <v>1670</v>
      </c>
      <c r="N4435" s="12" t="s">
        <v>1671</v>
      </c>
      <c r="O4435" s="9" t="str">
        <f aca="false">HYPERLINK("https://pbs.twimg.com/profile_images/877414144424660992/scfhocj3_normal.jpg","View")</f>
        <v>View</v>
      </c>
      <c r="P4435" s="10"/>
    </row>
    <row r="4436" customFormat="false" ht="15.75" hidden="false" customHeight="false" outlineLevel="0" collapsed="false">
      <c r="A4436" s="6" t="n">
        <v>43030.6949421296</v>
      </c>
      <c r="B4436" s="7" t="str">
        <f aca="false">HYPERLINK("https://twitter.com/OttoInglis","@OttoInglis")</f>
        <v>@OttoInglis</v>
      </c>
      <c r="C4436" s="8" t="s">
        <v>10629</v>
      </c>
      <c r="D4436" s="8" t="s">
        <v>10630</v>
      </c>
      <c r="E4436" s="9" t="str">
        <f aca="false">HYPERLINK("https://twitter.com/OttoInglis/status/922246367094935552","922246367094935552")</f>
        <v>922246367094935552</v>
      </c>
      <c r="F4436" s="10" t="s">
        <v>177</v>
      </c>
      <c r="G4436" s="10" t="n">
        <v>1266</v>
      </c>
      <c r="H4436" s="10" t="n">
        <v>2153</v>
      </c>
      <c r="I4436" s="10" t="n">
        <v>8</v>
      </c>
      <c r="J4436" s="10" t="n">
        <v>0</v>
      </c>
      <c r="K4436" s="10" t="s">
        <v>20</v>
      </c>
      <c r="L4436" s="11" t="n">
        <v>41408.0546064815</v>
      </c>
      <c r="M4436" s="12" t="s">
        <v>10631</v>
      </c>
      <c r="N4436" s="12" t="s">
        <v>10632</v>
      </c>
      <c r="O4436" s="9" t="str">
        <f aca="false">HYPERLINK("https://pbs.twimg.com/profile_images/797730739961917440/gz1J1h-t_normal.jpg","View")</f>
        <v>View</v>
      </c>
      <c r="P4436" s="10"/>
    </row>
    <row r="4437" customFormat="false" ht="15.75" hidden="false" customHeight="false" outlineLevel="0" collapsed="false">
      <c r="A4437" s="6" t="n">
        <v>43030.6949421296</v>
      </c>
      <c r="B4437" s="7" t="str">
        <f aca="false">HYPERLINK("https://twitter.com/YoungMaliGuy","@YoungMaliGuy")</f>
        <v>@YoungMaliGuy</v>
      </c>
      <c r="C4437" s="8" t="s">
        <v>10633</v>
      </c>
      <c r="D4437" s="8" t="s">
        <v>4124</v>
      </c>
      <c r="E4437" s="9" t="str">
        <f aca="false">HYPERLINK("https://twitter.com/YoungMaliGuy/status/922246367451533313","922246367451533313")</f>
        <v>922246367451533313</v>
      </c>
      <c r="F4437" s="10" t="s">
        <v>51</v>
      </c>
      <c r="G4437" s="10" t="n">
        <v>215</v>
      </c>
      <c r="H4437" s="10" t="n">
        <v>38</v>
      </c>
      <c r="I4437" s="10" t="n">
        <v>111</v>
      </c>
      <c r="J4437" s="10" t="n">
        <v>0</v>
      </c>
      <c r="K4437" s="10" t="s">
        <v>20</v>
      </c>
      <c r="L4437" s="11" t="n">
        <v>42855.0510300926</v>
      </c>
      <c r="M4437" s="12" t="s">
        <v>10634</v>
      </c>
      <c r="N4437" s="12" t="s">
        <v>10635</v>
      </c>
      <c r="O4437" s="9" t="str">
        <f aca="false">HYPERLINK("https://pbs.twimg.com/profile_images/921821111838535681/guPKoG1d_normal.jpg","View")</f>
        <v>View</v>
      </c>
      <c r="P4437" s="10"/>
    </row>
    <row r="4438" customFormat="false" ht="15.75" hidden="false" customHeight="false" outlineLevel="0" collapsed="false">
      <c r="A4438" s="6" t="n">
        <v>43030.6961458333</v>
      </c>
      <c r="B4438" s="7" t="str">
        <f aca="false">HYPERLINK("https://twitter.com/MarcellusManass","@MarcellusManass")</f>
        <v>@MarcellusManass</v>
      </c>
      <c r="C4438" s="8" t="s">
        <v>10636</v>
      </c>
      <c r="D4438" s="8" t="s">
        <v>10630</v>
      </c>
      <c r="E4438" s="9" t="str">
        <f aca="false">HYPERLINK("https://twitter.com/MarcellusManass/status/922246803038330883","922246803038330883")</f>
        <v>922246803038330883</v>
      </c>
      <c r="F4438" s="10" t="s">
        <v>25</v>
      </c>
      <c r="G4438" s="10" t="n">
        <v>667</v>
      </c>
      <c r="H4438" s="10" t="n">
        <v>651</v>
      </c>
      <c r="I4438" s="10" t="n">
        <v>8</v>
      </c>
      <c r="J4438" s="10" t="n">
        <v>0</v>
      </c>
      <c r="K4438" s="10" t="s">
        <v>20</v>
      </c>
      <c r="L4438" s="11" t="n">
        <v>42726.7297569445</v>
      </c>
      <c r="M4438" s="12" t="s">
        <v>10637</v>
      </c>
      <c r="N4438" s="12" t="s">
        <v>10638</v>
      </c>
      <c r="O4438" s="9" t="str">
        <f aca="false">HYPERLINK("https://pbs.twimg.com/profile_images/906189591656443905/62P9vVtL_normal.jpg","View")</f>
        <v>View</v>
      </c>
      <c r="P4438" s="10"/>
    </row>
    <row r="4439" customFormat="false" ht="15.75" hidden="false" customHeight="false" outlineLevel="0" collapsed="false">
      <c r="A4439" s="6" t="n">
        <v>43030.697025463</v>
      </c>
      <c r="B4439" s="7" t="str">
        <f aca="false">HYPERLINK("https://twitter.com/gayanimegirl","@gayanimegirl")</f>
        <v>@gayanimegirl</v>
      </c>
      <c r="C4439" s="8" t="s">
        <v>10639</v>
      </c>
      <c r="D4439" s="8" t="s">
        <v>9670</v>
      </c>
      <c r="E4439" s="9" t="str">
        <f aca="false">HYPERLINK("https://twitter.com/gayanimegirl/status/922247124389187586","922247124389187586")</f>
        <v>922247124389187586</v>
      </c>
      <c r="F4439" s="10" t="s">
        <v>25</v>
      </c>
      <c r="G4439" s="10" t="n">
        <v>148</v>
      </c>
      <c r="H4439" s="10" t="n">
        <v>164</v>
      </c>
      <c r="I4439" s="10" t="n">
        <v>11</v>
      </c>
      <c r="J4439" s="10" t="n">
        <v>0</v>
      </c>
      <c r="K4439" s="10" t="s">
        <v>20</v>
      </c>
      <c r="L4439" s="11" t="n">
        <v>41027.5885648148</v>
      </c>
      <c r="M4439" s="12" t="s">
        <v>10640</v>
      </c>
      <c r="N4439" s="12" t="s">
        <v>10641</v>
      </c>
      <c r="O4439" s="9" t="str">
        <f aca="false">HYPERLINK("https://pbs.twimg.com/profile_images/922511527940370433/veCF3q0q_normal.jpg","View")</f>
        <v>View</v>
      </c>
      <c r="P4439" s="10"/>
    </row>
    <row r="4440" customFormat="false" ht="15.75" hidden="false" customHeight="false" outlineLevel="0" collapsed="false">
      <c r="A4440" s="6" t="n">
        <v>43030.6970601852</v>
      </c>
      <c r="B4440" s="7" t="str">
        <f aca="false">HYPERLINK("https://twitter.com/zhangmaiba","@zhangmaiba")</f>
        <v>@zhangmaiba</v>
      </c>
      <c r="C4440" s="14" t="s">
        <v>10642</v>
      </c>
      <c r="D4440" s="8" t="s">
        <v>403</v>
      </c>
      <c r="E4440" s="9" t="str">
        <f aca="false">HYPERLINK("https://twitter.com/zhangmaiba/status/922247137764577280","922247137764577280")</f>
        <v>922247137764577280</v>
      </c>
      <c r="F4440" s="10" t="s">
        <v>39</v>
      </c>
      <c r="G4440" s="10" t="n">
        <v>6</v>
      </c>
      <c r="H4440" s="10" t="n">
        <v>80</v>
      </c>
      <c r="I4440" s="10" t="n">
        <v>36</v>
      </c>
      <c r="J4440" s="10" t="n">
        <v>0</v>
      </c>
      <c r="K4440" s="10" t="s">
        <v>20</v>
      </c>
      <c r="L4440" s="11" t="n">
        <v>43015.1355787037</v>
      </c>
      <c r="M4440" s="12"/>
      <c r="N4440" s="12"/>
      <c r="O4440" s="9" t="str">
        <f aca="false">HYPERLINK("https://pbs.twimg.com/profile_images/922399984858701824/DkfUG5qt_normal.jpg","View")</f>
        <v>View</v>
      </c>
      <c r="P4440" s="10"/>
    </row>
    <row r="4441" customFormat="false" ht="15.75" hidden="false" customHeight="false" outlineLevel="0" collapsed="false">
      <c r="A4441" s="6" t="n">
        <v>43030.6973263889</v>
      </c>
      <c r="B4441" s="7" t="str">
        <f aca="false">HYPERLINK("https://twitter.com/AModestIndian","@AModestIndian")</f>
        <v>@AModestIndian</v>
      </c>
      <c r="C4441" s="8" t="s">
        <v>10643</v>
      </c>
      <c r="D4441" s="8" t="s">
        <v>8538</v>
      </c>
      <c r="E4441" s="9" t="str">
        <f aca="false">HYPERLINK("https://twitter.com/AModestIndian/status/922247232434212864","922247232434212864")</f>
        <v>922247232434212864</v>
      </c>
      <c r="F4441" s="10" t="s">
        <v>25</v>
      </c>
      <c r="G4441" s="10" t="n">
        <v>116</v>
      </c>
      <c r="H4441" s="10" t="n">
        <v>141</v>
      </c>
      <c r="I4441" s="10" t="n">
        <v>1015</v>
      </c>
      <c r="J4441" s="10" t="n">
        <v>0</v>
      </c>
      <c r="K4441" s="10" t="s">
        <v>20</v>
      </c>
      <c r="L4441" s="11" t="n">
        <v>42036.4873032407</v>
      </c>
      <c r="M4441" s="12" t="s">
        <v>8603</v>
      </c>
      <c r="N4441" s="12" t="s">
        <v>10644</v>
      </c>
      <c r="O4441" s="9" t="str">
        <f aca="false">HYPERLINK("https://pbs.twimg.com/profile_images/680001908967247872/1JWjEnWe_normal.jpg","View")</f>
        <v>View</v>
      </c>
      <c r="P4441" s="10"/>
    </row>
    <row r="4442" customFormat="false" ht="15.75" hidden="false" customHeight="false" outlineLevel="0" collapsed="false">
      <c r="A4442" s="6" t="n">
        <v>43030.6983564815</v>
      </c>
      <c r="B4442" s="7" t="str">
        <f aca="false">HYPERLINK("https://twitter.com/chilswar","@chilswar")</f>
        <v>@chilswar</v>
      </c>
      <c r="C4442" s="8" t="s">
        <v>7907</v>
      </c>
      <c r="D4442" s="8" t="s">
        <v>8538</v>
      </c>
      <c r="E4442" s="9" t="str">
        <f aca="false">HYPERLINK("https://twitter.com/chilswar/status/922247605228204032","922247605228204032")</f>
        <v>922247605228204032</v>
      </c>
      <c r="F4442" s="10" t="s">
        <v>51</v>
      </c>
      <c r="G4442" s="10" t="n">
        <v>218</v>
      </c>
      <c r="H4442" s="10" t="n">
        <v>150</v>
      </c>
      <c r="I4442" s="10" t="n">
        <v>1015</v>
      </c>
      <c r="J4442" s="10" t="n">
        <v>0</v>
      </c>
      <c r="K4442" s="10" t="s">
        <v>20</v>
      </c>
      <c r="L4442" s="11" t="n">
        <v>41171.8684837963</v>
      </c>
      <c r="M4442" s="12" t="s">
        <v>7908</v>
      </c>
      <c r="N4442" s="12" t="s">
        <v>7909</v>
      </c>
      <c r="O4442" s="9" t="str">
        <f aca="false">HYPERLINK("https://pbs.twimg.com/profile_images/818109350304681984/fbx1H2hx_normal.jpg","View")</f>
        <v>View</v>
      </c>
      <c r="P4442" s="10"/>
    </row>
    <row r="4443" customFormat="false" ht="15.75" hidden="false" customHeight="false" outlineLevel="0" collapsed="false">
      <c r="A4443" s="6" t="n">
        <v>43030.6986458333</v>
      </c>
      <c r="B4443" s="7" t="str">
        <f aca="false">HYPERLINK("https://twitter.com/NewsEp24","@NewsEp24")</f>
        <v>@NewsEp24</v>
      </c>
      <c r="C4443" s="8" t="s">
        <v>10645</v>
      </c>
      <c r="D4443" s="8" t="s">
        <v>10646</v>
      </c>
      <c r="E4443" s="9" t="str">
        <f aca="false">HYPERLINK("https://twitter.com/NewsEp24/status/922247712040296448","922247712040296448")</f>
        <v>922247712040296448</v>
      </c>
      <c r="F4443" s="9" t="s">
        <v>1147</v>
      </c>
      <c r="G4443" s="10" t="n">
        <v>3103</v>
      </c>
      <c r="H4443" s="10" t="n">
        <v>3148</v>
      </c>
      <c r="I4443" s="10" t="n">
        <v>0</v>
      </c>
      <c r="J4443" s="10" t="n">
        <v>0</v>
      </c>
      <c r="K4443" s="10" t="s">
        <v>20</v>
      </c>
      <c r="L4443" s="11" t="n">
        <v>42675.4977777778</v>
      </c>
      <c r="M4443" s="12" t="s">
        <v>3891</v>
      </c>
      <c r="N4443" s="12" t="s">
        <v>10647</v>
      </c>
      <c r="O4443" s="9" t="str">
        <f aca="false">HYPERLINK("https://pbs.twimg.com/profile_images/801141329552146432/i9uH24k8_normal.jpg","View")</f>
        <v>View</v>
      </c>
      <c r="P4443" s="10"/>
    </row>
    <row r="4444" customFormat="false" ht="15.75" hidden="false" customHeight="false" outlineLevel="0" collapsed="false">
      <c r="A4444" s="6" t="n">
        <v>43030.6992592593</v>
      </c>
      <c r="B4444" s="7" t="str">
        <f aca="false">HYPERLINK("https://twitter.com/bricsonline","@bricsonline")</f>
        <v>@bricsonline</v>
      </c>
      <c r="C4444" s="8" t="s">
        <v>10648</v>
      </c>
      <c r="D4444" s="8" t="s">
        <v>8538</v>
      </c>
      <c r="E4444" s="9" t="str">
        <f aca="false">HYPERLINK("https://twitter.com/bricsonline/status/922247932149161984","922247932149161984")</f>
        <v>922247932149161984</v>
      </c>
      <c r="F4444" s="10" t="s">
        <v>51</v>
      </c>
      <c r="G4444" s="10" t="n">
        <v>1059</v>
      </c>
      <c r="H4444" s="10" t="n">
        <v>5001</v>
      </c>
      <c r="I4444" s="10" t="n">
        <v>1015</v>
      </c>
      <c r="J4444" s="10" t="n">
        <v>0</v>
      </c>
      <c r="K4444" s="10" t="s">
        <v>20</v>
      </c>
      <c r="L4444" s="11" t="n">
        <v>39487.8843865741</v>
      </c>
      <c r="M4444" s="12" t="s">
        <v>312</v>
      </c>
      <c r="N4444" s="12" t="s">
        <v>10649</v>
      </c>
      <c r="O4444" s="9" t="str">
        <f aca="false">HYPERLINK("https://pbs.twimg.com/profile_images/923429123447549952/zXo0Vcpf_normal.jpg","View")</f>
        <v>View</v>
      </c>
      <c r="P4444" s="10"/>
    </row>
    <row r="4445" customFormat="false" ht="15.75" hidden="false" customHeight="false" outlineLevel="0" collapsed="false">
      <c r="A4445" s="6" t="n">
        <v>43030.7003009259</v>
      </c>
      <c r="B4445" s="7" t="str">
        <f aca="false">HYPERLINK("https://twitter.com/neelnabh","@neelnabh")</f>
        <v>@neelnabh</v>
      </c>
      <c r="C4445" s="8" t="s">
        <v>10650</v>
      </c>
      <c r="D4445" s="8" t="s">
        <v>8538</v>
      </c>
      <c r="E4445" s="9" t="str">
        <f aca="false">HYPERLINK("https://twitter.com/neelnabh/status/922248310106210305","922248310106210305")</f>
        <v>922248310106210305</v>
      </c>
      <c r="F4445" s="10" t="s">
        <v>39</v>
      </c>
      <c r="G4445" s="10" t="n">
        <v>4684</v>
      </c>
      <c r="H4445" s="10" t="n">
        <v>1617</v>
      </c>
      <c r="I4445" s="10" t="n">
        <v>1015</v>
      </c>
      <c r="J4445" s="10" t="n">
        <v>0</v>
      </c>
      <c r="K4445" s="10" t="s">
        <v>20</v>
      </c>
      <c r="L4445" s="11" t="n">
        <v>40085.8954282407</v>
      </c>
      <c r="M4445" s="12" t="s">
        <v>860</v>
      </c>
      <c r="N4445" s="12" t="s">
        <v>10651</v>
      </c>
      <c r="O4445" s="9" t="str">
        <f aca="false">HYPERLINK("https://pbs.twimg.com/profile_images/886757880849866752/vlLzE7Bg_normal.jpg","View")</f>
        <v>View</v>
      </c>
      <c r="P4445" s="10"/>
    </row>
    <row r="4446" customFormat="false" ht="15.75" hidden="false" customHeight="false" outlineLevel="0" collapsed="false">
      <c r="A4446" s="6" t="n">
        <v>43030.7005092593</v>
      </c>
      <c r="B4446" s="7" t="str">
        <f aca="false">HYPERLINK("https://twitter.com/GlennOstrosky","@GlennOstrosky")</f>
        <v>@GlennOstrosky</v>
      </c>
      <c r="C4446" s="8" t="s">
        <v>10652</v>
      </c>
      <c r="D4446" s="8" t="s">
        <v>10653</v>
      </c>
      <c r="E4446" s="9" t="str">
        <f aca="false">HYPERLINK("https://twitter.com/GlennOstrosky/status/922248386073452544","922248386073452544")</f>
        <v>922248386073452544</v>
      </c>
      <c r="F4446" s="10" t="s">
        <v>39</v>
      </c>
      <c r="G4446" s="10" t="n">
        <v>2997</v>
      </c>
      <c r="H4446" s="10" t="n">
        <v>1983</v>
      </c>
      <c r="I4446" s="10" t="n">
        <v>0</v>
      </c>
      <c r="J4446" s="10" t="n">
        <v>0</v>
      </c>
      <c r="K4446" s="10" t="s">
        <v>20</v>
      </c>
      <c r="L4446" s="11" t="n">
        <v>41155.8361226852</v>
      </c>
      <c r="M4446" s="12" t="s">
        <v>10654</v>
      </c>
      <c r="N4446" s="12" t="s">
        <v>10655</v>
      </c>
      <c r="O4446" s="9" t="str">
        <f aca="false">HYPERLINK("https://pbs.twimg.com/profile_images/762709755177476099/aeST7ng7_normal.jpg","View")</f>
        <v>View</v>
      </c>
      <c r="P4446" s="10"/>
    </row>
    <row r="4447" customFormat="false" ht="15.75" hidden="false" customHeight="false" outlineLevel="0" collapsed="false">
      <c r="A4447" s="6" t="n">
        <v>43030.7012731482</v>
      </c>
      <c r="B4447" s="7" t="str">
        <f aca="false">HYPERLINK("https://twitter.com/Krishna_720611","@Krishna_720611")</f>
        <v>@Krishna_720611</v>
      </c>
      <c r="C4447" s="8" t="s">
        <v>10656</v>
      </c>
      <c r="D4447" s="8" t="s">
        <v>8538</v>
      </c>
      <c r="E4447" s="9" t="str">
        <f aca="false">HYPERLINK("https://twitter.com/Krishna_720611/status/922248665204326401","922248665204326401")</f>
        <v>922248665204326401</v>
      </c>
      <c r="F4447" s="10" t="s">
        <v>25</v>
      </c>
      <c r="G4447" s="10" t="n">
        <v>104</v>
      </c>
      <c r="H4447" s="10" t="n">
        <v>194</v>
      </c>
      <c r="I4447" s="10" t="n">
        <v>1015</v>
      </c>
      <c r="J4447" s="10" t="n">
        <v>0</v>
      </c>
      <c r="K4447" s="10" t="s">
        <v>20</v>
      </c>
      <c r="L4447" s="11" t="n">
        <v>42689.6425578704</v>
      </c>
      <c r="M4447" s="12"/>
      <c r="N4447" s="12"/>
      <c r="O4447" s="9" t="str">
        <f aca="false">HYPERLINK("https://pbs.twimg.com/profile_images/807554880789352451/H3jZTkbv_normal.jpg","View")</f>
        <v>View</v>
      </c>
      <c r="P4447" s="10"/>
    </row>
    <row r="4448" customFormat="false" ht="15.75" hidden="false" customHeight="false" outlineLevel="0" collapsed="false">
      <c r="A4448" s="6" t="n">
        <v>43030.7022685185</v>
      </c>
      <c r="B4448" s="7" t="str">
        <f aca="false">HYPERLINK("https://twitter.com/gdubya5047","@gdubya5047")</f>
        <v>@gdubya5047</v>
      </c>
      <c r="C4448" s="8" t="s">
        <v>10657</v>
      </c>
      <c r="D4448" s="8" t="s">
        <v>10630</v>
      </c>
      <c r="E4448" s="9" t="str">
        <f aca="false">HYPERLINK("https://twitter.com/gdubya5047/status/922249024643706880","922249024643706880")</f>
        <v>922249024643706880</v>
      </c>
      <c r="F4448" s="10" t="s">
        <v>25</v>
      </c>
      <c r="G4448" s="10" t="n">
        <v>1019</v>
      </c>
      <c r="H4448" s="10" t="n">
        <v>2156</v>
      </c>
      <c r="I4448" s="10" t="n">
        <v>8</v>
      </c>
      <c r="J4448" s="10" t="n">
        <v>0</v>
      </c>
      <c r="K4448" s="10" t="s">
        <v>20</v>
      </c>
      <c r="L4448" s="11" t="n">
        <v>39829.3756944444</v>
      </c>
      <c r="M4448" s="12" t="s">
        <v>230</v>
      </c>
      <c r="N4448" s="12" t="s">
        <v>10658</v>
      </c>
      <c r="O4448" s="9" t="str">
        <f aca="false">HYPERLINK("https://pbs.twimg.com/profile_images/832628923909369857/SZ-NrVxj_normal.jpg","View")</f>
        <v>View</v>
      </c>
      <c r="P4448" s="10"/>
    </row>
    <row r="4449" customFormat="false" ht="15.75" hidden="false" customHeight="false" outlineLevel="0" collapsed="false">
      <c r="A4449" s="6" t="n">
        <v>43030.7025</v>
      </c>
      <c r="B4449" s="7" t="str">
        <f aca="false">HYPERLINK("https://twitter.com/MallyaSubash","@MallyaSubash")</f>
        <v>@MallyaSubash</v>
      </c>
      <c r="C4449" s="8" t="s">
        <v>10659</v>
      </c>
      <c r="D4449" s="8" t="s">
        <v>8538</v>
      </c>
      <c r="E4449" s="9" t="str">
        <f aca="false">HYPERLINK("https://twitter.com/MallyaSubash/status/922249108273770496","922249108273770496")</f>
        <v>922249108273770496</v>
      </c>
      <c r="F4449" s="10" t="s">
        <v>98</v>
      </c>
      <c r="G4449" s="10" t="n">
        <v>36</v>
      </c>
      <c r="H4449" s="10" t="n">
        <v>69</v>
      </c>
      <c r="I4449" s="10" t="n">
        <v>1015</v>
      </c>
      <c r="J4449" s="10" t="n">
        <v>0</v>
      </c>
      <c r="K4449" s="10" t="s">
        <v>20</v>
      </c>
      <c r="L4449" s="11" t="n">
        <v>40807.1518634259</v>
      </c>
      <c r="M4449" s="12" t="s">
        <v>10660</v>
      </c>
      <c r="N4449" s="12" t="s">
        <v>10661</v>
      </c>
      <c r="O4449" s="9" t="str">
        <f aca="false">HYPERLINK("https://pbs.twimg.com/profile_images/892106404089085952/WItrdU2O_normal.jpg","View")</f>
        <v>View</v>
      </c>
      <c r="P4449" s="10"/>
    </row>
    <row r="4450" customFormat="false" ht="15.75" hidden="false" customHeight="false" outlineLevel="0" collapsed="false">
      <c r="A4450" s="6" t="n">
        <v>43030.7025347222</v>
      </c>
      <c r="B4450" s="7" t="str">
        <f aca="false">HYPERLINK("https://twitter.com/_mnsg","@_mnsg")</f>
        <v>@_mnsg</v>
      </c>
      <c r="C4450" s="8" t="s">
        <v>10662</v>
      </c>
      <c r="D4450" s="8" t="s">
        <v>8538</v>
      </c>
      <c r="E4450" s="9" t="str">
        <f aca="false">HYPERLINK("https://twitter.com/_mnsg/status/922249120873455616","922249120873455616")</f>
        <v>922249120873455616</v>
      </c>
      <c r="F4450" s="10" t="s">
        <v>25</v>
      </c>
      <c r="G4450" s="10" t="n">
        <v>679</v>
      </c>
      <c r="H4450" s="10" t="n">
        <v>255</v>
      </c>
      <c r="I4450" s="10" t="n">
        <v>1015</v>
      </c>
      <c r="J4450" s="10" t="n">
        <v>0</v>
      </c>
      <c r="K4450" s="10" t="s">
        <v>20</v>
      </c>
      <c r="L4450" s="11" t="n">
        <v>40114.4271527778</v>
      </c>
      <c r="M4450" s="12" t="s">
        <v>10663</v>
      </c>
      <c r="N4450" s="12" t="s">
        <v>10664</v>
      </c>
      <c r="O4450" s="9" t="str">
        <f aca="false">HYPERLINK("https://pbs.twimg.com/profile_images/908330386937102336/gCm7BJiL_normal.jpg","View")</f>
        <v>View</v>
      </c>
      <c r="P4450" s="10"/>
    </row>
    <row r="4451" customFormat="false" ht="15.75" hidden="false" customHeight="false" outlineLevel="0" collapsed="false">
      <c r="A4451" s="6" t="n">
        <v>43030.7030787037</v>
      </c>
      <c r="B4451" s="7" t="str">
        <f aca="false">HYPERLINK("https://twitter.com/TOMKIDD3","@TOMKIDD3")</f>
        <v>@TOMKIDD3</v>
      </c>
      <c r="C4451" s="8" t="s">
        <v>10665</v>
      </c>
      <c r="D4451" s="8" t="s">
        <v>10666</v>
      </c>
      <c r="E4451" s="9" t="str">
        <f aca="false">HYPERLINK("https://twitter.com/TOMKIDD3/status/922249316705517568","922249316705517568")</f>
        <v>922249316705517568</v>
      </c>
      <c r="F4451" s="10" t="s">
        <v>39</v>
      </c>
      <c r="G4451" s="10" t="n">
        <v>84</v>
      </c>
      <c r="H4451" s="10" t="n">
        <v>81</v>
      </c>
      <c r="I4451" s="10" t="n">
        <v>0</v>
      </c>
      <c r="J4451" s="10" t="n">
        <v>0</v>
      </c>
      <c r="K4451" s="10" t="s">
        <v>20</v>
      </c>
      <c r="L4451" s="11" t="n">
        <v>40984.4953472222</v>
      </c>
      <c r="M4451" s="12"/>
      <c r="N4451" s="12" t="s">
        <v>10667</v>
      </c>
      <c r="O4451" s="9" t="str">
        <f aca="false">HYPERLINK("https://pbs.twimg.com/profile_images/634503167137435648/9yqQ7PZ0_normal.jpg","View")</f>
        <v>View</v>
      </c>
      <c r="P4451" s="10"/>
    </row>
    <row r="4452" customFormat="false" ht="15.75" hidden="false" customHeight="false" outlineLevel="0" collapsed="false">
      <c r="A4452" s="6" t="n">
        <v>43030.7032407407</v>
      </c>
      <c r="B4452" s="7" t="str">
        <f aca="false">HYPERLINK("https://twitter.com/TobiMineLP","@TobiMineLP")</f>
        <v>@TobiMineLP</v>
      </c>
      <c r="C4452" s="8" t="s">
        <v>10668</v>
      </c>
      <c r="D4452" s="8" t="s">
        <v>10630</v>
      </c>
      <c r="E4452" s="9" t="str">
        <f aca="false">HYPERLINK("https://twitter.com/TobiMineLP/status/922249374599663617","922249374599663617")</f>
        <v>922249374599663617</v>
      </c>
      <c r="F4452" s="10" t="s">
        <v>25</v>
      </c>
      <c r="G4452" s="10" t="n">
        <v>691</v>
      </c>
      <c r="H4452" s="10" t="n">
        <v>116</v>
      </c>
      <c r="I4452" s="10" t="n">
        <v>8</v>
      </c>
      <c r="J4452" s="10" t="n">
        <v>0</v>
      </c>
      <c r="K4452" s="10" t="s">
        <v>20</v>
      </c>
      <c r="L4452" s="11" t="n">
        <v>41825.1283333333</v>
      </c>
      <c r="M4452" s="12" t="s">
        <v>4282</v>
      </c>
      <c r="N4452" s="12" t="s">
        <v>10669</v>
      </c>
      <c r="O4452" s="9" t="str">
        <f aca="false">HYPERLINK("https://pbs.twimg.com/profile_images/920824404266889217/PayKIO2H_normal.jpg","View")</f>
        <v>View</v>
      </c>
      <c r="P4452" s="10"/>
    </row>
    <row r="4453" customFormat="false" ht="15.75" hidden="false" customHeight="false" outlineLevel="0" collapsed="false">
      <c r="A4453" s="6" t="n">
        <v>43030.7034837963</v>
      </c>
      <c r="B4453" s="7" t="str">
        <f aca="false">HYPERLINK("https://twitter.com/MJPlanners","@MJPlanners")</f>
        <v>@MJPlanners</v>
      </c>
      <c r="C4453" s="8" t="s">
        <v>10670</v>
      </c>
      <c r="D4453" s="8" t="s">
        <v>6558</v>
      </c>
      <c r="E4453" s="9" t="str">
        <f aca="false">HYPERLINK("https://twitter.com/MJPlanners/status/922249465477578752","922249465477578752")</f>
        <v>922249465477578752</v>
      </c>
      <c r="F4453" s="10" t="s">
        <v>39</v>
      </c>
      <c r="G4453" s="10" t="n">
        <v>58</v>
      </c>
      <c r="H4453" s="10" t="n">
        <v>84</v>
      </c>
      <c r="I4453" s="10" t="n">
        <v>65</v>
      </c>
      <c r="J4453" s="10" t="n">
        <v>0</v>
      </c>
      <c r="K4453" s="10" t="s">
        <v>20</v>
      </c>
      <c r="L4453" s="11" t="n">
        <v>42555.1415740741</v>
      </c>
      <c r="M4453" s="12" t="s">
        <v>10671</v>
      </c>
      <c r="N4453" s="12" t="s">
        <v>10672</v>
      </c>
      <c r="O4453" s="9" t="str">
        <f aca="false">HYPERLINK("https://pbs.twimg.com/profile_images/911984189741817856/frbxDSsx_normal.jpg","View")</f>
        <v>View</v>
      </c>
      <c r="P4453" s="10"/>
    </row>
    <row r="4454" customFormat="false" ht="15.75" hidden="false" customHeight="false" outlineLevel="0" collapsed="false">
      <c r="A4454" s="6" t="n">
        <v>43030.7035069444</v>
      </c>
      <c r="B4454" s="7" t="str">
        <f aca="false">HYPERLINK("https://twitter.com/friendmoscow","@friendmoscow")</f>
        <v>@friendmoscow</v>
      </c>
      <c r="C4454" s="8" t="s">
        <v>10673</v>
      </c>
      <c r="D4454" s="8" t="s">
        <v>10414</v>
      </c>
      <c r="E4454" s="9" t="str">
        <f aca="false">HYPERLINK("https://twitter.com/friendmoscow/status/922249473350176768","922249473350176768")</f>
        <v>922249473350176768</v>
      </c>
      <c r="F4454" s="10" t="s">
        <v>39</v>
      </c>
      <c r="G4454" s="10" t="n">
        <v>3246</v>
      </c>
      <c r="H4454" s="10" t="n">
        <v>8</v>
      </c>
      <c r="I4454" s="10" t="n">
        <v>14</v>
      </c>
      <c r="J4454" s="10" t="n">
        <v>0</v>
      </c>
      <c r="K4454" s="10" t="s">
        <v>20</v>
      </c>
      <c r="L4454" s="11" t="n">
        <v>40488.2633217593</v>
      </c>
      <c r="M4454" s="12" t="s">
        <v>10674</v>
      </c>
      <c r="N4454" s="12"/>
      <c r="O4454" s="9" t="str">
        <f aca="false">HYPERLINK("https://pbs.twimg.com/profile_images/859951345826013184/qu_1UYfi_normal.jpg","View")</f>
        <v>View</v>
      </c>
      <c r="P4454" s="10"/>
    </row>
    <row r="4455" customFormat="false" ht="15.75" hidden="false" customHeight="false" outlineLevel="0" collapsed="false">
      <c r="A4455" s="6" t="n">
        <v>43030.7035648148</v>
      </c>
      <c r="B4455" s="7" t="str">
        <f aca="false">HYPERLINK("https://twitter.com/davemasters","@davemasters")</f>
        <v>@davemasters</v>
      </c>
      <c r="C4455" s="8" t="s">
        <v>3881</v>
      </c>
      <c r="D4455" s="8" t="s">
        <v>10675</v>
      </c>
      <c r="E4455" s="9" t="str">
        <f aca="false">HYPERLINK("https://twitter.com/davemasters/status/922249494246260736","922249494246260736")</f>
        <v>922249494246260736</v>
      </c>
      <c r="F4455" s="9" t="s">
        <v>1147</v>
      </c>
      <c r="G4455" s="10" t="n">
        <v>17589</v>
      </c>
      <c r="H4455" s="10" t="n">
        <v>11766</v>
      </c>
      <c r="I4455" s="10" t="n">
        <v>0</v>
      </c>
      <c r="J4455" s="10" t="n">
        <v>0</v>
      </c>
      <c r="K4455" s="10" t="s">
        <v>20</v>
      </c>
      <c r="L4455" s="11" t="n">
        <v>39899.2738888889</v>
      </c>
      <c r="M4455" s="12" t="s">
        <v>3883</v>
      </c>
      <c r="N4455" s="12" t="s">
        <v>3884</v>
      </c>
      <c r="O4455" s="9" t="str">
        <f aca="false">HYPERLINK("https://pbs.twimg.com/profile_images/778544636834873344/KGDBrRMY_normal.jpg","View")</f>
        <v>View</v>
      </c>
      <c r="P4455" s="10"/>
    </row>
    <row r="4456" customFormat="false" ht="15.75" hidden="false" customHeight="false" outlineLevel="0" collapsed="false">
      <c r="A4456" s="6" t="n">
        <v>43030.7042476852</v>
      </c>
      <c r="B4456" s="7" t="str">
        <f aca="false">HYPERLINK("https://twitter.com/Tweet2Sid","@Tweet2Sid")</f>
        <v>@Tweet2Sid</v>
      </c>
      <c r="C4456" s="8" t="s">
        <v>9903</v>
      </c>
      <c r="D4456" s="8" t="s">
        <v>10676</v>
      </c>
      <c r="E4456" s="9" t="str">
        <f aca="false">HYPERLINK("https://twitter.com/Tweet2Sid/status/922249742029152256","922249742029152256")</f>
        <v>922249742029152256</v>
      </c>
      <c r="F4456" s="10" t="s">
        <v>55</v>
      </c>
      <c r="G4456" s="10" t="n">
        <v>529</v>
      </c>
      <c r="H4456" s="10" t="n">
        <v>272</v>
      </c>
      <c r="I4456" s="10" t="n">
        <v>0</v>
      </c>
      <c r="J4456" s="10" t="n">
        <v>0</v>
      </c>
      <c r="K4456" s="10" t="s">
        <v>20</v>
      </c>
      <c r="L4456" s="11" t="n">
        <v>39999.7896527778</v>
      </c>
      <c r="M4456" s="12" t="s">
        <v>72</v>
      </c>
      <c r="N4456" s="12" t="s">
        <v>9905</v>
      </c>
      <c r="O4456" s="9" t="str">
        <f aca="false">HYPERLINK("https://pbs.twimg.com/profile_images/652924587789828096/WSaKMVSf_normal.jpg","View")</f>
        <v>View</v>
      </c>
      <c r="P4456" s="10"/>
    </row>
    <row r="4457" customFormat="false" ht="15.75" hidden="false" customHeight="false" outlineLevel="0" collapsed="false">
      <c r="A4457" s="6" t="n">
        <v>43030.7052777778</v>
      </c>
      <c r="B4457" s="7" t="str">
        <f aca="false">HYPERLINK("https://twitter.com/yukamuraico","@yukamuraico")</f>
        <v>@yukamuraico</v>
      </c>
      <c r="C4457" s="8" t="s">
        <v>10677</v>
      </c>
      <c r="D4457" s="8" t="s">
        <v>10678</v>
      </c>
      <c r="E4457" s="9" t="str">
        <f aca="false">HYPERLINK("https://twitter.com/yukamuraico/status/922250116404334598","922250116404334598")</f>
        <v>922250116404334598</v>
      </c>
      <c r="F4457" s="10" t="s">
        <v>1167</v>
      </c>
      <c r="G4457" s="10" t="n">
        <v>1040</v>
      </c>
      <c r="H4457" s="10" t="n">
        <v>608</v>
      </c>
      <c r="I4457" s="10" t="n">
        <v>0</v>
      </c>
      <c r="J4457" s="10" t="n">
        <v>0</v>
      </c>
      <c r="K4457" s="10" t="s">
        <v>20</v>
      </c>
      <c r="L4457" s="11" t="n">
        <v>40071.9670486111</v>
      </c>
      <c r="M4457" s="12"/>
      <c r="N4457" s="12" t="s">
        <v>10679</v>
      </c>
      <c r="O4457" s="9" t="str">
        <f aca="false">HYPERLINK("https://pbs.twimg.com/profile_images/885010771033415680/3wkshVMy_normal.jpg","View")</f>
        <v>View</v>
      </c>
      <c r="P4457" s="10"/>
    </row>
    <row r="4458" customFormat="false" ht="15.75" hidden="false" customHeight="false" outlineLevel="0" collapsed="false">
      <c r="A4458" s="6" t="n">
        <v>43030.7056597222</v>
      </c>
      <c r="B4458" s="7" t="str">
        <f aca="false">HYPERLINK("https://twitter.com/conventuslaw","@conventuslaw")</f>
        <v>@conventuslaw</v>
      </c>
      <c r="C4458" s="8" t="s">
        <v>10680</v>
      </c>
      <c r="D4458" s="8" t="s">
        <v>10681</v>
      </c>
      <c r="E4458" s="9" t="str">
        <f aca="false">HYPERLINK("https://twitter.com/conventuslaw/status/922250250995212290","922250250995212290")</f>
        <v>922250250995212290</v>
      </c>
      <c r="F4458" s="10" t="s">
        <v>39</v>
      </c>
      <c r="G4458" s="10" t="n">
        <v>3543</v>
      </c>
      <c r="H4458" s="10" t="n">
        <v>2459</v>
      </c>
      <c r="I4458" s="10" t="n">
        <v>0</v>
      </c>
      <c r="J4458" s="10" t="n">
        <v>0</v>
      </c>
      <c r="K4458" s="10" t="s">
        <v>20</v>
      </c>
      <c r="L4458" s="11" t="n">
        <v>40632.9554398148</v>
      </c>
      <c r="M4458" s="12" t="s">
        <v>10682</v>
      </c>
      <c r="N4458" s="12" t="s">
        <v>10683</v>
      </c>
      <c r="O4458" s="9" t="str">
        <f aca="false">HYPERLINK("https://pbs.twimg.com/profile_images/453720043193249792/swaLTxmI_normal.jpeg","View")</f>
        <v>View</v>
      </c>
      <c r="P4458" s="10"/>
    </row>
    <row r="4459" customFormat="false" ht="15.75" hidden="false" customHeight="false" outlineLevel="0" collapsed="false">
      <c r="A4459" s="6" t="n">
        <v>43030.7059606482</v>
      </c>
      <c r="B4459" s="7" t="str">
        <f aca="false">HYPERLINK("https://twitter.com/matglobal","@matglobal")</f>
        <v>@matglobal</v>
      </c>
      <c r="C4459" s="8" t="s">
        <v>3976</v>
      </c>
      <c r="D4459" s="8" t="s">
        <v>10684</v>
      </c>
      <c r="E4459" s="9" t="str">
        <f aca="false">HYPERLINK("https://twitter.com/matglobal/status/922250359892054016","922250359892054016")</f>
        <v>922250359892054016</v>
      </c>
      <c r="F4459" s="10" t="s">
        <v>55</v>
      </c>
      <c r="G4459" s="10" t="n">
        <v>1533</v>
      </c>
      <c r="H4459" s="10" t="n">
        <v>1475</v>
      </c>
      <c r="I4459" s="10" t="n">
        <v>0</v>
      </c>
      <c r="J4459" s="10" t="n">
        <v>0</v>
      </c>
      <c r="K4459" s="10" t="s">
        <v>20</v>
      </c>
      <c r="L4459" s="11" t="n">
        <v>40887.2283564815</v>
      </c>
      <c r="M4459" s="12" t="s">
        <v>2990</v>
      </c>
      <c r="N4459" s="12" t="s">
        <v>3978</v>
      </c>
      <c r="O4459" s="9" t="str">
        <f aca="false">HYPERLINK("https://pbs.twimg.com/profile_images/673814548684652544/cha7Er5K_normal.png","View")</f>
        <v>View</v>
      </c>
      <c r="P4459" s="10"/>
    </row>
    <row r="4460" customFormat="false" ht="15.75" hidden="false" customHeight="false" outlineLevel="0" collapsed="false">
      <c r="A4460" s="6" t="n">
        <v>43030.7064351852</v>
      </c>
      <c r="B4460" s="7" t="str">
        <f aca="false">HYPERLINK("https://twitter.com/NTKRNow","@NTKRNow")</f>
        <v>@NTKRNow</v>
      </c>
      <c r="C4460" s="8" t="s">
        <v>829</v>
      </c>
      <c r="D4460" s="8" t="s">
        <v>10685</v>
      </c>
      <c r="E4460" s="9" t="str">
        <f aca="false">HYPERLINK("https://twitter.com/NTKRNow/status/922250532936404992","922250532936404992")</f>
        <v>922250532936404992</v>
      </c>
      <c r="F4460" s="10" t="s">
        <v>60</v>
      </c>
      <c r="G4460" s="10" t="n">
        <v>610</v>
      </c>
      <c r="H4460" s="10" t="n">
        <v>4</v>
      </c>
      <c r="I4460" s="10" t="n">
        <v>0</v>
      </c>
      <c r="J4460" s="10" t="n">
        <v>0</v>
      </c>
      <c r="K4460" s="10" t="s">
        <v>20</v>
      </c>
      <c r="L4460" s="11" t="n">
        <v>42402.810625</v>
      </c>
      <c r="M4460" s="12"/>
      <c r="N4460" s="12"/>
      <c r="O4460" s="9" t="str">
        <f aca="false">HYPERLINK("https://abs.twimg.com/sticky/default_profile_images/default_profile_normal.png","View")</f>
        <v>View</v>
      </c>
      <c r="P4460" s="10"/>
    </row>
    <row r="4461" customFormat="false" ht="15.75" hidden="false" customHeight="false" outlineLevel="0" collapsed="false">
      <c r="A4461" s="6" t="n">
        <v>43030.7072569444</v>
      </c>
      <c r="B4461" s="7" t="str">
        <f aca="false">HYPERLINK("https://twitter.com/omarbula","@omarbula")</f>
        <v>@omarbula</v>
      </c>
      <c r="C4461" s="8" t="s">
        <v>10686</v>
      </c>
      <c r="D4461" s="8" t="s">
        <v>10687</v>
      </c>
      <c r="E4461" s="9" t="str">
        <f aca="false">HYPERLINK("https://twitter.com/omarbula/status/922250832837476352","922250832837476352")</f>
        <v>922250832837476352</v>
      </c>
      <c r="F4461" s="10" t="s">
        <v>39</v>
      </c>
      <c r="G4461" s="10" t="n">
        <v>201005</v>
      </c>
      <c r="H4461" s="10" t="n">
        <v>188074</v>
      </c>
      <c r="I4461" s="10" t="n">
        <v>2</v>
      </c>
      <c r="J4461" s="10" t="n">
        <v>4</v>
      </c>
      <c r="K4461" s="10" t="s">
        <v>20</v>
      </c>
      <c r="L4461" s="11" t="n">
        <v>40440.2467939815</v>
      </c>
      <c r="M4461" s="12"/>
      <c r="N4461" s="12" t="s">
        <v>10688</v>
      </c>
      <c r="O4461" s="9" t="str">
        <f aca="false">HYPERLINK("https://pbs.twimg.com/profile_images/910334993158766592/xQLes7M9_normal.jpg","View")</f>
        <v>View</v>
      </c>
      <c r="P4461" s="10"/>
    </row>
    <row r="4462" customFormat="false" ht="15.75" hidden="false" customHeight="false" outlineLevel="0" collapsed="false">
      <c r="A4462" s="6" t="n">
        <v>43030.7073958333</v>
      </c>
      <c r="B4462" s="7" t="str">
        <f aca="false">HYPERLINK("https://twitter.com/celesteprince","@celesteprince")</f>
        <v>@celesteprince</v>
      </c>
      <c r="C4462" s="8" t="s">
        <v>10689</v>
      </c>
      <c r="D4462" s="8" t="s">
        <v>10690</v>
      </c>
      <c r="E4462" s="9" t="str">
        <f aca="false">HYPERLINK("https://twitter.com/celesteprince/status/922250880652476416","922250880652476416")</f>
        <v>922250880652476416</v>
      </c>
      <c r="F4462" s="10" t="s">
        <v>51</v>
      </c>
      <c r="G4462" s="10" t="n">
        <v>27156</v>
      </c>
      <c r="H4462" s="10" t="n">
        <v>1065</v>
      </c>
      <c r="I4462" s="10" t="n">
        <v>0</v>
      </c>
      <c r="J4462" s="10" t="n">
        <v>0</v>
      </c>
      <c r="K4462" s="10" t="s">
        <v>20</v>
      </c>
      <c r="L4462" s="11" t="n">
        <v>39642.6444212963</v>
      </c>
      <c r="M4462" s="12" t="s">
        <v>1363</v>
      </c>
      <c r="N4462" s="12" t="s">
        <v>10691</v>
      </c>
      <c r="O4462" s="9" t="str">
        <f aca="false">HYPERLINK("https://pbs.twimg.com/profile_images/442909963682197504/SRJ0CgXy_normal.jpeg","View")</f>
        <v>View</v>
      </c>
      <c r="P4462" s="10"/>
    </row>
    <row r="4463" customFormat="false" ht="15.75" hidden="false" customHeight="false" outlineLevel="0" collapsed="false">
      <c r="A4463" s="6" t="n">
        <v>43030.708125</v>
      </c>
      <c r="B4463" s="7" t="str">
        <f aca="false">HYPERLINK("https://twitter.com/a_d_fensom","@a_d_fensom")</f>
        <v>@a_d_fensom</v>
      </c>
      <c r="C4463" s="8" t="s">
        <v>10692</v>
      </c>
      <c r="D4463" s="8" t="s">
        <v>10127</v>
      </c>
      <c r="E4463" s="9" t="str">
        <f aca="false">HYPERLINK("https://twitter.com/a_d_fensom/status/922251148068712448","922251148068712448")</f>
        <v>922251148068712448</v>
      </c>
      <c r="F4463" s="10" t="s">
        <v>51</v>
      </c>
      <c r="G4463" s="10" t="n">
        <v>3162</v>
      </c>
      <c r="H4463" s="10" t="n">
        <v>3963</v>
      </c>
      <c r="I4463" s="10" t="n">
        <v>8</v>
      </c>
      <c r="J4463" s="10" t="n">
        <v>0</v>
      </c>
      <c r="K4463" s="10" t="s">
        <v>20</v>
      </c>
      <c r="L4463" s="11" t="n">
        <v>40380.0813194444</v>
      </c>
      <c r="M4463" s="12" t="s">
        <v>10693</v>
      </c>
      <c r="N4463" s="12" t="s">
        <v>10694</v>
      </c>
      <c r="O4463" s="9" t="str">
        <f aca="false">HYPERLINK("https://pbs.twimg.com/profile_images/537086933793374208/_m6f0THo_normal.jpeg","View")</f>
        <v>View</v>
      </c>
      <c r="P4463" s="10"/>
    </row>
    <row r="4464" customFormat="false" ht="15.75" hidden="false" customHeight="false" outlineLevel="0" collapsed="false">
      <c r="A4464" s="6" t="n">
        <v>43030.708287037</v>
      </c>
      <c r="B4464" s="7" t="str">
        <f aca="false">HYPERLINK("https://twitter.com/vijaitj","@vijaitj")</f>
        <v>@vijaitj</v>
      </c>
      <c r="C4464" s="8" t="s">
        <v>10695</v>
      </c>
      <c r="D4464" s="8" t="s">
        <v>8538</v>
      </c>
      <c r="E4464" s="9" t="str">
        <f aca="false">HYPERLINK("https://twitter.com/vijaitj/status/922251203970551808","922251203970551808")</f>
        <v>922251203970551808</v>
      </c>
      <c r="F4464" s="10" t="s">
        <v>39</v>
      </c>
      <c r="G4464" s="10" t="n">
        <v>28</v>
      </c>
      <c r="H4464" s="10" t="n">
        <v>247</v>
      </c>
      <c r="I4464" s="10" t="n">
        <v>1015</v>
      </c>
      <c r="J4464" s="10" t="n">
        <v>0</v>
      </c>
      <c r="K4464" s="10" t="s">
        <v>20</v>
      </c>
      <c r="L4464" s="11" t="n">
        <v>40563.8603356482</v>
      </c>
      <c r="M4464" s="12" t="s">
        <v>10696</v>
      </c>
      <c r="N4464" s="12" t="s">
        <v>10697</v>
      </c>
      <c r="O4464" s="9" t="str">
        <f aca="false">HYPERLINK("https://pbs.twimg.com/profile_images/823941331932299266/hx2uz-Eq_normal.jpg","View")</f>
        <v>View</v>
      </c>
      <c r="P4464" s="10"/>
    </row>
    <row r="4465" customFormat="false" ht="15.75" hidden="false" customHeight="false" outlineLevel="0" collapsed="false">
      <c r="A4465" s="6" t="n">
        <v>43030.7083333333</v>
      </c>
      <c r="B4465" s="7" t="str">
        <f aca="false">HYPERLINK("https://twitter.com/megaenigma","@megaenigma")</f>
        <v>@megaenigma</v>
      </c>
      <c r="C4465" s="14" t="s">
        <v>10698</v>
      </c>
      <c r="D4465" s="8" t="s">
        <v>10699</v>
      </c>
      <c r="E4465" s="9" t="str">
        <f aca="false">HYPERLINK("https://twitter.com/megaenigma/status/922251220722507776","922251220722507776")</f>
        <v>922251220722507776</v>
      </c>
      <c r="F4465" s="10" t="s">
        <v>39</v>
      </c>
      <c r="G4465" s="10" t="n">
        <v>626</v>
      </c>
      <c r="H4465" s="10" t="n">
        <v>1155</v>
      </c>
      <c r="I4465" s="10" t="n">
        <v>0</v>
      </c>
      <c r="J4465" s="10" t="n">
        <v>0</v>
      </c>
      <c r="K4465" s="10" t="s">
        <v>20</v>
      </c>
      <c r="L4465" s="11" t="n">
        <v>40890.188900463</v>
      </c>
      <c r="M4465" s="12" t="s">
        <v>574</v>
      </c>
      <c r="N4465" s="12" t="s">
        <v>10700</v>
      </c>
      <c r="O4465" s="9" t="str">
        <f aca="false">HYPERLINK("https://pbs.twimg.com/profile_images/734315301668564992/tr6Cxz9-_normal.jpg","View")</f>
        <v>View</v>
      </c>
      <c r="P4465" s="10"/>
    </row>
    <row r="4466" customFormat="false" ht="15.75" hidden="false" customHeight="false" outlineLevel="0" collapsed="false">
      <c r="A4466" s="6" t="n">
        <v>43030.7083680556</v>
      </c>
      <c r="B4466" s="7" t="str">
        <f aca="false">HYPERLINK("https://twitter.com/DCSneider","@DCSneider")</f>
        <v>@DCSneider</v>
      </c>
      <c r="C4466" s="8" t="s">
        <v>1547</v>
      </c>
      <c r="D4466" s="8" t="s">
        <v>10701</v>
      </c>
      <c r="E4466" s="9" t="str">
        <f aca="false">HYPERLINK("https://twitter.com/DCSneider/status/922251233716350977","922251233716350977")</f>
        <v>922251233716350977</v>
      </c>
      <c r="F4466" s="10" t="s">
        <v>39</v>
      </c>
      <c r="G4466" s="10" t="n">
        <v>56</v>
      </c>
      <c r="H4466" s="10" t="n">
        <v>75</v>
      </c>
      <c r="I4466" s="10" t="n">
        <v>0</v>
      </c>
      <c r="J4466" s="10" t="n">
        <v>0</v>
      </c>
      <c r="K4466" s="10" t="s">
        <v>20</v>
      </c>
      <c r="L4466" s="11" t="n">
        <v>41699.607962963</v>
      </c>
      <c r="M4466" s="12"/>
      <c r="N4466" s="12"/>
      <c r="O4466" s="9" t="str">
        <f aca="false">HYPERLINK("https://abs.twimg.com/sticky/default_profile_images/default_profile_normal.png","View")</f>
        <v>View</v>
      </c>
      <c r="P4466" s="10"/>
    </row>
    <row r="4467" customFormat="false" ht="15.75" hidden="false" customHeight="false" outlineLevel="0" collapsed="false">
      <c r="A4467" s="6" t="n">
        <v>43030.7093981481</v>
      </c>
      <c r="B4467" s="7" t="str">
        <f aca="false">HYPERLINK("https://twitter.com/NewsDingo","@NewsDingo")</f>
        <v>@NewsDingo</v>
      </c>
      <c r="C4467" s="8" t="s">
        <v>1930</v>
      </c>
      <c r="D4467" s="8" t="s">
        <v>10702</v>
      </c>
      <c r="E4467" s="9" t="str">
        <f aca="false">HYPERLINK("https://twitter.com/NewsDingo/status/922251607882035202","922251607882035202")</f>
        <v>922251607882035202</v>
      </c>
      <c r="F4467" s="10" t="s">
        <v>1932</v>
      </c>
      <c r="G4467" s="10" t="n">
        <v>141</v>
      </c>
      <c r="H4467" s="10" t="n">
        <v>55</v>
      </c>
      <c r="I4467" s="10" t="n">
        <v>0</v>
      </c>
      <c r="J4467" s="10" t="n">
        <v>0</v>
      </c>
      <c r="K4467" s="10" t="s">
        <v>20</v>
      </c>
      <c r="L4467" s="11" t="n">
        <v>40282.5263657407</v>
      </c>
      <c r="M4467" s="12" t="s">
        <v>1933</v>
      </c>
      <c r="N4467" s="12" t="s">
        <v>1934</v>
      </c>
      <c r="O4467" s="9" t="str">
        <f aca="false">HYPERLINK("https://pbs.twimg.com/profile_images/823485261/news_dingo_48_normal.gif","View")</f>
        <v>View</v>
      </c>
      <c r="P4467" s="10"/>
    </row>
    <row r="4468" customFormat="false" ht="15.75" hidden="false" customHeight="false" outlineLevel="0" collapsed="false">
      <c r="A4468" s="6" t="n">
        <v>43030.7096527778</v>
      </c>
      <c r="B4468" s="7" t="str">
        <f aca="false">HYPERLINK("https://twitter.com/MotivationZA","@MotivationZA")</f>
        <v>@MotivationZA</v>
      </c>
      <c r="C4468" s="8" t="s">
        <v>10703</v>
      </c>
      <c r="D4468" s="8" t="s">
        <v>10168</v>
      </c>
      <c r="E4468" s="9" t="str">
        <f aca="false">HYPERLINK("https://twitter.com/MotivationZA/status/922251698520944640","922251698520944640")</f>
        <v>922251698520944640</v>
      </c>
      <c r="F4468" s="10" t="s">
        <v>25</v>
      </c>
      <c r="G4468" s="10" t="n">
        <v>5749</v>
      </c>
      <c r="H4468" s="10" t="n">
        <v>2594</v>
      </c>
      <c r="I4468" s="10" t="n">
        <v>25</v>
      </c>
      <c r="J4468" s="10" t="n">
        <v>0</v>
      </c>
      <c r="K4468" s="10" t="s">
        <v>20</v>
      </c>
      <c r="L4468" s="11" t="n">
        <v>42858.7641435185</v>
      </c>
      <c r="M4468" s="12" t="s">
        <v>10704</v>
      </c>
      <c r="N4468" s="12" t="s">
        <v>10705</v>
      </c>
      <c r="O4468" s="9" t="str">
        <f aca="false">HYPERLINK("https://pbs.twimg.com/profile_images/877245788505690112/BAEAhfsx_normal.jpg","View")</f>
        <v>View</v>
      </c>
      <c r="P4468" s="10"/>
    </row>
    <row r="4469" customFormat="false" ht="15.75" hidden="false" customHeight="false" outlineLevel="0" collapsed="false">
      <c r="A4469" s="6" t="n">
        <v>43030.709837963</v>
      </c>
      <c r="B4469" s="7" t="str">
        <f aca="false">HYPERLINK("https://twitter.com/FrontBusiness","@FrontBusiness")</f>
        <v>@FrontBusiness</v>
      </c>
      <c r="C4469" s="8" t="s">
        <v>10706</v>
      </c>
      <c r="D4469" s="8" t="s">
        <v>10707</v>
      </c>
      <c r="E4469" s="9" t="str">
        <f aca="false">HYPERLINK("https://twitter.com/FrontBusiness/status/922251765193564160","922251765193564160")</f>
        <v>922251765193564160</v>
      </c>
      <c r="F4469" s="10" t="s">
        <v>110</v>
      </c>
      <c r="G4469" s="10" t="n">
        <v>83</v>
      </c>
      <c r="H4469" s="10" t="n">
        <v>23</v>
      </c>
      <c r="I4469" s="10" t="n">
        <v>0</v>
      </c>
      <c r="J4469" s="10" t="n">
        <v>0</v>
      </c>
      <c r="K4469" s="10" t="s">
        <v>20</v>
      </c>
      <c r="L4469" s="11" t="n">
        <v>40673.1902199074</v>
      </c>
      <c r="M4469" s="12" t="s">
        <v>10708</v>
      </c>
      <c r="N4469" s="12" t="s">
        <v>10709</v>
      </c>
      <c r="O4469" s="9" t="str">
        <f aca="false">HYPERLINK("https://pbs.twimg.com/profile_images/509392647585161217/R37m512S_normal.png","View")</f>
        <v>View</v>
      </c>
      <c r="P4469" s="10"/>
    </row>
    <row r="4470" customFormat="false" ht="15.75" hidden="false" customHeight="false" outlineLevel="0" collapsed="false">
      <c r="A4470" s="6" t="n">
        <v>43030.7099074074</v>
      </c>
      <c r="B4470" s="7" t="str">
        <f aca="false">HYPERLINK("https://twitter.com/FukPOTUS45","@FukPOTUS45")</f>
        <v>@FukPOTUS45</v>
      </c>
      <c r="C4470" s="8" t="s">
        <v>10710</v>
      </c>
      <c r="D4470" s="8" t="s">
        <v>10711</v>
      </c>
      <c r="E4470" s="9" t="str">
        <f aca="false">HYPERLINK("https://twitter.com/FukPOTUS45/status/922251790707544066","922251790707544066")</f>
        <v>922251790707544066</v>
      </c>
      <c r="F4470" s="10" t="s">
        <v>110</v>
      </c>
      <c r="G4470" s="10" t="n">
        <v>1327</v>
      </c>
      <c r="H4470" s="10" t="n">
        <v>4982</v>
      </c>
      <c r="I4470" s="10" t="n">
        <v>1</v>
      </c>
      <c r="J4470" s="10" t="n">
        <v>0</v>
      </c>
      <c r="K4470" s="10" t="s">
        <v>20</v>
      </c>
      <c r="L4470" s="11" t="n">
        <v>42977.1593518518</v>
      </c>
      <c r="M4470" s="12" t="s">
        <v>10712</v>
      </c>
      <c r="N4470" s="12" t="s">
        <v>10713</v>
      </c>
      <c r="O4470" s="9" t="str">
        <f aca="false">HYPERLINK("https://pbs.twimg.com/profile_images/902846352907943936/2EKXCLXP_normal.jpg","View")</f>
        <v>View</v>
      </c>
      <c r="P4470" s="10"/>
    </row>
    <row r="4471" customFormat="false" ht="15.75" hidden="false" customHeight="false" outlineLevel="0" collapsed="false">
      <c r="A4471" s="6" t="n">
        <v>43030.7100578704</v>
      </c>
      <c r="B4471" s="7" t="str">
        <f aca="false">HYPERLINK("https://twitter.com/smithkaty89","@smithkaty89")</f>
        <v>@smithkaty89</v>
      </c>
      <c r="C4471" s="8" t="s">
        <v>10714</v>
      </c>
      <c r="D4471" s="8" t="s">
        <v>10715</v>
      </c>
      <c r="E4471" s="9" t="str">
        <f aca="false">HYPERLINK("https://twitter.com/smithkaty89/status/922251846491738112","922251846491738112")</f>
        <v>922251846491738112</v>
      </c>
      <c r="F4471" s="10" t="s">
        <v>110</v>
      </c>
      <c r="G4471" s="10" t="n">
        <v>201</v>
      </c>
      <c r="H4471" s="10" t="n">
        <v>245</v>
      </c>
      <c r="I4471" s="10" t="n">
        <v>0</v>
      </c>
      <c r="J4471" s="10" t="n">
        <v>0</v>
      </c>
      <c r="K4471" s="10" t="s">
        <v>20</v>
      </c>
      <c r="L4471" s="11" t="n">
        <v>41350.0151273148</v>
      </c>
      <c r="M4471" s="12"/>
      <c r="N4471" s="12" t="s">
        <v>10716</v>
      </c>
      <c r="O4471" s="9" t="str">
        <f aca="false">HYPERLINK("https://pbs.twimg.com/profile_images/3390754329/48cfcd3f8dc5ceb2ef8f3e8051b12884_normal.png","View")</f>
        <v>View</v>
      </c>
      <c r="P4471" s="10"/>
    </row>
    <row r="4472" customFormat="false" ht="15.75" hidden="false" customHeight="false" outlineLevel="0" collapsed="false">
      <c r="A4472" s="6" t="n">
        <v>43030.710150463</v>
      </c>
      <c r="B4472" s="7" t="str">
        <f aca="false">HYPERLINK("https://twitter.com/NguyenBojami","@NguyenBojami")</f>
        <v>@NguyenBojami</v>
      </c>
      <c r="C4472" s="8" t="s">
        <v>1477</v>
      </c>
      <c r="D4472" s="8" t="s">
        <v>10717</v>
      </c>
      <c r="E4472" s="9" t="str">
        <f aca="false">HYPERLINK("https://twitter.com/NguyenBojami/status/922251881270972416","922251881270972416")</f>
        <v>922251881270972416</v>
      </c>
      <c r="F4472" s="10" t="s">
        <v>110</v>
      </c>
      <c r="G4472" s="10" t="n">
        <v>37</v>
      </c>
      <c r="H4472" s="10" t="n">
        <v>60</v>
      </c>
      <c r="I4472" s="10" t="n">
        <v>0</v>
      </c>
      <c r="J4472" s="10" t="n">
        <v>0</v>
      </c>
      <c r="K4472" s="10" t="s">
        <v>20</v>
      </c>
      <c r="L4472" s="11" t="n">
        <v>42350.5865625</v>
      </c>
      <c r="M4472" s="12" t="s">
        <v>1479</v>
      </c>
      <c r="N4472" s="12"/>
      <c r="O4472" s="9" t="str">
        <f aca="false">HYPERLINK("https://pbs.twimg.com/profile_images/675799364405616640/T2A5_ogp_normal.jpg","View")</f>
        <v>View</v>
      </c>
      <c r="P4472" s="10"/>
    </row>
    <row r="4473" customFormat="false" ht="15.75" hidden="false" customHeight="false" outlineLevel="0" collapsed="false">
      <c r="A4473" s="6" t="n">
        <v>43030.7108680556</v>
      </c>
      <c r="B4473" s="7" t="str">
        <f aca="false">HYPERLINK("https://twitter.com/TomFlowers","@TomFlowers")</f>
        <v>@TomFlowers</v>
      </c>
      <c r="C4473" s="8" t="s">
        <v>10718</v>
      </c>
      <c r="D4473" s="8" t="s">
        <v>10719</v>
      </c>
      <c r="E4473" s="9" t="str">
        <f aca="false">HYPERLINK("https://twitter.com/TomFlowers/status/922252139195486209","922252139195486209")</f>
        <v>922252139195486209</v>
      </c>
      <c r="F4473" s="10" t="s">
        <v>55</v>
      </c>
      <c r="G4473" s="10" t="n">
        <v>42812</v>
      </c>
      <c r="H4473" s="10" t="n">
        <v>45346</v>
      </c>
      <c r="I4473" s="10" t="n">
        <v>0</v>
      </c>
      <c r="J4473" s="10" t="n">
        <v>0</v>
      </c>
      <c r="K4473" s="10" t="s">
        <v>20</v>
      </c>
      <c r="L4473" s="11" t="n">
        <v>40668.673587963</v>
      </c>
      <c r="M4473" s="12" t="s">
        <v>10720</v>
      </c>
      <c r="N4473" s="12" t="s">
        <v>10721</v>
      </c>
      <c r="O4473" s="9" t="str">
        <f aca="false">HYPERLINK("https://pbs.twimg.com/profile_images/915215547331002368/pgREb2gQ_normal.jpg","View")</f>
        <v>View</v>
      </c>
      <c r="P4473" s="10"/>
    </row>
    <row r="4474" customFormat="false" ht="15.75" hidden="false" customHeight="false" outlineLevel="0" collapsed="false">
      <c r="A4474" s="6" t="n">
        <v>43030.7111111111</v>
      </c>
      <c r="B4474" s="7" t="str">
        <f aca="false">HYPERLINK("https://twitter.com/vinaykamma","@vinaykamma")</f>
        <v>@vinaykamma</v>
      </c>
      <c r="C4474" s="8" t="s">
        <v>10722</v>
      </c>
      <c r="D4474" s="8" t="s">
        <v>8538</v>
      </c>
      <c r="E4474" s="9" t="str">
        <f aca="false">HYPERLINK("https://twitter.com/vinaykamma/status/922252226965508096","922252226965508096")</f>
        <v>922252226965508096</v>
      </c>
      <c r="F4474" s="10" t="s">
        <v>25</v>
      </c>
      <c r="G4474" s="10" t="n">
        <v>199</v>
      </c>
      <c r="H4474" s="10" t="n">
        <v>212</v>
      </c>
      <c r="I4474" s="10" t="n">
        <v>1015</v>
      </c>
      <c r="J4474" s="10" t="n">
        <v>0</v>
      </c>
      <c r="K4474" s="10" t="s">
        <v>20</v>
      </c>
      <c r="L4474" s="11" t="n">
        <v>40314.929375</v>
      </c>
      <c r="M4474" s="12" t="s">
        <v>72</v>
      </c>
      <c r="N4474" s="12" t="s">
        <v>10723</v>
      </c>
      <c r="O4474" s="9" t="str">
        <f aca="false">HYPERLINK("https://pbs.twimg.com/profile_images/816516184149544960/HYeNTvDD_normal.jpg","View")</f>
        <v>View</v>
      </c>
      <c r="P4474" s="10"/>
    </row>
    <row r="4475" customFormat="false" ht="15.75" hidden="false" customHeight="false" outlineLevel="0" collapsed="false">
      <c r="A4475" s="6" t="n">
        <v>43030.7112615741</v>
      </c>
      <c r="B4475" s="7" t="str">
        <f aca="false">HYPERLINK("https://twitter.com/Ospcol","@Ospcol")</f>
        <v>@Ospcol</v>
      </c>
      <c r="C4475" s="8" t="s">
        <v>10724</v>
      </c>
      <c r="D4475" s="8" t="s">
        <v>10725</v>
      </c>
      <c r="E4475" s="9" t="str">
        <f aca="false">HYPERLINK("https://twitter.com/Ospcol/status/922252284280655872","922252284280655872")</f>
        <v>922252284280655872</v>
      </c>
      <c r="F4475" s="10" t="s">
        <v>51</v>
      </c>
      <c r="G4475" s="10" t="n">
        <v>252</v>
      </c>
      <c r="H4475" s="10" t="n">
        <v>645</v>
      </c>
      <c r="I4475" s="10" t="n">
        <v>2</v>
      </c>
      <c r="J4475" s="10" t="n">
        <v>0</v>
      </c>
      <c r="K4475" s="10" t="s">
        <v>20</v>
      </c>
      <c r="L4475" s="11" t="n">
        <v>42761.6775115741</v>
      </c>
      <c r="M4475" s="12" t="s">
        <v>312</v>
      </c>
      <c r="N4475" s="12" t="s">
        <v>10726</v>
      </c>
      <c r="O4475" s="9" t="str">
        <f aca="false">HYPERLINK("https://pbs.twimg.com/profile_images/824774964624687104/scE8qAA5_normal.jpg","View")</f>
        <v>View</v>
      </c>
      <c r="P4475" s="10"/>
    </row>
    <row r="4476" customFormat="false" ht="15.75" hidden="false" customHeight="false" outlineLevel="0" collapsed="false">
      <c r="A4476" s="6" t="n">
        <v>43030.7112731482</v>
      </c>
      <c r="B4476" s="7" t="str">
        <f aca="false">HYPERLINK("https://twitter.com/beny_benson","@beny_benson")</f>
        <v>@beny_benson</v>
      </c>
      <c r="C4476" s="14" t="s">
        <v>10727</v>
      </c>
      <c r="D4476" s="8" t="s">
        <v>10728</v>
      </c>
      <c r="E4476" s="9" t="str">
        <f aca="false">HYPERLINK("https://twitter.com/beny_benson/status/922252285933244416","922252285933244416")</f>
        <v>922252285933244416</v>
      </c>
      <c r="F4476" s="10" t="s">
        <v>39</v>
      </c>
      <c r="G4476" s="10" t="n">
        <v>14075</v>
      </c>
      <c r="H4476" s="10" t="n">
        <v>13793</v>
      </c>
      <c r="I4476" s="10" t="n">
        <v>0</v>
      </c>
      <c r="J4476" s="10" t="n">
        <v>1</v>
      </c>
      <c r="K4476" s="10" t="s">
        <v>20</v>
      </c>
      <c r="L4476" s="11" t="n">
        <v>40465.4589583333</v>
      </c>
      <c r="M4476" s="12" t="s">
        <v>10729</v>
      </c>
      <c r="N4476" s="12" t="s">
        <v>10730</v>
      </c>
      <c r="O4476" s="9" t="str">
        <f aca="false">HYPERLINK("https://pbs.twimg.com/profile_images/443381506275147776/1iJqNdJx_normal.jpeg","View")</f>
        <v>View</v>
      </c>
      <c r="P4476" s="10"/>
    </row>
    <row r="4477" customFormat="false" ht="15.75" hidden="false" customHeight="false" outlineLevel="0" collapsed="false">
      <c r="A4477" s="6" t="n">
        <v>43030.7115625</v>
      </c>
      <c r="B4477" s="7" t="str">
        <f aca="false">HYPERLINK("https://twitter.com/baap1972","@baap1972")</f>
        <v>@baap1972</v>
      </c>
      <c r="C4477" s="8" t="s">
        <v>10731</v>
      </c>
      <c r="D4477" s="8" t="s">
        <v>8538</v>
      </c>
      <c r="E4477" s="9" t="str">
        <f aca="false">HYPERLINK("https://twitter.com/baap1972/status/922252393366020096","922252393366020096")</f>
        <v>922252393366020096</v>
      </c>
      <c r="F4477" s="10" t="s">
        <v>25</v>
      </c>
      <c r="G4477" s="10" t="n">
        <v>407</v>
      </c>
      <c r="H4477" s="10" t="n">
        <v>878</v>
      </c>
      <c r="I4477" s="10" t="n">
        <v>1015</v>
      </c>
      <c r="J4477" s="10" t="n">
        <v>0</v>
      </c>
      <c r="K4477" s="10" t="s">
        <v>20</v>
      </c>
      <c r="L4477" s="11" t="n">
        <v>42209.2749768519</v>
      </c>
      <c r="M4477" s="12" t="s">
        <v>10732</v>
      </c>
      <c r="N4477" s="12" t="s">
        <v>10733</v>
      </c>
      <c r="O4477" s="9" t="str">
        <f aca="false">HYPERLINK("https://pbs.twimg.com/profile_images/876740191511334914/R3QRHvV4_normal.jpg","View")</f>
        <v>View</v>
      </c>
      <c r="P4477" s="10"/>
    </row>
    <row r="4478" customFormat="false" ht="15.75" hidden="false" customHeight="false" outlineLevel="0" collapsed="false">
      <c r="A4478" s="6" t="n">
        <v>43030.7119097222</v>
      </c>
      <c r="B4478" s="7" t="str">
        <f aca="false">HYPERLINK("https://twitter.com/Kero_417","@Kero_417")</f>
        <v>@Kero_417</v>
      </c>
      <c r="C4478" s="8" t="s">
        <v>10734</v>
      </c>
      <c r="D4478" s="8" t="s">
        <v>7803</v>
      </c>
      <c r="E4478" s="9" t="str">
        <f aca="false">HYPERLINK("https://twitter.com/Kero_417/status/922252517789937664","922252517789937664")</f>
        <v>922252517789937664</v>
      </c>
      <c r="F4478" s="10" t="s">
        <v>51</v>
      </c>
      <c r="G4478" s="10" t="n">
        <v>122</v>
      </c>
      <c r="H4478" s="10" t="n">
        <v>304</v>
      </c>
      <c r="I4478" s="10" t="n">
        <v>30</v>
      </c>
      <c r="J4478" s="10" t="n">
        <v>0</v>
      </c>
      <c r="K4478" s="10" t="s">
        <v>20</v>
      </c>
      <c r="L4478" s="11" t="n">
        <v>42526.4036805556</v>
      </c>
      <c r="M4478" s="12"/>
      <c r="N4478" s="12" t="s">
        <v>10735</v>
      </c>
      <c r="O4478" s="9" t="str">
        <f aca="false">HYPERLINK("https://pbs.twimg.com/profile_images/841318962562457601/1Hno5ttB_normal.jpg","View")</f>
        <v>View</v>
      </c>
      <c r="P4478" s="10"/>
    </row>
    <row r="4479" customFormat="false" ht="15.75" hidden="false" customHeight="false" outlineLevel="0" collapsed="false">
      <c r="A4479" s="6" t="n">
        <v>43030.7119675926</v>
      </c>
      <c r="B4479" s="7" t="str">
        <f aca="false">HYPERLINK("https://twitter.com/shashank_b_rai","@shashank_b_rai")</f>
        <v>@shashank_b_rai</v>
      </c>
      <c r="C4479" s="8" t="s">
        <v>10736</v>
      </c>
      <c r="D4479" s="8" t="s">
        <v>10737</v>
      </c>
      <c r="E4479" s="9" t="str">
        <f aca="false">HYPERLINK("https://twitter.com/shashank_b_rai/status/922252539864551424","922252539864551424")</f>
        <v>922252539864551424</v>
      </c>
      <c r="F4479" s="10" t="s">
        <v>39</v>
      </c>
      <c r="G4479" s="10" t="n">
        <v>18</v>
      </c>
      <c r="H4479" s="10" t="n">
        <v>34</v>
      </c>
      <c r="I4479" s="10" t="n">
        <v>0</v>
      </c>
      <c r="J4479" s="10" t="n">
        <v>0</v>
      </c>
      <c r="K4479" s="10" t="s">
        <v>20</v>
      </c>
      <c r="L4479" s="11" t="n">
        <v>40027.3491550926</v>
      </c>
      <c r="M4479" s="12" t="s">
        <v>10738</v>
      </c>
      <c r="N4479" s="12"/>
      <c r="O4479" s="9" t="str">
        <f aca="false">HYPERLINK("https://pbs.twimg.com/profile_images/922071701441077248/06xkRhDM_normal.jpg","View")</f>
        <v>View</v>
      </c>
      <c r="P4479" s="10"/>
    </row>
    <row r="4480" customFormat="false" ht="15.75" hidden="false" customHeight="false" outlineLevel="0" collapsed="false">
      <c r="A4480" s="6" t="n">
        <v>43030.7125925926</v>
      </c>
      <c r="B4480" s="7" t="str">
        <f aca="false">HYPERLINK("https://twitter.com/hirorin112","@hirorin112")</f>
        <v>@hirorin112</v>
      </c>
      <c r="C4480" s="8" t="s">
        <v>10739</v>
      </c>
      <c r="D4480" s="8" t="s">
        <v>6707</v>
      </c>
      <c r="E4480" s="9" t="str">
        <f aca="false">HYPERLINK("https://twitter.com/hirorin112/status/922252763907571715","922252763907571715")</f>
        <v>922252763907571715</v>
      </c>
      <c r="F4480" s="10" t="s">
        <v>177</v>
      </c>
      <c r="G4480" s="10" t="n">
        <v>696</v>
      </c>
      <c r="H4480" s="10" t="n">
        <v>854</v>
      </c>
      <c r="I4480" s="10" t="n">
        <v>97</v>
      </c>
      <c r="J4480" s="10" t="n">
        <v>0</v>
      </c>
      <c r="K4480" s="10" t="s">
        <v>20</v>
      </c>
      <c r="L4480" s="11" t="n">
        <v>41668.7296296296</v>
      </c>
      <c r="M4480" s="12"/>
      <c r="N4480" s="13" t="s">
        <v>10740</v>
      </c>
      <c r="O4480" s="9" t="str">
        <f aca="false">HYPERLINK("https://pbs.twimg.com/profile_images/428702120913547264/Wc0y-8Qy_normal.jpeg","View")</f>
        <v>View</v>
      </c>
      <c r="P4480" s="10"/>
    </row>
    <row r="4481" customFormat="false" ht="15.75" hidden="false" customHeight="false" outlineLevel="0" collapsed="false">
      <c r="A4481" s="6" t="n">
        <v>43030.7135648148</v>
      </c>
      <c r="B4481" s="7" t="str">
        <f aca="false">HYPERLINK("https://twitter.com/PulivendulaK","@PulivendulaK")</f>
        <v>@PulivendulaK</v>
      </c>
      <c r="C4481" s="8" t="s">
        <v>10741</v>
      </c>
      <c r="D4481" s="8" t="s">
        <v>8538</v>
      </c>
      <c r="E4481" s="9" t="str">
        <f aca="false">HYPERLINK("https://twitter.com/PulivendulaK/status/922253118246662144","922253118246662144")</f>
        <v>922253118246662144</v>
      </c>
      <c r="F4481" s="10" t="s">
        <v>25</v>
      </c>
      <c r="G4481" s="10" t="n">
        <v>197</v>
      </c>
      <c r="H4481" s="10" t="n">
        <v>655</v>
      </c>
      <c r="I4481" s="10" t="n">
        <v>1015</v>
      </c>
      <c r="J4481" s="10" t="n">
        <v>0</v>
      </c>
      <c r="K4481" s="10" t="s">
        <v>20</v>
      </c>
      <c r="L4481" s="11" t="n">
        <v>41374.3122569445</v>
      </c>
      <c r="M4481" s="12" t="s">
        <v>10742</v>
      </c>
      <c r="N4481" s="12" t="s">
        <v>10743</v>
      </c>
      <c r="O4481" s="9" t="str">
        <f aca="false">HYPERLINK("https://pbs.twimg.com/profile_images/517157207419277312/PQZdfkxH_normal.jpeg","View")</f>
        <v>View</v>
      </c>
      <c r="P4481" s="10"/>
    </row>
    <row r="4482" customFormat="false" ht="15.75" hidden="false" customHeight="false" outlineLevel="0" collapsed="false">
      <c r="A4482" s="6" t="n">
        <v>43030.7138657407</v>
      </c>
      <c r="B4482" s="7" t="str">
        <f aca="false">HYPERLINK("https://twitter.com/KakarKris","@KakarKris")</f>
        <v>@KakarKris</v>
      </c>
      <c r="C4482" s="8" t="s">
        <v>10744</v>
      </c>
      <c r="D4482" s="8" t="s">
        <v>8538</v>
      </c>
      <c r="E4482" s="9" t="str">
        <f aca="false">HYPERLINK("https://twitter.com/KakarKris/status/922253224584806400","922253224584806400")</f>
        <v>922253224584806400</v>
      </c>
      <c r="F4482" s="10" t="s">
        <v>25</v>
      </c>
      <c r="G4482" s="10" t="n">
        <v>4</v>
      </c>
      <c r="H4482" s="10" t="n">
        <v>61</v>
      </c>
      <c r="I4482" s="10" t="n">
        <v>1015</v>
      </c>
      <c r="J4482" s="10" t="n">
        <v>0</v>
      </c>
      <c r="K4482" s="10" t="s">
        <v>20</v>
      </c>
      <c r="L4482" s="11" t="n">
        <v>42817.7075578704</v>
      </c>
      <c r="M4482" s="12" t="s">
        <v>601</v>
      </c>
      <c r="N4482" s="12" t="s">
        <v>10745</v>
      </c>
      <c r="O4482" s="9" t="str">
        <f aca="false">HYPERLINK("https://pbs.twimg.com/profile_images/870502411755855873/bwb8fDXq_normal.jpg","View")</f>
        <v>View</v>
      </c>
      <c r="P4482" s="10"/>
    </row>
    <row r="4483" customFormat="false" ht="15.75" hidden="false" customHeight="false" outlineLevel="0" collapsed="false">
      <c r="A4483" s="6" t="n">
        <v>43030.7139351852</v>
      </c>
      <c r="B4483" s="7" t="str">
        <f aca="false">HYPERLINK("https://twitter.com/retweetkrengeab","@retweetkrengeab")</f>
        <v>@retweetkrengeab</v>
      </c>
      <c r="C4483" s="8" t="s">
        <v>10746</v>
      </c>
      <c r="D4483" s="8" t="s">
        <v>8538</v>
      </c>
      <c r="E4483" s="9" t="str">
        <f aca="false">HYPERLINK("https://twitter.com/retweetkrengeab/status/922253249758953472","922253249758953472")</f>
        <v>922253249758953472</v>
      </c>
      <c r="F4483" s="10" t="s">
        <v>25</v>
      </c>
      <c r="G4483" s="10" t="n">
        <v>385</v>
      </c>
      <c r="H4483" s="10" t="n">
        <v>433</v>
      </c>
      <c r="I4483" s="10" t="n">
        <v>1015</v>
      </c>
      <c r="J4483" s="10" t="n">
        <v>0</v>
      </c>
      <c r="K4483" s="10" t="s">
        <v>20</v>
      </c>
      <c r="L4483" s="11" t="n">
        <v>41384.1203356482</v>
      </c>
      <c r="M4483" s="12"/>
      <c r="N4483" s="12" t="s">
        <v>10747</v>
      </c>
      <c r="O4483" s="9" t="str">
        <f aca="false">HYPERLINK("https://pbs.twimg.com/profile_images/511128977562288129/vhr1Z9l0_normal.jpeg","View")</f>
        <v>View</v>
      </c>
      <c r="P4483" s="10"/>
    </row>
    <row r="4484" customFormat="false" ht="15.75" hidden="false" customHeight="false" outlineLevel="0" collapsed="false">
      <c r="A4484" s="6" t="n">
        <v>43030.7141319445</v>
      </c>
      <c r="B4484" s="7" t="str">
        <f aca="false">HYPERLINK("https://twitter.com/bpolitics","@bpolitics")</f>
        <v>@bpolitics</v>
      </c>
      <c r="C4484" s="8" t="s">
        <v>266</v>
      </c>
      <c r="D4484" s="8" t="s">
        <v>10748</v>
      </c>
      <c r="E4484" s="9" t="str">
        <f aca="false">HYPERLINK("https://twitter.com/bpolitics/status/922253322589032448","922253322589032448")</f>
        <v>922253322589032448</v>
      </c>
      <c r="F4484" s="10" t="s">
        <v>268</v>
      </c>
      <c r="G4484" s="10" t="n">
        <v>221392</v>
      </c>
      <c r="H4484" s="10" t="n">
        <v>868</v>
      </c>
      <c r="I4484" s="10" t="n">
        <v>4</v>
      </c>
      <c r="J4484" s="10" t="n">
        <v>4</v>
      </c>
      <c r="K4484" s="10" t="s">
        <v>20</v>
      </c>
      <c r="L4484" s="11" t="n">
        <v>41025.576400463</v>
      </c>
      <c r="M4484" s="12"/>
      <c r="N4484" s="12" t="s">
        <v>269</v>
      </c>
      <c r="O4484" s="9" t="str">
        <f aca="false">HYPERLINK("https://pbs.twimg.com/profile_images/714804098890133504/cUO4gD1A_normal.jpg","View")</f>
        <v>View</v>
      </c>
      <c r="P4484" s="10"/>
    </row>
    <row r="4485" customFormat="false" ht="15.75" hidden="false" customHeight="false" outlineLevel="0" collapsed="false">
      <c r="A4485" s="6" t="n">
        <v>43030.7142592593</v>
      </c>
      <c r="B4485" s="7" t="str">
        <f aca="false">HYPERLINK("https://twitter.com/ParisaAndrea","@ParisaAndrea")</f>
        <v>@ParisaAndrea</v>
      </c>
      <c r="C4485" s="8" t="s">
        <v>10749</v>
      </c>
      <c r="D4485" s="8" t="s">
        <v>10750</v>
      </c>
      <c r="E4485" s="9" t="str">
        <f aca="false">HYPERLINK("https://twitter.com/ParisaAndrea/status/922253370445975552","922253370445975552")</f>
        <v>922253370445975552</v>
      </c>
      <c r="F4485" s="10" t="s">
        <v>51</v>
      </c>
      <c r="G4485" s="10" t="n">
        <v>678</v>
      </c>
      <c r="H4485" s="10" t="n">
        <v>5001</v>
      </c>
      <c r="I4485" s="10" t="n">
        <v>4</v>
      </c>
      <c r="J4485" s="10" t="n">
        <v>0</v>
      </c>
      <c r="K4485" s="10" t="s">
        <v>20</v>
      </c>
      <c r="L4485" s="11" t="n">
        <v>42274.6587731482</v>
      </c>
      <c r="M4485" s="12"/>
      <c r="N4485" s="12" t="s">
        <v>10751</v>
      </c>
      <c r="O4485" s="9" t="str">
        <f aca="false">HYPERLINK("https://pbs.twimg.com/profile_images/916427157500547072/y6lLx7ZN_normal.jpg","View")</f>
        <v>View</v>
      </c>
      <c r="P4485" s="10"/>
    </row>
    <row r="4486" customFormat="false" ht="15.75" hidden="false" customHeight="false" outlineLevel="0" collapsed="false">
      <c r="A4486" s="6" t="n">
        <v>43030.7148842593</v>
      </c>
      <c r="B4486" s="7" t="str">
        <f aca="false">HYPERLINK("https://twitter.com/jpn_anonymous_2","@jpn_anonymous_2")</f>
        <v>@jpn_anonymous_2</v>
      </c>
      <c r="C4486" s="8" t="s">
        <v>5784</v>
      </c>
      <c r="D4486" s="8" t="s">
        <v>8538</v>
      </c>
      <c r="E4486" s="9" t="str">
        <f aca="false">HYPERLINK("https://twitter.com/jpn_anonymous_2/status/922253597231820800","922253597231820800")</f>
        <v>922253597231820800</v>
      </c>
      <c r="F4486" s="10" t="s">
        <v>51</v>
      </c>
      <c r="G4486" s="10" t="n">
        <v>102</v>
      </c>
      <c r="H4486" s="10" t="n">
        <v>151</v>
      </c>
      <c r="I4486" s="10" t="n">
        <v>1015</v>
      </c>
      <c r="J4486" s="10" t="n">
        <v>0</v>
      </c>
      <c r="K4486" s="10" t="s">
        <v>20</v>
      </c>
      <c r="L4486" s="11" t="n">
        <v>42365.7217361111</v>
      </c>
      <c r="M4486" s="12"/>
      <c r="N4486" s="12" t="s">
        <v>5785</v>
      </c>
      <c r="O4486" s="9" t="str">
        <f aca="false">HYPERLINK("https://pbs.twimg.com/profile_images/889968944278151168/sw98clb1_normal.jpg","View")</f>
        <v>View</v>
      </c>
      <c r="P4486" s="10"/>
    </row>
    <row r="4487" customFormat="false" ht="15.75" hidden="false" customHeight="false" outlineLevel="0" collapsed="false">
      <c r="A4487" s="6" t="n">
        <v>43030.7152314815</v>
      </c>
      <c r="B4487" s="7" t="str">
        <f aca="false">HYPERLINK("https://twitter.com/microcarpa1","@microcarpa1")</f>
        <v>@microcarpa1</v>
      </c>
      <c r="C4487" s="8" t="s">
        <v>2233</v>
      </c>
      <c r="D4487" s="8" t="s">
        <v>10752</v>
      </c>
      <c r="E4487" s="9" t="str">
        <f aca="false">HYPERLINK("https://twitter.com/microcarpa1/status/922253719818739713","922253719818739713")</f>
        <v>922253719818739713</v>
      </c>
      <c r="F4487" s="10" t="s">
        <v>39</v>
      </c>
      <c r="G4487" s="10" t="n">
        <v>3350</v>
      </c>
      <c r="H4487" s="10" t="n">
        <v>1824</v>
      </c>
      <c r="I4487" s="10" t="n">
        <v>5</v>
      </c>
      <c r="J4487" s="10" t="n">
        <v>1</v>
      </c>
      <c r="K4487" s="10" t="s">
        <v>20</v>
      </c>
      <c r="L4487" s="11" t="n">
        <v>40693.9875462963</v>
      </c>
      <c r="M4487" s="12" t="s">
        <v>2234</v>
      </c>
      <c r="N4487" s="13" t="s">
        <v>2235</v>
      </c>
      <c r="O4487" s="9" t="str">
        <f aca="false">HYPERLINK("https://pbs.twimg.com/profile_images/626392070387707904/vr8wv00l_normal.jpg","View")</f>
        <v>View</v>
      </c>
      <c r="P4487" s="10"/>
    </row>
    <row r="4488" customFormat="false" ht="15.75" hidden="false" customHeight="false" outlineLevel="0" collapsed="false">
      <c r="A4488" s="6" t="n">
        <v>43030.7153125</v>
      </c>
      <c r="B4488" s="7" t="str">
        <f aca="false">HYPERLINK("https://twitter.com/JapanUnmasked","@JapanUnmasked")</f>
        <v>@JapanUnmasked</v>
      </c>
      <c r="C4488" s="8" t="s">
        <v>1869</v>
      </c>
      <c r="D4488" s="8" t="s">
        <v>10753</v>
      </c>
      <c r="E4488" s="9" t="str">
        <f aca="false">HYPERLINK("https://twitter.com/JapanUnmasked/status/922253752291250177","922253752291250177")</f>
        <v>922253752291250177</v>
      </c>
      <c r="F4488" s="10" t="s">
        <v>60</v>
      </c>
      <c r="G4488" s="10" t="n">
        <v>80718</v>
      </c>
      <c r="H4488" s="10" t="n">
        <v>1</v>
      </c>
      <c r="I4488" s="10" t="n">
        <v>1</v>
      </c>
      <c r="J4488" s="10" t="n">
        <v>0</v>
      </c>
      <c r="K4488" s="10" t="s">
        <v>20</v>
      </c>
      <c r="L4488" s="11" t="n">
        <v>40392.5348148148</v>
      </c>
      <c r="M4488" s="12" t="s">
        <v>574</v>
      </c>
      <c r="N4488" s="12" t="s">
        <v>1871</v>
      </c>
      <c r="O4488" s="9" t="str">
        <f aca="false">HYPERLINK("https://pbs.twimg.com/profile_images/789409489128607745/43ijRGjc_normal.jpg","View")</f>
        <v>View</v>
      </c>
      <c r="P4488" s="10"/>
    </row>
    <row r="4489" customFormat="false" ht="15.75" hidden="false" customHeight="false" outlineLevel="0" collapsed="false">
      <c r="A4489" s="6" t="n">
        <v>43030.7153587963</v>
      </c>
      <c r="B4489" s="7" t="str">
        <f aca="false">HYPERLINK("https://twitter.com/aurvabhrg","@aurvabhrg")</f>
        <v>@aurvabhrg</v>
      </c>
      <c r="C4489" s="8" t="s">
        <v>10754</v>
      </c>
      <c r="D4489" s="8" t="s">
        <v>8538</v>
      </c>
      <c r="E4489" s="9" t="str">
        <f aca="false">HYPERLINK("https://twitter.com/aurvabhrg/status/922253768950874114","922253768950874114")</f>
        <v>922253768950874114</v>
      </c>
      <c r="F4489" s="10" t="s">
        <v>98</v>
      </c>
      <c r="G4489" s="10" t="n">
        <v>318</v>
      </c>
      <c r="H4489" s="10" t="n">
        <v>89</v>
      </c>
      <c r="I4489" s="10" t="n">
        <v>1015</v>
      </c>
      <c r="J4489" s="10" t="n">
        <v>0</v>
      </c>
      <c r="K4489" s="10" t="s">
        <v>20</v>
      </c>
      <c r="L4489" s="11" t="n">
        <v>42574.4590740741</v>
      </c>
      <c r="M4489" s="12" t="s">
        <v>72</v>
      </c>
      <c r="N4489" s="12" t="s">
        <v>10755</v>
      </c>
      <c r="O4489" s="9" t="str">
        <f aca="false">HYPERLINK("https://pbs.twimg.com/profile_images/852209969373958144/eYhoxR3l_normal.jpg","View")</f>
        <v>View</v>
      </c>
      <c r="P4489" s="10"/>
    </row>
    <row r="4490" customFormat="false" ht="15.75" hidden="false" customHeight="false" outlineLevel="0" collapsed="false">
      <c r="A4490" s="6" t="n">
        <v>43030.7155324074</v>
      </c>
      <c r="B4490" s="7" t="str">
        <f aca="false">HYPERLINK("https://twitter.com/himdevs","@himdevs")</f>
        <v>@himdevs</v>
      </c>
      <c r="C4490" s="8" t="s">
        <v>10756</v>
      </c>
      <c r="D4490" s="8" t="s">
        <v>8538</v>
      </c>
      <c r="E4490" s="9" t="str">
        <f aca="false">HYPERLINK("https://twitter.com/himdevs/status/922253832242978817","922253832242978817")</f>
        <v>922253832242978817</v>
      </c>
      <c r="F4490" s="10" t="s">
        <v>25</v>
      </c>
      <c r="G4490" s="10" t="n">
        <v>631</v>
      </c>
      <c r="H4490" s="10" t="n">
        <v>1220</v>
      </c>
      <c r="I4490" s="10" t="n">
        <v>1015</v>
      </c>
      <c r="J4490" s="10" t="n">
        <v>0</v>
      </c>
      <c r="K4490" s="10" t="s">
        <v>20</v>
      </c>
      <c r="L4490" s="11" t="n">
        <v>40226.9154050926</v>
      </c>
      <c r="M4490" s="12" t="s">
        <v>868</v>
      </c>
      <c r="N4490" s="12" t="s">
        <v>10757</v>
      </c>
      <c r="O4490" s="9" t="str">
        <f aca="false">HYPERLINK("https://pbs.twimg.com/profile_images/738718800468545536/-0W09AR0_normal.jpg","View")</f>
        <v>View</v>
      </c>
      <c r="P4490" s="10"/>
    </row>
    <row r="4491" customFormat="false" ht="15.75" hidden="false" customHeight="false" outlineLevel="0" collapsed="false">
      <c r="A4491" s="6" t="n">
        <v>43030.7157407407</v>
      </c>
      <c r="B4491" s="7" t="str">
        <f aca="false">HYPERLINK("https://twitter.com/DoomsdaysCW","@DoomsdaysCW")</f>
        <v>@DoomsdaysCW</v>
      </c>
      <c r="C4491" s="8" t="s">
        <v>10758</v>
      </c>
      <c r="D4491" s="8" t="s">
        <v>10759</v>
      </c>
      <c r="E4491" s="9" t="str">
        <f aca="false">HYPERLINK("https://twitter.com/DoomsdaysCW/status/922253904406110209","922253904406110209")</f>
        <v>922253904406110209</v>
      </c>
      <c r="F4491" s="10" t="s">
        <v>39</v>
      </c>
      <c r="G4491" s="10" t="n">
        <v>3600</v>
      </c>
      <c r="H4491" s="10" t="n">
        <v>3945</v>
      </c>
      <c r="I4491" s="10" t="n">
        <v>5</v>
      </c>
      <c r="J4491" s="10" t="n">
        <v>0</v>
      </c>
      <c r="K4491" s="10" t="s">
        <v>20</v>
      </c>
      <c r="L4491" s="11" t="n">
        <v>41605.824224537</v>
      </c>
      <c r="M4491" s="12" t="s">
        <v>7740</v>
      </c>
      <c r="N4491" s="12" t="s">
        <v>10760</v>
      </c>
      <c r="O4491" s="9" t="str">
        <f aca="false">HYPERLINK("https://pbs.twimg.com/profile_images/802295526263635968/Hi-vs-Rh_normal.jpg","View")</f>
        <v>View</v>
      </c>
      <c r="P4491" s="10"/>
    </row>
    <row r="4492" customFormat="false" ht="15.75" hidden="false" customHeight="false" outlineLevel="0" collapsed="false">
      <c r="A4492" s="6" t="n">
        <v>43030.7158333333</v>
      </c>
      <c r="B4492" s="7" t="str">
        <f aca="false">HYPERLINK("https://twitter.com/rachelmealey","@rachelmealey")</f>
        <v>@rachelmealey</v>
      </c>
      <c r="C4492" s="8" t="s">
        <v>1527</v>
      </c>
      <c r="D4492" s="8" t="s">
        <v>10761</v>
      </c>
      <c r="E4492" s="9" t="str">
        <f aca="false">HYPERLINK("https://twitter.com/rachelmealey/status/922253940783116288","922253940783116288")</f>
        <v>922253940783116288</v>
      </c>
      <c r="F4492" s="10" t="s">
        <v>39</v>
      </c>
      <c r="G4492" s="10" t="n">
        <v>1447</v>
      </c>
      <c r="H4492" s="10" t="n">
        <v>741</v>
      </c>
      <c r="I4492" s="10" t="n">
        <v>0</v>
      </c>
      <c r="J4492" s="10" t="n">
        <v>1</v>
      </c>
      <c r="K4492" s="10" t="s">
        <v>20</v>
      </c>
      <c r="L4492" s="11" t="n">
        <v>39952.5627662037</v>
      </c>
      <c r="M4492" s="12" t="s">
        <v>1529</v>
      </c>
      <c r="N4492" s="12" t="s">
        <v>1530</v>
      </c>
      <c r="O4492" s="9" t="str">
        <f aca="false">HYPERLINK("https://pbs.twimg.com/profile_images/1269290282/rachelmealey_edit_normal.jpg","View")</f>
        <v>View</v>
      </c>
      <c r="P4492" s="10"/>
    </row>
    <row r="4493" customFormat="false" ht="15.75" hidden="false" customHeight="false" outlineLevel="0" collapsed="false">
      <c r="A4493" s="6" t="n">
        <v>43030.7158680556</v>
      </c>
      <c r="B4493" s="7" t="str">
        <f aca="false">HYPERLINK("https://twitter.com/eternalsat","@eternalsat")</f>
        <v>@eternalsat</v>
      </c>
      <c r="C4493" s="8" t="s">
        <v>10762</v>
      </c>
      <c r="D4493" s="8" t="s">
        <v>10750</v>
      </c>
      <c r="E4493" s="9" t="str">
        <f aca="false">HYPERLINK("https://twitter.com/eternalsat/status/922253950929264643","922253950929264643")</f>
        <v>922253950929264643</v>
      </c>
      <c r="F4493" s="10" t="s">
        <v>25</v>
      </c>
      <c r="G4493" s="10" t="n">
        <v>1103</v>
      </c>
      <c r="H4493" s="10" t="n">
        <v>2798</v>
      </c>
      <c r="I4493" s="10" t="n">
        <v>4</v>
      </c>
      <c r="J4493" s="10" t="n">
        <v>0</v>
      </c>
      <c r="K4493" s="10" t="s">
        <v>20</v>
      </c>
      <c r="L4493" s="11" t="n">
        <v>39996.434837963</v>
      </c>
      <c r="M4493" s="12" t="s">
        <v>5326</v>
      </c>
      <c r="N4493" s="12" t="s">
        <v>10763</v>
      </c>
      <c r="O4493" s="9" t="str">
        <f aca="false">HYPERLINK("https://pbs.twimg.com/profile_images/857040707852406784/7kMkEE58_normal.jpg","View")</f>
        <v>View</v>
      </c>
      <c r="P4493" s="10"/>
    </row>
    <row r="4494" customFormat="false" ht="15.75" hidden="false" customHeight="false" outlineLevel="0" collapsed="false">
      <c r="A4494" s="6" t="n">
        <v>43030.7162152778</v>
      </c>
      <c r="B4494" s="7" t="str">
        <f aca="false">HYPERLINK("https://twitter.com/breakingknowlez","@breakingknowlez")</f>
        <v>@breakingknowlez</v>
      </c>
      <c r="C4494" s="8" t="s">
        <v>9708</v>
      </c>
      <c r="D4494" s="8" t="s">
        <v>10764</v>
      </c>
      <c r="E4494" s="9" t="str">
        <f aca="false">HYPERLINK("https://twitter.com/breakingknowlez/status/922254078213873670","922254078213873670")</f>
        <v>922254078213873670</v>
      </c>
      <c r="F4494" s="10" t="s">
        <v>55</v>
      </c>
      <c r="G4494" s="10" t="n">
        <v>379</v>
      </c>
      <c r="H4494" s="10" t="n">
        <v>100</v>
      </c>
      <c r="I4494" s="10" t="n">
        <v>0</v>
      </c>
      <c r="J4494" s="10" t="n">
        <v>0</v>
      </c>
      <c r="K4494" s="10" t="s">
        <v>20</v>
      </c>
      <c r="L4494" s="11" t="n">
        <v>41087.2706134259</v>
      </c>
      <c r="M4494" s="12" t="s">
        <v>7434</v>
      </c>
      <c r="N4494" s="12" t="s">
        <v>9710</v>
      </c>
      <c r="O4494" s="9" t="str">
        <f aca="false">HYPERLINK("https://pbs.twimg.com/profile_images/665966096663506944/cBf1Cg_c_normal.png","View")</f>
        <v>View</v>
      </c>
      <c r="P4494" s="10"/>
    </row>
    <row r="4495" customFormat="false" ht="15.75" hidden="false" customHeight="false" outlineLevel="0" collapsed="false">
      <c r="A4495" s="6" t="n">
        <v>43030.7168402778</v>
      </c>
      <c r="B4495" s="7" t="str">
        <f aca="false">HYPERLINK("https://twitter.com/_Pragnik","@_Pragnik")</f>
        <v>@_Pragnik</v>
      </c>
      <c r="C4495" s="8" t="s">
        <v>1517</v>
      </c>
      <c r="D4495" s="8" t="s">
        <v>7590</v>
      </c>
      <c r="E4495" s="9" t="str">
        <f aca="false">HYPERLINK("https://twitter.com/_Pragnik/status/922254304924205056","922254304924205056")</f>
        <v>922254304924205056</v>
      </c>
      <c r="F4495" s="10" t="s">
        <v>25</v>
      </c>
      <c r="G4495" s="10" t="n">
        <v>781</v>
      </c>
      <c r="H4495" s="10" t="n">
        <v>7</v>
      </c>
      <c r="I4495" s="10" t="n">
        <v>2</v>
      </c>
      <c r="J4495" s="10" t="n">
        <v>0</v>
      </c>
      <c r="K4495" s="10" t="s">
        <v>20</v>
      </c>
      <c r="L4495" s="11" t="n">
        <v>42457.7417476852</v>
      </c>
      <c r="M4495" s="12"/>
      <c r="N4495" s="12" t="s">
        <v>1518</v>
      </c>
      <c r="O4495" s="9" t="str">
        <f aca="false">HYPERLINK("https://pbs.twimg.com/profile_images/865438481576624129/3rMR7Ldg_normal.jpg","View")</f>
        <v>View</v>
      </c>
      <c r="P4495" s="10"/>
    </row>
    <row r="4496" customFormat="false" ht="15.75" hidden="false" customHeight="false" outlineLevel="0" collapsed="false">
      <c r="A4496" s="6" t="n">
        <v>43030.716875</v>
      </c>
      <c r="B4496" s="7" t="str">
        <f aca="false">HYPERLINK("https://twitter.com/NarenMenon1","@NarenMenon1")</f>
        <v>@NarenMenon1</v>
      </c>
      <c r="C4496" s="8" t="s">
        <v>5787</v>
      </c>
      <c r="D4496" s="8" t="s">
        <v>8538</v>
      </c>
      <c r="E4496" s="9" t="str">
        <f aca="false">HYPERLINK("https://twitter.com/NarenMenon1/status/922254316156608512","922254316156608512")</f>
        <v>922254316156608512</v>
      </c>
      <c r="F4496" s="10" t="s">
        <v>51</v>
      </c>
      <c r="G4496" s="10" t="n">
        <v>2649</v>
      </c>
      <c r="H4496" s="10" t="n">
        <v>487</v>
      </c>
      <c r="I4496" s="10" t="n">
        <v>1015</v>
      </c>
      <c r="J4496" s="10" t="n">
        <v>0</v>
      </c>
      <c r="K4496" s="10" t="s">
        <v>20</v>
      </c>
      <c r="L4496" s="11" t="n">
        <v>41355.8394328704</v>
      </c>
      <c r="M4496" s="12" t="s">
        <v>5788</v>
      </c>
      <c r="N4496" s="12" t="s">
        <v>5789</v>
      </c>
      <c r="O4496" s="9" t="str">
        <f aca="false">HYPERLINK("https://pbs.twimg.com/profile_images/543373288555040768/wLIQrJK-_normal.jpeg","View")</f>
        <v>View</v>
      </c>
      <c r="P4496" s="10"/>
    </row>
    <row r="4497" customFormat="false" ht="15.75" hidden="false" customHeight="false" outlineLevel="0" collapsed="false">
      <c r="A4497" s="6" t="n">
        <v>43030.7169097222</v>
      </c>
      <c r="B4497" s="7" t="str">
        <f aca="false">HYPERLINK("https://twitter.com/Rico05645968","@Rico05645968")</f>
        <v>@Rico05645968</v>
      </c>
      <c r="C4497" s="8" t="s">
        <v>10765</v>
      </c>
      <c r="D4497" s="8" t="s">
        <v>7803</v>
      </c>
      <c r="E4497" s="9" t="str">
        <f aca="false">HYPERLINK("https://twitter.com/Rico05645968/status/922254330438205441","922254330438205441")</f>
        <v>922254330438205441</v>
      </c>
      <c r="F4497" s="10" t="s">
        <v>25</v>
      </c>
      <c r="G4497" s="10" t="n">
        <v>3660</v>
      </c>
      <c r="H4497" s="10" t="n">
        <v>2716</v>
      </c>
      <c r="I4497" s="10" t="n">
        <v>30</v>
      </c>
      <c r="J4497" s="10" t="n">
        <v>0</v>
      </c>
      <c r="K4497" s="10" t="s">
        <v>20</v>
      </c>
      <c r="L4497" s="11" t="n">
        <v>42072.878599537</v>
      </c>
      <c r="M4497" s="13" t="s">
        <v>10766</v>
      </c>
      <c r="N4497" s="13" t="s">
        <v>10767</v>
      </c>
      <c r="O4497" s="9" t="str">
        <f aca="false">HYPERLINK("https://pbs.twimg.com/profile_images/636674406861791232/Ob3mtoKu_normal.jpg","View")</f>
        <v>View</v>
      </c>
      <c r="P4497" s="10"/>
    </row>
    <row r="4498" customFormat="false" ht="15.75" hidden="false" customHeight="false" outlineLevel="0" collapsed="false">
      <c r="A4498" s="6" t="n">
        <v>43030.7169560185</v>
      </c>
      <c r="B4498" s="7" t="str">
        <f aca="false">HYPERLINK("https://twitter.com/jealvarezb343","@jealvarezb343")</f>
        <v>@jealvarezb343</v>
      </c>
      <c r="C4498" s="8" t="s">
        <v>10768</v>
      </c>
      <c r="D4498" s="8" t="s">
        <v>10769</v>
      </c>
      <c r="E4498" s="9" t="str">
        <f aca="false">HYPERLINK("https://twitter.com/jealvarezb343/status/922254348012400640","922254348012400640")</f>
        <v>922254348012400640</v>
      </c>
      <c r="F4498" s="10" t="s">
        <v>60</v>
      </c>
      <c r="G4498" s="10" t="n">
        <v>77131</v>
      </c>
      <c r="H4498" s="10" t="n">
        <v>74917</v>
      </c>
      <c r="I4498" s="10" t="n">
        <v>0</v>
      </c>
      <c r="J4498" s="10" t="n">
        <v>0</v>
      </c>
      <c r="K4498" s="10" t="s">
        <v>20</v>
      </c>
      <c r="L4498" s="11" t="n">
        <v>41482.3219097222</v>
      </c>
      <c r="M4498" s="12" t="s">
        <v>10770</v>
      </c>
      <c r="N4498" s="12" t="s">
        <v>10771</v>
      </c>
      <c r="O4498" s="9" t="str">
        <f aca="false">HYPERLINK("https://pbs.twimg.com/profile_images/892145109512458241/hCeuJICZ_normal.jpg","View")</f>
        <v>View</v>
      </c>
      <c r="P4498" s="10"/>
    </row>
    <row r="4499" customFormat="false" ht="15.75" hidden="false" customHeight="false" outlineLevel="0" collapsed="false">
      <c r="A4499" s="6" t="n">
        <v>43030.7169907407</v>
      </c>
      <c r="B4499" s="7" t="str">
        <f aca="false">HYPERLINK("https://twitter.com/Rico05645968","@Rico05645968")</f>
        <v>@Rico05645968</v>
      </c>
      <c r="C4499" s="8" t="s">
        <v>10765</v>
      </c>
      <c r="D4499" s="8" t="s">
        <v>6707</v>
      </c>
      <c r="E4499" s="9" t="str">
        <f aca="false">HYPERLINK("https://twitter.com/Rico05645968/status/922254357965369344","922254357965369344")</f>
        <v>922254357965369344</v>
      </c>
      <c r="F4499" s="10" t="s">
        <v>25</v>
      </c>
      <c r="G4499" s="10" t="n">
        <v>3660</v>
      </c>
      <c r="H4499" s="10" t="n">
        <v>2716</v>
      </c>
      <c r="I4499" s="10" t="n">
        <v>97</v>
      </c>
      <c r="J4499" s="10" t="n">
        <v>0</v>
      </c>
      <c r="K4499" s="10" t="s">
        <v>20</v>
      </c>
      <c r="L4499" s="11" t="n">
        <v>42072.878599537</v>
      </c>
      <c r="M4499" s="13" t="s">
        <v>10766</v>
      </c>
      <c r="N4499" s="13" t="s">
        <v>10767</v>
      </c>
      <c r="O4499" s="9" t="str">
        <f aca="false">HYPERLINK("https://pbs.twimg.com/profile_images/636674406861791232/Ob3mtoKu_normal.jpg","View")</f>
        <v>View</v>
      </c>
      <c r="P4499" s="10"/>
    </row>
    <row r="4500" customFormat="false" ht="15.75" hidden="false" customHeight="false" outlineLevel="0" collapsed="false">
      <c r="A4500" s="6" t="n">
        <v>43030.7173958333</v>
      </c>
      <c r="B4500" s="7" t="str">
        <f aca="false">HYPERLINK("https://twitter.com/SankaPadma","@SankaPadma")</f>
        <v>@SankaPadma</v>
      </c>
      <c r="C4500" s="8" t="s">
        <v>10772</v>
      </c>
      <c r="D4500" s="8" t="s">
        <v>8538</v>
      </c>
      <c r="E4500" s="9" t="str">
        <f aca="false">HYPERLINK("https://twitter.com/SankaPadma/status/922254504422232064","922254504422232064")</f>
        <v>922254504422232064</v>
      </c>
      <c r="F4500" s="10" t="s">
        <v>39</v>
      </c>
      <c r="G4500" s="10" t="n">
        <v>1300</v>
      </c>
      <c r="H4500" s="10" t="n">
        <v>1015</v>
      </c>
      <c r="I4500" s="10" t="n">
        <v>1015</v>
      </c>
      <c r="J4500" s="10" t="n">
        <v>0</v>
      </c>
      <c r="K4500" s="10" t="s">
        <v>20</v>
      </c>
      <c r="L4500" s="11" t="n">
        <v>40466.8097569444</v>
      </c>
      <c r="M4500" s="12"/>
      <c r="N4500" s="12" t="s">
        <v>10773</v>
      </c>
      <c r="O4500" s="9" t="str">
        <f aca="false">HYPERLINK("https://pbs.twimg.com/profile_images/759149343819436032/5fKOjwUf_normal.jpg","View")</f>
        <v>View</v>
      </c>
      <c r="P4500" s="10"/>
    </row>
    <row r="4501" customFormat="false" ht="15.75" hidden="false" customHeight="false" outlineLevel="0" collapsed="false">
      <c r="A4501" s="6" t="n">
        <v>43030.7175115741</v>
      </c>
      <c r="B4501" s="7" t="str">
        <f aca="false">HYPERLINK("https://twitter.com/_Pragnik","@_Pragnik")</f>
        <v>@_Pragnik</v>
      </c>
      <c r="C4501" s="8" t="s">
        <v>1517</v>
      </c>
      <c r="D4501" s="8" t="s">
        <v>6707</v>
      </c>
      <c r="E4501" s="9" t="str">
        <f aca="false">HYPERLINK("https://twitter.com/_Pragnik/status/922254547086598144","922254547086598144")</f>
        <v>922254547086598144</v>
      </c>
      <c r="F4501" s="10" t="s">
        <v>25</v>
      </c>
      <c r="G4501" s="10" t="n">
        <v>781</v>
      </c>
      <c r="H4501" s="10" t="n">
        <v>7</v>
      </c>
      <c r="I4501" s="10" t="n">
        <v>97</v>
      </c>
      <c r="J4501" s="10" t="n">
        <v>0</v>
      </c>
      <c r="K4501" s="10" t="s">
        <v>20</v>
      </c>
      <c r="L4501" s="11" t="n">
        <v>42457.7417476852</v>
      </c>
      <c r="M4501" s="12"/>
      <c r="N4501" s="12" t="s">
        <v>1518</v>
      </c>
      <c r="O4501" s="9" t="str">
        <f aca="false">HYPERLINK("https://pbs.twimg.com/profile_images/865438481576624129/3rMR7Ldg_normal.jpg","View")</f>
        <v>View</v>
      </c>
      <c r="P4501" s="10"/>
    </row>
    <row r="4502" customFormat="false" ht="15.75" hidden="false" customHeight="false" outlineLevel="0" collapsed="false">
      <c r="A4502" s="6" t="n">
        <v>43030.7181018519</v>
      </c>
      <c r="B4502" s="7" t="str">
        <f aca="false">HYPERLINK("https://twitter.com/wisechanakya","@wisechanakya")</f>
        <v>@wisechanakya</v>
      </c>
      <c r="C4502" s="8" t="s">
        <v>10774</v>
      </c>
      <c r="D4502" s="8" t="s">
        <v>8538</v>
      </c>
      <c r="E4502" s="9" t="str">
        <f aca="false">HYPERLINK("https://twitter.com/wisechanakya/status/922254762308861952","922254762308861952")</f>
        <v>922254762308861952</v>
      </c>
      <c r="F4502" s="10" t="s">
        <v>51</v>
      </c>
      <c r="G4502" s="10" t="n">
        <v>517</v>
      </c>
      <c r="H4502" s="10" t="n">
        <v>166</v>
      </c>
      <c r="I4502" s="10" t="n">
        <v>1015</v>
      </c>
      <c r="J4502" s="10" t="n">
        <v>0</v>
      </c>
      <c r="K4502" s="10" t="s">
        <v>20</v>
      </c>
      <c r="L4502" s="11" t="n">
        <v>40767.4367824074</v>
      </c>
      <c r="M4502" s="12" t="s">
        <v>10775</v>
      </c>
      <c r="N4502" s="12" t="s">
        <v>10776</v>
      </c>
      <c r="O4502" s="9" t="str">
        <f aca="false">HYPERLINK("https://pbs.twimg.com/profile_images/919118092340412416/-mI81z6q_normal.jpg","View")</f>
        <v>View</v>
      </c>
      <c r="P4502" s="10"/>
    </row>
    <row r="4503" customFormat="false" ht="15.75" hidden="false" customHeight="false" outlineLevel="0" collapsed="false">
      <c r="A4503" s="6" t="n">
        <v>43030.7186226852</v>
      </c>
      <c r="B4503" s="7" t="str">
        <f aca="false">HYPERLINK("https://twitter.com/olrockcandymtns","@olrockcandymtns")</f>
        <v>@olrockcandymtns</v>
      </c>
      <c r="C4503" s="8" t="s">
        <v>10777</v>
      </c>
      <c r="D4503" s="8" t="s">
        <v>10525</v>
      </c>
      <c r="E4503" s="9" t="str">
        <f aca="false">HYPERLINK("https://twitter.com/olrockcandymtns/status/922254949374836736","922254949374836736")</f>
        <v>922254949374836736</v>
      </c>
      <c r="F4503" s="10" t="s">
        <v>25</v>
      </c>
      <c r="G4503" s="10" t="n">
        <v>556</v>
      </c>
      <c r="H4503" s="10" t="n">
        <v>151</v>
      </c>
      <c r="I4503" s="10" t="n">
        <v>16</v>
      </c>
      <c r="J4503" s="10" t="n">
        <v>0</v>
      </c>
      <c r="K4503" s="10" t="s">
        <v>20</v>
      </c>
      <c r="L4503" s="11" t="n">
        <v>42502.6847800926</v>
      </c>
      <c r="M4503" s="12"/>
      <c r="N4503" s="12"/>
      <c r="O4503" s="9" t="str">
        <f aca="false">HYPERLINK("https://pbs.twimg.com/profile_images/875383161630461952/POx8WXXx_normal.jpg","View")</f>
        <v>View</v>
      </c>
      <c r="P4503" s="10"/>
    </row>
    <row r="4504" customFormat="false" ht="15.75" hidden="false" customHeight="false" outlineLevel="0" collapsed="false">
      <c r="A4504" s="6" t="n">
        <v>43030.7186458333</v>
      </c>
      <c r="B4504" s="7" t="str">
        <f aca="false">HYPERLINK("https://twitter.com/connect2country","@connect2country")</f>
        <v>@connect2country</v>
      </c>
      <c r="C4504" s="8" t="s">
        <v>10778</v>
      </c>
      <c r="D4504" s="8" t="s">
        <v>8538</v>
      </c>
      <c r="E4504" s="9" t="str">
        <f aca="false">HYPERLINK("https://twitter.com/connect2country/status/922254960263172096","922254960263172096")</f>
        <v>922254960263172096</v>
      </c>
      <c r="F4504" s="10" t="s">
        <v>25</v>
      </c>
      <c r="G4504" s="10" t="n">
        <v>22</v>
      </c>
      <c r="H4504" s="10" t="n">
        <v>80</v>
      </c>
      <c r="I4504" s="10" t="n">
        <v>1015</v>
      </c>
      <c r="J4504" s="10" t="n">
        <v>0</v>
      </c>
      <c r="K4504" s="10" t="s">
        <v>20</v>
      </c>
      <c r="L4504" s="11" t="n">
        <v>42690.1062152778</v>
      </c>
      <c r="M4504" s="12"/>
      <c r="N4504" s="12"/>
      <c r="O4504" s="9" t="str">
        <f aca="false">HYPERLINK("https://pbs.twimg.com/profile_images/831884823241191431/qH1oA4QR_normal.jpg","View")</f>
        <v>View</v>
      </c>
      <c r="P4504" s="10"/>
    </row>
    <row r="4505" customFormat="false" ht="15.75" hidden="false" customHeight="false" outlineLevel="0" collapsed="false">
      <c r="A4505" s="6" t="n">
        <v>43030.7188194445</v>
      </c>
      <c r="B4505" s="7" t="str">
        <f aca="false">HYPERLINK("https://twitter.com/_Pragnik","@_Pragnik")</f>
        <v>@_Pragnik</v>
      </c>
      <c r="C4505" s="8" t="s">
        <v>1517</v>
      </c>
      <c r="D4505" s="8" t="s">
        <v>10779</v>
      </c>
      <c r="E4505" s="9" t="str">
        <f aca="false">HYPERLINK("https://twitter.com/_Pragnik/status/922255022502461442","922255022502461442")</f>
        <v>922255022502461442</v>
      </c>
      <c r="F4505" s="10" t="s">
        <v>25</v>
      </c>
      <c r="G4505" s="10" t="n">
        <v>781</v>
      </c>
      <c r="H4505" s="10" t="n">
        <v>7</v>
      </c>
      <c r="I4505" s="10" t="n">
        <v>1</v>
      </c>
      <c r="J4505" s="10" t="n">
        <v>0</v>
      </c>
      <c r="K4505" s="10" t="s">
        <v>20</v>
      </c>
      <c r="L4505" s="11" t="n">
        <v>42457.7417476852</v>
      </c>
      <c r="M4505" s="12"/>
      <c r="N4505" s="12" t="s">
        <v>1518</v>
      </c>
      <c r="O4505" s="9" t="str">
        <f aca="false">HYPERLINK("https://pbs.twimg.com/profile_images/865438481576624129/3rMR7Ldg_normal.jpg","View")</f>
        <v>View</v>
      </c>
      <c r="P4505" s="10"/>
    </row>
    <row r="4506" customFormat="false" ht="15.75" hidden="false" customHeight="false" outlineLevel="0" collapsed="false">
      <c r="A4506" s="6" t="n">
        <v>43030.7189814815</v>
      </c>
      <c r="B4506" s="7" t="str">
        <f aca="false">HYPERLINK("https://twitter.com/Hichmalumnist","@Hichmalumnist")</f>
        <v>@Hichmalumnist</v>
      </c>
      <c r="C4506" s="8" t="s">
        <v>10780</v>
      </c>
      <c r="D4506" s="8" t="s">
        <v>8538</v>
      </c>
      <c r="E4506" s="9" t="str">
        <f aca="false">HYPERLINK("https://twitter.com/Hichmalumnist/status/922255081155715072","922255081155715072")</f>
        <v>922255081155715072</v>
      </c>
      <c r="F4506" s="10" t="s">
        <v>25</v>
      </c>
      <c r="G4506" s="10" t="n">
        <v>198</v>
      </c>
      <c r="H4506" s="10" t="n">
        <v>252</v>
      </c>
      <c r="I4506" s="10" t="n">
        <v>1015</v>
      </c>
      <c r="J4506" s="10" t="n">
        <v>0</v>
      </c>
      <c r="K4506" s="10" t="s">
        <v>20</v>
      </c>
      <c r="L4506" s="11" t="n">
        <v>40007.0226041667</v>
      </c>
      <c r="M4506" s="12"/>
      <c r="N4506" s="12" t="s">
        <v>10781</v>
      </c>
      <c r="O4506" s="9" t="str">
        <f aca="false">HYPERLINK("https://pbs.twimg.com/profile_images/857918372247465984/vDny-ODy_normal.jpg","View")</f>
        <v>View</v>
      </c>
      <c r="P4506" s="10"/>
    </row>
    <row r="4507" customFormat="false" ht="15.75" hidden="false" customHeight="false" outlineLevel="0" collapsed="false">
      <c r="A4507" s="6" t="n">
        <v>43030.7191203704</v>
      </c>
      <c r="B4507" s="7" t="str">
        <f aca="false">HYPERLINK("https://twitter.com/fuckabe_bot","@fuckabe_bot")</f>
        <v>@fuckabe_bot</v>
      </c>
      <c r="C4507" s="8" t="s">
        <v>10782</v>
      </c>
      <c r="D4507" s="8" t="s">
        <v>10759</v>
      </c>
      <c r="E4507" s="9" t="str">
        <f aca="false">HYPERLINK("https://twitter.com/fuckabe_bot/status/922255129255936000","922255129255936000")</f>
        <v>922255129255936000</v>
      </c>
      <c r="F4507" s="10" t="s">
        <v>25</v>
      </c>
      <c r="G4507" s="10" t="n">
        <v>43</v>
      </c>
      <c r="H4507" s="10" t="n">
        <v>102</v>
      </c>
      <c r="I4507" s="10" t="n">
        <v>5</v>
      </c>
      <c r="J4507" s="10" t="n">
        <v>0</v>
      </c>
      <c r="K4507" s="10" t="s">
        <v>20</v>
      </c>
      <c r="L4507" s="11" t="n">
        <v>42993.711712963</v>
      </c>
      <c r="M4507" s="12"/>
      <c r="N4507" s="12" t="s">
        <v>10783</v>
      </c>
      <c r="O4507" s="9" t="str">
        <f aca="false">HYPERLINK("https://pbs.twimg.com/profile_images/908974832787767297/LVxVJrXG_normal.jpg","View")</f>
        <v>View</v>
      </c>
      <c r="P4507" s="10"/>
    </row>
    <row r="4508" customFormat="false" ht="15.75" hidden="false" customHeight="false" outlineLevel="0" collapsed="false">
      <c r="A4508" s="6" t="n">
        <v>43030.7192592593</v>
      </c>
      <c r="B4508" s="7" t="str">
        <f aca="false">HYPERLINK("https://twitter.com/WashTimes","@WashTimes")</f>
        <v>@WashTimes</v>
      </c>
      <c r="C4508" s="8" t="s">
        <v>10784</v>
      </c>
      <c r="D4508" s="8" t="s">
        <v>10785</v>
      </c>
      <c r="E4508" s="9" t="str">
        <f aca="false">HYPERLINK("https://twitter.com/WashTimes/status/922255179239641089","922255179239641089")</f>
        <v>922255179239641089</v>
      </c>
      <c r="F4508" s="10" t="s">
        <v>276</v>
      </c>
      <c r="G4508" s="10" t="n">
        <v>328180</v>
      </c>
      <c r="H4508" s="10" t="n">
        <v>1774</v>
      </c>
      <c r="I4508" s="10" t="n">
        <v>18</v>
      </c>
      <c r="J4508" s="10" t="n">
        <v>12</v>
      </c>
      <c r="K4508" s="10" t="s">
        <v>20</v>
      </c>
      <c r="L4508" s="11" t="n">
        <v>39573.4468171296</v>
      </c>
      <c r="M4508" s="12" t="s">
        <v>7170</v>
      </c>
      <c r="N4508" s="12" t="s">
        <v>10786</v>
      </c>
      <c r="O4508" s="9" t="str">
        <f aca="false">HYPERLINK("https://pbs.twimg.com/profile_images/880048880292941826/99fsdFko_normal.jpg","View")</f>
        <v>View</v>
      </c>
      <c r="P4508" s="10"/>
    </row>
    <row r="4509" customFormat="false" ht="15.75" hidden="false" customHeight="false" outlineLevel="0" collapsed="false">
      <c r="A4509" s="6" t="n">
        <v>43030.7193171296</v>
      </c>
      <c r="B4509" s="7" t="str">
        <f aca="false">HYPERLINK("https://twitter.com/stategeorges","@stategeorges")</f>
        <v>@stategeorges</v>
      </c>
      <c r="C4509" s="8" t="s">
        <v>10787</v>
      </c>
      <c r="D4509" s="8" t="s">
        <v>10788</v>
      </c>
      <c r="E4509" s="9" t="str">
        <f aca="false">HYPERLINK("https://twitter.com/stategeorges/status/922255200630472705","922255200630472705")</f>
        <v>922255200630472705</v>
      </c>
      <c r="F4509" s="10" t="s">
        <v>177</v>
      </c>
      <c r="G4509" s="10" t="n">
        <v>2035</v>
      </c>
      <c r="H4509" s="10" t="n">
        <v>2989</v>
      </c>
      <c r="I4509" s="10" t="n">
        <v>18</v>
      </c>
      <c r="J4509" s="10" t="n">
        <v>0</v>
      </c>
      <c r="K4509" s="10" t="s">
        <v>20</v>
      </c>
      <c r="L4509" s="11" t="n">
        <v>42690.5191203704</v>
      </c>
      <c r="M4509" s="12" t="s">
        <v>182</v>
      </c>
      <c r="N4509" s="12" t="s">
        <v>10789</v>
      </c>
      <c r="O4509" s="9" t="str">
        <f aca="false">HYPERLINK("https://pbs.twimg.com/profile_images/921423416619659265/o5Lx4XAR_normal.jpg","View")</f>
        <v>View</v>
      </c>
      <c r="P4509" s="10"/>
    </row>
    <row r="4510" customFormat="false" ht="15.75" hidden="false" customHeight="false" outlineLevel="0" collapsed="false">
      <c r="A4510" s="6" t="n">
        <v>43030.7195601852</v>
      </c>
      <c r="B4510" s="7" t="str">
        <f aca="false">HYPERLINK("https://twitter.com/dennis_dammit","@dennis_dammit")</f>
        <v>@dennis_dammit</v>
      </c>
      <c r="C4510" s="8" t="s">
        <v>10790</v>
      </c>
      <c r="D4510" s="8" t="s">
        <v>10788</v>
      </c>
      <c r="E4510" s="9" t="str">
        <f aca="false">HYPERLINK("https://twitter.com/dennis_dammit/status/922255291839844352","922255291839844352")</f>
        <v>922255291839844352</v>
      </c>
      <c r="F4510" s="10" t="s">
        <v>98</v>
      </c>
      <c r="G4510" s="10" t="n">
        <v>122</v>
      </c>
      <c r="H4510" s="10" t="n">
        <v>90</v>
      </c>
      <c r="I4510" s="10" t="n">
        <v>18</v>
      </c>
      <c r="J4510" s="10" t="n">
        <v>0</v>
      </c>
      <c r="K4510" s="10" t="s">
        <v>20</v>
      </c>
      <c r="L4510" s="11" t="n">
        <v>42710.0325347222</v>
      </c>
      <c r="M4510" s="12"/>
      <c r="N4510" s="12" t="s">
        <v>10791</v>
      </c>
      <c r="O4510" s="9" t="str">
        <f aca="false">HYPERLINK("https://pbs.twimg.com/profile_images/807477982910562309/y42r5WNR_normal.jpg","View")</f>
        <v>View</v>
      </c>
      <c r="P4510" s="10"/>
    </row>
    <row r="4511" customFormat="false" ht="15.75" hidden="false" customHeight="false" outlineLevel="0" collapsed="false">
      <c r="A4511" s="6" t="n">
        <v>43030.7196064815</v>
      </c>
      <c r="B4511" s="7" t="str">
        <f aca="false">HYPERLINK("https://twitter.com/prafullaketkar","@prafullaketkar")</f>
        <v>@prafullaketkar</v>
      </c>
      <c r="C4511" s="8" t="s">
        <v>10792</v>
      </c>
      <c r="D4511" s="8" t="s">
        <v>8538</v>
      </c>
      <c r="E4511" s="9" t="str">
        <f aca="false">HYPERLINK("https://twitter.com/prafullaketkar/status/922255308101054464","922255308101054464")</f>
        <v>922255308101054464</v>
      </c>
      <c r="F4511" s="10" t="s">
        <v>25</v>
      </c>
      <c r="G4511" s="10" t="n">
        <v>7104</v>
      </c>
      <c r="H4511" s="10" t="n">
        <v>1998</v>
      </c>
      <c r="I4511" s="10" t="n">
        <v>1015</v>
      </c>
      <c r="J4511" s="10" t="n">
        <v>0</v>
      </c>
      <c r="K4511" s="10" t="s">
        <v>20</v>
      </c>
      <c r="L4511" s="11" t="n">
        <v>41633.1225578704</v>
      </c>
      <c r="M4511" s="12" t="s">
        <v>10793</v>
      </c>
      <c r="N4511" s="12" t="s">
        <v>10794</v>
      </c>
      <c r="O4511" s="9" t="str">
        <f aca="false">HYPERLINK("https://pbs.twimg.com/profile_images/495495909581389824/WM2u9SQb_normal.jpeg","View")</f>
        <v>View</v>
      </c>
      <c r="P4511" s="10"/>
    </row>
    <row r="4512" customFormat="false" ht="15.75" hidden="false" customHeight="false" outlineLevel="0" collapsed="false">
      <c r="A4512" s="6" t="n">
        <v>43030.7199537037</v>
      </c>
      <c r="B4512" s="7" t="str">
        <f aca="false">HYPERLINK("https://twitter.com/mvenkatesh1951","@mvenkatesh1951")</f>
        <v>@mvenkatesh1951</v>
      </c>
      <c r="C4512" s="8" t="s">
        <v>7461</v>
      </c>
      <c r="D4512" s="8" t="s">
        <v>8538</v>
      </c>
      <c r="E4512" s="9" t="str">
        <f aca="false">HYPERLINK("https://twitter.com/mvenkatesh1951/status/922255431283630081","922255431283630081")</f>
        <v>922255431283630081</v>
      </c>
      <c r="F4512" s="10" t="s">
        <v>25</v>
      </c>
      <c r="G4512" s="10" t="n">
        <v>383</v>
      </c>
      <c r="H4512" s="10" t="n">
        <v>182</v>
      </c>
      <c r="I4512" s="10" t="n">
        <v>1015</v>
      </c>
      <c r="J4512" s="10" t="n">
        <v>0</v>
      </c>
      <c r="K4512" s="10" t="s">
        <v>20</v>
      </c>
      <c r="L4512" s="11" t="n">
        <v>40657.0479282407</v>
      </c>
      <c r="M4512" s="12"/>
      <c r="N4512" s="12"/>
      <c r="O4512" s="9" t="str">
        <f aca="false">HYPERLINK("https://pbs.twimg.com/profile_images/885120891494912001/CyheDgjo_normal.jpg","View")</f>
        <v>View</v>
      </c>
      <c r="P4512" s="10"/>
    </row>
    <row r="4513" customFormat="false" ht="15.75" hidden="false" customHeight="false" outlineLevel="0" collapsed="false">
      <c r="A4513" s="6" t="n">
        <v>43030.7202777778</v>
      </c>
      <c r="B4513" s="7" t="str">
        <f aca="false">HYPERLINK("https://twitter.com/JohnBickfordH","@JohnBickfordH")</f>
        <v>@JohnBickfordH</v>
      </c>
      <c r="C4513" s="8" t="s">
        <v>10795</v>
      </c>
      <c r="D4513" s="8" t="s">
        <v>10796</v>
      </c>
      <c r="E4513" s="9" t="str">
        <f aca="false">HYPERLINK("https://twitter.com/JohnBickfordH/status/922255548195753985","922255548195753985")</f>
        <v>922255548195753985</v>
      </c>
      <c r="F4513" s="10" t="s">
        <v>110</v>
      </c>
      <c r="G4513" s="10" t="n">
        <v>3</v>
      </c>
      <c r="H4513" s="10" t="n">
        <v>15</v>
      </c>
      <c r="I4513" s="10" t="n">
        <v>0</v>
      </c>
      <c r="J4513" s="10" t="n">
        <v>0</v>
      </c>
      <c r="K4513" s="10" t="s">
        <v>20</v>
      </c>
      <c r="L4513" s="11" t="n">
        <v>42889.7532986111</v>
      </c>
      <c r="M4513" s="12"/>
      <c r="N4513" s="12"/>
      <c r="O4513" s="9" t="str">
        <f aca="false">HYPERLINK("https://abs.twimg.com/sticky/default_profile_images/default_profile_normal.png","View")</f>
        <v>View</v>
      </c>
      <c r="P4513" s="10"/>
    </row>
    <row r="4514" customFormat="false" ht="15.75" hidden="false" customHeight="false" outlineLevel="0" collapsed="false">
      <c r="A4514" s="6" t="n">
        <v>43030.720625</v>
      </c>
      <c r="B4514" s="7" t="str">
        <f aca="false">HYPERLINK("https://twitter.com/pipelinechic","@pipelinechic")</f>
        <v>@pipelinechic</v>
      </c>
      <c r="C4514" s="8" t="s">
        <v>10797</v>
      </c>
      <c r="D4514" s="8" t="s">
        <v>10788</v>
      </c>
      <c r="E4514" s="9" t="str">
        <f aca="false">HYPERLINK("https://twitter.com/pipelinechic/status/922255675006246912","922255675006246912")</f>
        <v>922255675006246912</v>
      </c>
      <c r="F4514" s="10" t="s">
        <v>25</v>
      </c>
      <c r="G4514" s="10" t="n">
        <v>3515</v>
      </c>
      <c r="H4514" s="10" t="n">
        <v>3631</v>
      </c>
      <c r="I4514" s="10" t="n">
        <v>18</v>
      </c>
      <c r="J4514" s="10" t="n">
        <v>0</v>
      </c>
      <c r="K4514" s="10" t="s">
        <v>20</v>
      </c>
      <c r="L4514" s="11" t="n">
        <v>42306.4853125</v>
      </c>
      <c r="M4514" s="12" t="s">
        <v>601</v>
      </c>
      <c r="N4514" s="12" t="s">
        <v>10798</v>
      </c>
      <c r="O4514" s="9" t="str">
        <f aca="false">HYPERLINK("https://pbs.twimg.com/profile_images/904704990710599680/_NAyB3vD_normal.jpg","View")</f>
        <v>View</v>
      </c>
      <c r="P4514" s="10"/>
    </row>
    <row r="4515" customFormat="false" ht="15.75" hidden="false" customHeight="false" outlineLevel="0" collapsed="false">
      <c r="A4515" s="6" t="n">
        <v>43030.721099537</v>
      </c>
      <c r="B4515" s="7" t="str">
        <f aca="false">HYPERLINK("https://twitter.com/skdonweb","@skdonweb")</f>
        <v>@skdonweb</v>
      </c>
      <c r="C4515" s="8" t="s">
        <v>10799</v>
      </c>
      <c r="D4515" s="8" t="s">
        <v>8538</v>
      </c>
      <c r="E4515" s="9" t="str">
        <f aca="false">HYPERLINK("https://twitter.com/skdonweb/status/922255847064866816","922255847064866816")</f>
        <v>922255847064866816</v>
      </c>
      <c r="F4515" s="10" t="s">
        <v>25</v>
      </c>
      <c r="G4515" s="10" t="n">
        <v>234</v>
      </c>
      <c r="H4515" s="10" t="n">
        <v>559</v>
      </c>
      <c r="I4515" s="10" t="n">
        <v>1015</v>
      </c>
      <c r="J4515" s="10" t="n">
        <v>0</v>
      </c>
      <c r="K4515" s="10" t="s">
        <v>20</v>
      </c>
      <c r="L4515" s="11" t="n">
        <v>39920.1423263889</v>
      </c>
      <c r="M4515" s="12" t="s">
        <v>10800</v>
      </c>
      <c r="N4515" s="12" t="s">
        <v>10801</v>
      </c>
      <c r="O4515" s="9" t="str">
        <f aca="false">HYPERLINK("https://pbs.twimg.com/profile_images/685061024672690176/eV6qMtJj_normal.jpg","View")</f>
        <v>View</v>
      </c>
      <c r="P4515" s="10"/>
    </row>
    <row r="4516" customFormat="false" ht="15.75" hidden="false" customHeight="false" outlineLevel="0" collapsed="false">
      <c r="A4516" s="6" t="n">
        <v>43030.7217013889</v>
      </c>
      <c r="B4516" s="7" t="str">
        <f aca="false">HYPERLINK("https://twitter.com/MAArildsen","@MAArildsen")</f>
        <v>@MAArildsen</v>
      </c>
      <c r="C4516" s="8" t="s">
        <v>10802</v>
      </c>
      <c r="D4516" s="8" t="s">
        <v>10750</v>
      </c>
      <c r="E4516" s="9" t="str">
        <f aca="false">HYPERLINK("https://twitter.com/MAArildsen/status/922256068167782400","922256068167782400")</f>
        <v>922256068167782400</v>
      </c>
      <c r="F4516" s="10" t="s">
        <v>39</v>
      </c>
      <c r="G4516" s="10" t="n">
        <v>473</v>
      </c>
      <c r="H4516" s="10" t="n">
        <v>2059</v>
      </c>
      <c r="I4516" s="10" t="n">
        <v>4</v>
      </c>
      <c r="J4516" s="10" t="n">
        <v>0</v>
      </c>
      <c r="K4516" s="10" t="s">
        <v>20</v>
      </c>
      <c r="L4516" s="11" t="n">
        <v>39956.4235532407</v>
      </c>
      <c r="M4516" s="12" t="s">
        <v>723</v>
      </c>
      <c r="N4516" s="12" t="s">
        <v>10803</v>
      </c>
      <c r="O4516" s="9" t="str">
        <f aca="false">HYPERLINK("https://pbs.twimg.com/profile_images/877880931301904385/Hh37-c55_normal.jpg","View")</f>
        <v>View</v>
      </c>
      <c r="P4516" s="10"/>
    </row>
    <row r="4517" customFormat="false" ht="15.75" hidden="false" customHeight="false" outlineLevel="0" collapsed="false">
      <c r="A4517" s="6" t="n">
        <v>43030.7221064815</v>
      </c>
      <c r="B4517" s="7" t="str">
        <f aca="false">HYPERLINK("https://twitter.com/IndiespensableT","@IndiespensableT")</f>
        <v>@IndiespensableT</v>
      </c>
      <c r="C4517" s="8" t="s">
        <v>10804</v>
      </c>
      <c r="D4517" s="8" t="s">
        <v>10788</v>
      </c>
      <c r="E4517" s="9" t="str">
        <f aca="false">HYPERLINK("https://twitter.com/IndiespensableT/status/922256213936693251","922256213936693251")</f>
        <v>922256213936693251</v>
      </c>
      <c r="F4517" s="10" t="s">
        <v>25</v>
      </c>
      <c r="G4517" s="10" t="n">
        <v>59</v>
      </c>
      <c r="H4517" s="10" t="n">
        <v>268</v>
      </c>
      <c r="I4517" s="10" t="n">
        <v>18</v>
      </c>
      <c r="J4517" s="10" t="n">
        <v>0</v>
      </c>
      <c r="K4517" s="10" t="s">
        <v>20</v>
      </c>
      <c r="L4517" s="11" t="n">
        <v>42499.7236805556</v>
      </c>
      <c r="M4517" s="12"/>
      <c r="N4517" s="12"/>
      <c r="O4517" s="9" t="str">
        <f aca="false">HYPERLINK("https://abs.twimg.com/sticky/default_profile_images/default_profile_normal.png","View")</f>
        <v>View</v>
      </c>
      <c r="P4517" s="10"/>
    </row>
    <row r="4518" customFormat="false" ht="15.75" hidden="false" customHeight="false" outlineLevel="0" collapsed="false">
      <c r="A4518" s="6" t="n">
        <v>43030.7230324074</v>
      </c>
      <c r="B4518" s="7" t="str">
        <f aca="false">HYPERLINK("https://twitter.com/worldnews_net","@worldnews_net")</f>
        <v>@worldnews_net</v>
      </c>
      <c r="C4518" s="8" t="s">
        <v>1738</v>
      </c>
      <c r="D4518" s="8" t="s">
        <v>10805</v>
      </c>
      <c r="E4518" s="9" t="str">
        <f aca="false">HYPERLINK("https://twitter.com/worldnews_net/status/922256547186651136","922256547186651136")</f>
        <v>922256547186651136</v>
      </c>
      <c r="F4518" s="10" t="s">
        <v>60</v>
      </c>
      <c r="G4518" s="10" t="n">
        <v>6454</v>
      </c>
      <c r="H4518" s="10" t="n">
        <v>1317</v>
      </c>
      <c r="I4518" s="10" t="n">
        <v>0</v>
      </c>
      <c r="J4518" s="10" t="n">
        <v>0</v>
      </c>
      <c r="K4518" s="10" t="s">
        <v>20</v>
      </c>
      <c r="L4518" s="11" t="n">
        <v>42056.080162037</v>
      </c>
      <c r="M4518" s="12"/>
      <c r="N4518" s="12" t="s">
        <v>1740</v>
      </c>
      <c r="O4518" s="9" t="str">
        <f aca="false">HYPERLINK("https://pbs.twimg.com/profile_images/570163852034076672/nbok5qlW_normal.jpeg","View")</f>
        <v>View</v>
      </c>
      <c r="P4518" s="10"/>
    </row>
    <row r="4519" customFormat="false" ht="15.75" hidden="false" customHeight="false" outlineLevel="0" collapsed="false">
      <c r="A4519" s="6" t="n">
        <v>43030.7236805556</v>
      </c>
      <c r="B4519" s="7" t="str">
        <f aca="false">HYPERLINK("https://twitter.com/mayfair1958","@mayfair1958")</f>
        <v>@mayfair1958</v>
      </c>
      <c r="C4519" s="8" t="s">
        <v>10806</v>
      </c>
      <c r="D4519" s="8" t="s">
        <v>8538</v>
      </c>
      <c r="E4519" s="9" t="str">
        <f aca="false">HYPERLINK("https://twitter.com/mayfair1958/status/922256785099993088","922256785099993088")</f>
        <v>922256785099993088</v>
      </c>
      <c r="F4519" s="10" t="s">
        <v>25</v>
      </c>
      <c r="G4519" s="10" t="n">
        <v>38</v>
      </c>
      <c r="H4519" s="10" t="n">
        <v>276</v>
      </c>
      <c r="I4519" s="10" t="n">
        <v>1015</v>
      </c>
      <c r="J4519" s="10" t="n">
        <v>0</v>
      </c>
      <c r="K4519" s="10" t="s">
        <v>20</v>
      </c>
      <c r="L4519" s="11" t="n">
        <v>39918.2653009259</v>
      </c>
      <c r="M4519" s="12" t="s">
        <v>10807</v>
      </c>
      <c r="N4519" s="12"/>
      <c r="O4519" s="9" t="str">
        <f aca="false">HYPERLINK("https://pbs.twimg.com/profile_images/906466521727197184/eueFp8p9_normal.jpg","View")</f>
        <v>View</v>
      </c>
      <c r="P4519" s="10"/>
    </row>
    <row r="4520" customFormat="false" ht="15.75" hidden="false" customHeight="false" outlineLevel="0" collapsed="false">
      <c r="A4520" s="6" t="n">
        <v>43030.7238888889</v>
      </c>
      <c r="B4520" s="7" t="str">
        <f aca="false">HYPERLINK("https://twitter.com/vinodshadija","@vinodshadija")</f>
        <v>@vinodshadija</v>
      </c>
      <c r="C4520" s="8" t="s">
        <v>10808</v>
      </c>
      <c r="D4520" s="8" t="s">
        <v>8538</v>
      </c>
      <c r="E4520" s="9" t="str">
        <f aca="false">HYPERLINK("https://twitter.com/vinodshadija/status/922256860651982848","922256860651982848")</f>
        <v>922256860651982848</v>
      </c>
      <c r="F4520" s="10" t="s">
        <v>25</v>
      </c>
      <c r="G4520" s="10" t="n">
        <v>827</v>
      </c>
      <c r="H4520" s="10" t="n">
        <v>179</v>
      </c>
      <c r="I4520" s="10" t="n">
        <v>1015</v>
      </c>
      <c r="J4520" s="10" t="n">
        <v>0</v>
      </c>
      <c r="K4520" s="10" t="s">
        <v>20</v>
      </c>
      <c r="L4520" s="11" t="n">
        <v>39967.2184606481</v>
      </c>
      <c r="M4520" s="12" t="s">
        <v>8668</v>
      </c>
      <c r="N4520" s="12" t="s">
        <v>10809</v>
      </c>
      <c r="O4520" s="9" t="str">
        <f aca="false">HYPERLINK("https://abs.twimg.com/sticky/default_profile_images/default_profile_normal.png","View")</f>
        <v>View</v>
      </c>
      <c r="P4520" s="10"/>
    </row>
    <row r="4521" customFormat="false" ht="15.75" hidden="false" customHeight="false" outlineLevel="0" collapsed="false">
      <c r="A4521" s="6" t="n">
        <v>43030.7243287037</v>
      </c>
      <c r="B4521" s="7" t="str">
        <f aca="false">HYPERLINK("https://twitter.com/JoanneSpruceC21","@JoanneSpruceC21")</f>
        <v>@JoanneSpruceC21</v>
      </c>
      <c r="C4521" s="8" t="s">
        <v>10810</v>
      </c>
      <c r="D4521" s="8" t="s">
        <v>10811</v>
      </c>
      <c r="E4521" s="9" t="str">
        <f aca="false">HYPERLINK("https://twitter.com/JoanneSpruceC21/status/922257019909832705","922257019909832705")</f>
        <v>922257019909832705</v>
      </c>
      <c r="F4521" s="10" t="s">
        <v>39</v>
      </c>
      <c r="G4521" s="10" t="n">
        <v>4086</v>
      </c>
      <c r="H4521" s="10" t="n">
        <v>3927</v>
      </c>
      <c r="I4521" s="10" t="n">
        <v>0</v>
      </c>
      <c r="J4521" s="10" t="n">
        <v>0</v>
      </c>
      <c r="K4521" s="10" t="s">
        <v>20</v>
      </c>
      <c r="L4521" s="11" t="n">
        <v>40648.521712963</v>
      </c>
      <c r="M4521" s="12" t="s">
        <v>10812</v>
      </c>
      <c r="N4521" s="12" t="s">
        <v>10813</v>
      </c>
      <c r="O4521" s="9" t="str">
        <f aca="false">HYPERLINK("https://pbs.twimg.com/profile_images/744987921061556224/v7gTIVr9_normal.jpg","View")</f>
        <v>View</v>
      </c>
      <c r="P4521" s="10"/>
    </row>
    <row r="4522" customFormat="false" ht="15.75" hidden="false" customHeight="false" outlineLevel="0" collapsed="false">
      <c r="A4522" s="6" t="n">
        <v>43030.725787037</v>
      </c>
      <c r="B4522" s="7" t="str">
        <f aca="false">HYPERLINK("https://twitter.com/oscarzulu75","@oscarzulu75")</f>
        <v>@oscarzulu75</v>
      </c>
      <c r="C4522" s="8" t="s">
        <v>10814</v>
      </c>
      <c r="D4522" s="8" t="s">
        <v>10788</v>
      </c>
      <c r="E4522" s="9" t="str">
        <f aca="false">HYPERLINK("https://twitter.com/oscarzulu75/status/922257544604680192","922257544604680192")</f>
        <v>922257544604680192</v>
      </c>
      <c r="F4522" s="10" t="s">
        <v>51</v>
      </c>
      <c r="G4522" s="10" t="n">
        <v>1108</v>
      </c>
      <c r="H4522" s="10" t="n">
        <v>1503</v>
      </c>
      <c r="I4522" s="10" t="n">
        <v>18</v>
      </c>
      <c r="J4522" s="10" t="n">
        <v>0</v>
      </c>
      <c r="K4522" s="10" t="s">
        <v>20</v>
      </c>
      <c r="L4522" s="11" t="n">
        <v>42696.5085532407</v>
      </c>
      <c r="M4522" s="12"/>
      <c r="N4522" s="12"/>
      <c r="O4522" s="9" t="str">
        <f aca="false">HYPERLINK("https://pbs.twimg.com/profile_images/808475796645941248/MudJw0lM_normal.jpg","View")</f>
        <v>View</v>
      </c>
      <c r="P4522" s="10"/>
    </row>
    <row r="4523" customFormat="false" ht="15.75" hidden="false" customHeight="false" outlineLevel="0" collapsed="false">
      <c r="A4523" s="6" t="n">
        <v>43030.7268981481</v>
      </c>
      <c r="B4523" s="7" t="str">
        <f aca="false">HYPERLINK("https://twitter.com/h_kishihara","@h_kishihara")</f>
        <v>@h_kishihara</v>
      </c>
      <c r="C4523" s="8" t="s">
        <v>10815</v>
      </c>
      <c r="D4523" s="8" t="s">
        <v>4984</v>
      </c>
      <c r="E4523" s="9" t="str">
        <f aca="false">HYPERLINK("https://twitter.com/h_kishihara/status/922257950411915264","922257950411915264")</f>
        <v>922257950411915264</v>
      </c>
      <c r="F4523" s="10" t="s">
        <v>39</v>
      </c>
      <c r="G4523" s="10" t="n">
        <v>8</v>
      </c>
      <c r="H4523" s="10" t="n">
        <v>111</v>
      </c>
      <c r="I4523" s="10" t="n">
        <v>187</v>
      </c>
      <c r="J4523" s="10" t="n">
        <v>0</v>
      </c>
      <c r="K4523" s="10" t="s">
        <v>20</v>
      </c>
      <c r="L4523" s="11" t="n">
        <v>40900.7279976852</v>
      </c>
      <c r="M4523" s="12"/>
      <c r="N4523" s="12" t="s">
        <v>10816</v>
      </c>
      <c r="O4523" s="9" t="str">
        <f aca="false">HYPERLINK("https://pbs.twimg.com/profile_images/857797523804626944/tznWFNxu_normal.jpg","View")</f>
        <v>View</v>
      </c>
      <c r="P4523" s="10"/>
    </row>
    <row r="4524" customFormat="false" ht="15.75" hidden="false" customHeight="false" outlineLevel="0" collapsed="false">
      <c r="A4524" s="6" t="n">
        <v>43030.7273148148</v>
      </c>
      <c r="B4524" s="7" t="str">
        <f aca="false">HYPERLINK("https://twitter.com/TruPaola","@TruPaola")</f>
        <v>@TruPaola</v>
      </c>
      <c r="C4524" s="8" t="s">
        <v>10817</v>
      </c>
      <c r="D4524" s="8" t="s">
        <v>10788</v>
      </c>
      <c r="E4524" s="9" t="str">
        <f aca="false">HYPERLINK("https://twitter.com/TruPaola/status/922258101125906432","922258101125906432")</f>
        <v>922258101125906432</v>
      </c>
      <c r="F4524" s="10" t="s">
        <v>98</v>
      </c>
      <c r="G4524" s="10" t="n">
        <v>91</v>
      </c>
      <c r="H4524" s="10" t="n">
        <v>220</v>
      </c>
      <c r="I4524" s="10" t="n">
        <v>18</v>
      </c>
      <c r="J4524" s="10" t="n">
        <v>0</v>
      </c>
      <c r="K4524" s="10" t="s">
        <v>20</v>
      </c>
      <c r="L4524" s="11" t="n">
        <v>41172.9333449074</v>
      </c>
      <c r="M4524" s="12" t="s">
        <v>10818</v>
      </c>
      <c r="N4524" s="12" t="s">
        <v>10819</v>
      </c>
      <c r="O4524" s="9" t="str">
        <f aca="false">HYPERLINK("https://pbs.twimg.com/profile_images/533265612089610240/qm35eb5P_normal.jpeg","View")</f>
        <v>View</v>
      </c>
      <c r="P4524" s="10"/>
    </row>
    <row r="4525" customFormat="false" ht="15.75" hidden="false" customHeight="false" outlineLevel="0" collapsed="false">
      <c r="A4525" s="6" t="n">
        <v>43030.7274074074</v>
      </c>
      <c r="B4525" s="7" t="str">
        <f aca="false">HYPERLINK("https://twitter.com/abcnews","@abcnews")</f>
        <v>@abcnews</v>
      </c>
      <c r="C4525" s="8" t="s">
        <v>9645</v>
      </c>
      <c r="D4525" s="8" t="s">
        <v>10820</v>
      </c>
      <c r="E4525" s="9" t="str">
        <f aca="false">HYPERLINK("https://twitter.com/abcnews/status/922258132201627649","922258132201627649")</f>
        <v>922258132201627649</v>
      </c>
      <c r="F4525" s="10" t="s">
        <v>9647</v>
      </c>
      <c r="G4525" s="10" t="n">
        <v>1399455</v>
      </c>
      <c r="H4525" s="10" t="n">
        <v>1230</v>
      </c>
      <c r="I4525" s="10" t="n">
        <v>6</v>
      </c>
      <c r="J4525" s="10" t="n">
        <v>11</v>
      </c>
      <c r="K4525" s="10" t="s">
        <v>20</v>
      </c>
      <c r="L4525" s="11" t="n">
        <v>39169.8025</v>
      </c>
      <c r="M4525" s="12" t="s">
        <v>1199</v>
      </c>
      <c r="N4525" s="12" t="s">
        <v>9648</v>
      </c>
      <c r="O4525" s="9" t="str">
        <f aca="false">HYPERLINK("https://pbs.twimg.com/profile_images/851166911245107200/4xsqBmY5_normal.jpg","View")</f>
        <v>View</v>
      </c>
      <c r="P4525" s="10"/>
    </row>
    <row r="4526" customFormat="false" ht="15.75" hidden="false" customHeight="false" outlineLevel="0" collapsed="false">
      <c r="A4526" s="6" t="n">
        <v>43030.7281712963</v>
      </c>
      <c r="B4526" s="7" t="str">
        <f aca="false">HYPERLINK("https://twitter.com/0542Madhu","@0542Madhu")</f>
        <v>@0542Madhu</v>
      </c>
      <c r="C4526" s="8" t="s">
        <v>10821</v>
      </c>
      <c r="D4526" s="8" t="s">
        <v>10822</v>
      </c>
      <c r="E4526" s="9" t="str">
        <f aca="false">HYPERLINK("https://twitter.com/0542Madhu/status/922258412452192257","922258412452192257")</f>
        <v>922258412452192257</v>
      </c>
      <c r="F4526" s="10" t="s">
        <v>25</v>
      </c>
      <c r="G4526" s="10" t="n">
        <v>28</v>
      </c>
      <c r="H4526" s="10" t="n">
        <v>772</v>
      </c>
      <c r="I4526" s="10" t="n">
        <v>6</v>
      </c>
      <c r="J4526" s="10" t="n">
        <v>0</v>
      </c>
      <c r="K4526" s="10" t="s">
        <v>20</v>
      </c>
      <c r="L4526" s="11" t="n">
        <v>41893.5197800926</v>
      </c>
      <c r="M4526" s="12" t="s">
        <v>10823</v>
      </c>
      <c r="N4526" s="12" t="s">
        <v>10824</v>
      </c>
      <c r="O4526" s="9" t="str">
        <f aca="false">HYPERLINK("https://pbs.twimg.com/profile_images/917723338625097728/o-iCr4ag_normal.jpg","View")</f>
        <v>View</v>
      </c>
      <c r="P4526" s="10"/>
    </row>
    <row r="4527" customFormat="false" ht="15.75" hidden="false" customHeight="false" outlineLevel="0" collapsed="false">
      <c r="A4527" s="6" t="n">
        <v>43030.7282407407</v>
      </c>
      <c r="B4527" s="7" t="str">
        <f aca="false">HYPERLINK("https://twitter.com/Chlothilde1","@Chlothilde1")</f>
        <v>@Chlothilde1</v>
      </c>
      <c r="C4527" s="14" t="s">
        <v>10825</v>
      </c>
      <c r="D4527" s="8" t="s">
        <v>10168</v>
      </c>
      <c r="E4527" s="9" t="str">
        <f aca="false">HYPERLINK("https://twitter.com/Chlothilde1/status/922258434983989248","922258434983989248")</f>
        <v>922258434983989248</v>
      </c>
      <c r="F4527" s="10" t="s">
        <v>51</v>
      </c>
      <c r="G4527" s="10" t="n">
        <v>929</v>
      </c>
      <c r="H4527" s="10" t="n">
        <v>754</v>
      </c>
      <c r="I4527" s="10" t="n">
        <v>25</v>
      </c>
      <c r="J4527" s="10" t="n">
        <v>0</v>
      </c>
      <c r="K4527" s="10" t="s">
        <v>20</v>
      </c>
      <c r="L4527" s="11" t="n">
        <v>41261.3134722222</v>
      </c>
      <c r="M4527" s="12" t="s">
        <v>1257</v>
      </c>
      <c r="N4527" s="13" t="s">
        <v>10826</v>
      </c>
      <c r="O4527" s="9" t="str">
        <f aca="false">HYPERLINK("https://pbs.twimg.com/profile_images/922921040241504256/3humT5rO_normal.jpg","View")</f>
        <v>View</v>
      </c>
      <c r="P4527" s="10"/>
    </row>
    <row r="4528" customFormat="false" ht="15.75" hidden="false" customHeight="false" outlineLevel="0" collapsed="false">
      <c r="A4528" s="6" t="n">
        <v>43030.7282638889</v>
      </c>
      <c r="B4528" s="7" t="str">
        <f aca="false">HYPERLINK("https://twitter.com/kishimotoyasu","@kishimotoyasu")</f>
        <v>@kishimotoyasu</v>
      </c>
      <c r="C4528" s="14" t="s">
        <v>10827</v>
      </c>
      <c r="D4528" s="8" t="s">
        <v>6707</v>
      </c>
      <c r="E4528" s="9" t="str">
        <f aca="false">HYPERLINK("https://twitter.com/kishimotoyasu/status/922258443183853568","922258443183853568")</f>
        <v>922258443183853568</v>
      </c>
      <c r="F4528" s="10" t="s">
        <v>39</v>
      </c>
      <c r="G4528" s="10" t="n">
        <v>91</v>
      </c>
      <c r="H4528" s="10" t="n">
        <v>214</v>
      </c>
      <c r="I4528" s="10" t="n">
        <v>97</v>
      </c>
      <c r="J4528" s="10" t="n">
        <v>0</v>
      </c>
      <c r="K4528" s="10" t="s">
        <v>20</v>
      </c>
      <c r="L4528" s="11" t="n">
        <v>40441.0583564815</v>
      </c>
      <c r="M4528" s="13" t="s">
        <v>10828</v>
      </c>
      <c r="N4528" s="13" t="s">
        <v>10829</v>
      </c>
      <c r="O4528" s="9" t="str">
        <f aca="false">HYPERLINK("https://pbs.twimg.com/profile_images/3675092445/3d5558480d219a3af75546720f0e1cb3_normal.jpeg","View")</f>
        <v>View</v>
      </c>
      <c r="P4528" s="10"/>
    </row>
    <row r="4529" customFormat="false" ht="15.75" hidden="false" customHeight="false" outlineLevel="0" collapsed="false">
      <c r="A4529" s="6" t="n">
        <v>43030.7289236111</v>
      </c>
      <c r="B4529" s="7" t="str">
        <f aca="false">HYPERLINK("https://twitter.com/Cramdaline","@Cramdaline")</f>
        <v>@Cramdaline</v>
      </c>
      <c r="C4529" s="8" t="s">
        <v>10830</v>
      </c>
      <c r="D4529" s="8" t="s">
        <v>10831</v>
      </c>
      <c r="E4529" s="9" t="str">
        <f aca="false">HYPERLINK("https://twitter.com/Cramdaline/status/922258683861516288","922258683861516288")</f>
        <v>922258683861516288</v>
      </c>
      <c r="F4529" s="10" t="s">
        <v>39</v>
      </c>
      <c r="G4529" s="10" t="n">
        <v>2626</v>
      </c>
      <c r="H4529" s="10" t="n">
        <v>2504</v>
      </c>
      <c r="I4529" s="10" t="n">
        <v>0</v>
      </c>
      <c r="J4529" s="10" t="n">
        <v>0</v>
      </c>
      <c r="K4529" s="10" t="s">
        <v>20</v>
      </c>
      <c r="L4529" s="11" t="n">
        <v>41819.9625810185</v>
      </c>
      <c r="M4529" s="12" t="s">
        <v>10832</v>
      </c>
      <c r="N4529" s="12" t="s">
        <v>10833</v>
      </c>
      <c r="O4529" s="9" t="str">
        <f aca="false">HYPERLINK("https://pbs.twimg.com/profile_images/483580357720031233/ZOtzqKBd_normal.jpeg","View")</f>
        <v>View</v>
      </c>
      <c r="P4529" s="10"/>
    </row>
    <row r="4530" customFormat="false" ht="15.75" hidden="false" customHeight="false" outlineLevel="0" collapsed="false">
      <c r="A4530" s="6" t="n">
        <v>43030.729224537</v>
      </c>
      <c r="B4530" s="7" t="str">
        <f aca="false">HYPERLINK("https://twitter.com/CarlBullock16","@CarlBullock16")</f>
        <v>@CarlBullock16</v>
      </c>
      <c r="C4530" s="8" t="s">
        <v>10834</v>
      </c>
      <c r="D4530" s="8" t="s">
        <v>10835</v>
      </c>
      <c r="E4530" s="9" t="str">
        <f aca="false">HYPERLINK("https://twitter.com/CarlBullock16/status/922258791780958208","922258791780958208")</f>
        <v>922258791780958208</v>
      </c>
      <c r="F4530" s="9" t="s">
        <v>1147</v>
      </c>
      <c r="G4530" s="10" t="n">
        <v>1792</v>
      </c>
      <c r="H4530" s="10" t="n">
        <v>4369</v>
      </c>
      <c r="I4530" s="10" t="n">
        <v>0</v>
      </c>
      <c r="J4530" s="10" t="n">
        <v>0</v>
      </c>
      <c r="K4530" s="10" t="s">
        <v>20</v>
      </c>
      <c r="L4530" s="11" t="n">
        <v>42614.8192708333</v>
      </c>
      <c r="M4530" s="12" t="s">
        <v>491</v>
      </c>
      <c r="N4530" s="12"/>
      <c r="O4530" s="9" t="str">
        <f aca="false">HYPERLINK("https://pbs.twimg.com/profile_images/771542231853375489/tcdBNyZB_normal.jpg","View")</f>
        <v>View</v>
      </c>
      <c r="P4530" s="10"/>
    </row>
    <row r="4531" customFormat="false" ht="15.75" hidden="false" customHeight="false" outlineLevel="0" collapsed="false">
      <c r="A4531" s="6" t="n">
        <v>43030.729525463</v>
      </c>
      <c r="B4531" s="7" t="str">
        <f aca="false">HYPERLINK("https://twitter.com/RealTimeHack","@RealTimeHack")</f>
        <v>@RealTimeHack</v>
      </c>
      <c r="C4531" s="8" t="s">
        <v>2422</v>
      </c>
      <c r="D4531" s="8" t="s">
        <v>10836</v>
      </c>
      <c r="E4531" s="9" t="str">
        <f aca="false">HYPERLINK("https://twitter.com/RealTimeHack/status/922258900241539078","922258900241539078")</f>
        <v>922258900241539078</v>
      </c>
      <c r="F4531" s="10" t="s">
        <v>60</v>
      </c>
      <c r="G4531" s="10" t="n">
        <v>2184</v>
      </c>
      <c r="H4531" s="10" t="n">
        <v>1282</v>
      </c>
      <c r="I4531" s="10" t="n">
        <v>0</v>
      </c>
      <c r="J4531" s="10" t="n">
        <v>0</v>
      </c>
      <c r="K4531" s="10" t="s">
        <v>20</v>
      </c>
      <c r="L4531" s="11" t="n">
        <v>40641.3992013889</v>
      </c>
      <c r="M4531" s="12" t="s">
        <v>2424</v>
      </c>
      <c r="N4531" s="12" t="s">
        <v>2425</v>
      </c>
      <c r="O4531" s="9" t="str">
        <f aca="false">HYPERLINK("https://pbs.twimg.com/profile_images/1304602852/Nuke_Egg_normal.gif","View")</f>
        <v>View</v>
      </c>
      <c r="P4531" s="10"/>
    </row>
    <row r="4532" customFormat="false" ht="15.75" hidden="false" customHeight="false" outlineLevel="0" collapsed="false">
      <c r="A4532" s="6" t="n">
        <v>43030.7303009259</v>
      </c>
      <c r="B4532" s="7" t="str">
        <f aca="false">HYPERLINK("https://twitter.com/GlobalHotNews24","@GlobalHotNews24")</f>
        <v>@GlobalHotNews24</v>
      </c>
      <c r="C4532" s="8" t="s">
        <v>10837</v>
      </c>
      <c r="D4532" s="8" t="s">
        <v>10838</v>
      </c>
      <c r="E4532" s="9" t="str">
        <f aca="false">HYPERLINK("https://twitter.com/GlobalHotNews24/status/922259182488875010","922259182488875010")</f>
        <v>922259182488875010</v>
      </c>
      <c r="F4532" s="10" t="s">
        <v>55</v>
      </c>
      <c r="G4532" s="10" t="n">
        <v>603</v>
      </c>
      <c r="H4532" s="10" t="n">
        <v>1789</v>
      </c>
      <c r="I4532" s="10" t="n">
        <v>0</v>
      </c>
      <c r="J4532" s="10" t="n">
        <v>0</v>
      </c>
      <c r="K4532" s="10" t="s">
        <v>20</v>
      </c>
      <c r="L4532" s="11" t="n">
        <v>42254.1496296296</v>
      </c>
      <c r="M4532" s="12" t="s">
        <v>723</v>
      </c>
      <c r="N4532" s="12"/>
      <c r="O4532" s="9" t="str">
        <f aca="false">HYPERLINK("https://pbs.twimg.com/profile_images/876119822672711680/Tu0YG62Y_normal.jpg","View")</f>
        <v>View</v>
      </c>
      <c r="P4532" s="10"/>
    </row>
    <row r="4533" customFormat="false" ht="15.75" hidden="false" customHeight="false" outlineLevel="0" collapsed="false">
      <c r="A4533" s="6" t="n">
        <v>43030.7303356482</v>
      </c>
      <c r="B4533" s="7" t="str">
        <f aca="false">HYPERLINK("https://twitter.com/SMedia4","@SMedia4")</f>
        <v>@SMedia4</v>
      </c>
      <c r="C4533" s="8" t="s">
        <v>10839</v>
      </c>
      <c r="D4533" s="8" t="s">
        <v>8538</v>
      </c>
      <c r="E4533" s="9" t="str">
        <f aca="false">HYPERLINK("https://twitter.com/SMedia4/status/922259195273138176","922259195273138176")</f>
        <v>922259195273138176</v>
      </c>
      <c r="F4533" s="10" t="s">
        <v>25</v>
      </c>
      <c r="G4533" s="10" t="n">
        <v>6035</v>
      </c>
      <c r="H4533" s="10" t="n">
        <v>2699</v>
      </c>
      <c r="I4533" s="10" t="n">
        <v>1015</v>
      </c>
      <c r="J4533" s="10" t="n">
        <v>0</v>
      </c>
      <c r="K4533" s="10" t="s">
        <v>20</v>
      </c>
      <c r="L4533" s="11" t="n">
        <v>39911.1010416667</v>
      </c>
      <c r="M4533" s="12"/>
      <c r="N4533" s="12" t="s">
        <v>10840</v>
      </c>
      <c r="O4533" s="9" t="str">
        <f aca="false">HYPERLINK("https://pbs.twimg.com/profile_images/823434411005906944/Fh3uP3kj_normal.jpg","View")</f>
        <v>View</v>
      </c>
      <c r="P4533" s="10"/>
    </row>
    <row r="4534" customFormat="false" ht="15.75" hidden="false" customHeight="false" outlineLevel="0" collapsed="false">
      <c r="A4534" s="6" t="n">
        <v>43030.7305092593</v>
      </c>
      <c r="B4534" s="7" t="str">
        <f aca="false">HYPERLINK("https://twitter.com/lintlvieno","@lintlvieno")</f>
        <v>@lintlvieno</v>
      </c>
      <c r="C4534" s="8" t="s">
        <v>10841</v>
      </c>
      <c r="D4534" s="8" t="s">
        <v>10822</v>
      </c>
      <c r="E4534" s="9" t="str">
        <f aca="false">HYPERLINK("https://twitter.com/lintlvieno/status/922259259815088128","922259259815088128")</f>
        <v>922259259815088128</v>
      </c>
      <c r="F4534" s="10" t="s">
        <v>39</v>
      </c>
      <c r="G4534" s="10" t="n">
        <v>836</v>
      </c>
      <c r="H4534" s="10" t="n">
        <v>4514</v>
      </c>
      <c r="I4534" s="10" t="n">
        <v>6</v>
      </c>
      <c r="J4534" s="10" t="n">
        <v>0</v>
      </c>
      <c r="K4534" s="10" t="s">
        <v>20</v>
      </c>
      <c r="L4534" s="11" t="n">
        <v>40659.1018055556</v>
      </c>
      <c r="M4534" s="12" t="s">
        <v>10842</v>
      </c>
      <c r="N4534" s="12" t="s">
        <v>10843</v>
      </c>
      <c r="O4534" s="9" t="str">
        <f aca="false">HYPERLINK("https://pbs.twimg.com/profile_images/910118435270610945/hIcuhDZM_normal.jpg","View")</f>
        <v>View</v>
      </c>
      <c r="P4534" s="10"/>
    </row>
    <row r="4535" customFormat="false" ht="15.75" hidden="false" customHeight="false" outlineLevel="0" collapsed="false">
      <c r="A4535" s="6" t="n">
        <v>43030.7306944444</v>
      </c>
      <c r="B4535" s="7" t="str">
        <f aca="false">HYPERLINK("https://twitter.com/DKCP35","@DKCP35")</f>
        <v>@DKCP35</v>
      </c>
      <c r="C4535" s="8" t="s">
        <v>10844</v>
      </c>
      <c r="D4535" s="8" t="s">
        <v>8538</v>
      </c>
      <c r="E4535" s="9" t="str">
        <f aca="false">HYPERLINK("https://twitter.com/DKCP35/status/922259325627768832","922259325627768832")</f>
        <v>922259325627768832</v>
      </c>
      <c r="F4535" s="10" t="s">
        <v>51</v>
      </c>
      <c r="G4535" s="10" t="n">
        <v>401</v>
      </c>
      <c r="H4535" s="10" t="n">
        <v>71</v>
      </c>
      <c r="I4535" s="10" t="n">
        <v>1015</v>
      </c>
      <c r="J4535" s="10" t="n">
        <v>0</v>
      </c>
      <c r="K4535" s="10" t="s">
        <v>20</v>
      </c>
      <c r="L4535" s="11" t="n">
        <v>42169.0498726852</v>
      </c>
      <c r="M4535" s="12"/>
      <c r="N4535" s="12"/>
      <c r="O4535" s="9" t="str">
        <f aca="false">HYPERLINK("https://pbs.twimg.com/profile_images/622367114398142464/ibKRyQrx_normal.jpg","View")</f>
        <v>View</v>
      </c>
      <c r="P4535" s="10"/>
    </row>
    <row r="4536" customFormat="false" ht="15.75" hidden="false" customHeight="false" outlineLevel="0" collapsed="false">
      <c r="A4536" s="6" t="n">
        <v>43030.7309837963</v>
      </c>
      <c r="B4536" s="7" t="str">
        <f aca="false">HYPERLINK("https://twitter.com/VictorsilveiraO","@VictorsilveiraO")</f>
        <v>@VictorsilveiraO</v>
      </c>
      <c r="C4536" s="8" t="s">
        <v>10845</v>
      </c>
      <c r="D4536" s="8" t="s">
        <v>10846</v>
      </c>
      <c r="E4536" s="9" t="str">
        <f aca="false">HYPERLINK("https://twitter.com/VictorsilveiraO/status/922259431420776449","922259431420776449")</f>
        <v>922259431420776449</v>
      </c>
      <c r="F4536" s="10" t="s">
        <v>110</v>
      </c>
      <c r="G4536" s="10" t="n">
        <v>1186</v>
      </c>
      <c r="H4536" s="10" t="n">
        <v>2326</v>
      </c>
      <c r="I4536" s="10" t="n">
        <v>0</v>
      </c>
      <c r="J4536" s="10" t="n">
        <v>0</v>
      </c>
      <c r="K4536" s="10" t="s">
        <v>20</v>
      </c>
      <c r="L4536" s="11" t="n">
        <v>42165.2818518519</v>
      </c>
      <c r="M4536" s="12"/>
      <c r="N4536" s="12" t="s">
        <v>10847</v>
      </c>
      <c r="O4536" s="9" t="str">
        <f aca="false">HYPERLINK("https://pbs.twimg.com/profile_images/888597616296153092/6ogI3zaJ_normal.jpg","View")</f>
        <v>View</v>
      </c>
      <c r="P4536" s="10"/>
    </row>
    <row r="4537" customFormat="false" ht="15.75" hidden="false" customHeight="false" outlineLevel="0" collapsed="false">
      <c r="A4537" s="6" t="n">
        <v>43030.7315277778</v>
      </c>
      <c r="B4537" s="7" t="str">
        <f aca="false">HYPERLINK("https://twitter.com/GSKMRGURU","@GSKMRGURU")</f>
        <v>@GSKMRGURU</v>
      </c>
      <c r="C4537" s="8" t="s">
        <v>10848</v>
      </c>
      <c r="D4537" s="8" t="s">
        <v>8538</v>
      </c>
      <c r="E4537" s="9" t="str">
        <f aca="false">HYPERLINK("https://twitter.com/GSKMRGURU/status/922259627034546176","922259627034546176")</f>
        <v>922259627034546176</v>
      </c>
      <c r="F4537" s="10" t="s">
        <v>25</v>
      </c>
      <c r="G4537" s="10" t="n">
        <v>1032</v>
      </c>
      <c r="H4537" s="10" t="n">
        <v>139</v>
      </c>
      <c r="I4537" s="10" t="n">
        <v>1015</v>
      </c>
      <c r="J4537" s="10" t="n">
        <v>0</v>
      </c>
      <c r="K4537" s="10" t="s">
        <v>20</v>
      </c>
      <c r="L4537" s="11" t="n">
        <v>41604.809849537</v>
      </c>
      <c r="M4537" s="12" t="s">
        <v>5883</v>
      </c>
      <c r="N4537" s="12"/>
      <c r="O4537" s="9" t="str">
        <f aca="false">HYPERLINK("https://pbs.twimg.com/profile_images/803417853919567872/kAyUy0w__normal.jpg","View")</f>
        <v>View</v>
      </c>
      <c r="P4537" s="10"/>
    </row>
    <row r="4538" customFormat="false" ht="15.75" hidden="false" customHeight="false" outlineLevel="0" collapsed="false">
      <c r="A4538" s="6" t="n">
        <v>43030.7315740741</v>
      </c>
      <c r="B4538" s="7" t="str">
        <f aca="false">HYPERLINK("https://twitter.com/andreamayes11","@andreamayes11")</f>
        <v>@andreamayes11</v>
      </c>
      <c r="C4538" s="8" t="s">
        <v>10849</v>
      </c>
      <c r="D4538" s="8" t="s">
        <v>10822</v>
      </c>
      <c r="E4538" s="9" t="str">
        <f aca="false">HYPERLINK("https://twitter.com/andreamayes11/status/922259644269002752","922259644269002752")</f>
        <v>922259644269002752</v>
      </c>
      <c r="F4538" s="10" t="s">
        <v>276</v>
      </c>
      <c r="G4538" s="10" t="n">
        <v>146</v>
      </c>
      <c r="H4538" s="10" t="n">
        <v>192</v>
      </c>
      <c r="I4538" s="10" t="n">
        <v>6</v>
      </c>
      <c r="J4538" s="10" t="n">
        <v>0</v>
      </c>
      <c r="K4538" s="10" t="s">
        <v>20</v>
      </c>
      <c r="L4538" s="11" t="n">
        <v>41585.0402777778</v>
      </c>
      <c r="M4538" s="12" t="s">
        <v>5847</v>
      </c>
      <c r="N4538" s="12" t="s">
        <v>10850</v>
      </c>
      <c r="O4538" s="9" t="str">
        <f aca="false">HYPERLINK("https://pbs.twimg.com/profile_images/699092068698714112/ch8xG_mh_normal.jpg","View")</f>
        <v>View</v>
      </c>
      <c r="P4538" s="10"/>
    </row>
    <row r="4539" customFormat="false" ht="15.75" hidden="false" customHeight="false" outlineLevel="0" collapsed="false">
      <c r="A4539" s="6" t="n">
        <v>43030.7315740741</v>
      </c>
      <c r="B4539" s="7" t="str">
        <f aca="false">HYPERLINK("https://twitter.com/abcperth","@abcperth")</f>
        <v>@abcperth</v>
      </c>
      <c r="C4539" s="8" t="s">
        <v>10851</v>
      </c>
      <c r="D4539" s="8" t="s">
        <v>10822</v>
      </c>
      <c r="E4539" s="9" t="str">
        <f aca="false">HYPERLINK("https://twitter.com/abcperth/status/922259644323528704","922259644323528704")</f>
        <v>922259644323528704</v>
      </c>
      <c r="F4539" s="10" t="s">
        <v>276</v>
      </c>
      <c r="G4539" s="10" t="n">
        <v>53593</v>
      </c>
      <c r="H4539" s="10" t="n">
        <v>1796</v>
      </c>
      <c r="I4539" s="10" t="n">
        <v>6</v>
      </c>
      <c r="J4539" s="10" t="n">
        <v>0</v>
      </c>
      <c r="K4539" s="10" t="s">
        <v>20</v>
      </c>
      <c r="L4539" s="11" t="n">
        <v>39700.6927546296</v>
      </c>
      <c r="M4539" s="12" t="s">
        <v>10852</v>
      </c>
      <c r="N4539" s="12" t="s">
        <v>10853</v>
      </c>
      <c r="O4539" s="9" t="str">
        <f aca="false">HYPERLINK("https://pbs.twimg.com/profile_images/875608978729730049/1OWY8_Dq_normal.jpg","View")</f>
        <v>View</v>
      </c>
      <c r="P4539" s="10"/>
    </row>
    <row r="4540" customFormat="false" ht="15.75" hidden="false" customHeight="false" outlineLevel="0" collapsed="false">
      <c r="A4540" s="6" t="n">
        <v>43030.7317708333</v>
      </c>
      <c r="B4540" s="7" t="str">
        <f aca="false">HYPERLINK("https://twitter.com/BRIGBIN","@BRIGBIN")</f>
        <v>@BRIGBIN</v>
      </c>
      <c r="C4540" s="8" t="s">
        <v>10854</v>
      </c>
      <c r="D4540" s="8" t="s">
        <v>8538</v>
      </c>
      <c r="E4540" s="9" t="str">
        <f aca="false">HYPERLINK("https://twitter.com/BRIGBIN/status/922259714288664576","922259714288664576")</f>
        <v>922259714288664576</v>
      </c>
      <c r="F4540" s="10" t="s">
        <v>51</v>
      </c>
      <c r="G4540" s="10" t="n">
        <v>17585</v>
      </c>
      <c r="H4540" s="10" t="n">
        <v>5760</v>
      </c>
      <c r="I4540" s="10" t="n">
        <v>1015</v>
      </c>
      <c r="J4540" s="10" t="n">
        <v>0</v>
      </c>
      <c r="K4540" s="10" t="s">
        <v>20</v>
      </c>
      <c r="L4540" s="11" t="n">
        <v>40321.3419212963</v>
      </c>
      <c r="M4540" s="12"/>
      <c r="N4540" s="12" t="s">
        <v>10855</v>
      </c>
      <c r="O4540" s="9" t="str">
        <f aca="false">HYPERLINK("https://pbs.twimg.com/profile_images/378800000691674239/55165a97e20a1c9c2af8bfca86fa3e42_normal.jpeg","View")</f>
        <v>View</v>
      </c>
      <c r="P4540" s="10"/>
    </row>
    <row r="4541" customFormat="false" ht="15.75" hidden="false" customHeight="false" outlineLevel="0" collapsed="false">
      <c r="A4541" s="6" t="n">
        <v>43030.7321296296</v>
      </c>
      <c r="B4541" s="7" t="str">
        <f aca="false">HYPERLINK("https://twitter.com/kim_babac","@kim_babac")</f>
        <v>@kim_babac</v>
      </c>
      <c r="C4541" s="8" t="s">
        <v>9806</v>
      </c>
      <c r="D4541" s="8" t="s">
        <v>10856</v>
      </c>
      <c r="E4541" s="9" t="str">
        <f aca="false">HYPERLINK("https://twitter.com/kim_babac/status/922259843779645440","922259843779645440")</f>
        <v>922259843779645440</v>
      </c>
      <c r="F4541" s="10" t="s">
        <v>60</v>
      </c>
      <c r="G4541" s="10" t="n">
        <v>39</v>
      </c>
      <c r="H4541" s="10" t="n">
        <v>6</v>
      </c>
      <c r="I4541" s="10" t="n">
        <v>0</v>
      </c>
      <c r="J4541" s="10" t="n">
        <v>0</v>
      </c>
      <c r="K4541" s="10" t="s">
        <v>20</v>
      </c>
      <c r="L4541" s="11" t="n">
        <v>42279.0269675926</v>
      </c>
      <c r="M4541" s="12" t="s">
        <v>9808</v>
      </c>
      <c r="N4541" s="12" t="s">
        <v>9809</v>
      </c>
      <c r="O4541" s="9" t="str">
        <f aca="false">HYPERLINK("https://pbs.twimg.com/profile_images/649851338700947456/qRQuARq0_normal.jpg","View")</f>
        <v>View</v>
      </c>
      <c r="P4541" s="10"/>
    </row>
    <row r="4542" customFormat="false" ht="15.75" hidden="false" customHeight="false" outlineLevel="0" collapsed="false">
      <c r="A4542" s="6" t="n">
        <v>43030.7325347222</v>
      </c>
      <c r="B4542" s="7" t="str">
        <f aca="false">HYPERLINK("https://twitter.com/inamoly","@inamoly")</f>
        <v>@inamoly</v>
      </c>
      <c r="C4542" s="8" t="s">
        <v>10857</v>
      </c>
      <c r="D4542" s="8" t="s">
        <v>7803</v>
      </c>
      <c r="E4542" s="9" t="str">
        <f aca="false">HYPERLINK("https://twitter.com/inamoly/status/922259990643064833","922259990643064833")</f>
        <v>922259990643064833</v>
      </c>
      <c r="F4542" s="10" t="s">
        <v>25</v>
      </c>
      <c r="G4542" s="10" t="n">
        <v>1713</v>
      </c>
      <c r="H4542" s="10" t="n">
        <v>354</v>
      </c>
      <c r="I4542" s="10" t="n">
        <v>30</v>
      </c>
      <c r="J4542" s="10" t="n">
        <v>0</v>
      </c>
      <c r="K4542" s="10" t="s">
        <v>20</v>
      </c>
      <c r="L4542" s="11" t="n">
        <v>39189.3246412037</v>
      </c>
      <c r="M4542" s="12" t="s">
        <v>1529</v>
      </c>
      <c r="N4542" s="13" t="s">
        <v>10858</v>
      </c>
      <c r="O4542" s="9" t="str">
        <f aca="false">HYPERLINK("https://pbs.twimg.com/profile_images/1600762713/twit002_normal.jpg","View")</f>
        <v>View</v>
      </c>
      <c r="P4542" s="10"/>
    </row>
    <row r="4543" customFormat="false" ht="15.75" hidden="false" customHeight="false" outlineLevel="0" collapsed="false">
      <c r="A4543" s="6" t="n">
        <v>43030.7325694445</v>
      </c>
      <c r="B4543" s="7" t="str">
        <f aca="false">HYPERLINK("https://twitter.com/AniilkumarAnil","@AniilkumarAnil")</f>
        <v>@AniilkumarAnil</v>
      </c>
      <c r="C4543" s="8" t="s">
        <v>10859</v>
      </c>
      <c r="D4543" s="8" t="s">
        <v>8538</v>
      </c>
      <c r="E4543" s="9" t="str">
        <f aca="false">HYPERLINK("https://twitter.com/AniilkumarAnil/status/922260004081561600","922260004081561600")</f>
        <v>922260004081561600</v>
      </c>
      <c r="F4543" s="10" t="s">
        <v>25</v>
      </c>
      <c r="G4543" s="10" t="n">
        <v>4436</v>
      </c>
      <c r="H4543" s="10" t="n">
        <v>1781</v>
      </c>
      <c r="I4543" s="10" t="n">
        <v>1015</v>
      </c>
      <c r="J4543" s="10" t="n">
        <v>0</v>
      </c>
      <c r="K4543" s="10" t="s">
        <v>20</v>
      </c>
      <c r="L4543" s="11" t="n">
        <v>41479.0740972222</v>
      </c>
      <c r="M4543" s="12" t="s">
        <v>10860</v>
      </c>
      <c r="N4543" s="12" t="s">
        <v>10861</v>
      </c>
      <c r="O4543" s="9" t="str">
        <f aca="false">HYPERLINK("https://pbs.twimg.com/profile_images/842617030486372352/dQz3T14J_normal.jpg","View")</f>
        <v>View</v>
      </c>
      <c r="P4543" s="10"/>
    </row>
    <row r="4544" customFormat="false" ht="15.75" hidden="false" customHeight="false" outlineLevel="0" collapsed="false">
      <c r="A4544" s="6" t="n">
        <v>43030.7326967593</v>
      </c>
      <c r="B4544" s="7" t="str">
        <f aca="false">HYPERLINK("https://twitter.com/skinnergj","@skinnergj")</f>
        <v>@skinnergj</v>
      </c>
      <c r="C4544" s="8" t="s">
        <v>10862</v>
      </c>
      <c r="D4544" s="8" t="s">
        <v>10863</v>
      </c>
      <c r="E4544" s="9" t="str">
        <f aca="false">HYPERLINK("https://twitter.com/skinnergj/status/922260051632439297","922260051632439297")</f>
        <v>922260051632439297</v>
      </c>
      <c r="F4544" s="10" t="s">
        <v>39</v>
      </c>
      <c r="G4544" s="10" t="n">
        <v>1399</v>
      </c>
      <c r="H4544" s="10" t="n">
        <v>2024</v>
      </c>
      <c r="I4544" s="10" t="n">
        <v>0</v>
      </c>
      <c r="J4544" s="10" t="n">
        <v>0</v>
      </c>
      <c r="K4544" s="10" t="s">
        <v>20</v>
      </c>
      <c r="L4544" s="11" t="n">
        <v>40597.1786111111</v>
      </c>
      <c r="M4544" s="12" t="s">
        <v>1039</v>
      </c>
      <c r="N4544" s="12" t="s">
        <v>10864</v>
      </c>
      <c r="O4544" s="9" t="str">
        <f aca="false">HYPERLINK("https://pbs.twimg.com/profile_images/522909426198388737/sys2zr1H_normal.jpeg","View")</f>
        <v>View</v>
      </c>
      <c r="P4544" s="10"/>
    </row>
    <row r="4545" customFormat="false" ht="15.75" hidden="false" customHeight="false" outlineLevel="0" collapsed="false">
      <c r="A4545" s="6" t="n">
        <v>43030.7327314815</v>
      </c>
      <c r="B4545" s="7" t="str">
        <f aca="false">HYPERLINK("https://twitter.com/Uskeus","@Uskeus")</f>
        <v>@Uskeus</v>
      </c>
      <c r="C4545" s="8" t="s">
        <v>9079</v>
      </c>
      <c r="D4545" s="8" t="s">
        <v>10865</v>
      </c>
      <c r="E4545" s="9" t="str">
        <f aca="false">HYPERLINK("https://twitter.com/Uskeus/status/922260061484933120","922260061484933120")</f>
        <v>922260061484933120</v>
      </c>
      <c r="F4545" s="10" t="s">
        <v>60</v>
      </c>
      <c r="G4545" s="10" t="n">
        <v>5696</v>
      </c>
      <c r="H4545" s="10" t="n">
        <v>220</v>
      </c>
      <c r="I4545" s="10" t="n">
        <v>0</v>
      </c>
      <c r="J4545" s="10" t="n">
        <v>0</v>
      </c>
      <c r="K4545" s="10" t="s">
        <v>20</v>
      </c>
      <c r="L4545" s="11" t="n">
        <v>41205.6555208333</v>
      </c>
      <c r="M4545" s="12" t="s">
        <v>2102</v>
      </c>
      <c r="N4545" s="12" t="s">
        <v>9081</v>
      </c>
      <c r="O4545" s="9" t="str">
        <f aca="false">HYPERLINK("https://pbs.twimg.com/profile_images/846077056089837570/9DcO0UTl_normal.jpg","View")</f>
        <v>View</v>
      </c>
      <c r="P4545" s="10"/>
    </row>
    <row r="4546" customFormat="false" ht="15.75" hidden="false" customHeight="false" outlineLevel="0" collapsed="false">
      <c r="A4546" s="6" t="n">
        <v>43030.7327546296</v>
      </c>
      <c r="B4546" s="7" t="str">
        <f aca="false">HYPERLINK("https://twitter.com/Eagle_0077_","@Eagle_0077_")</f>
        <v>@Eagle_0077_</v>
      </c>
      <c r="C4546" s="8" t="s">
        <v>10866</v>
      </c>
      <c r="D4546" s="8" t="s">
        <v>8538</v>
      </c>
      <c r="E4546" s="9" t="str">
        <f aca="false">HYPERLINK("https://twitter.com/Eagle_0077_/status/922260073384001536","922260073384001536")</f>
        <v>922260073384001536</v>
      </c>
      <c r="F4546" s="10" t="s">
        <v>25</v>
      </c>
      <c r="G4546" s="10" t="n">
        <v>348</v>
      </c>
      <c r="H4546" s="10" t="n">
        <v>2532</v>
      </c>
      <c r="I4546" s="10" t="n">
        <v>1015</v>
      </c>
      <c r="J4546" s="10" t="n">
        <v>0</v>
      </c>
      <c r="K4546" s="10" t="s">
        <v>20</v>
      </c>
      <c r="L4546" s="11" t="n">
        <v>42744.9112731481</v>
      </c>
      <c r="M4546" s="12" t="s">
        <v>10800</v>
      </c>
      <c r="N4546" s="12" t="s">
        <v>10867</v>
      </c>
      <c r="O4546" s="9" t="str">
        <f aca="false">HYPERLINK("https://pbs.twimg.com/profile_images/849149359702847489/Y3oRnbM4_normal.jpg","View")</f>
        <v>View</v>
      </c>
      <c r="P4546" s="10"/>
    </row>
    <row r="4547" customFormat="false" ht="15.75" hidden="false" customHeight="false" outlineLevel="0" collapsed="false">
      <c r="A4547" s="6" t="n">
        <v>43030.7327893519</v>
      </c>
      <c r="B4547" s="7" t="str">
        <f aca="false">HYPERLINK("https://twitter.com/nation1st","@nation1st")</f>
        <v>@nation1st</v>
      </c>
      <c r="C4547" s="8" t="s">
        <v>10868</v>
      </c>
      <c r="D4547" s="8" t="s">
        <v>8538</v>
      </c>
      <c r="E4547" s="9" t="str">
        <f aca="false">HYPERLINK("https://twitter.com/nation1st/status/922260086189207553","922260086189207553")</f>
        <v>922260086189207553</v>
      </c>
      <c r="F4547" s="10" t="s">
        <v>39</v>
      </c>
      <c r="G4547" s="10" t="n">
        <v>1201</v>
      </c>
      <c r="H4547" s="10" t="n">
        <v>828</v>
      </c>
      <c r="I4547" s="10" t="n">
        <v>1015</v>
      </c>
      <c r="J4547" s="10" t="n">
        <v>0</v>
      </c>
      <c r="K4547" s="10" t="s">
        <v>20</v>
      </c>
      <c r="L4547" s="11" t="n">
        <v>39905.3063078704</v>
      </c>
      <c r="M4547" s="12" t="s">
        <v>10869</v>
      </c>
      <c r="N4547" s="12" t="s">
        <v>10870</v>
      </c>
      <c r="O4547" s="9" t="str">
        <f aca="false">HYPERLINK("https://pbs.twimg.com/profile_images/680992880173842432/QfOg7yw3_normal.jpg","View")</f>
        <v>View</v>
      </c>
      <c r="P4547" s="10"/>
    </row>
    <row r="4548" customFormat="false" ht="15.75" hidden="false" customHeight="false" outlineLevel="0" collapsed="false">
      <c r="A4548" s="6" t="n">
        <v>43030.7328703704</v>
      </c>
      <c r="B4548" s="7" t="str">
        <f aca="false">HYPERLINK("https://twitter.com/BillPeriman","@BillPeriman")</f>
        <v>@BillPeriman</v>
      </c>
      <c r="C4548" s="8" t="s">
        <v>10871</v>
      </c>
      <c r="D4548" s="8" t="s">
        <v>10788</v>
      </c>
      <c r="E4548" s="9" t="str">
        <f aca="false">HYPERLINK("https://twitter.com/BillPeriman/status/922260112919625728","922260112919625728")</f>
        <v>922260112919625728</v>
      </c>
      <c r="F4548" s="10" t="s">
        <v>39</v>
      </c>
      <c r="G4548" s="10" t="n">
        <v>31929</v>
      </c>
      <c r="H4548" s="10" t="n">
        <v>27330</v>
      </c>
      <c r="I4548" s="10" t="n">
        <v>18</v>
      </c>
      <c r="J4548" s="10" t="n">
        <v>0</v>
      </c>
      <c r="K4548" s="10" t="s">
        <v>20</v>
      </c>
      <c r="L4548" s="11" t="n">
        <v>40791.5566435185</v>
      </c>
      <c r="M4548" s="12" t="s">
        <v>3932</v>
      </c>
      <c r="N4548" s="12" t="s">
        <v>10872</v>
      </c>
      <c r="O4548" s="9" t="str">
        <f aca="false">HYPERLINK("https://pbs.twimg.com/profile_images/911629931443929088/_QdzJxPY_normal.jpg","View")</f>
        <v>View</v>
      </c>
      <c r="P4548" s="10"/>
    </row>
    <row r="4549" customFormat="false" ht="15.75" hidden="false" customHeight="false" outlineLevel="0" collapsed="false">
      <c r="A4549" s="6" t="n">
        <v>43030.7332986111</v>
      </c>
      <c r="B4549" s="7" t="str">
        <f aca="false">HYPERLINK("https://twitter.com/thaniruravibabu","@thaniruravibabu")</f>
        <v>@thaniruravibabu</v>
      </c>
      <c r="C4549" s="8" t="s">
        <v>10873</v>
      </c>
      <c r="D4549" s="8" t="s">
        <v>8538</v>
      </c>
      <c r="E4549" s="9" t="str">
        <f aca="false">HYPERLINK("https://twitter.com/thaniruravibabu/status/922260268729511936","922260268729511936")</f>
        <v>922260268729511936</v>
      </c>
      <c r="F4549" s="10" t="s">
        <v>51</v>
      </c>
      <c r="G4549" s="10" t="n">
        <v>124</v>
      </c>
      <c r="H4549" s="10" t="n">
        <v>193</v>
      </c>
      <c r="I4549" s="10" t="n">
        <v>1015</v>
      </c>
      <c r="J4549" s="10" t="n">
        <v>0</v>
      </c>
      <c r="K4549" s="10" t="s">
        <v>20</v>
      </c>
      <c r="L4549" s="11" t="n">
        <v>42349.7610416667</v>
      </c>
      <c r="M4549" s="12" t="s">
        <v>10874</v>
      </c>
      <c r="N4549" s="12" t="s">
        <v>10875</v>
      </c>
      <c r="O4549" s="9" t="str">
        <f aca="false">HYPERLINK("https://pbs.twimg.com/profile_images/714652241953701888/cGSAnLZv_normal.jpg","View")</f>
        <v>View</v>
      </c>
      <c r="P4549" s="10"/>
    </row>
    <row r="4550" customFormat="false" ht="15.75" hidden="false" customHeight="false" outlineLevel="0" collapsed="false">
      <c r="A4550" s="6" t="n">
        <v>43030.7333680556</v>
      </c>
      <c r="B4550" s="7" t="str">
        <f aca="false">HYPERLINK("https://twitter.com/OZnewsJapan","@OZnewsJapan")</f>
        <v>@OZnewsJapan</v>
      </c>
      <c r="C4550" s="8" t="s">
        <v>9684</v>
      </c>
      <c r="D4550" s="8" t="s">
        <v>10876</v>
      </c>
      <c r="E4550" s="9" t="str">
        <f aca="false">HYPERLINK("https://twitter.com/OZnewsJapan/status/922260294075785216","922260294075785216")</f>
        <v>922260294075785216</v>
      </c>
      <c r="F4550" s="9" t="s">
        <v>1147</v>
      </c>
      <c r="G4550" s="10" t="n">
        <v>8</v>
      </c>
      <c r="H4550" s="10" t="n">
        <v>0</v>
      </c>
      <c r="I4550" s="10" t="n">
        <v>0</v>
      </c>
      <c r="J4550" s="10" t="n">
        <v>0</v>
      </c>
      <c r="K4550" s="10" t="s">
        <v>20</v>
      </c>
      <c r="L4550" s="11" t="n">
        <v>40855.0989467593</v>
      </c>
      <c r="M4550" s="12"/>
      <c r="N4550" s="12" t="s">
        <v>9686</v>
      </c>
      <c r="O4550" s="9" t="str">
        <f aca="false">HYPERLINK("https://abs.twimg.com/sticky/default_profile_images/default_profile_normal.png","View")</f>
        <v>View</v>
      </c>
      <c r="P4550" s="10"/>
    </row>
    <row r="4551" customFormat="false" ht="15.75" hidden="false" customHeight="false" outlineLevel="0" collapsed="false">
      <c r="A4551" s="6" t="n">
        <v>43030.7341319444</v>
      </c>
      <c r="B4551" s="7" t="str">
        <f aca="false">HYPERLINK("https://twitter.com/ravipassi56","@ravipassi56")</f>
        <v>@ravipassi56</v>
      </c>
      <c r="C4551" s="8" t="s">
        <v>10877</v>
      </c>
      <c r="D4551" s="8" t="s">
        <v>8538</v>
      </c>
      <c r="E4551" s="9" t="str">
        <f aca="false">HYPERLINK("https://twitter.com/ravipassi56/status/922260571386294272","922260571386294272")</f>
        <v>922260571386294272</v>
      </c>
      <c r="F4551" s="10" t="s">
        <v>25</v>
      </c>
      <c r="G4551" s="10" t="n">
        <v>126</v>
      </c>
      <c r="H4551" s="10" t="n">
        <v>223</v>
      </c>
      <c r="I4551" s="10" t="n">
        <v>1015</v>
      </c>
      <c r="J4551" s="10" t="n">
        <v>0</v>
      </c>
      <c r="K4551" s="10" t="s">
        <v>20</v>
      </c>
      <c r="L4551" s="11" t="n">
        <v>41661.8036458333</v>
      </c>
      <c r="M4551" s="12" t="s">
        <v>6635</v>
      </c>
      <c r="N4551" s="12" t="s">
        <v>10878</v>
      </c>
      <c r="O4551" s="9" t="str">
        <f aca="false">HYPERLINK("https://pbs.twimg.com/profile_images/875900004732329984/FXlb3UOX_normal.jpg","View")</f>
        <v>View</v>
      </c>
      <c r="P4551" s="10"/>
    </row>
    <row r="4552" customFormat="false" ht="15.75" hidden="false" customHeight="false" outlineLevel="0" collapsed="false">
      <c r="A4552" s="6" t="n">
        <v>43030.7343055556</v>
      </c>
      <c r="B4552" s="7" t="str">
        <f aca="false">HYPERLINK("https://twitter.com/smt630","@smt630")</f>
        <v>@smt630</v>
      </c>
      <c r="C4552" s="8" t="s">
        <v>10879</v>
      </c>
      <c r="D4552" s="8" t="s">
        <v>10880</v>
      </c>
      <c r="E4552" s="9" t="str">
        <f aca="false">HYPERLINK("https://twitter.com/smt630/status/922260632140779521","922260632140779521")</f>
        <v>922260632140779521</v>
      </c>
      <c r="F4552" s="10" t="s">
        <v>25</v>
      </c>
      <c r="G4552" s="10" t="n">
        <v>195</v>
      </c>
      <c r="H4552" s="10" t="n">
        <v>239</v>
      </c>
      <c r="I4552" s="10" t="n">
        <v>0</v>
      </c>
      <c r="J4552" s="10" t="n">
        <v>0</v>
      </c>
      <c r="K4552" s="10" t="s">
        <v>20</v>
      </c>
      <c r="L4552" s="11" t="n">
        <v>40292.8486921296</v>
      </c>
      <c r="M4552" s="12" t="s">
        <v>860</v>
      </c>
      <c r="N4552" s="12" t="s">
        <v>10881</v>
      </c>
      <c r="O4552" s="9" t="str">
        <f aca="false">HYPERLINK("https://pbs.twimg.com/profile_images/664391322900561920/ur7SHy_X_normal.jpg","View")</f>
        <v>View</v>
      </c>
      <c r="P4552" s="10"/>
    </row>
    <row r="4553" customFormat="false" ht="15.75" hidden="false" customHeight="false" outlineLevel="0" collapsed="false">
      <c r="A4553" s="6" t="n">
        <v>43030.734537037</v>
      </c>
      <c r="B4553" s="7" t="str">
        <f aca="false">HYPERLINK("https://twitter.com/UKElect070515","@UKElect070515")</f>
        <v>@UKElect070515</v>
      </c>
      <c r="C4553" s="8" t="s">
        <v>3100</v>
      </c>
      <c r="D4553" s="8" t="s">
        <v>10882</v>
      </c>
      <c r="E4553" s="9" t="str">
        <f aca="false">HYPERLINK("https://twitter.com/UKElect070515/status/922260716601708544","922260716601708544")</f>
        <v>922260716601708544</v>
      </c>
      <c r="F4553" s="10" t="s">
        <v>60</v>
      </c>
      <c r="G4553" s="10" t="n">
        <v>71</v>
      </c>
      <c r="H4553" s="10" t="n">
        <v>277</v>
      </c>
      <c r="I4553" s="10" t="n">
        <v>0</v>
      </c>
      <c r="J4553" s="10" t="n">
        <v>0</v>
      </c>
      <c r="K4553" s="10" t="s">
        <v>20</v>
      </c>
      <c r="L4553" s="11" t="n">
        <v>42077.5036574074</v>
      </c>
      <c r="M4553" s="12"/>
      <c r="N4553" s="12" t="s">
        <v>3102</v>
      </c>
      <c r="O4553" s="9" t="str">
        <f aca="false">HYPERLINK("https://pbs.twimg.com/profile_images/582431924133728256/jbqYZCMv_normal.png","View")</f>
        <v>View</v>
      </c>
      <c r="P4553" s="10"/>
    </row>
    <row r="4554" customFormat="false" ht="15.75" hidden="false" customHeight="false" outlineLevel="0" collapsed="false">
      <c r="A4554" s="6" t="n">
        <v>43030.7347800926</v>
      </c>
      <c r="B4554" s="7" t="str">
        <f aca="false">HYPERLINK("https://twitter.com/stevenacurtis","@stevenacurtis")</f>
        <v>@stevenacurtis</v>
      </c>
      <c r="C4554" s="8" t="s">
        <v>5100</v>
      </c>
      <c r="D4554" s="8" t="s">
        <v>10883</v>
      </c>
      <c r="E4554" s="9" t="str">
        <f aca="false">HYPERLINK("https://twitter.com/stevenacurtis/status/922260807307497472","922260807307497472")</f>
        <v>922260807307497472</v>
      </c>
      <c r="F4554" s="9" t="s">
        <v>1147</v>
      </c>
      <c r="G4554" s="10" t="n">
        <v>3984</v>
      </c>
      <c r="H4554" s="10" t="n">
        <v>3902</v>
      </c>
      <c r="I4554" s="10" t="n">
        <v>0</v>
      </c>
      <c r="J4554" s="10" t="n">
        <v>0</v>
      </c>
      <c r="K4554" s="10" t="s">
        <v>20</v>
      </c>
      <c r="L4554" s="11" t="n">
        <v>39845.9026388889</v>
      </c>
      <c r="M4554" s="12" t="s">
        <v>5102</v>
      </c>
      <c r="N4554" s="12" t="s">
        <v>5103</v>
      </c>
      <c r="O4554" s="9" t="str">
        <f aca="false">HYPERLINK("https://pbs.twimg.com/profile_images/825733412040409088/R8opUW6U_normal.jpg","View")</f>
        <v>View</v>
      </c>
      <c r="P4554" s="10"/>
    </row>
    <row r="4555" customFormat="false" ht="15.75" hidden="false" customHeight="false" outlineLevel="0" collapsed="false">
      <c r="A4555" s="6" t="n">
        <v>43030.7354513889</v>
      </c>
      <c r="B4555" s="7" t="str">
        <f aca="false">HYPERLINK("https://twitter.com/septcandy","@septcandy")</f>
        <v>@septcandy</v>
      </c>
      <c r="C4555" s="14" t="s">
        <v>10884</v>
      </c>
      <c r="D4555" s="8" t="s">
        <v>10788</v>
      </c>
      <c r="E4555" s="9" t="str">
        <f aca="false">HYPERLINK("https://twitter.com/septcandy/status/922261049310695424","922261049310695424")</f>
        <v>922261049310695424</v>
      </c>
      <c r="F4555" s="10" t="s">
        <v>39</v>
      </c>
      <c r="G4555" s="10" t="n">
        <v>759</v>
      </c>
      <c r="H4555" s="10" t="n">
        <v>249</v>
      </c>
      <c r="I4555" s="10" t="n">
        <v>18</v>
      </c>
      <c r="J4555" s="10" t="n">
        <v>0</v>
      </c>
      <c r="K4555" s="10" t="s">
        <v>20</v>
      </c>
      <c r="L4555" s="11" t="n">
        <v>40132.8364351852</v>
      </c>
      <c r="M4555" s="12" t="s">
        <v>10885</v>
      </c>
      <c r="N4555" s="12" t="s">
        <v>10886</v>
      </c>
      <c r="O4555" s="9" t="str">
        <f aca="false">HYPERLINK("https://pbs.twimg.com/profile_images/1296175312/septcandy1_normal.png","View")</f>
        <v>View</v>
      </c>
      <c r="P4555" s="10"/>
    </row>
    <row r="4556" customFormat="false" ht="15.75" hidden="false" customHeight="false" outlineLevel="0" collapsed="false">
      <c r="A4556" s="6" t="n">
        <v>43030.7358333333</v>
      </c>
      <c r="B4556" s="7" t="str">
        <f aca="false">HYPERLINK("https://twitter.com/ragub6","@ragub6")</f>
        <v>@ragub6</v>
      </c>
      <c r="C4556" s="8" t="s">
        <v>10887</v>
      </c>
      <c r="D4556" s="8" t="s">
        <v>8538</v>
      </c>
      <c r="E4556" s="9" t="str">
        <f aca="false">HYPERLINK("https://twitter.com/ragub6/status/922261188255219712","922261188255219712")</f>
        <v>922261188255219712</v>
      </c>
      <c r="F4556" s="10" t="s">
        <v>51</v>
      </c>
      <c r="G4556" s="10" t="n">
        <v>3574</v>
      </c>
      <c r="H4556" s="10" t="n">
        <v>1666</v>
      </c>
      <c r="I4556" s="10" t="n">
        <v>1015</v>
      </c>
      <c r="J4556" s="10" t="n">
        <v>0</v>
      </c>
      <c r="K4556" s="10" t="s">
        <v>20</v>
      </c>
      <c r="L4556" s="11" t="n">
        <v>40837.2059606482</v>
      </c>
      <c r="M4556" s="12" t="s">
        <v>5883</v>
      </c>
      <c r="N4556" s="12" t="s">
        <v>10888</v>
      </c>
      <c r="O4556" s="9" t="str">
        <f aca="false">HYPERLINK("https://pbs.twimg.com/profile_images/916912387608920064/HAckO4E6_normal.jpg","View")</f>
        <v>View</v>
      </c>
      <c r="P4556" s="10"/>
    </row>
    <row r="4557" customFormat="false" ht="15.75" hidden="false" customHeight="false" outlineLevel="0" collapsed="false">
      <c r="A4557" s="6" t="n">
        <v>43030.7361921296</v>
      </c>
      <c r="B4557" s="7" t="str">
        <f aca="false">HYPERLINK("https://twitter.com/jenkers_en","@jenkers_en")</f>
        <v>@jenkers_en</v>
      </c>
      <c r="C4557" s="8" t="s">
        <v>10889</v>
      </c>
      <c r="D4557" s="8" t="s">
        <v>10890</v>
      </c>
      <c r="E4557" s="9" t="str">
        <f aca="false">HYPERLINK("https://twitter.com/jenkers_en/status/922261316470964226","922261316470964226")</f>
        <v>922261316470964226</v>
      </c>
      <c r="F4557" s="10" t="s">
        <v>10891</v>
      </c>
      <c r="G4557" s="10" t="n">
        <v>1407</v>
      </c>
      <c r="H4557" s="10" t="n">
        <v>272</v>
      </c>
      <c r="I4557" s="10" t="n">
        <v>0</v>
      </c>
      <c r="J4557" s="10" t="n">
        <v>0</v>
      </c>
      <c r="K4557" s="10" t="s">
        <v>20</v>
      </c>
      <c r="L4557" s="11" t="n">
        <v>42082.2414351852</v>
      </c>
      <c r="M4557" s="12" t="s">
        <v>10007</v>
      </c>
      <c r="N4557" s="12" t="s">
        <v>10892</v>
      </c>
      <c r="O4557" s="9" t="str">
        <f aca="false">HYPERLINK("https://pbs.twimg.com/profile_images/588324718677254145/-y5BbeY4_normal.png","View")</f>
        <v>View</v>
      </c>
      <c r="P4557" s="10"/>
    </row>
    <row r="4558" customFormat="false" ht="15.75" hidden="false" customHeight="false" outlineLevel="0" collapsed="false">
      <c r="A4558" s="6" t="n">
        <v>43030.7362731482</v>
      </c>
      <c r="B4558" s="7" t="str">
        <f aca="false">HYPERLINK("https://twitter.com/ksvijayabaskar","@ksvijayabaskar")</f>
        <v>@ksvijayabaskar</v>
      </c>
      <c r="C4558" s="8" t="s">
        <v>6751</v>
      </c>
      <c r="D4558" s="8" t="s">
        <v>8538</v>
      </c>
      <c r="E4558" s="9" t="str">
        <f aca="false">HYPERLINK("https://twitter.com/ksvijayabaskar/status/922261347345186816","922261347345186816")</f>
        <v>922261347345186816</v>
      </c>
      <c r="F4558" s="10" t="s">
        <v>25</v>
      </c>
      <c r="G4558" s="10" t="n">
        <v>171</v>
      </c>
      <c r="H4558" s="10" t="n">
        <v>269</v>
      </c>
      <c r="I4558" s="10" t="n">
        <v>1015</v>
      </c>
      <c r="J4558" s="10" t="n">
        <v>0</v>
      </c>
      <c r="K4558" s="10" t="s">
        <v>20</v>
      </c>
      <c r="L4558" s="11" t="n">
        <v>39730.9902314815</v>
      </c>
      <c r="M4558" s="12" t="s">
        <v>1104</v>
      </c>
      <c r="N4558" s="12" t="s">
        <v>6752</v>
      </c>
      <c r="O4558" s="9" t="str">
        <f aca="false">HYPERLINK("https://pbs.twimg.com/profile_images/916321031521845248/q5VcxOaD_normal.jpg","View")</f>
        <v>View</v>
      </c>
      <c r="P4558" s="10"/>
    </row>
    <row r="4559" customFormat="false" ht="15.75" hidden="false" customHeight="false" outlineLevel="0" collapsed="false">
      <c r="A4559" s="6" t="n">
        <v>43030.7363888889</v>
      </c>
      <c r="B4559" s="7" t="str">
        <f aca="false">HYPERLINK("https://twitter.com/bkartic","@bkartic")</f>
        <v>@bkartic</v>
      </c>
      <c r="C4559" s="8" t="s">
        <v>10893</v>
      </c>
      <c r="D4559" s="8" t="s">
        <v>8538</v>
      </c>
      <c r="E4559" s="9" t="str">
        <f aca="false">HYPERLINK("https://twitter.com/bkartic/status/922261386750595073","922261386750595073")</f>
        <v>922261386750595073</v>
      </c>
      <c r="F4559" s="10" t="s">
        <v>98</v>
      </c>
      <c r="G4559" s="10" t="n">
        <v>179</v>
      </c>
      <c r="H4559" s="10" t="n">
        <v>444</v>
      </c>
      <c r="I4559" s="10" t="n">
        <v>1015</v>
      </c>
      <c r="J4559" s="10" t="n">
        <v>0</v>
      </c>
      <c r="K4559" s="10" t="s">
        <v>20</v>
      </c>
      <c r="L4559" s="11" t="n">
        <v>40639.7760648148</v>
      </c>
      <c r="M4559" s="12" t="s">
        <v>10894</v>
      </c>
      <c r="N4559" s="12" t="s">
        <v>10895</v>
      </c>
      <c r="O4559" s="9" t="str">
        <f aca="false">HYPERLINK("https://pbs.twimg.com/profile_images/2674033253/195e0bc35d974e884f238455bd8407fe_normal.png","View")</f>
        <v>View</v>
      </c>
      <c r="P4559" s="10"/>
    </row>
    <row r="4560" customFormat="false" ht="15.75" hidden="false" customHeight="false" outlineLevel="0" collapsed="false">
      <c r="A4560" s="6" t="n">
        <v>43030.7372337963</v>
      </c>
      <c r="B4560" s="7" t="str">
        <f aca="false">HYPERLINK("https://twitter.com/anirudhbengeri","@anirudhbengeri")</f>
        <v>@anirudhbengeri</v>
      </c>
      <c r="C4560" s="8" t="s">
        <v>7910</v>
      </c>
      <c r="D4560" s="8" t="s">
        <v>7905</v>
      </c>
      <c r="E4560" s="9" t="str">
        <f aca="false">HYPERLINK("https://twitter.com/anirudhbengeri/status/922261693442400256","922261693442400256")</f>
        <v>922261693442400256</v>
      </c>
      <c r="F4560" s="10" t="s">
        <v>51</v>
      </c>
      <c r="G4560" s="10" t="n">
        <v>869</v>
      </c>
      <c r="H4560" s="10" t="n">
        <v>1467</v>
      </c>
      <c r="I4560" s="10" t="n">
        <v>38</v>
      </c>
      <c r="J4560" s="10" t="n">
        <v>0</v>
      </c>
      <c r="K4560" s="10" t="s">
        <v>20</v>
      </c>
      <c r="L4560" s="11" t="n">
        <v>40130.2269328704</v>
      </c>
      <c r="M4560" s="12" t="s">
        <v>7911</v>
      </c>
      <c r="N4560" s="12" t="s">
        <v>7912</v>
      </c>
      <c r="O4560" s="9" t="str">
        <f aca="false">HYPERLINK("https://pbs.twimg.com/profile_images/479845027862962178/NMm1NWZK_normal.jpeg","View")</f>
        <v>View</v>
      </c>
      <c r="P4560" s="10"/>
    </row>
    <row r="4561" customFormat="false" ht="15.75" hidden="false" customHeight="false" outlineLevel="0" collapsed="false">
      <c r="A4561" s="6" t="n">
        <v>43030.737349537</v>
      </c>
      <c r="B4561" s="7" t="str">
        <f aca="false">HYPERLINK("https://twitter.com/IntolerantNipon","@IntolerantNipon")</f>
        <v>@IntolerantNipon</v>
      </c>
      <c r="C4561" s="8" t="s">
        <v>10896</v>
      </c>
      <c r="D4561" s="8" t="s">
        <v>8538</v>
      </c>
      <c r="E4561" s="9" t="str">
        <f aca="false">HYPERLINK("https://twitter.com/IntolerantNipon/status/922261736463392768","922261736463392768")</f>
        <v>922261736463392768</v>
      </c>
      <c r="F4561" s="10" t="s">
        <v>25</v>
      </c>
      <c r="G4561" s="10" t="n">
        <v>20</v>
      </c>
      <c r="H4561" s="10" t="n">
        <v>169</v>
      </c>
      <c r="I4561" s="10" t="n">
        <v>1015</v>
      </c>
      <c r="J4561" s="10" t="n">
        <v>0</v>
      </c>
      <c r="K4561" s="10" t="s">
        <v>20</v>
      </c>
      <c r="L4561" s="11" t="n">
        <v>42403.268125</v>
      </c>
      <c r="M4561" s="12" t="s">
        <v>10897</v>
      </c>
      <c r="N4561" s="12" t="s">
        <v>10898</v>
      </c>
      <c r="O4561" s="9" t="str">
        <f aca="false">HYPERLINK("https://pbs.twimg.com/profile_images/905598725677912065/ifUCepIy_normal.jpg","View")</f>
        <v>View</v>
      </c>
      <c r="P4561" s="10"/>
    </row>
    <row r="4562" customFormat="false" ht="15.75" hidden="false" customHeight="false" outlineLevel="0" collapsed="false">
      <c r="A4562" s="6" t="n">
        <v>43030.7378356482</v>
      </c>
      <c r="B4562" s="7" t="str">
        <f aca="false">HYPERLINK("https://twitter.com/KnowYourLeaker","@KnowYourLeaker")</f>
        <v>@KnowYourLeaker</v>
      </c>
      <c r="C4562" s="8" t="s">
        <v>10899</v>
      </c>
      <c r="D4562" s="8" t="s">
        <v>10900</v>
      </c>
      <c r="E4562" s="9" t="str">
        <f aca="false">HYPERLINK("https://twitter.com/KnowYourLeaker/status/922261911261057025","922261911261057025")</f>
        <v>922261911261057025</v>
      </c>
      <c r="F4562" s="10" t="s">
        <v>10899</v>
      </c>
      <c r="G4562" s="10" t="n">
        <v>475</v>
      </c>
      <c r="H4562" s="10" t="n">
        <v>0</v>
      </c>
      <c r="I4562" s="10" t="n">
        <v>0</v>
      </c>
      <c r="J4562" s="10" t="n">
        <v>0</v>
      </c>
      <c r="K4562" s="10" t="s">
        <v>20</v>
      </c>
      <c r="L4562" s="11" t="n">
        <v>42777.7109837963</v>
      </c>
      <c r="M4562" s="12"/>
      <c r="N4562" s="12" t="s">
        <v>10901</v>
      </c>
      <c r="O4562" s="9" t="str">
        <f aca="false">HYPERLINK("https://pbs.twimg.com/profile_images/830990097109630976/vaqM4Gji_normal.jpg","View")</f>
        <v>View</v>
      </c>
      <c r="P4562" s="10"/>
    </row>
    <row r="4563" customFormat="false" ht="15.75" hidden="false" customHeight="false" outlineLevel="0" collapsed="false">
      <c r="A4563" s="6" t="n">
        <v>43030.7380555556</v>
      </c>
      <c r="B4563" s="7" t="str">
        <f aca="false">HYPERLINK("https://twitter.com/rajdeepsharma","@rajdeepsharma")</f>
        <v>@rajdeepsharma</v>
      </c>
      <c r="C4563" s="8" t="s">
        <v>10902</v>
      </c>
      <c r="D4563" s="8" t="s">
        <v>8538</v>
      </c>
      <c r="E4563" s="9" t="str">
        <f aca="false">HYPERLINK("https://twitter.com/rajdeepsharma/status/922261994186555393","922261994186555393")</f>
        <v>922261994186555393</v>
      </c>
      <c r="F4563" s="10" t="s">
        <v>25</v>
      </c>
      <c r="G4563" s="10" t="n">
        <v>106</v>
      </c>
      <c r="H4563" s="10" t="n">
        <v>94</v>
      </c>
      <c r="I4563" s="10" t="n">
        <v>1015</v>
      </c>
      <c r="J4563" s="10" t="n">
        <v>0</v>
      </c>
      <c r="K4563" s="10" t="s">
        <v>20</v>
      </c>
      <c r="L4563" s="11" t="n">
        <v>40085.3688773148</v>
      </c>
      <c r="M4563" s="12" t="s">
        <v>10903</v>
      </c>
      <c r="N4563" s="12" t="s">
        <v>10904</v>
      </c>
      <c r="O4563" s="9" t="str">
        <f aca="false">HYPERLINK("https://pbs.twimg.com/profile_images/576991586048868352/1b1z15y8_normal.jpeg","View")</f>
        <v>View</v>
      </c>
      <c r="P4563" s="10"/>
    </row>
    <row r="4564" customFormat="false" ht="15.75" hidden="false" customHeight="false" outlineLevel="0" collapsed="false">
      <c r="A4564" s="6" t="n">
        <v>43030.7384143519</v>
      </c>
      <c r="B4564" s="7" t="str">
        <f aca="false">HYPERLINK("https://twitter.com/nana5greatgrand","@nana5greatgrand")</f>
        <v>@nana5greatgrand</v>
      </c>
      <c r="C4564" s="8" t="s">
        <v>10905</v>
      </c>
      <c r="D4564" s="8" t="s">
        <v>10788</v>
      </c>
      <c r="E4564" s="9" t="str">
        <f aca="false">HYPERLINK("https://twitter.com/nana5greatgrand/status/922262123912208384","922262123912208384")</f>
        <v>922262123912208384</v>
      </c>
      <c r="F4564" s="10" t="s">
        <v>25</v>
      </c>
      <c r="G4564" s="10" t="n">
        <v>2848</v>
      </c>
      <c r="H4564" s="10" t="n">
        <v>2550</v>
      </c>
      <c r="I4564" s="10" t="n">
        <v>18</v>
      </c>
      <c r="J4564" s="10" t="n">
        <v>0</v>
      </c>
      <c r="K4564" s="10" t="s">
        <v>20</v>
      </c>
      <c r="L4564" s="11" t="n">
        <v>42562.4339699074</v>
      </c>
      <c r="M4564" s="12" t="s">
        <v>10906</v>
      </c>
      <c r="N4564" s="12" t="s">
        <v>10907</v>
      </c>
      <c r="O4564" s="9" t="str">
        <f aca="false">HYPERLINK("https://abs.twimg.com/sticky/default_profile_images/default_profile_normal.png","View")</f>
        <v>View</v>
      </c>
      <c r="P4564" s="10"/>
    </row>
    <row r="4565" customFormat="false" ht="15.75" hidden="false" customHeight="false" outlineLevel="0" collapsed="false">
      <c r="A4565" s="6" t="n">
        <v>43030.7386226852</v>
      </c>
      <c r="B4565" s="7" t="str">
        <f aca="false">HYPERLINK("https://twitter.com/SunSentinel","@SunSentinel")</f>
        <v>@SunSentinel</v>
      </c>
      <c r="C4565" s="8" t="s">
        <v>10908</v>
      </c>
      <c r="D4565" s="8" t="s">
        <v>10909</v>
      </c>
      <c r="E4565" s="9" t="str">
        <f aca="false">HYPERLINK("https://twitter.com/SunSentinel/status/922262197736235008","922262197736235008")</f>
        <v>922262197736235008</v>
      </c>
      <c r="F4565" s="10" t="s">
        <v>5407</v>
      </c>
      <c r="G4565" s="10" t="n">
        <v>234521</v>
      </c>
      <c r="H4565" s="10" t="n">
        <v>8667</v>
      </c>
      <c r="I4565" s="10" t="n">
        <v>2</v>
      </c>
      <c r="J4565" s="10" t="n">
        <v>0</v>
      </c>
      <c r="K4565" s="10" t="s">
        <v>20</v>
      </c>
      <c r="L4565" s="11" t="n">
        <v>39472.5950925926</v>
      </c>
      <c r="M4565" s="12" t="s">
        <v>10910</v>
      </c>
      <c r="N4565" s="12" t="s">
        <v>10911</v>
      </c>
      <c r="O4565" s="9" t="str">
        <f aca="false">HYPERLINK("https://pbs.twimg.com/profile_images/517098184758136833/QbFR7XJW_normal.png","View")</f>
        <v>View</v>
      </c>
      <c r="P4565" s="10"/>
    </row>
    <row r="4566" customFormat="false" ht="15.75" hidden="false" customHeight="false" outlineLevel="0" collapsed="false">
      <c r="A4566" s="6" t="n">
        <v>43030.7395717593</v>
      </c>
      <c r="B4566" s="7" t="str">
        <f aca="false">HYPERLINK("https://twitter.com/2JenniferLewis","@2JenniferLewis")</f>
        <v>@2JenniferLewis</v>
      </c>
      <c r="C4566" s="8" t="s">
        <v>10912</v>
      </c>
      <c r="D4566" s="8" t="s">
        <v>10913</v>
      </c>
      <c r="E4566" s="9" t="str">
        <f aca="false">HYPERLINK("https://twitter.com/2JenniferLewis/status/922262540117315584","922262540117315584")</f>
        <v>922262540117315584</v>
      </c>
      <c r="F4566" s="10" t="s">
        <v>563</v>
      </c>
      <c r="G4566" s="10" t="n">
        <v>291</v>
      </c>
      <c r="H4566" s="10" t="n">
        <v>194</v>
      </c>
      <c r="I4566" s="10" t="n">
        <v>2</v>
      </c>
      <c r="J4566" s="10" t="n">
        <v>0</v>
      </c>
      <c r="K4566" s="10" t="s">
        <v>20</v>
      </c>
      <c r="L4566" s="11" t="n">
        <v>42431.3753935185</v>
      </c>
      <c r="M4566" s="12" t="s">
        <v>10914</v>
      </c>
      <c r="N4566" s="12" t="s">
        <v>10915</v>
      </c>
      <c r="O4566" s="9" t="str">
        <f aca="false">HYPERLINK("https://pbs.twimg.com/profile_images/705075635031412736/QLI8hyJL_normal.jpg","View")</f>
        <v>View</v>
      </c>
      <c r="P4566" s="10"/>
    </row>
    <row r="4567" customFormat="false" ht="15.75" hidden="false" customHeight="false" outlineLevel="0" collapsed="false">
      <c r="A4567" s="6" t="n">
        <v>43030.7396296296</v>
      </c>
      <c r="B4567" s="7" t="str">
        <f aca="false">HYPERLINK("https://twitter.com/ONGazette","@ONGazette")</f>
        <v>@ONGazette</v>
      </c>
      <c r="C4567" s="8" t="s">
        <v>10916</v>
      </c>
      <c r="D4567" s="8" t="s">
        <v>10917</v>
      </c>
      <c r="E4567" s="9" t="str">
        <f aca="false">HYPERLINK("https://twitter.com/ONGazette/status/922262562561056773","922262562561056773")</f>
        <v>922262562561056773</v>
      </c>
      <c r="F4567" s="10" t="s">
        <v>10918</v>
      </c>
      <c r="G4567" s="10" t="n">
        <v>1160</v>
      </c>
      <c r="H4567" s="10" t="n">
        <v>2383</v>
      </c>
      <c r="I4567" s="10" t="n">
        <v>0</v>
      </c>
      <c r="J4567" s="10" t="n">
        <v>0</v>
      </c>
      <c r="K4567" s="10" t="s">
        <v>20</v>
      </c>
      <c r="L4567" s="11" t="n">
        <v>40626.9933680556</v>
      </c>
      <c r="M4567" s="12" t="s">
        <v>10919</v>
      </c>
      <c r="N4567" s="12" t="s">
        <v>10920</v>
      </c>
      <c r="O4567" s="9" t="str">
        <f aca="false">HYPERLINK("https://pbs.twimg.com/profile_images/881000273920917504/66LeXBZQ_normal.jpg","View")</f>
        <v>View</v>
      </c>
      <c r="P4567" s="10"/>
    </row>
    <row r="4568" customFormat="false" ht="15.75" hidden="false" customHeight="false" outlineLevel="0" collapsed="false">
      <c r="A4568" s="6" t="n">
        <v>43030.7396643519</v>
      </c>
      <c r="B4568" s="7" t="str">
        <f aca="false">HYPERLINK("https://twitter.com/mnjkrchaubey","@mnjkrchaubey")</f>
        <v>@mnjkrchaubey</v>
      </c>
      <c r="C4568" s="8" t="s">
        <v>10921</v>
      </c>
      <c r="D4568" s="8" t="s">
        <v>8538</v>
      </c>
      <c r="E4568" s="9" t="str">
        <f aca="false">HYPERLINK("https://twitter.com/mnjkrchaubey/status/922262574908915713","922262574908915713")</f>
        <v>922262574908915713</v>
      </c>
      <c r="F4568" s="10" t="s">
        <v>98</v>
      </c>
      <c r="G4568" s="10" t="n">
        <v>58</v>
      </c>
      <c r="H4568" s="10" t="n">
        <v>444</v>
      </c>
      <c r="I4568" s="10" t="n">
        <v>1015</v>
      </c>
      <c r="J4568" s="10" t="n">
        <v>0</v>
      </c>
      <c r="K4568" s="10" t="s">
        <v>20</v>
      </c>
      <c r="L4568" s="11" t="n">
        <v>41697.2374652778</v>
      </c>
      <c r="M4568" s="12" t="s">
        <v>10922</v>
      </c>
      <c r="N4568" s="12"/>
      <c r="O4568" s="9" t="str">
        <f aca="false">HYPERLINK("https://pbs.twimg.com/profile_images/475990636558970881/PWDO_1qb_normal.jpeg","View")</f>
        <v>View</v>
      </c>
      <c r="P4568" s="10"/>
    </row>
    <row r="4569" customFormat="false" ht="15.75" hidden="false" customHeight="false" outlineLevel="0" collapsed="false">
      <c r="A4569" s="6" t="n">
        <v>43030.739837963</v>
      </c>
      <c r="B4569" s="7" t="str">
        <f aca="false">HYPERLINK("https://twitter.com/MediaFlood","@MediaFlood")</f>
        <v>@MediaFlood</v>
      </c>
      <c r="C4569" s="8" t="s">
        <v>10923</v>
      </c>
      <c r="D4569" s="8" t="s">
        <v>10924</v>
      </c>
      <c r="E4569" s="9" t="str">
        <f aca="false">HYPERLINK("https://twitter.com/MediaFlood/status/922262638347849730","922262638347849730")</f>
        <v>922262638347849730</v>
      </c>
      <c r="F4569" s="10" t="s">
        <v>10923</v>
      </c>
      <c r="G4569" s="10" t="n">
        <v>226</v>
      </c>
      <c r="H4569" s="10" t="n">
        <v>1</v>
      </c>
      <c r="I4569" s="10" t="n">
        <v>0</v>
      </c>
      <c r="J4569" s="10" t="n">
        <v>0</v>
      </c>
      <c r="K4569" s="10" t="s">
        <v>20</v>
      </c>
      <c r="L4569" s="11" t="n">
        <v>40119.6053703704</v>
      </c>
      <c r="M4569" s="12"/>
      <c r="N4569" s="12" t="s">
        <v>10925</v>
      </c>
      <c r="O4569" s="9" t="str">
        <f aca="false">HYPERLINK("https://pbs.twimg.com/profile_images/633937938548547584/wUFigLVm_normal.png","View")</f>
        <v>View</v>
      </c>
      <c r="P4569" s="10"/>
    </row>
    <row r="4570" customFormat="false" ht="15.75" hidden="false" customHeight="false" outlineLevel="0" collapsed="false">
      <c r="A4570" s="6" t="n">
        <v>43030.7399074074</v>
      </c>
      <c r="B4570" s="7" t="str">
        <f aca="false">HYPERLINK("https://twitter.com/W3LiveNews","@W3LiveNews")</f>
        <v>@W3LiveNews</v>
      </c>
      <c r="C4570" s="8" t="s">
        <v>10926</v>
      </c>
      <c r="D4570" s="8" t="s">
        <v>10927</v>
      </c>
      <c r="E4570" s="9" t="str">
        <f aca="false">HYPERLINK("https://twitter.com/W3LiveNews/status/922262662783709184","922262662783709184")</f>
        <v>922262662783709184</v>
      </c>
      <c r="F4570" s="10" t="s">
        <v>10928</v>
      </c>
      <c r="G4570" s="10" t="n">
        <v>395</v>
      </c>
      <c r="H4570" s="10" t="n">
        <v>173</v>
      </c>
      <c r="I4570" s="10" t="n">
        <v>0</v>
      </c>
      <c r="J4570" s="10" t="n">
        <v>0</v>
      </c>
      <c r="K4570" s="10" t="s">
        <v>20</v>
      </c>
      <c r="L4570" s="11" t="n">
        <v>42229.7661111111</v>
      </c>
      <c r="M4570" s="12" t="s">
        <v>10929</v>
      </c>
      <c r="N4570" s="12" t="s">
        <v>10930</v>
      </c>
      <c r="O4570" s="9" t="str">
        <f aca="false">HYPERLINK("https://pbs.twimg.com/profile_images/631999952630059008/z2wOjMsV_normal.png","View")</f>
        <v>View</v>
      </c>
      <c r="P4570" s="10"/>
    </row>
    <row r="4571" customFormat="false" ht="15.75" hidden="false" customHeight="false" outlineLevel="0" collapsed="false">
      <c r="A4571" s="6" t="n">
        <v>43030.7400115741</v>
      </c>
      <c r="B4571" s="7" t="str">
        <f aca="false">HYPERLINK("https://twitter.com/jgdsantosh1","@jgdsantosh1")</f>
        <v>@jgdsantosh1</v>
      </c>
      <c r="C4571" s="8" t="s">
        <v>10931</v>
      </c>
      <c r="D4571" s="8" t="s">
        <v>8538</v>
      </c>
      <c r="E4571" s="9" t="str">
        <f aca="false">HYPERLINK("https://twitter.com/jgdsantosh1/status/922262700180328448","922262700180328448")</f>
        <v>922262700180328448</v>
      </c>
      <c r="F4571" s="10" t="s">
        <v>25</v>
      </c>
      <c r="G4571" s="10" t="n">
        <v>175</v>
      </c>
      <c r="H4571" s="10" t="n">
        <v>570</v>
      </c>
      <c r="I4571" s="10" t="n">
        <v>1015</v>
      </c>
      <c r="J4571" s="10" t="n">
        <v>0</v>
      </c>
      <c r="K4571" s="10" t="s">
        <v>20</v>
      </c>
      <c r="L4571" s="11" t="n">
        <v>40929.9159837963</v>
      </c>
      <c r="M4571" s="12" t="s">
        <v>10932</v>
      </c>
      <c r="N4571" s="12" t="s">
        <v>10933</v>
      </c>
      <c r="O4571" s="9" t="str">
        <f aca="false">HYPERLINK("https://pbs.twimg.com/profile_images/455078606654300160/XFMTGAS9_normal.jpeg","View")</f>
        <v>View</v>
      </c>
      <c r="P4571" s="10"/>
    </row>
    <row r="4572" customFormat="false" ht="15.75" hidden="false" customHeight="false" outlineLevel="0" collapsed="false">
      <c r="A4572" s="6" t="n">
        <v>43030.7406481481</v>
      </c>
      <c r="B4572" s="7" t="str">
        <f aca="false">HYPERLINK("https://twitter.com/OnFire136","@OnFire136")</f>
        <v>@OnFire136</v>
      </c>
      <c r="C4572" s="8" t="s">
        <v>10934</v>
      </c>
      <c r="D4572" s="8" t="s">
        <v>10935</v>
      </c>
      <c r="E4572" s="9" t="str">
        <f aca="false">HYPERLINK("https://twitter.com/OnFire136/status/922262932599087105","922262932599087105")</f>
        <v>922262932599087105</v>
      </c>
      <c r="F4572" s="9" t="s">
        <v>1147</v>
      </c>
      <c r="G4572" s="10" t="n">
        <v>112</v>
      </c>
      <c r="H4572" s="10" t="n">
        <v>69</v>
      </c>
      <c r="I4572" s="10" t="n">
        <v>0</v>
      </c>
      <c r="J4572" s="10" t="n">
        <v>0</v>
      </c>
      <c r="K4572" s="10" t="s">
        <v>20</v>
      </c>
      <c r="L4572" s="11" t="n">
        <v>41115.4497337963</v>
      </c>
      <c r="M4572" s="12" t="s">
        <v>8766</v>
      </c>
      <c r="N4572" s="12"/>
      <c r="O4572" s="9" t="str">
        <f aca="false">HYPERLINK("https://pbs.twimg.com/profile_images/2432618029/tseuxme9z1vyiuj98ib2_normal.jpeg","View")</f>
        <v>View</v>
      </c>
      <c r="P4572" s="10"/>
    </row>
    <row r="4573" customFormat="false" ht="15.75" hidden="false" customHeight="false" outlineLevel="0" collapsed="false">
      <c r="A4573" s="6" t="n">
        <v>43030.7408101852</v>
      </c>
      <c r="B4573" s="7" t="str">
        <f aca="false">HYPERLINK("https://twitter.com/amalianicolau","@amalianicolau")</f>
        <v>@amalianicolau</v>
      </c>
      <c r="C4573" s="8" t="s">
        <v>10936</v>
      </c>
      <c r="D4573" s="8" t="s">
        <v>10937</v>
      </c>
      <c r="E4573" s="9" t="str">
        <f aca="false">HYPERLINK("https://twitter.com/amalianicolau/status/922262989801250816","922262989801250816")</f>
        <v>922262989801250816</v>
      </c>
      <c r="F4573" s="10" t="s">
        <v>110</v>
      </c>
      <c r="G4573" s="10" t="n">
        <v>771</v>
      </c>
      <c r="H4573" s="10" t="n">
        <v>631</v>
      </c>
      <c r="I4573" s="10" t="n">
        <v>0</v>
      </c>
      <c r="J4573" s="10" t="n">
        <v>0</v>
      </c>
      <c r="K4573" s="10" t="s">
        <v>20</v>
      </c>
      <c r="L4573" s="11" t="n">
        <v>40069.440462963</v>
      </c>
      <c r="M4573" s="12" t="s">
        <v>10938</v>
      </c>
      <c r="N4573" s="12" t="s">
        <v>10939</v>
      </c>
      <c r="O4573" s="9" t="str">
        <f aca="false">HYPERLINK("https://pbs.twimg.com/profile_images/1882772896/IMG_0313_normal.jpg","View")</f>
        <v>View</v>
      </c>
      <c r="P4573" s="10"/>
    </row>
    <row r="4574" customFormat="false" ht="15.75" hidden="false" customHeight="false" outlineLevel="0" collapsed="false">
      <c r="A4574" s="6" t="n">
        <v>43030.7409722222</v>
      </c>
      <c r="B4574" s="7" t="str">
        <f aca="false">HYPERLINK("https://twitter.com/newslivenetwork","@newslivenetwork")</f>
        <v>@newslivenetwork</v>
      </c>
      <c r="C4574" s="8" t="s">
        <v>1668</v>
      </c>
      <c r="D4574" s="8" t="s">
        <v>10940</v>
      </c>
      <c r="E4574" s="9" t="str">
        <f aca="false">HYPERLINK("https://twitter.com/newslivenetwork/status/922263049272266753","922263049272266753")</f>
        <v>922263049272266753</v>
      </c>
      <c r="F4574" s="10" t="s">
        <v>55</v>
      </c>
      <c r="G4574" s="10" t="n">
        <v>272</v>
      </c>
      <c r="H4574" s="10" t="n">
        <v>87</v>
      </c>
      <c r="I4574" s="10" t="n">
        <v>0</v>
      </c>
      <c r="J4574" s="10" t="n">
        <v>0</v>
      </c>
      <c r="K4574" s="10" t="s">
        <v>20</v>
      </c>
      <c r="L4574" s="11" t="n">
        <v>42741.4719675926</v>
      </c>
      <c r="M4574" s="12" t="s">
        <v>1670</v>
      </c>
      <c r="N4574" s="12" t="s">
        <v>1671</v>
      </c>
      <c r="O4574" s="9" t="str">
        <f aca="false">HYPERLINK("https://pbs.twimg.com/profile_images/877414144424660992/scfhocj3_normal.jpg","View")</f>
        <v>View</v>
      </c>
      <c r="P4574" s="10"/>
    </row>
    <row r="4575" customFormat="false" ht="15.75" hidden="false" customHeight="false" outlineLevel="0" collapsed="false">
      <c r="A4575" s="6" t="n">
        <v>43030.741099537</v>
      </c>
      <c r="B4575" s="7" t="str">
        <f aca="false">HYPERLINK("https://twitter.com/4BillLewis","@4BillLewis")</f>
        <v>@4BillLewis</v>
      </c>
      <c r="C4575" s="8" t="s">
        <v>10941</v>
      </c>
      <c r="D4575" s="8" t="s">
        <v>10913</v>
      </c>
      <c r="E4575" s="9" t="str">
        <f aca="false">HYPERLINK("https://twitter.com/4BillLewis/status/922263094805585921","922263094805585921")</f>
        <v>922263094805585921</v>
      </c>
      <c r="F4575" s="10" t="s">
        <v>563</v>
      </c>
      <c r="G4575" s="10" t="n">
        <v>13152</v>
      </c>
      <c r="H4575" s="10" t="n">
        <v>10317</v>
      </c>
      <c r="I4575" s="10" t="n">
        <v>2</v>
      </c>
      <c r="J4575" s="10" t="n">
        <v>0</v>
      </c>
      <c r="K4575" s="10" t="s">
        <v>20</v>
      </c>
      <c r="L4575" s="11" t="n">
        <v>39911.3923263889</v>
      </c>
      <c r="M4575" s="12" t="s">
        <v>10942</v>
      </c>
      <c r="N4575" s="12" t="s">
        <v>10943</v>
      </c>
      <c r="O4575" s="9" t="str">
        <f aca="false">HYPERLINK("https://pbs.twimg.com/profile_images/885069599208853506/h6C24cDo_normal.jpg","View")</f>
        <v>View</v>
      </c>
      <c r="P4575" s="10"/>
    </row>
    <row r="4576" customFormat="false" ht="15.75" hidden="false" customHeight="false" outlineLevel="0" collapsed="false">
      <c r="A4576" s="6" t="n">
        <v>43030.7413657407</v>
      </c>
      <c r="B4576" s="7" t="str">
        <f aca="false">HYPERLINK("https://twitter.com/krongmee","@krongmee")</f>
        <v>@krongmee</v>
      </c>
      <c r="C4576" s="8" t="s">
        <v>10944</v>
      </c>
      <c r="D4576" s="8" t="s">
        <v>10822</v>
      </c>
      <c r="E4576" s="9" t="str">
        <f aca="false">HYPERLINK("https://twitter.com/krongmee/status/922263193694568448","922263193694568448")</f>
        <v>922263193694568448</v>
      </c>
      <c r="F4576" s="10" t="s">
        <v>51</v>
      </c>
      <c r="G4576" s="10" t="n">
        <v>22</v>
      </c>
      <c r="H4576" s="10" t="n">
        <v>174</v>
      </c>
      <c r="I4576" s="10" t="n">
        <v>6</v>
      </c>
      <c r="J4576" s="10" t="n">
        <v>0</v>
      </c>
      <c r="K4576" s="10" t="s">
        <v>20</v>
      </c>
      <c r="L4576" s="11" t="n">
        <v>42051.0458217593</v>
      </c>
      <c r="M4576" s="12"/>
      <c r="N4576" s="12"/>
      <c r="O4576" s="9" t="str">
        <f aca="false">HYPERLINK("https://pbs.twimg.com/profile_images/777559302756179968/oSZR0OZd_normal.jpg","View")</f>
        <v>View</v>
      </c>
      <c r="P4576" s="10"/>
    </row>
    <row r="4577" customFormat="false" ht="15.75" hidden="false" customHeight="false" outlineLevel="0" collapsed="false">
      <c r="A4577" s="6" t="n">
        <v>43030.7414351852</v>
      </c>
      <c r="B4577" s="7" t="str">
        <f aca="false">HYPERLINK("https://twitter.com/crimenewslatest","@crimenewslatest")</f>
        <v>@crimenewslatest</v>
      </c>
      <c r="C4577" s="8" t="s">
        <v>10945</v>
      </c>
      <c r="D4577" s="8" t="s">
        <v>10946</v>
      </c>
      <c r="E4577" s="9" t="str">
        <f aca="false">HYPERLINK("https://twitter.com/crimenewslatest/status/922263218470440960","922263218470440960")</f>
        <v>922263218470440960</v>
      </c>
      <c r="F4577" s="10" t="s">
        <v>110</v>
      </c>
      <c r="G4577" s="10" t="n">
        <v>432</v>
      </c>
      <c r="H4577" s="10" t="n">
        <v>1472</v>
      </c>
      <c r="I4577" s="10" t="n">
        <v>0</v>
      </c>
      <c r="J4577" s="10" t="n">
        <v>0</v>
      </c>
      <c r="K4577" s="10" t="s">
        <v>20</v>
      </c>
      <c r="L4577" s="11" t="n">
        <v>41641.0757523148</v>
      </c>
      <c r="M4577" s="12" t="s">
        <v>1684</v>
      </c>
      <c r="N4577" s="12" t="s">
        <v>10947</v>
      </c>
      <c r="O4577" s="9" t="str">
        <f aca="false">HYPERLINK("https://pbs.twimg.com/profile_images/819862480230846464/ozYtXA2D_normal.jpg","View")</f>
        <v>View</v>
      </c>
      <c r="P4577" s="10"/>
    </row>
    <row r="4578" customFormat="false" ht="15.75" hidden="false" customHeight="false" outlineLevel="0" collapsed="false">
      <c r="A4578" s="6" t="n">
        <v>43030.7414814815</v>
      </c>
      <c r="B4578" s="7" t="str">
        <f aca="false">HYPERLINK("https://twitter.com/DowntownLADaily","@DowntownLADaily")</f>
        <v>@DowntownLADaily</v>
      </c>
      <c r="C4578" s="8" t="s">
        <v>10948</v>
      </c>
      <c r="D4578" s="8" t="s">
        <v>10949</v>
      </c>
      <c r="E4578" s="9" t="str">
        <f aca="false">HYPERLINK("https://twitter.com/DowntownLADaily/status/922263233867796480","922263233867796480")</f>
        <v>922263233867796480</v>
      </c>
      <c r="F4578" s="10" t="s">
        <v>110</v>
      </c>
      <c r="G4578" s="10" t="n">
        <v>1332</v>
      </c>
      <c r="H4578" s="10" t="n">
        <v>303</v>
      </c>
      <c r="I4578" s="10" t="n">
        <v>0</v>
      </c>
      <c r="J4578" s="10" t="n">
        <v>1</v>
      </c>
      <c r="K4578" s="10" t="s">
        <v>20</v>
      </c>
      <c r="L4578" s="11" t="n">
        <v>41071.6170486111</v>
      </c>
      <c r="M4578" s="12" t="s">
        <v>10950</v>
      </c>
      <c r="N4578" s="12" t="s">
        <v>10951</v>
      </c>
      <c r="O4578" s="9" t="str">
        <f aca="false">HYPERLINK("https://pbs.twimg.com/profile_images/2538018662/mxr7dkuhbk9jr86j5epp_normal.jpeg","View")</f>
        <v>View</v>
      </c>
      <c r="P4578" s="10"/>
    </row>
    <row r="4579" customFormat="false" ht="15.75" hidden="false" customHeight="false" outlineLevel="0" collapsed="false">
      <c r="A4579" s="6" t="n">
        <v>43030.7414930556</v>
      </c>
      <c r="B4579" s="7" t="str">
        <f aca="false">HYPERLINK("https://twitter.com/ravichilakala","@ravichilakala")</f>
        <v>@ravichilakala</v>
      </c>
      <c r="C4579" s="8" t="s">
        <v>10952</v>
      </c>
      <c r="D4579" s="8" t="s">
        <v>8538</v>
      </c>
      <c r="E4579" s="9" t="str">
        <f aca="false">HYPERLINK("https://twitter.com/ravichilakala/status/922263236505829377","922263236505829377")</f>
        <v>922263236505829377</v>
      </c>
      <c r="F4579" s="10" t="s">
        <v>51</v>
      </c>
      <c r="G4579" s="10" t="n">
        <v>91</v>
      </c>
      <c r="H4579" s="10" t="n">
        <v>94</v>
      </c>
      <c r="I4579" s="10" t="n">
        <v>1015</v>
      </c>
      <c r="J4579" s="10" t="n">
        <v>0</v>
      </c>
      <c r="K4579" s="10" t="s">
        <v>20</v>
      </c>
      <c r="L4579" s="11" t="n">
        <v>40145.9131712963</v>
      </c>
      <c r="M4579" s="12"/>
      <c r="N4579" s="12" t="s">
        <v>10953</v>
      </c>
      <c r="O4579" s="9" t="str">
        <f aca="false">HYPERLINK("https://pbs.twimg.com/profile_images/840835014732402689/0bEU0hdX_normal.jpg","View")</f>
        <v>View</v>
      </c>
      <c r="P4579" s="10"/>
    </row>
    <row r="4580" customFormat="false" ht="15.75" hidden="false" customHeight="false" outlineLevel="0" collapsed="false">
      <c r="A4580" s="6" t="n">
        <v>43030.7414930556</v>
      </c>
      <c r="B4580" s="7" t="str">
        <f aca="false">HYPERLINK("https://twitter.com/ashokrodgi","@ashokrodgi")</f>
        <v>@ashokrodgi</v>
      </c>
      <c r="C4580" s="8" t="s">
        <v>10954</v>
      </c>
      <c r="D4580" s="8" t="s">
        <v>8538</v>
      </c>
      <c r="E4580" s="9" t="str">
        <f aca="false">HYPERLINK("https://twitter.com/ashokrodgi/status/922263238523240448","922263238523240448")</f>
        <v>922263238523240448</v>
      </c>
      <c r="F4580" s="10" t="s">
        <v>98</v>
      </c>
      <c r="G4580" s="10" t="n">
        <v>180</v>
      </c>
      <c r="H4580" s="10" t="n">
        <v>107</v>
      </c>
      <c r="I4580" s="10" t="n">
        <v>1015</v>
      </c>
      <c r="J4580" s="10" t="n">
        <v>0</v>
      </c>
      <c r="K4580" s="10" t="s">
        <v>20</v>
      </c>
      <c r="L4580" s="11" t="n">
        <v>40324.3805671296</v>
      </c>
      <c r="M4580" s="12"/>
      <c r="N4580" s="12"/>
      <c r="O4580" s="9" t="str">
        <f aca="false">HYPERLINK("https://pbs.twimg.com/profile_images/540712986600423424/fG_27zEw_normal.jpeg","View")</f>
        <v>View</v>
      </c>
      <c r="P4580" s="10"/>
    </row>
    <row r="4581" customFormat="false" ht="15.75" hidden="false" customHeight="false" outlineLevel="0" collapsed="false">
      <c r="A4581" s="6" t="n">
        <v>43030.7416782407</v>
      </c>
      <c r="B4581" s="7" t="str">
        <f aca="false">HYPERLINK("https://twitter.com/obruyere","@obruyere")</f>
        <v>@obruyere</v>
      </c>
      <c r="C4581" s="8" t="s">
        <v>10955</v>
      </c>
      <c r="D4581" s="8" t="s">
        <v>10956</v>
      </c>
      <c r="E4581" s="9" t="str">
        <f aca="false">HYPERLINK("https://twitter.com/obruyere/status/922263304801804288","922263304801804288")</f>
        <v>922263304801804288</v>
      </c>
      <c r="F4581" s="10" t="s">
        <v>110</v>
      </c>
      <c r="G4581" s="10" t="n">
        <v>5897</v>
      </c>
      <c r="H4581" s="10" t="n">
        <v>296</v>
      </c>
      <c r="I4581" s="10" t="n">
        <v>0</v>
      </c>
      <c r="J4581" s="10" t="n">
        <v>0</v>
      </c>
      <c r="K4581" s="10" t="s">
        <v>20</v>
      </c>
      <c r="L4581" s="11" t="n">
        <v>40484.1655787037</v>
      </c>
      <c r="M4581" s="12" t="s">
        <v>10212</v>
      </c>
      <c r="N4581" s="12" t="s">
        <v>10957</v>
      </c>
      <c r="O4581" s="9" t="str">
        <f aca="false">HYPERLINK("https://pbs.twimg.com/profile_images/2691023888/38fee7a06ca30f38e210677ddfc4a11a_normal.jpeg","View")</f>
        <v>View</v>
      </c>
      <c r="P4581" s="10"/>
    </row>
    <row r="4582" customFormat="false" ht="15.75" hidden="false" customHeight="false" outlineLevel="0" collapsed="false">
      <c r="A4582" s="6" t="n">
        <v>43030.742025463</v>
      </c>
      <c r="B4582" s="7" t="str">
        <f aca="false">HYPERLINK("https://twitter.com/GanapathyI","@GanapathyI")</f>
        <v>@GanapathyI</v>
      </c>
      <c r="C4582" s="8" t="s">
        <v>10958</v>
      </c>
      <c r="D4582" s="8" t="s">
        <v>8538</v>
      </c>
      <c r="E4582" s="9" t="str">
        <f aca="false">HYPERLINK("https://twitter.com/GanapathyI/status/922263432388272128","922263432388272128")</f>
        <v>922263432388272128</v>
      </c>
      <c r="F4582" s="10" t="s">
        <v>98</v>
      </c>
      <c r="G4582" s="10" t="n">
        <v>2180</v>
      </c>
      <c r="H4582" s="10" t="n">
        <v>839</v>
      </c>
      <c r="I4582" s="10" t="n">
        <v>1015</v>
      </c>
      <c r="J4582" s="10" t="n">
        <v>0</v>
      </c>
      <c r="K4582" s="10" t="s">
        <v>20</v>
      </c>
      <c r="L4582" s="11" t="n">
        <v>40871.2063773148</v>
      </c>
      <c r="M4582" s="12" t="s">
        <v>10959</v>
      </c>
      <c r="N4582" s="12" t="s">
        <v>10960</v>
      </c>
      <c r="O4582" s="9" t="str">
        <f aca="false">HYPERLINK("https://pbs.twimg.com/profile_images/881368896246173700/DhvBfIRv_normal.jpg","View")</f>
        <v>View</v>
      </c>
      <c r="P4582" s="10"/>
    </row>
    <row r="4583" customFormat="false" ht="15.75" hidden="false" customHeight="false" outlineLevel="0" collapsed="false">
      <c r="A4583" s="6" t="n">
        <v>43030.7424652778</v>
      </c>
      <c r="B4583" s="7" t="str">
        <f aca="false">HYPERLINK("https://twitter.com/krongmee","@krongmee")</f>
        <v>@krongmee</v>
      </c>
      <c r="C4583" s="8" t="s">
        <v>10944</v>
      </c>
      <c r="D4583" s="8" t="s">
        <v>10788</v>
      </c>
      <c r="E4583" s="9" t="str">
        <f aca="false">HYPERLINK("https://twitter.com/krongmee/status/922263588680503296","922263588680503296")</f>
        <v>922263588680503296</v>
      </c>
      <c r="F4583" s="10" t="s">
        <v>51</v>
      </c>
      <c r="G4583" s="10" t="n">
        <v>22</v>
      </c>
      <c r="H4583" s="10" t="n">
        <v>174</v>
      </c>
      <c r="I4583" s="10" t="n">
        <v>18</v>
      </c>
      <c r="J4583" s="10" t="n">
        <v>0</v>
      </c>
      <c r="K4583" s="10" t="s">
        <v>20</v>
      </c>
      <c r="L4583" s="11" t="n">
        <v>42051.0458217593</v>
      </c>
      <c r="M4583" s="12"/>
      <c r="N4583" s="12"/>
      <c r="O4583" s="9" t="str">
        <f aca="false">HYPERLINK("https://pbs.twimg.com/profile_images/777559302756179968/oSZR0OZd_normal.jpg","View")</f>
        <v>View</v>
      </c>
      <c r="P4583" s="10"/>
    </row>
    <row r="4584" customFormat="false" ht="15.75" hidden="false" customHeight="false" outlineLevel="0" collapsed="false">
      <c r="A4584" s="6" t="n">
        <v>43030.7440277778</v>
      </c>
      <c r="B4584" s="7" t="str">
        <f aca="false">HYPERLINK("https://twitter.com/GeneralnewsUK","@GeneralnewsUK")</f>
        <v>@GeneralnewsUK</v>
      </c>
      <c r="C4584" s="8" t="s">
        <v>10961</v>
      </c>
      <c r="D4584" s="8" t="s">
        <v>10962</v>
      </c>
      <c r="E4584" s="9" t="str">
        <f aca="false">HYPERLINK("https://twitter.com/GeneralnewsUK/status/922264155654180864","922264155654180864")</f>
        <v>922264155654180864</v>
      </c>
      <c r="F4584" s="10" t="s">
        <v>3042</v>
      </c>
      <c r="G4584" s="10" t="n">
        <v>1290</v>
      </c>
      <c r="H4584" s="10" t="n">
        <v>1133</v>
      </c>
      <c r="I4584" s="10" t="n">
        <v>0</v>
      </c>
      <c r="J4584" s="10" t="n">
        <v>0</v>
      </c>
      <c r="K4584" s="10" t="s">
        <v>20</v>
      </c>
      <c r="L4584" s="11" t="n">
        <v>41400.332349537</v>
      </c>
      <c r="M4584" s="12"/>
      <c r="N4584" s="12" t="s">
        <v>10963</v>
      </c>
      <c r="O4584" s="9" t="str">
        <f aca="false">HYPERLINK("https://pbs.twimg.com/profile_images/435111945415319552/IBk9zhPK_normal.png","View")</f>
        <v>View</v>
      </c>
      <c r="P4584" s="10"/>
    </row>
    <row r="4585" customFormat="false" ht="15.75" hidden="false" customHeight="false" outlineLevel="0" collapsed="false">
      <c r="A4585" s="6" t="n">
        <v>43030.7442013889</v>
      </c>
      <c r="B4585" s="7" t="str">
        <f aca="false">HYPERLINK("https://twitter.com/Narumi_Satoru","@Narumi_Satoru")</f>
        <v>@Narumi_Satoru</v>
      </c>
      <c r="C4585" s="14" t="s">
        <v>10964</v>
      </c>
      <c r="D4585" s="8" t="s">
        <v>6707</v>
      </c>
      <c r="E4585" s="9" t="str">
        <f aca="false">HYPERLINK("https://twitter.com/Narumi_Satoru/status/922264218937671680","922264218937671680")</f>
        <v>922264218937671680</v>
      </c>
      <c r="F4585" s="10" t="s">
        <v>51</v>
      </c>
      <c r="G4585" s="10" t="n">
        <v>110</v>
      </c>
      <c r="H4585" s="10" t="n">
        <v>58</v>
      </c>
      <c r="I4585" s="10" t="n">
        <v>97</v>
      </c>
      <c r="J4585" s="10" t="n">
        <v>0</v>
      </c>
      <c r="K4585" s="10" t="s">
        <v>20</v>
      </c>
      <c r="L4585" s="11" t="n">
        <v>42567.961099537</v>
      </c>
      <c r="M4585" s="12"/>
      <c r="N4585" s="13" t="s">
        <v>10965</v>
      </c>
      <c r="O4585" s="9" t="str">
        <f aca="false">HYPERLINK("https://pbs.twimg.com/profile_images/797289850927882241/RvFIbW2K_normal.jpg","View")</f>
        <v>View</v>
      </c>
      <c r="P4585" s="10"/>
    </row>
    <row r="4586" customFormat="false" ht="15.75" hidden="false" customHeight="false" outlineLevel="0" collapsed="false">
      <c r="A4586" s="6" t="n">
        <v>43030.7442824074</v>
      </c>
      <c r="B4586" s="7" t="str">
        <f aca="false">HYPERLINK("https://twitter.com/CatTheUndying","@CatTheUndying")</f>
        <v>@CatTheUndying</v>
      </c>
      <c r="C4586" s="8" t="s">
        <v>10966</v>
      </c>
      <c r="D4586" s="8" t="s">
        <v>10967</v>
      </c>
      <c r="E4586" s="9" t="str">
        <f aca="false">HYPERLINK("https://twitter.com/CatTheUndying/status/922264250927677440","922264250927677440")</f>
        <v>922264250927677440</v>
      </c>
      <c r="F4586" s="10" t="s">
        <v>39</v>
      </c>
      <c r="G4586" s="10" t="n">
        <v>2803</v>
      </c>
      <c r="H4586" s="10" t="n">
        <v>31</v>
      </c>
      <c r="I4586" s="10" t="n">
        <v>9</v>
      </c>
      <c r="J4586" s="10" t="n">
        <v>39</v>
      </c>
      <c r="K4586" s="10" t="s">
        <v>20</v>
      </c>
      <c r="L4586" s="11" t="n">
        <v>42510.7643518519</v>
      </c>
      <c r="M4586" s="12"/>
      <c r="N4586" s="12" t="s">
        <v>10968</v>
      </c>
      <c r="O4586" s="9" t="str">
        <f aca="false">HYPERLINK("https://pbs.twimg.com/profile_images/917032922561024000/uTcmz83F_normal.jpg","View")</f>
        <v>View</v>
      </c>
      <c r="P4586" s="10"/>
    </row>
    <row r="4587" customFormat="false" ht="15.75" hidden="false" customHeight="false" outlineLevel="0" collapsed="false">
      <c r="A4587" s="6" t="n">
        <v>43030.7442824074</v>
      </c>
      <c r="B4587" s="7" t="str">
        <f aca="false">HYPERLINK("https://twitter.com/tpofw14","@tpofw14")</f>
        <v>@tpofw14</v>
      </c>
      <c r="C4587" s="8" t="s">
        <v>10969</v>
      </c>
      <c r="D4587" s="8" t="s">
        <v>8538</v>
      </c>
      <c r="E4587" s="9" t="str">
        <f aca="false">HYPERLINK("https://twitter.com/tpofw14/status/922264250969595904","922264250969595904")</f>
        <v>922264250969595904</v>
      </c>
      <c r="F4587" s="10" t="s">
        <v>39</v>
      </c>
      <c r="G4587" s="10" t="n">
        <v>307</v>
      </c>
      <c r="H4587" s="10" t="n">
        <v>182</v>
      </c>
      <c r="I4587" s="10" t="n">
        <v>1015</v>
      </c>
      <c r="J4587" s="10" t="n">
        <v>0</v>
      </c>
      <c r="K4587" s="10" t="s">
        <v>20</v>
      </c>
      <c r="L4587" s="11" t="n">
        <v>41462.3329282407</v>
      </c>
      <c r="M4587" s="12" t="s">
        <v>10807</v>
      </c>
      <c r="N4587" s="12" t="s">
        <v>10970</v>
      </c>
      <c r="O4587" s="9" t="str">
        <f aca="false">HYPERLINK("https://pbs.twimg.com/profile_images/838395182160601088/YAd7UJd1_normal.jpg","View")</f>
        <v>View</v>
      </c>
      <c r="P4587" s="10"/>
    </row>
    <row r="4588" customFormat="false" ht="15.75" hidden="false" customHeight="false" outlineLevel="0" collapsed="false">
      <c r="A4588" s="6" t="n">
        <v>43030.7459143519</v>
      </c>
      <c r="B4588" s="7" t="str">
        <f aca="false">HYPERLINK("https://twitter.com/santoshkpanda","@santoshkpanda")</f>
        <v>@santoshkpanda</v>
      </c>
      <c r="C4588" s="8" t="s">
        <v>10971</v>
      </c>
      <c r="D4588" s="8" t="s">
        <v>8538</v>
      </c>
      <c r="E4588" s="9" t="str">
        <f aca="false">HYPERLINK("https://twitter.com/santoshkpanda/status/922264841317892096","922264841317892096")</f>
        <v>922264841317892096</v>
      </c>
      <c r="F4588" s="10" t="s">
        <v>25</v>
      </c>
      <c r="G4588" s="10" t="n">
        <v>61</v>
      </c>
      <c r="H4588" s="10" t="n">
        <v>351</v>
      </c>
      <c r="I4588" s="10" t="n">
        <v>1015</v>
      </c>
      <c r="J4588" s="10" t="n">
        <v>0</v>
      </c>
      <c r="K4588" s="10" t="s">
        <v>20</v>
      </c>
      <c r="L4588" s="11" t="n">
        <v>39971.90375</v>
      </c>
      <c r="M4588" s="12" t="s">
        <v>7761</v>
      </c>
      <c r="N4588" s="12" t="s">
        <v>10972</v>
      </c>
      <c r="O4588" s="9" t="str">
        <f aca="false">HYPERLINK("https://pbs.twimg.com/profile_images/3429174970/fd613f762a6c1eb9aea7b2d6b33d9ff3_normal.jpeg","View")</f>
        <v>View</v>
      </c>
      <c r="P4588" s="10"/>
    </row>
    <row r="4589" customFormat="false" ht="15.75" hidden="false" customHeight="false" outlineLevel="0" collapsed="false">
      <c r="A4589" s="6" t="n">
        <v>43030.7459953704</v>
      </c>
      <c r="B4589" s="7" t="str">
        <f aca="false">HYPERLINK("https://twitter.com/1950_brown","@1950_brown")</f>
        <v>@1950_brown</v>
      </c>
      <c r="C4589" s="8" t="s">
        <v>10973</v>
      </c>
      <c r="D4589" s="8" t="s">
        <v>10788</v>
      </c>
      <c r="E4589" s="9" t="str">
        <f aca="false">HYPERLINK("https://twitter.com/1950_brown/status/922264868450979840","922264868450979840")</f>
        <v>922264868450979840</v>
      </c>
      <c r="F4589" s="10" t="s">
        <v>39</v>
      </c>
      <c r="G4589" s="10" t="n">
        <v>183</v>
      </c>
      <c r="H4589" s="10" t="n">
        <v>165</v>
      </c>
      <c r="I4589" s="10" t="n">
        <v>18</v>
      </c>
      <c r="J4589" s="10" t="n">
        <v>0</v>
      </c>
      <c r="K4589" s="10" t="s">
        <v>20</v>
      </c>
      <c r="L4589" s="11" t="n">
        <v>42632.4460532407</v>
      </c>
      <c r="M4589" s="12" t="s">
        <v>10974</v>
      </c>
      <c r="N4589" s="12" t="s">
        <v>10975</v>
      </c>
      <c r="O4589" s="9" t="str">
        <f aca="false">HYPERLINK("https://pbs.twimg.com/profile_images/850067902057201664/UFtEZpNr_normal.jpg","View")</f>
        <v>View</v>
      </c>
      <c r="P4589" s="10"/>
    </row>
    <row r="4590" customFormat="false" ht="15.75" hidden="false" customHeight="false" outlineLevel="0" collapsed="false">
      <c r="A4590" s="6" t="n">
        <v>43030.7462384259</v>
      </c>
      <c r="B4590" s="7" t="str">
        <f aca="false">HYPERLINK("https://twitter.com/tisaiyan","@tisaiyan")</f>
        <v>@tisaiyan</v>
      </c>
      <c r="C4590" s="8" t="s">
        <v>10976</v>
      </c>
      <c r="D4590" s="8" t="s">
        <v>8538</v>
      </c>
      <c r="E4590" s="9" t="str">
        <f aca="false">HYPERLINK("https://twitter.com/tisaiyan/status/922264959337218048","922264959337218048")</f>
        <v>922264959337218048</v>
      </c>
      <c r="F4590" s="10" t="s">
        <v>8070</v>
      </c>
      <c r="G4590" s="10" t="n">
        <v>950</v>
      </c>
      <c r="H4590" s="10" t="n">
        <v>329</v>
      </c>
      <c r="I4590" s="10" t="n">
        <v>1015</v>
      </c>
      <c r="J4590" s="10" t="n">
        <v>0</v>
      </c>
      <c r="K4590" s="10" t="s">
        <v>20</v>
      </c>
      <c r="L4590" s="11" t="n">
        <v>40548.8863078704</v>
      </c>
      <c r="M4590" s="12" t="s">
        <v>5883</v>
      </c>
      <c r="N4590" s="12" t="s">
        <v>10977</v>
      </c>
      <c r="O4590" s="9" t="str">
        <f aca="false">HYPERLINK("https://pbs.twimg.com/profile_images/845485564308570112/tEXMkHK3_normal.jpg","View")</f>
        <v>View</v>
      </c>
      <c r="P4590" s="10"/>
    </row>
    <row r="4591" customFormat="false" ht="15.75" hidden="false" customHeight="false" outlineLevel="0" collapsed="false">
      <c r="A4591" s="6" t="n">
        <v>43030.7465046296</v>
      </c>
      <c r="B4591" s="7" t="str">
        <f aca="false">HYPERLINK("https://twitter.com/Libertygranny","@Libertygranny")</f>
        <v>@Libertygranny</v>
      </c>
      <c r="C4591" s="8" t="s">
        <v>10978</v>
      </c>
      <c r="D4591" s="8" t="s">
        <v>3620</v>
      </c>
      <c r="E4591" s="9" t="str">
        <f aca="false">HYPERLINK("https://twitter.com/Libertygranny/status/922265055277617152","922265055277617152")</f>
        <v>922265055277617152</v>
      </c>
      <c r="F4591" s="10" t="s">
        <v>98</v>
      </c>
      <c r="G4591" s="10" t="n">
        <v>1238</v>
      </c>
      <c r="H4591" s="10" t="n">
        <v>2444</v>
      </c>
      <c r="I4591" s="10" t="n">
        <v>11</v>
      </c>
      <c r="J4591" s="10" t="n">
        <v>0</v>
      </c>
      <c r="K4591" s="10" t="s">
        <v>20</v>
      </c>
      <c r="L4591" s="11" t="n">
        <v>40582.8136805556</v>
      </c>
      <c r="M4591" s="12"/>
      <c r="N4591" s="13" t="s">
        <v>10979</v>
      </c>
      <c r="O4591" s="9" t="str">
        <f aca="false">HYPERLINK("https://pbs.twimg.com/profile_images/2455208467/image_normal.jpg","View")</f>
        <v>View</v>
      </c>
      <c r="P4591" s="10"/>
    </row>
    <row r="4592" customFormat="false" ht="15.75" hidden="false" customHeight="false" outlineLevel="0" collapsed="false">
      <c r="A4592" s="6" t="n">
        <v>43030.7466319444</v>
      </c>
      <c r="B4592" s="7" t="str">
        <f aca="false">HYPERLINK("https://twitter.com/kristoferkawas","@kristoferkawas")</f>
        <v>@kristoferkawas</v>
      </c>
      <c r="C4592" s="8" t="s">
        <v>2132</v>
      </c>
      <c r="D4592" s="8" t="s">
        <v>10980</v>
      </c>
      <c r="E4592" s="9" t="str">
        <f aca="false">HYPERLINK("https://twitter.com/kristoferkawas/status/922265101171855360","922265101171855360")</f>
        <v>922265101171855360</v>
      </c>
      <c r="F4592" s="10" t="s">
        <v>60</v>
      </c>
      <c r="G4592" s="10" t="n">
        <v>3074</v>
      </c>
      <c r="H4592" s="10" t="n">
        <v>14</v>
      </c>
      <c r="I4592" s="10" t="n">
        <v>0</v>
      </c>
      <c r="J4592" s="10" t="n">
        <v>0</v>
      </c>
      <c r="K4592" s="10" t="s">
        <v>20</v>
      </c>
      <c r="L4592" s="11" t="n">
        <v>40432.4156828704</v>
      </c>
      <c r="M4592" s="12" t="s">
        <v>2134</v>
      </c>
      <c r="N4592" s="12" t="s">
        <v>2135</v>
      </c>
      <c r="O4592" s="9" t="str">
        <f aca="false">HYPERLINK("https://pbs.twimg.com/profile_images/662564447542636544/LvMoxlK3_normal.jpg","View")</f>
        <v>View</v>
      </c>
      <c r="P4592" s="10"/>
    </row>
    <row r="4593" customFormat="false" ht="15.75" hidden="false" customHeight="false" outlineLevel="0" collapsed="false">
      <c r="A4593" s="6" t="n">
        <v>43030.7468055556</v>
      </c>
      <c r="B4593" s="7" t="str">
        <f aca="false">HYPERLINK("https://twitter.com/Arcc1","@Arcc1")</f>
        <v>@Arcc1</v>
      </c>
      <c r="C4593" s="8" t="s">
        <v>10981</v>
      </c>
      <c r="D4593" s="8" t="s">
        <v>8538</v>
      </c>
      <c r="E4593" s="9" t="str">
        <f aca="false">HYPERLINK("https://twitter.com/Arcc1/status/922265164602159106","922265164602159106")</f>
        <v>922265164602159106</v>
      </c>
      <c r="F4593" s="10" t="s">
        <v>98</v>
      </c>
      <c r="G4593" s="10" t="n">
        <v>158</v>
      </c>
      <c r="H4593" s="10" t="n">
        <v>209</v>
      </c>
      <c r="I4593" s="10" t="n">
        <v>1015</v>
      </c>
      <c r="J4593" s="10" t="n">
        <v>0</v>
      </c>
      <c r="K4593" s="10" t="s">
        <v>20</v>
      </c>
      <c r="L4593" s="11" t="n">
        <v>40078.1242708333</v>
      </c>
      <c r="M4593" s="12" t="s">
        <v>9385</v>
      </c>
      <c r="N4593" s="12" t="s">
        <v>10982</v>
      </c>
      <c r="O4593" s="9" t="str">
        <f aca="false">HYPERLINK("https://pbs.twimg.com/profile_images/477063209510117376/TMf6Owfy_normal.jpeg","View")</f>
        <v>View</v>
      </c>
      <c r="P4593" s="10"/>
    </row>
    <row r="4594" customFormat="false" ht="15.75" hidden="false" customHeight="false" outlineLevel="0" collapsed="false">
      <c r="A4594" s="6" t="n">
        <v>43030.7469328704</v>
      </c>
      <c r="B4594" s="7" t="str">
        <f aca="false">HYPERLINK("https://twitter.com/BolinKen","@BolinKen")</f>
        <v>@BolinKen</v>
      </c>
      <c r="C4594" s="8" t="s">
        <v>10983</v>
      </c>
      <c r="D4594" s="8" t="s">
        <v>10788</v>
      </c>
      <c r="E4594" s="9" t="str">
        <f aca="false">HYPERLINK("https://twitter.com/BolinKen/status/922265210701959170","922265210701959170")</f>
        <v>922265210701959170</v>
      </c>
      <c r="F4594" s="10" t="s">
        <v>51</v>
      </c>
      <c r="G4594" s="10" t="n">
        <v>15817</v>
      </c>
      <c r="H4594" s="10" t="n">
        <v>17436</v>
      </c>
      <c r="I4594" s="10" t="n">
        <v>18</v>
      </c>
      <c r="J4594" s="10" t="n">
        <v>0</v>
      </c>
      <c r="K4594" s="10" t="s">
        <v>20</v>
      </c>
      <c r="L4594" s="11" t="n">
        <v>40923.628287037</v>
      </c>
      <c r="M4594" s="12" t="s">
        <v>10984</v>
      </c>
      <c r="N4594" s="12" t="s">
        <v>10985</v>
      </c>
      <c r="O4594" s="9" t="str">
        <f aca="false">HYPERLINK("https://pbs.twimg.com/profile_images/631313388627341312/8RX_PmKD_normal.jpg","View")</f>
        <v>View</v>
      </c>
      <c r="P4594" s="10"/>
    </row>
    <row r="4595" customFormat="false" ht="15.75" hidden="false" customHeight="false" outlineLevel="0" collapsed="false">
      <c r="A4595" s="6" t="n">
        <v>43030.7470601852</v>
      </c>
      <c r="B4595" s="7" t="str">
        <f aca="false">HYPERLINK("https://twitter.com/Chief_of_Gaul","@Chief_of_Gaul")</f>
        <v>@Chief_of_Gaul</v>
      </c>
      <c r="C4595" s="8" t="s">
        <v>10986</v>
      </c>
      <c r="D4595" s="8" t="s">
        <v>10987</v>
      </c>
      <c r="E4595" s="9" t="str">
        <f aca="false">HYPERLINK("https://twitter.com/Chief_of_Gaul/status/922265254289137667","922265254289137667")</f>
        <v>922265254289137667</v>
      </c>
      <c r="F4595" s="10" t="s">
        <v>25</v>
      </c>
      <c r="G4595" s="10" t="n">
        <v>2177</v>
      </c>
      <c r="H4595" s="10" t="n">
        <v>3601</v>
      </c>
      <c r="I4595" s="10" t="n">
        <v>9</v>
      </c>
      <c r="J4595" s="10" t="n">
        <v>0</v>
      </c>
      <c r="K4595" s="10" t="s">
        <v>20</v>
      </c>
      <c r="L4595" s="11" t="n">
        <v>42747.4571643519</v>
      </c>
      <c r="M4595" s="12" t="s">
        <v>230</v>
      </c>
      <c r="N4595" s="12" t="s">
        <v>10988</v>
      </c>
      <c r="O4595" s="9" t="str">
        <f aca="false">HYPERLINK("https://pbs.twimg.com/profile_images/901966054276169729/dizKYEJB_normal.jpg","View")</f>
        <v>View</v>
      </c>
      <c r="P4595" s="10"/>
    </row>
    <row r="4596" customFormat="false" ht="15.75" hidden="false" customHeight="false" outlineLevel="0" collapsed="false">
      <c r="A4596" s="6" t="n">
        <v>43030.747962963</v>
      </c>
      <c r="B4596" s="7" t="str">
        <f aca="false">HYPERLINK("https://twitter.com/BBGVisualData","@BBGVisualData")</f>
        <v>@BBGVisualData</v>
      </c>
      <c r="C4596" s="8" t="s">
        <v>10989</v>
      </c>
      <c r="D4596" s="8" t="s">
        <v>10990</v>
      </c>
      <c r="E4596" s="9" t="str">
        <f aca="false">HYPERLINK("https://twitter.com/BBGVisualData/status/922265583059636225","922265583059636225")</f>
        <v>922265583059636225</v>
      </c>
      <c r="F4596" s="10" t="s">
        <v>268</v>
      </c>
      <c r="G4596" s="10" t="n">
        <v>29707</v>
      </c>
      <c r="H4596" s="10" t="n">
        <v>92</v>
      </c>
      <c r="I4596" s="10" t="n">
        <v>27</v>
      </c>
      <c r="J4596" s="10" t="n">
        <v>22</v>
      </c>
      <c r="K4596" s="10" t="s">
        <v>20</v>
      </c>
      <c r="L4596" s="11" t="n">
        <v>41410.4463773148</v>
      </c>
      <c r="M4596" s="12"/>
      <c r="N4596" s="12" t="s">
        <v>10991</v>
      </c>
      <c r="O4596" s="9" t="str">
        <f aca="false">HYPERLINK("https://pbs.twimg.com/profile_images/867023739334119425/2_cARWjK_normal.jpg","View")</f>
        <v>View</v>
      </c>
      <c r="P4596" s="10"/>
    </row>
    <row r="4597" customFormat="false" ht="15.75" hidden="false" customHeight="false" outlineLevel="0" collapsed="false">
      <c r="A4597" s="6" t="n">
        <v>43030.7479861111</v>
      </c>
      <c r="B4597" s="7" t="str">
        <f aca="false">HYPERLINK("https://twitter.com/williamfrey5","@williamfrey5")</f>
        <v>@williamfrey5</v>
      </c>
      <c r="C4597" s="8" t="s">
        <v>10992</v>
      </c>
      <c r="D4597" s="8" t="s">
        <v>10993</v>
      </c>
      <c r="E4597" s="9" t="str">
        <f aca="false">HYPERLINK("https://twitter.com/williamfrey5/status/922265591506964480","922265591506964480")</f>
        <v>922265591506964480</v>
      </c>
      <c r="F4597" s="10" t="s">
        <v>8070</v>
      </c>
      <c r="G4597" s="10" t="n">
        <v>236</v>
      </c>
      <c r="H4597" s="10" t="n">
        <v>626</v>
      </c>
      <c r="I4597" s="10" t="n">
        <v>1</v>
      </c>
      <c r="J4597" s="10" t="n">
        <v>0</v>
      </c>
      <c r="K4597" s="10" t="s">
        <v>20</v>
      </c>
      <c r="L4597" s="11" t="n">
        <v>41361.1039467593</v>
      </c>
      <c r="M4597" s="12" t="s">
        <v>10994</v>
      </c>
      <c r="N4597" s="12" t="s">
        <v>10995</v>
      </c>
      <c r="O4597" s="9" t="str">
        <f aca="false">HYPERLINK("https://pbs.twimg.com/profile_images/876284449985527808/yowNxQHS_normal.jpg","View")</f>
        <v>View</v>
      </c>
      <c r="P4597" s="10"/>
    </row>
    <row r="4598" customFormat="false" ht="15.75" hidden="false" customHeight="false" outlineLevel="0" collapsed="false">
      <c r="A4598" s="6" t="n">
        <v>43030.7481944444</v>
      </c>
      <c r="B4598" s="7" t="str">
        <f aca="false">HYPERLINK("https://twitter.com/aussietorres","@aussietorres")</f>
        <v>@aussietorres</v>
      </c>
      <c r="C4598" s="8" t="s">
        <v>10996</v>
      </c>
      <c r="D4598" s="8" t="s">
        <v>10997</v>
      </c>
      <c r="E4598" s="9" t="str">
        <f aca="false">HYPERLINK("https://twitter.com/aussietorres/status/922265665112887296","922265665112887296")</f>
        <v>922265665112887296</v>
      </c>
      <c r="F4598" s="10" t="s">
        <v>276</v>
      </c>
      <c r="G4598" s="10" t="n">
        <v>7252</v>
      </c>
      <c r="H4598" s="10" t="n">
        <v>6362</v>
      </c>
      <c r="I4598" s="10" t="n">
        <v>27</v>
      </c>
      <c r="J4598" s="10" t="n">
        <v>0</v>
      </c>
      <c r="K4598" s="10" t="s">
        <v>20</v>
      </c>
      <c r="L4598" s="11" t="n">
        <v>39877.1132407407</v>
      </c>
      <c r="M4598" s="12" t="s">
        <v>10998</v>
      </c>
      <c r="N4598" s="12" t="s">
        <v>10999</v>
      </c>
      <c r="O4598" s="9" t="str">
        <f aca="false">HYPERLINK("https://pbs.twimg.com/profile_images/554392279243173888/4Sn-AP7H_normal.jpeg","View")</f>
        <v>View</v>
      </c>
      <c r="P4598" s="10"/>
    </row>
    <row r="4599" customFormat="false" ht="15.75" hidden="false" customHeight="false" outlineLevel="0" collapsed="false">
      <c r="A4599" s="6" t="n">
        <v>43030.7483449074</v>
      </c>
      <c r="B4599" s="7" t="str">
        <f aca="false">HYPERLINK("https://twitter.com/chietherabbit","@chietherabbit")</f>
        <v>@chietherabbit</v>
      </c>
      <c r="C4599" s="14" t="s">
        <v>11000</v>
      </c>
      <c r="D4599" s="8" t="s">
        <v>10997</v>
      </c>
      <c r="E4599" s="9" t="str">
        <f aca="false">HYPERLINK("https://twitter.com/chietherabbit/status/922265723283546113","922265723283546113")</f>
        <v>922265723283546113</v>
      </c>
      <c r="F4599" s="10" t="s">
        <v>51</v>
      </c>
      <c r="G4599" s="10" t="n">
        <v>840</v>
      </c>
      <c r="H4599" s="10" t="n">
        <v>235</v>
      </c>
      <c r="I4599" s="10" t="n">
        <v>27</v>
      </c>
      <c r="J4599" s="10" t="n">
        <v>0</v>
      </c>
      <c r="K4599" s="10" t="s">
        <v>20</v>
      </c>
      <c r="L4599" s="11" t="n">
        <v>39990.8138078704</v>
      </c>
      <c r="M4599" s="12" t="s">
        <v>1529</v>
      </c>
      <c r="N4599" s="12" t="s">
        <v>11001</v>
      </c>
      <c r="O4599" s="9" t="str">
        <f aca="false">HYPERLINK("https://pbs.twimg.com/profile_images/886144100776333313/1JlfaHr9_normal.jpg","View")</f>
        <v>View</v>
      </c>
      <c r="P4599" s="10"/>
    </row>
    <row r="4600" customFormat="false" ht="15.75" hidden="false" customHeight="false" outlineLevel="0" collapsed="false">
      <c r="A4600" s="6" t="n">
        <v>43030.7492592593</v>
      </c>
      <c r="B4600" s="7" t="str">
        <f aca="false">HYPERLINK("https://twitter.com/kenaragaki","@kenaragaki")</f>
        <v>@kenaragaki</v>
      </c>
      <c r="C4600" s="8" t="s">
        <v>11002</v>
      </c>
      <c r="D4600" s="8" t="s">
        <v>11003</v>
      </c>
      <c r="E4600" s="9" t="str">
        <f aca="false">HYPERLINK("https://twitter.com/kenaragaki/status/922266051987017730","922266051987017730")</f>
        <v>922266051987017730</v>
      </c>
      <c r="F4600" s="10" t="s">
        <v>39</v>
      </c>
      <c r="G4600" s="10" t="n">
        <v>240</v>
      </c>
      <c r="H4600" s="10" t="n">
        <v>609</v>
      </c>
      <c r="I4600" s="10" t="n">
        <v>0</v>
      </c>
      <c r="J4600" s="10" t="n">
        <v>0</v>
      </c>
      <c r="K4600" s="10" t="s">
        <v>20</v>
      </c>
      <c r="L4600" s="11" t="n">
        <v>40379.3392592593</v>
      </c>
      <c r="M4600" s="12" t="s">
        <v>11004</v>
      </c>
      <c r="N4600" s="12" t="s">
        <v>11005</v>
      </c>
      <c r="O4600" s="9" t="str">
        <f aca="false">HYPERLINK("https://pbs.twimg.com/profile_images/821733089986674689/CQGqAMBo_normal.jpg","View")</f>
        <v>View</v>
      </c>
      <c r="P4600" s="10"/>
    </row>
    <row r="4601" customFormat="false" ht="15.75" hidden="false" customHeight="false" outlineLevel="0" collapsed="false">
      <c r="A4601" s="6" t="n">
        <v>43030.7496296296</v>
      </c>
      <c r="B4601" s="7" t="str">
        <f aca="false">HYPERLINK("https://twitter.com/merabharat2011","@merabharat2011")</f>
        <v>@merabharat2011</v>
      </c>
      <c r="C4601" s="8" t="s">
        <v>11006</v>
      </c>
      <c r="D4601" s="8" t="s">
        <v>8538</v>
      </c>
      <c r="E4601" s="9" t="str">
        <f aca="false">HYPERLINK("https://twitter.com/merabharat2011/status/922266188700196864","922266188700196864")</f>
        <v>922266188700196864</v>
      </c>
      <c r="F4601" s="10" t="s">
        <v>25</v>
      </c>
      <c r="G4601" s="10" t="n">
        <v>1336</v>
      </c>
      <c r="H4601" s="10" t="n">
        <v>573</v>
      </c>
      <c r="I4601" s="10" t="n">
        <v>1015</v>
      </c>
      <c r="J4601" s="10" t="n">
        <v>0</v>
      </c>
      <c r="K4601" s="10" t="s">
        <v>20</v>
      </c>
      <c r="L4601" s="11" t="n">
        <v>40706.2123148148</v>
      </c>
      <c r="M4601" s="12" t="s">
        <v>11007</v>
      </c>
      <c r="N4601" s="12" t="s">
        <v>11008</v>
      </c>
      <c r="O4601" s="9" t="str">
        <f aca="false">HYPERLINK("https://pbs.twimg.com/profile_images/872272013561282560/yeSr65KH_normal.jpg","View")</f>
        <v>View</v>
      </c>
      <c r="P4601" s="10"/>
    </row>
    <row r="4602" customFormat="false" ht="15.75" hidden="false" customHeight="false" outlineLevel="0" collapsed="false">
      <c r="A4602" s="6" t="n">
        <v>43030.7500347222</v>
      </c>
      <c r="B4602" s="7" t="str">
        <f aca="false">HYPERLINK("https://twitter.com/Edinson_Fonseca","@Edinson_Fonseca")</f>
        <v>@Edinson_Fonseca</v>
      </c>
      <c r="C4602" s="8" t="s">
        <v>11009</v>
      </c>
      <c r="D4602" s="8" t="s">
        <v>10997</v>
      </c>
      <c r="E4602" s="9" t="str">
        <f aca="false">HYPERLINK("https://twitter.com/Edinson_Fonseca/status/922266333068365824","922266333068365824")</f>
        <v>922266333068365824</v>
      </c>
      <c r="F4602" s="10" t="s">
        <v>177</v>
      </c>
      <c r="G4602" s="10" t="n">
        <v>455</v>
      </c>
      <c r="H4602" s="10" t="n">
        <v>2496</v>
      </c>
      <c r="I4602" s="10" t="n">
        <v>27</v>
      </c>
      <c r="J4602" s="10" t="n">
        <v>0</v>
      </c>
      <c r="K4602" s="10" t="s">
        <v>20</v>
      </c>
      <c r="L4602" s="11" t="n">
        <v>40328.6380671296</v>
      </c>
      <c r="M4602" s="12" t="s">
        <v>11010</v>
      </c>
      <c r="N4602" s="12" t="s">
        <v>11011</v>
      </c>
      <c r="O4602" s="9" t="str">
        <f aca="false">HYPERLINK("https://pbs.twimg.com/profile_images/907086598281592832/VPyY2nZk_normal.jpg","View")</f>
        <v>View</v>
      </c>
      <c r="P4602" s="10"/>
    </row>
    <row r="4603" customFormat="false" ht="15.75" hidden="false" customHeight="false" outlineLevel="0" collapsed="false">
      <c r="A4603" s="6" t="n">
        <v>43030.7502083333</v>
      </c>
      <c r="B4603" s="7" t="str">
        <f aca="false">HYPERLINK("https://twitter.com/theborneopost","@theborneopost")</f>
        <v>@theborneopost</v>
      </c>
      <c r="C4603" s="8" t="s">
        <v>11012</v>
      </c>
      <c r="D4603" s="8" t="s">
        <v>11013</v>
      </c>
      <c r="E4603" s="9" t="str">
        <f aca="false">HYPERLINK("https://twitter.com/theborneopost/status/922266396263964673","922266396263964673")</f>
        <v>922266396263964673</v>
      </c>
      <c r="F4603" s="10" t="s">
        <v>47</v>
      </c>
      <c r="G4603" s="10" t="n">
        <v>12155</v>
      </c>
      <c r="H4603" s="10" t="n">
        <v>63</v>
      </c>
      <c r="I4603" s="10" t="n">
        <v>0</v>
      </c>
      <c r="J4603" s="10" t="n">
        <v>1</v>
      </c>
      <c r="K4603" s="10" t="s">
        <v>20</v>
      </c>
      <c r="L4603" s="11" t="n">
        <v>40338.0949189815</v>
      </c>
      <c r="M4603" s="12" t="s">
        <v>11014</v>
      </c>
      <c r="N4603" s="12" t="s">
        <v>11015</v>
      </c>
      <c r="O4603" s="9" t="str">
        <f aca="false">HYPERLINK("https://pbs.twimg.com/profile_images/819745224482168834/xdMCGKf4_normal.jpg","View")</f>
        <v>View</v>
      </c>
      <c r="P4603" s="10"/>
    </row>
    <row r="4604" customFormat="false" ht="15.75" hidden="false" customHeight="false" outlineLevel="0" collapsed="false">
      <c r="A4604" s="6" t="n">
        <v>43030.7505208333</v>
      </c>
      <c r="B4604" s="7" t="str">
        <f aca="false">HYPERLINK("https://twitter.com/emet_news_press","@emet_news_press")</f>
        <v>@emet_news_press</v>
      </c>
      <c r="C4604" s="8" t="s">
        <v>1141</v>
      </c>
      <c r="D4604" s="8" t="s">
        <v>11016</v>
      </c>
      <c r="E4604" s="9" t="str">
        <f aca="false">HYPERLINK("https://twitter.com/emet_news_press/status/922266508549677056","922266508549677056")</f>
        <v>922266508549677056</v>
      </c>
      <c r="F4604" s="10" t="s">
        <v>110</v>
      </c>
      <c r="G4604" s="10" t="n">
        <v>14266</v>
      </c>
      <c r="H4604" s="10" t="n">
        <v>3082</v>
      </c>
      <c r="I4604" s="10" t="n">
        <v>0</v>
      </c>
      <c r="J4604" s="10" t="n">
        <v>0</v>
      </c>
      <c r="K4604" s="10" t="s">
        <v>20</v>
      </c>
      <c r="L4604" s="11" t="n">
        <v>42457.1097685185</v>
      </c>
      <c r="M4604" s="12" t="s">
        <v>1143</v>
      </c>
      <c r="N4604" s="12" t="s">
        <v>1144</v>
      </c>
      <c r="O4604" s="9" t="str">
        <f aca="false">HYPERLINK("https://pbs.twimg.com/profile_images/867494379308687362/en57rgx2_normal.jpg","View")</f>
        <v>View</v>
      </c>
      <c r="P4604" s="10"/>
    </row>
    <row r="4605" customFormat="false" ht="15.75" hidden="false" customHeight="false" outlineLevel="0" collapsed="false">
      <c r="A4605" s="6" t="n">
        <v>43030.7512962963</v>
      </c>
      <c r="B4605" s="7" t="str">
        <f aca="false">HYPERLINK("https://twitter.com/denissetwin95","@denissetwin95")</f>
        <v>@denissetwin95</v>
      </c>
      <c r="C4605" s="8" t="s">
        <v>11017</v>
      </c>
      <c r="D4605" s="8" t="s">
        <v>10788</v>
      </c>
      <c r="E4605" s="9" t="str">
        <f aca="false">HYPERLINK("https://twitter.com/denissetwin95/status/922266790335533056","922266790335533056")</f>
        <v>922266790335533056</v>
      </c>
      <c r="F4605" s="10" t="s">
        <v>25</v>
      </c>
      <c r="G4605" s="10" t="n">
        <v>82</v>
      </c>
      <c r="H4605" s="10" t="n">
        <v>441</v>
      </c>
      <c r="I4605" s="10" t="n">
        <v>18</v>
      </c>
      <c r="J4605" s="10" t="n">
        <v>0</v>
      </c>
      <c r="K4605" s="10" t="s">
        <v>20</v>
      </c>
      <c r="L4605" s="11" t="n">
        <v>42727.4572685185</v>
      </c>
      <c r="M4605" s="12" t="s">
        <v>4218</v>
      </c>
      <c r="N4605" s="12"/>
      <c r="O4605" s="9" t="str">
        <f aca="false">HYPERLINK("https://pbs.twimg.com/profile_images/812374071862300672/KWMGHdA__normal.jpg","View")</f>
        <v>View</v>
      </c>
      <c r="P4605" s="10"/>
    </row>
    <row r="4606" customFormat="false" ht="15.75" hidden="false" customHeight="false" outlineLevel="0" collapsed="false">
      <c r="A4606" s="6" t="n">
        <v>43030.7514699074</v>
      </c>
      <c r="B4606" s="7" t="str">
        <f aca="false">HYPERLINK("https://twitter.com/steelixcave","@steelixcave")</f>
        <v>@steelixcave</v>
      </c>
      <c r="C4606" s="8" t="s">
        <v>11018</v>
      </c>
      <c r="D4606" s="8" t="s">
        <v>10987</v>
      </c>
      <c r="E4606" s="9" t="str">
        <f aca="false">HYPERLINK("https://twitter.com/steelixcave/status/922266852709031936","922266852709031936")</f>
        <v>922266852709031936</v>
      </c>
      <c r="F4606" s="10" t="s">
        <v>51</v>
      </c>
      <c r="G4606" s="10" t="n">
        <v>90</v>
      </c>
      <c r="H4606" s="10" t="n">
        <v>597</v>
      </c>
      <c r="I4606" s="10" t="n">
        <v>9</v>
      </c>
      <c r="J4606" s="10" t="n">
        <v>0</v>
      </c>
      <c r="K4606" s="10" t="s">
        <v>20</v>
      </c>
      <c r="L4606" s="11" t="n">
        <v>42844.7625</v>
      </c>
      <c r="M4606" s="12"/>
      <c r="N4606" s="12"/>
      <c r="O4606" s="9" t="str">
        <f aca="false">HYPERLINK("https://pbs.twimg.com/profile_images/854868016886054913/sXHr5OJH_normal.jpg","View")</f>
        <v>View</v>
      </c>
      <c r="P4606" s="10"/>
    </row>
    <row r="4607" customFormat="false" ht="15.75" hidden="false" customHeight="false" outlineLevel="0" collapsed="false">
      <c r="A4607" s="6" t="n">
        <v>43030.7516782407</v>
      </c>
      <c r="B4607" s="7" t="str">
        <f aca="false">HYPERLINK("https://twitter.com/SportWorldWide","@SportWorldWide")</f>
        <v>@SportWorldWide</v>
      </c>
      <c r="C4607" s="8" t="s">
        <v>11019</v>
      </c>
      <c r="D4607" s="8" t="s">
        <v>11020</v>
      </c>
      <c r="E4607" s="9" t="str">
        <f aca="false">HYPERLINK("https://twitter.com/SportWorldWide/status/922266930395959297","922266930395959297")</f>
        <v>922266930395959297</v>
      </c>
      <c r="F4607" s="10" t="s">
        <v>55</v>
      </c>
      <c r="G4607" s="10" t="n">
        <v>208</v>
      </c>
      <c r="H4607" s="10" t="n">
        <v>101</v>
      </c>
      <c r="I4607" s="10" t="n">
        <v>0</v>
      </c>
      <c r="J4607" s="10" t="n">
        <v>0</v>
      </c>
      <c r="K4607" s="10" t="s">
        <v>20</v>
      </c>
      <c r="L4607" s="11" t="n">
        <v>40888.6730555556</v>
      </c>
      <c r="M4607" s="12" t="s">
        <v>11021</v>
      </c>
      <c r="N4607" s="12" t="s">
        <v>11022</v>
      </c>
      <c r="O4607" s="9" t="str">
        <f aca="false">HYPERLINK("https://pbs.twimg.com/profile_images/1719179816/SportsWorldWideAvatar_normal.jpg","View")</f>
        <v>View</v>
      </c>
      <c r="P4607" s="10"/>
    </row>
    <row r="4608" customFormat="false" ht="15.75" hidden="false" customHeight="false" outlineLevel="0" collapsed="false">
      <c r="A4608" s="6" t="n">
        <v>43030.7520138889</v>
      </c>
      <c r="B4608" s="7" t="str">
        <f aca="false">HYPERLINK("https://twitter.com/Tweet2Sid","@Tweet2Sid")</f>
        <v>@Tweet2Sid</v>
      </c>
      <c r="C4608" s="8" t="s">
        <v>9903</v>
      </c>
      <c r="D4608" s="8" t="s">
        <v>11023</v>
      </c>
      <c r="E4608" s="9" t="str">
        <f aca="false">HYPERLINK("https://twitter.com/Tweet2Sid/status/922267051410051072","922267051410051072")</f>
        <v>922267051410051072</v>
      </c>
      <c r="F4608" s="10" t="s">
        <v>55</v>
      </c>
      <c r="G4608" s="10" t="n">
        <v>529</v>
      </c>
      <c r="H4608" s="10" t="n">
        <v>272</v>
      </c>
      <c r="I4608" s="10" t="n">
        <v>0</v>
      </c>
      <c r="J4608" s="10" t="n">
        <v>0</v>
      </c>
      <c r="K4608" s="10" t="s">
        <v>20</v>
      </c>
      <c r="L4608" s="11" t="n">
        <v>39999.7896527778</v>
      </c>
      <c r="M4608" s="12" t="s">
        <v>72</v>
      </c>
      <c r="N4608" s="12" t="s">
        <v>9905</v>
      </c>
      <c r="O4608" s="9" t="str">
        <f aca="false">HYPERLINK("https://pbs.twimg.com/profile_images/652924587789828096/WSaKMVSf_normal.jpg","View")</f>
        <v>View</v>
      </c>
      <c r="P4608" s="10"/>
    </row>
    <row r="4609" customFormat="false" ht="15.75" hidden="false" customHeight="false" outlineLevel="0" collapsed="false">
      <c r="A4609" s="6" t="n">
        <v>43030.7537962963</v>
      </c>
      <c r="B4609" s="7" t="str">
        <f aca="false">HYPERLINK("https://twitter.com/matglobal","@matglobal")</f>
        <v>@matglobal</v>
      </c>
      <c r="C4609" s="8" t="s">
        <v>3976</v>
      </c>
      <c r="D4609" s="8" t="s">
        <v>11024</v>
      </c>
      <c r="E4609" s="9" t="str">
        <f aca="false">HYPERLINK("https://twitter.com/matglobal/status/922267698062594048","922267698062594048")</f>
        <v>922267698062594048</v>
      </c>
      <c r="F4609" s="10" t="s">
        <v>55</v>
      </c>
      <c r="G4609" s="10" t="n">
        <v>1533</v>
      </c>
      <c r="H4609" s="10" t="n">
        <v>1475</v>
      </c>
      <c r="I4609" s="10" t="n">
        <v>0</v>
      </c>
      <c r="J4609" s="10" t="n">
        <v>0</v>
      </c>
      <c r="K4609" s="10" t="s">
        <v>20</v>
      </c>
      <c r="L4609" s="11" t="n">
        <v>40887.2283564815</v>
      </c>
      <c r="M4609" s="12" t="s">
        <v>2990</v>
      </c>
      <c r="N4609" s="12" t="s">
        <v>3978</v>
      </c>
      <c r="O4609" s="9" t="str">
        <f aca="false">HYPERLINK("https://pbs.twimg.com/profile_images/673814548684652544/cha7Er5K_normal.png","View")</f>
        <v>View</v>
      </c>
      <c r="P4609" s="10"/>
    </row>
    <row r="4610" customFormat="false" ht="15.75" hidden="false" customHeight="false" outlineLevel="0" collapsed="false">
      <c r="A4610" s="6" t="n">
        <v>43030.7540972222</v>
      </c>
      <c r="B4610" s="7" t="str">
        <f aca="false">HYPERLINK("https://twitter.com/business","@business")</f>
        <v>@business</v>
      </c>
      <c r="C4610" s="8" t="s">
        <v>196</v>
      </c>
      <c r="D4610" s="8" t="s">
        <v>11025</v>
      </c>
      <c r="E4610" s="9" t="str">
        <f aca="false">HYPERLINK("https://twitter.com/business/status/922267804346277888","922267804346277888")</f>
        <v>922267804346277888</v>
      </c>
      <c r="F4610" s="10" t="s">
        <v>268</v>
      </c>
      <c r="G4610" s="10" t="n">
        <v>4344212</v>
      </c>
      <c r="H4610" s="10" t="n">
        <v>1088</v>
      </c>
      <c r="I4610" s="10" t="n">
        <v>60</v>
      </c>
      <c r="J4610" s="10" t="n">
        <v>49</v>
      </c>
      <c r="K4610" s="10" t="s">
        <v>20</v>
      </c>
      <c r="L4610" s="11" t="n">
        <v>39926.5453356481</v>
      </c>
      <c r="M4610" s="12" t="s">
        <v>199</v>
      </c>
      <c r="N4610" s="12" t="s">
        <v>200</v>
      </c>
      <c r="O4610" s="9" t="str">
        <f aca="false">HYPERLINK("https://pbs.twimg.com/profile_images/714946924105883648/4fgNVF4H_normal.jpg","View")</f>
        <v>View</v>
      </c>
      <c r="P4610" s="10"/>
    </row>
    <row r="4611" customFormat="false" ht="15.75" hidden="false" customHeight="false" outlineLevel="0" collapsed="false">
      <c r="A4611" s="6" t="n">
        <v>43030.7541898148</v>
      </c>
      <c r="B4611" s="7" t="str">
        <f aca="false">HYPERLINK("https://twitter.com/Cs_Cl","@Cs_Cl")</f>
        <v>@Cs_Cl</v>
      </c>
      <c r="C4611" s="8" t="s">
        <v>11026</v>
      </c>
      <c r="D4611" s="8" t="s">
        <v>8538</v>
      </c>
      <c r="E4611" s="9" t="str">
        <f aca="false">HYPERLINK("https://twitter.com/Cs_Cl/status/922267839100174336","922267839100174336")</f>
        <v>922267839100174336</v>
      </c>
      <c r="F4611" s="10" t="s">
        <v>25</v>
      </c>
      <c r="G4611" s="10" t="n">
        <v>260</v>
      </c>
      <c r="H4611" s="10" t="n">
        <v>4</v>
      </c>
      <c r="I4611" s="10" t="n">
        <v>1015</v>
      </c>
      <c r="J4611" s="10" t="n">
        <v>0</v>
      </c>
      <c r="K4611" s="10" t="s">
        <v>20</v>
      </c>
      <c r="L4611" s="11" t="n">
        <v>41036.2489930556</v>
      </c>
      <c r="M4611" s="12" t="s">
        <v>11027</v>
      </c>
      <c r="N4611" s="12" t="s">
        <v>11028</v>
      </c>
      <c r="O4611" s="9" t="str">
        <f aca="false">HYPERLINK("https://pbs.twimg.com/profile_images/821808741108416512/gmzE4ukj_normal.jpg","View")</f>
        <v>View</v>
      </c>
      <c r="P4611" s="10"/>
    </row>
    <row r="4612" customFormat="false" ht="15.75" hidden="false" customHeight="false" outlineLevel="0" collapsed="false">
      <c r="A4612" s="6" t="n">
        <v>43030.7543055556</v>
      </c>
      <c r="B4612" s="7" t="str">
        <f aca="false">HYPERLINK("https://twitter.com/BSAFunds","@BSAFunds")</f>
        <v>@BSAFunds</v>
      </c>
      <c r="C4612" s="8" t="s">
        <v>924</v>
      </c>
      <c r="D4612" s="8" t="s">
        <v>11029</v>
      </c>
      <c r="E4612" s="9" t="str">
        <f aca="false">HYPERLINK("https://twitter.com/BSAFunds/status/922267880468729857","922267880468729857")</f>
        <v>922267880468729857</v>
      </c>
      <c r="F4612" s="10" t="s">
        <v>60</v>
      </c>
      <c r="G4612" s="10" t="n">
        <v>20871</v>
      </c>
      <c r="H4612" s="10" t="n">
        <v>8926</v>
      </c>
      <c r="I4612" s="10" t="n">
        <v>0</v>
      </c>
      <c r="J4612" s="10" t="n">
        <v>0</v>
      </c>
      <c r="K4612" s="10" t="s">
        <v>20</v>
      </c>
      <c r="L4612" s="11" t="n">
        <v>42601.9481828704</v>
      </c>
      <c r="M4612" s="12" t="s">
        <v>312</v>
      </c>
      <c r="N4612" s="12" t="s">
        <v>926</v>
      </c>
      <c r="O4612" s="9" t="str">
        <f aca="false">HYPERLINK("https://pbs.twimg.com/profile_images/912769166960033792/N4LAmrTs_normal.jpg","View")</f>
        <v>View</v>
      </c>
      <c r="P4612" s="10"/>
    </row>
    <row r="4613" customFormat="false" ht="15.75" hidden="false" customHeight="false" outlineLevel="0" collapsed="false">
      <c r="A4613" s="6" t="n">
        <v>43030.7543402778</v>
      </c>
      <c r="B4613" s="7" t="str">
        <f aca="false">HYPERLINK("https://twitter.com/vvettriv","@vvettriv")</f>
        <v>@vvettriv</v>
      </c>
      <c r="C4613" s="8" t="s">
        <v>11030</v>
      </c>
      <c r="D4613" s="8" t="s">
        <v>8538</v>
      </c>
      <c r="E4613" s="9" t="str">
        <f aca="false">HYPERLINK("https://twitter.com/vvettriv/status/922267891998887937","922267891998887937")</f>
        <v>922267891998887937</v>
      </c>
      <c r="F4613" s="10" t="s">
        <v>25</v>
      </c>
      <c r="G4613" s="10" t="n">
        <v>65</v>
      </c>
      <c r="H4613" s="10" t="n">
        <v>847</v>
      </c>
      <c r="I4613" s="10" t="n">
        <v>1015</v>
      </c>
      <c r="J4613" s="10" t="n">
        <v>0</v>
      </c>
      <c r="K4613" s="10" t="s">
        <v>20</v>
      </c>
      <c r="L4613" s="11" t="n">
        <v>41443.2008796296</v>
      </c>
      <c r="M4613" s="12"/>
      <c r="N4613" s="12"/>
      <c r="O4613" s="9" t="str">
        <f aca="false">HYPERLINK("https://abs.twimg.com/sticky/default_profile_images/default_profile_normal.png","View")</f>
        <v>View</v>
      </c>
      <c r="P4613" s="10"/>
    </row>
    <row r="4614" customFormat="false" ht="15.75" hidden="false" customHeight="false" outlineLevel="0" collapsed="false">
      <c r="A4614" s="6" t="n">
        <v>43030.754525463</v>
      </c>
      <c r="B4614" s="7" t="str">
        <f aca="false">HYPERLINK("https://twitter.com/Ingvar4222","@Ingvar4222")</f>
        <v>@Ingvar4222</v>
      </c>
      <c r="C4614" s="8" t="s">
        <v>11031</v>
      </c>
      <c r="D4614" s="8" t="s">
        <v>10414</v>
      </c>
      <c r="E4614" s="9" t="str">
        <f aca="false">HYPERLINK("https://twitter.com/Ingvar4222/status/922267961293004800","922267961293004800")</f>
        <v>922267961293004800</v>
      </c>
      <c r="F4614" s="10" t="s">
        <v>25</v>
      </c>
      <c r="G4614" s="10" t="n">
        <v>149</v>
      </c>
      <c r="H4614" s="10" t="n">
        <v>200</v>
      </c>
      <c r="I4614" s="10" t="n">
        <v>14</v>
      </c>
      <c r="J4614" s="10" t="n">
        <v>0</v>
      </c>
      <c r="K4614" s="10" t="s">
        <v>20</v>
      </c>
      <c r="L4614" s="11" t="n">
        <v>42663.7422453704</v>
      </c>
      <c r="M4614" s="12"/>
      <c r="N4614" s="12"/>
      <c r="O4614" s="9" t="str">
        <f aca="false">HYPERLINK("https://pbs.twimg.com/profile_images/828517207340679173/WprFb2Aw_normal.jpg","View")</f>
        <v>View</v>
      </c>
      <c r="P4614" s="10"/>
    </row>
    <row r="4615" customFormat="false" ht="15.75" hidden="false" customHeight="false" outlineLevel="0" collapsed="false">
      <c r="A4615" s="6" t="n">
        <v>43030.7546180556</v>
      </c>
      <c r="B4615" s="7" t="str">
        <f aca="false">HYPERLINK("https://twitter.com/7thletterja","@7thletterja")</f>
        <v>@7thletterja</v>
      </c>
      <c r="C4615" s="8" t="s">
        <v>11032</v>
      </c>
      <c r="D4615" s="8" t="s">
        <v>11033</v>
      </c>
      <c r="E4615" s="9" t="str">
        <f aca="false">HYPERLINK("https://twitter.com/7thletterja/status/922267994667044865","922267994667044865")</f>
        <v>922267994667044865</v>
      </c>
      <c r="F4615" s="10" t="s">
        <v>276</v>
      </c>
      <c r="G4615" s="10" t="n">
        <v>1778</v>
      </c>
      <c r="H4615" s="10" t="n">
        <v>2910</v>
      </c>
      <c r="I4615" s="10" t="n">
        <v>60</v>
      </c>
      <c r="J4615" s="10" t="n">
        <v>0</v>
      </c>
      <c r="K4615" s="10" t="s">
        <v>20</v>
      </c>
      <c r="L4615" s="11" t="n">
        <v>40852.875474537</v>
      </c>
      <c r="M4615" s="12" t="s">
        <v>11034</v>
      </c>
      <c r="N4615" s="12" t="s">
        <v>11035</v>
      </c>
      <c r="O4615" s="9" t="str">
        <f aca="false">HYPERLINK("https://pbs.twimg.com/profile_images/851915030614298624/xbZ48_X0_normal.jpg","View")</f>
        <v>View</v>
      </c>
      <c r="P4615" s="10"/>
    </row>
    <row r="4616" customFormat="false" ht="15.75" hidden="false" customHeight="false" outlineLevel="0" collapsed="false">
      <c r="A4616" s="6" t="n">
        <v>43030.7547106482</v>
      </c>
      <c r="B4616" s="7" t="str">
        <f aca="false">HYPERLINK("https://twitter.com/jkomrade","@jkomrade")</f>
        <v>@jkomrade</v>
      </c>
      <c r="C4616" s="8" t="s">
        <v>11036</v>
      </c>
      <c r="D4616" s="8" t="s">
        <v>10987</v>
      </c>
      <c r="E4616" s="9" t="str">
        <f aca="false">HYPERLINK("https://twitter.com/jkomrade/status/922268029072809984","922268029072809984")</f>
        <v>922268029072809984</v>
      </c>
      <c r="F4616" s="10" t="s">
        <v>98</v>
      </c>
      <c r="G4616" s="10" t="n">
        <v>90</v>
      </c>
      <c r="H4616" s="10" t="n">
        <v>476</v>
      </c>
      <c r="I4616" s="10" t="n">
        <v>9</v>
      </c>
      <c r="J4616" s="10" t="n">
        <v>0</v>
      </c>
      <c r="K4616" s="10" t="s">
        <v>20</v>
      </c>
      <c r="L4616" s="11" t="n">
        <v>42909.082974537</v>
      </c>
      <c r="M4616" s="12"/>
      <c r="N4616" s="12"/>
      <c r="O4616" s="9" t="str">
        <f aca="false">HYPERLINK("https://pbs.twimg.com/profile_images/890501093741821952/y5p7WO0-_normal.jpg","View")</f>
        <v>View</v>
      </c>
      <c r="P4616" s="10"/>
    </row>
    <row r="4617" customFormat="false" ht="15.75" hidden="false" customHeight="false" outlineLevel="0" collapsed="false">
      <c r="A4617" s="6" t="n">
        <v>43030.7547916667</v>
      </c>
      <c r="B4617" s="7" t="str">
        <f aca="false">HYPERLINK("https://twitter.com/PRAS1678","@PRAS1678")</f>
        <v>@PRAS1678</v>
      </c>
      <c r="C4617" s="8" t="s">
        <v>11037</v>
      </c>
      <c r="D4617" s="8" t="s">
        <v>8538</v>
      </c>
      <c r="E4617" s="9" t="str">
        <f aca="false">HYPERLINK("https://twitter.com/PRAS1678/status/922268057862418432","922268057862418432")</f>
        <v>922268057862418432</v>
      </c>
      <c r="F4617" s="10" t="s">
        <v>25</v>
      </c>
      <c r="G4617" s="10" t="n">
        <v>350</v>
      </c>
      <c r="H4617" s="10" t="n">
        <v>787</v>
      </c>
      <c r="I4617" s="10" t="n">
        <v>1015</v>
      </c>
      <c r="J4617" s="10" t="n">
        <v>0</v>
      </c>
      <c r="K4617" s="10" t="s">
        <v>20</v>
      </c>
      <c r="L4617" s="11" t="n">
        <v>40624.2563888889</v>
      </c>
      <c r="M4617" s="12" t="s">
        <v>11038</v>
      </c>
      <c r="N4617" s="12"/>
      <c r="O4617" s="9" t="str">
        <f aca="false">HYPERLINK("https://pbs.twimg.com/profile_images/918834554630107136/3C06Vr7Z_normal.jpg","View")</f>
        <v>View</v>
      </c>
      <c r="P4617" s="10"/>
    </row>
    <row r="4618" customFormat="false" ht="15.75" hidden="false" customHeight="false" outlineLevel="0" collapsed="false">
      <c r="A4618" s="6" t="n">
        <v>43030.7548263889</v>
      </c>
      <c r="B4618" s="7" t="str">
        <f aca="false">HYPERLINK("https://twitter.com/05_ashton","@05_ashton")</f>
        <v>@05_ashton</v>
      </c>
      <c r="C4618" s="8" t="s">
        <v>11039</v>
      </c>
      <c r="D4618" s="8" t="s">
        <v>11033</v>
      </c>
      <c r="E4618" s="9" t="str">
        <f aca="false">HYPERLINK("https://twitter.com/05_ashton/status/922268071917584385","922268071917584385")</f>
        <v>922268071917584385</v>
      </c>
      <c r="F4618" s="10" t="s">
        <v>51</v>
      </c>
      <c r="G4618" s="10" t="n">
        <v>793</v>
      </c>
      <c r="H4618" s="10" t="n">
        <v>1205</v>
      </c>
      <c r="I4618" s="10" t="n">
        <v>60</v>
      </c>
      <c r="J4618" s="10" t="n">
        <v>0</v>
      </c>
      <c r="K4618" s="10" t="s">
        <v>20</v>
      </c>
      <c r="L4618" s="11" t="n">
        <v>41659.6135763889</v>
      </c>
      <c r="M4618" s="12" t="s">
        <v>11040</v>
      </c>
      <c r="N4618" s="12" t="s">
        <v>11041</v>
      </c>
      <c r="O4618" s="9" t="str">
        <f aca="false">HYPERLINK("https://pbs.twimg.com/profile_images/650929130070904832/OvsMt6Lo_normal.jpg","View")</f>
        <v>View</v>
      </c>
      <c r="P4618" s="10"/>
    </row>
    <row r="4619" customFormat="false" ht="15.75" hidden="false" customHeight="false" outlineLevel="0" collapsed="false">
      <c r="A4619" s="6" t="n">
        <v>43030.7550115741</v>
      </c>
      <c r="B4619" s="7" t="str">
        <f aca="false">HYPERLINK("https://twitter.com/Bullish","@Bullish")</f>
        <v>@Bullish</v>
      </c>
      <c r="C4619" s="8" t="s">
        <v>223</v>
      </c>
      <c r="D4619" s="8" t="s">
        <v>11042</v>
      </c>
      <c r="E4619" s="9" t="str">
        <f aca="false">HYPERLINK("https://twitter.com/Bullish/status/922268136094818305","922268136094818305")</f>
        <v>922268136094818305</v>
      </c>
      <c r="F4619" s="10" t="s">
        <v>60</v>
      </c>
      <c r="G4619" s="10" t="n">
        <v>184</v>
      </c>
      <c r="H4619" s="10" t="n">
        <v>87</v>
      </c>
      <c r="I4619" s="10" t="n">
        <v>0</v>
      </c>
      <c r="J4619" s="10" t="n">
        <v>0</v>
      </c>
      <c r="K4619" s="10" t="s">
        <v>20</v>
      </c>
      <c r="L4619" s="11" t="n">
        <v>42618.7530439815</v>
      </c>
      <c r="M4619" s="12"/>
      <c r="N4619" s="12"/>
      <c r="O4619" s="9" t="str">
        <f aca="false">HYPERLINK("https://pbs.twimg.com/profile_images/798692093736599552/UikI9dNE_normal.jpg","View")</f>
        <v>View</v>
      </c>
      <c r="P4619" s="10"/>
    </row>
    <row r="4620" customFormat="false" ht="15.75" hidden="false" customHeight="false" outlineLevel="0" collapsed="false">
      <c r="A4620" s="6" t="n">
        <v>43030.7550810185</v>
      </c>
      <c r="B4620" s="7" t="str">
        <f aca="false">HYPERLINK("https://twitter.com/Phylayria","@Phylayria")</f>
        <v>@Phylayria</v>
      </c>
      <c r="C4620" s="14" t="s">
        <v>241</v>
      </c>
      <c r="D4620" s="8" t="s">
        <v>11033</v>
      </c>
      <c r="E4620" s="9" t="str">
        <f aca="false">HYPERLINK("https://twitter.com/Phylayria/status/922268163693301761","922268163693301761")</f>
        <v>922268163693301761</v>
      </c>
      <c r="F4620" s="10" t="s">
        <v>39</v>
      </c>
      <c r="G4620" s="10" t="n">
        <v>31</v>
      </c>
      <c r="H4620" s="10" t="n">
        <v>270</v>
      </c>
      <c r="I4620" s="10" t="n">
        <v>60</v>
      </c>
      <c r="J4620" s="10" t="n">
        <v>0</v>
      </c>
      <c r="K4620" s="10" t="s">
        <v>20</v>
      </c>
      <c r="L4620" s="11" t="n">
        <v>42046.785787037</v>
      </c>
      <c r="M4620" s="13" t="s">
        <v>242</v>
      </c>
      <c r="N4620" s="13" t="s">
        <v>243</v>
      </c>
      <c r="O4620" s="9" t="str">
        <f aca="false">HYPERLINK("https://pbs.twimg.com/profile_images/870487641250308096/oYAhrZA4_normal.jpg","View")</f>
        <v>View</v>
      </c>
      <c r="P4620" s="10"/>
    </row>
    <row r="4621" customFormat="false" ht="15.75" hidden="false" customHeight="false" outlineLevel="0" collapsed="false">
      <c r="A4621" s="6" t="n">
        <v>43030.7552546296</v>
      </c>
      <c r="B4621" s="7" t="str">
        <f aca="false">HYPERLINK("https://twitter.com/Jvivid","@Jvivid")</f>
        <v>@Jvivid</v>
      </c>
      <c r="C4621" s="8" t="s">
        <v>11043</v>
      </c>
      <c r="D4621" s="8" t="s">
        <v>11033</v>
      </c>
      <c r="E4621" s="9" t="str">
        <f aca="false">HYPERLINK("https://twitter.com/Jvivid/status/922268227111084033","922268227111084033")</f>
        <v>922268227111084033</v>
      </c>
      <c r="F4621" s="10" t="s">
        <v>39</v>
      </c>
      <c r="G4621" s="10" t="n">
        <v>58</v>
      </c>
      <c r="H4621" s="10" t="n">
        <v>164</v>
      </c>
      <c r="I4621" s="10" t="n">
        <v>60</v>
      </c>
      <c r="J4621" s="10" t="n">
        <v>0</v>
      </c>
      <c r="K4621" s="10" t="s">
        <v>20</v>
      </c>
      <c r="L4621" s="11" t="n">
        <v>40001.2625578704</v>
      </c>
      <c r="M4621" s="12" t="s">
        <v>1473</v>
      </c>
      <c r="N4621" s="12" t="s">
        <v>11044</v>
      </c>
      <c r="O4621" s="9" t="str">
        <f aca="false">HYPERLINK("https://pbs.twimg.com/profile_images/876040128648564736/qaPZNb7a_normal.jpg","View")</f>
        <v>View</v>
      </c>
      <c r="P4621" s="10"/>
    </row>
    <row r="4622" customFormat="false" ht="15.75" hidden="false" customHeight="false" outlineLevel="0" collapsed="false">
      <c r="A4622" s="6" t="n">
        <v>43030.7554050926</v>
      </c>
      <c r="B4622" s="7" t="str">
        <f aca="false">HYPERLINK("https://twitter.com/RakshithReddy23","@RakshithReddy23")</f>
        <v>@RakshithReddy23</v>
      </c>
      <c r="C4622" s="8" t="s">
        <v>11045</v>
      </c>
      <c r="D4622" s="8" t="s">
        <v>8538</v>
      </c>
      <c r="E4622" s="9" t="str">
        <f aca="false">HYPERLINK("https://twitter.com/RakshithReddy23/status/922268281918046208","922268281918046208")</f>
        <v>922268281918046208</v>
      </c>
      <c r="F4622" s="10" t="s">
        <v>25</v>
      </c>
      <c r="G4622" s="10" t="n">
        <v>393</v>
      </c>
      <c r="H4622" s="10" t="n">
        <v>240</v>
      </c>
      <c r="I4622" s="10" t="n">
        <v>1015</v>
      </c>
      <c r="J4622" s="10" t="n">
        <v>0</v>
      </c>
      <c r="K4622" s="10" t="s">
        <v>20</v>
      </c>
      <c r="L4622" s="11" t="n">
        <v>40497.9660069444</v>
      </c>
      <c r="M4622" s="12" t="s">
        <v>10894</v>
      </c>
      <c r="N4622" s="12" t="s">
        <v>11046</v>
      </c>
      <c r="O4622" s="9" t="str">
        <f aca="false">HYPERLINK("https://pbs.twimg.com/profile_images/922416867808911360/J3Q2JwOS_normal.jpg","View")</f>
        <v>View</v>
      </c>
      <c r="P4622" s="10"/>
    </row>
    <row r="4623" customFormat="false" ht="15.75" hidden="false" customHeight="false" outlineLevel="0" collapsed="false">
      <c r="A4623" s="6" t="n">
        <v>43030.7559606482</v>
      </c>
      <c r="B4623" s="7" t="str">
        <f aca="false">HYPERLINK("https://twitter.com/FallySomboNkhwa","@FallySomboNkhwa")</f>
        <v>@FallySomboNkhwa</v>
      </c>
      <c r="C4623" s="8" t="s">
        <v>260</v>
      </c>
      <c r="D4623" s="8" t="s">
        <v>11047</v>
      </c>
      <c r="E4623" s="9" t="str">
        <f aca="false">HYPERLINK("https://twitter.com/FallySomboNkhwa/status/922268482766622721","922268482766622721")</f>
        <v>922268482766622721</v>
      </c>
      <c r="F4623" s="10" t="s">
        <v>60</v>
      </c>
      <c r="G4623" s="10" t="n">
        <v>421</v>
      </c>
      <c r="H4623" s="10" t="n">
        <v>2195</v>
      </c>
      <c r="I4623" s="10" t="n">
        <v>0</v>
      </c>
      <c r="J4623" s="10" t="n">
        <v>0</v>
      </c>
      <c r="K4623" s="10" t="s">
        <v>20</v>
      </c>
      <c r="L4623" s="11" t="n">
        <v>41551.8204166667</v>
      </c>
      <c r="M4623" s="12" t="s">
        <v>262</v>
      </c>
      <c r="N4623" s="12" t="s">
        <v>263</v>
      </c>
      <c r="O4623" s="9" t="str">
        <f aca="false">HYPERLINK("https://pbs.twimg.com/profile_images/543761133505503235/pKcg8bc2_normal.jpeg","View")</f>
        <v>View</v>
      </c>
      <c r="P4623" s="10"/>
    </row>
    <row r="4624" customFormat="false" ht="15.75" hidden="false" customHeight="false" outlineLevel="0" collapsed="false">
      <c r="A4624" s="6" t="n">
        <v>43030.7559837963</v>
      </c>
      <c r="B4624" s="7" t="str">
        <f aca="false">HYPERLINK("https://twitter.com/swissifg","@swissifg")</f>
        <v>@swissifg</v>
      </c>
      <c r="C4624" s="8" t="s">
        <v>247</v>
      </c>
      <c r="D4624" s="8" t="s">
        <v>11048</v>
      </c>
      <c r="E4624" s="9" t="str">
        <f aca="false">HYPERLINK("https://twitter.com/swissifg/status/922268488944771075","922268488944771075")</f>
        <v>922268488944771075</v>
      </c>
      <c r="F4624" s="10" t="s">
        <v>60</v>
      </c>
      <c r="G4624" s="10" t="n">
        <v>1202</v>
      </c>
      <c r="H4624" s="10" t="n">
        <v>670</v>
      </c>
      <c r="I4624" s="10" t="n">
        <v>0</v>
      </c>
      <c r="J4624" s="10" t="n">
        <v>0</v>
      </c>
      <c r="K4624" s="10" t="s">
        <v>20</v>
      </c>
      <c r="L4624" s="11" t="n">
        <v>42499.2341087963</v>
      </c>
      <c r="M4624" s="12" t="s">
        <v>249</v>
      </c>
      <c r="N4624" s="12" t="s">
        <v>250</v>
      </c>
      <c r="O4624" s="9" t="str">
        <f aca="false">HYPERLINK("https://pbs.twimg.com/profile_images/729681805088063489/N4ls5vb8_normal.jpg","View")</f>
        <v>View</v>
      </c>
      <c r="P4624" s="10"/>
    </row>
    <row r="4625" customFormat="false" ht="15.75" hidden="false" customHeight="false" outlineLevel="0" collapsed="false">
      <c r="A4625" s="6" t="n">
        <v>43030.7560300926</v>
      </c>
      <c r="B4625" s="7" t="str">
        <f aca="false">HYPERLINK("https://twitter.com/jaimeotero_","@jaimeotero_")</f>
        <v>@jaimeotero_</v>
      </c>
      <c r="C4625" s="8" t="s">
        <v>205</v>
      </c>
      <c r="D4625" s="8" t="s">
        <v>11049</v>
      </c>
      <c r="E4625" s="9" t="str">
        <f aca="false">HYPERLINK("https://twitter.com/jaimeotero_/status/922268507210944512","922268507210944512")</f>
        <v>922268507210944512</v>
      </c>
      <c r="F4625" s="10" t="s">
        <v>60</v>
      </c>
      <c r="G4625" s="10" t="n">
        <v>34492</v>
      </c>
      <c r="H4625" s="10" t="n">
        <v>31252</v>
      </c>
      <c r="I4625" s="10" t="n">
        <v>0</v>
      </c>
      <c r="J4625" s="10" t="n">
        <v>0</v>
      </c>
      <c r="K4625" s="10" t="s">
        <v>20</v>
      </c>
      <c r="L4625" s="11" t="n">
        <v>42531.0121990741</v>
      </c>
      <c r="M4625" s="12" t="s">
        <v>207</v>
      </c>
      <c r="N4625" s="12" t="s">
        <v>208</v>
      </c>
      <c r="O4625" s="9" t="str">
        <f aca="false">HYPERLINK("https://pbs.twimg.com/profile_images/849817561281818626/acAU04SD_normal.jpg","View")</f>
        <v>View</v>
      </c>
      <c r="P4625" s="10"/>
    </row>
    <row r="4626" customFormat="false" ht="15.75" hidden="false" customHeight="false" outlineLevel="0" collapsed="false">
      <c r="A4626" s="6" t="n">
        <v>43030.7560416667</v>
      </c>
      <c r="B4626" s="7" t="str">
        <f aca="false">HYPERLINK("https://twitter.com/vismundial","@vismundial")</f>
        <v>@vismundial</v>
      </c>
      <c r="C4626" s="8" t="s">
        <v>11050</v>
      </c>
      <c r="D4626" s="8" t="s">
        <v>11033</v>
      </c>
      <c r="E4626" s="9" t="str">
        <f aca="false">HYPERLINK("https://twitter.com/vismundial/status/922268511308845057","922268511308845057")</f>
        <v>922268511308845057</v>
      </c>
      <c r="F4626" s="10" t="s">
        <v>1289</v>
      </c>
      <c r="G4626" s="10" t="n">
        <v>263</v>
      </c>
      <c r="H4626" s="10" t="n">
        <v>522</v>
      </c>
      <c r="I4626" s="10" t="n">
        <v>60</v>
      </c>
      <c r="J4626" s="10" t="n">
        <v>0</v>
      </c>
      <c r="K4626" s="10" t="s">
        <v>20</v>
      </c>
      <c r="L4626" s="11" t="n">
        <v>40307.7728009259</v>
      </c>
      <c r="M4626" s="12" t="s">
        <v>7057</v>
      </c>
      <c r="N4626" s="12" t="s">
        <v>11051</v>
      </c>
      <c r="O4626" s="9" t="str">
        <f aca="false">HYPERLINK("https://pbs.twimg.com/profile_images/908488238255534080/4t8lxrNk_normal.jpg","View")</f>
        <v>View</v>
      </c>
      <c r="P4626" s="10"/>
    </row>
    <row r="4627" customFormat="false" ht="15.75" hidden="false" customHeight="false" outlineLevel="0" collapsed="false">
      <c r="A4627" s="6" t="n">
        <v>43030.7561226852</v>
      </c>
      <c r="B4627" s="7" t="str">
        <f aca="false">HYPERLINK("https://twitter.com/Estallar12","@Estallar12")</f>
        <v>@Estallar12</v>
      </c>
      <c r="C4627" s="8" t="s">
        <v>11052</v>
      </c>
      <c r="D4627" s="8" t="s">
        <v>11033</v>
      </c>
      <c r="E4627" s="9" t="str">
        <f aca="false">HYPERLINK("https://twitter.com/Estallar12/status/922268537997029376","922268537997029376")</f>
        <v>922268537997029376</v>
      </c>
      <c r="F4627" s="10" t="s">
        <v>25</v>
      </c>
      <c r="G4627" s="10" t="n">
        <v>595</v>
      </c>
      <c r="H4627" s="10" t="n">
        <v>1077</v>
      </c>
      <c r="I4627" s="10" t="n">
        <v>60</v>
      </c>
      <c r="J4627" s="10" t="n">
        <v>0</v>
      </c>
      <c r="K4627" s="10" t="s">
        <v>20</v>
      </c>
      <c r="L4627" s="11" t="n">
        <v>41208.2591666667</v>
      </c>
      <c r="M4627" s="12" t="s">
        <v>64</v>
      </c>
      <c r="N4627" s="12" t="s">
        <v>11053</v>
      </c>
      <c r="O4627" s="9" t="str">
        <f aca="false">HYPERLINK("https://pbs.twimg.com/profile_images/711121717087830016/C7J39L7y_normal.jpg","View")</f>
        <v>View</v>
      </c>
      <c r="P4627" s="10"/>
    </row>
    <row r="4628" customFormat="false" ht="15.75" hidden="false" customHeight="false" outlineLevel="0" collapsed="false">
      <c r="A4628" s="6" t="n">
        <v>43030.7561226852</v>
      </c>
      <c r="B4628" s="7" t="str">
        <f aca="false">HYPERLINK("https://twitter.com/ingdimitriv","@ingdimitriv")</f>
        <v>@ingdimitriv</v>
      </c>
      <c r="C4628" s="8" t="s">
        <v>11054</v>
      </c>
      <c r="D4628" s="8" t="s">
        <v>11033</v>
      </c>
      <c r="E4628" s="9" t="str">
        <f aca="false">HYPERLINK("https://twitter.com/ingdimitriv/status/922268539783909378","922268539783909378")</f>
        <v>922268539783909378</v>
      </c>
      <c r="F4628" s="10" t="s">
        <v>25</v>
      </c>
      <c r="G4628" s="10" t="n">
        <v>1613</v>
      </c>
      <c r="H4628" s="10" t="n">
        <v>940</v>
      </c>
      <c r="I4628" s="10" t="n">
        <v>60</v>
      </c>
      <c r="J4628" s="10" t="n">
        <v>0</v>
      </c>
      <c r="K4628" s="10" t="s">
        <v>20</v>
      </c>
      <c r="L4628" s="11" t="n">
        <v>40773.6419212963</v>
      </c>
      <c r="M4628" s="12" t="s">
        <v>11055</v>
      </c>
      <c r="N4628" s="12" t="s">
        <v>11056</v>
      </c>
      <c r="O4628" s="9" t="str">
        <f aca="false">HYPERLINK("https://pbs.twimg.com/profile_images/879159863485411328/7BrvDmlt_normal.jpg","View")</f>
        <v>View</v>
      </c>
      <c r="P4628" s="10"/>
    </row>
    <row r="4629" customFormat="false" ht="15.75" hidden="false" customHeight="false" outlineLevel="0" collapsed="false">
      <c r="A4629" s="6" t="n">
        <v>43030.7561458333</v>
      </c>
      <c r="B4629" s="7" t="str">
        <f aca="false">HYPERLINK("https://twitter.com/BBCBusiness","@BBCBusiness")</f>
        <v>@BBCBusiness</v>
      </c>
      <c r="C4629" s="8" t="s">
        <v>11057</v>
      </c>
      <c r="D4629" s="8" t="s">
        <v>11058</v>
      </c>
      <c r="E4629" s="9" t="str">
        <f aca="false">HYPERLINK("https://twitter.com/BBCBusiness/status/922268549191741440","922268549191741440")</f>
        <v>922268549191741440</v>
      </c>
      <c r="F4629" s="10" t="s">
        <v>39</v>
      </c>
      <c r="G4629" s="10" t="n">
        <v>1908686</v>
      </c>
      <c r="H4629" s="10" t="n">
        <v>194</v>
      </c>
      <c r="I4629" s="10" t="n">
        <v>13</v>
      </c>
      <c r="J4629" s="10" t="n">
        <v>18</v>
      </c>
      <c r="K4629" s="10" t="s">
        <v>20</v>
      </c>
      <c r="L4629" s="11" t="n">
        <v>39092.1894097222</v>
      </c>
      <c r="M4629" s="12" t="s">
        <v>1319</v>
      </c>
      <c r="N4629" s="12" t="s">
        <v>11059</v>
      </c>
      <c r="O4629" s="9" t="str">
        <f aca="false">HYPERLINK("https://pbs.twimg.com/profile_images/877142283614920704/3edZswyN_normal.jpg","View")</f>
        <v>View</v>
      </c>
      <c r="P4629" s="10"/>
    </row>
    <row r="4630" customFormat="false" ht="15.75" hidden="false" customHeight="false" outlineLevel="0" collapsed="false">
      <c r="A4630" s="6" t="n">
        <v>43030.7562268519</v>
      </c>
      <c r="B4630" s="7" t="str">
        <f aca="false">HYPERLINK("https://twitter.com/conejitonoel","@conejitonoel")</f>
        <v>@conejitonoel</v>
      </c>
      <c r="C4630" s="8" t="s">
        <v>2378</v>
      </c>
      <c r="D4630" s="8" t="s">
        <v>10759</v>
      </c>
      <c r="E4630" s="9" t="str">
        <f aca="false">HYPERLINK("https://twitter.com/conejitonoel/status/922268576404217856","922268576404217856")</f>
        <v>922268576404217856</v>
      </c>
      <c r="F4630" s="10" t="s">
        <v>51</v>
      </c>
      <c r="G4630" s="10" t="n">
        <v>679</v>
      </c>
      <c r="H4630" s="10" t="n">
        <v>96</v>
      </c>
      <c r="I4630" s="10" t="n">
        <v>5</v>
      </c>
      <c r="J4630" s="10" t="n">
        <v>0</v>
      </c>
      <c r="K4630" s="10" t="s">
        <v>20</v>
      </c>
      <c r="L4630" s="11" t="n">
        <v>40723.1965277778</v>
      </c>
      <c r="M4630" s="12" t="s">
        <v>574</v>
      </c>
      <c r="N4630" s="13" t="s">
        <v>2379</v>
      </c>
      <c r="O4630" s="9" t="str">
        <f aca="false">HYPERLINK("https://pbs.twimg.com/profile_images/894728723680829440/dsPrCOvM_normal.jpg","View")</f>
        <v>View</v>
      </c>
      <c r="P4630" s="10"/>
    </row>
    <row r="4631" customFormat="false" ht="15.75" hidden="false" customHeight="false" outlineLevel="0" collapsed="false">
      <c r="A4631" s="6" t="n">
        <v>43030.75625</v>
      </c>
      <c r="B4631" s="7" t="str">
        <f aca="false">HYPERLINK("https://twitter.com/vikassa59499738","@vikassa59499738")</f>
        <v>@vikassa59499738</v>
      </c>
      <c r="C4631" s="8" t="s">
        <v>11060</v>
      </c>
      <c r="D4631" s="8" t="s">
        <v>8538</v>
      </c>
      <c r="E4631" s="9" t="str">
        <f aca="false">HYPERLINK("https://twitter.com/vikassa59499738/status/922268587775074304","922268587775074304")</f>
        <v>922268587775074304</v>
      </c>
      <c r="F4631" s="10" t="s">
        <v>25</v>
      </c>
      <c r="G4631" s="10" t="n">
        <v>10</v>
      </c>
      <c r="H4631" s="10" t="n">
        <v>81</v>
      </c>
      <c r="I4631" s="10" t="n">
        <v>1015</v>
      </c>
      <c r="J4631" s="10" t="n">
        <v>0</v>
      </c>
      <c r="K4631" s="10" t="s">
        <v>20</v>
      </c>
      <c r="L4631" s="11" t="n">
        <v>42370.9950694444</v>
      </c>
      <c r="M4631" s="12" t="s">
        <v>11061</v>
      </c>
      <c r="N4631" s="12" t="s">
        <v>11062</v>
      </c>
      <c r="O4631" s="9" t="str">
        <f aca="false">HYPERLINK("https://pbs.twimg.com/profile_images/867601108197412864/wDCPJLIp_normal.jpg","View")</f>
        <v>View</v>
      </c>
      <c r="P4631" s="10"/>
    </row>
    <row r="4632" customFormat="false" ht="15.75" hidden="false" customHeight="false" outlineLevel="0" collapsed="false">
      <c r="A4632" s="6" t="n">
        <v>43030.7562962963</v>
      </c>
      <c r="B4632" s="7" t="str">
        <f aca="false">HYPERLINK("https://twitter.com/surfnm","@surfnm")</f>
        <v>@surfnm</v>
      </c>
      <c r="C4632" s="8" t="s">
        <v>11063</v>
      </c>
      <c r="D4632" s="8" t="s">
        <v>11033</v>
      </c>
      <c r="E4632" s="9" t="str">
        <f aca="false">HYPERLINK("https://twitter.com/surfnm/status/922268600970260480","922268600970260480")</f>
        <v>922268600970260480</v>
      </c>
      <c r="F4632" s="10" t="s">
        <v>39</v>
      </c>
      <c r="G4632" s="10" t="n">
        <v>285</v>
      </c>
      <c r="H4632" s="10" t="n">
        <v>2880</v>
      </c>
      <c r="I4632" s="10" t="n">
        <v>60</v>
      </c>
      <c r="J4632" s="10" t="n">
        <v>0</v>
      </c>
      <c r="K4632" s="10" t="s">
        <v>20</v>
      </c>
      <c r="L4632" s="11" t="n">
        <v>41622.6227314815</v>
      </c>
      <c r="M4632" s="12"/>
      <c r="N4632" s="12" t="s">
        <v>11064</v>
      </c>
      <c r="O4632" s="9" t="str">
        <f aca="false">HYPERLINK("https://pbs.twimg.com/profile_images/688187592404160513/wRd5hVsw_normal.jpg","View")</f>
        <v>View</v>
      </c>
      <c r="P4632" s="10"/>
    </row>
    <row r="4633" customFormat="false" ht="15.75" hidden="false" customHeight="false" outlineLevel="0" collapsed="false">
      <c r="A4633" s="6" t="n">
        <v>43030.7563773148</v>
      </c>
      <c r="B4633" s="7" t="str">
        <f aca="false">HYPERLINK("https://twitter.com/MuhdHziq","@MuhdHziq")</f>
        <v>@MuhdHziq</v>
      </c>
      <c r="C4633" s="8" t="s">
        <v>11065</v>
      </c>
      <c r="D4633" s="8" t="s">
        <v>11033</v>
      </c>
      <c r="E4633" s="9" t="str">
        <f aca="false">HYPERLINK("https://twitter.com/MuhdHziq/status/922268632893157377","922268632893157377")</f>
        <v>922268632893157377</v>
      </c>
      <c r="F4633" s="10" t="s">
        <v>51</v>
      </c>
      <c r="G4633" s="10" t="n">
        <v>377</v>
      </c>
      <c r="H4633" s="10" t="n">
        <v>312</v>
      </c>
      <c r="I4633" s="10" t="n">
        <v>60</v>
      </c>
      <c r="J4633" s="10" t="n">
        <v>0</v>
      </c>
      <c r="K4633" s="10" t="s">
        <v>20</v>
      </c>
      <c r="L4633" s="11" t="n">
        <v>40081.9308564815</v>
      </c>
      <c r="M4633" s="12" t="s">
        <v>11066</v>
      </c>
      <c r="N4633" s="12" t="s">
        <v>11067</v>
      </c>
      <c r="O4633" s="9" t="str">
        <f aca="false">HYPERLINK("https://pbs.twimg.com/profile_images/866161042891522048/UPIyB38T_normal.jpg","View")</f>
        <v>View</v>
      </c>
      <c r="P4633" s="10"/>
    </row>
    <row r="4634" customFormat="false" ht="15.75" hidden="false" customHeight="false" outlineLevel="0" collapsed="false">
      <c r="A4634" s="6" t="n">
        <v>43030.756412037</v>
      </c>
      <c r="B4634" s="7" t="str">
        <f aca="false">HYPERLINK("https://twitter.com/bdnews24","@bdnews24")</f>
        <v>@bdnews24</v>
      </c>
      <c r="C4634" s="8" t="s">
        <v>216</v>
      </c>
      <c r="D4634" s="8" t="s">
        <v>11068</v>
      </c>
      <c r="E4634" s="9" t="str">
        <f aca="false">HYPERLINK("https://twitter.com/bdnews24/status/922268645442703360","922268645442703360")</f>
        <v>922268645442703360</v>
      </c>
      <c r="F4634" s="10" t="s">
        <v>60</v>
      </c>
      <c r="G4634" s="10" t="n">
        <v>215604</v>
      </c>
      <c r="H4634" s="10" t="n">
        <v>67887</v>
      </c>
      <c r="I4634" s="10" t="n">
        <v>0</v>
      </c>
      <c r="J4634" s="10" t="n">
        <v>0</v>
      </c>
      <c r="K4634" s="10" t="s">
        <v>20</v>
      </c>
      <c r="L4634" s="11" t="n">
        <v>39844.4680439815</v>
      </c>
      <c r="M4634" s="12" t="s">
        <v>218</v>
      </c>
      <c r="N4634" s="12" t="s">
        <v>219</v>
      </c>
      <c r="O4634" s="9" t="str">
        <f aca="false">HYPERLINK("https://pbs.twimg.com/profile_images/718433521509994497/4iW9RC_r_normal.jpg","View")</f>
        <v>View</v>
      </c>
      <c r="P4634" s="10"/>
    </row>
    <row r="4635" customFormat="false" ht="15.75" hidden="false" customHeight="false" outlineLevel="0" collapsed="false">
      <c r="A4635" s="6" t="n">
        <v>43030.756412037</v>
      </c>
      <c r="B4635" s="7" t="str">
        <f aca="false">HYPERLINK("https://twitter.com/ChrisRBach","@ChrisRBach")</f>
        <v>@ChrisRBach</v>
      </c>
      <c r="C4635" s="8" t="s">
        <v>11069</v>
      </c>
      <c r="D4635" s="8" t="s">
        <v>10997</v>
      </c>
      <c r="E4635" s="9" t="str">
        <f aca="false">HYPERLINK("https://twitter.com/ChrisRBach/status/922268646008860674","922268646008860674")</f>
        <v>922268646008860674</v>
      </c>
      <c r="F4635" s="10" t="s">
        <v>25</v>
      </c>
      <c r="G4635" s="10" t="n">
        <v>198</v>
      </c>
      <c r="H4635" s="10" t="n">
        <v>1336</v>
      </c>
      <c r="I4635" s="10" t="n">
        <v>27</v>
      </c>
      <c r="J4635" s="10" t="n">
        <v>0</v>
      </c>
      <c r="K4635" s="10" t="s">
        <v>20</v>
      </c>
      <c r="L4635" s="11" t="n">
        <v>42487.2373842593</v>
      </c>
      <c r="M4635" s="12" t="s">
        <v>11070</v>
      </c>
      <c r="N4635" s="12" t="s">
        <v>11071</v>
      </c>
      <c r="O4635" s="9" t="str">
        <f aca="false">HYPERLINK("https://pbs.twimg.com/profile_images/880216228605812736/ahmjic0m_normal.jpg","View")</f>
        <v>View</v>
      </c>
      <c r="P4635" s="10"/>
    </row>
    <row r="4636" customFormat="false" ht="15.75" hidden="false" customHeight="false" outlineLevel="0" collapsed="false">
      <c r="A4636" s="6" t="n">
        <v>43030.7564814815</v>
      </c>
      <c r="B4636" s="7" t="str">
        <f aca="false">HYPERLINK("https://twitter.com/rohitsh020678","@rohitsh020678")</f>
        <v>@rohitsh020678</v>
      </c>
      <c r="C4636" s="8" t="s">
        <v>11072</v>
      </c>
      <c r="D4636" s="8" t="s">
        <v>8538</v>
      </c>
      <c r="E4636" s="9" t="str">
        <f aca="false">HYPERLINK("https://twitter.com/rohitsh020678/status/922268669803053056","922268669803053056")</f>
        <v>922268669803053056</v>
      </c>
      <c r="F4636" s="10" t="s">
        <v>51</v>
      </c>
      <c r="G4636" s="10" t="n">
        <v>305</v>
      </c>
      <c r="H4636" s="10" t="n">
        <v>166</v>
      </c>
      <c r="I4636" s="10" t="n">
        <v>1015</v>
      </c>
      <c r="J4636" s="10" t="n">
        <v>0</v>
      </c>
      <c r="K4636" s="10" t="s">
        <v>20</v>
      </c>
      <c r="L4636" s="11" t="n">
        <v>42433.8522916667</v>
      </c>
      <c r="M4636" s="12"/>
      <c r="N4636" s="12" t="s">
        <v>11073</v>
      </c>
      <c r="O4636" s="9" t="str">
        <f aca="false">HYPERLINK("https://abs.twimg.com/sticky/default_profile_images/default_profile_normal.png","View")</f>
        <v>View</v>
      </c>
      <c r="P4636" s="10"/>
    </row>
    <row r="4637" customFormat="false" ht="15.75" hidden="false" customHeight="false" outlineLevel="0" collapsed="false">
      <c r="A4637" s="6" t="n">
        <v>43030.7565046296</v>
      </c>
      <c r="B4637" s="7" t="str">
        <f aca="false">HYPERLINK("https://twitter.com/macuevasm","@macuevasm")</f>
        <v>@macuevasm</v>
      </c>
      <c r="C4637" s="8" t="s">
        <v>11074</v>
      </c>
      <c r="D4637" s="8" t="s">
        <v>11033</v>
      </c>
      <c r="E4637" s="9" t="str">
        <f aca="false">HYPERLINK("https://twitter.com/macuevasm/status/922268677306834946","922268677306834946")</f>
        <v>922268677306834946</v>
      </c>
      <c r="F4637" s="10" t="s">
        <v>51</v>
      </c>
      <c r="G4637" s="10" t="n">
        <v>166</v>
      </c>
      <c r="H4637" s="10" t="n">
        <v>39</v>
      </c>
      <c r="I4637" s="10" t="n">
        <v>60</v>
      </c>
      <c r="J4637" s="10" t="n">
        <v>0</v>
      </c>
      <c r="K4637" s="10" t="s">
        <v>20</v>
      </c>
      <c r="L4637" s="11" t="n">
        <v>39999.4471527778</v>
      </c>
      <c r="M4637" s="12" t="s">
        <v>723</v>
      </c>
      <c r="N4637" s="12" t="s">
        <v>11075</v>
      </c>
      <c r="O4637" s="9" t="str">
        <f aca="false">HYPERLINK("https://pbs.twimg.com/profile_images/813244946048282624/gC_HyiK1_normal.jpg","View")</f>
        <v>View</v>
      </c>
      <c r="P4637" s="10"/>
    </row>
    <row r="4638" customFormat="false" ht="15.75" hidden="false" customHeight="false" outlineLevel="0" collapsed="false">
      <c r="A4638" s="6" t="n">
        <v>43030.7568865741</v>
      </c>
      <c r="B4638" s="7" t="str">
        <f aca="false">HYPERLINK("https://twitter.com/ottawafamtree","@ottawafamtree")</f>
        <v>@ottawafamtree</v>
      </c>
      <c r="C4638" s="8" t="s">
        <v>11076</v>
      </c>
      <c r="D4638" s="8" t="s">
        <v>10997</v>
      </c>
      <c r="E4638" s="9" t="str">
        <f aca="false">HYPERLINK("https://twitter.com/ottawafamtree/status/922268816717025286","922268816717025286")</f>
        <v>922268816717025286</v>
      </c>
      <c r="F4638" s="10" t="s">
        <v>177</v>
      </c>
      <c r="G4638" s="10" t="n">
        <v>3147</v>
      </c>
      <c r="H4638" s="10" t="n">
        <v>4913</v>
      </c>
      <c r="I4638" s="10" t="n">
        <v>27</v>
      </c>
      <c r="J4638" s="10" t="n">
        <v>0</v>
      </c>
      <c r="K4638" s="10" t="s">
        <v>20</v>
      </c>
      <c r="L4638" s="11" t="n">
        <v>41252.4519212963</v>
      </c>
      <c r="M4638" s="12" t="s">
        <v>11077</v>
      </c>
      <c r="N4638" s="12" t="s">
        <v>11078</v>
      </c>
      <c r="O4638" s="9" t="str">
        <f aca="false">HYPERLINK("https://pbs.twimg.com/profile_images/2954714522/25e1298f6339017afbc26fbcb2854770_normal.jpeg","View")</f>
        <v>View</v>
      </c>
      <c r="P4638" s="10"/>
    </row>
    <row r="4639" customFormat="false" ht="15.75" hidden="false" customHeight="false" outlineLevel="0" collapsed="false">
      <c r="A4639" s="6" t="n">
        <v>43030.7569560185</v>
      </c>
      <c r="B4639" s="7" t="str">
        <f aca="false">HYPERLINK("https://twitter.com/alternative200","@alternative200")</f>
        <v>@alternative200</v>
      </c>
      <c r="C4639" s="8" t="s">
        <v>11079</v>
      </c>
      <c r="D4639" s="8" t="s">
        <v>11033</v>
      </c>
      <c r="E4639" s="9" t="str">
        <f aca="false">HYPERLINK("https://twitter.com/alternative200/status/922268843447287808","922268843447287808")</f>
        <v>922268843447287808</v>
      </c>
      <c r="F4639" s="10" t="s">
        <v>39</v>
      </c>
      <c r="G4639" s="10" t="n">
        <v>147</v>
      </c>
      <c r="H4639" s="10" t="n">
        <v>224</v>
      </c>
      <c r="I4639" s="10" t="n">
        <v>60</v>
      </c>
      <c r="J4639" s="10" t="n">
        <v>0</v>
      </c>
      <c r="K4639" s="10" t="s">
        <v>20</v>
      </c>
      <c r="L4639" s="11" t="n">
        <v>42924.4834259259</v>
      </c>
      <c r="M4639" s="12" t="s">
        <v>11080</v>
      </c>
      <c r="N4639" s="12" t="s">
        <v>11081</v>
      </c>
      <c r="O4639" s="9" t="str">
        <f aca="false">HYPERLINK("https://pbs.twimg.com/profile_images/903434851570855940/HD_ouAB4_normal.jpg","View")</f>
        <v>View</v>
      </c>
      <c r="P4639" s="10"/>
    </row>
    <row r="4640" customFormat="false" ht="15.75" hidden="false" customHeight="false" outlineLevel="0" collapsed="false">
      <c r="A4640" s="6" t="n">
        <v>43030.7570023148</v>
      </c>
      <c r="B4640" s="7" t="str">
        <f aca="false">HYPERLINK("https://twitter.com/AlexContestBot","@AlexContestBot")</f>
        <v>@AlexContestBot</v>
      </c>
      <c r="C4640" s="8" t="s">
        <v>2191</v>
      </c>
      <c r="D4640" s="8" t="s">
        <v>11033</v>
      </c>
      <c r="E4640" s="9" t="str">
        <f aca="false">HYPERLINK("https://twitter.com/AlexContestBot/status/922268860530573312","922268860530573312")</f>
        <v>922268860530573312</v>
      </c>
      <c r="F4640" s="10" t="s">
        <v>5202</v>
      </c>
      <c r="G4640" s="10" t="n">
        <v>619</v>
      </c>
      <c r="H4640" s="10" t="n">
        <v>5003</v>
      </c>
      <c r="I4640" s="10" t="n">
        <v>60</v>
      </c>
      <c r="J4640" s="10" t="n">
        <v>0</v>
      </c>
      <c r="K4640" s="10" t="s">
        <v>20</v>
      </c>
      <c r="L4640" s="11" t="n">
        <v>42987.5389814815</v>
      </c>
      <c r="M4640" s="12"/>
      <c r="N4640" s="12"/>
      <c r="O4640" s="9" t="str">
        <f aca="false">HYPERLINK("https://abs.twimg.com/sticky/default_profile_images/default_profile_normal.png","View")</f>
        <v>View</v>
      </c>
      <c r="P4640" s="10"/>
    </row>
    <row r="4641" customFormat="false" ht="15.75" hidden="false" customHeight="false" outlineLevel="0" collapsed="false">
      <c r="A4641" s="6" t="n">
        <v>43030.7572453704</v>
      </c>
      <c r="B4641" s="7" t="str">
        <f aca="false">HYPERLINK("https://twitter.com/Tekki_VR","@Tekki_VR")</f>
        <v>@Tekki_VR</v>
      </c>
      <c r="C4641" s="8" t="s">
        <v>225</v>
      </c>
      <c r="D4641" s="8" t="s">
        <v>11082</v>
      </c>
      <c r="E4641" s="9" t="str">
        <f aca="false">HYPERLINK("https://twitter.com/Tekki_VR/status/922268948590100480","922268948590100480")</f>
        <v>922268948590100480</v>
      </c>
      <c r="F4641" s="10" t="s">
        <v>60</v>
      </c>
      <c r="G4641" s="10" t="n">
        <v>1895</v>
      </c>
      <c r="H4641" s="10" t="n">
        <v>2479</v>
      </c>
      <c r="I4641" s="10" t="n">
        <v>0</v>
      </c>
      <c r="J4641" s="10" t="n">
        <v>0</v>
      </c>
      <c r="K4641" s="10" t="s">
        <v>20</v>
      </c>
      <c r="L4641" s="11" t="n">
        <v>42263.5455324074</v>
      </c>
      <c r="M4641" s="12" t="s">
        <v>227</v>
      </c>
      <c r="N4641" s="12" t="s">
        <v>228</v>
      </c>
      <c r="O4641" s="9" t="str">
        <f aca="false">HYPERLINK("https://pbs.twimg.com/profile_images/760662770694098944/h1nSBfE8_normal.jpg","View")</f>
        <v>View</v>
      </c>
      <c r="P4641" s="10"/>
    </row>
    <row r="4642" customFormat="false" ht="15.75" hidden="false" customHeight="false" outlineLevel="0" collapsed="false">
      <c r="A4642" s="6" t="n">
        <v>43030.7572916667</v>
      </c>
      <c r="B4642" s="7" t="str">
        <f aca="false">HYPERLINK("https://twitter.com/CentralJapanF3","@CentralJapanF3")</f>
        <v>@CentralJapanF3</v>
      </c>
      <c r="C4642" s="14" t="s">
        <v>11083</v>
      </c>
      <c r="D4642" s="8" t="s">
        <v>11084</v>
      </c>
      <c r="E4642" s="9" t="str">
        <f aca="false">HYPERLINK("https://twitter.com/CentralJapanF3/status/922268961852370944","922268961852370944")</f>
        <v>922268961852370944</v>
      </c>
      <c r="F4642" s="10" t="s">
        <v>3219</v>
      </c>
      <c r="G4642" s="10" t="n">
        <v>499</v>
      </c>
      <c r="H4642" s="10" t="n">
        <v>773</v>
      </c>
      <c r="I4642" s="10" t="n">
        <v>13</v>
      </c>
      <c r="J4642" s="10" t="n">
        <v>0</v>
      </c>
      <c r="K4642" s="10" t="s">
        <v>20</v>
      </c>
      <c r="L4642" s="11" t="n">
        <v>42029.2278009259</v>
      </c>
      <c r="M4642" s="12" t="s">
        <v>11085</v>
      </c>
      <c r="N4642" s="12" t="s">
        <v>11086</v>
      </c>
      <c r="O4642" s="9" t="str">
        <f aca="false">HYPERLINK("https://pbs.twimg.com/profile_images/918114527547293697/kzgrbGSn_normal.jpg","View")</f>
        <v>View</v>
      </c>
      <c r="P4642" s="10"/>
    </row>
    <row r="4643" customFormat="false" ht="15.75" hidden="false" customHeight="false" outlineLevel="0" collapsed="false">
      <c r="A4643" s="6" t="n">
        <v>43030.7573611111</v>
      </c>
      <c r="B4643" s="7" t="str">
        <f aca="false">HYPERLINK("https://twitter.com/maritalp","@maritalp")</f>
        <v>@maritalp</v>
      </c>
      <c r="C4643" s="8" t="s">
        <v>11087</v>
      </c>
      <c r="D4643" s="8" t="s">
        <v>11033</v>
      </c>
      <c r="E4643" s="9" t="str">
        <f aca="false">HYPERLINK("https://twitter.com/maritalp/status/922268987676905474","922268987676905474")</f>
        <v>922268987676905474</v>
      </c>
      <c r="F4643" s="10" t="s">
        <v>25</v>
      </c>
      <c r="G4643" s="10" t="n">
        <v>1279</v>
      </c>
      <c r="H4643" s="10" t="n">
        <v>3758</v>
      </c>
      <c r="I4643" s="10" t="n">
        <v>60</v>
      </c>
      <c r="J4643" s="10" t="n">
        <v>0</v>
      </c>
      <c r="K4643" s="10" t="s">
        <v>20</v>
      </c>
      <c r="L4643" s="11" t="n">
        <v>39945.049212963</v>
      </c>
      <c r="M4643" s="12" t="s">
        <v>723</v>
      </c>
      <c r="N4643" s="12" t="s">
        <v>11088</v>
      </c>
      <c r="O4643" s="9" t="str">
        <f aca="false">HYPERLINK("https://pbs.twimg.com/profile_images/721354784058556418/ytkm5_zz_normal.jpg","View")</f>
        <v>View</v>
      </c>
      <c r="P4643" s="10"/>
    </row>
    <row r="4644" customFormat="false" ht="15.75" hidden="false" customHeight="false" outlineLevel="0" collapsed="false">
      <c r="A4644" s="6" t="n">
        <v>43030.7574421296</v>
      </c>
      <c r="B4644" s="7" t="str">
        <f aca="false">HYPERLINK("https://twitter.com/BloombergTV","@BloombergTV")</f>
        <v>@BloombergTV</v>
      </c>
      <c r="C4644" s="8" t="s">
        <v>317</v>
      </c>
      <c r="D4644" s="8" t="s">
        <v>11089</v>
      </c>
      <c r="E4644" s="9" t="str">
        <f aca="false">HYPERLINK("https://twitter.com/BloombergTV/status/922269018270109701","922269018270109701")</f>
        <v>922269018270109701</v>
      </c>
      <c r="F4644" s="10" t="s">
        <v>268</v>
      </c>
      <c r="G4644" s="10" t="n">
        <v>452918</v>
      </c>
      <c r="H4644" s="10" t="n">
        <v>458</v>
      </c>
      <c r="I4644" s="10" t="n">
        <v>4</v>
      </c>
      <c r="J4644" s="10" t="n">
        <v>1</v>
      </c>
      <c r="K4644" s="10" t="s">
        <v>20</v>
      </c>
      <c r="L4644" s="11" t="n">
        <v>39927.4899768519</v>
      </c>
      <c r="M4644" s="12" t="s">
        <v>319</v>
      </c>
      <c r="N4644" s="12" t="s">
        <v>320</v>
      </c>
      <c r="O4644" s="9" t="str">
        <f aca="false">HYPERLINK("https://pbs.twimg.com/profile_images/714801760632770560/7My2hMBt_normal.jpg","View")</f>
        <v>View</v>
      </c>
      <c r="P4644" s="10"/>
    </row>
    <row r="4645" customFormat="false" ht="15.75" hidden="false" customHeight="false" outlineLevel="0" collapsed="false">
      <c r="A4645" s="6" t="n">
        <v>43030.7575</v>
      </c>
      <c r="B4645" s="7" t="str">
        <f aca="false">HYPERLINK("https://twitter.com/AlexArg99","@AlexArg99")</f>
        <v>@AlexArg99</v>
      </c>
      <c r="C4645" s="8" t="s">
        <v>11090</v>
      </c>
      <c r="D4645" s="8" t="s">
        <v>11084</v>
      </c>
      <c r="E4645" s="9" t="str">
        <f aca="false">HYPERLINK("https://twitter.com/AlexArg99/status/922269039833075712","922269039833075712")</f>
        <v>922269039833075712</v>
      </c>
      <c r="F4645" s="10" t="s">
        <v>39</v>
      </c>
      <c r="G4645" s="10" t="n">
        <v>139</v>
      </c>
      <c r="H4645" s="10" t="n">
        <v>183</v>
      </c>
      <c r="I4645" s="10" t="n">
        <v>13</v>
      </c>
      <c r="J4645" s="10" t="n">
        <v>0</v>
      </c>
      <c r="K4645" s="10" t="s">
        <v>20</v>
      </c>
      <c r="L4645" s="11" t="n">
        <v>41037.4887268519</v>
      </c>
      <c r="M4645" s="12" t="s">
        <v>11091</v>
      </c>
      <c r="N4645" s="12" t="s">
        <v>11092</v>
      </c>
      <c r="O4645" s="9" t="str">
        <f aca="false">HYPERLINK("https://pbs.twimg.com/profile_images/810460394712166400/idKD4PrN_normal.jpg","View")</f>
        <v>View</v>
      </c>
      <c r="P4645" s="10"/>
    </row>
    <row r="4646" customFormat="false" ht="15.75" hidden="false" customHeight="false" outlineLevel="0" collapsed="false">
      <c r="A4646" s="6" t="n">
        <v>43030.7575925926</v>
      </c>
      <c r="B4646" s="7" t="str">
        <f aca="false">HYPERLINK("https://twitter.com/massao_mork","@massao_mork")</f>
        <v>@massao_mork</v>
      </c>
      <c r="C4646" s="8" t="s">
        <v>11093</v>
      </c>
      <c r="D4646" s="8" t="s">
        <v>7754</v>
      </c>
      <c r="E4646" s="9" t="str">
        <f aca="false">HYPERLINK("https://twitter.com/massao_mork/status/922269074200997888","922269074200997888")</f>
        <v>922269074200997888</v>
      </c>
      <c r="F4646" s="10" t="s">
        <v>39</v>
      </c>
      <c r="G4646" s="10" t="n">
        <v>54</v>
      </c>
      <c r="H4646" s="10" t="n">
        <v>201</v>
      </c>
      <c r="I4646" s="10" t="n">
        <v>20</v>
      </c>
      <c r="J4646" s="10" t="n">
        <v>0</v>
      </c>
      <c r="K4646" s="10" t="s">
        <v>20</v>
      </c>
      <c r="L4646" s="11" t="n">
        <v>42654.4118055556</v>
      </c>
      <c r="M4646" s="12" t="s">
        <v>11094</v>
      </c>
      <c r="N4646" s="13" t="s">
        <v>11095</v>
      </c>
      <c r="O4646" s="9" t="str">
        <f aca="false">HYPERLINK("https://pbs.twimg.com/profile_images/787331406347120641/jGVKA4jH_normal.jpg","View")</f>
        <v>View</v>
      </c>
      <c r="P4646" s="10"/>
    </row>
    <row r="4647" customFormat="false" ht="15.75" hidden="false" customHeight="false" outlineLevel="0" collapsed="false">
      <c r="A4647" s="6" t="n">
        <v>43030.7577199074</v>
      </c>
      <c r="B4647" s="7" t="str">
        <f aca="false">HYPERLINK("https://twitter.com/Sherrilyn59","@Sherrilyn59")</f>
        <v>@Sherrilyn59</v>
      </c>
      <c r="C4647" s="8" t="s">
        <v>11096</v>
      </c>
      <c r="D4647" s="8" t="s">
        <v>11033</v>
      </c>
      <c r="E4647" s="9" t="str">
        <f aca="false">HYPERLINK("https://twitter.com/Sherrilyn59/status/922269118895673344","922269118895673344")</f>
        <v>922269118895673344</v>
      </c>
      <c r="F4647" s="10" t="s">
        <v>25</v>
      </c>
      <c r="G4647" s="10" t="n">
        <v>2040</v>
      </c>
      <c r="H4647" s="10" t="n">
        <v>4525</v>
      </c>
      <c r="I4647" s="10" t="n">
        <v>60</v>
      </c>
      <c r="J4647" s="10" t="n">
        <v>0</v>
      </c>
      <c r="K4647" s="10" t="s">
        <v>20</v>
      </c>
      <c r="L4647" s="11" t="n">
        <v>41853.6506597222</v>
      </c>
      <c r="M4647" s="12" t="s">
        <v>11097</v>
      </c>
      <c r="N4647" s="12" t="s">
        <v>11098</v>
      </c>
      <c r="O4647" s="9" t="str">
        <f aca="false">HYPERLINK("https://pbs.twimg.com/profile_images/592036069375397889/ilVdZ78H_normal.jpg","View")</f>
        <v>View</v>
      </c>
      <c r="P4647" s="10"/>
    </row>
    <row r="4648" customFormat="false" ht="15.75" hidden="false" customHeight="false" outlineLevel="0" collapsed="false">
      <c r="A4648" s="6" t="n">
        <v>43030.7577314815</v>
      </c>
      <c r="B4648" s="7" t="str">
        <f aca="false">HYPERLINK("https://twitter.com/shailendra_nair","@shailendra_nair")</f>
        <v>@shailendra_nair</v>
      </c>
      <c r="C4648" s="8" t="s">
        <v>251</v>
      </c>
      <c r="D4648" s="8" t="s">
        <v>11099</v>
      </c>
      <c r="E4648" s="9" t="str">
        <f aca="false">HYPERLINK("https://twitter.com/shailendra_nair/status/922269122800447491","922269122800447491")</f>
        <v>922269122800447491</v>
      </c>
      <c r="F4648" s="10" t="s">
        <v>60</v>
      </c>
      <c r="G4648" s="10" t="n">
        <v>3987</v>
      </c>
      <c r="H4648" s="10" t="n">
        <v>1042</v>
      </c>
      <c r="I4648" s="10" t="n">
        <v>0</v>
      </c>
      <c r="J4648" s="10" t="n">
        <v>0</v>
      </c>
      <c r="K4648" s="10" t="s">
        <v>20</v>
      </c>
      <c r="L4648" s="11" t="n">
        <v>40362.4379861111</v>
      </c>
      <c r="M4648" s="12" t="s">
        <v>253</v>
      </c>
      <c r="N4648" s="12" t="s">
        <v>254</v>
      </c>
      <c r="O4648" s="9" t="str">
        <f aca="false">HYPERLINK("https://pbs.twimg.com/profile_images/884758468879466497/M_w6UjD3_normal.jpg","View")</f>
        <v>View</v>
      </c>
      <c r="P4648" s="10"/>
    </row>
    <row r="4649" customFormat="false" ht="15.75" hidden="false" customHeight="false" outlineLevel="0" collapsed="false">
      <c r="A4649" s="6" t="n">
        <v>43030.7578125</v>
      </c>
      <c r="B4649" s="7" t="str">
        <f aca="false">HYPERLINK("https://twitter.com/betseyklark","@betseyklark")</f>
        <v>@betseyklark</v>
      </c>
      <c r="C4649" s="8" t="s">
        <v>11100</v>
      </c>
      <c r="D4649" s="8" t="s">
        <v>11084</v>
      </c>
      <c r="E4649" s="9" t="str">
        <f aca="false">HYPERLINK("https://twitter.com/betseyklark/status/922269150336114690","922269150336114690")</f>
        <v>922269150336114690</v>
      </c>
      <c r="F4649" s="10" t="s">
        <v>25</v>
      </c>
      <c r="G4649" s="10" t="n">
        <v>2266</v>
      </c>
      <c r="H4649" s="10" t="n">
        <v>1969</v>
      </c>
      <c r="I4649" s="10" t="n">
        <v>13</v>
      </c>
      <c r="J4649" s="10" t="n">
        <v>0</v>
      </c>
      <c r="K4649" s="10" t="s">
        <v>20</v>
      </c>
      <c r="L4649" s="11" t="n">
        <v>40668.1184837963</v>
      </c>
      <c r="M4649" s="12"/>
      <c r="N4649" s="12" t="s">
        <v>11101</v>
      </c>
      <c r="O4649" s="9" t="str">
        <f aca="false">HYPERLINK("https://pbs.twimg.com/profile_images/911421289004335104/LALc171x_normal.jpg","View")</f>
        <v>View</v>
      </c>
      <c r="P4649" s="10"/>
    </row>
    <row r="4650" customFormat="false" ht="15.75" hidden="false" customHeight="false" outlineLevel="0" collapsed="false">
      <c r="A4650" s="6" t="n">
        <v>43030.7578587963</v>
      </c>
      <c r="B4650" s="7" t="str">
        <f aca="false">HYPERLINK("https://twitter.com/serge_poznanski","@serge_poznanski")</f>
        <v>@serge_poznanski</v>
      </c>
      <c r="C4650" s="8" t="s">
        <v>212</v>
      </c>
      <c r="D4650" s="8" t="s">
        <v>11102</v>
      </c>
      <c r="E4650" s="9" t="str">
        <f aca="false">HYPERLINK("https://twitter.com/serge_poznanski/status/922269168170389504","922269168170389504")</f>
        <v>922269168170389504</v>
      </c>
      <c r="F4650" s="10" t="s">
        <v>60</v>
      </c>
      <c r="G4650" s="10" t="n">
        <v>1426</v>
      </c>
      <c r="H4650" s="10" t="n">
        <v>2136</v>
      </c>
      <c r="I4650" s="10" t="n">
        <v>0</v>
      </c>
      <c r="J4650" s="10" t="n">
        <v>0</v>
      </c>
      <c r="K4650" s="10" t="s">
        <v>20</v>
      </c>
      <c r="L4650" s="11" t="n">
        <v>42271.4744560185</v>
      </c>
      <c r="M4650" s="12"/>
      <c r="N4650" s="12"/>
      <c r="O4650" s="9" t="str">
        <f aca="false">HYPERLINK("https://pbs.twimg.com/profile_images/647277253240291328/3GezjFCJ_normal.jpg","View")</f>
        <v>View</v>
      </c>
      <c r="P4650" s="10"/>
    </row>
    <row r="4651" customFormat="false" ht="15.75" hidden="false" customHeight="false" outlineLevel="0" collapsed="false">
      <c r="A4651" s="6" t="n">
        <v>43030.7579398148</v>
      </c>
      <c r="B4651" s="7" t="str">
        <f aca="false">HYPERLINK("https://twitter.com/mlnangalama","@mlnangalama")</f>
        <v>@mlnangalama</v>
      </c>
      <c r="C4651" s="8" t="s">
        <v>255</v>
      </c>
      <c r="D4651" s="8" t="s">
        <v>11103</v>
      </c>
      <c r="E4651" s="9" t="str">
        <f aca="false">HYPERLINK("https://twitter.com/mlnangalama/status/922269200361709569","922269200361709569")</f>
        <v>922269200361709569</v>
      </c>
      <c r="F4651" s="10" t="s">
        <v>60</v>
      </c>
      <c r="G4651" s="10" t="n">
        <v>2370</v>
      </c>
      <c r="H4651" s="10" t="n">
        <v>1584</v>
      </c>
      <c r="I4651" s="10" t="n">
        <v>0</v>
      </c>
      <c r="J4651" s="10" t="n">
        <v>0</v>
      </c>
      <c r="K4651" s="10" t="s">
        <v>20</v>
      </c>
      <c r="L4651" s="11" t="n">
        <v>41041.5437847222</v>
      </c>
      <c r="M4651" s="12" t="s">
        <v>257</v>
      </c>
      <c r="N4651" s="12" t="s">
        <v>258</v>
      </c>
      <c r="O4651" s="9" t="str">
        <f aca="false">HYPERLINK("https://pbs.twimg.com/profile_images/900915882444173313/biUHzvpx_normal.jpg","View")</f>
        <v>View</v>
      </c>
      <c r="P4651" s="10"/>
    </row>
    <row r="4652" customFormat="false" ht="15.75" hidden="false" customHeight="false" outlineLevel="0" collapsed="false">
      <c r="A4652" s="6" t="n">
        <v>43030.7580208333</v>
      </c>
      <c r="B4652" s="7" t="str">
        <f aca="false">HYPERLINK("https://twitter.com/DeanAkasaka","@DeanAkasaka")</f>
        <v>@DeanAkasaka</v>
      </c>
      <c r="C4652" s="8" t="s">
        <v>11104</v>
      </c>
      <c r="D4652" s="8" t="s">
        <v>11033</v>
      </c>
      <c r="E4652" s="9" t="str">
        <f aca="false">HYPERLINK("https://twitter.com/DeanAkasaka/status/922269228811436032","922269228811436032")</f>
        <v>922269228811436032</v>
      </c>
      <c r="F4652" s="10" t="s">
        <v>39</v>
      </c>
      <c r="G4652" s="10" t="n">
        <v>394</v>
      </c>
      <c r="H4652" s="10" t="n">
        <v>686</v>
      </c>
      <c r="I4652" s="10" t="n">
        <v>60</v>
      </c>
      <c r="J4652" s="10" t="n">
        <v>0</v>
      </c>
      <c r="K4652" s="10" t="s">
        <v>20</v>
      </c>
      <c r="L4652" s="11" t="n">
        <v>41584.086099537</v>
      </c>
      <c r="M4652" s="12"/>
      <c r="N4652" s="12"/>
      <c r="O4652" s="9" t="str">
        <f aca="false">HYPERLINK("https://pbs.twimg.com/profile_images/378800000702048531/43669b48423ddb49d25617772e1352f1_normal.jpeg","View")</f>
        <v>View</v>
      </c>
      <c r="P4652" s="10"/>
    </row>
    <row r="4653" customFormat="false" ht="15.75" hidden="false" customHeight="false" outlineLevel="0" collapsed="false">
      <c r="A4653" s="6" t="n">
        <v>43030.7583333333</v>
      </c>
      <c r="B4653" s="7" t="str">
        <f aca="false">HYPERLINK("https://twitter.com/BloombergQuint","@BloombergQuint")</f>
        <v>@BloombergQuint</v>
      </c>
      <c r="C4653" s="8" t="s">
        <v>692</v>
      </c>
      <c r="D4653" s="8" t="s">
        <v>11105</v>
      </c>
      <c r="E4653" s="9" t="str">
        <f aca="false">HYPERLINK("https://twitter.com/BloombergQuint/status/922269341055295489","922269341055295489")</f>
        <v>922269341055295489</v>
      </c>
      <c r="F4653" s="10" t="s">
        <v>276</v>
      </c>
      <c r="G4653" s="10" t="n">
        <v>24550</v>
      </c>
      <c r="H4653" s="10" t="n">
        <v>329</v>
      </c>
      <c r="I4653" s="10" t="n">
        <v>9</v>
      </c>
      <c r="J4653" s="10" t="n">
        <v>8</v>
      </c>
      <c r="K4653" s="10" t="s">
        <v>20</v>
      </c>
      <c r="L4653" s="11" t="n">
        <v>42458.0631828704</v>
      </c>
      <c r="M4653" s="12" t="s">
        <v>253</v>
      </c>
      <c r="N4653" s="12" t="s">
        <v>694</v>
      </c>
      <c r="O4653" s="9" t="str">
        <f aca="false">HYPERLINK("https://pbs.twimg.com/profile_images/913063487613440001/oU9k6XU7_normal.jpg","View")</f>
        <v>View</v>
      </c>
      <c r="P4653" s="10"/>
    </row>
    <row r="4654" customFormat="false" ht="15.75" hidden="false" customHeight="false" outlineLevel="0" collapsed="false">
      <c r="A4654" s="6" t="n">
        <v>43030.7583564815</v>
      </c>
      <c r="B4654" s="7" t="str">
        <f aca="false">HYPERLINK("https://twitter.com/femto_project","@femto_project")</f>
        <v>@femto_project</v>
      </c>
      <c r="C4654" s="8" t="s">
        <v>11106</v>
      </c>
      <c r="D4654" s="8" t="s">
        <v>11033</v>
      </c>
      <c r="E4654" s="9" t="str">
        <f aca="false">HYPERLINK("https://twitter.com/femto_project/status/922269350605701122","922269350605701122")</f>
        <v>922269350605701122</v>
      </c>
      <c r="F4654" s="10" t="s">
        <v>25</v>
      </c>
      <c r="G4654" s="10" t="n">
        <v>327</v>
      </c>
      <c r="H4654" s="10" t="n">
        <v>1473</v>
      </c>
      <c r="I4654" s="10" t="n">
        <v>60</v>
      </c>
      <c r="J4654" s="10" t="n">
        <v>0</v>
      </c>
      <c r="K4654" s="10" t="s">
        <v>20</v>
      </c>
      <c r="L4654" s="11" t="n">
        <v>42007.2324305556</v>
      </c>
      <c r="M4654" s="12"/>
      <c r="N4654" s="12"/>
      <c r="O4654" s="9" t="str">
        <f aca="false">HYPERLINK("https://pbs.twimg.com/profile_images/685778157941567488/L4wnjZsD_normal.jpg","View")</f>
        <v>View</v>
      </c>
      <c r="P4654" s="10"/>
    </row>
    <row r="4655" customFormat="false" ht="15.75" hidden="false" customHeight="false" outlineLevel="0" collapsed="false">
      <c r="A4655" s="6" t="n">
        <v>43030.7583680556</v>
      </c>
      <c r="B4655" s="7" t="str">
        <f aca="false">HYPERLINK("https://twitter.com/juliocruzri","@juliocruzri")</f>
        <v>@juliocruzri</v>
      </c>
      <c r="C4655" s="8" t="s">
        <v>11107</v>
      </c>
      <c r="D4655" s="8" t="s">
        <v>11033</v>
      </c>
      <c r="E4655" s="9" t="str">
        <f aca="false">HYPERLINK("https://twitter.com/juliocruzri/status/922269352757403648","922269352757403648")</f>
        <v>922269352757403648</v>
      </c>
      <c r="F4655" s="10" t="s">
        <v>39</v>
      </c>
      <c r="G4655" s="10" t="n">
        <v>1070</v>
      </c>
      <c r="H4655" s="10" t="n">
        <v>3935</v>
      </c>
      <c r="I4655" s="10" t="n">
        <v>60</v>
      </c>
      <c r="J4655" s="10" t="n">
        <v>0</v>
      </c>
      <c r="K4655" s="10" t="s">
        <v>20</v>
      </c>
      <c r="L4655" s="11" t="n">
        <v>41254.6453356482</v>
      </c>
      <c r="M4655" s="12"/>
      <c r="N4655" s="12" t="s">
        <v>11108</v>
      </c>
      <c r="O4655" s="9" t="str">
        <f aca="false">HYPERLINK("https://pbs.twimg.com/profile_images/923644192647024640/gO3Gnnnp_normal.jpg","View")</f>
        <v>View</v>
      </c>
      <c r="P4655" s="10"/>
    </row>
    <row r="4656" customFormat="false" ht="15.75" hidden="false" customHeight="false" outlineLevel="0" collapsed="false">
      <c r="A4656" s="6" t="n">
        <v>43030.7584375</v>
      </c>
      <c r="B4656" s="7" t="str">
        <f aca="false">HYPERLINK("https://twitter.com/zurairi","@zurairi")</f>
        <v>@zurairi</v>
      </c>
      <c r="C4656" s="8" t="s">
        <v>11109</v>
      </c>
      <c r="D4656" s="8" t="s">
        <v>10997</v>
      </c>
      <c r="E4656" s="9" t="str">
        <f aca="false">HYPERLINK("https://twitter.com/zurairi/status/922269376748728320","922269376748728320")</f>
        <v>922269376748728320</v>
      </c>
      <c r="F4656" s="10" t="s">
        <v>276</v>
      </c>
      <c r="G4656" s="10" t="n">
        <v>6991</v>
      </c>
      <c r="H4656" s="10" t="n">
        <v>750</v>
      </c>
      <c r="I4656" s="10" t="n">
        <v>27</v>
      </c>
      <c r="J4656" s="10" t="n">
        <v>0</v>
      </c>
      <c r="K4656" s="10" t="s">
        <v>20</v>
      </c>
      <c r="L4656" s="11" t="n">
        <v>39675.3384027778</v>
      </c>
      <c r="M4656" s="12" t="s">
        <v>11110</v>
      </c>
      <c r="N4656" s="12" t="s">
        <v>11111</v>
      </c>
      <c r="O4656" s="9" t="str">
        <f aca="false">HYPERLINK("https://pbs.twimg.com/profile_images/692322539016589312/Ho38FsLh_normal.jpg","View")</f>
        <v>View</v>
      </c>
      <c r="P4656" s="10"/>
    </row>
    <row r="4657" customFormat="false" ht="15.75" hidden="false" customHeight="false" outlineLevel="0" collapsed="false">
      <c r="A4657" s="6" t="n">
        <v>43030.7584953704</v>
      </c>
      <c r="B4657" s="7" t="str">
        <f aca="false">HYPERLINK("https://twitter.com/PrometheusLaw","@PrometheusLaw")</f>
        <v>@PrometheusLaw</v>
      </c>
      <c r="C4657" s="8" t="s">
        <v>11112</v>
      </c>
      <c r="D4657" s="8" t="s">
        <v>11113</v>
      </c>
      <c r="E4657" s="9" t="str">
        <f aca="false">HYPERLINK("https://twitter.com/PrometheusLaw/status/922269400274817024","922269400274817024")</f>
        <v>922269400274817024</v>
      </c>
      <c r="F4657" s="10" t="s">
        <v>60</v>
      </c>
      <c r="G4657" s="10" t="n">
        <v>11</v>
      </c>
      <c r="H4657" s="10" t="n">
        <v>7</v>
      </c>
      <c r="I4657" s="10" t="n">
        <v>0</v>
      </c>
      <c r="J4657" s="10" t="n">
        <v>0</v>
      </c>
      <c r="K4657" s="10" t="s">
        <v>20</v>
      </c>
      <c r="L4657" s="11" t="n">
        <v>42819.7815277778</v>
      </c>
      <c r="M4657" s="12" t="s">
        <v>11114</v>
      </c>
      <c r="N4657" s="12" t="s">
        <v>11115</v>
      </c>
      <c r="O4657" s="9" t="str">
        <f aca="false">HYPERLINK("https://pbs.twimg.com/profile_images/845815461887410177/TiqD1wUb_normal.jpg","View")</f>
        <v>View</v>
      </c>
      <c r="P4657" s="10"/>
    </row>
    <row r="4658" customFormat="false" ht="15.75" hidden="false" customHeight="false" outlineLevel="0" collapsed="false">
      <c r="A4658" s="6" t="n">
        <v>43030.7586226852</v>
      </c>
      <c r="B4658" s="7" t="str">
        <f aca="false">HYPERLINK("https://twitter.com/lacknights","@lacknights")</f>
        <v>@lacknights</v>
      </c>
      <c r="C4658" s="14" t="s">
        <v>11116</v>
      </c>
      <c r="D4658" s="8" t="s">
        <v>11033</v>
      </c>
      <c r="E4658" s="9" t="str">
        <f aca="false">HYPERLINK("https://twitter.com/lacknights/status/922269445824815105","922269445824815105")</f>
        <v>922269445824815105</v>
      </c>
      <c r="F4658" s="10" t="s">
        <v>25</v>
      </c>
      <c r="G4658" s="10" t="n">
        <v>1612</v>
      </c>
      <c r="H4658" s="10" t="n">
        <v>1013</v>
      </c>
      <c r="I4658" s="10" t="n">
        <v>60</v>
      </c>
      <c r="J4658" s="10" t="n">
        <v>0</v>
      </c>
      <c r="K4658" s="10" t="s">
        <v>20</v>
      </c>
      <c r="L4658" s="11" t="n">
        <v>40789.0362384259</v>
      </c>
      <c r="M4658" s="12"/>
      <c r="N4658" s="12" t="s">
        <v>11117</v>
      </c>
      <c r="O4658" s="9" t="str">
        <f aca="false">HYPERLINK("https://pbs.twimg.com/profile_images/1551426416/2011-09-05_15.01.37_normal.jpg","View")</f>
        <v>View</v>
      </c>
      <c r="P4658" s="10"/>
    </row>
    <row r="4659" customFormat="false" ht="15.75" hidden="false" customHeight="false" outlineLevel="0" collapsed="false">
      <c r="A4659" s="6" t="n">
        <v>43030.7586574074</v>
      </c>
      <c r="B4659" s="7" t="str">
        <f aca="false">HYPERLINK("https://twitter.com/NewsCali","@NewsCali")</f>
        <v>@NewsCali</v>
      </c>
      <c r="C4659" s="8" t="s">
        <v>11118</v>
      </c>
      <c r="D4659" s="8" t="s">
        <v>11119</v>
      </c>
      <c r="E4659" s="9" t="str">
        <f aca="false">HYPERLINK("https://twitter.com/NewsCali/status/922269460345638912","922269460345638912")</f>
        <v>922269460345638912</v>
      </c>
      <c r="F4659" s="10" t="s">
        <v>8219</v>
      </c>
      <c r="G4659" s="10" t="n">
        <v>1775</v>
      </c>
      <c r="H4659" s="10" t="n">
        <v>1368</v>
      </c>
      <c r="I4659" s="10" t="n">
        <v>0</v>
      </c>
      <c r="J4659" s="10" t="n">
        <v>0</v>
      </c>
      <c r="K4659" s="10" t="s">
        <v>20</v>
      </c>
      <c r="L4659" s="11" t="n">
        <v>41873.3670949074</v>
      </c>
      <c r="M4659" s="12" t="s">
        <v>11120</v>
      </c>
      <c r="N4659" s="12" t="s">
        <v>11121</v>
      </c>
      <c r="O4659" s="9" t="str">
        <f aca="false">HYPERLINK("https://pbs.twimg.com/profile_images/502920093735469056/_r-gtTxe_normal.png","View")</f>
        <v>View</v>
      </c>
      <c r="P4659" s="10"/>
    </row>
    <row r="4660" customFormat="false" ht="15.75" hidden="false" customHeight="false" outlineLevel="0" collapsed="false">
      <c r="A4660" s="6" t="n">
        <v>43030.7587037037</v>
      </c>
      <c r="B4660" s="7" t="str">
        <f aca="false">HYPERLINK("https://twitter.com/nishant_shastry","@nishant_shastry")</f>
        <v>@nishant_shastry</v>
      </c>
      <c r="C4660" s="8" t="s">
        <v>11122</v>
      </c>
      <c r="D4660" s="8" t="s">
        <v>11123</v>
      </c>
      <c r="E4660" s="9" t="str">
        <f aca="false">HYPERLINK("https://twitter.com/nishant_shastry/status/922269474874642432","922269474874642432")</f>
        <v>922269474874642432</v>
      </c>
      <c r="F4660" s="10" t="s">
        <v>60</v>
      </c>
      <c r="G4660" s="10" t="n">
        <v>362</v>
      </c>
      <c r="H4660" s="10" t="n">
        <v>866</v>
      </c>
      <c r="I4660" s="10" t="n">
        <v>0</v>
      </c>
      <c r="J4660" s="10" t="n">
        <v>0</v>
      </c>
      <c r="K4660" s="10" t="s">
        <v>20</v>
      </c>
      <c r="L4660" s="11" t="n">
        <v>41503.0891666667</v>
      </c>
      <c r="M4660" s="12" t="s">
        <v>11124</v>
      </c>
      <c r="N4660" s="12" t="s">
        <v>11125</v>
      </c>
      <c r="O4660" s="9" t="str">
        <f aca="false">HYPERLINK("https://pbs.twimg.com/profile_images/917695945386504192/AkJa4MAv_normal.jpg","View")</f>
        <v>View</v>
      </c>
      <c r="P4660" s="10"/>
    </row>
    <row r="4661" customFormat="false" ht="15.75" hidden="false" customHeight="false" outlineLevel="0" collapsed="false">
      <c r="A4661" s="6" t="n">
        <v>43030.7587268519</v>
      </c>
      <c r="B4661" s="7" t="str">
        <f aca="false">HYPERLINK("https://twitter.com/dondekojo","@dondekojo")</f>
        <v>@dondekojo</v>
      </c>
      <c r="C4661" s="8" t="s">
        <v>11126</v>
      </c>
      <c r="D4661" s="8" t="s">
        <v>11033</v>
      </c>
      <c r="E4661" s="9" t="str">
        <f aca="false">HYPERLINK("https://twitter.com/dondekojo/status/922269482114002944","922269482114002944")</f>
        <v>922269482114002944</v>
      </c>
      <c r="F4661" s="10" t="s">
        <v>51</v>
      </c>
      <c r="G4661" s="10" t="n">
        <v>8169</v>
      </c>
      <c r="H4661" s="10" t="n">
        <v>2242</v>
      </c>
      <c r="I4661" s="10" t="n">
        <v>60</v>
      </c>
      <c r="J4661" s="10" t="n">
        <v>0</v>
      </c>
      <c r="K4661" s="10" t="s">
        <v>20</v>
      </c>
      <c r="L4661" s="11" t="n">
        <v>40395.3108333333</v>
      </c>
      <c r="M4661" s="12"/>
      <c r="N4661" s="12" t="s">
        <v>11127</v>
      </c>
      <c r="O4661" s="9" t="str">
        <f aca="false">HYPERLINK("https://pbs.twimg.com/profile_images/920279001414930432/785aQybd_normal.jpg","View")</f>
        <v>View</v>
      </c>
      <c r="P4661" s="10"/>
    </row>
    <row r="4662" customFormat="false" ht="15.75" hidden="false" customHeight="false" outlineLevel="0" collapsed="false">
      <c r="A4662" s="6" t="n">
        <v>43030.7591666667</v>
      </c>
      <c r="B4662" s="7" t="str">
        <f aca="false">HYPERLINK("https://twitter.com/vrai777","@vrai777")</f>
        <v>@vrai777</v>
      </c>
      <c r="C4662" s="8" t="s">
        <v>335</v>
      </c>
      <c r="D4662" s="8" t="s">
        <v>11128</v>
      </c>
      <c r="E4662" s="9" t="str">
        <f aca="false">HYPERLINK("https://twitter.com/vrai777/status/922269645054373888","922269645054373888")</f>
        <v>922269645054373888</v>
      </c>
      <c r="F4662" s="10" t="s">
        <v>60</v>
      </c>
      <c r="G4662" s="10" t="n">
        <v>7959</v>
      </c>
      <c r="H4662" s="10" t="n">
        <v>71</v>
      </c>
      <c r="I4662" s="10" t="n">
        <v>0</v>
      </c>
      <c r="J4662" s="10" t="n">
        <v>0</v>
      </c>
      <c r="K4662" s="10" t="s">
        <v>20</v>
      </c>
      <c r="L4662" s="11" t="n">
        <v>39878.7593287037</v>
      </c>
      <c r="M4662" s="12" t="s">
        <v>295</v>
      </c>
      <c r="N4662" s="12" t="s">
        <v>337</v>
      </c>
      <c r="O4662" s="9" t="str">
        <f aca="false">HYPERLINK("https://pbs.twimg.com/profile_images/688775800284266496/qhWTo08H_normal.png","View")</f>
        <v>View</v>
      </c>
      <c r="P4662" s="10"/>
    </row>
    <row r="4663" customFormat="false" ht="15.75" hidden="false" customHeight="false" outlineLevel="0" collapsed="false">
      <c r="A4663" s="6" t="n">
        <v>43030.7593287037</v>
      </c>
      <c r="B4663" s="7" t="str">
        <f aca="false">HYPERLINK("https://twitter.com/msknetin","@msknetin")</f>
        <v>@msknetin</v>
      </c>
      <c r="C4663" s="8" t="s">
        <v>11129</v>
      </c>
      <c r="D4663" s="8" t="s">
        <v>11130</v>
      </c>
      <c r="E4663" s="9" t="str">
        <f aca="false">HYPERLINK("https://twitter.com/msknetin/status/922269703073964032","922269703073964032")</f>
        <v>922269703073964032</v>
      </c>
      <c r="F4663" s="10" t="s">
        <v>25</v>
      </c>
      <c r="G4663" s="10" t="n">
        <v>345</v>
      </c>
      <c r="H4663" s="10" t="n">
        <v>233</v>
      </c>
      <c r="I4663" s="10" t="n">
        <v>9</v>
      </c>
      <c r="J4663" s="10" t="n">
        <v>0</v>
      </c>
      <c r="K4663" s="10" t="s">
        <v>20</v>
      </c>
      <c r="L4663" s="11" t="n">
        <v>40213.2924768519</v>
      </c>
      <c r="M4663" s="12" t="s">
        <v>11131</v>
      </c>
      <c r="N4663" s="12" t="s">
        <v>11132</v>
      </c>
      <c r="O4663" s="9" t="str">
        <f aca="false">HYPERLINK("https://pbs.twimg.com/profile_images/861791125669105669/UKYmQt4b_normal.jpg","View")</f>
        <v>View</v>
      </c>
      <c r="P4663" s="10"/>
    </row>
    <row r="4664" customFormat="false" ht="15.75" hidden="false" customHeight="false" outlineLevel="0" collapsed="false">
      <c r="A4664" s="6" t="n">
        <v>43030.7593634259</v>
      </c>
      <c r="B4664" s="7" t="str">
        <f aca="false">HYPERLINK("https://twitter.com/NewsUpdate24Int","@NewsUpdate24Int")</f>
        <v>@NewsUpdate24Int</v>
      </c>
      <c r="C4664" s="8" t="s">
        <v>5444</v>
      </c>
      <c r="D4664" s="8" t="s">
        <v>11133</v>
      </c>
      <c r="E4664" s="9" t="str">
        <f aca="false">HYPERLINK("https://twitter.com/NewsUpdate24Int/status/922269714201575424","922269714201575424")</f>
        <v>922269714201575424</v>
      </c>
      <c r="F4664" s="10" t="s">
        <v>60</v>
      </c>
      <c r="G4664" s="10" t="n">
        <v>1289</v>
      </c>
      <c r="H4664" s="10" t="n">
        <v>54</v>
      </c>
      <c r="I4664" s="10" t="n">
        <v>0</v>
      </c>
      <c r="J4664" s="10" t="n">
        <v>0</v>
      </c>
      <c r="K4664" s="10" t="s">
        <v>20</v>
      </c>
      <c r="L4664" s="11" t="n">
        <v>42142.5818171296</v>
      </c>
      <c r="M4664" s="12" t="s">
        <v>4866</v>
      </c>
      <c r="N4664" s="12" t="s">
        <v>5446</v>
      </c>
      <c r="O4664" s="9" t="str">
        <f aca="false">HYPERLINK("https://pbs.twimg.com/profile_images/858443073717764096/OPmPGIMa_normal.jpg","View")</f>
        <v>View</v>
      </c>
      <c r="P4664" s="10"/>
    </row>
    <row r="4665" customFormat="false" ht="15.75" hidden="false" customHeight="false" outlineLevel="0" collapsed="false">
      <c r="A4665" s="6" t="n">
        <v>43030.7594212963</v>
      </c>
      <c r="B4665" s="7" t="str">
        <f aca="false">HYPERLINK("https://twitter.com/rajkiran_allola","@rajkiran_allola")</f>
        <v>@rajkiran_allola</v>
      </c>
      <c r="C4665" s="8" t="s">
        <v>11134</v>
      </c>
      <c r="D4665" s="8" t="s">
        <v>8538</v>
      </c>
      <c r="E4665" s="9" t="str">
        <f aca="false">HYPERLINK("https://twitter.com/rajkiran_allola/status/922269734078357504","922269734078357504")</f>
        <v>922269734078357504</v>
      </c>
      <c r="F4665" s="10" t="s">
        <v>51</v>
      </c>
      <c r="G4665" s="10" t="n">
        <v>346</v>
      </c>
      <c r="H4665" s="10" t="n">
        <v>379</v>
      </c>
      <c r="I4665" s="10" t="n">
        <v>1015</v>
      </c>
      <c r="J4665" s="10" t="n">
        <v>0</v>
      </c>
      <c r="K4665" s="10" t="s">
        <v>20</v>
      </c>
      <c r="L4665" s="11" t="n">
        <v>42188.2992708333</v>
      </c>
      <c r="M4665" s="12" t="s">
        <v>11124</v>
      </c>
      <c r="N4665" s="12"/>
      <c r="O4665" s="9" t="str">
        <f aca="false">HYPERLINK("https://pbs.twimg.com/profile_images/845840037019308032/8iqDld8M_normal.jpg","View")</f>
        <v>View</v>
      </c>
      <c r="P4665" s="10"/>
    </row>
    <row r="4666" customFormat="false" ht="15.75" hidden="false" customHeight="false" outlineLevel="0" collapsed="false">
      <c r="A4666" s="6" t="n">
        <v>43030.7595717593</v>
      </c>
      <c r="B4666" s="7" t="str">
        <f aca="false">HYPERLINK("https://twitter.com/1776Douglas","@1776Douglas")</f>
        <v>@1776Douglas</v>
      </c>
      <c r="C4666" s="8" t="s">
        <v>6324</v>
      </c>
      <c r="D4666" s="8" t="s">
        <v>11033</v>
      </c>
      <c r="E4666" s="9" t="str">
        <f aca="false">HYPERLINK("https://twitter.com/1776Douglas/status/922269790135312384","922269790135312384")</f>
        <v>922269790135312384</v>
      </c>
      <c r="F4666" s="10" t="s">
        <v>25</v>
      </c>
      <c r="G4666" s="10" t="n">
        <v>285</v>
      </c>
      <c r="H4666" s="10" t="n">
        <v>1486</v>
      </c>
      <c r="I4666" s="10" t="n">
        <v>60</v>
      </c>
      <c r="J4666" s="10" t="n">
        <v>0</v>
      </c>
      <c r="K4666" s="10" t="s">
        <v>20</v>
      </c>
      <c r="L4666" s="11" t="n">
        <v>42400.2389930556</v>
      </c>
      <c r="M4666" s="12"/>
      <c r="N4666" s="12" t="s">
        <v>11135</v>
      </c>
      <c r="O4666" s="9" t="str">
        <f aca="false">HYPERLINK("https://pbs.twimg.com/profile_images/909135270552928256/CQo7KMm9_normal.jpg","View")</f>
        <v>View</v>
      </c>
      <c r="P4666" s="10"/>
    </row>
    <row r="4667" customFormat="false" ht="15.75" hidden="false" customHeight="false" outlineLevel="0" collapsed="false">
      <c r="A4667" s="6" t="n">
        <v>43030.7597569445</v>
      </c>
      <c r="B4667" s="7" t="str">
        <f aca="false">HYPERLINK("https://twitter.com/PhamNguyenly","@PhamNguyenly")</f>
        <v>@PhamNguyenly</v>
      </c>
      <c r="C4667" s="8" t="s">
        <v>1538</v>
      </c>
      <c r="D4667" s="8" t="s">
        <v>11136</v>
      </c>
      <c r="E4667" s="9" t="str">
        <f aca="false">HYPERLINK("https://twitter.com/PhamNguyenly/status/922269857927892992","922269857927892992")</f>
        <v>922269857927892992</v>
      </c>
      <c r="F4667" s="10" t="s">
        <v>55</v>
      </c>
      <c r="G4667" s="10" t="n">
        <v>174</v>
      </c>
      <c r="H4667" s="10" t="n">
        <v>48</v>
      </c>
      <c r="I4667" s="10" t="n">
        <v>0</v>
      </c>
      <c r="J4667" s="10" t="n">
        <v>0</v>
      </c>
      <c r="K4667" s="10" t="s">
        <v>20</v>
      </c>
      <c r="L4667" s="11" t="n">
        <v>42379.075162037</v>
      </c>
      <c r="M4667" s="12"/>
      <c r="N4667" s="12"/>
      <c r="O4667" s="9" t="str">
        <f aca="false">HYPERLINK("https://pbs.twimg.com/profile_images/686123123029053440/tlIsdN69_normal.jpg","View")</f>
        <v>View</v>
      </c>
      <c r="P4667" s="10"/>
    </row>
    <row r="4668" customFormat="false" ht="15.75" hidden="false" customHeight="false" outlineLevel="0" collapsed="false">
      <c r="A4668" s="6" t="n">
        <v>43030.7598726852</v>
      </c>
      <c r="B4668" s="7" t="str">
        <f aca="false">HYPERLINK("https://twitter.com/TopFiveTraders","@TopFiveTraders")</f>
        <v>@TopFiveTraders</v>
      </c>
      <c r="C4668" s="8" t="s">
        <v>321</v>
      </c>
      <c r="D4668" s="8" t="s">
        <v>11137</v>
      </c>
      <c r="E4668" s="9" t="str">
        <f aca="false">HYPERLINK("https://twitter.com/TopFiveTraders/status/922269900751679489","922269900751679489")</f>
        <v>922269900751679489</v>
      </c>
      <c r="F4668" s="10" t="s">
        <v>60</v>
      </c>
      <c r="G4668" s="10" t="n">
        <v>8181</v>
      </c>
      <c r="H4668" s="10" t="n">
        <v>6774</v>
      </c>
      <c r="I4668" s="10" t="n">
        <v>0</v>
      </c>
      <c r="J4668" s="10" t="n">
        <v>0</v>
      </c>
      <c r="K4668" s="10" t="s">
        <v>20</v>
      </c>
      <c r="L4668" s="11" t="n">
        <v>41573.4842013889</v>
      </c>
      <c r="M4668" s="12" t="s">
        <v>323</v>
      </c>
      <c r="N4668" s="12" t="s">
        <v>324</v>
      </c>
      <c r="O4668" s="9" t="str">
        <f aca="false">HYPERLINK("https://pbs.twimg.com/profile_images/729113141444026370/hi202Ffp_normal.jpg","View")</f>
        <v>View</v>
      </c>
      <c r="P4668" s="10"/>
    </row>
    <row r="4669" customFormat="false" ht="15.75" hidden="false" customHeight="false" outlineLevel="0" collapsed="false">
      <c r="A4669" s="6" t="n">
        <v>43030.7600115741</v>
      </c>
      <c r="B4669" s="7" t="str">
        <f aca="false">HYPERLINK("https://twitter.com/shakuntala_dh","@shakuntala_dh")</f>
        <v>@shakuntala_dh</v>
      </c>
      <c r="C4669" s="8" t="s">
        <v>11138</v>
      </c>
      <c r="D4669" s="8" t="s">
        <v>11139</v>
      </c>
      <c r="E4669" s="9" t="str">
        <f aca="false">HYPERLINK("https://twitter.com/shakuntala_dh/status/922269947270782979","922269947270782979")</f>
        <v>922269947270782979</v>
      </c>
      <c r="F4669" s="10" t="s">
        <v>60</v>
      </c>
      <c r="G4669" s="10" t="n">
        <v>245</v>
      </c>
      <c r="H4669" s="10" t="n">
        <v>207</v>
      </c>
      <c r="I4669" s="10" t="n">
        <v>0</v>
      </c>
      <c r="J4669" s="10" t="n">
        <v>0</v>
      </c>
      <c r="K4669" s="10" t="s">
        <v>20</v>
      </c>
      <c r="L4669" s="11" t="n">
        <v>42607.9470833333</v>
      </c>
      <c r="M4669" s="12" t="s">
        <v>253</v>
      </c>
      <c r="N4669" s="12" t="s">
        <v>11140</v>
      </c>
      <c r="O4669" s="9" t="str">
        <f aca="false">HYPERLINK("https://pbs.twimg.com/profile_images/769055002736398336/mO6JrSTV_normal.jpg","View")</f>
        <v>View</v>
      </c>
      <c r="P4669" s="10"/>
    </row>
    <row r="4670" customFormat="false" ht="15.75" hidden="false" customHeight="false" outlineLevel="0" collapsed="false">
      <c r="A4670" s="6" t="n">
        <v>43030.7601736111</v>
      </c>
      <c r="B4670" s="7" t="str">
        <f aca="false">HYPERLINK("https://twitter.com/mahamanian","@mahamanian")</f>
        <v>@mahamanian</v>
      </c>
      <c r="C4670" s="8" t="s">
        <v>11141</v>
      </c>
      <c r="D4670" s="8" t="s">
        <v>8538</v>
      </c>
      <c r="E4670" s="9" t="str">
        <f aca="false">HYPERLINK("https://twitter.com/mahamanian/status/922270006154485760","922270006154485760")</f>
        <v>922270006154485760</v>
      </c>
      <c r="F4670" s="10" t="s">
        <v>25</v>
      </c>
      <c r="G4670" s="10" t="n">
        <v>24</v>
      </c>
      <c r="H4670" s="10" t="n">
        <v>303</v>
      </c>
      <c r="I4670" s="10" t="n">
        <v>1015</v>
      </c>
      <c r="J4670" s="10" t="n">
        <v>0</v>
      </c>
      <c r="K4670" s="10" t="s">
        <v>20</v>
      </c>
      <c r="L4670" s="11" t="n">
        <v>41201.0590740741</v>
      </c>
      <c r="M4670" s="12" t="s">
        <v>11142</v>
      </c>
      <c r="N4670" s="12" t="s">
        <v>11143</v>
      </c>
      <c r="O4670" s="9" t="str">
        <f aca="false">HYPERLINK("https://pbs.twimg.com/profile_images/662515344544628737/YtYqIpCR_normal.jpg","View")</f>
        <v>View</v>
      </c>
      <c r="P4670" s="10"/>
    </row>
    <row r="4671" customFormat="false" ht="15.75" hidden="false" customHeight="false" outlineLevel="0" collapsed="false">
      <c r="A4671" s="6" t="n">
        <v>43030.7602893519</v>
      </c>
      <c r="B4671" s="7" t="str">
        <f aca="false">HYPERLINK("https://twitter.com/LajosZweig1","@LajosZweig1")</f>
        <v>@LajosZweig1</v>
      </c>
      <c r="C4671" s="8" t="s">
        <v>11144</v>
      </c>
      <c r="D4671" s="8" t="s">
        <v>10725</v>
      </c>
      <c r="E4671" s="9" t="str">
        <f aca="false">HYPERLINK("https://twitter.com/LajosZweig1/status/922270048936431616","922270048936431616")</f>
        <v>922270048936431616</v>
      </c>
      <c r="F4671" s="10" t="s">
        <v>177</v>
      </c>
      <c r="G4671" s="10" t="n">
        <v>320</v>
      </c>
      <c r="H4671" s="10" t="n">
        <v>178</v>
      </c>
      <c r="I4671" s="10" t="n">
        <v>2</v>
      </c>
      <c r="J4671" s="10" t="n">
        <v>0</v>
      </c>
      <c r="K4671" s="10" t="s">
        <v>20</v>
      </c>
      <c r="L4671" s="11" t="n">
        <v>42683.7972106481</v>
      </c>
      <c r="M4671" s="12" t="s">
        <v>11145</v>
      </c>
      <c r="N4671" s="12"/>
      <c r="O4671" s="9" t="str">
        <f aca="false">HYPERLINK("https://pbs.twimg.com/profile_images/796553336501764096/ZLkUvAVG_normal.jpg","View")</f>
        <v>View</v>
      </c>
      <c r="P4671" s="10"/>
    </row>
    <row r="4672" customFormat="false" ht="15.75" hidden="false" customHeight="false" outlineLevel="0" collapsed="false">
      <c r="A4672" s="6" t="n">
        <v>43030.7603356482</v>
      </c>
      <c r="B4672" s="7" t="str">
        <f aca="false">HYPERLINK("https://twitter.com/merrymorris10","@merrymorris10")</f>
        <v>@merrymorris10</v>
      </c>
      <c r="C4672" s="8" t="s">
        <v>11146</v>
      </c>
      <c r="D4672" s="8" t="s">
        <v>11033</v>
      </c>
      <c r="E4672" s="9" t="str">
        <f aca="false">HYPERLINK("https://twitter.com/merrymorris10/status/922270066590343169","922270066590343169")</f>
        <v>922270066590343169</v>
      </c>
      <c r="F4672" s="10" t="s">
        <v>25</v>
      </c>
      <c r="G4672" s="10" t="n">
        <v>295</v>
      </c>
      <c r="H4672" s="10" t="n">
        <v>67</v>
      </c>
      <c r="I4672" s="10" t="n">
        <v>60</v>
      </c>
      <c r="J4672" s="10" t="n">
        <v>0</v>
      </c>
      <c r="K4672" s="10" t="s">
        <v>20</v>
      </c>
      <c r="L4672" s="11" t="n">
        <v>39938.2367013889</v>
      </c>
      <c r="M4672" s="12" t="s">
        <v>11147</v>
      </c>
      <c r="N4672" s="12" t="s">
        <v>11148</v>
      </c>
      <c r="O4672" s="9" t="str">
        <f aca="false">HYPERLINK("https://pbs.twimg.com/profile_images/1534392824/002_normal.jpg","View")</f>
        <v>View</v>
      </c>
      <c r="P4672" s="10"/>
    </row>
    <row r="4673" customFormat="false" ht="15.75" hidden="false" customHeight="false" outlineLevel="0" collapsed="false">
      <c r="A4673" s="6" t="n">
        <v>43030.7604166667</v>
      </c>
      <c r="B4673" s="7" t="str">
        <f aca="false">HYPERLINK("https://twitter.com/Estallar12","@Estallar12")</f>
        <v>@Estallar12</v>
      </c>
      <c r="C4673" s="8" t="s">
        <v>11052</v>
      </c>
      <c r="D4673" s="8" t="s">
        <v>11130</v>
      </c>
      <c r="E4673" s="9" t="str">
        <f aca="false">HYPERLINK("https://twitter.com/Estallar12/status/922270095539183616","922270095539183616")</f>
        <v>922270095539183616</v>
      </c>
      <c r="F4673" s="10" t="s">
        <v>25</v>
      </c>
      <c r="G4673" s="10" t="n">
        <v>595</v>
      </c>
      <c r="H4673" s="10" t="n">
        <v>1077</v>
      </c>
      <c r="I4673" s="10" t="n">
        <v>9</v>
      </c>
      <c r="J4673" s="10" t="n">
        <v>0</v>
      </c>
      <c r="K4673" s="10" t="s">
        <v>20</v>
      </c>
      <c r="L4673" s="11" t="n">
        <v>41208.2591666667</v>
      </c>
      <c r="M4673" s="12" t="s">
        <v>64</v>
      </c>
      <c r="N4673" s="12" t="s">
        <v>11053</v>
      </c>
      <c r="O4673" s="9" t="str">
        <f aca="false">HYPERLINK("https://pbs.twimg.com/profile_images/711121717087830016/C7J39L7y_normal.jpg","View")</f>
        <v>View</v>
      </c>
      <c r="P4673" s="10"/>
    </row>
    <row r="4674" customFormat="false" ht="15.75" hidden="false" customHeight="false" outlineLevel="0" collapsed="false">
      <c r="A4674" s="6" t="n">
        <v>43030.7604976852</v>
      </c>
      <c r="B4674" s="7" t="str">
        <f aca="false">HYPERLINK("https://twitter.com/BloombergAsia","@BloombergAsia")</f>
        <v>@BloombergAsia</v>
      </c>
      <c r="C4674" s="8" t="s">
        <v>1399</v>
      </c>
      <c r="D4674" s="8" t="s">
        <v>11149</v>
      </c>
      <c r="E4674" s="9" t="str">
        <f aca="false">HYPERLINK("https://twitter.com/BloombergAsia/status/922270126581452800","922270126581452800")</f>
        <v>922270126581452800</v>
      </c>
      <c r="F4674" s="10" t="s">
        <v>268</v>
      </c>
      <c r="G4674" s="10" t="n">
        <v>28824</v>
      </c>
      <c r="H4674" s="10" t="n">
        <v>97</v>
      </c>
      <c r="I4674" s="10" t="n">
        <v>4</v>
      </c>
      <c r="J4674" s="10" t="n">
        <v>3</v>
      </c>
      <c r="K4674" s="10" t="s">
        <v>20</v>
      </c>
      <c r="L4674" s="11" t="n">
        <v>41052.2384837963</v>
      </c>
      <c r="M4674" s="12"/>
      <c r="N4674" s="12" t="s">
        <v>1401</v>
      </c>
      <c r="O4674" s="9" t="str">
        <f aca="false">HYPERLINK("https://pbs.twimg.com/profile_images/778129630284902401/gXjFkqGM_normal.jpg","View")</f>
        <v>View</v>
      </c>
      <c r="P4674" s="10"/>
    </row>
    <row r="4675" customFormat="false" ht="15.75" hidden="false" customHeight="false" outlineLevel="0" collapsed="false">
      <c r="A4675" s="6" t="n">
        <v>43030.7604976852</v>
      </c>
      <c r="B4675" s="7" t="str">
        <f aca="false">HYPERLINK("https://twitter.com/bpolitics","@bpolitics")</f>
        <v>@bpolitics</v>
      </c>
      <c r="C4675" s="8" t="s">
        <v>266</v>
      </c>
      <c r="D4675" s="8" t="s">
        <v>11150</v>
      </c>
      <c r="E4675" s="9" t="str">
        <f aca="false">HYPERLINK("https://twitter.com/bpolitics/status/922270126895968257","922270126895968257")</f>
        <v>922270126895968257</v>
      </c>
      <c r="F4675" s="10" t="s">
        <v>268</v>
      </c>
      <c r="G4675" s="10" t="n">
        <v>221392</v>
      </c>
      <c r="H4675" s="10" t="n">
        <v>868</v>
      </c>
      <c r="I4675" s="10" t="n">
        <v>4</v>
      </c>
      <c r="J4675" s="10" t="n">
        <v>4</v>
      </c>
      <c r="K4675" s="10" t="s">
        <v>20</v>
      </c>
      <c r="L4675" s="11" t="n">
        <v>41025.576400463</v>
      </c>
      <c r="M4675" s="12"/>
      <c r="N4675" s="12" t="s">
        <v>269</v>
      </c>
      <c r="O4675" s="9" t="str">
        <f aca="false">HYPERLINK("https://pbs.twimg.com/profile_images/714804098890133504/cUO4gD1A_normal.jpg","View")</f>
        <v>View</v>
      </c>
      <c r="P4675" s="10"/>
    </row>
    <row r="4676" customFormat="false" ht="15.75" hidden="false" customHeight="false" outlineLevel="0" collapsed="false">
      <c r="A4676" s="6" t="n">
        <v>43030.7604976852</v>
      </c>
      <c r="B4676" s="7" t="str">
        <f aca="false">HYPERLINK("https://twitter.com/Democratic_Rep","@Democratic_Rep")</f>
        <v>@Democratic_Rep</v>
      </c>
      <c r="C4676" s="8" t="s">
        <v>7994</v>
      </c>
      <c r="D4676" s="8" t="s">
        <v>8001</v>
      </c>
      <c r="E4676" s="9" t="str">
        <f aca="false">HYPERLINK("https://twitter.com/Democratic_Rep/status/922270127436865537","922270127436865537")</f>
        <v>922270127436865537</v>
      </c>
      <c r="F4676" s="10" t="s">
        <v>177</v>
      </c>
      <c r="G4676" s="10" t="n">
        <v>1246</v>
      </c>
      <c r="H4676" s="10" t="n">
        <v>1715</v>
      </c>
      <c r="I4676" s="10" t="n">
        <v>5</v>
      </c>
      <c r="J4676" s="10" t="n">
        <v>0</v>
      </c>
      <c r="K4676" s="10" t="s">
        <v>20</v>
      </c>
      <c r="L4676" s="11" t="n">
        <v>42724.4964351852</v>
      </c>
      <c r="M4676" s="12" t="s">
        <v>752</v>
      </c>
      <c r="N4676" s="12" t="s">
        <v>7996</v>
      </c>
      <c r="O4676" s="9" t="str">
        <f aca="false">HYPERLINK("https://pbs.twimg.com/profile_images/811523700973453313/GeSzJjhs_normal.jpg","View")</f>
        <v>View</v>
      </c>
      <c r="P4676" s="10"/>
    </row>
    <row r="4677" customFormat="false" ht="15.75" hidden="false" customHeight="false" outlineLevel="0" collapsed="false">
      <c r="A4677" s="6" t="n">
        <v>43030.7605092593</v>
      </c>
      <c r="B4677" s="7" t="str">
        <f aca="false">HYPERLINK("https://twitter.com/dondekojo","@dondekojo")</f>
        <v>@dondekojo</v>
      </c>
      <c r="C4677" s="8" t="s">
        <v>11126</v>
      </c>
      <c r="D4677" s="8" t="s">
        <v>11084</v>
      </c>
      <c r="E4677" s="9" t="str">
        <f aca="false">HYPERLINK("https://twitter.com/dondekojo/status/922270129697755137","922270129697755137")</f>
        <v>922270129697755137</v>
      </c>
      <c r="F4677" s="10" t="s">
        <v>51</v>
      </c>
      <c r="G4677" s="10" t="n">
        <v>8169</v>
      </c>
      <c r="H4677" s="10" t="n">
        <v>2242</v>
      </c>
      <c r="I4677" s="10" t="n">
        <v>13</v>
      </c>
      <c r="J4677" s="10" t="n">
        <v>0</v>
      </c>
      <c r="K4677" s="10" t="s">
        <v>20</v>
      </c>
      <c r="L4677" s="11" t="n">
        <v>40395.3108333333</v>
      </c>
      <c r="M4677" s="12"/>
      <c r="N4677" s="12" t="s">
        <v>11127</v>
      </c>
      <c r="O4677" s="9" t="str">
        <f aca="false">HYPERLINK("https://pbs.twimg.com/profile_images/920279001414930432/785aQybd_normal.jpg","View")</f>
        <v>View</v>
      </c>
      <c r="P4677" s="10"/>
    </row>
    <row r="4678" customFormat="false" ht="15.75" hidden="false" customHeight="false" outlineLevel="0" collapsed="false">
      <c r="A4678" s="6" t="n">
        <v>43030.7609143518</v>
      </c>
      <c r="B4678" s="7" t="str">
        <f aca="false">HYPERLINK("https://twitter.com/gkanth1976","@gkanth1976")</f>
        <v>@gkanth1976</v>
      </c>
      <c r="C4678" s="8" t="s">
        <v>11151</v>
      </c>
      <c r="D4678" s="8" t="s">
        <v>8538</v>
      </c>
      <c r="E4678" s="9" t="str">
        <f aca="false">HYPERLINK("https://twitter.com/gkanth1976/status/922270275797884928","922270275797884928")</f>
        <v>922270275797884928</v>
      </c>
      <c r="F4678" s="10" t="s">
        <v>25</v>
      </c>
      <c r="G4678" s="10" t="n">
        <v>388</v>
      </c>
      <c r="H4678" s="10" t="n">
        <v>235</v>
      </c>
      <c r="I4678" s="10" t="n">
        <v>1015</v>
      </c>
      <c r="J4678" s="10" t="n">
        <v>0</v>
      </c>
      <c r="K4678" s="10" t="s">
        <v>20</v>
      </c>
      <c r="L4678" s="11" t="n">
        <v>40742.3826273148</v>
      </c>
      <c r="M4678" s="12" t="s">
        <v>10894</v>
      </c>
      <c r="N4678" s="12"/>
      <c r="O4678" s="9" t="str">
        <f aca="false">HYPERLINK("https://pbs.twimg.com/profile_images/875026415569088512/W3_m153K_normal.jpg","View")</f>
        <v>View</v>
      </c>
      <c r="P4678" s="10"/>
    </row>
    <row r="4679" customFormat="false" ht="15.75" hidden="false" customHeight="false" outlineLevel="0" collapsed="false">
      <c r="A4679" s="6" t="n">
        <v>43030.7613194444</v>
      </c>
      <c r="B4679" s="7" t="str">
        <f aca="false">HYPERLINK("https://twitter.com/lajong11","@lajong11")</f>
        <v>@lajong11</v>
      </c>
      <c r="C4679" s="8" t="s">
        <v>1559</v>
      </c>
      <c r="D4679" s="8" t="s">
        <v>8538</v>
      </c>
      <c r="E4679" s="9" t="str">
        <f aca="false">HYPERLINK("https://twitter.com/lajong11/status/922270421503893508","922270421503893508")</f>
        <v>922270421503893508</v>
      </c>
      <c r="F4679" s="10" t="s">
        <v>25</v>
      </c>
      <c r="G4679" s="10" t="n">
        <v>1558</v>
      </c>
      <c r="H4679" s="10" t="n">
        <v>5000</v>
      </c>
      <c r="I4679" s="10" t="n">
        <v>1015</v>
      </c>
      <c r="J4679" s="10" t="n">
        <v>0</v>
      </c>
      <c r="K4679" s="10" t="s">
        <v>20</v>
      </c>
      <c r="L4679" s="11" t="n">
        <v>40212.8654976852</v>
      </c>
      <c r="M4679" s="12" t="s">
        <v>1561</v>
      </c>
      <c r="N4679" s="12" t="s">
        <v>1562</v>
      </c>
      <c r="O4679" s="9" t="str">
        <f aca="false">HYPERLINK("https://pbs.twimg.com/profile_images/492363960390148096/8MFxRkCa_normal.png","View")</f>
        <v>View</v>
      </c>
      <c r="P4679" s="10"/>
    </row>
    <row r="4680" customFormat="false" ht="15.75" hidden="false" customHeight="false" outlineLevel="0" collapsed="false">
      <c r="A4680" s="6" t="n">
        <v>43030.7615856482</v>
      </c>
      <c r="B4680" s="7" t="str">
        <f aca="false">HYPERLINK("https://twitter.com/krsaket","@krsaket")</f>
        <v>@krsaket</v>
      </c>
      <c r="C4680" s="8" t="s">
        <v>11152</v>
      </c>
      <c r="D4680" s="8" t="s">
        <v>8538</v>
      </c>
      <c r="E4680" s="9" t="str">
        <f aca="false">HYPERLINK("https://twitter.com/krsaket/status/922270520116236288","922270520116236288")</f>
        <v>922270520116236288</v>
      </c>
      <c r="F4680" s="10" t="s">
        <v>25</v>
      </c>
      <c r="G4680" s="10" t="n">
        <v>99</v>
      </c>
      <c r="H4680" s="10" t="n">
        <v>153</v>
      </c>
      <c r="I4680" s="10" t="n">
        <v>1015</v>
      </c>
      <c r="J4680" s="10" t="n">
        <v>0</v>
      </c>
      <c r="K4680" s="10" t="s">
        <v>20</v>
      </c>
      <c r="L4680" s="11" t="n">
        <v>40303.4134143519</v>
      </c>
      <c r="M4680" s="12" t="s">
        <v>868</v>
      </c>
      <c r="N4680" s="12" t="s">
        <v>11153</v>
      </c>
      <c r="O4680" s="9" t="str">
        <f aca="false">HYPERLINK("https://pbs.twimg.com/profile_images/700911099823009792/mxlGXdZu_normal.jpg","View")</f>
        <v>View</v>
      </c>
      <c r="P4680" s="10"/>
    </row>
    <row r="4681" customFormat="false" ht="15.75" hidden="false" customHeight="false" outlineLevel="0" collapsed="false">
      <c r="A4681" s="6" t="n">
        <v>43030.761712963</v>
      </c>
      <c r="B4681" s="7" t="str">
        <f aca="false">HYPERLINK("https://twitter.com/PolymathBGD","@PolymathBGD")</f>
        <v>@PolymathBGD</v>
      </c>
      <c r="C4681" s="8" t="s">
        <v>11154</v>
      </c>
      <c r="D4681" s="8" t="s">
        <v>11033</v>
      </c>
      <c r="E4681" s="9" t="str">
        <f aca="false">HYPERLINK("https://twitter.com/PolymathBGD/status/922270563736981504","922270563736981504")</f>
        <v>922270563736981504</v>
      </c>
      <c r="F4681" s="10" t="s">
        <v>51</v>
      </c>
      <c r="G4681" s="10" t="n">
        <v>783</v>
      </c>
      <c r="H4681" s="10" t="n">
        <v>856</v>
      </c>
      <c r="I4681" s="10" t="n">
        <v>60</v>
      </c>
      <c r="J4681" s="10" t="n">
        <v>0</v>
      </c>
      <c r="K4681" s="10" t="s">
        <v>20</v>
      </c>
      <c r="L4681" s="11" t="n">
        <v>40589.1760763889</v>
      </c>
      <c r="M4681" s="12" t="s">
        <v>11155</v>
      </c>
      <c r="N4681" s="12" t="s">
        <v>11156</v>
      </c>
      <c r="O4681" s="9" t="str">
        <f aca="false">HYPERLINK("https://pbs.twimg.com/profile_images/900707166138585088/DpS4hnWi_normal.jpg","View")</f>
        <v>View</v>
      </c>
      <c r="P4681" s="10"/>
    </row>
    <row r="4682" customFormat="false" ht="15.75" hidden="false" customHeight="false" outlineLevel="0" collapsed="false">
      <c r="A4682" s="6" t="n">
        <v>43030.7617708333</v>
      </c>
      <c r="B4682" s="7" t="str">
        <f aca="false">HYPERLINK("https://twitter.com/gregorhunter","@gregorhunter")</f>
        <v>@gregorhunter</v>
      </c>
      <c r="C4682" s="8" t="s">
        <v>11157</v>
      </c>
      <c r="D4682" s="8" t="s">
        <v>11158</v>
      </c>
      <c r="E4682" s="9" t="str">
        <f aca="false">HYPERLINK("https://twitter.com/gregorhunter/status/922270588386795520","922270588386795520")</f>
        <v>922270588386795520</v>
      </c>
      <c r="F4682" s="10" t="s">
        <v>276</v>
      </c>
      <c r="G4682" s="10" t="n">
        <v>3879</v>
      </c>
      <c r="H4682" s="10" t="n">
        <v>1547</v>
      </c>
      <c r="I4682" s="10" t="n">
        <v>0</v>
      </c>
      <c r="J4682" s="10" t="n">
        <v>0</v>
      </c>
      <c r="K4682" s="10" t="s">
        <v>20</v>
      </c>
      <c r="L4682" s="11" t="n">
        <v>39790.3071643518</v>
      </c>
      <c r="M4682" s="12" t="s">
        <v>11159</v>
      </c>
      <c r="N4682" s="12" t="s">
        <v>11160</v>
      </c>
      <c r="O4682" s="9" t="str">
        <f aca="false">HYPERLINK("https://pbs.twimg.com/profile_images/918667371400781824/aYOmA_IL_normal.jpg","View")</f>
        <v>View</v>
      </c>
      <c r="P4682" s="10"/>
    </row>
    <row r="4683" customFormat="false" ht="15.75" hidden="false" customHeight="false" outlineLevel="0" collapsed="false">
      <c r="A4683" s="6" t="n">
        <v>43030.7617824074</v>
      </c>
      <c r="B4683" s="7" t="str">
        <f aca="false">HYPERLINK("https://twitter.com/RajeevSinghMath","@RajeevSinghMath")</f>
        <v>@RajeevSinghMath</v>
      </c>
      <c r="C4683" s="8" t="s">
        <v>11161</v>
      </c>
      <c r="D4683" s="8" t="s">
        <v>8538</v>
      </c>
      <c r="E4683" s="9" t="str">
        <f aca="false">HYPERLINK("https://twitter.com/RajeevSinghMath/status/922270592421769216","922270592421769216")</f>
        <v>922270592421769216</v>
      </c>
      <c r="F4683" s="10" t="s">
        <v>25</v>
      </c>
      <c r="G4683" s="10" t="n">
        <v>389</v>
      </c>
      <c r="H4683" s="10" t="n">
        <v>291</v>
      </c>
      <c r="I4683" s="10" t="n">
        <v>1015</v>
      </c>
      <c r="J4683" s="10" t="n">
        <v>0</v>
      </c>
      <c r="K4683" s="10" t="s">
        <v>20</v>
      </c>
      <c r="L4683" s="11" t="n">
        <v>40721.2152199074</v>
      </c>
      <c r="M4683" s="12" t="s">
        <v>857</v>
      </c>
      <c r="N4683" s="12"/>
      <c r="O4683" s="9" t="str">
        <f aca="false">HYPERLINK("https://pbs.twimg.com/profile_images/853637058769833984/AfwcIv1M_normal.jpg","View")</f>
        <v>View</v>
      </c>
      <c r="P4683" s="10"/>
    </row>
    <row r="4684" customFormat="false" ht="15.75" hidden="false" customHeight="false" outlineLevel="0" collapsed="false">
      <c r="A4684" s="6" t="n">
        <v>43030.7619444444</v>
      </c>
      <c r="B4684" s="7" t="str">
        <f aca="false">HYPERLINK("https://twitter.com/ecodaren","@ecodaren")</f>
        <v>@ecodaren</v>
      </c>
      <c r="C4684" s="8" t="s">
        <v>2239</v>
      </c>
      <c r="D4684" s="8" t="s">
        <v>11162</v>
      </c>
      <c r="E4684" s="9" t="str">
        <f aca="false">HYPERLINK("https://twitter.com/ecodaren/status/922270650235895808","922270650235895808")</f>
        <v>922270650235895808</v>
      </c>
      <c r="F4684" s="10" t="s">
        <v>25</v>
      </c>
      <c r="G4684" s="10" t="n">
        <v>3186</v>
      </c>
      <c r="H4684" s="10" t="n">
        <v>666</v>
      </c>
      <c r="I4684" s="10" t="n">
        <v>4</v>
      </c>
      <c r="J4684" s="10" t="n">
        <v>0</v>
      </c>
      <c r="K4684" s="10" t="s">
        <v>20</v>
      </c>
      <c r="L4684" s="11" t="n">
        <v>40242.9772569445</v>
      </c>
      <c r="M4684" s="12" t="s">
        <v>2241</v>
      </c>
      <c r="N4684" s="12" t="s">
        <v>2242</v>
      </c>
      <c r="O4684" s="9" t="str">
        <f aca="false">HYPERLINK("https://pbs.twimg.com/profile_images/735550709/imgffbe007fzikbzj_normal.jpg","View")</f>
        <v>View</v>
      </c>
      <c r="P4684" s="10"/>
    </row>
    <row r="4685" customFormat="false" ht="15.75" hidden="false" customHeight="false" outlineLevel="0" collapsed="false">
      <c r="A4685" s="6" t="n">
        <v>43030.7619444444</v>
      </c>
      <c r="B4685" s="7" t="str">
        <f aca="false">HYPERLINK("https://twitter.com/BKanad","@BKanad")</f>
        <v>@BKanad</v>
      </c>
      <c r="C4685" s="8" t="s">
        <v>11163</v>
      </c>
      <c r="D4685" s="8" t="s">
        <v>8538</v>
      </c>
      <c r="E4685" s="9" t="str">
        <f aca="false">HYPERLINK("https://twitter.com/BKanad/status/922270650491813888","922270650491813888")</f>
        <v>922270650491813888</v>
      </c>
      <c r="F4685" s="10" t="s">
        <v>25</v>
      </c>
      <c r="G4685" s="10" t="n">
        <v>1610</v>
      </c>
      <c r="H4685" s="10" t="n">
        <v>3288</v>
      </c>
      <c r="I4685" s="10" t="n">
        <v>1015</v>
      </c>
      <c r="J4685" s="10" t="n">
        <v>0</v>
      </c>
      <c r="K4685" s="10" t="s">
        <v>20</v>
      </c>
      <c r="L4685" s="11" t="n">
        <v>41231.4313310185</v>
      </c>
      <c r="M4685" s="12" t="s">
        <v>11164</v>
      </c>
      <c r="N4685" s="12" t="s">
        <v>11165</v>
      </c>
      <c r="O4685" s="9" t="str">
        <f aca="false">HYPERLINK("https://pbs.twimg.com/profile_images/779952705896710144/RJIntdEZ_normal.jpg","View")</f>
        <v>View</v>
      </c>
      <c r="P4685" s="10"/>
    </row>
    <row r="4686" customFormat="false" ht="15.75" hidden="false" customHeight="false" outlineLevel="0" collapsed="false">
      <c r="A4686" s="6" t="n">
        <v>43030.762037037</v>
      </c>
      <c r="B4686" s="7" t="str">
        <f aca="false">HYPERLINK("https://twitter.com/adellapasos","@adellapasos")</f>
        <v>@adellapasos</v>
      </c>
      <c r="C4686" s="8" t="s">
        <v>11166</v>
      </c>
      <c r="D4686" s="8" t="s">
        <v>11167</v>
      </c>
      <c r="E4686" s="9" t="str">
        <f aca="false">HYPERLINK("https://twitter.com/adellapasos/status/922270682528010241","922270682528010241")</f>
        <v>922270682528010241</v>
      </c>
      <c r="F4686" s="9" t="s">
        <v>2138</v>
      </c>
      <c r="G4686" s="10" t="n">
        <v>48844</v>
      </c>
      <c r="H4686" s="10" t="n">
        <v>2908</v>
      </c>
      <c r="I4686" s="10" t="n">
        <v>0</v>
      </c>
      <c r="J4686" s="10" t="n">
        <v>0</v>
      </c>
      <c r="K4686" s="10" t="s">
        <v>20</v>
      </c>
      <c r="L4686" s="11" t="n">
        <v>39902.407025463</v>
      </c>
      <c r="M4686" s="12" t="s">
        <v>11168</v>
      </c>
      <c r="N4686" s="12" t="s">
        <v>11169</v>
      </c>
      <c r="O4686" s="9" t="str">
        <f aca="false">HYPERLINK("https://pbs.twimg.com/profile_images/3090730143/bb3bd092ceec55d57e0fbf36568664ca_normal.jpeg","View")</f>
        <v>View</v>
      </c>
      <c r="P4686" s="10"/>
    </row>
    <row r="4687" customFormat="false" ht="15.75" hidden="false" customHeight="false" outlineLevel="0" collapsed="false">
      <c r="A4687" s="6" t="n">
        <v>43030.7620486111</v>
      </c>
      <c r="B4687" s="7" t="str">
        <f aca="false">HYPERLINK("https://twitter.com/askadella","@askadella")</f>
        <v>@askadella</v>
      </c>
      <c r="C4687" s="8" t="s">
        <v>11166</v>
      </c>
      <c r="D4687" s="8" t="s">
        <v>11170</v>
      </c>
      <c r="E4687" s="9" t="str">
        <f aca="false">HYPERLINK("https://twitter.com/askadella/status/922270687124967424","922270687124967424")</f>
        <v>922270687124967424</v>
      </c>
      <c r="F4687" s="9" t="s">
        <v>2138</v>
      </c>
      <c r="G4687" s="10" t="n">
        <v>8544</v>
      </c>
      <c r="H4687" s="10" t="n">
        <v>5134</v>
      </c>
      <c r="I4687" s="10" t="n">
        <v>0</v>
      </c>
      <c r="J4687" s="10" t="n">
        <v>0</v>
      </c>
      <c r="K4687" s="10" t="s">
        <v>20</v>
      </c>
      <c r="L4687" s="11" t="n">
        <v>41546.7574884259</v>
      </c>
      <c r="M4687" s="12" t="s">
        <v>798</v>
      </c>
      <c r="N4687" s="12" t="s">
        <v>11171</v>
      </c>
      <c r="O4687" s="9" t="str">
        <f aca="false">HYPERLINK("https://pbs.twimg.com/profile_images/564535015086628864/2iEIi-GB_normal.jpeg","View")</f>
        <v>View</v>
      </c>
      <c r="P4687" s="10"/>
    </row>
    <row r="4688" customFormat="false" ht="15.75" hidden="false" customHeight="false" outlineLevel="0" collapsed="false">
      <c r="A4688" s="6" t="n">
        <v>43030.7620717593</v>
      </c>
      <c r="B4688" s="7" t="str">
        <f aca="false">HYPERLINK("https://twitter.com/TheChakravartin","@TheChakravartin")</f>
        <v>@TheChakravartin</v>
      </c>
      <c r="C4688" s="8" t="s">
        <v>8162</v>
      </c>
      <c r="D4688" s="8" t="s">
        <v>8538</v>
      </c>
      <c r="E4688" s="9" t="str">
        <f aca="false">HYPERLINK("https://twitter.com/TheChakravartin/status/922270696088125440","922270696088125440")</f>
        <v>922270696088125440</v>
      </c>
      <c r="F4688" s="10" t="s">
        <v>25</v>
      </c>
      <c r="G4688" s="10" t="n">
        <v>312</v>
      </c>
      <c r="H4688" s="10" t="n">
        <v>96</v>
      </c>
      <c r="I4688" s="10" t="n">
        <v>1015</v>
      </c>
      <c r="J4688" s="10" t="n">
        <v>0</v>
      </c>
      <c r="K4688" s="10" t="s">
        <v>20</v>
      </c>
      <c r="L4688" s="11" t="n">
        <v>42361.3033333333</v>
      </c>
      <c r="M4688" s="12"/>
      <c r="N4688" s="12" t="s">
        <v>11172</v>
      </c>
      <c r="O4688" s="9" t="str">
        <f aca="false">HYPERLINK("https://pbs.twimg.com/profile_images/834197219121180672/-Brx62en_normal.jpg","View")</f>
        <v>View</v>
      </c>
      <c r="P4688" s="10"/>
    </row>
    <row r="4689" customFormat="false" ht="15.75" hidden="false" customHeight="false" outlineLevel="0" collapsed="false">
      <c r="A4689" s="6" t="n">
        <v>43030.7621180556</v>
      </c>
      <c r="B4689" s="7" t="str">
        <f aca="false">HYPERLINK("https://twitter.com/hmadkur","@hmadkur")</f>
        <v>@hmadkur</v>
      </c>
      <c r="C4689" s="8" t="s">
        <v>11173</v>
      </c>
      <c r="D4689" s="8" t="s">
        <v>11033</v>
      </c>
      <c r="E4689" s="9" t="str">
        <f aca="false">HYPERLINK("https://twitter.com/hmadkur/status/922270710785077249","922270710785077249")</f>
        <v>922270710785077249</v>
      </c>
      <c r="F4689" s="10" t="s">
        <v>51</v>
      </c>
      <c r="G4689" s="10" t="n">
        <v>596</v>
      </c>
      <c r="H4689" s="10" t="n">
        <v>1006</v>
      </c>
      <c r="I4689" s="10" t="n">
        <v>60</v>
      </c>
      <c r="J4689" s="10" t="n">
        <v>0</v>
      </c>
      <c r="K4689" s="10" t="s">
        <v>20</v>
      </c>
      <c r="L4689" s="11" t="n">
        <v>40212.516712963</v>
      </c>
      <c r="M4689" s="12"/>
      <c r="N4689" s="12" t="s">
        <v>11174</v>
      </c>
      <c r="O4689" s="9" t="str">
        <f aca="false">HYPERLINK("https://pbs.twimg.com/profile_images/550426430023413760/Zk7y0ydp_normal.jpeg","View")</f>
        <v>View</v>
      </c>
      <c r="P4689" s="10"/>
    </row>
    <row r="4690" customFormat="false" ht="15.75" hidden="false" customHeight="false" outlineLevel="0" collapsed="false">
      <c r="A4690" s="6" t="n">
        <v>43030.7621527778</v>
      </c>
      <c r="B4690" s="7" t="str">
        <f aca="false">HYPERLINK("https://twitter.com/KyloJohn95","@KyloJohn95")</f>
        <v>@KyloJohn95</v>
      </c>
      <c r="C4690" s="8" t="s">
        <v>11175</v>
      </c>
      <c r="D4690" s="8" t="s">
        <v>10987</v>
      </c>
      <c r="E4690" s="9" t="str">
        <f aca="false">HYPERLINK("https://twitter.com/KyloJohn95/status/922270726371074048","922270726371074048")</f>
        <v>922270726371074048</v>
      </c>
      <c r="F4690" s="10" t="s">
        <v>51</v>
      </c>
      <c r="G4690" s="10" t="n">
        <v>49</v>
      </c>
      <c r="H4690" s="10" t="n">
        <v>66</v>
      </c>
      <c r="I4690" s="10" t="n">
        <v>9</v>
      </c>
      <c r="J4690" s="10" t="n">
        <v>0</v>
      </c>
      <c r="K4690" s="10" t="s">
        <v>20</v>
      </c>
      <c r="L4690" s="11" t="n">
        <v>42503.446400463</v>
      </c>
      <c r="M4690" s="12" t="s">
        <v>230</v>
      </c>
      <c r="N4690" s="12" t="s">
        <v>11176</v>
      </c>
      <c r="O4690" s="9" t="str">
        <f aca="false">HYPERLINK("https://pbs.twimg.com/profile_images/862766713254940679/8rw_5R5n_normal.jpg","View")</f>
        <v>View</v>
      </c>
      <c r="P4690" s="10"/>
    </row>
    <row r="4691" customFormat="false" ht="15.75" hidden="false" customHeight="false" outlineLevel="0" collapsed="false">
      <c r="A4691" s="6" t="n">
        <v>43030.7624074074</v>
      </c>
      <c r="B4691" s="7" t="str">
        <f aca="false">HYPERLINK("https://twitter.com/chandra_bathwal","@chandra_bathwal")</f>
        <v>@chandra_bathwal</v>
      </c>
      <c r="C4691" s="8" t="s">
        <v>11177</v>
      </c>
      <c r="D4691" s="8" t="s">
        <v>8538</v>
      </c>
      <c r="E4691" s="9" t="str">
        <f aca="false">HYPERLINK("https://twitter.com/chandra_bathwal/status/922270817752309760","922270817752309760")</f>
        <v>922270817752309760</v>
      </c>
      <c r="F4691" s="10" t="s">
        <v>25</v>
      </c>
      <c r="G4691" s="10" t="n">
        <v>234</v>
      </c>
      <c r="H4691" s="10" t="n">
        <v>213</v>
      </c>
      <c r="I4691" s="10" t="n">
        <v>1015</v>
      </c>
      <c r="J4691" s="10" t="n">
        <v>0</v>
      </c>
      <c r="K4691" s="10" t="s">
        <v>20</v>
      </c>
      <c r="L4691" s="11" t="n">
        <v>40262.1107060185</v>
      </c>
      <c r="M4691" s="12" t="s">
        <v>1877</v>
      </c>
      <c r="N4691" s="12" t="s">
        <v>11178</v>
      </c>
      <c r="O4691" s="9" t="str">
        <f aca="false">HYPERLINK("https://pbs.twimg.com/profile_images/466944792102838273/Jtl0mTtM_normal.jpeg","View")</f>
        <v>View</v>
      </c>
      <c r="P4691" s="10"/>
    </row>
    <row r="4692" customFormat="false" ht="15.75" hidden="false" customHeight="false" outlineLevel="0" collapsed="false">
      <c r="A4692" s="6" t="n">
        <v>43030.762650463</v>
      </c>
      <c r="B4692" s="7" t="str">
        <f aca="false">HYPERLINK("https://twitter.com/TheTailants","@TheTailants")</f>
        <v>@TheTailants</v>
      </c>
      <c r="C4692" s="8" t="s">
        <v>11179</v>
      </c>
      <c r="D4692" s="8" t="s">
        <v>11033</v>
      </c>
      <c r="E4692" s="9" t="str">
        <f aca="false">HYPERLINK("https://twitter.com/TheTailants/status/922270905509675008","922270905509675008")</f>
        <v>922270905509675008</v>
      </c>
      <c r="F4692" s="10" t="s">
        <v>25</v>
      </c>
      <c r="G4692" s="10" t="n">
        <v>75</v>
      </c>
      <c r="H4692" s="10" t="n">
        <v>2280</v>
      </c>
      <c r="I4692" s="10" t="n">
        <v>60</v>
      </c>
      <c r="J4692" s="10" t="n">
        <v>0</v>
      </c>
      <c r="K4692" s="10" t="s">
        <v>20</v>
      </c>
      <c r="L4692" s="11" t="n">
        <v>40889.5512847222</v>
      </c>
      <c r="M4692" s="12" t="s">
        <v>11180</v>
      </c>
      <c r="N4692" s="12" t="s">
        <v>11181</v>
      </c>
      <c r="O4692" s="9" t="str">
        <f aca="false">HYPERLINK("https://pbs.twimg.com/profile_images/763022855881707520/xzO_ZqLe_normal.jpg","View")</f>
        <v>View</v>
      </c>
      <c r="P4692" s="10"/>
    </row>
    <row r="4693" customFormat="false" ht="15.75" hidden="false" customHeight="false" outlineLevel="0" collapsed="false">
      <c r="A4693" s="6" t="n">
        <v>43030.7627083333</v>
      </c>
      <c r="B4693" s="7" t="str">
        <f aca="false">HYPERLINK("https://twitter.com/HaradToshiharu","@HaradToshiharu")</f>
        <v>@HaradToshiharu</v>
      </c>
      <c r="C4693" s="14" t="s">
        <v>11182</v>
      </c>
      <c r="D4693" s="8" t="s">
        <v>11183</v>
      </c>
      <c r="E4693" s="9" t="str">
        <f aca="false">HYPERLINK("https://twitter.com/HaradToshiharu/status/922270926690856960","922270926690856960")</f>
        <v>922270926690856960</v>
      </c>
      <c r="F4693" s="10" t="s">
        <v>39</v>
      </c>
      <c r="G4693" s="10" t="n">
        <v>145</v>
      </c>
      <c r="H4693" s="10" t="n">
        <v>280</v>
      </c>
      <c r="I4693" s="10" t="n">
        <v>4</v>
      </c>
      <c r="J4693" s="10" t="n">
        <v>0</v>
      </c>
      <c r="K4693" s="10" t="s">
        <v>20</v>
      </c>
      <c r="L4693" s="11" t="n">
        <v>41376.3771064815</v>
      </c>
      <c r="M4693" s="12"/>
      <c r="N4693" s="12"/>
      <c r="O4693" s="9" t="str">
        <f aca="false">HYPERLINK("https://abs.twimg.com/sticky/default_profile_images/default_profile_normal.png","View")</f>
        <v>View</v>
      </c>
      <c r="P4693" s="10"/>
    </row>
    <row r="4694" customFormat="false" ht="15.75" hidden="false" customHeight="false" outlineLevel="0" collapsed="false">
      <c r="A4694" s="6" t="n">
        <v>43030.7627893519</v>
      </c>
      <c r="B4694" s="7" t="str">
        <f aca="false">HYPERLINK("https://twitter.com/sitifatimahnet","@sitifatimahnet")</f>
        <v>@sitifatimahnet</v>
      </c>
      <c r="C4694" s="8" t="s">
        <v>11184</v>
      </c>
      <c r="D4694" s="8" t="s">
        <v>11185</v>
      </c>
      <c r="E4694" s="9" t="str">
        <f aca="false">HYPERLINK("https://twitter.com/sitifatimahnet/status/922270955858284544","922270955858284544")</f>
        <v>922270955858284544</v>
      </c>
      <c r="F4694" s="10" t="s">
        <v>60</v>
      </c>
      <c r="G4694" s="10" t="n">
        <v>312</v>
      </c>
      <c r="H4694" s="10" t="n">
        <v>27</v>
      </c>
      <c r="I4694" s="10" t="n">
        <v>0</v>
      </c>
      <c r="J4694" s="10" t="n">
        <v>0</v>
      </c>
      <c r="K4694" s="10" t="s">
        <v>20</v>
      </c>
      <c r="L4694" s="11" t="n">
        <v>42698.4371990741</v>
      </c>
      <c r="M4694" s="12" t="s">
        <v>11186</v>
      </c>
      <c r="N4694" s="12" t="s">
        <v>11187</v>
      </c>
      <c r="O4694" s="9" t="str">
        <f aca="false">HYPERLINK("https://pbs.twimg.com/profile_images/897683241594912769/-rSDzg9T_normal.jpg","View")</f>
        <v>View</v>
      </c>
      <c r="P4694" s="10"/>
    </row>
    <row r="4695" customFormat="false" ht="15.75" hidden="false" customHeight="false" outlineLevel="0" collapsed="false">
      <c r="A4695" s="6" t="n">
        <v>43030.7631481482</v>
      </c>
      <c r="B4695" s="7" t="str">
        <f aca="false">HYPERLINK("https://twitter.com/jharleyaus","@jharleyaus")</f>
        <v>@jharleyaus</v>
      </c>
      <c r="C4695" s="8" t="s">
        <v>11188</v>
      </c>
      <c r="D4695" s="8" t="s">
        <v>11189</v>
      </c>
      <c r="E4695" s="9" t="str">
        <f aca="false">HYPERLINK("https://twitter.com/jharleyaus/status/922271087475298304","922271087475298304")</f>
        <v>922271087475298304</v>
      </c>
      <c r="F4695" s="10" t="s">
        <v>39</v>
      </c>
      <c r="G4695" s="10" t="n">
        <v>1644</v>
      </c>
      <c r="H4695" s="10" t="n">
        <v>1163</v>
      </c>
      <c r="I4695" s="10" t="n">
        <v>4</v>
      </c>
      <c r="J4695" s="10" t="n">
        <v>0</v>
      </c>
      <c r="K4695" s="10" t="s">
        <v>20</v>
      </c>
      <c r="L4695" s="11" t="n">
        <v>40959.9041782407</v>
      </c>
      <c r="M4695" s="12" t="s">
        <v>2806</v>
      </c>
      <c r="N4695" s="12" t="s">
        <v>11190</v>
      </c>
      <c r="O4695" s="9" t="str">
        <f aca="false">HYPERLINK("https://pbs.twimg.com/profile_images/740477692265385984/NcBYEgrk_normal.jpg","View")</f>
        <v>View</v>
      </c>
      <c r="P4695" s="10"/>
    </row>
    <row r="4696" customFormat="false" ht="15.75" hidden="false" customHeight="false" outlineLevel="0" collapsed="false">
      <c r="A4696" s="6" t="n">
        <v>43030.7632291667</v>
      </c>
      <c r="B4696" s="7" t="str">
        <f aca="false">HYPERLINK("https://twitter.com/twisted4fun","@twisted4fun")</f>
        <v>@twisted4fun</v>
      </c>
      <c r="C4696" s="8" t="s">
        <v>11191</v>
      </c>
      <c r="D4696" s="8" t="s">
        <v>8538</v>
      </c>
      <c r="E4696" s="9" t="str">
        <f aca="false">HYPERLINK("https://twitter.com/twisted4fun/status/922271114058858497","922271114058858497")</f>
        <v>922271114058858497</v>
      </c>
      <c r="F4696" s="10" t="s">
        <v>98</v>
      </c>
      <c r="G4696" s="10" t="n">
        <v>180</v>
      </c>
      <c r="H4696" s="10" t="n">
        <v>79</v>
      </c>
      <c r="I4696" s="10" t="n">
        <v>1015</v>
      </c>
      <c r="J4696" s="10" t="n">
        <v>0</v>
      </c>
      <c r="K4696" s="10" t="s">
        <v>20</v>
      </c>
      <c r="L4696" s="11" t="n">
        <v>42025.8010300926</v>
      </c>
      <c r="M4696" s="12" t="s">
        <v>7434</v>
      </c>
      <c r="N4696" s="12" t="s">
        <v>11192</v>
      </c>
      <c r="O4696" s="9" t="str">
        <f aca="false">HYPERLINK("https://abs.twimg.com/sticky/default_profile_images/default_profile_normal.png","View")</f>
        <v>View</v>
      </c>
      <c r="P4696" s="10"/>
    </row>
    <row r="4697" customFormat="false" ht="15.75" hidden="false" customHeight="false" outlineLevel="0" collapsed="false">
      <c r="A4697" s="6" t="n">
        <v>43030.7633564815</v>
      </c>
      <c r="B4697" s="7" t="str">
        <f aca="false">HYPERLINK("https://twitter.com/jaidevadidev","@jaidevadidev")</f>
        <v>@jaidevadidev</v>
      </c>
      <c r="C4697" s="8" t="s">
        <v>11193</v>
      </c>
      <c r="D4697" s="8" t="s">
        <v>11194</v>
      </c>
      <c r="E4697" s="9" t="str">
        <f aca="false">HYPERLINK("https://twitter.com/jaidevadidev/status/922271163308535808","922271163308535808")</f>
        <v>922271163308535808</v>
      </c>
      <c r="F4697" s="10" t="s">
        <v>25</v>
      </c>
      <c r="G4697" s="10" t="n">
        <v>1915</v>
      </c>
      <c r="H4697" s="10" t="n">
        <v>3564</v>
      </c>
      <c r="I4697" s="10" t="n">
        <v>0</v>
      </c>
      <c r="J4697" s="10" t="n">
        <v>0</v>
      </c>
      <c r="K4697" s="10" t="s">
        <v>20</v>
      </c>
      <c r="L4697" s="11" t="n">
        <v>41204.7175231482</v>
      </c>
      <c r="M4697" s="12" t="s">
        <v>11195</v>
      </c>
      <c r="N4697" s="12" t="s">
        <v>11196</v>
      </c>
      <c r="O4697" s="9" t="str">
        <f aca="false">HYPERLINK("https://pbs.twimg.com/profile_images/426447143864254464/NrkSuFT3_normal.png","View")</f>
        <v>View</v>
      </c>
      <c r="P4697" s="10"/>
    </row>
    <row r="4698" customFormat="false" ht="15.75" hidden="false" customHeight="false" outlineLevel="0" collapsed="false">
      <c r="A4698" s="6" t="n">
        <v>43030.7635416667</v>
      </c>
      <c r="B4698" s="7" t="str">
        <f aca="false">HYPERLINK("https://twitter.com/ElleLovesTennis","@ElleLovesTennis")</f>
        <v>@ElleLovesTennis</v>
      </c>
      <c r="C4698" s="8" t="s">
        <v>11197</v>
      </c>
      <c r="D4698" s="8" t="s">
        <v>11183</v>
      </c>
      <c r="E4698" s="9" t="str">
        <f aca="false">HYPERLINK("https://twitter.com/ElleLovesTennis/status/922271228173475840","922271228173475840")</f>
        <v>922271228173475840</v>
      </c>
      <c r="F4698" s="10" t="s">
        <v>25</v>
      </c>
      <c r="G4698" s="10" t="n">
        <v>256</v>
      </c>
      <c r="H4698" s="10" t="n">
        <v>394</v>
      </c>
      <c r="I4698" s="10" t="n">
        <v>4</v>
      </c>
      <c r="J4698" s="10" t="n">
        <v>0</v>
      </c>
      <c r="K4698" s="10" t="s">
        <v>20</v>
      </c>
      <c r="L4698" s="11" t="n">
        <v>40631.343287037</v>
      </c>
      <c r="M4698" s="12" t="s">
        <v>11198</v>
      </c>
      <c r="N4698" s="12" t="s">
        <v>11199</v>
      </c>
      <c r="O4698" s="9" t="str">
        <f aca="false">HYPERLINK("https://pbs.twimg.com/profile_images/798673754129715200/COn3dTpb_normal.jpg","View")</f>
        <v>View</v>
      </c>
      <c r="P4698" s="10"/>
    </row>
    <row r="4699" customFormat="false" ht="15.75" hidden="false" customHeight="false" outlineLevel="0" collapsed="false">
      <c r="A4699" s="6" t="n">
        <v>43030.7636226852</v>
      </c>
      <c r="B4699" s="7" t="str">
        <f aca="false">HYPERLINK("https://twitter.com/saratsahoo","@saratsahoo")</f>
        <v>@saratsahoo</v>
      </c>
      <c r="C4699" s="8" t="s">
        <v>11200</v>
      </c>
      <c r="D4699" s="8" t="s">
        <v>8538</v>
      </c>
      <c r="E4699" s="9" t="str">
        <f aca="false">HYPERLINK("https://twitter.com/saratsahoo/status/922271257252343808","922271257252343808")</f>
        <v>922271257252343808</v>
      </c>
      <c r="F4699" s="10" t="s">
        <v>25</v>
      </c>
      <c r="G4699" s="10" t="n">
        <v>152</v>
      </c>
      <c r="H4699" s="10" t="n">
        <v>359</v>
      </c>
      <c r="I4699" s="10" t="n">
        <v>1015</v>
      </c>
      <c r="J4699" s="10" t="n">
        <v>0</v>
      </c>
      <c r="K4699" s="10" t="s">
        <v>20</v>
      </c>
      <c r="L4699" s="11" t="n">
        <v>40159.9410763889</v>
      </c>
      <c r="M4699" s="12" t="s">
        <v>72</v>
      </c>
      <c r="N4699" s="12" t="s">
        <v>11201</v>
      </c>
      <c r="O4699" s="9" t="str">
        <f aca="false">HYPERLINK("https://pbs.twimg.com/profile_images/895712464280494080/UmaRyOPG_normal.jpg","View")</f>
        <v>View</v>
      </c>
      <c r="P4699" s="10"/>
    </row>
    <row r="4700" customFormat="false" ht="15.75" hidden="false" customHeight="false" outlineLevel="0" collapsed="false">
      <c r="A4700" s="6" t="n">
        <v>43030.7639236111</v>
      </c>
      <c r="B4700" s="7" t="str">
        <f aca="false">HYPERLINK("https://twitter.com/PHINewsNet1","@PHINewsNet1")</f>
        <v>@PHINewsNet1</v>
      </c>
      <c r="C4700" s="8" t="s">
        <v>11202</v>
      </c>
      <c r="D4700" s="8" t="s">
        <v>11203</v>
      </c>
      <c r="E4700" s="9" t="str">
        <f aca="false">HYPERLINK("https://twitter.com/PHINewsNet1/status/922271366535045120","922271366535045120")</f>
        <v>922271366535045120</v>
      </c>
      <c r="F4700" s="10" t="s">
        <v>276</v>
      </c>
      <c r="G4700" s="10" t="n">
        <v>234</v>
      </c>
      <c r="H4700" s="10" t="n">
        <v>931</v>
      </c>
      <c r="I4700" s="10" t="n">
        <v>0</v>
      </c>
      <c r="J4700" s="10" t="n">
        <v>0</v>
      </c>
      <c r="K4700" s="10" t="s">
        <v>20</v>
      </c>
      <c r="L4700" s="11" t="n">
        <v>42795.9090509259</v>
      </c>
      <c r="M4700" s="12" t="s">
        <v>11204</v>
      </c>
      <c r="N4700" s="12" t="s">
        <v>11205</v>
      </c>
      <c r="O4700" s="9" t="str">
        <f aca="false">HYPERLINK("https://pbs.twimg.com/profile_images/901642279214972929/3tOsMEGw_normal.jpg","View")</f>
        <v>View</v>
      </c>
      <c r="P4700" s="10"/>
    </row>
    <row r="4701" customFormat="false" ht="15.75" hidden="false" customHeight="false" outlineLevel="0" collapsed="false">
      <c r="A4701" s="6" t="n">
        <v>43030.7639236111</v>
      </c>
      <c r="B4701" s="7" t="str">
        <f aca="false">HYPERLINK("https://twitter.com/PHINewsNet2","@PHINewsNet2")</f>
        <v>@PHINewsNet2</v>
      </c>
      <c r="C4701" s="8" t="s">
        <v>11202</v>
      </c>
      <c r="D4701" s="8" t="s">
        <v>11206</v>
      </c>
      <c r="E4701" s="9" t="str">
        <f aca="false">HYPERLINK("https://twitter.com/PHINewsNet2/status/922271366606290945","922271366606290945")</f>
        <v>922271366606290945</v>
      </c>
      <c r="F4701" s="10" t="s">
        <v>276</v>
      </c>
      <c r="G4701" s="10" t="n">
        <v>193</v>
      </c>
      <c r="H4701" s="10" t="n">
        <v>140</v>
      </c>
      <c r="I4701" s="10" t="n">
        <v>0</v>
      </c>
      <c r="J4701" s="10" t="n">
        <v>0</v>
      </c>
      <c r="K4701" s="10" t="s">
        <v>20</v>
      </c>
      <c r="L4701" s="11" t="n">
        <v>42876.173599537</v>
      </c>
      <c r="M4701" s="12" t="s">
        <v>11207</v>
      </c>
      <c r="N4701" s="12" t="s">
        <v>11208</v>
      </c>
      <c r="O4701" s="9" t="str">
        <f aca="false">HYPERLINK("https://pbs.twimg.com/profile_images/901646404447158272/6-pa6bGC_normal.jpg","View")</f>
        <v>View</v>
      </c>
      <c r="P4701" s="10"/>
    </row>
    <row r="4702" customFormat="false" ht="15.75" hidden="false" customHeight="false" outlineLevel="0" collapsed="false">
      <c r="A4702" s="6" t="n">
        <v>43030.7639236111</v>
      </c>
      <c r="B4702" s="7" t="str">
        <f aca="false">HYPERLINK("https://twitter.com/PHINewsNet3","@PHINewsNet3")</f>
        <v>@PHINewsNet3</v>
      </c>
      <c r="C4702" s="8" t="s">
        <v>11202</v>
      </c>
      <c r="D4702" s="8" t="s">
        <v>11209</v>
      </c>
      <c r="E4702" s="9" t="str">
        <f aca="false">HYPERLINK("https://twitter.com/PHINewsNet3/status/922271366681784320","922271366681784320")</f>
        <v>922271366681784320</v>
      </c>
      <c r="F4702" s="10" t="s">
        <v>276</v>
      </c>
      <c r="G4702" s="10" t="n">
        <v>31</v>
      </c>
      <c r="H4702" s="10" t="n">
        <v>44</v>
      </c>
      <c r="I4702" s="10" t="n">
        <v>0</v>
      </c>
      <c r="J4702" s="10" t="n">
        <v>0</v>
      </c>
      <c r="K4702" s="10" t="s">
        <v>20</v>
      </c>
      <c r="L4702" s="11" t="n">
        <v>42969.1666898148</v>
      </c>
      <c r="M4702" s="12"/>
      <c r="N4702" s="12"/>
      <c r="O4702" s="9" t="str">
        <f aca="false">HYPERLINK("https://pbs.twimg.com/profile_images/911869324230483969/JisArESp_normal.jpg","View")</f>
        <v>View</v>
      </c>
      <c r="P4702" s="10"/>
    </row>
    <row r="4703" customFormat="false" ht="15.75" hidden="false" customHeight="false" outlineLevel="0" collapsed="false">
      <c r="A4703" s="6" t="n">
        <v>43030.7641782408</v>
      </c>
      <c r="B4703" s="7" t="str">
        <f aca="false">HYPERLINK("https://twitter.com/breakingknowlez","@breakingknowlez")</f>
        <v>@breakingknowlez</v>
      </c>
      <c r="C4703" s="8" t="s">
        <v>9708</v>
      </c>
      <c r="D4703" s="8" t="s">
        <v>11210</v>
      </c>
      <c r="E4703" s="9" t="str">
        <f aca="false">HYPERLINK("https://twitter.com/breakingknowlez/status/922271457404735490","922271457404735490")</f>
        <v>922271457404735490</v>
      </c>
      <c r="F4703" s="10" t="s">
        <v>55</v>
      </c>
      <c r="G4703" s="10" t="n">
        <v>379</v>
      </c>
      <c r="H4703" s="10" t="n">
        <v>100</v>
      </c>
      <c r="I4703" s="10" t="n">
        <v>0</v>
      </c>
      <c r="J4703" s="10" t="n">
        <v>0</v>
      </c>
      <c r="K4703" s="10" t="s">
        <v>20</v>
      </c>
      <c r="L4703" s="11" t="n">
        <v>41087.2706134259</v>
      </c>
      <c r="M4703" s="12" t="s">
        <v>7434</v>
      </c>
      <c r="N4703" s="12" t="s">
        <v>9710</v>
      </c>
      <c r="O4703" s="9" t="str">
        <f aca="false">HYPERLINK("https://pbs.twimg.com/profile_images/665966096663506944/cBf1Cg_c_normal.png","View")</f>
        <v>View</v>
      </c>
      <c r="P4703" s="10"/>
    </row>
    <row r="4704" customFormat="false" ht="15.75" hidden="false" customHeight="false" outlineLevel="0" collapsed="false">
      <c r="A4704" s="6" t="n">
        <v>43030.7642476852</v>
      </c>
      <c r="B4704" s="7" t="str">
        <f aca="false">HYPERLINK("https://twitter.com/rahul_sane","@rahul_sane")</f>
        <v>@rahul_sane</v>
      </c>
      <c r="C4704" s="8" t="s">
        <v>11211</v>
      </c>
      <c r="D4704" s="8" t="s">
        <v>8538</v>
      </c>
      <c r="E4704" s="9" t="str">
        <f aca="false">HYPERLINK("https://twitter.com/rahul_sane/status/922271482843078656","922271482843078656")</f>
        <v>922271482843078656</v>
      </c>
      <c r="F4704" s="10" t="s">
        <v>25</v>
      </c>
      <c r="G4704" s="10" t="n">
        <v>1729</v>
      </c>
      <c r="H4704" s="10" t="n">
        <v>1506</v>
      </c>
      <c r="I4704" s="10" t="n">
        <v>1015</v>
      </c>
      <c r="J4704" s="10" t="n">
        <v>0</v>
      </c>
      <c r="K4704" s="10" t="s">
        <v>20</v>
      </c>
      <c r="L4704" s="11" t="n">
        <v>40585.0588541667</v>
      </c>
      <c r="M4704" s="12"/>
      <c r="N4704" s="12"/>
      <c r="O4704" s="9" t="str">
        <f aca="false">HYPERLINK("https://pbs.twimg.com/profile_images/877193786593603584/0gT9z62m_normal.jpg","View")</f>
        <v>View</v>
      </c>
      <c r="P4704" s="10"/>
    </row>
    <row r="4705" customFormat="false" ht="15.75" hidden="false" customHeight="false" outlineLevel="0" collapsed="false">
      <c r="A4705" s="6" t="n">
        <v>43030.764375</v>
      </c>
      <c r="B4705" s="7" t="str">
        <f aca="false">HYPERLINK("https://twitter.com/Rajali1910","@Rajali1910")</f>
        <v>@Rajali1910</v>
      </c>
      <c r="C4705" s="8" t="s">
        <v>11212</v>
      </c>
      <c r="D4705" s="8" t="s">
        <v>8538</v>
      </c>
      <c r="E4705" s="9" t="str">
        <f aca="false">HYPERLINK("https://twitter.com/Rajali1910/status/922271529865318401","922271529865318401")</f>
        <v>922271529865318401</v>
      </c>
      <c r="F4705" s="10" t="s">
        <v>25</v>
      </c>
      <c r="G4705" s="10" t="n">
        <v>40</v>
      </c>
      <c r="H4705" s="10" t="n">
        <v>145</v>
      </c>
      <c r="I4705" s="10" t="n">
        <v>1015</v>
      </c>
      <c r="J4705" s="10" t="n">
        <v>0</v>
      </c>
      <c r="K4705" s="10" t="s">
        <v>20</v>
      </c>
      <c r="L4705" s="11" t="n">
        <v>40084.0118981481</v>
      </c>
      <c r="M4705" s="12"/>
      <c r="N4705" s="12" t="s">
        <v>11213</v>
      </c>
      <c r="O4705" s="9" t="str">
        <f aca="false">HYPERLINK("https://pbs.twimg.com/profile_images/702973645291806720/BZK5ZFZY_normal.jpg","View")</f>
        <v>View</v>
      </c>
      <c r="P4705" s="10"/>
    </row>
    <row r="4706" customFormat="false" ht="15.75" hidden="false" customHeight="false" outlineLevel="0" collapsed="false">
      <c r="A4706" s="6" t="n">
        <v>43030.7647106481</v>
      </c>
      <c r="B4706" s="7" t="str">
        <f aca="false">HYPERLINK("https://twitter.com/rahulkasare1","@rahulkasare1")</f>
        <v>@rahulkasare1</v>
      </c>
      <c r="C4706" s="8" t="s">
        <v>11214</v>
      </c>
      <c r="D4706" s="8" t="s">
        <v>8538</v>
      </c>
      <c r="E4706" s="9" t="str">
        <f aca="false">HYPERLINK("https://twitter.com/rahulkasare1/status/922271653765242880","922271653765242880")</f>
        <v>922271653765242880</v>
      </c>
      <c r="F4706" s="10" t="s">
        <v>25</v>
      </c>
      <c r="G4706" s="10" t="n">
        <v>555</v>
      </c>
      <c r="H4706" s="10" t="n">
        <v>839</v>
      </c>
      <c r="I4706" s="10" t="n">
        <v>1015</v>
      </c>
      <c r="J4706" s="10" t="n">
        <v>0</v>
      </c>
      <c r="K4706" s="10" t="s">
        <v>20</v>
      </c>
      <c r="L4706" s="11" t="n">
        <v>41027.3225925926</v>
      </c>
      <c r="M4706" s="12" t="s">
        <v>730</v>
      </c>
      <c r="N4706" s="12" t="s">
        <v>11215</v>
      </c>
      <c r="O4706" s="9" t="str">
        <f aca="false">HYPERLINK("https://pbs.twimg.com/profile_images/920332863979081728/qj8QKuFF_normal.jpg","View")</f>
        <v>View</v>
      </c>
      <c r="P4706" s="10"/>
    </row>
    <row r="4707" customFormat="false" ht="15.75" hidden="false" customHeight="false" outlineLevel="0" collapsed="false">
      <c r="A4707" s="6" t="n">
        <v>43030.7649189815</v>
      </c>
      <c r="B4707" s="7" t="str">
        <f aca="false">HYPERLINK("https://twitter.com/Aniya_A","@Aniya_A")</f>
        <v>@Aniya_A</v>
      </c>
      <c r="C4707" s="8" t="s">
        <v>11216</v>
      </c>
      <c r="D4707" s="8" t="s">
        <v>11033</v>
      </c>
      <c r="E4707" s="9" t="str">
        <f aca="false">HYPERLINK("https://twitter.com/Aniya_A/status/922271726121058304","922271726121058304")</f>
        <v>922271726121058304</v>
      </c>
      <c r="F4707" s="10" t="s">
        <v>25</v>
      </c>
      <c r="G4707" s="10" t="n">
        <v>18061</v>
      </c>
      <c r="H4707" s="10" t="n">
        <v>1298</v>
      </c>
      <c r="I4707" s="10" t="n">
        <v>60</v>
      </c>
      <c r="J4707" s="10" t="n">
        <v>0</v>
      </c>
      <c r="K4707" s="10" t="s">
        <v>20</v>
      </c>
      <c r="L4707" s="11" t="n">
        <v>39990.0671296296</v>
      </c>
      <c r="M4707" s="12" t="s">
        <v>11217</v>
      </c>
      <c r="N4707" s="12"/>
      <c r="O4707" s="9" t="str">
        <f aca="false">HYPERLINK("https://pbs.twimg.com/profile_images/915479157282238467/ARLNUIJM_normal.jpg","View")</f>
        <v>View</v>
      </c>
      <c r="P4707" s="10"/>
    </row>
    <row r="4708" customFormat="false" ht="15.75" hidden="false" customHeight="false" outlineLevel="0" collapsed="false">
      <c r="A4708" s="6" t="n">
        <v>43030.7649305556</v>
      </c>
      <c r="B4708" s="7" t="str">
        <f aca="false">HYPERLINK("https://twitter.com/heeraman98","@heeraman98")</f>
        <v>@heeraman98</v>
      </c>
      <c r="C4708" s="8" t="s">
        <v>11218</v>
      </c>
      <c r="D4708" s="8" t="s">
        <v>8538</v>
      </c>
      <c r="E4708" s="9" t="str">
        <f aca="false">HYPERLINK("https://twitter.com/heeraman98/status/922271730164363266","922271730164363266")</f>
        <v>922271730164363266</v>
      </c>
      <c r="F4708" s="10" t="s">
        <v>51</v>
      </c>
      <c r="G4708" s="10" t="n">
        <v>2584</v>
      </c>
      <c r="H4708" s="10" t="n">
        <v>503</v>
      </c>
      <c r="I4708" s="10" t="n">
        <v>1015</v>
      </c>
      <c r="J4708" s="10" t="n">
        <v>0</v>
      </c>
      <c r="K4708" s="10" t="s">
        <v>20</v>
      </c>
      <c r="L4708" s="11" t="n">
        <v>40848.2991319444</v>
      </c>
      <c r="M4708" s="12" t="s">
        <v>11219</v>
      </c>
      <c r="N4708" s="12" t="s">
        <v>11220</v>
      </c>
      <c r="O4708" s="9" t="str">
        <f aca="false">HYPERLINK("https://pbs.twimg.com/profile_images/524669093740171265/maDgI7BP_normal.jpeg","View")</f>
        <v>View</v>
      </c>
      <c r="P4708" s="10"/>
    </row>
    <row r="4709" customFormat="false" ht="15.75" hidden="false" customHeight="false" outlineLevel="0" collapsed="false">
      <c r="A4709" s="6" t="n">
        <v>43030.7650810185</v>
      </c>
      <c r="B4709" s="7" t="str">
        <f aca="false">HYPERLINK("https://twitter.com/hirosaitoh","@hirosaitoh")</f>
        <v>@hirosaitoh</v>
      </c>
      <c r="C4709" s="14" t="s">
        <v>11221</v>
      </c>
      <c r="D4709" s="8" t="s">
        <v>11033</v>
      </c>
      <c r="E4709" s="9" t="str">
        <f aca="false">HYPERLINK("https://twitter.com/hirosaitoh/status/922271785504010242","922271785504010242")</f>
        <v>922271785504010242</v>
      </c>
      <c r="F4709" s="10" t="s">
        <v>51</v>
      </c>
      <c r="G4709" s="10" t="n">
        <v>317</v>
      </c>
      <c r="H4709" s="10" t="n">
        <v>788</v>
      </c>
      <c r="I4709" s="10" t="n">
        <v>60</v>
      </c>
      <c r="J4709" s="10" t="n">
        <v>0</v>
      </c>
      <c r="K4709" s="10" t="s">
        <v>20</v>
      </c>
      <c r="L4709" s="11" t="n">
        <v>40500.8703125</v>
      </c>
      <c r="M4709" s="13" t="s">
        <v>11222</v>
      </c>
      <c r="N4709" s="12" t="s">
        <v>11223</v>
      </c>
      <c r="O4709" s="9" t="str">
        <f aca="false">HYPERLINK("https://pbs.twimg.com/profile_images/1170567904/blazinghills_logo_square_normal.png","View")</f>
        <v>View</v>
      </c>
      <c r="P4709" s="10"/>
    </row>
    <row r="4710" customFormat="false" ht="15.75" hidden="false" customHeight="false" outlineLevel="0" collapsed="false">
      <c r="A4710" s="6" t="n">
        <v>43030.7655671296</v>
      </c>
      <c r="B4710" s="7" t="str">
        <f aca="false">HYPERLINK("https://twitter.com/SaitoYoSpiral","@SaitoYoSpiral")</f>
        <v>@SaitoYoSpiral</v>
      </c>
      <c r="C4710" s="14" t="s">
        <v>11224</v>
      </c>
      <c r="D4710" s="8" t="s">
        <v>7754</v>
      </c>
      <c r="E4710" s="9" t="str">
        <f aca="false">HYPERLINK("https://twitter.com/SaitoYoSpiral/status/922271962184876032","922271962184876032")</f>
        <v>922271962184876032</v>
      </c>
      <c r="F4710" s="10" t="s">
        <v>276</v>
      </c>
      <c r="G4710" s="10" t="n">
        <v>166</v>
      </c>
      <c r="H4710" s="10" t="n">
        <v>99</v>
      </c>
      <c r="I4710" s="10" t="n">
        <v>20</v>
      </c>
      <c r="J4710" s="10" t="n">
        <v>0</v>
      </c>
      <c r="K4710" s="10" t="s">
        <v>20</v>
      </c>
      <c r="L4710" s="11" t="n">
        <v>40783.0277430556</v>
      </c>
      <c r="M4710" s="12"/>
      <c r="N4710" s="12" t="s">
        <v>11225</v>
      </c>
      <c r="O4710" s="9" t="str">
        <f aca="false">HYPERLINK("https://pbs.twimg.com/profile_images/839299637487927296/JqGwh6ol_normal.jpg","View")</f>
        <v>View</v>
      </c>
      <c r="P4710" s="10"/>
    </row>
    <row r="4711" customFormat="false" ht="15.75" hidden="false" customHeight="false" outlineLevel="0" collapsed="false">
      <c r="A4711" s="6" t="n">
        <v>43030.7656481482</v>
      </c>
      <c r="B4711" s="7" t="str">
        <f aca="false">HYPERLINK("https://twitter.com/Bread_and_Games","@Bread_and_Games")</f>
        <v>@Bread_and_Games</v>
      </c>
      <c r="C4711" s="8" t="s">
        <v>11226</v>
      </c>
      <c r="D4711" s="8" t="s">
        <v>11189</v>
      </c>
      <c r="E4711" s="9" t="str">
        <f aca="false">HYPERLINK("https://twitter.com/Bread_and_Games/status/922271990043561985","922271990043561985")</f>
        <v>922271990043561985</v>
      </c>
      <c r="F4711" s="10" t="s">
        <v>51</v>
      </c>
      <c r="G4711" s="10" t="n">
        <v>499</v>
      </c>
      <c r="H4711" s="10" t="n">
        <v>2367</v>
      </c>
      <c r="I4711" s="10" t="n">
        <v>4</v>
      </c>
      <c r="J4711" s="10" t="n">
        <v>0</v>
      </c>
      <c r="K4711" s="10" t="s">
        <v>20</v>
      </c>
      <c r="L4711" s="11" t="n">
        <v>40755.8442592593</v>
      </c>
      <c r="M4711" s="12" t="s">
        <v>11227</v>
      </c>
      <c r="N4711" s="12" t="s">
        <v>11228</v>
      </c>
      <c r="O4711" s="9" t="str">
        <f aca="false">HYPERLINK("https://pbs.twimg.com/profile_images/1483516247/qv215AJ7_normal","View")</f>
        <v>View</v>
      </c>
      <c r="P4711" s="10"/>
    </row>
    <row r="4712" customFormat="false" ht="15.75" hidden="false" customHeight="false" outlineLevel="0" collapsed="false">
      <c r="A4712" s="6" t="n">
        <v>43030.7656712963</v>
      </c>
      <c r="B4712" s="7" t="str">
        <f aca="false">HYPERLINK("https://twitter.com/Revolutionist75","@Revolutionist75")</f>
        <v>@Revolutionist75</v>
      </c>
      <c r="C4712" s="8" t="s">
        <v>11229</v>
      </c>
      <c r="D4712" s="8" t="s">
        <v>8538</v>
      </c>
      <c r="E4712" s="9" t="str">
        <f aca="false">HYPERLINK("https://twitter.com/Revolutionist75/status/922272001879826432","922272001879826432")</f>
        <v>922272001879826432</v>
      </c>
      <c r="F4712" s="10" t="s">
        <v>51</v>
      </c>
      <c r="G4712" s="10" t="n">
        <v>109</v>
      </c>
      <c r="H4712" s="10" t="n">
        <v>124</v>
      </c>
      <c r="I4712" s="10" t="n">
        <v>1015</v>
      </c>
      <c r="J4712" s="10" t="n">
        <v>0</v>
      </c>
      <c r="K4712" s="10" t="s">
        <v>20</v>
      </c>
      <c r="L4712" s="11" t="n">
        <v>40822.2101967593</v>
      </c>
      <c r="M4712" s="12"/>
      <c r="N4712" s="12" t="s">
        <v>11230</v>
      </c>
      <c r="O4712" s="9" t="str">
        <f aca="false">HYPERLINK("https://pbs.twimg.com/profile_images/887130222658703360/Mxhe0AFE_normal.jpg","View")</f>
        <v>View</v>
      </c>
      <c r="P4712" s="10"/>
    </row>
    <row r="4713" customFormat="false" ht="15.75" hidden="false" customHeight="false" outlineLevel="0" collapsed="false">
      <c r="A4713" s="6" t="n">
        <v>43030.7657523148</v>
      </c>
      <c r="B4713" s="7" t="str">
        <f aca="false">HYPERLINK("https://twitter.com/SKPBelgaum","@SKPBelgaum")</f>
        <v>@SKPBelgaum</v>
      </c>
      <c r="C4713" s="8" t="s">
        <v>11231</v>
      </c>
      <c r="D4713" s="8" t="s">
        <v>8538</v>
      </c>
      <c r="E4713" s="9" t="str">
        <f aca="false">HYPERLINK("https://twitter.com/SKPBelgaum/status/922272029176238080","922272029176238080")</f>
        <v>922272029176238080</v>
      </c>
      <c r="F4713" s="10" t="s">
        <v>25</v>
      </c>
      <c r="G4713" s="10" t="n">
        <v>1053</v>
      </c>
      <c r="H4713" s="10" t="n">
        <v>4999</v>
      </c>
      <c r="I4713" s="10" t="n">
        <v>1015</v>
      </c>
      <c r="J4713" s="10" t="n">
        <v>0</v>
      </c>
      <c r="K4713" s="10" t="s">
        <v>20</v>
      </c>
      <c r="L4713" s="11" t="n">
        <v>41727.878125</v>
      </c>
      <c r="M4713" s="12" t="s">
        <v>11232</v>
      </c>
      <c r="N4713" s="12" t="s">
        <v>11233</v>
      </c>
      <c r="O4713" s="9" t="str">
        <f aca="false">HYPERLINK("https://pbs.twimg.com/profile_images/872166142978031616/WfO9UXLj_normal.jpg","View")</f>
        <v>View</v>
      </c>
      <c r="P4713" s="10"/>
    </row>
    <row r="4714" customFormat="false" ht="15.75" hidden="false" customHeight="false" outlineLevel="0" collapsed="false">
      <c r="A4714" s="6" t="n">
        <v>43030.7661921296</v>
      </c>
      <c r="B4714" s="7" t="str">
        <f aca="false">HYPERLINK("https://twitter.com/InvestingLatest","@InvestingLatest")</f>
        <v>@InvestingLatest</v>
      </c>
      <c r="C4714" s="8" t="s">
        <v>934</v>
      </c>
      <c r="D4714" s="8" t="s">
        <v>11234</v>
      </c>
      <c r="E4714" s="9" t="str">
        <f aca="false">HYPERLINK("https://twitter.com/InvestingLatest/status/922272187712761856","922272187712761856")</f>
        <v>922272187712761856</v>
      </c>
      <c r="F4714" s="10" t="s">
        <v>60</v>
      </c>
      <c r="G4714" s="10" t="n">
        <v>1538</v>
      </c>
      <c r="H4714" s="10" t="n">
        <v>33</v>
      </c>
      <c r="I4714" s="10" t="n">
        <v>0</v>
      </c>
      <c r="J4714" s="10" t="n">
        <v>0</v>
      </c>
      <c r="K4714" s="10" t="s">
        <v>20</v>
      </c>
      <c r="L4714" s="11" t="n">
        <v>41946.3308912037</v>
      </c>
      <c r="M4714" s="12"/>
      <c r="N4714" s="12" t="s">
        <v>936</v>
      </c>
      <c r="O4714" s="9" t="str">
        <f aca="false">HYPERLINK("https://pbs.twimg.com/profile_images/529461684297945089/uscUz0UO_normal.jpeg","View")</f>
        <v>View</v>
      </c>
      <c r="P4714" s="10"/>
    </row>
    <row r="4715" customFormat="false" ht="15.75" hidden="false" customHeight="false" outlineLevel="0" collapsed="false">
      <c r="A4715" s="6" t="n">
        <v>43030.7662268519</v>
      </c>
      <c r="B4715" s="7" t="str">
        <f aca="false">HYPERLINK("https://twitter.com/John_Scotus","@John_Scotus")</f>
        <v>@John_Scotus</v>
      </c>
      <c r="C4715" s="8" t="s">
        <v>11235</v>
      </c>
      <c r="D4715" s="8" t="s">
        <v>11236</v>
      </c>
      <c r="E4715" s="9" t="str">
        <f aca="false">HYPERLINK("https://twitter.com/John_Scotus/status/922272200735911936","922272200735911936")</f>
        <v>922272200735911936</v>
      </c>
      <c r="F4715" s="10" t="s">
        <v>39</v>
      </c>
      <c r="G4715" s="10" t="n">
        <v>18602</v>
      </c>
      <c r="H4715" s="10" t="n">
        <v>18455</v>
      </c>
      <c r="I4715" s="10" t="n">
        <v>0</v>
      </c>
      <c r="J4715" s="10" t="n">
        <v>0</v>
      </c>
      <c r="K4715" s="10" t="s">
        <v>20</v>
      </c>
      <c r="L4715" s="11" t="n">
        <v>39968.9522106481</v>
      </c>
      <c r="M4715" s="12"/>
      <c r="N4715" s="12" t="s">
        <v>11237</v>
      </c>
      <c r="O4715" s="9" t="str">
        <f aca="false">HYPERLINK("https://pbs.twimg.com/profile_images/2203264215/600px-Clyde_The_Bulldog_normal.jpg","View")</f>
        <v>View</v>
      </c>
      <c r="P4715" s="10"/>
    </row>
    <row r="4716" customFormat="false" ht="15.75" hidden="false" customHeight="false" outlineLevel="0" collapsed="false">
      <c r="A4716" s="6" t="n">
        <v>43030.7664583333</v>
      </c>
      <c r="B4716" s="7" t="str">
        <f aca="false">HYPERLINK("https://twitter.com/rpwpb","@rpwpb")</f>
        <v>@rpwpb</v>
      </c>
      <c r="C4716" s="8" t="s">
        <v>11238</v>
      </c>
      <c r="D4716" s="8" t="s">
        <v>11162</v>
      </c>
      <c r="E4716" s="9" t="str">
        <f aca="false">HYPERLINK("https://twitter.com/rpwpb/status/922272287335813120","922272287335813120")</f>
        <v>922272287335813120</v>
      </c>
      <c r="F4716" s="10" t="s">
        <v>98</v>
      </c>
      <c r="G4716" s="10" t="n">
        <v>675</v>
      </c>
      <c r="H4716" s="10" t="n">
        <v>1182</v>
      </c>
      <c r="I4716" s="10" t="n">
        <v>4</v>
      </c>
      <c r="J4716" s="10" t="n">
        <v>0</v>
      </c>
      <c r="K4716" s="10" t="s">
        <v>20</v>
      </c>
      <c r="L4716" s="11" t="n">
        <v>39978.7329282407</v>
      </c>
      <c r="M4716" s="12" t="s">
        <v>11239</v>
      </c>
      <c r="N4716" s="12" t="s">
        <v>11240</v>
      </c>
      <c r="O4716" s="9" t="str">
        <f aca="false">HYPERLINK("https://pbs.twimg.com/profile_images/1162386255/franco_avatar_normal.jpg","View")</f>
        <v>View</v>
      </c>
      <c r="P4716" s="10"/>
    </row>
    <row r="4717" customFormat="false" ht="15.75" hidden="false" customHeight="false" outlineLevel="0" collapsed="false">
      <c r="A4717" s="6" t="n">
        <v>43030.7666898148</v>
      </c>
      <c r="B4717" s="7" t="str">
        <f aca="false">HYPERLINK("https://twitter.com/IamJohnBurnett","@IamJohnBurnett")</f>
        <v>@IamJohnBurnett</v>
      </c>
      <c r="C4717" s="8" t="s">
        <v>11241</v>
      </c>
      <c r="D4717" s="8" t="s">
        <v>11162</v>
      </c>
      <c r="E4717" s="9" t="str">
        <f aca="false">HYPERLINK("https://twitter.com/IamJohnBurnett/status/922272371377147906","922272371377147906")</f>
        <v>922272371377147906</v>
      </c>
      <c r="F4717" s="10" t="s">
        <v>39</v>
      </c>
      <c r="G4717" s="10" t="n">
        <v>13345</v>
      </c>
      <c r="H4717" s="10" t="n">
        <v>2394</v>
      </c>
      <c r="I4717" s="10" t="n">
        <v>4</v>
      </c>
      <c r="J4717" s="10" t="n">
        <v>0</v>
      </c>
      <c r="K4717" s="10" t="s">
        <v>20</v>
      </c>
      <c r="L4717" s="11" t="n">
        <v>41411.5399768519</v>
      </c>
      <c r="M4717" s="12" t="s">
        <v>491</v>
      </c>
      <c r="N4717" s="12" t="s">
        <v>11242</v>
      </c>
      <c r="O4717" s="9" t="str">
        <f aca="false">HYPERLINK("https://pbs.twimg.com/profile_images/378800000479294808/8e8de9cbfff672c2b300cec9a3bc230f_normal.jpeg","View")</f>
        <v>View</v>
      </c>
      <c r="P4717" s="10"/>
    </row>
    <row r="4718" customFormat="false" ht="15.75" hidden="false" customHeight="false" outlineLevel="0" collapsed="false">
      <c r="A4718" s="6" t="n">
        <v>43030.7669328704</v>
      </c>
      <c r="B4718" s="7" t="str">
        <f aca="false">HYPERLINK("https://twitter.com/panchapakesan","@panchapakesan")</f>
        <v>@panchapakesan</v>
      </c>
      <c r="C4718" s="8" t="s">
        <v>11243</v>
      </c>
      <c r="D4718" s="8" t="s">
        <v>8538</v>
      </c>
      <c r="E4718" s="9" t="str">
        <f aca="false">HYPERLINK("https://twitter.com/panchapakesan/status/922272456999444481","922272456999444481")</f>
        <v>922272456999444481</v>
      </c>
      <c r="F4718" s="10" t="s">
        <v>98</v>
      </c>
      <c r="G4718" s="10" t="n">
        <v>214</v>
      </c>
      <c r="H4718" s="10" t="n">
        <v>25</v>
      </c>
      <c r="I4718" s="10" t="n">
        <v>1015</v>
      </c>
      <c r="J4718" s="10" t="n">
        <v>0</v>
      </c>
      <c r="K4718" s="10" t="s">
        <v>20</v>
      </c>
      <c r="L4718" s="11" t="n">
        <v>40075.1565509259</v>
      </c>
      <c r="M4718" s="12" t="s">
        <v>72</v>
      </c>
      <c r="N4718" s="12" t="s">
        <v>11244</v>
      </c>
      <c r="O4718" s="9" t="str">
        <f aca="false">HYPERLINK("https://pbs.twimg.com/profile_images/910740203345547264/yehXWW1G_normal.jpg","View")</f>
        <v>View</v>
      </c>
      <c r="P4718" s="10"/>
    </row>
    <row r="4719" customFormat="false" ht="15.75" hidden="false" customHeight="false" outlineLevel="0" collapsed="false">
      <c r="A4719" s="6" t="n">
        <v>43030.7673611111</v>
      </c>
      <c r="B4719" s="7" t="str">
        <f aca="false">HYPERLINK("https://twitter.com/Aadhi_Yogi","@Aadhi_Yogi")</f>
        <v>@Aadhi_Yogi</v>
      </c>
      <c r="C4719" s="8" t="s">
        <v>11245</v>
      </c>
      <c r="D4719" s="8" t="s">
        <v>8538</v>
      </c>
      <c r="E4719" s="9" t="str">
        <f aca="false">HYPERLINK("https://twitter.com/Aadhi_Yogi/status/922272612323008512","922272612323008512")</f>
        <v>922272612323008512</v>
      </c>
      <c r="F4719" s="10" t="s">
        <v>25</v>
      </c>
      <c r="G4719" s="10" t="n">
        <v>215</v>
      </c>
      <c r="H4719" s="10" t="n">
        <v>125</v>
      </c>
      <c r="I4719" s="10" t="n">
        <v>1015</v>
      </c>
      <c r="J4719" s="10" t="n">
        <v>0</v>
      </c>
      <c r="K4719" s="10" t="s">
        <v>20</v>
      </c>
      <c r="L4719" s="11" t="n">
        <v>41991.246087963</v>
      </c>
      <c r="M4719" s="12" t="s">
        <v>72</v>
      </c>
      <c r="N4719" s="12" t="s">
        <v>11246</v>
      </c>
      <c r="O4719" s="9" t="str">
        <f aca="false">HYPERLINK("https://pbs.twimg.com/profile_images/865873113526882304/n2uW9Bxz_normal.jpg","View")</f>
        <v>View</v>
      </c>
      <c r="P4719" s="10"/>
    </row>
    <row r="4720" customFormat="false" ht="15.75" hidden="false" customHeight="false" outlineLevel="0" collapsed="false">
      <c r="A4720" s="6" t="n">
        <v>43030.7674421296</v>
      </c>
      <c r="B4720" s="7" t="str">
        <f aca="false">HYPERLINK("https://twitter.com/TFTCS","@TFTCS")</f>
        <v>@TFTCS</v>
      </c>
      <c r="C4720" s="8" t="s">
        <v>338</v>
      </c>
      <c r="D4720" s="8" t="s">
        <v>11247</v>
      </c>
      <c r="E4720" s="9" t="str">
        <f aca="false">HYPERLINK("https://twitter.com/TFTCS/status/922272643751038976","922272643751038976")</f>
        <v>922272643751038976</v>
      </c>
      <c r="F4720" s="10" t="s">
        <v>60</v>
      </c>
      <c r="G4720" s="10" t="n">
        <v>4435</v>
      </c>
      <c r="H4720" s="10" t="n">
        <v>4613</v>
      </c>
      <c r="I4720" s="10" t="n">
        <v>0</v>
      </c>
      <c r="J4720" s="10" t="n">
        <v>1</v>
      </c>
      <c r="K4720" s="10" t="s">
        <v>20</v>
      </c>
      <c r="L4720" s="11" t="n">
        <v>41868.7681018518</v>
      </c>
      <c r="M4720" s="12" t="s">
        <v>340</v>
      </c>
      <c r="N4720" s="12" t="s">
        <v>341</v>
      </c>
      <c r="O4720" s="9" t="str">
        <f aca="false">HYPERLINK("https://pbs.twimg.com/profile_images/736027772800368640/DdLGgNNU_normal.jpg","View")</f>
        <v>View</v>
      </c>
      <c r="P4720" s="10"/>
    </row>
    <row r="4721" customFormat="false" ht="15.75" hidden="false" customHeight="false" outlineLevel="0" collapsed="false">
      <c r="A4721" s="6" t="n">
        <v>43030.7675925926</v>
      </c>
      <c r="B4721" s="7" t="str">
        <f aca="false">HYPERLINK("https://twitter.com/BhaktSwVvknnda","@BhaktSwVvknnda")</f>
        <v>@BhaktSwVvknnda</v>
      </c>
      <c r="C4721" s="8" t="s">
        <v>11248</v>
      </c>
      <c r="D4721" s="8" t="s">
        <v>8538</v>
      </c>
      <c r="E4721" s="9" t="str">
        <f aca="false">HYPERLINK("https://twitter.com/BhaktSwVvknnda/status/922272698541129728","922272698541129728")</f>
        <v>922272698541129728</v>
      </c>
      <c r="F4721" s="10" t="s">
        <v>25</v>
      </c>
      <c r="G4721" s="10" t="n">
        <v>103</v>
      </c>
      <c r="H4721" s="10" t="n">
        <v>825</v>
      </c>
      <c r="I4721" s="10" t="n">
        <v>1015</v>
      </c>
      <c r="J4721" s="10" t="n">
        <v>0</v>
      </c>
      <c r="K4721" s="10" t="s">
        <v>20</v>
      </c>
      <c r="L4721" s="11" t="n">
        <v>42928.3920717593</v>
      </c>
      <c r="M4721" s="12"/>
      <c r="N4721" s="12" t="s">
        <v>11249</v>
      </c>
      <c r="O4721" s="9" t="str">
        <f aca="false">HYPERLINK("https://pbs.twimg.com/profile_images/885955224078123009/93o1Teac_normal.jpg","View")</f>
        <v>View</v>
      </c>
      <c r="P4721" s="10"/>
    </row>
    <row r="4722" customFormat="false" ht="15.75" hidden="false" customHeight="false" outlineLevel="0" collapsed="false">
      <c r="A4722" s="6" t="n">
        <v>43030.768912037</v>
      </c>
      <c r="B4722" s="7" t="str">
        <f aca="false">HYPERLINK("https://twitter.com/CNBCTradersFan","@CNBCTradersFan")</f>
        <v>@CNBCTradersFan</v>
      </c>
      <c r="C4722" s="8" t="s">
        <v>325</v>
      </c>
      <c r="D4722" s="8" t="s">
        <v>11250</v>
      </c>
      <c r="E4722" s="9" t="str">
        <f aca="false">HYPERLINK("https://twitter.com/CNBCTradersFan/status/922273174523465728","922273174523465728")</f>
        <v>922273174523465728</v>
      </c>
      <c r="F4722" s="10" t="s">
        <v>60</v>
      </c>
      <c r="G4722" s="10" t="n">
        <v>17155</v>
      </c>
      <c r="H4722" s="10" t="n">
        <v>11641</v>
      </c>
      <c r="I4722" s="10" t="n">
        <v>0</v>
      </c>
      <c r="J4722" s="10" t="n">
        <v>0</v>
      </c>
      <c r="K4722" s="10" t="s">
        <v>20</v>
      </c>
      <c r="L4722" s="11" t="n">
        <v>40922.5054282407</v>
      </c>
      <c r="M4722" s="12" t="s">
        <v>327</v>
      </c>
      <c r="N4722" s="12" t="s">
        <v>328</v>
      </c>
      <c r="O4722" s="9" t="str">
        <f aca="false">HYPERLINK("https://pbs.twimg.com/profile_images/731870469318684672/Ckf7rDdJ_normal.jpg","View")</f>
        <v>View</v>
      </c>
      <c r="P4722" s="10"/>
    </row>
    <row r="4723" customFormat="false" ht="15.75" hidden="false" customHeight="false" outlineLevel="0" collapsed="false">
      <c r="A4723" s="6" t="n">
        <v>43030.769375</v>
      </c>
      <c r="B4723" s="7" t="str">
        <f aca="false">HYPERLINK("https://twitter.com/DJJC137","@DJJC137")</f>
        <v>@DJJC137</v>
      </c>
      <c r="C4723" s="8" t="s">
        <v>11251</v>
      </c>
      <c r="D4723" s="8" t="s">
        <v>11252</v>
      </c>
      <c r="E4723" s="9" t="str">
        <f aca="false">HYPERLINK("https://twitter.com/DJJC137/status/922273341569867778","922273341569867778")</f>
        <v>922273341569867778</v>
      </c>
      <c r="F4723" s="10" t="s">
        <v>51</v>
      </c>
      <c r="G4723" s="10" t="n">
        <v>3288</v>
      </c>
      <c r="H4723" s="10" t="n">
        <v>4998</v>
      </c>
      <c r="I4723" s="10" t="n">
        <v>0</v>
      </c>
      <c r="J4723" s="10" t="n">
        <v>0</v>
      </c>
      <c r="K4723" s="10" t="s">
        <v>20</v>
      </c>
      <c r="L4723" s="11" t="n">
        <v>42743.8081018519</v>
      </c>
      <c r="M4723" s="12" t="s">
        <v>11253</v>
      </c>
      <c r="N4723" s="12" t="s">
        <v>11254</v>
      </c>
      <c r="O4723" s="9" t="str">
        <f aca="false">HYPERLINK("https://pbs.twimg.com/profile_images/825181412647014401/vKHYFehN_normal.jpg","View")</f>
        <v>View</v>
      </c>
      <c r="P4723" s="10"/>
    </row>
    <row r="4724" customFormat="false" ht="15.75" hidden="false" customHeight="false" outlineLevel="0" collapsed="false">
      <c r="A4724" s="6" t="n">
        <v>43030.7698032407</v>
      </c>
      <c r="B4724" s="7" t="str">
        <f aca="false">HYPERLINK("https://twitter.com/TopFiveTraders","@TopFiveTraders")</f>
        <v>@TopFiveTraders</v>
      </c>
      <c r="C4724" s="8" t="s">
        <v>321</v>
      </c>
      <c r="D4724" s="8" t="s">
        <v>11255</v>
      </c>
      <c r="E4724" s="9" t="str">
        <f aca="false">HYPERLINK("https://twitter.com/TopFiveTraders/status/922273498223075333","922273498223075333")</f>
        <v>922273498223075333</v>
      </c>
      <c r="F4724" s="10" t="s">
        <v>60</v>
      </c>
      <c r="G4724" s="10" t="n">
        <v>8181</v>
      </c>
      <c r="H4724" s="10" t="n">
        <v>6774</v>
      </c>
      <c r="I4724" s="10" t="n">
        <v>0</v>
      </c>
      <c r="J4724" s="10" t="n">
        <v>0</v>
      </c>
      <c r="K4724" s="10" t="s">
        <v>20</v>
      </c>
      <c r="L4724" s="11" t="n">
        <v>41573.4842013889</v>
      </c>
      <c r="M4724" s="12" t="s">
        <v>323</v>
      </c>
      <c r="N4724" s="12" t="s">
        <v>324</v>
      </c>
      <c r="O4724" s="9" t="str">
        <f aca="false">HYPERLINK("https://pbs.twimg.com/profile_images/729113141444026370/hi202Ffp_normal.jpg","View")</f>
        <v>View</v>
      </c>
      <c r="P4724" s="10"/>
    </row>
    <row r="4725" customFormat="false" ht="15.75" hidden="false" customHeight="false" outlineLevel="0" collapsed="false">
      <c r="A4725" s="6" t="n">
        <v>43030.7699768519</v>
      </c>
      <c r="B4725" s="7" t="str">
        <f aca="false">HYPERLINK("https://twitter.com/vsrbudhiraja","@vsrbudhiraja")</f>
        <v>@vsrbudhiraja</v>
      </c>
      <c r="C4725" s="8" t="s">
        <v>11256</v>
      </c>
      <c r="D4725" s="8" t="s">
        <v>8538</v>
      </c>
      <c r="E4725" s="9" t="str">
        <f aca="false">HYPERLINK("https://twitter.com/vsrbudhiraja/status/922273559354863616","922273559354863616")</f>
        <v>922273559354863616</v>
      </c>
      <c r="F4725" s="10" t="s">
        <v>51</v>
      </c>
      <c r="G4725" s="10" t="n">
        <v>388</v>
      </c>
      <c r="H4725" s="10" t="n">
        <v>191</v>
      </c>
      <c r="I4725" s="10" t="n">
        <v>1015</v>
      </c>
      <c r="J4725" s="10" t="n">
        <v>0</v>
      </c>
      <c r="K4725" s="10" t="s">
        <v>20</v>
      </c>
      <c r="L4725" s="11" t="n">
        <v>40068.2083680556</v>
      </c>
      <c r="M4725" s="12" t="s">
        <v>11257</v>
      </c>
      <c r="N4725" s="12" t="s">
        <v>11258</v>
      </c>
      <c r="O4725" s="9" t="str">
        <f aca="false">HYPERLINK("https://pbs.twimg.com/profile_images/906769025736126464/4le20FwQ_normal.jpg","View")</f>
        <v>View</v>
      </c>
      <c r="P4725" s="10"/>
    </row>
    <row r="4726" customFormat="false" ht="15.75" hidden="false" customHeight="false" outlineLevel="0" collapsed="false">
      <c r="A4726" s="6" t="n">
        <v>43030.7704976852</v>
      </c>
      <c r="B4726" s="7" t="str">
        <f aca="false">HYPERLINK("https://twitter.com/sharmilagharpur","@sharmilagharpur")</f>
        <v>@sharmilagharpur</v>
      </c>
      <c r="C4726" s="8" t="s">
        <v>11259</v>
      </c>
      <c r="D4726" s="8" t="s">
        <v>8538</v>
      </c>
      <c r="E4726" s="9" t="str">
        <f aca="false">HYPERLINK("https://twitter.com/sharmilagharpur/status/922273747574308865","922273747574308865")</f>
        <v>922273747574308865</v>
      </c>
      <c r="F4726" s="10" t="s">
        <v>25</v>
      </c>
      <c r="G4726" s="10" t="n">
        <v>1377</v>
      </c>
      <c r="H4726" s="10" t="n">
        <v>1307</v>
      </c>
      <c r="I4726" s="10" t="n">
        <v>1015</v>
      </c>
      <c r="J4726" s="10" t="n">
        <v>0</v>
      </c>
      <c r="K4726" s="10" t="s">
        <v>20</v>
      </c>
      <c r="L4726" s="11" t="n">
        <v>40640.9461689815</v>
      </c>
      <c r="M4726" s="12" t="s">
        <v>860</v>
      </c>
      <c r="N4726" s="12" t="s">
        <v>11260</v>
      </c>
      <c r="O4726" s="9" t="str">
        <f aca="false">HYPERLINK("https://pbs.twimg.com/profile_images/824521580705230851/6xNAw2bK_normal.jpg","View")</f>
        <v>View</v>
      </c>
      <c r="P4726" s="10"/>
    </row>
    <row r="4727" customFormat="false" ht="15.75" hidden="false" customHeight="false" outlineLevel="0" collapsed="false">
      <c r="A4727" s="6" t="n">
        <v>43030.7711458333</v>
      </c>
      <c r="B4727" s="7" t="str">
        <f aca="false">HYPERLINK("https://twitter.com/DocRaghav","@DocRaghav")</f>
        <v>@DocRaghav</v>
      </c>
      <c r="C4727" s="8" t="s">
        <v>11261</v>
      </c>
      <c r="D4727" s="8" t="s">
        <v>8538</v>
      </c>
      <c r="E4727" s="9" t="str">
        <f aca="false">HYPERLINK("https://twitter.com/DocRaghav/status/922273984078528512","922273984078528512")</f>
        <v>922273984078528512</v>
      </c>
      <c r="F4727" s="10" t="s">
        <v>25</v>
      </c>
      <c r="G4727" s="10" t="n">
        <v>101</v>
      </c>
      <c r="H4727" s="10" t="n">
        <v>145</v>
      </c>
      <c r="I4727" s="10" t="n">
        <v>1015</v>
      </c>
      <c r="J4727" s="10" t="n">
        <v>0</v>
      </c>
      <c r="K4727" s="10" t="s">
        <v>20</v>
      </c>
      <c r="L4727" s="11" t="n">
        <v>40220.2767708333</v>
      </c>
      <c r="M4727" s="12" t="s">
        <v>11262</v>
      </c>
      <c r="N4727" s="12"/>
      <c r="O4727" s="9" t="str">
        <f aca="false">HYPERLINK("https://pbs.twimg.com/profile_images/831116370838507520/LUH6bHKs_normal.jpg","View")</f>
        <v>View</v>
      </c>
      <c r="P4727" s="10"/>
    </row>
    <row r="4728" customFormat="false" ht="15.75" hidden="false" customHeight="false" outlineLevel="0" collapsed="false">
      <c r="A4728" s="6" t="n">
        <v>43030.7714699074</v>
      </c>
      <c r="B4728" s="7" t="str">
        <f aca="false">HYPERLINK("https://twitter.com/ajayjmun","@ajayjmun")</f>
        <v>@ajayjmun</v>
      </c>
      <c r="C4728" s="8" t="s">
        <v>8573</v>
      </c>
      <c r="D4728" s="8" t="s">
        <v>8538</v>
      </c>
      <c r="E4728" s="9" t="str">
        <f aca="false">HYPERLINK("https://twitter.com/ajayjmun/status/922274101980413953","922274101980413953")</f>
        <v>922274101980413953</v>
      </c>
      <c r="F4728" s="10" t="s">
        <v>51</v>
      </c>
      <c r="G4728" s="10" t="n">
        <v>185</v>
      </c>
      <c r="H4728" s="10" t="n">
        <v>384</v>
      </c>
      <c r="I4728" s="10" t="n">
        <v>1015</v>
      </c>
      <c r="J4728" s="10" t="n">
        <v>0</v>
      </c>
      <c r="K4728" s="10" t="s">
        <v>20</v>
      </c>
      <c r="L4728" s="11" t="n">
        <v>40628.3137152778</v>
      </c>
      <c r="M4728" s="12" t="s">
        <v>68</v>
      </c>
      <c r="N4728" s="12" t="s">
        <v>11263</v>
      </c>
      <c r="O4728" s="9" t="str">
        <f aca="false">HYPERLINK("https://pbs.twimg.com/profile_images/1287873287/Ajay_normal.jpg","View")</f>
        <v>View</v>
      </c>
      <c r="P4728" s="10"/>
    </row>
    <row r="4729" customFormat="false" ht="15.75" hidden="false" customHeight="false" outlineLevel="0" collapsed="false">
      <c r="A4729" s="6" t="n">
        <v>43030.7715046296</v>
      </c>
      <c r="B4729" s="7" t="str">
        <f aca="false">HYPERLINK("https://twitter.com/harisv1976","@harisv1976")</f>
        <v>@harisv1976</v>
      </c>
      <c r="C4729" s="8" t="s">
        <v>11264</v>
      </c>
      <c r="D4729" s="8" t="s">
        <v>8538</v>
      </c>
      <c r="E4729" s="9" t="str">
        <f aca="false">HYPERLINK("https://twitter.com/harisv1976/status/922274112440905728","922274112440905728")</f>
        <v>922274112440905728</v>
      </c>
      <c r="F4729" s="10" t="s">
        <v>25</v>
      </c>
      <c r="G4729" s="10" t="n">
        <v>132</v>
      </c>
      <c r="H4729" s="10" t="n">
        <v>197</v>
      </c>
      <c r="I4729" s="10" t="n">
        <v>1015</v>
      </c>
      <c r="J4729" s="10" t="n">
        <v>0</v>
      </c>
      <c r="K4729" s="10" t="s">
        <v>20</v>
      </c>
      <c r="L4729" s="11" t="n">
        <v>41571.1714351852</v>
      </c>
      <c r="M4729" s="12" t="s">
        <v>72</v>
      </c>
      <c r="N4729" s="12"/>
      <c r="O4729" s="9" t="str">
        <f aca="false">HYPERLINK("https://pbs.twimg.com/profile_images/833863324513267712/dQ7ZZlan_normal.jpg","View")</f>
        <v>View</v>
      </c>
      <c r="P4729" s="10"/>
    </row>
    <row r="4730" customFormat="false" ht="15.75" hidden="false" customHeight="false" outlineLevel="0" collapsed="false">
      <c r="A4730" s="6" t="n">
        <v>43030.771875</v>
      </c>
      <c r="B4730" s="7" t="str">
        <f aca="false">HYPERLINK("https://twitter.com/balamy","@balamy")</f>
        <v>@balamy</v>
      </c>
      <c r="C4730" s="8" t="s">
        <v>11265</v>
      </c>
      <c r="D4730" s="8" t="s">
        <v>8538</v>
      </c>
      <c r="E4730" s="9" t="str">
        <f aca="false">HYPERLINK("https://twitter.com/balamy/status/922274246499250176","922274246499250176")</f>
        <v>922274246499250176</v>
      </c>
      <c r="F4730" s="10" t="s">
        <v>25</v>
      </c>
      <c r="G4730" s="10" t="n">
        <v>14883</v>
      </c>
      <c r="H4730" s="10" t="n">
        <v>1844</v>
      </c>
      <c r="I4730" s="10" t="n">
        <v>1015</v>
      </c>
      <c r="J4730" s="10" t="n">
        <v>0</v>
      </c>
      <c r="K4730" s="10" t="s">
        <v>20</v>
      </c>
      <c r="L4730" s="11" t="n">
        <v>39991.8423842593</v>
      </c>
      <c r="M4730" s="12"/>
      <c r="N4730" s="12" t="s">
        <v>11266</v>
      </c>
      <c r="O4730" s="9" t="str">
        <f aca="false">HYPERLINK("https://pbs.twimg.com/profile_images/3569378514/b0fa3159395ffb2b12fa12c699bcfc2a_normal.jpeg","View")</f>
        <v>View</v>
      </c>
      <c r="P4730" s="10"/>
    </row>
    <row r="4731" customFormat="false" ht="15.75" hidden="false" customHeight="false" outlineLevel="0" collapsed="false">
      <c r="A4731" s="6" t="n">
        <v>43030.7719675926</v>
      </c>
      <c r="B4731" s="7" t="str">
        <f aca="false">HYPERLINK("https://twitter.com/Tikyukibo","@Tikyukibo")</f>
        <v>@Tikyukibo</v>
      </c>
      <c r="C4731" s="8" t="s">
        <v>11267</v>
      </c>
      <c r="D4731" s="8" t="s">
        <v>11268</v>
      </c>
      <c r="E4731" s="9" t="str">
        <f aca="false">HYPERLINK("https://twitter.com/Tikyukibo/status/922274280343089152","922274280343089152")</f>
        <v>922274280343089152</v>
      </c>
      <c r="F4731" s="10" t="s">
        <v>39</v>
      </c>
      <c r="G4731" s="10" t="n">
        <v>35</v>
      </c>
      <c r="H4731" s="10" t="n">
        <v>348</v>
      </c>
      <c r="I4731" s="10" t="n">
        <v>0</v>
      </c>
      <c r="J4731" s="10" t="n">
        <v>0</v>
      </c>
      <c r="K4731" s="10" t="s">
        <v>20</v>
      </c>
      <c r="L4731" s="11" t="n">
        <v>41344.2103125</v>
      </c>
      <c r="M4731" s="13" t="s">
        <v>11269</v>
      </c>
      <c r="N4731" s="12" t="s">
        <v>11270</v>
      </c>
      <c r="O4731" s="9" t="str">
        <f aca="false">HYPERLINK("https://pbs.twimg.com/profile_images/910852740477095937/Fa8GM8d0_normal.jpg","View")</f>
        <v>View</v>
      </c>
      <c r="P4731" s="10"/>
    </row>
    <row r="4732" customFormat="false" ht="15.75" hidden="false" customHeight="false" outlineLevel="0" collapsed="false">
      <c r="A4732" s="6" t="n">
        <v>43030.772337963</v>
      </c>
      <c r="B4732" s="7" t="str">
        <f aca="false">HYPERLINK("https://twitter.com/nkbharindwal","@nkbharindwal")</f>
        <v>@nkbharindwal</v>
      </c>
      <c r="C4732" s="8" t="s">
        <v>11271</v>
      </c>
      <c r="D4732" s="8" t="s">
        <v>8538</v>
      </c>
      <c r="E4732" s="9" t="str">
        <f aca="false">HYPERLINK("https://twitter.com/nkbharindwal/status/922274415135440896","922274415135440896")</f>
        <v>922274415135440896</v>
      </c>
      <c r="F4732" s="10" t="s">
        <v>98</v>
      </c>
      <c r="G4732" s="10" t="n">
        <v>1160</v>
      </c>
      <c r="H4732" s="10" t="n">
        <v>1993</v>
      </c>
      <c r="I4732" s="10" t="n">
        <v>1015</v>
      </c>
      <c r="J4732" s="10" t="n">
        <v>0</v>
      </c>
      <c r="K4732" s="10" t="s">
        <v>20</v>
      </c>
      <c r="L4732" s="11" t="n">
        <v>40857.1370949074</v>
      </c>
      <c r="M4732" s="12" t="s">
        <v>868</v>
      </c>
      <c r="N4732" s="12" t="s">
        <v>11272</v>
      </c>
      <c r="O4732" s="9" t="str">
        <f aca="false">HYPERLINK("https://pbs.twimg.com/profile_images/901766769471131649/ZNBlUv2j_normal.jpg","View")</f>
        <v>View</v>
      </c>
      <c r="P4732" s="10"/>
    </row>
    <row r="4733" customFormat="false" ht="15.75" hidden="false" customHeight="false" outlineLevel="0" collapsed="false">
      <c r="A4733" s="6" t="n">
        <v>43030.7723611111</v>
      </c>
      <c r="B4733" s="7" t="str">
        <f aca="false">HYPERLINK("https://twitter.com/bhaweshjha","@bhaweshjha")</f>
        <v>@bhaweshjha</v>
      </c>
      <c r="C4733" s="8" t="s">
        <v>11273</v>
      </c>
      <c r="D4733" s="8" t="s">
        <v>8538</v>
      </c>
      <c r="E4733" s="9" t="str">
        <f aca="false">HYPERLINK("https://twitter.com/bhaweshjha/status/922274423608143872","922274423608143872")</f>
        <v>922274423608143872</v>
      </c>
      <c r="F4733" s="10" t="s">
        <v>25</v>
      </c>
      <c r="G4733" s="10" t="n">
        <v>20065</v>
      </c>
      <c r="H4733" s="10" t="n">
        <v>88</v>
      </c>
      <c r="I4733" s="10" t="n">
        <v>1015</v>
      </c>
      <c r="J4733" s="10" t="n">
        <v>0</v>
      </c>
      <c r="K4733" s="10" t="s">
        <v>20</v>
      </c>
      <c r="L4733" s="11" t="n">
        <v>39938.1278240741</v>
      </c>
      <c r="M4733" s="12" t="s">
        <v>64</v>
      </c>
      <c r="N4733" s="12" t="s">
        <v>11274</v>
      </c>
      <c r="O4733" s="9" t="str">
        <f aca="false">HYPERLINK("https://pbs.twimg.com/profile_images/915025349481684993/R91pM5R3_normal.jpg","View")</f>
        <v>View</v>
      </c>
      <c r="P4733" s="10"/>
    </row>
    <row r="4734" customFormat="false" ht="15.75" hidden="false" customHeight="false" outlineLevel="0" collapsed="false">
      <c r="A4734" s="6" t="n">
        <v>43030.7725810185</v>
      </c>
      <c r="B4734" s="7" t="str">
        <f aca="false">HYPERLINK("https://twitter.com/nyra122333","@nyra122333")</f>
        <v>@nyra122333</v>
      </c>
      <c r="C4734" s="8" t="s">
        <v>11275</v>
      </c>
      <c r="D4734" s="8" t="s">
        <v>8538</v>
      </c>
      <c r="E4734" s="9" t="str">
        <f aca="false">HYPERLINK("https://twitter.com/nyra122333/status/922274503089991680","922274503089991680")</f>
        <v>922274503089991680</v>
      </c>
      <c r="F4734" s="10" t="s">
        <v>51</v>
      </c>
      <c r="G4734" s="10" t="n">
        <v>963</v>
      </c>
      <c r="H4734" s="10" t="n">
        <v>1023</v>
      </c>
      <c r="I4734" s="10" t="n">
        <v>1015</v>
      </c>
      <c r="J4734" s="10" t="n">
        <v>0</v>
      </c>
      <c r="K4734" s="10" t="s">
        <v>20</v>
      </c>
      <c r="L4734" s="11" t="n">
        <v>42984.0094907407</v>
      </c>
      <c r="M4734" s="12"/>
      <c r="N4734" s="12" t="s">
        <v>11276</v>
      </c>
      <c r="O4734" s="9" t="str">
        <f aca="false">HYPERLINK("https://pbs.twimg.com/profile_images/905340554694811648/uVl3BtzL_normal.jpg","View")</f>
        <v>View</v>
      </c>
      <c r="P4734" s="10"/>
    </row>
    <row r="4735" customFormat="false" ht="15.75" hidden="false" customHeight="false" outlineLevel="0" collapsed="false">
      <c r="A4735" s="6" t="n">
        <v>43030.7727662037</v>
      </c>
      <c r="B4735" s="7" t="str">
        <f aca="false">HYPERLINK("https://twitter.com/Alfons226","@Alfons226")</f>
        <v>@Alfons226</v>
      </c>
      <c r="C4735" s="14" t="s">
        <v>11277</v>
      </c>
      <c r="D4735" s="8" t="s">
        <v>7803</v>
      </c>
      <c r="E4735" s="9" t="str">
        <f aca="false">HYPERLINK("https://twitter.com/Alfons226/status/922274570240802816","922274570240802816")</f>
        <v>922274570240802816</v>
      </c>
      <c r="F4735" s="10" t="s">
        <v>25</v>
      </c>
      <c r="G4735" s="10" t="n">
        <v>1327</v>
      </c>
      <c r="H4735" s="10" t="n">
        <v>1422</v>
      </c>
      <c r="I4735" s="10" t="n">
        <v>30</v>
      </c>
      <c r="J4735" s="10" t="n">
        <v>0</v>
      </c>
      <c r="K4735" s="10" t="s">
        <v>20</v>
      </c>
      <c r="L4735" s="11" t="n">
        <v>42864.0693518519</v>
      </c>
      <c r="M4735" s="12"/>
      <c r="N4735" s="13" t="s">
        <v>11278</v>
      </c>
      <c r="O4735" s="9" t="str">
        <f aca="false">HYPERLINK("https://pbs.twimg.com/profile_images/861881321961992192/P5EojmGf_normal.jpg","View")</f>
        <v>View</v>
      </c>
      <c r="P4735" s="10"/>
    </row>
    <row r="4736" customFormat="false" ht="15.75" hidden="false" customHeight="false" outlineLevel="0" collapsed="false">
      <c r="A4736" s="6" t="n">
        <v>43030.7728125</v>
      </c>
      <c r="B4736" s="7" t="str">
        <f aca="false">HYPERLINK("https://twitter.com/Alfons226","@Alfons226")</f>
        <v>@Alfons226</v>
      </c>
      <c r="C4736" s="14" t="s">
        <v>11277</v>
      </c>
      <c r="D4736" s="8" t="s">
        <v>6707</v>
      </c>
      <c r="E4736" s="9" t="str">
        <f aca="false">HYPERLINK("https://twitter.com/Alfons226/status/922274588867751938","922274588867751938")</f>
        <v>922274588867751938</v>
      </c>
      <c r="F4736" s="10" t="s">
        <v>25</v>
      </c>
      <c r="G4736" s="10" t="n">
        <v>1327</v>
      </c>
      <c r="H4736" s="10" t="n">
        <v>1422</v>
      </c>
      <c r="I4736" s="10" t="n">
        <v>97</v>
      </c>
      <c r="J4736" s="10" t="n">
        <v>0</v>
      </c>
      <c r="K4736" s="10" t="s">
        <v>20</v>
      </c>
      <c r="L4736" s="11" t="n">
        <v>42864.0693518519</v>
      </c>
      <c r="M4736" s="12"/>
      <c r="N4736" s="13" t="s">
        <v>11278</v>
      </c>
      <c r="O4736" s="9" t="str">
        <f aca="false">HYPERLINK("https://pbs.twimg.com/profile_images/861881321961992192/P5EojmGf_normal.jpg","View")</f>
        <v>View</v>
      </c>
      <c r="P4736" s="10"/>
    </row>
    <row r="4737" customFormat="false" ht="15.75" hidden="false" customHeight="false" outlineLevel="0" collapsed="false">
      <c r="A4737" s="6" t="n">
        <v>43030.7729513889</v>
      </c>
      <c r="B4737" s="7" t="str">
        <f aca="false">HYPERLINK("https://twitter.com/soul_417","@soul_417")</f>
        <v>@soul_417</v>
      </c>
      <c r="C4737" s="14" t="s">
        <v>11279</v>
      </c>
      <c r="D4737" s="8" t="s">
        <v>10168</v>
      </c>
      <c r="E4737" s="9" t="str">
        <f aca="false">HYPERLINK("https://twitter.com/soul_417/status/922274637727244288","922274637727244288")</f>
        <v>922274637727244288</v>
      </c>
      <c r="F4737" s="10" t="s">
        <v>51</v>
      </c>
      <c r="G4737" s="10" t="n">
        <v>592</v>
      </c>
      <c r="H4737" s="10" t="n">
        <v>1621</v>
      </c>
      <c r="I4737" s="10" t="n">
        <v>25</v>
      </c>
      <c r="J4737" s="10" t="n">
        <v>0</v>
      </c>
      <c r="K4737" s="10" t="s">
        <v>20</v>
      </c>
      <c r="L4737" s="11" t="n">
        <v>41362.3235185185</v>
      </c>
      <c r="M4737" s="13" t="s">
        <v>11280</v>
      </c>
      <c r="N4737" s="12"/>
      <c r="O4737" s="9" t="str">
        <f aca="false">HYPERLINK("https://pbs.twimg.com/profile_images/429028001162862592/-FaQMQfJ_normal.jpeg","View")</f>
        <v>View</v>
      </c>
      <c r="P4737" s="10"/>
    </row>
    <row r="4738" customFormat="false" ht="15.75" hidden="false" customHeight="false" outlineLevel="0" collapsed="false">
      <c r="A4738" s="6" t="n">
        <v>43030.7740740741</v>
      </c>
      <c r="B4738" s="7" t="str">
        <f aca="false">HYPERLINK("https://twitter.com/prepzilla","@prepzilla")</f>
        <v>@prepzilla</v>
      </c>
      <c r="C4738" s="8" t="s">
        <v>235</v>
      </c>
      <c r="D4738" s="8" t="s">
        <v>11281</v>
      </c>
      <c r="E4738" s="9" t="str">
        <f aca="false">HYPERLINK("https://twitter.com/prepzilla/status/922275045040369665","922275045040369665")</f>
        <v>922275045040369665</v>
      </c>
      <c r="F4738" s="10" t="s">
        <v>60</v>
      </c>
      <c r="G4738" s="10" t="n">
        <v>7686</v>
      </c>
      <c r="H4738" s="10" t="n">
        <v>477</v>
      </c>
      <c r="I4738" s="10" t="n">
        <v>0</v>
      </c>
      <c r="J4738" s="10" t="n">
        <v>0</v>
      </c>
      <c r="K4738" s="10" t="s">
        <v>20</v>
      </c>
      <c r="L4738" s="11" t="n">
        <v>41299.7417361111</v>
      </c>
      <c r="M4738" s="12" t="s">
        <v>237</v>
      </c>
      <c r="N4738" s="12" t="s">
        <v>238</v>
      </c>
      <c r="O4738" s="9" t="str">
        <f aca="false">HYPERLINK("https://pbs.twimg.com/profile_images/900797880516005888/1bWN5qbC_normal.jpg","View")</f>
        <v>View</v>
      </c>
      <c r="P4738" s="10"/>
    </row>
    <row r="4739" customFormat="false" ht="15.75" hidden="false" customHeight="false" outlineLevel="0" collapsed="false">
      <c r="A4739" s="6" t="n">
        <v>43030.7741435185</v>
      </c>
      <c r="B4739" s="7" t="str">
        <f aca="false">HYPERLINK("https://twitter.com/business","@business")</f>
        <v>@business</v>
      </c>
      <c r="C4739" s="8" t="s">
        <v>196</v>
      </c>
      <c r="D4739" s="8" t="s">
        <v>11282</v>
      </c>
      <c r="E4739" s="9" t="str">
        <f aca="false">HYPERLINK("https://twitter.com/business/status/922275071569383425","922275071569383425")</f>
        <v>922275071569383425</v>
      </c>
      <c r="F4739" s="10" t="s">
        <v>268</v>
      </c>
      <c r="G4739" s="10" t="n">
        <v>4344212</v>
      </c>
      <c r="H4739" s="10" t="n">
        <v>1088</v>
      </c>
      <c r="I4739" s="10" t="n">
        <v>41</v>
      </c>
      <c r="J4739" s="10" t="n">
        <v>39</v>
      </c>
      <c r="K4739" s="10" t="s">
        <v>20</v>
      </c>
      <c r="L4739" s="11" t="n">
        <v>39926.5453356481</v>
      </c>
      <c r="M4739" s="12" t="s">
        <v>199</v>
      </c>
      <c r="N4739" s="12" t="s">
        <v>200</v>
      </c>
      <c r="O4739" s="9" t="str">
        <f aca="false">HYPERLINK("https://pbs.twimg.com/profile_images/714946924105883648/4fgNVF4H_normal.jpg","View")</f>
        <v>View</v>
      </c>
      <c r="P4739" s="10"/>
    </row>
    <row r="4740" customFormat="false" ht="15.75" hidden="false" customHeight="false" outlineLevel="0" collapsed="false">
      <c r="A4740" s="6" t="n">
        <v>43030.7742361111</v>
      </c>
      <c r="B4740" s="7" t="str">
        <f aca="false">HYPERLINK("https://twitter.com/anant_d","@anant_d")</f>
        <v>@anant_d</v>
      </c>
      <c r="C4740" s="8" t="s">
        <v>11283</v>
      </c>
      <c r="D4740" s="8" t="s">
        <v>8538</v>
      </c>
      <c r="E4740" s="9" t="str">
        <f aca="false">HYPERLINK("https://twitter.com/anant_d/status/922275103362056192","922275103362056192")</f>
        <v>922275103362056192</v>
      </c>
      <c r="F4740" s="10" t="s">
        <v>25</v>
      </c>
      <c r="G4740" s="10" t="n">
        <v>397</v>
      </c>
      <c r="H4740" s="10" t="n">
        <v>1113</v>
      </c>
      <c r="I4740" s="10" t="n">
        <v>1015</v>
      </c>
      <c r="J4740" s="10" t="n">
        <v>0</v>
      </c>
      <c r="K4740" s="10" t="s">
        <v>20</v>
      </c>
      <c r="L4740" s="11" t="n">
        <v>40088.3425231482</v>
      </c>
      <c r="M4740" s="12"/>
      <c r="N4740" s="12"/>
      <c r="O4740" s="9" t="str">
        <f aca="false">HYPERLINK("https://pbs.twimg.com/profile_images/892286465035583488/dekDuds-_normal.jpg","View")</f>
        <v>View</v>
      </c>
      <c r="P4740" s="10"/>
    </row>
    <row r="4741" customFormat="false" ht="15.75" hidden="false" customHeight="false" outlineLevel="0" collapsed="false">
      <c r="A4741" s="6" t="n">
        <v>43030.7743402778</v>
      </c>
      <c r="B4741" s="7" t="str">
        <f aca="false">HYPERLINK("https://twitter.com/HAZUMA_JPN","@HAZUMA_JPN")</f>
        <v>@HAZUMA_JPN</v>
      </c>
      <c r="C4741" s="8" t="s">
        <v>1462</v>
      </c>
      <c r="D4741" s="8" t="s">
        <v>11284</v>
      </c>
      <c r="E4741" s="9" t="str">
        <f aca="false">HYPERLINK("https://twitter.com/HAZUMA_JPN/status/922275142880976896","922275142880976896")</f>
        <v>922275142880976896</v>
      </c>
      <c r="F4741" s="10" t="s">
        <v>51</v>
      </c>
      <c r="G4741" s="10" t="n">
        <v>470</v>
      </c>
      <c r="H4741" s="10" t="n">
        <v>3162</v>
      </c>
      <c r="I4741" s="10" t="n">
        <v>41</v>
      </c>
      <c r="J4741" s="10" t="n">
        <v>0</v>
      </c>
      <c r="K4741" s="10" t="s">
        <v>20</v>
      </c>
      <c r="L4741" s="11" t="n">
        <v>41559.639212963</v>
      </c>
      <c r="M4741" s="12" t="s">
        <v>723</v>
      </c>
      <c r="N4741" s="12" t="s">
        <v>1464</v>
      </c>
      <c r="O4741" s="9" t="str">
        <f aca="false">HYPERLINK("https://pbs.twimg.com/profile_images/770376087977230336/zeh0Ktrm_normal.jpg","View")</f>
        <v>View</v>
      </c>
      <c r="P4741" s="10"/>
    </row>
    <row r="4742" customFormat="false" ht="15.75" hidden="false" customHeight="false" outlineLevel="0" collapsed="false">
      <c r="A4742" s="6" t="n">
        <v>43030.7746759259</v>
      </c>
      <c r="B4742" s="7" t="str">
        <f aca="false">HYPERLINK("https://twitter.com/gbudhathoki","@gbudhathoki")</f>
        <v>@gbudhathoki</v>
      </c>
      <c r="C4742" s="8" t="s">
        <v>11285</v>
      </c>
      <c r="D4742" s="8" t="s">
        <v>11284</v>
      </c>
      <c r="E4742" s="9" t="str">
        <f aca="false">HYPERLINK("https://twitter.com/gbudhathoki/status/922275263089557504","922275263089557504")</f>
        <v>922275263089557504</v>
      </c>
      <c r="F4742" s="10" t="s">
        <v>25</v>
      </c>
      <c r="G4742" s="10" t="n">
        <v>25607</v>
      </c>
      <c r="H4742" s="10" t="n">
        <v>5182</v>
      </c>
      <c r="I4742" s="10" t="n">
        <v>41</v>
      </c>
      <c r="J4742" s="10" t="n">
        <v>0</v>
      </c>
      <c r="K4742" s="10" t="s">
        <v>20</v>
      </c>
      <c r="L4742" s="11" t="n">
        <v>40063.9586226852</v>
      </c>
      <c r="M4742" s="12" t="s">
        <v>11286</v>
      </c>
      <c r="N4742" s="12" t="s">
        <v>11287</v>
      </c>
      <c r="O4742" s="9" t="str">
        <f aca="false">HYPERLINK("https://pbs.twimg.com/profile_images/923948986901204992/ATarwgD9_normal.jpg","View")</f>
        <v>View</v>
      </c>
      <c r="P4742" s="10"/>
    </row>
    <row r="4743" customFormat="false" ht="15.75" hidden="false" customHeight="false" outlineLevel="0" collapsed="false">
      <c r="A4743" s="6" t="n">
        <v>43030.7749189815</v>
      </c>
      <c r="B4743" s="7" t="str">
        <f aca="false">HYPERLINK("https://twitter.com/janesearles_jan","@janesearles_jan")</f>
        <v>@janesearles_jan</v>
      </c>
      <c r="C4743" s="8" t="s">
        <v>11288</v>
      </c>
      <c r="D4743" s="8" t="s">
        <v>11284</v>
      </c>
      <c r="E4743" s="9" t="str">
        <f aca="false">HYPERLINK("https://twitter.com/janesearles_jan/status/922275350561861633","922275350561861633")</f>
        <v>922275350561861633</v>
      </c>
      <c r="F4743" s="10" t="s">
        <v>25</v>
      </c>
      <c r="G4743" s="10" t="n">
        <v>779</v>
      </c>
      <c r="H4743" s="10" t="n">
        <v>223</v>
      </c>
      <c r="I4743" s="10" t="n">
        <v>41</v>
      </c>
      <c r="J4743" s="10" t="n">
        <v>0</v>
      </c>
      <c r="K4743" s="10" t="s">
        <v>20</v>
      </c>
      <c r="L4743" s="11" t="n">
        <v>42802.6934953704</v>
      </c>
      <c r="M4743" s="12"/>
      <c r="N4743" s="12"/>
      <c r="O4743" s="9" t="str">
        <f aca="false">HYPERLINK("https://abs.twimg.com/sticky/default_profile_images/default_profile_normal.png","View")</f>
        <v>View</v>
      </c>
      <c r="P4743" s="10"/>
    </row>
    <row r="4744" customFormat="false" ht="15.75" hidden="false" customHeight="false" outlineLevel="0" collapsed="false">
      <c r="A4744" s="6" t="n">
        <v>43030.7751273148</v>
      </c>
      <c r="B4744" s="7" t="str">
        <f aca="false">HYPERLINK("https://twitter.com/JJCarafano","@JJCarafano")</f>
        <v>@JJCarafano</v>
      </c>
      <c r="C4744" s="8" t="s">
        <v>11289</v>
      </c>
      <c r="D4744" s="8" t="s">
        <v>11284</v>
      </c>
      <c r="E4744" s="9" t="str">
        <f aca="false">HYPERLINK("https://twitter.com/JJCarafano/status/922275427099475968","922275427099475968")</f>
        <v>922275427099475968</v>
      </c>
      <c r="F4744" s="10" t="s">
        <v>51</v>
      </c>
      <c r="G4744" s="10" t="n">
        <v>10531</v>
      </c>
      <c r="H4744" s="10" t="n">
        <v>4326</v>
      </c>
      <c r="I4744" s="10" t="n">
        <v>41</v>
      </c>
      <c r="J4744" s="10" t="n">
        <v>0</v>
      </c>
      <c r="K4744" s="10" t="s">
        <v>20</v>
      </c>
      <c r="L4744" s="11" t="n">
        <v>39689.7767939815</v>
      </c>
      <c r="M4744" s="12" t="s">
        <v>11290</v>
      </c>
      <c r="N4744" s="12" t="s">
        <v>11291</v>
      </c>
      <c r="O4744" s="9" t="str">
        <f aca="false">HYPERLINK("https://pbs.twimg.com/profile_images/923930866631499776/yMdB8jYK_normal.jpg","View")</f>
        <v>View</v>
      </c>
      <c r="P4744" s="10"/>
    </row>
    <row r="4745" customFormat="false" ht="15.75" hidden="false" customHeight="false" outlineLevel="0" collapsed="false">
      <c r="A4745" s="6" t="n">
        <v>43030.7751967593</v>
      </c>
      <c r="B4745" s="7" t="str">
        <f aca="false">HYPERLINK("https://twitter.com/Ganzorig_B","@Ganzorig_B")</f>
        <v>@Ganzorig_B</v>
      </c>
      <c r="C4745" s="8" t="s">
        <v>11292</v>
      </c>
      <c r="D4745" s="8" t="s">
        <v>7515</v>
      </c>
      <c r="E4745" s="9" t="str">
        <f aca="false">HYPERLINK("https://twitter.com/Ganzorig_B/status/922275451401158656","922275451401158656")</f>
        <v>922275451401158656</v>
      </c>
      <c r="F4745" s="10" t="s">
        <v>25</v>
      </c>
      <c r="G4745" s="10" t="n">
        <v>2734</v>
      </c>
      <c r="H4745" s="10" t="n">
        <v>2428</v>
      </c>
      <c r="I4745" s="10" t="n">
        <v>25</v>
      </c>
      <c r="J4745" s="10" t="n">
        <v>0</v>
      </c>
      <c r="K4745" s="10" t="s">
        <v>20</v>
      </c>
      <c r="L4745" s="11" t="n">
        <v>41999.1999537037</v>
      </c>
      <c r="M4745" s="12" t="s">
        <v>11293</v>
      </c>
      <c r="N4745" s="12" t="s">
        <v>11294</v>
      </c>
      <c r="O4745" s="9" t="str">
        <f aca="false">HYPERLINK("https://pbs.twimg.com/profile_images/921340525239681025/mdI-tr5I_normal.jpg","View")</f>
        <v>View</v>
      </c>
      <c r="P4745" s="10"/>
    </row>
    <row r="4746" customFormat="false" ht="15.75" hidden="false" customHeight="false" outlineLevel="0" collapsed="false">
      <c r="A4746" s="6" t="n">
        <v>43030.7751967593</v>
      </c>
      <c r="B4746" s="7" t="str">
        <f aca="false">HYPERLINK("https://twitter.com/shailendra_nair","@shailendra_nair")</f>
        <v>@shailendra_nair</v>
      </c>
      <c r="C4746" s="8" t="s">
        <v>251</v>
      </c>
      <c r="D4746" s="8" t="s">
        <v>11295</v>
      </c>
      <c r="E4746" s="9" t="str">
        <f aca="false">HYPERLINK("https://twitter.com/shailendra_nair/status/922275451984400384","922275451984400384")</f>
        <v>922275451984400384</v>
      </c>
      <c r="F4746" s="10" t="s">
        <v>60</v>
      </c>
      <c r="G4746" s="10" t="n">
        <v>3987</v>
      </c>
      <c r="H4746" s="10" t="n">
        <v>1042</v>
      </c>
      <c r="I4746" s="10" t="n">
        <v>0</v>
      </c>
      <c r="J4746" s="10" t="n">
        <v>0</v>
      </c>
      <c r="K4746" s="10" t="s">
        <v>20</v>
      </c>
      <c r="L4746" s="11" t="n">
        <v>40362.4379861111</v>
      </c>
      <c r="M4746" s="12" t="s">
        <v>253</v>
      </c>
      <c r="N4746" s="12" t="s">
        <v>254</v>
      </c>
      <c r="O4746" s="9" t="str">
        <f aca="false">HYPERLINK("https://pbs.twimg.com/profile_images/884758468879466497/M_w6UjD3_normal.jpg","View")</f>
        <v>View</v>
      </c>
      <c r="P4746" s="10"/>
    </row>
    <row r="4747" customFormat="false" ht="15.75" hidden="false" customHeight="false" outlineLevel="0" collapsed="false">
      <c r="A4747" s="6" t="n">
        <v>43030.7751967593</v>
      </c>
      <c r="B4747" s="7" t="str">
        <f aca="false">HYPERLINK("https://twitter.com/BSAFunds","@BSAFunds")</f>
        <v>@BSAFunds</v>
      </c>
      <c r="C4747" s="8" t="s">
        <v>924</v>
      </c>
      <c r="D4747" s="8" t="s">
        <v>11296</v>
      </c>
      <c r="E4747" s="9" t="str">
        <f aca="false">HYPERLINK("https://twitter.com/BSAFunds/status/922275452793782272","922275452793782272")</f>
        <v>922275452793782272</v>
      </c>
      <c r="F4747" s="10" t="s">
        <v>60</v>
      </c>
      <c r="G4747" s="10" t="n">
        <v>20871</v>
      </c>
      <c r="H4747" s="10" t="n">
        <v>8926</v>
      </c>
      <c r="I4747" s="10" t="n">
        <v>0</v>
      </c>
      <c r="J4747" s="10" t="n">
        <v>0</v>
      </c>
      <c r="K4747" s="10" t="s">
        <v>20</v>
      </c>
      <c r="L4747" s="11" t="n">
        <v>42601.9481828704</v>
      </c>
      <c r="M4747" s="12" t="s">
        <v>312</v>
      </c>
      <c r="N4747" s="12" t="s">
        <v>926</v>
      </c>
      <c r="O4747" s="9" t="str">
        <f aca="false">HYPERLINK("https://pbs.twimg.com/profile_images/912769166960033792/N4LAmrTs_normal.jpg","View")</f>
        <v>View</v>
      </c>
      <c r="P4747" s="10"/>
    </row>
    <row r="4748" customFormat="false" ht="15.75" hidden="false" customHeight="false" outlineLevel="0" collapsed="false">
      <c r="A4748" s="6" t="n">
        <v>43030.7753125</v>
      </c>
      <c r="B4748" s="7" t="str">
        <f aca="false">HYPERLINK("https://twitter.com/pookumapoo","@pookumapoo")</f>
        <v>@pookumapoo</v>
      </c>
      <c r="C4748" s="8" t="s">
        <v>11297</v>
      </c>
      <c r="D4748" s="8" t="s">
        <v>10822</v>
      </c>
      <c r="E4748" s="9" t="str">
        <f aca="false">HYPERLINK("https://twitter.com/pookumapoo/status/922275495164571648","922275495164571648")</f>
        <v>922275495164571648</v>
      </c>
      <c r="F4748" s="10" t="s">
        <v>39</v>
      </c>
      <c r="G4748" s="10" t="n">
        <v>419</v>
      </c>
      <c r="H4748" s="10" t="n">
        <v>531</v>
      </c>
      <c r="I4748" s="10" t="n">
        <v>6</v>
      </c>
      <c r="J4748" s="10" t="n">
        <v>0</v>
      </c>
      <c r="K4748" s="10" t="s">
        <v>20</v>
      </c>
      <c r="L4748" s="11" t="n">
        <v>40395.2335648148</v>
      </c>
      <c r="M4748" s="13" t="s">
        <v>11298</v>
      </c>
      <c r="N4748" s="13" t="s">
        <v>11299</v>
      </c>
      <c r="O4748" s="9" t="str">
        <f aca="false">HYPERLINK("https://pbs.twimg.com/profile_images/1096120252/090710kuma_R_normal.jpg","View")</f>
        <v>View</v>
      </c>
      <c r="P4748" s="10"/>
    </row>
    <row r="4749" customFormat="false" ht="15.75" hidden="false" customHeight="false" outlineLevel="0" collapsed="false">
      <c r="A4749" s="6" t="n">
        <v>43030.7755902778</v>
      </c>
      <c r="B4749" s="7" t="str">
        <f aca="false">HYPERLINK("https://twitter.com/gauravkevachan","@gauravkevachan")</f>
        <v>@gauravkevachan</v>
      </c>
      <c r="C4749" s="8" t="s">
        <v>11300</v>
      </c>
      <c r="D4749" s="8" t="s">
        <v>8538</v>
      </c>
      <c r="E4749" s="9" t="str">
        <f aca="false">HYPERLINK("https://twitter.com/gauravkevachan/status/922275596180250624","922275596180250624")</f>
        <v>922275596180250624</v>
      </c>
      <c r="F4749" s="10" t="s">
        <v>25</v>
      </c>
      <c r="G4749" s="10" t="n">
        <v>81</v>
      </c>
      <c r="H4749" s="10" t="n">
        <v>525</v>
      </c>
      <c r="I4749" s="10" t="n">
        <v>1015</v>
      </c>
      <c r="J4749" s="10" t="n">
        <v>0</v>
      </c>
      <c r="K4749" s="10" t="s">
        <v>20</v>
      </c>
      <c r="L4749" s="11" t="n">
        <v>41170.2200810185</v>
      </c>
      <c r="M4749" s="12" t="s">
        <v>10591</v>
      </c>
      <c r="N4749" s="12" t="s">
        <v>11301</v>
      </c>
      <c r="O4749" s="9" t="str">
        <f aca="false">HYPERLINK("https://pbs.twimg.com/profile_images/779931020300648448/XMNJHHJe_normal.jpg","View")</f>
        <v>View</v>
      </c>
      <c r="P4749" s="10"/>
    </row>
    <row r="4750" customFormat="false" ht="15.75" hidden="false" customHeight="false" outlineLevel="0" collapsed="false">
      <c r="A4750" s="6" t="n">
        <v>43030.7757291667</v>
      </c>
      <c r="B4750" s="7" t="str">
        <f aca="false">HYPERLINK("https://twitter.com/jafoo123","@jafoo123")</f>
        <v>@jafoo123</v>
      </c>
      <c r="C4750" s="8" t="s">
        <v>11302</v>
      </c>
      <c r="D4750" s="8" t="s">
        <v>11284</v>
      </c>
      <c r="E4750" s="9" t="str">
        <f aca="false">HYPERLINK("https://twitter.com/jafoo123/status/922275643211083776","922275643211083776")</f>
        <v>922275643211083776</v>
      </c>
      <c r="F4750" s="10" t="s">
        <v>39</v>
      </c>
      <c r="G4750" s="10" t="n">
        <v>245</v>
      </c>
      <c r="H4750" s="10" t="n">
        <v>645</v>
      </c>
      <c r="I4750" s="10" t="n">
        <v>41</v>
      </c>
      <c r="J4750" s="10" t="n">
        <v>0</v>
      </c>
      <c r="K4750" s="10" t="s">
        <v>20</v>
      </c>
      <c r="L4750" s="11" t="n">
        <v>40025.7455555556</v>
      </c>
      <c r="M4750" s="12" t="s">
        <v>7114</v>
      </c>
      <c r="N4750" s="12" t="s">
        <v>11303</v>
      </c>
      <c r="O4750" s="9" t="str">
        <f aca="false">HYPERLINK("https://pbs.twimg.com/profile_images/604589315075604480/acmxOYRl_normal.jpg","View")</f>
        <v>View</v>
      </c>
      <c r="P4750" s="10"/>
    </row>
    <row r="4751" customFormat="false" ht="15.75" hidden="false" customHeight="false" outlineLevel="0" collapsed="false">
      <c r="A4751" s="6" t="n">
        <v>43030.7758217593</v>
      </c>
      <c r="B4751" s="7" t="str">
        <f aca="false">HYPERLINK("https://twitter.com/PaulinaAstrozaS","@PaulinaAstrozaS")</f>
        <v>@PaulinaAstrozaS</v>
      </c>
      <c r="C4751" s="8" t="s">
        <v>11304</v>
      </c>
      <c r="D4751" s="8" t="s">
        <v>11284</v>
      </c>
      <c r="E4751" s="9" t="str">
        <f aca="false">HYPERLINK("https://twitter.com/PaulinaAstrozaS/status/922275680561360897","922275680561360897")</f>
        <v>922275680561360897</v>
      </c>
      <c r="F4751" s="10" t="s">
        <v>177</v>
      </c>
      <c r="G4751" s="10" t="n">
        <v>9451</v>
      </c>
      <c r="H4751" s="10" t="n">
        <v>2545</v>
      </c>
      <c r="I4751" s="10" t="n">
        <v>41</v>
      </c>
      <c r="J4751" s="10" t="n">
        <v>0</v>
      </c>
      <c r="K4751" s="10" t="s">
        <v>20</v>
      </c>
      <c r="L4751" s="11" t="n">
        <v>41530.4900231481</v>
      </c>
      <c r="M4751" s="12" t="s">
        <v>11305</v>
      </c>
      <c r="N4751" s="12" t="s">
        <v>11306</v>
      </c>
      <c r="O4751" s="9" t="str">
        <f aca="false">HYPERLINK("https://pbs.twimg.com/profile_images/923617324581752834/yRHfO1ZT_normal.jpg","View")</f>
        <v>View</v>
      </c>
      <c r="P4751" s="10"/>
    </row>
    <row r="4752" customFormat="false" ht="15.75" hidden="false" customHeight="false" outlineLevel="0" collapsed="false">
      <c r="A4752" s="6" t="n">
        <v>43030.7760648148</v>
      </c>
      <c r="B4752" s="7" t="str">
        <f aca="false">HYPERLINK("https://twitter.com/sourabh1972","@sourabh1972")</f>
        <v>@sourabh1972</v>
      </c>
      <c r="C4752" s="8" t="s">
        <v>11307</v>
      </c>
      <c r="D4752" s="8" t="s">
        <v>8538</v>
      </c>
      <c r="E4752" s="9" t="str">
        <f aca="false">HYPERLINK("https://twitter.com/sourabh1972/status/922275768415092737","922275768415092737")</f>
        <v>922275768415092737</v>
      </c>
      <c r="F4752" s="10" t="s">
        <v>25</v>
      </c>
      <c r="G4752" s="10" t="n">
        <v>1018</v>
      </c>
      <c r="H4752" s="10" t="n">
        <v>1173</v>
      </c>
      <c r="I4752" s="10" t="n">
        <v>1015</v>
      </c>
      <c r="J4752" s="10" t="n">
        <v>0</v>
      </c>
      <c r="K4752" s="10" t="s">
        <v>20</v>
      </c>
      <c r="L4752" s="11" t="n">
        <v>40783.0122916667</v>
      </c>
      <c r="M4752" s="12" t="s">
        <v>72</v>
      </c>
      <c r="N4752" s="12" t="s">
        <v>11308</v>
      </c>
      <c r="O4752" s="9" t="str">
        <f aca="false">HYPERLINK("https://pbs.twimg.com/profile_images/877815473467006977/44Oa42ZF_normal.jpg","View")</f>
        <v>View</v>
      </c>
      <c r="P4752" s="10"/>
    </row>
    <row r="4753" customFormat="false" ht="15.75" hidden="false" customHeight="false" outlineLevel="0" collapsed="false">
      <c r="A4753" s="6" t="n">
        <v>43030.776412037</v>
      </c>
      <c r="B4753" s="7" t="str">
        <f aca="false">HYPERLINK("https://twitter.com/JoKhvmucPBLEOv3","@JoKhvmucPBLEOv3")</f>
        <v>@JoKhvmucPBLEOv3</v>
      </c>
      <c r="C4753" s="14" t="s">
        <v>6449</v>
      </c>
      <c r="D4753" s="8" t="s">
        <v>11284</v>
      </c>
      <c r="E4753" s="9" t="str">
        <f aca="false">HYPERLINK("https://twitter.com/JoKhvmucPBLEOv3/status/922275892327456770","922275892327456770")</f>
        <v>922275892327456770</v>
      </c>
      <c r="F4753" s="10" t="s">
        <v>25</v>
      </c>
      <c r="G4753" s="10" t="n">
        <v>54</v>
      </c>
      <c r="H4753" s="10" t="n">
        <v>450</v>
      </c>
      <c r="I4753" s="10" t="n">
        <v>41</v>
      </c>
      <c r="J4753" s="10" t="n">
        <v>0</v>
      </c>
      <c r="K4753" s="10" t="s">
        <v>20</v>
      </c>
      <c r="L4753" s="11" t="n">
        <v>42947.0981481481</v>
      </c>
      <c r="M4753" s="12"/>
      <c r="N4753" s="13" t="s">
        <v>6450</v>
      </c>
      <c r="O4753" s="9" t="str">
        <f aca="false">HYPERLINK("https://pbs.twimg.com/profile_images/915826190685954049/2jsP8XVF_normal.jpg","View")</f>
        <v>View</v>
      </c>
      <c r="P4753" s="10"/>
    </row>
    <row r="4754" customFormat="false" ht="15.75" hidden="false" customHeight="false" outlineLevel="0" collapsed="false">
      <c r="A4754" s="6" t="n">
        <v>43030.7765046296</v>
      </c>
      <c r="B4754" s="7" t="str">
        <f aca="false">HYPERLINK("https://twitter.com/WessamElgouery","@WessamElgouery")</f>
        <v>@WessamElgouery</v>
      </c>
      <c r="C4754" s="8" t="s">
        <v>11309</v>
      </c>
      <c r="D4754" s="8" t="s">
        <v>11284</v>
      </c>
      <c r="E4754" s="9" t="str">
        <f aca="false">HYPERLINK("https://twitter.com/WessamElgouery/status/922275925634494469","922275925634494469")</f>
        <v>922275925634494469</v>
      </c>
      <c r="F4754" s="10" t="s">
        <v>51</v>
      </c>
      <c r="G4754" s="10" t="n">
        <v>73</v>
      </c>
      <c r="H4754" s="10" t="n">
        <v>289</v>
      </c>
      <c r="I4754" s="10" t="n">
        <v>41</v>
      </c>
      <c r="J4754" s="10" t="n">
        <v>0</v>
      </c>
      <c r="K4754" s="10" t="s">
        <v>20</v>
      </c>
      <c r="L4754" s="11" t="n">
        <v>40740.3724768519</v>
      </c>
      <c r="M4754" s="12"/>
      <c r="N4754" s="12"/>
      <c r="O4754" s="9" t="str">
        <f aca="false">HYPERLINK("https://pbs.twimg.com/profile_images/702314977923866624/f33jqeZL_normal.jpg","View")</f>
        <v>View</v>
      </c>
      <c r="P4754" s="10"/>
    </row>
    <row r="4755" customFormat="false" ht="15.75" hidden="false" customHeight="false" outlineLevel="0" collapsed="false">
      <c r="A4755" s="6" t="n">
        <v>43030.7765856482</v>
      </c>
      <c r="B4755" s="7" t="str">
        <f aca="false">HYPERLINK("https://twitter.com/FallySomboNkhwa","@FallySomboNkhwa")</f>
        <v>@FallySomboNkhwa</v>
      </c>
      <c r="C4755" s="8" t="s">
        <v>260</v>
      </c>
      <c r="D4755" s="8" t="s">
        <v>11310</v>
      </c>
      <c r="E4755" s="9" t="str">
        <f aca="false">HYPERLINK("https://twitter.com/FallySomboNkhwa/status/922275955942612995","922275955942612995")</f>
        <v>922275955942612995</v>
      </c>
      <c r="F4755" s="10" t="s">
        <v>60</v>
      </c>
      <c r="G4755" s="10" t="n">
        <v>421</v>
      </c>
      <c r="H4755" s="10" t="n">
        <v>2195</v>
      </c>
      <c r="I4755" s="10" t="n">
        <v>0</v>
      </c>
      <c r="J4755" s="10" t="n">
        <v>0</v>
      </c>
      <c r="K4755" s="10" t="s">
        <v>20</v>
      </c>
      <c r="L4755" s="11" t="n">
        <v>41551.8204166667</v>
      </c>
      <c r="M4755" s="12" t="s">
        <v>262</v>
      </c>
      <c r="N4755" s="12" t="s">
        <v>263</v>
      </c>
      <c r="O4755" s="9" t="str">
        <f aca="false">HYPERLINK("https://pbs.twimg.com/profile_images/543761133505503235/pKcg8bc2_normal.jpeg","View")</f>
        <v>View</v>
      </c>
      <c r="P4755" s="10"/>
    </row>
    <row r="4756" customFormat="false" ht="15.75" hidden="false" customHeight="false" outlineLevel="0" collapsed="false">
      <c r="A4756" s="6" t="n">
        <v>43030.7766666667</v>
      </c>
      <c r="B4756" s="7" t="str">
        <f aca="false">HYPERLINK("https://twitter.com/PMIPL_media","@PMIPL_media")</f>
        <v>@PMIPL_media</v>
      </c>
      <c r="C4756" s="8" t="s">
        <v>4091</v>
      </c>
      <c r="D4756" s="8" t="s">
        <v>11284</v>
      </c>
      <c r="E4756" s="9" t="str">
        <f aca="false">HYPERLINK("https://twitter.com/PMIPL_media/status/922275986175016960","922275986175016960")</f>
        <v>922275986175016960</v>
      </c>
      <c r="F4756" s="10" t="s">
        <v>25</v>
      </c>
      <c r="G4756" s="10" t="n">
        <v>79</v>
      </c>
      <c r="H4756" s="10" t="n">
        <v>1111</v>
      </c>
      <c r="I4756" s="10" t="n">
        <v>41</v>
      </c>
      <c r="J4756" s="10" t="n">
        <v>0</v>
      </c>
      <c r="K4756" s="10" t="s">
        <v>20</v>
      </c>
      <c r="L4756" s="11" t="n">
        <v>42773.1561574074</v>
      </c>
      <c r="M4756" s="12"/>
      <c r="N4756" s="12" t="s">
        <v>4092</v>
      </c>
      <c r="O4756" s="9" t="str">
        <f aca="false">HYPERLINK("https://pbs.twimg.com/profile_images/828942997853122560/8vC5QMqa_normal.jpg","View")</f>
        <v>View</v>
      </c>
      <c r="P4756" s="10"/>
    </row>
    <row r="4757" customFormat="false" ht="15.75" hidden="false" customHeight="false" outlineLevel="0" collapsed="false">
      <c r="A4757" s="6" t="n">
        <v>43030.776712963</v>
      </c>
      <c r="B4757" s="7" t="str">
        <f aca="false">HYPERLINK("https://twitter.com/iOnkarPandey","@iOnkarPandey")</f>
        <v>@iOnkarPandey</v>
      </c>
      <c r="C4757" s="8" t="s">
        <v>8136</v>
      </c>
      <c r="D4757" s="8" t="s">
        <v>11311</v>
      </c>
      <c r="E4757" s="9" t="str">
        <f aca="false">HYPERLINK("https://twitter.com/iOnkarPandey/status/922276000880263168","922276000880263168")</f>
        <v>922276000880263168</v>
      </c>
      <c r="F4757" s="10" t="s">
        <v>25</v>
      </c>
      <c r="G4757" s="10" t="n">
        <v>3750</v>
      </c>
      <c r="H4757" s="10" t="n">
        <v>197</v>
      </c>
      <c r="I4757" s="10" t="n">
        <v>1</v>
      </c>
      <c r="J4757" s="10" t="n">
        <v>0</v>
      </c>
      <c r="K4757" s="10" t="s">
        <v>20</v>
      </c>
      <c r="L4757" s="11" t="n">
        <v>41506.3729050926</v>
      </c>
      <c r="M4757" s="12" t="s">
        <v>8138</v>
      </c>
      <c r="N4757" s="12" t="s">
        <v>8139</v>
      </c>
      <c r="O4757" s="9" t="str">
        <f aca="false">HYPERLINK("https://pbs.twimg.com/profile_images/922845821560807424/vj_xWtN7_normal.jpg","View")</f>
        <v>View</v>
      </c>
      <c r="P4757" s="10"/>
    </row>
    <row r="4758" customFormat="false" ht="15.75" hidden="false" customHeight="false" outlineLevel="0" collapsed="false">
      <c r="A4758" s="6" t="n">
        <v>43030.7768981482</v>
      </c>
      <c r="B4758" s="7" t="str">
        <f aca="false">HYPERLINK("https://twitter.com/Bindas_Bol_","@Bindas_Bol_")</f>
        <v>@Bindas_Bol_</v>
      </c>
      <c r="C4758" s="8" t="s">
        <v>11312</v>
      </c>
      <c r="D4758" s="8" t="s">
        <v>11284</v>
      </c>
      <c r="E4758" s="9" t="str">
        <f aca="false">HYPERLINK("https://twitter.com/Bindas_Bol_/status/922276069641674752","922276069641674752")</f>
        <v>922276069641674752</v>
      </c>
      <c r="F4758" s="10" t="s">
        <v>25</v>
      </c>
      <c r="G4758" s="10" t="n">
        <v>129</v>
      </c>
      <c r="H4758" s="10" t="n">
        <v>2645</v>
      </c>
      <c r="I4758" s="10" t="n">
        <v>41</v>
      </c>
      <c r="J4758" s="10" t="n">
        <v>0</v>
      </c>
      <c r="K4758" s="10" t="s">
        <v>20</v>
      </c>
      <c r="L4758" s="11" t="n">
        <v>41693.0230902778</v>
      </c>
      <c r="M4758" s="12" t="s">
        <v>72</v>
      </c>
      <c r="N4758" s="12" t="s">
        <v>11313</v>
      </c>
      <c r="O4758" s="9" t="str">
        <f aca="false">HYPERLINK("https://pbs.twimg.com/profile_images/921437908963278850/Vl95cRr7_normal.jpg","View")</f>
        <v>View</v>
      </c>
      <c r="P4758" s="10"/>
    </row>
    <row r="4759" customFormat="false" ht="15.75" hidden="false" customHeight="false" outlineLevel="0" collapsed="false">
      <c r="A4759" s="6" t="n">
        <v>43030.777025463</v>
      </c>
      <c r="B4759" s="7" t="str">
        <f aca="false">HYPERLINK("https://twitter.com/a_majid99","@a_majid99")</f>
        <v>@a_majid99</v>
      </c>
      <c r="C4759" s="8" t="s">
        <v>11314</v>
      </c>
      <c r="D4759" s="8" t="s">
        <v>11284</v>
      </c>
      <c r="E4759" s="9" t="str">
        <f aca="false">HYPERLINK("https://twitter.com/a_majid99/status/922276114642370560","922276114642370560")</f>
        <v>922276114642370560</v>
      </c>
      <c r="F4759" s="10" t="s">
        <v>51</v>
      </c>
      <c r="G4759" s="10" t="n">
        <v>215</v>
      </c>
      <c r="H4759" s="10" t="n">
        <v>283</v>
      </c>
      <c r="I4759" s="10" t="n">
        <v>41</v>
      </c>
      <c r="J4759" s="10" t="n">
        <v>0</v>
      </c>
      <c r="K4759" s="10" t="s">
        <v>20</v>
      </c>
      <c r="L4759" s="11" t="n">
        <v>41484.4601041667</v>
      </c>
      <c r="M4759" s="12"/>
      <c r="N4759" s="12"/>
      <c r="O4759" s="9" t="str">
        <f aca="false">HYPERLINK("https://abs.twimg.com/sticky/default_profile_images/default_profile_normal.png","View")</f>
        <v>View</v>
      </c>
      <c r="P4759" s="10"/>
    </row>
    <row r="4760" customFormat="false" ht="15.75" hidden="false" customHeight="false" outlineLevel="0" collapsed="false">
      <c r="A4760" s="6" t="n">
        <v>43030.7771064815</v>
      </c>
      <c r="B4760" s="7" t="str">
        <f aca="false">HYPERLINK("https://twitter.com/hannasee","@hannasee")</f>
        <v>@hannasee</v>
      </c>
      <c r="C4760" s="8" t="s">
        <v>11315</v>
      </c>
      <c r="D4760" s="8" t="s">
        <v>11284</v>
      </c>
      <c r="E4760" s="9" t="str">
        <f aca="false">HYPERLINK("https://twitter.com/hannasee/status/922276143259987968","922276143259987968")</f>
        <v>922276143259987968</v>
      </c>
      <c r="F4760" s="10" t="s">
        <v>25</v>
      </c>
      <c r="G4760" s="10" t="n">
        <v>710</v>
      </c>
      <c r="H4760" s="10" t="n">
        <v>1139</v>
      </c>
      <c r="I4760" s="10" t="n">
        <v>41</v>
      </c>
      <c r="J4760" s="10" t="n">
        <v>0</v>
      </c>
      <c r="K4760" s="10" t="s">
        <v>20</v>
      </c>
      <c r="L4760" s="11" t="n">
        <v>40194.9537152778</v>
      </c>
      <c r="M4760" s="12" t="s">
        <v>11316</v>
      </c>
      <c r="N4760" s="12" t="s">
        <v>11317</v>
      </c>
      <c r="O4760" s="9" t="str">
        <f aca="false">HYPERLINK("https://pbs.twimg.com/profile_images/820233440918286336/7sLW6v4E_normal.jpg","View")</f>
        <v>View</v>
      </c>
      <c r="P4760" s="10"/>
    </row>
    <row r="4761" customFormat="false" ht="15.75" hidden="false" customHeight="false" outlineLevel="0" collapsed="false">
      <c r="A4761" s="6" t="n">
        <v>43030.7772337963</v>
      </c>
      <c r="B4761" s="7" t="str">
        <f aca="false">HYPERLINK("https://twitter.com/MarkChetcuti87","@MarkChetcuti87")</f>
        <v>@MarkChetcuti87</v>
      </c>
      <c r="C4761" s="8" t="s">
        <v>11318</v>
      </c>
      <c r="D4761" s="8" t="s">
        <v>11284</v>
      </c>
      <c r="E4761" s="9" t="str">
        <f aca="false">HYPERLINK("https://twitter.com/MarkChetcuti87/status/922276189653188609","922276189653188609")</f>
        <v>922276189653188609</v>
      </c>
      <c r="F4761" s="10" t="s">
        <v>39</v>
      </c>
      <c r="G4761" s="10" t="n">
        <v>31</v>
      </c>
      <c r="H4761" s="10" t="n">
        <v>450</v>
      </c>
      <c r="I4761" s="10" t="n">
        <v>41</v>
      </c>
      <c r="J4761" s="10" t="n">
        <v>0</v>
      </c>
      <c r="K4761" s="10" t="s">
        <v>20</v>
      </c>
      <c r="L4761" s="11" t="n">
        <v>42996.9740509259</v>
      </c>
      <c r="M4761" s="12"/>
      <c r="N4761" s="12" t="s">
        <v>11319</v>
      </c>
      <c r="O4761" s="9" t="str">
        <f aca="false">HYPERLINK("https://pbs.twimg.com/profile_images/923946155636965376/SXt0aeua_normal.jpg","View")</f>
        <v>View</v>
      </c>
      <c r="P4761" s="10"/>
    </row>
    <row r="4762" customFormat="false" ht="15.75" hidden="false" customHeight="false" outlineLevel="0" collapsed="false">
      <c r="A4762" s="6" t="n">
        <v>43030.7773263889</v>
      </c>
      <c r="B4762" s="7" t="str">
        <f aca="false">HYPERLINK("https://twitter.com/mnshzz","@mnshzz")</f>
        <v>@mnshzz</v>
      </c>
      <c r="C4762" s="8" t="s">
        <v>665</v>
      </c>
      <c r="D4762" s="8" t="s">
        <v>11162</v>
      </c>
      <c r="E4762" s="9" t="str">
        <f aca="false">HYPERLINK("https://twitter.com/mnshzz/status/922276223220269057","922276223220269057")</f>
        <v>922276223220269057</v>
      </c>
      <c r="F4762" s="10" t="s">
        <v>1289</v>
      </c>
      <c r="G4762" s="10" t="n">
        <v>3469</v>
      </c>
      <c r="H4762" s="10" t="n">
        <v>761</v>
      </c>
      <c r="I4762" s="10" t="n">
        <v>4</v>
      </c>
      <c r="J4762" s="10" t="n">
        <v>0</v>
      </c>
      <c r="K4762" s="10" t="s">
        <v>20</v>
      </c>
      <c r="L4762" s="11" t="n">
        <v>39858.1444212963</v>
      </c>
      <c r="M4762" s="12"/>
      <c r="N4762" s="12" t="s">
        <v>5216</v>
      </c>
      <c r="O4762" s="9" t="str">
        <f aca="false">HYPERLINK("https://pbs.twimg.com/profile_images/841487626796388352/6jY8bKhr_normal.jpg","View")</f>
        <v>View</v>
      </c>
      <c r="P4762" s="10"/>
    </row>
    <row r="4763" customFormat="false" ht="15.75" hidden="false" customHeight="false" outlineLevel="0" collapsed="false">
      <c r="A4763" s="6" t="n">
        <v>43030.7776157407</v>
      </c>
      <c r="B4763" s="7" t="str">
        <f aca="false">HYPERLINK("https://twitter.com/shivmusik","@shivmusik")</f>
        <v>@shivmusik</v>
      </c>
      <c r="C4763" s="8" t="s">
        <v>11320</v>
      </c>
      <c r="D4763" s="8" t="s">
        <v>8538</v>
      </c>
      <c r="E4763" s="9" t="str">
        <f aca="false">HYPERLINK("https://twitter.com/shivmusik/status/922276327180267520","922276327180267520")</f>
        <v>922276327180267520</v>
      </c>
      <c r="F4763" s="10" t="s">
        <v>51</v>
      </c>
      <c r="G4763" s="10" t="n">
        <v>85</v>
      </c>
      <c r="H4763" s="10" t="n">
        <v>101</v>
      </c>
      <c r="I4763" s="10" t="n">
        <v>1015</v>
      </c>
      <c r="J4763" s="10" t="n">
        <v>0</v>
      </c>
      <c r="K4763" s="10" t="s">
        <v>20</v>
      </c>
      <c r="L4763" s="11" t="n">
        <v>39990.4139236111</v>
      </c>
      <c r="M4763" s="12" t="s">
        <v>253</v>
      </c>
      <c r="N4763" s="12" t="s">
        <v>11321</v>
      </c>
      <c r="O4763" s="9" t="str">
        <f aca="false">HYPERLINK("https://pbs.twimg.com/profile_images/839078539768954880/wc-1qWsZ_normal.jpg","View")</f>
        <v>View</v>
      </c>
      <c r="P4763" s="10"/>
    </row>
    <row r="4764" customFormat="false" ht="15.75" hidden="false" customHeight="false" outlineLevel="0" collapsed="false">
      <c r="A4764" s="6" t="n">
        <v>43030.7776273148</v>
      </c>
      <c r="B4764" s="7" t="str">
        <f aca="false">HYPERLINK("https://twitter.com/YBOT0_0","@YBOT0_0")</f>
        <v>@YBOT0_0</v>
      </c>
      <c r="C4764" s="14" t="s">
        <v>11322</v>
      </c>
      <c r="D4764" s="8" t="s">
        <v>11284</v>
      </c>
      <c r="E4764" s="9" t="str">
        <f aca="false">HYPERLINK("https://twitter.com/YBOT0_0/status/922276331852668928","922276331852668928")</f>
        <v>922276331852668928</v>
      </c>
      <c r="F4764" s="10" t="s">
        <v>276</v>
      </c>
      <c r="G4764" s="10" t="n">
        <v>1669</v>
      </c>
      <c r="H4764" s="10" t="n">
        <v>195</v>
      </c>
      <c r="I4764" s="10" t="n">
        <v>41</v>
      </c>
      <c r="J4764" s="10" t="n">
        <v>0</v>
      </c>
      <c r="K4764" s="10" t="s">
        <v>20</v>
      </c>
      <c r="L4764" s="11" t="n">
        <v>41662.124224537</v>
      </c>
      <c r="M4764" s="13" t="s">
        <v>11323</v>
      </c>
      <c r="N4764" s="13" t="s">
        <v>11324</v>
      </c>
      <c r="O4764" s="9" t="str">
        <f aca="false">HYPERLINK("https://pbs.twimg.com/profile_images/787597760094572544/jdAowjsX_normal.jpg","View")</f>
        <v>View</v>
      </c>
      <c r="P4764" s="10"/>
    </row>
    <row r="4765" customFormat="false" ht="15.75" hidden="false" customHeight="false" outlineLevel="0" collapsed="false">
      <c r="A4765" s="6" t="n">
        <v>43030.7776736111</v>
      </c>
      <c r="B4765" s="7" t="str">
        <f aca="false">HYPERLINK("https://twitter.com/bpolitics","@bpolitics")</f>
        <v>@bpolitics</v>
      </c>
      <c r="C4765" s="8" t="s">
        <v>266</v>
      </c>
      <c r="D4765" s="8" t="s">
        <v>11325</v>
      </c>
      <c r="E4765" s="9" t="str">
        <f aca="false">HYPERLINK("https://twitter.com/bpolitics/status/922276348877471745","922276348877471745")</f>
        <v>922276348877471745</v>
      </c>
      <c r="F4765" s="10" t="s">
        <v>268</v>
      </c>
      <c r="G4765" s="10" t="n">
        <v>221392</v>
      </c>
      <c r="H4765" s="10" t="n">
        <v>868</v>
      </c>
      <c r="I4765" s="10" t="n">
        <v>8</v>
      </c>
      <c r="J4765" s="10" t="n">
        <v>12</v>
      </c>
      <c r="K4765" s="10" t="s">
        <v>20</v>
      </c>
      <c r="L4765" s="11" t="n">
        <v>41025.576400463</v>
      </c>
      <c r="M4765" s="12"/>
      <c r="N4765" s="12" t="s">
        <v>269</v>
      </c>
      <c r="O4765" s="9" t="str">
        <f aca="false">HYPERLINK("https://pbs.twimg.com/profile_images/714804098890133504/cUO4gD1A_normal.jpg","View")</f>
        <v>View</v>
      </c>
      <c r="P4765" s="10"/>
    </row>
    <row r="4766" customFormat="false" ht="15.75" hidden="false" customHeight="false" outlineLevel="0" collapsed="false">
      <c r="A4766" s="6" t="n">
        <v>43030.777962963</v>
      </c>
      <c r="B4766" s="7" t="str">
        <f aca="false">HYPERLINK("https://twitter.com/shubhadam13","@shubhadam13")</f>
        <v>@shubhadam13</v>
      </c>
      <c r="C4766" s="8" t="s">
        <v>11326</v>
      </c>
      <c r="D4766" s="8" t="s">
        <v>8538</v>
      </c>
      <c r="E4766" s="9" t="str">
        <f aca="false">HYPERLINK("https://twitter.com/shubhadam13/status/922276455458865152","922276455458865152")</f>
        <v>922276455458865152</v>
      </c>
      <c r="F4766" s="10" t="s">
        <v>25</v>
      </c>
      <c r="G4766" s="10" t="n">
        <v>148</v>
      </c>
      <c r="H4766" s="10" t="n">
        <v>409</v>
      </c>
      <c r="I4766" s="10" t="n">
        <v>1015</v>
      </c>
      <c r="J4766" s="10" t="n">
        <v>0</v>
      </c>
      <c r="K4766" s="10" t="s">
        <v>20</v>
      </c>
      <c r="L4766" s="11" t="n">
        <v>41703.4020486111</v>
      </c>
      <c r="M4766" s="12"/>
      <c r="N4766" s="12"/>
      <c r="O4766" s="9" t="str">
        <f aca="false">HYPERLINK("https://pbs.twimg.com/profile_images/852477069510311936/R6u5Iy6f_normal.jpg","View")</f>
        <v>View</v>
      </c>
      <c r="P4766" s="10"/>
    </row>
    <row r="4767" customFormat="false" ht="15.75" hidden="false" customHeight="false" outlineLevel="0" collapsed="false">
      <c r="A4767" s="6" t="n">
        <v>43030.7782523148</v>
      </c>
      <c r="B4767" s="7" t="str">
        <f aca="false">HYPERLINK("https://twitter.com/RockieTalks","@RockieTalks")</f>
        <v>@RockieTalks</v>
      </c>
      <c r="C4767" s="8" t="s">
        <v>11327</v>
      </c>
      <c r="D4767" s="8" t="s">
        <v>11033</v>
      </c>
      <c r="E4767" s="9" t="str">
        <f aca="false">HYPERLINK("https://twitter.com/RockieTalks/status/922276560090157057","922276560090157057")</f>
        <v>922276560090157057</v>
      </c>
      <c r="F4767" s="10" t="s">
        <v>51</v>
      </c>
      <c r="G4767" s="10" t="n">
        <v>750</v>
      </c>
      <c r="H4767" s="10" t="n">
        <v>1331</v>
      </c>
      <c r="I4767" s="10" t="n">
        <v>60</v>
      </c>
      <c r="J4767" s="10" t="n">
        <v>0</v>
      </c>
      <c r="K4767" s="10" t="s">
        <v>20</v>
      </c>
      <c r="L4767" s="11" t="n">
        <v>41378.3272337963</v>
      </c>
      <c r="M4767" s="12" t="s">
        <v>11328</v>
      </c>
      <c r="N4767" s="12" t="s">
        <v>11329</v>
      </c>
      <c r="O4767" s="9" t="str">
        <f aca="false">HYPERLINK("https://pbs.twimg.com/profile_images/3706253140/a0e57aced1d26d92b538bba71c8acf20_normal.jpeg","View")</f>
        <v>View</v>
      </c>
      <c r="P4767" s="10"/>
    </row>
    <row r="4768" customFormat="false" ht="15.75" hidden="false" customHeight="false" outlineLevel="0" collapsed="false">
      <c r="A4768" s="6" t="n">
        <v>43030.7783680556</v>
      </c>
      <c r="B4768" s="7" t="str">
        <f aca="false">HYPERLINK("https://twitter.com/rks196","@rks196")</f>
        <v>@rks196</v>
      </c>
      <c r="C4768" s="8" t="s">
        <v>11330</v>
      </c>
      <c r="D4768" s="8" t="s">
        <v>8538</v>
      </c>
      <c r="E4768" s="9" t="str">
        <f aca="false">HYPERLINK("https://twitter.com/rks196/status/922276600858554368","922276600858554368")</f>
        <v>922276600858554368</v>
      </c>
      <c r="F4768" s="10" t="s">
        <v>25</v>
      </c>
      <c r="G4768" s="10" t="n">
        <v>2033</v>
      </c>
      <c r="H4768" s="10" t="n">
        <v>4775</v>
      </c>
      <c r="I4768" s="10" t="n">
        <v>1015</v>
      </c>
      <c r="J4768" s="10" t="n">
        <v>0</v>
      </c>
      <c r="K4768" s="10" t="s">
        <v>20</v>
      </c>
      <c r="L4768" s="11" t="n">
        <v>40351.342037037</v>
      </c>
      <c r="M4768" s="12" t="s">
        <v>72</v>
      </c>
      <c r="N4768" s="12" t="s">
        <v>11331</v>
      </c>
      <c r="O4768" s="9" t="str">
        <f aca="false">HYPERLINK("https://pbs.twimg.com/profile_images/897278636251676673/zjvPCnRJ_normal.jpg","View")</f>
        <v>View</v>
      </c>
      <c r="P4768" s="10"/>
    </row>
    <row r="4769" customFormat="false" ht="15.75" hidden="false" customHeight="false" outlineLevel="0" collapsed="false">
      <c r="A4769" s="6" t="n">
        <v>43030.7785763889</v>
      </c>
      <c r="B4769" s="7" t="str">
        <f aca="false">HYPERLINK("https://twitter.com/kryes","@kryes")</f>
        <v>@kryes</v>
      </c>
      <c r="C4769" s="8" t="s">
        <v>11332</v>
      </c>
      <c r="D4769" s="8" t="s">
        <v>11284</v>
      </c>
      <c r="E4769" s="9" t="str">
        <f aca="false">HYPERLINK("https://twitter.com/kryes/status/922276677920665600","922276677920665600")</f>
        <v>922276677920665600</v>
      </c>
      <c r="F4769" s="10" t="s">
        <v>39</v>
      </c>
      <c r="G4769" s="10" t="n">
        <v>17328</v>
      </c>
      <c r="H4769" s="10" t="n">
        <v>444</v>
      </c>
      <c r="I4769" s="10" t="n">
        <v>41</v>
      </c>
      <c r="J4769" s="10" t="n">
        <v>0</v>
      </c>
      <c r="K4769" s="10" t="s">
        <v>20</v>
      </c>
      <c r="L4769" s="11" t="n">
        <v>39587.7967476852</v>
      </c>
      <c r="M4769" s="12" t="s">
        <v>319</v>
      </c>
      <c r="N4769" s="15" t="s">
        <v>11333</v>
      </c>
      <c r="O4769" s="9" t="str">
        <f aca="false">HYPERLINK("https://pbs.twimg.com/profile_images/923333657951113216/4mB_YniK_normal.jpg","View")</f>
        <v>View</v>
      </c>
      <c r="P4769" s="10"/>
    </row>
    <row r="4770" customFormat="false" ht="15.75" hidden="false" customHeight="false" outlineLevel="0" collapsed="false">
      <c r="A4770" s="6" t="n">
        <v>43030.7786805556</v>
      </c>
      <c r="B4770" s="7" t="str">
        <f aca="false">HYPERLINK("https://twitter.com/barbaraakiteng1","@barbaraakiteng1")</f>
        <v>@barbaraakiteng1</v>
      </c>
      <c r="C4770" s="8" t="s">
        <v>11334</v>
      </c>
      <c r="D4770" s="8" t="s">
        <v>11284</v>
      </c>
      <c r="E4770" s="9" t="str">
        <f aca="false">HYPERLINK("https://twitter.com/barbaraakiteng1/status/922276715052879874","922276715052879874")</f>
        <v>922276715052879874</v>
      </c>
      <c r="F4770" s="10" t="s">
        <v>25</v>
      </c>
      <c r="G4770" s="10" t="n">
        <v>230</v>
      </c>
      <c r="H4770" s="10" t="n">
        <v>1547</v>
      </c>
      <c r="I4770" s="10" t="n">
        <v>41</v>
      </c>
      <c r="J4770" s="10" t="n">
        <v>0</v>
      </c>
      <c r="K4770" s="10" t="s">
        <v>20</v>
      </c>
      <c r="L4770" s="11" t="n">
        <v>42527.2257060185</v>
      </c>
      <c r="M4770" s="12" t="s">
        <v>4912</v>
      </c>
      <c r="N4770" s="12" t="s">
        <v>11335</v>
      </c>
      <c r="O4770" s="9" t="str">
        <f aca="false">HYPERLINK("https://pbs.twimg.com/profile_images/740061569732771840/02mVq6CT_normal.jpg","View")</f>
        <v>View</v>
      </c>
      <c r="P4770" s="10"/>
    </row>
    <row r="4771" customFormat="false" ht="15.75" hidden="false" customHeight="false" outlineLevel="0" collapsed="false">
      <c r="A4771" s="6" t="n">
        <v>43030.7788310185</v>
      </c>
      <c r="B4771" s="7" t="str">
        <f aca="false">HYPERLINK("https://twitter.com/mlnangalama","@mlnangalama")</f>
        <v>@mlnangalama</v>
      </c>
      <c r="C4771" s="8" t="s">
        <v>255</v>
      </c>
      <c r="D4771" s="8" t="s">
        <v>11336</v>
      </c>
      <c r="E4771" s="9" t="str">
        <f aca="false">HYPERLINK("https://twitter.com/mlnangalama/status/922276768115052545","922276768115052545")</f>
        <v>922276768115052545</v>
      </c>
      <c r="F4771" s="10" t="s">
        <v>60</v>
      </c>
      <c r="G4771" s="10" t="n">
        <v>2370</v>
      </c>
      <c r="H4771" s="10" t="n">
        <v>1584</v>
      </c>
      <c r="I4771" s="10" t="n">
        <v>0</v>
      </c>
      <c r="J4771" s="10" t="n">
        <v>0</v>
      </c>
      <c r="K4771" s="10" t="s">
        <v>20</v>
      </c>
      <c r="L4771" s="11" t="n">
        <v>41041.5437847222</v>
      </c>
      <c r="M4771" s="12" t="s">
        <v>257</v>
      </c>
      <c r="N4771" s="12" t="s">
        <v>258</v>
      </c>
      <c r="O4771" s="9" t="str">
        <f aca="false">HYPERLINK("https://pbs.twimg.com/profile_images/900915882444173313/biUHzvpx_normal.jpg","View")</f>
        <v>View</v>
      </c>
      <c r="P4771" s="10"/>
    </row>
    <row r="4772" customFormat="false" ht="15.75" hidden="false" customHeight="false" outlineLevel="0" collapsed="false">
      <c r="A4772" s="6" t="n">
        <v>43030.7788541667</v>
      </c>
      <c r="B4772" s="7" t="str">
        <f aca="false">HYPERLINK("https://twitter.com/serge_poznanski","@serge_poznanski")</f>
        <v>@serge_poznanski</v>
      </c>
      <c r="C4772" s="8" t="s">
        <v>212</v>
      </c>
      <c r="D4772" s="8" t="s">
        <v>11337</v>
      </c>
      <c r="E4772" s="9" t="str">
        <f aca="false">HYPERLINK("https://twitter.com/serge_poznanski/status/922276777585672192","922276777585672192")</f>
        <v>922276777585672192</v>
      </c>
      <c r="F4772" s="10" t="s">
        <v>60</v>
      </c>
      <c r="G4772" s="10" t="n">
        <v>1426</v>
      </c>
      <c r="H4772" s="10" t="n">
        <v>2136</v>
      </c>
      <c r="I4772" s="10" t="n">
        <v>0</v>
      </c>
      <c r="J4772" s="10" t="n">
        <v>0</v>
      </c>
      <c r="K4772" s="10" t="s">
        <v>20</v>
      </c>
      <c r="L4772" s="11" t="n">
        <v>42271.4744560185</v>
      </c>
      <c r="M4772" s="12"/>
      <c r="N4772" s="12"/>
      <c r="O4772" s="9" t="str">
        <f aca="false">HYPERLINK("https://pbs.twimg.com/profile_images/647277253240291328/3GezjFCJ_normal.jpg","View")</f>
        <v>View</v>
      </c>
      <c r="P4772" s="10"/>
    </row>
    <row r="4773" customFormat="false" ht="15.75" hidden="false" customHeight="false" outlineLevel="0" collapsed="false">
      <c r="A4773" s="6" t="n">
        <v>43030.7789699074</v>
      </c>
      <c r="B4773" s="7" t="str">
        <f aca="false">HYPERLINK("https://twitter.com/gaburierus","@gaburierus")</f>
        <v>@gaburierus</v>
      </c>
      <c r="C4773" s="14" t="s">
        <v>11338</v>
      </c>
      <c r="D4773" s="8" t="s">
        <v>11284</v>
      </c>
      <c r="E4773" s="9" t="str">
        <f aca="false">HYPERLINK("https://twitter.com/gaburierus/status/922276820833226753","922276820833226753")</f>
        <v>922276820833226753</v>
      </c>
      <c r="F4773" s="10" t="s">
        <v>98</v>
      </c>
      <c r="G4773" s="10" t="n">
        <v>582</v>
      </c>
      <c r="H4773" s="10" t="n">
        <v>2438</v>
      </c>
      <c r="I4773" s="10" t="n">
        <v>41</v>
      </c>
      <c r="J4773" s="10" t="n">
        <v>0</v>
      </c>
      <c r="K4773" s="10" t="s">
        <v>20</v>
      </c>
      <c r="L4773" s="11" t="n">
        <v>40327.4570138889</v>
      </c>
      <c r="M4773" s="12" t="s">
        <v>11339</v>
      </c>
      <c r="N4773" s="12" t="s">
        <v>11340</v>
      </c>
      <c r="O4773" s="9" t="str">
        <f aca="false">HYPERLINK("https://pbs.twimg.com/profile_images/1872972029/twitterangry_normal.jpg","View")</f>
        <v>View</v>
      </c>
      <c r="P4773" s="10"/>
    </row>
    <row r="4774" customFormat="false" ht="15.75" hidden="false" customHeight="false" outlineLevel="0" collapsed="false">
      <c r="A4774" s="6" t="n">
        <v>43030.7791087963</v>
      </c>
      <c r="B4774" s="7" t="str">
        <f aca="false">HYPERLINK("https://twitter.com/GGR_Asia","@GGR_Asia")</f>
        <v>@GGR_Asia</v>
      </c>
      <c r="C4774" s="8" t="s">
        <v>11341</v>
      </c>
      <c r="D4774" s="8" t="s">
        <v>11342</v>
      </c>
      <c r="E4774" s="9" t="str">
        <f aca="false">HYPERLINK("https://twitter.com/GGR_Asia/status/922276869218607106","922276869218607106")</f>
        <v>922276869218607106</v>
      </c>
      <c r="F4774" s="10" t="s">
        <v>11341</v>
      </c>
      <c r="G4774" s="10" t="n">
        <v>635</v>
      </c>
      <c r="H4774" s="10" t="n">
        <v>617</v>
      </c>
      <c r="I4774" s="10" t="n">
        <v>1</v>
      </c>
      <c r="J4774" s="10" t="n">
        <v>0</v>
      </c>
      <c r="K4774" s="10" t="s">
        <v>20</v>
      </c>
      <c r="L4774" s="11" t="n">
        <v>41759.8953009259</v>
      </c>
      <c r="M4774" s="12" t="s">
        <v>11343</v>
      </c>
      <c r="N4774" s="12"/>
      <c r="O4774" s="9" t="str">
        <f aca="false">HYPERLINK("https://pbs.twimg.com/profile_images/461724445380337664/TaCbUzhn_normal.jpeg","View")</f>
        <v>View</v>
      </c>
      <c r="P4774" s="10"/>
    </row>
    <row r="4775" customFormat="false" ht="15.75" hidden="false" customHeight="false" outlineLevel="0" collapsed="false">
      <c r="A4775" s="6" t="n">
        <v>43030.7792824074</v>
      </c>
      <c r="B4775" s="7" t="str">
        <f aca="false">HYPERLINK("https://twitter.com/Congmei929","@Congmei929")</f>
        <v>@Congmei929</v>
      </c>
      <c r="C4775" s="8" t="s">
        <v>11344</v>
      </c>
      <c r="D4775" s="8" t="s">
        <v>11284</v>
      </c>
      <c r="E4775" s="9" t="str">
        <f aca="false">HYPERLINK("https://twitter.com/Congmei929/status/922276934268067840","922276934268067840")</f>
        <v>922276934268067840</v>
      </c>
      <c r="F4775" s="10" t="s">
        <v>39</v>
      </c>
      <c r="G4775" s="10" t="n">
        <v>902</v>
      </c>
      <c r="H4775" s="10" t="n">
        <v>1123</v>
      </c>
      <c r="I4775" s="10" t="n">
        <v>41</v>
      </c>
      <c r="J4775" s="10" t="n">
        <v>0</v>
      </c>
      <c r="K4775" s="10" t="s">
        <v>20</v>
      </c>
      <c r="L4775" s="11" t="n">
        <v>40762.6540277778</v>
      </c>
      <c r="M4775" s="12"/>
      <c r="N4775" s="13" t="s">
        <v>11345</v>
      </c>
      <c r="O4775" s="9" t="str">
        <f aca="false">HYPERLINK("https://pbs.twimg.com/profile_images/916899179233869824/rRhcDpY6_normal.jpg","View")</f>
        <v>View</v>
      </c>
      <c r="P4775" s="10"/>
    </row>
    <row r="4776" customFormat="false" ht="15.75" hidden="false" customHeight="false" outlineLevel="0" collapsed="false">
      <c r="A4776" s="6" t="n">
        <v>43030.7793171296</v>
      </c>
      <c r="B4776" s="7" t="str">
        <f aca="false">HYPERLINK("https://twitter.com/luckylinsu","@luckylinsu")</f>
        <v>@luckylinsu</v>
      </c>
      <c r="C4776" s="8" t="s">
        <v>11346</v>
      </c>
      <c r="D4776" s="8" t="s">
        <v>11284</v>
      </c>
      <c r="E4776" s="9" t="str">
        <f aca="false">HYPERLINK("https://twitter.com/luckylinsu/status/922276945617936385","922276945617936385")</f>
        <v>922276945617936385</v>
      </c>
      <c r="F4776" s="10" t="s">
        <v>51</v>
      </c>
      <c r="G4776" s="10" t="n">
        <v>1549</v>
      </c>
      <c r="H4776" s="10" t="n">
        <v>1683</v>
      </c>
      <c r="I4776" s="10" t="n">
        <v>41</v>
      </c>
      <c r="J4776" s="10" t="n">
        <v>0</v>
      </c>
      <c r="K4776" s="10" t="s">
        <v>20</v>
      </c>
      <c r="L4776" s="11" t="n">
        <v>42566.7418981482</v>
      </c>
      <c r="M4776" s="12" t="s">
        <v>230</v>
      </c>
      <c r="N4776" s="12" t="s">
        <v>11347</v>
      </c>
      <c r="O4776" s="9" t="str">
        <f aca="false">HYPERLINK("https://pbs.twimg.com/profile_images/776237134306959361/TFWHoczK_normal.jpg","View")</f>
        <v>View</v>
      </c>
      <c r="P4776" s="10"/>
    </row>
    <row r="4777" customFormat="false" ht="15.75" hidden="false" customHeight="false" outlineLevel="0" collapsed="false">
      <c r="A4777" s="6" t="n">
        <v>43030.7793402778</v>
      </c>
      <c r="B4777" s="7" t="str">
        <f aca="false">HYPERLINK("https://twitter.com/Bullish","@Bullish")</f>
        <v>@Bullish</v>
      </c>
      <c r="C4777" s="8" t="s">
        <v>223</v>
      </c>
      <c r="D4777" s="8" t="s">
        <v>11348</v>
      </c>
      <c r="E4777" s="9" t="str">
        <f aca="false">HYPERLINK("https://twitter.com/Bullish/status/922276955805937664","922276955805937664")</f>
        <v>922276955805937664</v>
      </c>
      <c r="F4777" s="10" t="s">
        <v>60</v>
      </c>
      <c r="G4777" s="10" t="n">
        <v>184</v>
      </c>
      <c r="H4777" s="10" t="n">
        <v>87</v>
      </c>
      <c r="I4777" s="10" t="n">
        <v>0</v>
      </c>
      <c r="J4777" s="10" t="n">
        <v>0</v>
      </c>
      <c r="K4777" s="10" t="s">
        <v>20</v>
      </c>
      <c r="L4777" s="11" t="n">
        <v>42618.7530439815</v>
      </c>
      <c r="M4777" s="12"/>
      <c r="N4777" s="12"/>
      <c r="O4777" s="9" t="str">
        <f aca="false">HYPERLINK("https://pbs.twimg.com/profile_images/798692093736599552/UikI9dNE_normal.jpg","View")</f>
        <v>View</v>
      </c>
      <c r="P4777" s="10"/>
    </row>
    <row r="4778" customFormat="false" ht="15.75" hidden="false" customHeight="false" outlineLevel="0" collapsed="false">
      <c r="A4778" s="6" t="n">
        <v>43030.7796064815</v>
      </c>
      <c r="B4778" s="7" t="str">
        <f aca="false">HYPERLINK("https://twitter.com/zp5paa","@zp5paa")</f>
        <v>@zp5paa</v>
      </c>
      <c r="C4778" s="8" t="s">
        <v>11349</v>
      </c>
      <c r="D4778" s="8" t="s">
        <v>11284</v>
      </c>
      <c r="E4778" s="9" t="str">
        <f aca="false">HYPERLINK("https://twitter.com/zp5paa/status/922277048160325634","922277048160325634")</f>
        <v>922277048160325634</v>
      </c>
      <c r="F4778" s="10" t="s">
        <v>25</v>
      </c>
      <c r="G4778" s="10" t="n">
        <v>615</v>
      </c>
      <c r="H4778" s="10" t="n">
        <v>2087</v>
      </c>
      <c r="I4778" s="10" t="n">
        <v>41</v>
      </c>
      <c r="J4778" s="10" t="n">
        <v>0</v>
      </c>
      <c r="K4778" s="10" t="s">
        <v>20</v>
      </c>
      <c r="L4778" s="11" t="n">
        <v>39965.7271643519</v>
      </c>
      <c r="M4778" s="12" t="s">
        <v>11350</v>
      </c>
      <c r="N4778" s="12" t="s">
        <v>11351</v>
      </c>
      <c r="O4778" s="9" t="str">
        <f aca="false">HYPERLINK("https://pbs.twimg.com/profile_images/460553043725914112/37rwwVz5_normal.jpeg","View")</f>
        <v>View</v>
      </c>
      <c r="P4778" s="10"/>
    </row>
    <row r="4779" customFormat="false" ht="15.75" hidden="false" customHeight="false" outlineLevel="0" collapsed="false">
      <c r="A4779" s="6" t="n">
        <v>43030.7799074074</v>
      </c>
      <c r="B4779" s="7" t="str">
        <f aca="false">HYPERLINK("https://twitter.com/nytimesworld","@nytimesworld")</f>
        <v>@nytimesworld</v>
      </c>
      <c r="C4779" s="8" t="s">
        <v>621</v>
      </c>
      <c r="D4779" s="8" t="s">
        <v>11352</v>
      </c>
      <c r="E4779" s="9" t="str">
        <f aca="false">HYPERLINK("https://twitter.com/nytimesworld/status/922277157707112449","922277157707112449")</f>
        <v>922277157707112449</v>
      </c>
      <c r="F4779" s="10" t="s">
        <v>268</v>
      </c>
      <c r="G4779" s="10" t="n">
        <v>1873869</v>
      </c>
      <c r="H4779" s="10" t="n">
        <v>465</v>
      </c>
      <c r="I4779" s="10" t="n">
        <v>8</v>
      </c>
      <c r="J4779" s="10" t="n">
        <v>5</v>
      </c>
      <c r="K4779" s="10" t="s">
        <v>20</v>
      </c>
      <c r="L4779" s="11" t="n">
        <v>39163.2915393518</v>
      </c>
      <c r="M4779" s="12" t="s">
        <v>491</v>
      </c>
      <c r="N4779" s="12" t="s">
        <v>623</v>
      </c>
      <c r="O4779" s="9" t="str">
        <f aca="false">HYPERLINK("https://pbs.twimg.com/profile_images/2045337639/NYT_Twitter_world_normal.png","View")</f>
        <v>View</v>
      </c>
      <c r="P4779" s="10"/>
    </row>
    <row r="4780" customFormat="false" ht="15.75" hidden="false" customHeight="false" outlineLevel="0" collapsed="false">
      <c r="A4780" s="6" t="n">
        <v>43030.7800115741</v>
      </c>
      <c r="B4780" s="7" t="str">
        <f aca="false">HYPERLINK("https://twitter.com/swissifg","@swissifg")</f>
        <v>@swissifg</v>
      </c>
      <c r="C4780" s="8" t="s">
        <v>247</v>
      </c>
      <c r="D4780" s="8" t="s">
        <v>11353</v>
      </c>
      <c r="E4780" s="9" t="str">
        <f aca="false">HYPERLINK("https://twitter.com/swissifg/status/922277198106628097","922277198106628097")</f>
        <v>922277198106628097</v>
      </c>
      <c r="F4780" s="10" t="s">
        <v>60</v>
      </c>
      <c r="G4780" s="10" t="n">
        <v>1202</v>
      </c>
      <c r="H4780" s="10" t="n">
        <v>670</v>
      </c>
      <c r="I4780" s="10" t="n">
        <v>0</v>
      </c>
      <c r="J4780" s="10" t="n">
        <v>0</v>
      </c>
      <c r="K4780" s="10" t="s">
        <v>20</v>
      </c>
      <c r="L4780" s="11" t="n">
        <v>42499.2341087963</v>
      </c>
      <c r="M4780" s="12" t="s">
        <v>249</v>
      </c>
      <c r="N4780" s="12" t="s">
        <v>250</v>
      </c>
      <c r="O4780" s="9" t="str">
        <f aca="false">HYPERLINK("https://pbs.twimg.com/profile_images/729681805088063489/N4ls5vb8_normal.jpg","View")</f>
        <v>View</v>
      </c>
      <c r="P4780" s="10"/>
    </row>
    <row r="4781" customFormat="false" ht="15.75" hidden="false" customHeight="false" outlineLevel="0" collapsed="false">
      <c r="A4781" s="6" t="n">
        <v>43030.7801273148</v>
      </c>
      <c r="B4781" s="7" t="str">
        <f aca="false">HYPERLINK("https://twitter.com/jaimeotero_","@jaimeotero_")</f>
        <v>@jaimeotero_</v>
      </c>
      <c r="C4781" s="8" t="s">
        <v>205</v>
      </c>
      <c r="D4781" s="8" t="s">
        <v>11354</v>
      </c>
      <c r="E4781" s="9" t="str">
        <f aca="false">HYPERLINK("https://twitter.com/jaimeotero_/status/922277239672201216","922277239672201216")</f>
        <v>922277239672201216</v>
      </c>
      <c r="F4781" s="10" t="s">
        <v>60</v>
      </c>
      <c r="G4781" s="10" t="n">
        <v>34492</v>
      </c>
      <c r="H4781" s="10" t="n">
        <v>31252</v>
      </c>
      <c r="I4781" s="10" t="n">
        <v>0</v>
      </c>
      <c r="J4781" s="10" t="n">
        <v>0</v>
      </c>
      <c r="K4781" s="10" t="s">
        <v>20</v>
      </c>
      <c r="L4781" s="11" t="n">
        <v>42531.0121990741</v>
      </c>
      <c r="M4781" s="12" t="s">
        <v>207</v>
      </c>
      <c r="N4781" s="12" t="s">
        <v>208</v>
      </c>
      <c r="O4781" s="9" t="str">
        <f aca="false">HYPERLINK("https://pbs.twimg.com/profile_images/849817561281818626/acAU04SD_normal.jpg","View")</f>
        <v>View</v>
      </c>
      <c r="P4781" s="10"/>
    </row>
    <row r="4782" customFormat="false" ht="15.75" hidden="false" customHeight="false" outlineLevel="0" collapsed="false">
      <c r="A4782" s="6" t="n">
        <v>43030.780462963</v>
      </c>
      <c r="B4782" s="7" t="str">
        <f aca="false">HYPERLINK("https://twitter.com/tweetie0817","@tweetie0817")</f>
        <v>@tweetie0817</v>
      </c>
      <c r="C4782" s="8" t="s">
        <v>11355</v>
      </c>
      <c r="D4782" s="8" t="s">
        <v>11356</v>
      </c>
      <c r="E4782" s="9" t="str">
        <f aca="false">HYPERLINK("https://twitter.com/tweetie0817/status/922277360933543936","922277360933543936")</f>
        <v>922277360933543936</v>
      </c>
      <c r="F4782" s="10" t="s">
        <v>39</v>
      </c>
      <c r="G4782" s="10" t="n">
        <v>268</v>
      </c>
      <c r="H4782" s="10" t="n">
        <v>957</v>
      </c>
      <c r="I4782" s="10" t="n">
        <v>8</v>
      </c>
      <c r="J4782" s="10" t="n">
        <v>0</v>
      </c>
      <c r="K4782" s="10" t="s">
        <v>20</v>
      </c>
      <c r="L4782" s="11" t="n">
        <v>40585.6011574074</v>
      </c>
      <c r="M4782" s="12" t="s">
        <v>11357</v>
      </c>
      <c r="N4782" s="12" t="s">
        <v>11358</v>
      </c>
      <c r="O4782" s="9" t="str">
        <f aca="false">HYPERLINK("https://pbs.twimg.com/profile_images/1505415432/Cardinal2-Photo-by-gloriapoole_normal.jpg","View")</f>
        <v>View</v>
      </c>
      <c r="P4782" s="10"/>
    </row>
    <row r="4783" customFormat="false" ht="15.75" hidden="false" customHeight="false" outlineLevel="0" collapsed="false">
      <c r="A4783" s="6" t="n">
        <v>43030.7806134259</v>
      </c>
      <c r="B4783" s="7" t="str">
        <f aca="false">HYPERLINK("https://twitter.com/pankajchandak","@pankajchandak")</f>
        <v>@pankajchandak</v>
      </c>
      <c r="C4783" s="8" t="s">
        <v>11359</v>
      </c>
      <c r="D4783" s="8" t="s">
        <v>8538</v>
      </c>
      <c r="E4783" s="9" t="str">
        <f aca="false">HYPERLINK("https://twitter.com/pankajchandak/status/922277414280900608","922277414280900608")</f>
        <v>922277414280900608</v>
      </c>
      <c r="F4783" s="10" t="s">
        <v>51</v>
      </c>
      <c r="G4783" s="10" t="n">
        <v>726</v>
      </c>
      <c r="H4783" s="10" t="n">
        <v>960</v>
      </c>
      <c r="I4783" s="10" t="n">
        <v>1015</v>
      </c>
      <c r="J4783" s="10" t="n">
        <v>0</v>
      </c>
      <c r="K4783" s="10" t="s">
        <v>20</v>
      </c>
      <c r="L4783" s="11" t="n">
        <v>40240.4114467593</v>
      </c>
      <c r="M4783" s="12" t="s">
        <v>11360</v>
      </c>
      <c r="N4783" s="12" t="s">
        <v>11361</v>
      </c>
      <c r="O4783" s="9" t="str">
        <f aca="false">HYPERLINK("https://pbs.twimg.com/profile_images/2228848274/DSC02152_normal.jpg","View")</f>
        <v>View</v>
      </c>
      <c r="P4783" s="10"/>
    </row>
    <row r="4784" customFormat="false" ht="15.75" hidden="false" customHeight="false" outlineLevel="0" collapsed="false">
      <c r="A4784" s="6" t="n">
        <v>43030.7806597222</v>
      </c>
      <c r="B4784" s="7" t="str">
        <f aca="false">HYPERLINK("https://twitter.com/prepzilla","@prepzilla")</f>
        <v>@prepzilla</v>
      </c>
      <c r="C4784" s="8" t="s">
        <v>235</v>
      </c>
      <c r="D4784" s="8" t="s">
        <v>11362</v>
      </c>
      <c r="E4784" s="9" t="str">
        <f aca="false">HYPERLINK("https://twitter.com/prepzilla/status/922277430944989186","922277430944989186")</f>
        <v>922277430944989186</v>
      </c>
      <c r="F4784" s="10" t="s">
        <v>60</v>
      </c>
      <c r="G4784" s="10" t="n">
        <v>7686</v>
      </c>
      <c r="H4784" s="10" t="n">
        <v>477</v>
      </c>
      <c r="I4784" s="10" t="n">
        <v>0</v>
      </c>
      <c r="J4784" s="10" t="n">
        <v>0</v>
      </c>
      <c r="K4784" s="10" t="s">
        <v>20</v>
      </c>
      <c r="L4784" s="11" t="n">
        <v>41299.7417361111</v>
      </c>
      <c r="M4784" s="12" t="s">
        <v>237</v>
      </c>
      <c r="N4784" s="12" t="s">
        <v>238</v>
      </c>
      <c r="O4784" s="9" t="str">
        <f aca="false">HYPERLINK("https://pbs.twimg.com/profile_images/900797880516005888/1bWN5qbC_normal.jpg","View")</f>
        <v>View</v>
      </c>
      <c r="P4784" s="10"/>
    </row>
    <row r="4785" customFormat="false" ht="15.75" hidden="false" customHeight="false" outlineLevel="0" collapsed="false">
      <c r="A4785" s="6" t="n">
        <v>43030.7806944444</v>
      </c>
      <c r="B4785" s="7" t="str">
        <f aca="false">HYPERLINK("https://twitter.com/bdnews24","@bdnews24")</f>
        <v>@bdnews24</v>
      </c>
      <c r="C4785" s="8" t="s">
        <v>216</v>
      </c>
      <c r="D4785" s="8" t="s">
        <v>11363</v>
      </c>
      <c r="E4785" s="9" t="str">
        <f aca="false">HYPERLINK("https://twitter.com/bdnews24/status/922277443133636608","922277443133636608")</f>
        <v>922277443133636608</v>
      </c>
      <c r="F4785" s="10" t="s">
        <v>60</v>
      </c>
      <c r="G4785" s="10" t="n">
        <v>215604</v>
      </c>
      <c r="H4785" s="10" t="n">
        <v>67887</v>
      </c>
      <c r="I4785" s="10" t="n">
        <v>0</v>
      </c>
      <c r="J4785" s="10" t="n">
        <v>0</v>
      </c>
      <c r="K4785" s="10" t="s">
        <v>20</v>
      </c>
      <c r="L4785" s="11" t="n">
        <v>39844.4680439815</v>
      </c>
      <c r="M4785" s="12" t="s">
        <v>218</v>
      </c>
      <c r="N4785" s="12" t="s">
        <v>219</v>
      </c>
      <c r="O4785" s="9" t="str">
        <f aca="false">HYPERLINK("https://pbs.twimg.com/profile_images/718433521509994497/4iW9RC_r_normal.jpg","View")</f>
        <v>View</v>
      </c>
      <c r="P4785" s="10"/>
    </row>
    <row r="4786" customFormat="false" ht="15.75" hidden="false" customHeight="false" outlineLevel="0" collapsed="false">
      <c r="A4786" s="6" t="n">
        <v>43030.7807175926</v>
      </c>
      <c r="B4786" s="7" t="str">
        <f aca="false">HYPERLINK("https://twitter.com/Oriana0214","@Oriana0214")</f>
        <v>@Oriana0214</v>
      </c>
      <c r="C4786" s="8" t="s">
        <v>11364</v>
      </c>
      <c r="D4786" s="8" t="s">
        <v>11365</v>
      </c>
      <c r="E4786" s="9" t="str">
        <f aca="false">HYPERLINK("https://twitter.com/Oriana0214/status/922277453871091713","922277453871091713")</f>
        <v>922277453871091713</v>
      </c>
      <c r="F4786" s="10" t="s">
        <v>51</v>
      </c>
      <c r="G4786" s="10" t="n">
        <v>7450</v>
      </c>
      <c r="H4786" s="10" t="n">
        <v>3082</v>
      </c>
      <c r="I4786" s="10" t="n">
        <v>8</v>
      </c>
      <c r="J4786" s="10" t="n">
        <v>0</v>
      </c>
      <c r="K4786" s="10" t="s">
        <v>20</v>
      </c>
      <c r="L4786" s="11" t="n">
        <v>39932.9504050926</v>
      </c>
      <c r="M4786" s="12" t="s">
        <v>7170</v>
      </c>
      <c r="N4786" s="12" t="s">
        <v>11366</v>
      </c>
      <c r="O4786" s="9" t="str">
        <f aca="false">HYPERLINK("https://pbs.twimg.com/profile_images/858582924718989312/8J_HZI-M_normal.jpg","View")</f>
        <v>View</v>
      </c>
      <c r="P4786" s="10"/>
    </row>
    <row r="4787" customFormat="false" ht="15.75" hidden="false" customHeight="false" outlineLevel="0" collapsed="false">
      <c r="A4787" s="6" t="n">
        <v>43030.7809490741</v>
      </c>
      <c r="B4787" s="7" t="str">
        <f aca="false">HYPERLINK("https://twitter.com/Lady_Fabi","@Lady_Fabi")</f>
        <v>@Lady_Fabi</v>
      </c>
      <c r="C4787" s="8" t="s">
        <v>2178</v>
      </c>
      <c r="D4787" s="8" t="s">
        <v>11365</v>
      </c>
      <c r="E4787" s="9" t="str">
        <f aca="false">HYPERLINK("https://twitter.com/Lady_Fabi/status/922277536289230848","922277536289230848")</f>
        <v>922277536289230848</v>
      </c>
      <c r="F4787" s="10" t="s">
        <v>25</v>
      </c>
      <c r="G4787" s="10" t="n">
        <v>470</v>
      </c>
      <c r="H4787" s="10" t="n">
        <v>1120</v>
      </c>
      <c r="I4787" s="10" t="n">
        <v>8</v>
      </c>
      <c r="J4787" s="10" t="n">
        <v>0</v>
      </c>
      <c r="K4787" s="10" t="s">
        <v>20</v>
      </c>
      <c r="L4787" s="11" t="n">
        <v>40397.7963078704</v>
      </c>
      <c r="M4787" s="12"/>
      <c r="N4787" s="12"/>
      <c r="O4787" s="9" t="str">
        <f aca="false">HYPERLINK("https://pbs.twimg.com/profile_images/917453566218002435/z5wO5mv8_normal.jpg","View")</f>
        <v>View</v>
      </c>
      <c r="P4787" s="10"/>
    </row>
    <row r="4788" customFormat="false" ht="15.75" hidden="false" customHeight="false" outlineLevel="0" collapsed="false">
      <c r="A4788" s="6" t="n">
        <v>43030.781087963</v>
      </c>
      <c r="B4788" s="7" t="str">
        <f aca="false">HYPERLINK("https://twitter.com/SoIKnowItsRell","@SoIKnowItsRell")</f>
        <v>@SoIKnowItsRell</v>
      </c>
      <c r="C4788" s="8" t="s">
        <v>11367</v>
      </c>
      <c r="D4788" s="8" t="s">
        <v>11365</v>
      </c>
      <c r="E4788" s="9" t="str">
        <f aca="false">HYPERLINK("https://twitter.com/SoIKnowItsRell/status/922277587963056128","922277587963056128")</f>
        <v>922277587963056128</v>
      </c>
      <c r="F4788" s="10" t="s">
        <v>51</v>
      </c>
      <c r="G4788" s="10" t="n">
        <v>93</v>
      </c>
      <c r="H4788" s="10" t="n">
        <v>1280</v>
      </c>
      <c r="I4788" s="10" t="n">
        <v>8</v>
      </c>
      <c r="J4788" s="10" t="n">
        <v>0</v>
      </c>
      <c r="K4788" s="10" t="s">
        <v>20</v>
      </c>
      <c r="L4788" s="11" t="n">
        <v>42809.4689814815</v>
      </c>
      <c r="M4788" s="12" t="s">
        <v>11368</v>
      </c>
      <c r="N4788" s="12" t="s">
        <v>11369</v>
      </c>
      <c r="O4788" s="9" t="str">
        <f aca="false">HYPERLINK("https://pbs.twimg.com/profile_images/869363848490491907/-SjTBSrh_normal.jpg","View")</f>
        <v>View</v>
      </c>
      <c r="P4788" s="10"/>
    </row>
    <row r="4789" customFormat="false" ht="15.75" hidden="false" customHeight="false" outlineLevel="0" collapsed="false">
      <c r="A4789" s="6" t="n">
        <v>43030.7811458333</v>
      </c>
      <c r="B4789" s="7" t="str">
        <f aca="false">HYPERLINK("https://twitter.com/FRENZIRAJ","@FRENZIRAJ")</f>
        <v>@FRENZIRAJ</v>
      </c>
      <c r="C4789" s="8" t="s">
        <v>11370</v>
      </c>
      <c r="D4789" s="8" t="s">
        <v>8538</v>
      </c>
      <c r="E4789" s="9" t="str">
        <f aca="false">HYPERLINK("https://twitter.com/FRENZIRAJ/status/922277607348912128","922277607348912128")</f>
        <v>922277607348912128</v>
      </c>
      <c r="F4789" s="10" t="s">
        <v>25</v>
      </c>
      <c r="G4789" s="10" t="n">
        <v>384</v>
      </c>
      <c r="H4789" s="10" t="n">
        <v>179</v>
      </c>
      <c r="I4789" s="10" t="n">
        <v>1015</v>
      </c>
      <c r="J4789" s="10" t="n">
        <v>0</v>
      </c>
      <c r="K4789" s="10" t="s">
        <v>20</v>
      </c>
      <c r="L4789" s="11" t="n">
        <v>41127.1780555556</v>
      </c>
      <c r="M4789" s="12"/>
      <c r="N4789" s="12"/>
      <c r="O4789" s="9" t="str">
        <f aca="false">HYPERLINK("https://abs.twimg.com/sticky/default_profile_images/default_profile_normal.png","View")</f>
        <v>View</v>
      </c>
      <c r="P4789" s="10"/>
    </row>
    <row r="4790" customFormat="false" ht="15.75" hidden="false" customHeight="false" outlineLevel="0" collapsed="false">
      <c r="A4790" s="6" t="n">
        <v>43030.7812384259</v>
      </c>
      <c r="B4790" s="7" t="str">
        <f aca="false">HYPERLINK("https://twitter.com/BloombergTV","@BloombergTV")</f>
        <v>@BloombergTV</v>
      </c>
      <c r="C4790" s="8" t="s">
        <v>317</v>
      </c>
      <c r="D4790" s="8" t="s">
        <v>11371</v>
      </c>
      <c r="E4790" s="9" t="str">
        <f aca="false">HYPERLINK("https://twitter.com/BloombergTV/status/922277640001806336","922277640001806336")</f>
        <v>922277640001806336</v>
      </c>
      <c r="F4790" s="10" t="s">
        <v>268</v>
      </c>
      <c r="G4790" s="10" t="n">
        <v>452918</v>
      </c>
      <c r="H4790" s="10" t="n">
        <v>458</v>
      </c>
      <c r="I4790" s="10" t="n">
        <v>5</v>
      </c>
      <c r="J4790" s="10" t="n">
        <v>5</v>
      </c>
      <c r="K4790" s="10" t="s">
        <v>20</v>
      </c>
      <c r="L4790" s="11" t="n">
        <v>39927.4899768519</v>
      </c>
      <c r="M4790" s="12" t="s">
        <v>319</v>
      </c>
      <c r="N4790" s="12" t="s">
        <v>320</v>
      </c>
      <c r="O4790" s="9" t="str">
        <f aca="false">HYPERLINK("https://pbs.twimg.com/profile_images/714801760632770560/7My2hMBt_normal.jpg","View")</f>
        <v>View</v>
      </c>
      <c r="P4790" s="10"/>
    </row>
    <row r="4791" customFormat="false" ht="15.75" hidden="false" customHeight="false" outlineLevel="0" collapsed="false">
      <c r="A4791" s="6" t="n">
        <v>43030.7814351852</v>
      </c>
      <c r="B4791" s="7" t="str">
        <f aca="false">HYPERLINK("https://twitter.com/Tanasho1122","@Tanasho1122")</f>
        <v>@Tanasho1122</v>
      </c>
      <c r="C4791" s="8" t="s">
        <v>11372</v>
      </c>
      <c r="D4791" s="8" t="s">
        <v>11284</v>
      </c>
      <c r="E4791" s="9" t="str">
        <f aca="false">HYPERLINK("https://twitter.com/Tanasho1122/status/922277713955627008","922277713955627008")</f>
        <v>922277713955627008</v>
      </c>
      <c r="F4791" s="10" t="s">
        <v>25</v>
      </c>
      <c r="G4791" s="10" t="n">
        <v>2247</v>
      </c>
      <c r="H4791" s="10" t="n">
        <v>1860</v>
      </c>
      <c r="I4791" s="10" t="n">
        <v>41</v>
      </c>
      <c r="J4791" s="10" t="n">
        <v>0</v>
      </c>
      <c r="K4791" s="10" t="s">
        <v>20</v>
      </c>
      <c r="L4791" s="11" t="n">
        <v>40278.5751967593</v>
      </c>
      <c r="M4791" s="12" t="s">
        <v>11373</v>
      </c>
      <c r="N4791" s="13" t="s">
        <v>11374</v>
      </c>
      <c r="O4791" s="9" t="str">
        <f aca="false">HYPERLINK("https://pbs.twimg.com/profile_images/416087461362548736/TCrja5Dk_normal.jpeg","View")</f>
        <v>View</v>
      </c>
      <c r="P4791" s="10"/>
    </row>
    <row r="4792" customFormat="false" ht="15.75" hidden="false" customHeight="false" outlineLevel="0" collapsed="false">
      <c r="A4792" s="6" t="n">
        <v>43030.7815277778</v>
      </c>
      <c r="B4792" s="7" t="str">
        <f aca="false">HYPERLINK("https://twitter.com/sacsubr","@sacsubr")</f>
        <v>@sacsubr</v>
      </c>
      <c r="C4792" s="8" t="s">
        <v>11375</v>
      </c>
      <c r="D4792" s="8" t="s">
        <v>8538</v>
      </c>
      <c r="E4792" s="9" t="str">
        <f aca="false">HYPERLINK("https://twitter.com/sacsubr/status/922277745136099328","922277745136099328")</f>
        <v>922277745136099328</v>
      </c>
      <c r="F4792" s="10" t="s">
        <v>25</v>
      </c>
      <c r="G4792" s="10" t="n">
        <v>193</v>
      </c>
      <c r="H4792" s="10" t="n">
        <v>227</v>
      </c>
      <c r="I4792" s="10" t="n">
        <v>1015</v>
      </c>
      <c r="J4792" s="10" t="n">
        <v>0</v>
      </c>
      <c r="K4792" s="10" t="s">
        <v>20</v>
      </c>
      <c r="L4792" s="11" t="n">
        <v>41476.5213541667</v>
      </c>
      <c r="M4792" s="12" t="s">
        <v>868</v>
      </c>
      <c r="N4792" s="12" t="s">
        <v>11376</v>
      </c>
      <c r="O4792" s="9" t="str">
        <f aca="false">HYPERLINK("https://pbs.twimg.com/profile_images/522968643764641794/uIPpratM_normal.jpeg","View")</f>
        <v>View</v>
      </c>
      <c r="P4792" s="10"/>
    </row>
    <row r="4793" customFormat="false" ht="15.75" hidden="false" customHeight="false" outlineLevel="0" collapsed="false">
      <c r="A4793" s="6" t="n">
        <v>43030.7815509259</v>
      </c>
      <c r="B4793" s="7" t="str">
        <f aca="false">HYPERLINK("https://twitter.com/JanandJoeBisson","@JanandJoeBisson")</f>
        <v>@JanandJoeBisson</v>
      </c>
      <c r="C4793" s="8" t="s">
        <v>11377</v>
      </c>
      <c r="D4793" s="8" t="s">
        <v>4124</v>
      </c>
      <c r="E4793" s="9" t="str">
        <f aca="false">HYPERLINK("https://twitter.com/JanandJoeBisson/status/922277756544499712","922277756544499712")</f>
        <v>922277756544499712</v>
      </c>
      <c r="F4793" s="10" t="s">
        <v>51</v>
      </c>
      <c r="G4793" s="10" t="n">
        <v>593</v>
      </c>
      <c r="H4793" s="10" t="n">
        <v>1604</v>
      </c>
      <c r="I4793" s="10" t="n">
        <v>111</v>
      </c>
      <c r="J4793" s="10" t="n">
        <v>0</v>
      </c>
      <c r="K4793" s="10" t="s">
        <v>20</v>
      </c>
      <c r="L4793" s="11" t="n">
        <v>41193.7769791667</v>
      </c>
      <c r="M4793" s="12" t="s">
        <v>11378</v>
      </c>
      <c r="N4793" s="12"/>
      <c r="O4793" s="9" t="str">
        <f aca="false">HYPERLINK("https://pbs.twimg.com/profile_images/653715657821782016/2ohJ6pBG_normal.jpg","View")</f>
        <v>View</v>
      </c>
      <c r="P4793" s="10"/>
    </row>
    <row r="4794" customFormat="false" ht="15.75" hidden="false" customHeight="false" outlineLevel="0" collapsed="false">
      <c r="A4794" s="6" t="n">
        <v>43030.7816435185</v>
      </c>
      <c r="B4794" s="7" t="str">
        <f aca="false">HYPERLINK("https://twitter.com/RonnieChopra1","@RonnieChopra1")</f>
        <v>@RonnieChopra1</v>
      </c>
      <c r="C4794" s="8" t="s">
        <v>3272</v>
      </c>
      <c r="D4794" s="8" t="s">
        <v>11379</v>
      </c>
      <c r="E4794" s="9" t="str">
        <f aca="false">HYPERLINK("https://twitter.com/RonnieChopra1/status/922277789495103488","922277789495103488")</f>
        <v>922277789495103488</v>
      </c>
      <c r="F4794" s="10" t="s">
        <v>39</v>
      </c>
      <c r="G4794" s="10" t="n">
        <v>341</v>
      </c>
      <c r="H4794" s="10" t="n">
        <v>340</v>
      </c>
      <c r="I4794" s="10" t="n">
        <v>5</v>
      </c>
      <c r="J4794" s="10" t="n">
        <v>0</v>
      </c>
      <c r="K4794" s="10" t="s">
        <v>20</v>
      </c>
      <c r="L4794" s="11" t="n">
        <v>41331.9768287037</v>
      </c>
      <c r="M4794" s="12" t="s">
        <v>182</v>
      </c>
      <c r="N4794" s="12" t="s">
        <v>3274</v>
      </c>
      <c r="O4794" s="9" t="str">
        <f aca="false">HYPERLINK("https://pbs.twimg.com/profile_images/3313936859/e9c0e1009ee15e8f9e5d5f37ffa845a5_normal.jpeg","View")</f>
        <v>View</v>
      </c>
      <c r="P4794" s="10"/>
    </row>
    <row r="4795" customFormat="false" ht="15.75" hidden="false" customHeight="false" outlineLevel="0" collapsed="false">
      <c r="A4795" s="6" t="n">
        <v>43030.7817939815</v>
      </c>
      <c r="B4795" s="7" t="str">
        <f aca="false">HYPERLINK("https://twitter.com/rajsidnik","@rajsidnik")</f>
        <v>@rajsidnik</v>
      </c>
      <c r="C4795" s="8" t="s">
        <v>11380</v>
      </c>
      <c r="D4795" s="8" t="s">
        <v>8538</v>
      </c>
      <c r="E4795" s="9" t="str">
        <f aca="false">HYPERLINK("https://twitter.com/rajsidnik/status/922277844209754112","922277844209754112")</f>
        <v>922277844209754112</v>
      </c>
      <c r="F4795" s="10" t="s">
        <v>25</v>
      </c>
      <c r="G4795" s="10" t="n">
        <v>980</v>
      </c>
      <c r="H4795" s="10" t="n">
        <v>1482</v>
      </c>
      <c r="I4795" s="10" t="n">
        <v>1015</v>
      </c>
      <c r="J4795" s="10" t="n">
        <v>0</v>
      </c>
      <c r="K4795" s="10" t="s">
        <v>20</v>
      </c>
      <c r="L4795" s="11" t="n">
        <v>41684.2703587963</v>
      </c>
      <c r="M4795" s="12"/>
      <c r="N4795" s="12"/>
      <c r="O4795" s="9" t="str">
        <f aca="false">HYPERLINK("https://pbs.twimg.com/profile_images/799807184087306240/4Wgzqz0t_normal.jpg","View")</f>
        <v>View</v>
      </c>
      <c r="P4795" s="10"/>
    </row>
    <row r="4796" customFormat="false" ht="15.75" hidden="false" customHeight="false" outlineLevel="0" collapsed="false">
      <c r="A4796" s="6" t="n">
        <v>43030.7818055556</v>
      </c>
      <c r="B4796" s="7" t="str">
        <f aca="false">HYPERLINK("https://twitter.com/Tekki_VR","@Tekki_VR")</f>
        <v>@Tekki_VR</v>
      </c>
      <c r="C4796" s="8" t="s">
        <v>225</v>
      </c>
      <c r="D4796" s="8" t="s">
        <v>11381</v>
      </c>
      <c r="E4796" s="9" t="str">
        <f aca="false">HYPERLINK("https://twitter.com/Tekki_VR/status/922277845539409920","922277845539409920")</f>
        <v>922277845539409920</v>
      </c>
      <c r="F4796" s="10" t="s">
        <v>60</v>
      </c>
      <c r="G4796" s="10" t="n">
        <v>1895</v>
      </c>
      <c r="H4796" s="10" t="n">
        <v>2479</v>
      </c>
      <c r="I4796" s="10" t="n">
        <v>0</v>
      </c>
      <c r="J4796" s="10" t="n">
        <v>0</v>
      </c>
      <c r="K4796" s="10" t="s">
        <v>20</v>
      </c>
      <c r="L4796" s="11" t="n">
        <v>42263.5455324074</v>
      </c>
      <c r="M4796" s="12" t="s">
        <v>227</v>
      </c>
      <c r="N4796" s="12" t="s">
        <v>228</v>
      </c>
      <c r="O4796" s="9" t="str">
        <f aca="false">HYPERLINK("https://pbs.twimg.com/profile_images/760662770694098944/h1nSBfE8_normal.jpg","View")</f>
        <v>View</v>
      </c>
      <c r="P4796" s="10"/>
    </row>
    <row r="4797" customFormat="false" ht="15.75" hidden="false" customHeight="false" outlineLevel="0" collapsed="false">
      <c r="A4797" s="6" t="n">
        <v>43030.7818865741</v>
      </c>
      <c r="B4797" s="7" t="str">
        <f aca="false">HYPERLINK("https://twitter.com/notiven","@notiven")</f>
        <v>@notiven</v>
      </c>
      <c r="C4797" s="8" t="s">
        <v>699</v>
      </c>
      <c r="D4797" s="8" t="s">
        <v>11382</v>
      </c>
      <c r="E4797" s="9" t="str">
        <f aca="false">HYPERLINK("https://twitter.com/notiven/status/922277874647871488","922277874647871488")</f>
        <v>922277874647871488</v>
      </c>
      <c r="F4797" s="10" t="s">
        <v>701</v>
      </c>
      <c r="G4797" s="10" t="n">
        <v>51347</v>
      </c>
      <c r="H4797" s="10" t="n">
        <v>193</v>
      </c>
      <c r="I4797" s="10" t="n">
        <v>0</v>
      </c>
      <c r="J4797" s="10" t="n">
        <v>0</v>
      </c>
      <c r="K4797" s="10" t="s">
        <v>20</v>
      </c>
      <c r="L4797" s="11" t="n">
        <v>39235.5805787037</v>
      </c>
      <c r="M4797" s="12" t="s">
        <v>702</v>
      </c>
      <c r="N4797" s="12" t="s">
        <v>703</v>
      </c>
      <c r="O4797" s="9" t="str">
        <f aca="false">HYPERLINK("https://pbs.twimg.com/profile_images/799317731648606208/vbXQCdts_normal.jpg","View")</f>
        <v>View</v>
      </c>
      <c r="P4797" s="10"/>
    </row>
    <row r="4798" customFormat="false" ht="15.75" hidden="false" customHeight="false" outlineLevel="0" collapsed="false">
      <c r="A4798" s="6" t="n">
        <v>43030.7827546296</v>
      </c>
      <c r="B4798" s="7" t="str">
        <f aca="false">HYPERLINK("https://twitter.com/Yongbiyn","@Yongbiyn")</f>
        <v>@Yongbiyn</v>
      </c>
      <c r="C4798" s="8" t="s">
        <v>781</v>
      </c>
      <c r="D4798" s="8" t="s">
        <v>11383</v>
      </c>
      <c r="E4798" s="9" t="str">
        <f aca="false">HYPERLINK("https://twitter.com/Yongbiyn/status/922278191926005761","922278191926005761")</f>
        <v>922278191926005761</v>
      </c>
      <c r="F4798" s="10" t="s">
        <v>60</v>
      </c>
      <c r="G4798" s="10" t="n">
        <v>5</v>
      </c>
      <c r="H4798" s="10" t="n">
        <v>0</v>
      </c>
      <c r="I4798" s="10" t="n">
        <v>0</v>
      </c>
      <c r="J4798" s="10" t="n">
        <v>0</v>
      </c>
      <c r="K4798" s="10" t="s">
        <v>20</v>
      </c>
      <c r="L4798" s="11" t="n">
        <v>40627.1999884259</v>
      </c>
      <c r="M4798" s="12"/>
      <c r="N4798" s="12"/>
      <c r="O4798" s="9" t="str">
        <f aca="false">HYPERLINK("https://pbs.twimg.com/profile_images/891142706415542272/ebuXhLzE_normal.jpg","View")</f>
        <v>View</v>
      </c>
      <c r="P4798" s="10"/>
    </row>
    <row r="4799" customFormat="false" ht="15.75" hidden="false" customHeight="false" outlineLevel="0" collapsed="false">
      <c r="A4799" s="6" t="n">
        <v>43030.7829166667</v>
      </c>
      <c r="B4799" s="7" t="str">
        <f aca="false">HYPERLINK("https://twitter.com/Mr_AlVil","@Mr_AlVil")</f>
        <v>@Mr_AlVil</v>
      </c>
      <c r="C4799" s="8" t="s">
        <v>392</v>
      </c>
      <c r="D4799" s="8" t="s">
        <v>11384</v>
      </c>
      <c r="E4799" s="9" t="str">
        <f aca="false">HYPERLINK("https://twitter.com/Mr_AlVil/status/922278251137044480","922278251137044480")</f>
        <v>922278251137044480</v>
      </c>
      <c r="F4799" s="10" t="s">
        <v>60</v>
      </c>
      <c r="G4799" s="10" t="n">
        <v>353</v>
      </c>
      <c r="H4799" s="10" t="n">
        <v>51</v>
      </c>
      <c r="I4799" s="10" t="n">
        <v>0</v>
      </c>
      <c r="J4799" s="10" t="n">
        <v>0</v>
      </c>
      <c r="K4799" s="10" t="s">
        <v>20</v>
      </c>
      <c r="L4799" s="11" t="n">
        <v>40205.5345486111</v>
      </c>
      <c r="M4799" s="12" t="s">
        <v>394</v>
      </c>
      <c r="N4799" s="12" t="s">
        <v>395</v>
      </c>
      <c r="O4799" s="9" t="str">
        <f aca="false">HYPERLINK("https://pbs.twimg.com/profile_images/857577668967108609/KAXMKfpy_normal.jpg","View")</f>
        <v>View</v>
      </c>
      <c r="P4799" s="10"/>
    </row>
    <row r="4800" customFormat="false" ht="15.75" hidden="false" customHeight="false" outlineLevel="0" collapsed="false">
      <c r="A4800" s="6" t="n">
        <v>43030.782974537</v>
      </c>
      <c r="B4800" s="7" t="str">
        <f aca="false">HYPERLINK("https://twitter.com/arrobin0077","@arrobin0077")</f>
        <v>@arrobin0077</v>
      </c>
      <c r="C4800" s="8" t="s">
        <v>631</v>
      </c>
      <c r="D4800" s="8" t="s">
        <v>11385</v>
      </c>
      <c r="E4800" s="9" t="str">
        <f aca="false">HYPERLINK("https://twitter.com/arrobin0077/status/922278270296641537","922278270296641537")</f>
        <v>922278270296641537</v>
      </c>
      <c r="F4800" s="10" t="s">
        <v>60</v>
      </c>
      <c r="G4800" s="10" t="n">
        <v>7479</v>
      </c>
      <c r="H4800" s="10" t="n">
        <v>7442</v>
      </c>
      <c r="I4800" s="10" t="n">
        <v>0</v>
      </c>
      <c r="J4800" s="10" t="n">
        <v>0</v>
      </c>
      <c r="K4800" s="10" t="s">
        <v>20</v>
      </c>
      <c r="L4800" s="11" t="n">
        <v>42218.4780671296</v>
      </c>
      <c r="M4800" s="12" t="s">
        <v>230</v>
      </c>
      <c r="N4800" s="12" t="s">
        <v>633</v>
      </c>
      <c r="O4800" s="9" t="str">
        <f aca="false">HYPERLINK("https://pbs.twimg.com/profile_images/627909948698050560/Lz1QBK8N_normal.jpg","View")</f>
        <v>View</v>
      </c>
      <c r="P4800" s="10"/>
    </row>
    <row r="4801" customFormat="false" ht="15.75" hidden="false" customHeight="false" outlineLevel="0" collapsed="false">
      <c r="A4801" s="6" t="n">
        <v>43030.7832986111</v>
      </c>
      <c r="B4801" s="7" t="str">
        <f aca="false">HYPERLINK("https://twitter.com/davec51","@davec51")</f>
        <v>@davec51</v>
      </c>
      <c r="C4801" s="8" t="s">
        <v>11386</v>
      </c>
      <c r="D4801" s="8" t="s">
        <v>11379</v>
      </c>
      <c r="E4801" s="9" t="str">
        <f aca="false">HYPERLINK("https://twitter.com/davec51/status/922278389892993025","922278389892993025")</f>
        <v>922278389892993025</v>
      </c>
      <c r="F4801" s="10" t="s">
        <v>98</v>
      </c>
      <c r="G4801" s="10" t="n">
        <v>3243</v>
      </c>
      <c r="H4801" s="10" t="n">
        <v>592</v>
      </c>
      <c r="I4801" s="10" t="n">
        <v>5</v>
      </c>
      <c r="J4801" s="10" t="n">
        <v>0</v>
      </c>
      <c r="K4801" s="10" t="s">
        <v>20</v>
      </c>
      <c r="L4801" s="11" t="n">
        <v>39968.878599537</v>
      </c>
      <c r="M4801" s="12" t="s">
        <v>11034</v>
      </c>
      <c r="N4801" s="12" t="s">
        <v>11387</v>
      </c>
      <c r="O4801" s="9" t="str">
        <f aca="false">HYPERLINK("https://pbs.twimg.com/profile_images/3301209626/ab5703debe01ee95476a8c729502abe1_normal.jpeg","View")</f>
        <v>View</v>
      </c>
      <c r="P4801" s="10"/>
    </row>
    <row r="4802" customFormat="false" ht="15.75" hidden="false" customHeight="false" outlineLevel="0" collapsed="false">
      <c r="A4802" s="6" t="n">
        <v>43030.7834490741</v>
      </c>
      <c r="B4802" s="7" t="str">
        <f aca="false">HYPERLINK("https://twitter.com/JosefK86382289","@JosefK86382289")</f>
        <v>@JosefK86382289</v>
      </c>
      <c r="C4802" s="14" t="s">
        <v>11388</v>
      </c>
      <c r="D4802" s="8" t="s">
        <v>11365</v>
      </c>
      <c r="E4802" s="9" t="str">
        <f aca="false">HYPERLINK("https://twitter.com/JosefK86382289/status/922278443848314880","922278443848314880")</f>
        <v>922278443848314880</v>
      </c>
      <c r="F4802" s="10" t="s">
        <v>51</v>
      </c>
      <c r="G4802" s="10" t="n">
        <v>33</v>
      </c>
      <c r="H4802" s="10" t="n">
        <v>131</v>
      </c>
      <c r="I4802" s="10" t="n">
        <v>8</v>
      </c>
      <c r="J4802" s="10" t="n">
        <v>0</v>
      </c>
      <c r="K4802" s="10" t="s">
        <v>20</v>
      </c>
      <c r="L4802" s="11" t="n">
        <v>43018.9276041667</v>
      </c>
      <c r="M4802" s="13" t="s">
        <v>709</v>
      </c>
      <c r="N4802" s="13" t="s">
        <v>11389</v>
      </c>
      <c r="O4802" s="9" t="str">
        <f aca="false">HYPERLINK("https://pbs.twimg.com/profile_images/917984879815659520/owhN5zAu_normal.jpg","View")</f>
        <v>View</v>
      </c>
      <c r="P4802" s="10"/>
    </row>
    <row r="4803" customFormat="false" ht="15.75" hidden="false" customHeight="false" outlineLevel="0" collapsed="false">
      <c r="A4803" s="6" t="n">
        <v>43030.7834837963</v>
      </c>
      <c r="B4803" s="7" t="str">
        <f aca="false">HYPERLINK("https://twitter.com/nevilleblanc","@nevilleblanc")</f>
        <v>@nevilleblanc</v>
      </c>
      <c r="C4803" s="8" t="s">
        <v>11390</v>
      </c>
      <c r="D4803" s="8" t="s">
        <v>11356</v>
      </c>
      <c r="E4803" s="9" t="str">
        <f aca="false">HYPERLINK("https://twitter.com/nevilleblanc/status/922278455194148870","922278455194148870")</f>
        <v>922278455194148870</v>
      </c>
      <c r="F4803" s="10" t="s">
        <v>39</v>
      </c>
      <c r="G4803" s="10" t="n">
        <v>1432</v>
      </c>
      <c r="H4803" s="10" t="n">
        <v>479</v>
      </c>
      <c r="I4803" s="10" t="n">
        <v>8</v>
      </c>
      <c r="J4803" s="10" t="n">
        <v>0</v>
      </c>
      <c r="K4803" s="10" t="s">
        <v>20</v>
      </c>
      <c r="L4803" s="11" t="n">
        <v>40123.2976041667</v>
      </c>
      <c r="M4803" s="12" t="s">
        <v>4778</v>
      </c>
      <c r="N4803" s="12" t="s">
        <v>11391</v>
      </c>
      <c r="O4803" s="9" t="str">
        <f aca="false">HYPERLINK("https://pbs.twimg.com/profile_images/2681294204/9be2da9ed737c467c90d9302e35bf194_normal.jpeg","View")</f>
        <v>View</v>
      </c>
      <c r="P4803" s="10"/>
    </row>
    <row r="4804" customFormat="false" ht="15.75" hidden="false" customHeight="false" outlineLevel="0" collapsed="false">
      <c r="A4804" s="6" t="n">
        <v>43030.7835069444</v>
      </c>
      <c r="B4804" s="7" t="str">
        <f aca="false">HYPERLINK("https://twitter.com/studiomechanic","@studiomechanic")</f>
        <v>@studiomechanic</v>
      </c>
      <c r="C4804" s="8" t="s">
        <v>11392</v>
      </c>
      <c r="D4804" s="8" t="s">
        <v>2061</v>
      </c>
      <c r="E4804" s="9" t="str">
        <f aca="false">HYPERLINK("https://twitter.com/studiomechanic/status/922278462236143616","922278462236143616")</f>
        <v>922278462236143616</v>
      </c>
      <c r="F4804" s="10" t="s">
        <v>39</v>
      </c>
      <c r="G4804" s="10" t="n">
        <v>1771</v>
      </c>
      <c r="H4804" s="10" t="n">
        <v>2484</v>
      </c>
      <c r="I4804" s="10" t="n">
        <v>12</v>
      </c>
      <c r="J4804" s="10" t="n">
        <v>0</v>
      </c>
      <c r="K4804" s="10" t="s">
        <v>20</v>
      </c>
      <c r="L4804" s="11" t="n">
        <v>40284.6010532407</v>
      </c>
      <c r="M4804" s="13" t="s">
        <v>11393</v>
      </c>
      <c r="N4804" s="13" t="s">
        <v>11394</v>
      </c>
      <c r="O4804" s="9" t="str">
        <f aca="false">HYPERLINK("https://pbs.twimg.com/profile_images/1407639794/l_normal.jpg","View")</f>
        <v>View</v>
      </c>
      <c r="P4804" s="10"/>
    </row>
    <row r="4805" customFormat="false" ht="15.75" hidden="false" customHeight="false" outlineLevel="0" collapsed="false">
      <c r="A4805" s="6" t="n">
        <v>43030.7835300926</v>
      </c>
      <c r="B4805" s="7" t="str">
        <f aca="false">HYPERLINK("https://twitter.com/nachobastias","@nachobastias")</f>
        <v>@nachobastias</v>
      </c>
      <c r="C4805" s="8" t="s">
        <v>11395</v>
      </c>
      <c r="D4805" s="8" t="s">
        <v>11033</v>
      </c>
      <c r="E4805" s="9" t="str">
        <f aca="false">HYPERLINK("https://twitter.com/nachobastias/status/922278471639986176","922278471639986176")</f>
        <v>922278471639986176</v>
      </c>
      <c r="F4805" s="10" t="s">
        <v>11396</v>
      </c>
      <c r="G4805" s="10" t="n">
        <v>83</v>
      </c>
      <c r="H4805" s="10" t="n">
        <v>178</v>
      </c>
      <c r="I4805" s="10" t="n">
        <v>60</v>
      </c>
      <c r="J4805" s="10" t="n">
        <v>0</v>
      </c>
      <c r="K4805" s="10" t="s">
        <v>20</v>
      </c>
      <c r="L4805" s="11" t="n">
        <v>40011.903900463</v>
      </c>
      <c r="M4805" s="12" t="s">
        <v>3621</v>
      </c>
      <c r="N4805" s="12"/>
      <c r="O4805" s="9" t="str">
        <f aca="false">HYPERLINK("https://pbs.twimg.com/profile_images/917465208976805889/J7aq9WiM_normal.jpg","View")</f>
        <v>View</v>
      </c>
      <c r="P4805" s="10"/>
    </row>
    <row r="4806" customFormat="false" ht="15.75" hidden="false" customHeight="false" outlineLevel="0" collapsed="false">
      <c r="A4806" s="6" t="n">
        <v>43030.7835416667</v>
      </c>
      <c r="B4806" s="7" t="str">
        <f aca="false">HYPERLINK("https://twitter.com/prash_dhar","@prash_dhar")</f>
        <v>@prash_dhar</v>
      </c>
      <c r="C4806" s="8" t="s">
        <v>11397</v>
      </c>
      <c r="D4806" s="8" t="s">
        <v>8538</v>
      </c>
      <c r="E4806" s="9" t="str">
        <f aca="false">HYPERLINK("https://twitter.com/prash_dhar/status/922278478199906305","922278478199906305")</f>
        <v>922278478199906305</v>
      </c>
      <c r="F4806" s="10" t="s">
        <v>25</v>
      </c>
      <c r="G4806" s="10" t="n">
        <v>351</v>
      </c>
      <c r="H4806" s="10" t="n">
        <v>1441</v>
      </c>
      <c r="I4806" s="10" t="n">
        <v>1015</v>
      </c>
      <c r="J4806" s="10" t="n">
        <v>0</v>
      </c>
      <c r="K4806" s="10" t="s">
        <v>20</v>
      </c>
      <c r="L4806" s="11" t="n">
        <v>40951.773287037</v>
      </c>
      <c r="M4806" s="12" t="s">
        <v>11398</v>
      </c>
      <c r="N4806" s="12" t="s">
        <v>11399</v>
      </c>
      <c r="O4806" s="9" t="str">
        <f aca="false">HYPERLINK("https://pbs.twimg.com/profile_images/814807078070087680/2awM9ApO_normal.jpg","View")</f>
        <v>View</v>
      </c>
      <c r="P4806" s="10"/>
    </row>
    <row r="4807" customFormat="false" ht="15.75" hidden="false" customHeight="false" outlineLevel="0" collapsed="false">
      <c r="A4807" s="6" t="n">
        <v>43030.7836689815</v>
      </c>
      <c r="B4807" s="7" t="str">
        <f aca="false">HYPERLINK("https://twitter.com/studiomechanic","@studiomechanic")</f>
        <v>@studiomechanic</v>
      </c>
      <c r="C4807" s="8" t="s">
        <v>11392</v>
      </c>
      <c r="D4807" s="8" t="s">
        <v>3620</v>
      </c>
      <c r="E4807" s="9" t="str">
        <f aca="false">HYPERLINK("https://twitter.com/studiomechanic/status/922278521925378055","922278521925378055")</f>
        <v>922278521925378055</v>
      </c>
      <c r="F4807" s="10" t="s">
        <v>39</v>
      </c>
      <c r="G4807" s="10" t="n">
        <v>1771</v>
      </c>
      <c r="H4807" s="10" t="n">
        <v>2484</v>
      </c>
      <c r="I4807" s="10" t="n">
        <v>11</v>
      </c>
      <c r="J4807" s="10" t="n">
        <v>0</v>
      </c>
      <c r="K4807" s="10" t="s">
        <v>20</v>
      </c>
      <c r="L4807" s="11" t="n">
        <v>40284.6010532407</v>
      </c>
      <c r="M4807" s="13" t="s">
        <v>11393</v>
      </c>
      <c r="N4807" s="13" t="s">
        <v>11394</v>
      </c>
      <c r="O4807" s="9" t="str">
        <f aca="false">HYPERLINK("https://pbs.twimg.com/profile_images/1407639794/l_normal.jpg","View")</f>
        <v>View</v>
      </c>
      <c r="P4807" s="10"/>
    </row>
    <row r="4808" customFormat="false" ht="15.75" hidden="false" customHeight="false" outlineLevel="0" collapsed="false">
      <c r="A4808" s="6" t="n">
        <v>43030.7844328704</v>
      </c>
      <c r="B4808" s="7" t="str">
        <f aca="false">HYPERLINK("https://twitter.com/marletds","@marletds")</f>
        <v>@marletds</v>
      </c>
      <c r="C4808" s="8" t="s">
        <v>11400</v>
      </c>
      <c r="D4808" s="8" t="s">
        <v>11401</v>
      </c>
      <c r="E4808" s="9" t="str">
        <f aca="false">HYPERLINK("https://twitter.com/marletds/status/922278799483342848","922278799483342848")</f>
        <v>922278799483342848</v>
      </c>
      <c r="F4808" s="10" t="s">
        <v>39</v>
      </c>
      <c r="G4808" s="10" t="n">
        <v>509</v>
      </c>
      <c r="H4808" s="10" t="n">
        <v>467</v>
      </c>
      <c r="I4808" s="10" t="n">
        <v>0</v>
      </c>
      <c r="J4808" s="10" t="n">
        <v>0</v>
      </c>
      <c r="K4808" s="10" t="s">
        <v>20</v>
      </c>
      <c r="L4808" s="11" t="n">
        <v>41274.7755787037</v>
      </c>
      <c r="M4808" s="12" t="s">
        <v>11402</v>
      </c>
      <c r="N4808" s="12" t="s">
        <v>11403</v>
      </c>
      <c r="O4808" s="9" t="str">
        <f aca="false">HYPERLINK("https://pbs.twimg.com/profile_images/681756917018963968/dgoS_sRp_normal.jpg","View")</f>
        <v>View</v>
      </c>
      <c r="P4808" s="10"/>
    </row>
    <row r="4809" customFormat="false" ht="15.75" hidden="false" customHeight="false" outlineLevel="0" collapsed="false">
      <c r="A4809" s="6" t="n">
        <v>43030.7846412037</v>
      </c>
      <c r="B4809" s="7" t="str">
        <f aca="false">HYPERLINK("https://twitter.com/Sonu01021990","@Sonu01021990")</f>
        <v>@Sonu01021990</v>
      </c>
      <c r="C4809" s="8" t="s">
        <v>6734</v>
      </c>
      <c r="D4809" s="8" t="s">
        <v>8538</v>
      </c>
      <c r="E4809" s="9" t="str">
        <f aca="false">HYPERLINK("https://twitter.com/Sonu01021990/status/922278874175565825","922278874175565825")</f>
        <v>922278874175565825</v>
      </c>
      <c r="F4809" s="10" t="s">
        <v>25</v>
      </c>
      <c r="G4809" s="10" t="n">
        <v>36</v>
      </c>
      <c r="H4809" s="10" t="n">
        <v>105</v>
      </c>
      <c r="I4809" s="10" t="n">
        <v>1015</v>
      </c>
      <c r="J4809" s="10" t="n">
        <v>0</v>
      </c>
      <c r="K4809" s="10" t="s">
        <v>20</v>
      </c>
      <c r="L4809" s="11" t="n">
        <v>40231.9134143519</v>
      </c>
      <c r="M4809" s="12" t="s">
        <v>6735</v>
      </c>
      <c r="N4809" s="12"/>
      <c r="O4809" s="9" t="str">
        <f aca="false">HYPERLINK("https://pbs.twimg.com/profile_images/921044916641284098/7jmJCt22_normal.jpg","View")</f>
        <v>View</v>
      </c>
      <c r="P4809" s="10"/>
    </row>
    <row r="4810" customFormat="false" ht="15.75" hidden="false" customHeight="false" outlineLevel="0" collapsed="false">
      <c r="A4810" s="6" t="n">
        <v>43030.784837963</v>
      </c>
      <c r="B4810" s="7" t="str">
        <f aca="false">HYPERLINK("https://twitter.com/OleksiyAnokhin","@OleksiyAnokhin")</f>
        <v>@OleksiyAnokhin</v>
      </c>
      <c r="C4810" s="8" t="s">
        <v>11404</v>
      </c>
      <c r="D4810" s="8" t="s">
        <v>10997</v>
      </c>
      <c r="E4810" s="9" t="str">
        <f aca="false">HYPERLINK("https://twitter.com/OleksiyAnokhin/status/922278946585985024","922278946585985024")</f>
        <v>922278946585985024</v>
      </c>
      <c r="F4810" s="10" t="s">
        <v>39</v>
      </c>
      <c r="G4810" s="10" t="n">
        <v>20</v>
      </c>
      <c r="H4810" s="10" t="n">
        <v>126</v>
      </c>
      <c r="I4810" s="10" t="n">
        <v>27</v>
      </c>
      <c r="J4810" s="10" t="n">
        <v>0</v>
      </c>
      <c r="K4810" s="10" t="s">
        <v>20</v>
      </c>
      <c r="L4810" s="11" t="n">
        <v>42882.5847800926</v>
      </c>
      <c r="M4810" s="12" t="s">
        <v>723</v>
      </c>
      <c r="N4810" s="12" t="s">
        <v>11405</v>
      </c>
      <c r="O4810" s="9" t="str">
        <f aca="false">HYPERLINK("https://pbs.twimg.com/profile_images/910895290374291457/cP7WL2nO_normal.jpg","View")</f>
        <v>View</v>
      </c>
      <c r="P4810" s="10"/>
    </row>
    <row r="4811" customFormat="false" ht="15.75" hidden="false" customHeight="false" outlineLevel="0" collapsed="false">
      <c r="A4811" s="6" t="n">
        <v>43030.7851273148</v>
      </c>
      <c r="B4811" s="7" t="str">
        <f aca="false">HYPERLINK("https://twitter.com/whee9000","@whee9000")</f>
        <v>@whee9000</v>
      </c>
      <c r="C4811" s="8" t="s">
        <v>11406</v>
      </c>
      <c r="D4811" s="8" t="s">
        <v>8538</v>
      </c>
      <c r="E4811" s="9" t="str">
        <f aca="false">HYPERLINK("https://twitter.com/whee9000/status/922279050210451457","922279050210451457")</f>
        <v>922279050210451457</v>
      </c>
      <c r="F4811" s="10" t="s">
        <v>51</v>
      </c>
      <c r="G4811" s="10" t="n">
        <v>45</v>
      </c>
      <c r="H4811" s="10" t="n">
        <v>32</v>
      </c>
      <c r="I4811" s="10" t="n">
        <v>1015</v>
      </c>
      <c r="J4811" s="10" t="n">
        <v>0</v>
      </c>
      <c r="K4811" s="10" t="s">
        <v>20</v>
      </c>
      <c r="L4811" s="11" t="n">
        <v>42749.2116087963</v>
      </c>
      <c r="M4811" s="12"/>
      <c r="N4811" s="12"/>
      <c r="O4811" s="9" t="str">
        <f aca="false">HYPERLINK("https://pbs.twimg.com/profile_images/841680078979387396/vInO0ftW_normal.jpg","View")</f>
        <v>View</v>
      </c>
      <c r="P4811" s="10"/>
    </row>
    <row r="4812" customFormat="false" ht="15.75" hidden="false" customHeight="false" outlineLevel="0" collapsed="false">
      <c r="A4812" s="6" t="n">
        <v>43030.7851851852</v>
      </c>
      <c r="B4812" s="7" t="str">
        <f aca="false">HYPERLINK("https://twitter.com/usyername","@usyername")</f>
        <v>@usyername</v>
      </c>
      <c r="C4812" s="8" t="s">
        <v>730</v>
      </c>
      <c r="D4812" s="8" t="s">
        <v>11407</v>
      </c>
      <c r="E4812" s="9" t="str">
        <f aca="false">HYPERLINK("https://twitter.com/usyername/status/922279073707188224","922279073707188224")</f>
        <v>922279073707188224</v>
      </c>
      <c r="F4812" s="10" t="s">
        <v>60</v>
      </c>
      <c r="G4812" s="10" t="n">
        <v>7</v>
      </c>
      <c r="H4812" s="10" t="n">
        <v>0</v>
      </c>
      <c r="I4812" s="10" t="n">
        <v>0</v>
      </c>
      <c r="J4812" s="10" t="n">
        <v>0</v>
      </c>
      <c r="K4812" s="10" t="s">
        <v>20</v>
      </c>
      <c r="L4812" s="11" t="n">
        <v>43009.7810763889</v>
      </c>
      <c r="M4812" s="12"/>
      <c r="N4812" s="12"/>
      <c r="O4812" s="9" t="str">
        <f aca="false">HYPERLINK("https://pbs.twimg.com/profile_images/916502409580392448/6PpLTsL5_normal.jpg","View")</f>
        <v>View</v>
      </c>
      <c r="P4812" s="10"/>
    </row>
    <row r="4813" customFormat="false" ht="15.75" hidden="false" customHeight="false" outlineLevel="0" collapsed="false">
      <c r="A4813" s="6" t="n">
        <v>43030.7854513889</v>
      </c>
      <c r="B4813" s="7" t="str">
        <f aca="false">HYPERLINK("https://twitter.com/BloombergAsia","@BloombergAsia")</f>
        <v>@BloombergAsia</v>
      </c>
      <c r="C4813" s="8" t="s">
        <v>1399</v>
      </c>
      <c r="D4813" s="8" t="s">
        <v>11408</v>
      </c>
      <c r="E4813" s="9" t="str">
        <f aca="false">HYPERLINK("https://twitter.com/BloombergAsia/status/922279168116654080","922279168116654080")</f>
        <v>922279168116654080</v>
      </c>
      <c r="F4813" s="10" t="s">
        <v>268</v>
      </c>
      <c r="G4813" s="10" t="n">
        <v>28824</v>
      </c>
      <c r="H4813" s="10" t="n">
        <v>97</v>
      </c>
      <c r="I4813" s="10" t="n">
        <v>38</v>
      </c>
      <c r="J4813" s="10" t="n">
        <v>44</v>
      </c>
      <c r="K4813" s="10" t="s">
        <v>20</v>
      </c>
      <c r="L4813" s="11" t="n">
        <v>41052.2384837963</v>
      </c>
      <c r="M4813" s="12"/>
      <c r="N4813" s="12" t="s">
        <v>1401</v>
      </c>
      <c r="O4813" s="9" t="str">
        <f aca="false">HYPERLINK("https://pbs.twimg.com/profile_images/778129630284902401/gXjFkqGM_normal.jpg","View")</f>
        <v>View</v>
      </c>
      <c r="P4813" s="10"/>
    </row>
    <row r="4814" customFormat="false" ht="15.75" hidden="false" customHeight="false" outlineLevel="0" collapsed="false">
      <c r="A4814" s="6" t="n">
        <v>43030.785462963</v>
      </c>
      <c r="B4814" s="7" t="str">
        <f aca="false">HYPERLINK("https://twitter.com/bpolitics","@bpolitics")</f>
        <v>@bpolitics</v>
      </c>
      <c r="C4814" s="8" t="s">
        <v>266</v>
      </c>
      <c r="D4814" s="8" t="s">
        <v>11409</v>
      </c>
      <c r="E4814" s="9" t="str">
        <f aca="false">HYPERLINK("https://twitter.com/bpolitics/status/922279171136589824","922279171136589824")</f>
        <v>922279171136589824</v>
      </c>
      <c r="F4814" s="10" t="s">
        <v>268</v>
      </c>
      <c r="G4814" s="10" t="n">
        <v>221392</v>
      </c>
      <c r="H4814" s="10" t="n">
        <v>868</v>
      </c>
      <c r="I4814" s="10" t="n">
        <v>6</v>
      </c>
      <c r="J4814" s="10" t="n">
        <v>8</v>
      </c>
      <c r="K4814" s="10" t="s">
        <v>20</v>
      </c>
      <c r="L4814" s="11" t="n">
        <v>41025.576400463</v>
      </c>
      <c r="M4814" s="12"/>
      <c r="N4814" s="12" t="s">
        <v>269</v>
      </c>
      <c r="O4814" s="9" t="str">
        <f aca="false">HYPERLINK("https://pbs.twimg.com/profile_images/714804098890133504/cUO4gD1A_normal.jpg","View")</f>
        <v>View</v>
      </c>
      <c r="P4814" s="10"/>
    </row>
    <row r="4815" customFormat="false" ht="15.75" hidden="false" customHeight="false" outlineLevel="0" collapsed="false">
      <c r="A4815" s="6" t="n">
        <v>43030.785474537</v>
      </c>
      <c r="B4815" s="7" t="str">
        <f aca="false">HYPERLINK("https://twitter.com/vigasapuwath","@vigasapuwath")</f>
        <v>@vigasapuwath</v>
      </c>
      <c r="C4815" s="8" t="s">
        <v>11410</v>
      </c>
      <c r="D4815" s="8" t="s">
        <v>11411</v>
      </c>
      <c r="E4815" s="9" t="str">
        <f aca="false">HYPERLINK("https://twitter.com/vigasapuwath/status/922279177054601216","922279177054601216")</f>
        <v>922279177054601216</v>
      </c>
      <c r="F4815" s="9" t="s">
        <v>1147</v>
      </c>
      <c r="G4815" s="10" t="n">
        <v>1145</v>
      </c>
      <c r="H4815" s="10" t="n">
        <v>816</v>
      </c>
      <c r="I4815" s="10" t="n">
        <v>0</v>
      </c>
      <c r="J4815" s="10" t="n">
        <v>0</v>
      </c>
      <c r="K4815" s="10" t="s">
        <v>20</v>
      </c>
      <c r="L4815" s="11" t="n">
        <v>41520.2704282407</v>
      </c>
      <c r="M4815" s="12" t="s">
        <v>4532</v>
      </c>
      <c r="N4815" s="12" t="s">
        <v>11412</v>
      </c>
      <c r="O4815" s="9" t="str">
        <f aca="false">HYPERLINK("https://pbs.twimg.com/profile_images/378800000405181648/90031a4f8e812dd2a0028c4b11e9d781_normal.jpeg","View")</f>
        <v>View</v>
      </c>
      <c r="P4815" s="10"/>
    </row>
    <row r="4816" customFormat="false" ht="15.75" hidden="false" customHeight="false" outlineLevel="0" collapsed="false">
      <c r="A4816" s="6" t="n">
        <v>43030.7854976852</v>
      </c>
      <c r="B4816" s="7" t="str">
        <f aca="false">HYPERLINK("https://twitter.com/jesscheungNPR","@jesscheungNPR")</f>
        <v>@jesscheungNPR</v>
      </c>
      <c r="C4816" s="8" t="s">
        <v>11413</v>
      </c>
      <c r="D4816" s="8" t="s">
        <v>11414</v>
      </c>
      <c r="E4816" s="9" t="str">
        <f aca="false">HYPERLINK("https://twitter.com/jesscheungNPR/status/922279184457662464","922279184457662464")</f>
        <v>922279184457662464</v>
      </c>
      <c r="F4816" s="10" t="s">
        <v>39</v>
      </c>
      <c r="G4816" s="10" t="n">
        <v>255</v>
      </c>
      <c r="H4816" s="10" t="n">
        <v>779</v>
      </c>
      <c r="I4816" s="10" t="n">
        <v>0</v>
      </c>
      <c r="J4816" s="10" t="n">
        <v>0</v>
      </c>
      <c r="K4816" s="10" t="s">
        <v>20</v>
      </c>
      <c r="L4816" s="11" t="n">
        <v>42139.3955439815</v>
      </c>
      <c r="M4816" s="12" t="s">
        <v>723</v>
      </c>
      <c r="N4816" s="12" t="s">
        <v>11415</v>
      </c>
      <c r="O4816" s="9" t="str">
        <f aca="false">HYPERLINK("https://pbs.twimg.com/profile_images/890294431919874048/PzfuY1kg_normal.jpg","View")</f>
        <v>View</v>
      </c>
      <c r="P4816" s="10"/>
    </row>
    <row r="4817" customFormat="false" ht="15.75" hidden="false" customHeight="false" outlineLevel="0" collapsed="false">
      <c r="A4817" s="6" t="n">
        <v>43030.7862268519</v>
      </c>
      <c r="B4817" s="7" t="str">
        <f aca="false">HYPERLINK("https://twitter.com/BBCNewsAsia","@BBCNewsAsia")</f>
        <v>@BBCNewsAsia</v>
      </c>
      <c r="C4817" s="8" t="s">
        <v>11416</v>
      </c>
      <c r="D4817" s="8" t="s">
        <v>11084</v>
      </c>
      <c r="E4817" s="9" t="str">
        <f aca="false">HYPERLINK("https://twitter.com/BBCNewsAsia/status/922279449978077184","922279449978077184")</f>
        <v>922279449978077184</v>
      </c>
      <c r="F4817" s="10" t="s">
        <v>276</v>
      </c>
      <c r="G4817" s="10" t="n">
        <v>185102</v>
      </c>
      <c r="H4817" s="10" t="n">
        <v>255</v>
      </c>
      <c r="I4817" s="10" t="n">
        <v>13</v>
      </c>
      <c r="J4817" s="10" t="n">
        <v>0</v>
      </c>
      <c r="K4817" s="10" t="s">
        <v>20</v>
      </c>
      <c r="L4817" s="11" t="n">
        <v>41488.9577199074</v>
      </c>
      <c r="M4817" s="12" t="s">
        <v>186</v>
      </c>
      <c r="N4817" s="12" t="s">
        <v>11417</v>
      </c>
      <c r="O4817" s="9" t="str">
        <f aca="false">HYPERLINK("https://pbs.twimg.com/profile_images/522360768839180289/xb74_bnz_normal.jpeg","View")</f>
        <v>View</v>
      </c>
      <c r="P4817" s="10"/>
    </row>
    <row r="4818" customFormat="false" ht="15.75" hidden="false" customHeight="false" outlineLevel="0" collapsed="false">
      <c r="A4818" s="6" t="n">
        <v>43030.78625</v>
      </c>
      <c r="B4818" s="7" t="str">
        <f aca="false">HYPERLINK("https://twitter.com/Estallar12","@Estallar12")</f>
        <v>@Estallar12</v>
      </c>
      <c r="C4818" s="8" t="s">
        <v>11052</v>
      </c>
      <c r="D4818" s="8" t="s">
        <v>11379</v>
      </c>
      <c r="E4818" s="9" t="str">
        <f aca="false">HYPERLINK("https://twitter.com/Estallar12/status/922279455795527680","922279455795527680")</f>
        <v>922279455795527680</v>
      </c>
      <c r="F4818" s="10" t="s">
        <v>25</v>
      </c>
      <c r="G4818" s="10" t="n">
        <v>595</v>
      </c>
      <c r="H4818" s="10" t="n">
        <v>1077</v>
      </c>
      <c r="I4818" s="10" t="n">
        <v>5</v>
      </c>
      <c r="J4818" s="10" t="n">
        <v>0</v>
      </c>
      <c r="K4818" s="10" t="s">
        <v>20</v>
      </c>
      <c r="L4818" s="11" t="n">
        <v>41208.2591666667</v>
      </c>
      <c r="M4818" s="12" t="s">
        <v>64</v>
      </c>
      <c r="N4818" s="12" t="s">
        <v>11053</v>
      </c>
      <c r="O4818" s="9" t="str">
        <f aca="false">HYPERLINK("https://pbs.twimg.com/profile_images/711121717087830016/C7J39L7y_normal.jpg","View")</f>
        <v>View</v>
      </c>
      <c r="P4818" s="10"/>
    </row>
    <row r="4819" customFormat="false" ht="15.75" hidden="false" customHeight="false" outlineLevel="0" collapsed="false">
      <c r="A4819" s="6" t="n">
        <v>43030.786400463</v>
      </c>
      <c r="B4819" s="7" t="str">
        <f aca="false">HYPERLINK("https://twitter.com/nekokumicho","@nekokumicho")</f>
        <v>@nekokumicho</v>
      </c>
      <c r="C4819" s="14" t="s">
        <v>7799</v>
      </c>
      <c r="D4819" s="8" t="s">
        <v>11418</v>
      </c>
      <c r="E4819" s="9" t="str">
        <f aca="false">HYPERLINK("https://twitter.com/nekokumicho/status/922279510489284609","922279510489284609")</f>
        <v>922279510489284609</v>
      </c>
      <c r="F4819" s="10" t="s">
        <v>39</v>
      </c>
      <c r="G4819" s="10" t="n">
        <v>69528</v>
      </c>
      <c r="H4819" s="10" t="n">
        <v>446</v>
      </c>
      <c r="I4819" s="10" t="n">
        <v>38</v>
      </c>
      <c r="J4819" s="10" t="n">
        <v>0</v>
      </c>
      <c r="K4819" s="10" t="s">
        <v>20</v>
      </c>
      <c r="L4819" s="11" t="n">
        <v>40683.0321990741</v>
      </c>
      <c r="M4819" s="12" t="s">
        <v>1473</v>
      </c>
      <c r="N4819" s="13" t="s">
        <v>7800</v>
      </c>
      <c r="O4819" s="9" t="str">
        <f aca="false">HYPERLINK("https://pbs.twimg.com/profile_images/813023414491303936/CgEi9a1b_normal.jpg","View")</f>
        <v>View</v>
      </c>
      <c r="P4819" s="10"/>
    </row>
    <row r="4820" customFormat="false" ht="15.75" hidden="false" customHeight="false" outlineLevel="0" collapsed="false">
      <c r="A4820" s="6" t="n">
        <v>43030.7865393519</v>
      </c>
      <c r="B4820" s="7" t="str">
        <f aca="false">HYPERLINK("https://twitter.com/Jinycoung","@Jinycoung")</f>
        <v>@Jinycoung</v>
      </c>
      <c r="C4820" s="8" t="s">
        <v>768</v>
      </c>
      <c r="D4820" s="8" t="s">
        <v>11419</v>
      </c>
      <c r="E4820" s="9" t="str">
        <f aca="false">HYPERLINK("https://twitter.com/Jinycoung/status/922279564583297030","922279564583297030")</f>
        <v>922279564583297030</v>
      </c>
      <c r="F4820" s="10" t="s">
        <v>60</v>
      </c>
      <c r="G4820" s="10" t="n">
        <v>76</v>
      </c>
      <c r="H4820" s="10" t="n">
        <v>49</v>
      </c>
      <c r="I4820" s="10" t="n">
        <v>0</v>
      </c>
      <c r="J4820" s="10" t="n">
        <v>0</v>
      </c>
      <c r="K4820" s="10" t="s">
        <v>20</v>
      </c>
      <c r="L4820" s="11" t="n">
        <v>40922.2551967593</v>
      </c>
      <c r="M4820" s="12"/>
      <c r="N4820" s="12" t="s">
        <v>770</v>
      </c>
      <c r="O4820" s="9" t="str">
        <f aca="false">HYPERLINK("https://pbs.twimg.com/profile_images/893469567678205952/VgdXEOgi_normal.jpg","View")</f>
        <v>View</v>
      </c>
      <c r="P4820" s="10"/>
    </row>
    <row r="4821" customFormat="false" ht="15.75" hidden="false" customHeight="false" outlineLevel="0" collapsed="false">
      <c r="A4821" s="6" t="n">
        <v>43030.7868518519</v>
      </c>
      <c r="B4821" s="7" t="str">
        <f aca="false">HYPERLINK("https://twitter.com/vrai777","@vrai777")</f>
        <v>@vrai777</v>
      </c>
      <c r="C4821" s="8" t="s">
        <v>335</v>
      </c>
      <c r="D4821" s="8" t="s">
        <v>11420</v>
      </c>
      <c r="E4821" s="9" t="str">
        <f aca="false">HYPERLINK("https://twitter.com/vrai777/status/922279677452013568","922279677452013568")</f>
        <v>922279677452013568</v>
      </c>
      <c r="F4821" s="10" t="s">
        <v>60</v>
      </c>
      <c r="G4821" s="10" t="n">
        <v>7959</v>
      </c>
      <c r="H4821" s="10" t="n">
        <v>71</v>
      </c>
      <c r="I4821" s="10" t="n">
        <v>0</v>
      </c>
      <c r="J4821" s="10" t="n">
        <v>0</v>
      </c>
      <c r="K4821" s="10" t="s">
        <v>20</v>
      </c>
      <c r="L4821" s="11" t="n">
        <v>39878.7593287037</v>
      </c>
      <c r="M4821" s="12" t="s">
        <v>295</v>
      </c>
      <c r="N4821" s="12" t="s">
        <v>337</v>
      </c>
      <c r="O4821" s="9" t="str">
        <f aca="false">HYPERLINK("https://pbs.twimg.com/profile_images/688775800284266496/qhWTo08H_normal.png","View")</f>
        <v>View</v>
      </c>
      <c r="P4821" s="10"/>
    </row>
    <row r="4822" customFormat="false" ht="15.75" hidden="false" customHeight="false" outlineLevel="0" collapsed="false">
      <c r="A4822" s="6" t="n">
        <v>43030.7869791667</v>
      </c>
      <c r="B4822" s="7" t="str">
        <f aca="false">HYPERLINK("https://twitter.com/sitifatimahnet","@sitifatimahnet")</f>
        <v>@sitifatimahnet</v>
      </c>
      <c r="C4822" s="8" t="s">
        <v>11184</v>
      </c>
      <c r="D4822" s="8" t="s">
        <v>11421</v>
      </c>
      <c r="E4822" s="9" t="str">
        <f aca="false">HYPERLINK("https://twitter.com/sitifatimahnet/status/922279722280738817","922279722280738817")</f>
        <v>922279722280738817</v>
      </c>
      <c r="F4822" s="10" t="s">
        <v>60</v>
      </c>
      <c r="G4822" s="10" t="n">
        <v>312</v>
      </c>
      <c r="H4822" s="10" t="n">
        <v>27</v>
      </c>
      <c r="I4822" s="10" t="n">
        <v>0</v>
      </c>
      <c r="J4822" s="10" t="n">
        <v>0</v>
      </c>
      <c r="K4822" s="10" t="s">
        <v>20</v>
      </c>
      <c r="L4822" s="11" t="n">
        <v>42698.4371990741</v>
      </c>
      <c r="M4822" s="12" t="s">
        <v>11186</v>
      </c>
      <c r="N4822" s="12" t="s">
        <v>11187</v>
      </c>
      <c r="O4822" s="9" t="str">
        <f aca="false">HYPERLINK("https://pbs.twimg.com/profile_images/897683241594912769/-rSDzg9T_normal.jpg","View")</f>
        <v>View</v>
      </c>
      <c r="P4822" s="10"/>
    </row>
    <row r="4823" customFormat="false" ht="15.75" hidden="false" customHeight="false" outlineLevel="0" collapsed="false">
      <c r="A4823" s="6" t="n">
        <v>43030.7873032407</v>
      </c>
      <c r="B4823" s="7" t="str">
        <f aca="false">HYPERLINK("https://twitter.com/starbrightjp","@starbrightjp")</f>
        <v>@starbrightjp</v>
      </c>
      <c r="C4823" s="14" t="s">
        <v>8160</v>
      </c>
      <c r="D4823" s="8" t="s">
        <v>11418</v>
      </c>
      <c r="E4823" s="9" t="str">
        <f aca="false">HYPERLINK("https://twitter.com/starbrightjp/status/922279837594656768","922279837594656768")</f>
        <v>922279837594656768</v>
      </c>
      <c r="F4823" s="10" t="s">
        <v>39</v>
      </c>
      <c r="G4823" s="10" t="n">
        <v>603</v>
      </c>
      <c r="H4823" s="10" t="n">
        <v>552</v>
      </c>
      <c r="I4823" s="10" t="n">
        <v>38</v>
      </c>
      <c r="J4823" s="10" t="n">
        <v>0</v>
      </c>
      <c r="K4823" s="10" t="s">
        <v>20</v>
      </c>
      <c r="L4823" s="11" t="n">
        <v>40264.2514236111</v>
      </c>
      <c r="M4823" s="13" t="s">
        <v>4178</v>
      </c>
      <c r="N4823" s="13" t="s">
        <v>8161</v>
      </c>
      <c r="O4823" s="9" t="str">
        <f aca="false">HYPERLINK("https://pbs.twimg.com/profile_images/1615754317/SH360265_normal.JPG","View")</f>
        <v>View</v>
      </c>
      <c r="P4823" s="10"/>
    </row>
    <row r="4824" customFormat="false" ht="15.75" hidden="false" customHeight="false" outlineLevel="0" collapsed="false">
      <c r="A4824" s="6" t="n">
        <v>43030.7874884259</v>
      </c>
      <c r="B4824" s="7" t="str">
        <f aca="false">HYPERLINK("https://twitter.com/narendrapjoshi","@narendrapjoshi")</f>
        <v>@narendrapjoshi</v>
      </c>
      <c r="C4824" s="8" t="s">
        <v>11422</v>
      </c>
      <c r="D4824" s="8" t="s">
        <v>8538</v>
      </c>
      <c r="E4824" s="9" t="str">
        <f aca="false">HYPERLINK("https://twitter.com/narendrapjoshi/status/922279904938303488","922279904938303488")</f>
        <v>922279904938303488</v>
      </c>
      <c r="F4824" s="10" t="s">
        <v>25</v>
      </c>
      <c r="G4824" s="10" t="n">
        <v>2265</v>
      </c>
      <c r="H4824" s="10" t="n">
        <v>1760</v>
      </c>
      <c r="I4824" s="10" t="n">
        <v>1015</v>
      </c>
      <c r="J4824" s="10" t="n">
        <v>0</v>
      </c>
      <c r="K4824" s="10" t="s">
        <v>20</v>
      </c>
      <c r="L4824" s="11" t="n">
        <v>40828.3099305556</v>
      </c>
      <c r="M4824" s="12" t="s">
        <v>3415</v>
      </c>
      <c r="N4824" s="12"/>
      <c r="O4824" s="9" t="str">
        <f aca="false">HYPERLINK("https://pbs.twimg.com/profile_images/700987178965344256/9VjqtaJ6_normal.jpg","View")</f>
        <v>View</v>
      </c>
      <c r="P4824" s="10"/>
    </row>
    <row r="4825" customFormat="false" ht="15.75" hidden="false" customHeight="false" outlineLevel="0" collapsed="false">
      <c r="A4825" s="6" t="n">
        <v>43030.7874884259</v>
      </c>
      <c r="B4825" s="7" t="str">
        <f aca="false">HYPERLINK("https://twitter.com/enzo041","@enzo041")</f>
        <v>@enzo041</v>
      </c>
      <c r="C4825" s="8" t="s">
        <v>11423</v>
      </c>
      <c r="D4825" s="8" t="s">
        <v>7262</v>
      </c>
      <c r="E4825" s="9" t="str">
        <f aca="false">HYPERLINK("https://twitter.com/enzo041/status/922279905727078400","922279905727078400")</f>
        <v>922279905727078400</v>
      </c>
      <c r="F4825" s="10" t="s">
        <v>8280</v>
      </c>
      <c r="G4825" s="10" t="n">
        <v>88</v>
      </c>
      <c r="H4825" s="10" t="n">
        <v>180</v>
      </c>
      <c r="I4825" s="10" t="n">
        <v>7</v>
      </c>
      <c r="J4825" s="10" t="n">
        <v>0</v>
      </c>
      <c r="K4825" s="10" t="s">
        <v>20</v>
      </c>
      <c r="L4825" s="11" t="n">
        <v>40390.4579861111</v>
      </c>
      <c r="M4825" s="12" t="s">
        <v>4385</v>
      </c>
      <c r="N4825" s="12"/>
      <c r="O4825" s="9" t="str">
        <f aca="false">HYPERLINK("https://pbs.twimg.com/profile_images/1406882664/MyPicsGIF_normal.gif","View")</f>
        <v>View</v>
      </c>
      <c r="P4825" s="10"/>
    </row>
    <row r="4826" customFormat="false" ht="15.75" hidden="false" customHeight="false" outlineLevel="0" collapsed="false">
      <c r="A4826" s="6" t="n">
        <v>43030.7875578704</v>
      </c>
      <c r="B4826" s="7" t="str">
        <f aca="false">HYPERLINK("https://twitter.com/TopFiveTraders","@TopFiveTraders")</f>
        <v>@TopFiveTraders</v>
      </c>
      <c r="C4826" s="8" t="s">
        <v>321</v>
      </c>
      <c r="D4826" s="8" t="s">
        <v>11424</v>
      </c>
      <c r="E4826" s="9" t="str">
        <f aca="false">HYPERLINK("https://twitter.com/TopFiveTraders/status/922279933623308288","922279933623308288")</f>
        <v>922279933623308288</v>
      </c>
      <c r="F4826" s="10" t="s">
        <v>60</v>
      </c>
      <c r="G4826" s="10" t="n">
        <v>8181</v>
      </c>
      <c r="H4826" s="10" t="n">
        <v>6774</v>
      </c>
      <c r="I4826" s="10" t="n">
        <v>0</v>
      </c>
      <c r="J4826" s="10" t="n">
        <v>0</v>
      </c>
      <c r="K4826" s="10" t="s">
        <v>20</v>
      </c>
      <c r="L4826" s="11" t="n">
        <v>41573.4842013889</v>
      </c>
      <c r="M4826" s="12" t="s">
        <v>323</v>
      </c>
      <c r="N4826" s="12" t="s">
        <v>324</v>
      </c>
      <c r="O4826" s="9" t="str">
        <f aca="false">HYPERLINK("https://pbs.twimg.com/profile_images/729113141444026370/hi202Ffp_normal.jpg","View")</f>
        <v>View</v>
      </c>
      <c r="P4826" s="10"/>
    </row>
    <row r="4827" customFormat="false" ht="15.75" hidden="false" customHeight="false" outlineLevel="0" collapsed="false">
      <c r="A4827" s="6" t="n">
        <v>43030.7877199074</v>
      </c>
      <c r="B4827" s="7" t="str">
        <f aca="false">HYPERLINK("https://twitter.com/CarlosSDQ2008","@CarlosSDQ2008")</f>
        <v>@CarlosSDQ2008</v>
      </c>
      <c r="C4827" s="8" t="s">
        <v>11425</v>
      </c>
      <c r="D4827" s="8" t="s">
        <v>11033</v>
      </c>
      <c r="E4827" s="9" t="str">
        <f aca="false">HYPERLINK("https://twitter.com/CarlosSDQ2008/status/922279992456773633","922279992456773633")</f>
        <v>922279992456773633</v>
      </c>
      <c r="F4827" s="10" t="s">
        <v>98</v>
      </c>
      <c r="G4827" s="10" t="n">
        <v>45</v>
      </c>
      <c r="H4827" s="10" t="n">
        <v>807</v>
      </c>
      <c r="I4827" s="10" t="n">
        <v>60</v>
      </c>
      <c r="J4827" s="10" t="n">
        <v>0</v>
      </c>
      <c r="K4827" s="10" t="s">
        <v>20</v>
      </c>
      <c r="L4827" s="11" t="n">
        <v>42657.8823611111</v>
      </c>
      <c r="M4827" s="12"/>
      <c r="N4827" s="12"/>
      <c r="O4827" s="9" t="str">
        <f aca="false">HYPERLINK("https://pbs.twimg.com/profile_images/788041280714571776/D6hJMfFo_normal.jpg","View")</f>
        <v>View</v>
      </c>
      <c r="P4827" s="10"/>
    </row>
    <row r="4828" customFormat="false" ht="15.75" hidden="false" customHeight="false" outlineLevel="0" collapsed="false">
      <c r="A4828" s="6" t="n">
        <v>43030.7877662037</v>
      </c>
      <c r="B4828" s="7" t="str">
        <f aca="false">HYPERLINK("https://twitter.com/market4justice","@market4justice")</f>
        <v>@market4justice</v>
      </c>
      <c r="C4828" s="8" t="s">
        <v>11426</v>
      </c>
      <c r="D4828" s="8" t="s">
        <v>11427</v>
      </c>
      <c r="E4828" s="9" t="str">
        <f aca="false">HYPERLINK("https://twitter.com/market4justice/status/922280007745056769","922280007745056769")</f>
        <v>922280007745056769</v>
      </c>
      <c r="F4828" s="10" t="s">
        <v>60</v>
      </c>
      <c r="G4828" s="10" t="n">
        <v>435</v>
      </c>
      <c r="H4828" s="10" t="n">
        <v>137</v>
      </c>
      <c r="I4828" s="10" t="n">
        <v>0</v>
      </c>
      <c r="J4828" s="10" t="n">
        <v>0</v>
      </c>
      <c r="K4828" s="10" t="s">
        <v>20</v>
      </c>
      <c r="L4828" s="11" t="n">
        <v>42184.4424421296</v>
      </c>
      <c r="M4828" s="12" t="s">
        <v>21</v>
      </c>
      <c r="N4828" s="12" t="s">
        <v>11428</v>
      </c>
      <c r="O4828" s="9" t="str">
        <f aca="false">HYPERLINK("https://pbs.twimg.com/profile_images/615577051399983104/1B-CM5fS_normal.jpg","View")</f>
        <v>View</v>
      </c>
      <c r="P4828" s="10"/>
    </row>
    <row r="4829" customFormat="false" ht="15.75" hidden="false" customHeight="false" outlineLevel="0" collapsed="false">
      <c r="A4829" s="6" t="n">
        <v>43030.7877662037</v>
      </c>
      <c r="B4829" s="7" t="str">
        <f aca="false">HYPERLINK("https://twitter.com/okimine","@okimine")</f>
        <v>@okimine</v>
      </c>
      <c r="C4829" s="14" t="s">
        <v>11429</v>
      </c>
      <c r="D4829" s="8" t="s">
        <v>11418</v>
      </c>
      <c r="E4829" s="9" t="str">
        <f aca="false">HYPERLINK("https://twitter.com/okimine/status/922280008785174528","922280008785174528")</f>
        <v>922280008785174528</v>
      </c>
      <c r="F4829" s="10" t="s">
        <v>177</v>
      </c>
      <c r="G4829" s="10" t="n">
        <v>300</v>
      </c>
      <c r="H4829" s="10" t="n">
        <v>627</v>
      </c>
      <c r="I4829" s="10" t="n">
        <v>38</v>
      </c>
      <c r="J4829" s="10" t="n">
        <v>0</v>
      </c>
      <c r="K4829" s="10" t="s">
        <v>20</v>
      </c>
      <c r="L4829" s="11" t="n">
        <v>40125.6816203704</v>
      </c>
      <c r="M4829" s="13" t="s">
        <v>11430</v>
      </c>
      <c r="N4829" s="12" t="s">
        <v>11431</v>
      </c>
      <c r="O4829" s="9" t="str">
        <f aca="false">HYPERLINK("https://pbs.twimg.com/profile_images/1235334265/from_twitStatus172823_normal.png","View")</f>
        <v>View</v>
      </c>
      <c r="P4829" s="10"/>
    </row>
    <row r="4830" customFormat="false" ht="15.75" hidden="false" customHeight="false" outlineLevel="0" collapsed="false">
      <c r="A4830" s="6" t="n">
        <v>43030.7879513889</v>
      </c>
      <c r="B4830" s="7" t="str">
        <f aca="false">HYPERLINK("https://twitter.com/pbrown4348","@pbrown4348")</f>
        <v>@pbrown4348</v>
      </c>
      <c r="C4830" s="8" t="s">
        <v>11432</v>
      </c>
      <c r="D4830" s="8" t="s">
        <v>11365</v>
      </c>
      <c r="E4830" s="9" t="str">
        <f aca="false">HYPERLINK("https://twitter.com/pbrown4348/status/922280074568544257","922280074568544257")</f>
        <v>922280074568544257</v>
      </c>
      <c r="F4830" s="10" t="s">
        <v>39</v>
      </c>
      <c r="G4830" s="10" t="n">
        <v>554</v>
      </c>
      <c r="H4830" s="10" t="n">
        <v>396</v>
      </c>
      <c r="I4830" s="10" t="n">
        <v>8</v>
      </c>
      <c r="J4830" s="10" t="n">
        <v>0</v>
      </c>
      <c r="K4830" s="10" t="s">
        <v>20</v>
      </c>
      <c r="L4830" s="11" t="n">
        <v>41740.3548263889</v>
      </c>
      <c r="M4830" s="12"/>
      <c r="N4830" s="12" t="s">
        <v>11433</v>
      </c>
      <c r="O4830" s="9" t="str">
        <f aca="false">HYPERLINK("https://pbs.twimg.com/profile_images/454650009770676225/nliSl7yH_normal.jpeg","View")</f>
        <v>View</v>
      </c>
      <c r="P4830" s="10"/>
    </row>
    <row r="4831" customFormat="false" ht="15.75" hidden="false" customHeight="false" outlineLevel="0" collapsed="false">
      <c r="A4831" s="6" t="n">
        <v>43030.787962963</v>
      </c>
      <c r="B4831" s="7" t="str">
        <f aca="false">HYPERLINK("https://twitter.com/Rinto_world","@Rinto_world")</f>
        <v>@Rinto_world</v>
      </c>
      <c r="C4831" s="14" t="s">
        <v>11434</v>
      </c>
      <c r="D4831" s="8" t="s">
        <v>11084</v>
      </c>
      <c r="E4831" s="9" t="str">
        <f aca="false">HYPERLINK("https://twitter.com/Rinto_world/status/922280078813233152","922280078813233152")</f>
        <v>922280078813233152</v>
      </c>
      <c r="F4831" s="10" t="s">
        <v>51</v>
      </c>
      <c r="G4831" s="10" t="n">
        <v>29</v>
      </c>
      <c r="H4831" s="10" t="n">
        <v>154</v>
      </c>
      <c r="I4831" s="10" t="n">
        <v>13</v>
      </c>
      <c r="J4831" s="10" t="n">
        <v>0</v>
      </c>
      <c r="K4831" s="10" t="s">
        <v>20</v>
      </c>
      <c r="L4831" s="11" t="n">
        <v>42847.6366435185</v>
      </c>
      <c r="M4831" s="12"/>
      <c r="N4831" s="12"/>
      <c r="O4831" s="9" t="str">
        <f aca="false">HYPERLINK("https://pbs.twimg.com/profile_images/922110623453814786/l5jrMZsB_normal.jpg","View")</f>
        <v>View</v>
      </c>
      <c r="P4831" s="10"/>
    </row>
    <row r="4832" customFormat="false" ht="15.75" hidden="false" customHeight="false" outlineLevel="0" collapsed="false">
      <c r="A4832" s="6" t="n">
        <v>43030.7883101852</v>
      </c>
      <c r="B4832" s="7" t="str">
        <f aca="false">HYPERLINK("https://twitter.com/Xaniatube","@Xaniatube")</f>
        <v>@Xaniatube</v>
      </c>
      <c r="C4832" s="8" t="s">
        <v>1619</v>
      </c>
      <c r="D4832" s="8" t="s">
        <v>11435</v>
      </c>
      <c r="E4832" s="9" t="str">
        <f aca="false">HYPERLINK("https://twitter.com/Xaniatube/status/922280202519986177","922280202519986177")</f>
        <v>922280202519986177</v>
      </c>
      <c r="F4832" s="9" t="s">
        <v>1621</v>
      </c>
      <c r="G4832" s="10" t="n">
        <v>2681</v>
      </c>
      <c r="H4832" s="10" t="n">
        <v>2306</v>
      </c>
      <c r="I4832" s="10" t="n">
        <v>0</v>
      </c>
      <c r="J4832" s="10" t="n">
        <v>0</v>
      </c>
      <c r="K4832" s="10" t="s">
        <v>20</v>
      </c>
      <c r="L4832" s="11" t="n">
        <v>42515.0175462963</v>
      </c>
      <c r="M4832" s="12" t="s">
        <v>1622</v>
      </c>
      <c r="N4832" s="12" t="s">
        <v>1623</v>
      </c>
      <c r="O4832" s="9" t="str">
        <f aca="false">HYPERLINK("https://pbs.twimg.com/profile_images/735982523755470848/RowRrw5R_normal.jpg","View")</f>
        <v>View</v>
      </c>
      <c r="P4832" s="10"/>
    </row>
    <row r="4833" customFormat="false" ht="15.75" hidden="false" customHeight="false" outlineLevel="0" collapsed="false">
      <c r="A4833" s="6" t="n">
        <v>43030.7883101852</v>
      </c>
      <c r="B4833" s="7" t="str">
        <f aca="false">HYPERLINK("https://twitter.com/nevilleblanc","@nevilleblanc")</f>
        <v>@nevilleblanc</v>
      </c>
      <c r="C4833" s="8" t="s">
        <v>11390</v>
      </c>
      <c r="D4833" s="8" t="s">
        <v>11436</v>
      </c>
      <c r="E4833" s="9" t="str">
        <f aca="false">HYPERLINK("https://twitter.com/nevilleblanc/status/922280204965498880","922280204965498880")</f>
        <v>922280204965498880</v>
      </c>
      <c r="F4833" s="10" t="s">
        <v>39</v>
      </c>
      <c r="G4833" s="10" t="n">
        <v>1432</v>
      </c>
      <c r="H4833" s="10" t="n">
        <v>479</v>
      </c>
      <c r="I4833" s="10" t="n">
        <v>6</v>
      </c>
      <c r="J4833" s="10" t="n">
        <v>0</v>
      </c>
      <c r="K4833" s="10" t="s">
        <v>20</v>
      </c>
      <c r="L4833" s="11" t="n">
        <v>40123.2976041667</v>
      </c>
      <c r="M4833" s="12" t="s">
        <v>4778</v>
      </c>
      <c r="N4833" s="12" t="s">
        <v>11391</v>
      </c>
      <c r="O4833" s="9" t="str">
        <f aca="false">HYPERLINK("https://pbs.twimg.com/profile_images/2681294204/9be2da9ed737c467c90d9302e35bf194_normal.jpeg","View")</f>
        <v>View</v>
      </c>
      <c r="P4833" s="10"/>
    </row>
    <row r="4834" customFormat="false" ht="15.75" hidden="false" customHeight="false" outlineLevel="0" collapsed="false">
      <c r="A4834" s="6" t="n">
        <v>43030.788587963</v>
      </c>
      <c r="B4834" s="7" t="str">
        <f aca="false">HYPERLINK("https://twitter.com/trashyvinny","@trashyvinny")</f>
        <v>@trashyvinny</v>
      </c>
      <c r="C4834" s="8" t="s">
        <v>11437</v>
      </c>
      <c r="D4834" s="8" t="s">
        <v>11284</v>
      </c>
      <c r="E4834" s="9" t="str">
        <f aca="false">HYPERLINK("https://twitter.com/trashyvinny/status/922280306610245632","922280306610245632")</f>
        <v>922280306610245632</v>
      </c>
      <c r="F4834" s="10" t="s">
        <v>25</v>
      </c>
      <c r="G4834" s="10" t="n">
        <v>1112</v>
      </c>
      <c r="H4834" s="10" t="n">
        <v>933</v>
      </c>
      <c r="I4834" s="10" t="n">
        <v>41</v>
      </c>
      <c r="J4834" s="10" t="n">
        <v>0</v>
      </c>
      <c r="K4834" s="10" t="s">
        <v>20</v>
      </c>
      <c r="L4834" s="11" t="n">
        <v>40341.7741550926</v>
      </c>
      <c r="M4834" s="12" t="s">
        <v>1670</v>
      </c>
      <c r="N4834" s="12" t="s">
        <v>11438</v>
      </c>
      <c r="O4834" s="9" t="str">
        <f aca="false">HYPERLINK("https://pbs.twimg.com/profile_images/734565832479608832/vLSpqaBe_normal.jpg","View")</f>
        <v>View</v>
      </c>
      <c r="P4834" s="10"/>
    </row>
    <row r="4835" customFormat="false" ht="15.75" hidden="false" customHeight="false" outlineLevel="0" collapsed="false">
      <c r="A4835" s="6" t="n">
        <v>43030.7886689815</v>
      </c>
      <c r="B4835" s="7" t="str">
        <f aca="false">HYPERLINK("https://twitter.com/sumodkuhar","@sumodkuhar")</f>
        <v>@sumodkuhar</v>
      </c>
      <c r="C4835" s="8" t="s">
        <v>11439</v>
      </c>
      <c r="D4835" s="8" t="s">
        <v>8538</v>
      </c>
      <c r="E4835" s="9" t="str">
        <f aca="false">HYPERLINK("https://twitter.com/sumodkuhar/status/922280333072060417","922280333072060417")</f>
        <v>922280333072060417</v>
      </c>
      <c r="F4835" s="10" t="s">
        <v>25</v>
      </c>
      <c r="G4835" s="10" t="n">
        <v>202</v>
      </c>
      <c r="H4835" s="10" t="n">
        <v>54</v>
      </c>
      <c r="I4835" s="10" t="n">
        <v>1015</v>
      </c>
      <c r="J4835" s="10" t="n">
        <v>0</v>
      </c>
      <c r="K4835" s="10" t="s">
        <v>20</v>
      </c>
      <c r="L4835" s="11" t="n">
        <v>40075.0182175926</v>
      </c>
      <c r="M4835" s="12"/>
      <c r="N4835" s="12" t="s">
        <v>11440</v>
      </c>
      <c r="O4835" s="9" t="str">
        <f aca="false">HYPERLINK("https://pbs.twimg.com/profile_images/845139862529323010/HQ9XF8BR_normal.jpg","View")</f>
        <v>View</v>
      </c>
      <c r="P4835" s="10"/>
    </row>
    <row r="4836" customFormat="false" ht="15.75" hidden="false" customHeight="false" outlineLevel="0" collapsed="false">
      <c r="A4836" s="6" t="n">
        <v>43030.7887962963</v>
      </c>
      <c r="B4836" s="7" t="str">
        <f aca="false">HYPERLINK("https://twitter.com/Vishraghu51","@Vishraghu51")</f>
        <v>@Vishraghu51</v>
      </c>
      <c r="C4836" s="8" t="s">
        <v>11441</v>
      </c>
      <c r="D4836" s="8" t="s">
        <v>8538</v>
      </c>
      <c r="E4836" s="9" t="str">
        <f aca="false">HYPERLINK("https://twitter.com/Vishraghu51/status/922280378814967809","922280378814967809")</f>
        <v>922280378814967809</v>
      </c>
      <c r="F4836" s="10" t="s">
        <v>25</v>
      </c>
      <c r="G4836" s="10" t="n">
        <v>269</v>
      </c>
      <c r="H4836" s="10" t="n">
        <v>737</v>
      </c>
      <c r="I4836" s="10" t="n">
        <v>1015</v>
      </c>
      <c r="J4836" s="10" t="n">
        <v>0</v>
      </c>
      <c r="K4836" s="10" t="s">
        <v>20</v>
      </c>
      <c r="L4836" s="11" t="n">
        <v>42354.8917708333</v>
      </c>
      <c r="M4836" s="12" t="s">
        <v>5360</v>
      </c>
      <c r="N4836" s="12" t="s">
        <v>11442</v>
      </c>
      <c r="O4836" s="9" t="str">
        <f aca="false">HYPERLINK("https://pbs.twimg.com/profile_images/753254277183922176/2KKnVQSy_normal.jpg","View")</f>
        <v>View</v>
      </c>
      <c r="P4836" s="10"/>
    </row>
    <row r="4837" customFormat="false" ht="15.75" hidden="false" customHeight="false" outlineLevel="0" collapsed="false">
      <c r="A4837" s="6" t="n">
        <v>43030.788912037</v>
      </c>
      <c r="B4837" s="7" t="str">
        <f aca="false">HYPERLINK("https://twitter.com/micarlostru","@micarlostru")</f>
        <v>@micarlostru</v>
      </c>
      <c r="C4837" s="8" t="s">
        <v>11443</v>
      </c>
      <c r="D4837" s="8" t="s">
        <v>11436</v>
      </c>
      <c r="E4837" s="9" t="str">
        <f aca="false">HYPERLINK("https://twitter.com/micarlostru/status/922280423669018625","922280423669018625")</f>
        <v>922280423669018625</v>
      </c>
      <c r="F4837" s="10" t="s">
        <v>39</v>
      </c>
      <c r="G4837" s="10" t="n">
        <v>1619</v>
      </c>
      <c r="H4837" s="10" t="n">
        <v>3437</v>
      </c>
      <c r="I4837" s="10" t="n">
        <v>6</v>
      </c>
      <c r="J4837" s="10" t="n">
        <v>0</v>
      </c>
      <c r="K4837" s="10" t="s">
        <v>20</v>
      </c>
      <c r="L4837" s="11" t="n">
        <v>40669.2384606482</v>
      </c>
      <c r="M4837" s="12" t="s">
        <v>11444</v>
      </c>
      <c r="N4837" s="12" t="s">
        <v>11445</v>
      </c>
      <c r="O4837" s="9" t="str">
        <f aca="false">HYPERLINK("https://pbs.twimg.com/profile_images/908286593546510336/XCaU_v99_normal.jpg","View")</f>
        <v>View</v>
      </c>
      <c r="P4837" s="10"/>
    </row>
    <row r="4838" customFormat="false" ht="15.75" hidden="false" customHeight="false" outlineLevel="0" collapsed="false">
      <c r="A4838" s="6" t="n">
        <v>43030.7890740741</v>
      </c>
      <c r="B4838" s="7" t="str">
        <f aca="false">HYPERLINK("https://twitter.com/shahrinaizat","@shahrinaizat")</f>
        <v>@shahrinaizat</v>
      </c>
      <c r="C4838" s="8" t="s">
        <v>11446</v>
      </c>
      <c r="D4838" s="8" t="s">
        <v>10997</v>
      </c>
      <c r="E4838" s="9" t="str">
        <f aca="false">HYPERLINK("https://twitter.com/shahrinaizat/status/922280482569461760","922280482569461760")</f>
        <v>922280482569461760</v>
      </c>
      <c r="F4838" s="10" t="s">
        <v>51</v>
      </c>
      <c r="G4838" s="10" t="n">
        <v>512</v>
      </c>
      <c r="H4838" s="10" t="n">
        <v>179</v>
      </c>
      <c r="I4838" s="10" t="n">
        <v>27</v>
      </c>
      <c r="J4838" s="10" t="n">
        <v>0</v>
      </c>
      <c r="K4838" s="10" t="s">
        <v>20</v>
      </c>
      <c r="L4838" s="11" t="n">
        <v>41076.1979861111</v>
      </c>
      <c r="M4838" s="12" t="s">
        <v>11447</v>
      </c>
      <c r="N4838" s="12" t="s">
        <v>11448</v>
      </c>
      <c r="O4838" s="9" t="str">
        <f aca="false">HYPERLINK("https://pbs.twimg.com/profile_images/921116025298366464/ryD1t161_normal.jpg","View")</f>
        <v>View</v>
      </c>
      <c r="P4838" s="10"/>
    </row>
    <row r="4839" customFormat="false" ht="15.75" hidden="false" customHeight="false" outlineLevel="0" collapsed="false">
      <c r="A4839" s="6" t="n">
        <v>43030.7891898148</v>
      </c>
      <c r="B4839" s="7" t="str">
        <f aca="false">HYPERLINK("https://twitter.com/ttahbvurhd","@ttahbvurhd")</f>
        <v>@ttahbvurhd</v>
      </c>
      <c r="C4839" s="8" t="s">
        <v>11449</v>
      </c>
      <c r="D4839" s="8" t="s">
        <v>8538</v>
      </c>
      <c r="E4839" s="9" t="str">
        <f aca="false">HYPERLINK("https://twitter.com/ttahbvurhd/status/922280521555726336","922280521555726336")</f>
        <v>922280521555726336</v>
      </c>
      <c r="F4839" s="10" t="s">
        <v>51</v>
      </c>
      <c r="G4839" s="10" t="n">
        <v>154</v>
      </c>
      <c r="H4839" s="10" t="n">
        <v>131</v>
      </c>
      <c r="I4839" s="10" t="n">
        <v>1015</v>
      </c>
      <c r="J4839" s="10" t="n">
        <v>0</v>
      </c>
      <c r="K4839" s="10" t="s">
        <v>20</v>
      </c>
      <c r="L4839" s="11" t="n">
        <v>41489.529837963</v>
      </c>
      <c r="M4839" s="12" t="s">
        <v>11450</v>
      </c>
      <c r="N4839" s="12" t="s">
        <v>11451</v>
      </c>
      <c r="O4839" s="9" t="str">
        <f aca="false">HYPERLINK("https://pbs.twimg.com/profile_images/854516308850954241/qRnAoajg_normal.jpg","View")</f>
        <v>View</v>
      </c>
      <c r="P4839" s="10"/>
    </row>
    <row r="4840" customFormat="false" ht="15.75" hidden="false" customHeight="false" outlineLevel="0" collapsed="false">
      <c r="A4840" s="6" t="n">
        <v>43030.789537037</v>
      </c>
      <c r="B4840" s="7" t="str">
        <f aca="false">HYPERLINK("https://twitter.com/enzo041","@enzo041")</f>
        <v>@enzo041</v>
      </c>
      <c r="C4840" s="8" t="s">
        <v>11423</v>
      </c>
      <c r="D4840" s="8" t="s">
        <v>11189</v>
      </c>
      <c r="E4840" s="9" t="str">
        <f aca="false">HYPERLINK("https://twitter.com/enzo041/status/922280649729478657","922280649729478657")</f>
        <v>922280649729478657</v>
      </c>
      <c r="F4840" s="10" t="s">
        <v>8280</v>
      </c>
      <c r="G4840" s="10" t="n">
        <v>88</v>
      </c>
      <c r="H4840" s="10" t="n">
        <v>180</v>
      </c>
      <c r="I4840" s="10" t="n">
        <v>4</v>
      </c>
      <c r="J4840" s="10" t="n">
        <v>0</v>
      </c>
      <c r="K4840" s="10" t="s">
        <v>20</v>
      </c>
      <c r="L4840" s="11" t="n">
        <v>40390.4579861111</v>
      </c>
      <c r="M4840" s="12" t="s">
        <v>4385</v>
      </c>
      <c r="N4840" s="12"/>
      <c r="O4840" s="9" t="str">
        <f aca="false">HYPERLINK("https://pbs.twimg.com/profile_images/1406882664/MyPicsGIF_normal.gif","View")</f>
        <v>View</v>
      </c>
      <c r="P4840" s="10"/>
    </row>
    <row r="4841" customFormat="false" ht="15.75" hidden="false" customHeight="false" outlineLevel="0" collapsed="false">
      <c r="A4841" s="6" t="n">
        <v>43030.7901041667</v>
      </c>
      <c r="B4841" s="7" t="str">
        <f aca="false">HYPERLINK("https://twitter.com/udayvellamcheti","@udayvellamcheti")</f>
        <v>@udayvellamcheti</v>
      </c>
      <c r="C4841" s="8" t="s">
        <v>11452</v>
      </c>
      <c r="D4841" s="8" t="s">
        <v>8538</v>
      </c>
      <c r="E4841" s="9" t="str">
        <f aca="false">HYPERLINK("https://twitter.com/udayvellamcheti/status/922280854449037317","922280854449037317")</f>
        <v>922280854449037317</v>
      </c>
      <c r="F4841" s="10" t="s">
        <v>25</v>
      </c>
      <c r="G4841" s="10" t="n">
        <v>65</v>
      </c>
      <c r="H4841" s="10" t="n">
        <v>170</v>
      </c>
      <c r="I4841" s="10" t="n">
        <v>1015</v>
      </c>
      <c r="J4841" s="10" t="n">
        <v>0</v>
      </c>
      <c r="K4841" s="10" t="s">
        <v>20</v>
      </c>
      <c r="L4841" s="11" t="n">
        <v>41751.1362615741</v>
      </c>
      <c r="M4841" s="12" t="s">
        <v>6596</v>
      </c>
      <c r="N4841" s="12"/>
      <c r="O4841" s="9" t="str">
        <f aca="false">HYPERLINK("https://pbs.twimg.com/profile_images/470974827021344768/ty_T_Sk1_normal.jpeg","View")</f>
        <v>View</v>
      </c>
      <c r="P4841" s="10"/>
    </row>
    <row r="4842" customFormat="false" ht="15.75" hidden="false" customHeight="false" outlineLevel="0" collapsed="false">
      <c r="A4842" s="6" t="n">
        <v>43030.790162037</v>
      </c>
      <c r="B4842" s="7" t="str">
        <f aca="false">HYPERLINK("https://twitter.com/herna_santigo","@herna_santigo")</f>
        <v>@herna_santigo</v>
      </c>
      <c r="C4842" s="8" t="s">
        <v>1442</v>
      </c>
      <c r="D4842" s="8" t="s">
        <v>11033</v>
      </c>
      <c r="E4842" s="9" t="str">
        <f aca="false">HYPERLINK("https://twitter.com/herna_santigo/status/922280876972609538","922280876972609538")</f>
        <v>922280876972609538</v>
      </c>
      <c r="F4842" s="10" t="s">
        <v>98</v>
      </c>
      <c r="G4842" s="10" t="n">
        <v>476</v>
      </c>
      <c r="H4842" s="10" t="n">
        <v>409</v>
      </c>
      <c r="I4842" s="10" t="n">
        <v>60</v>
      </c>
      <c r="J4842" s="10" t="n">
        <v>0</v>
      </c>
      <c r="K4842" s="10" t="s">
        <v>20</v>
      </c>
      <c r="L4842" s="11" t="n">
        <v>42741.5498032407</v>
      </c>
      <c r="M4842" s="12"/>
      <c r="N4842" s="12"/>
      <c r="O4842" s="9" t="str">
        <f aca="false">HYPERLINK("https://pbs.twimg.com/profile_images/825453675627704320/kQCbZ6wu_normal.jpg","View")</f>
        <v>View</v>
      </c>
      <c r="P4842" s="10"/>
    </row>
    <row r="4843" customFormat="false" ht="15.75" hidden="false" customHeight="false" outlineLevel="0" collapsed="false">
      <c r="A4843" s="6" t="n">
        <v>43030.7903703704</v>
      </c>
      <c r="B4843" s="7" t="str">
        <f aca="false">HYPERLINK("https://twitter.com/newslivenetwork","@newslivenetwork")</f>
        <v>@newslivenetwork</v>
      </c>
      <c r="C4843" s="8" t="s">
        <v>1668</v>
      </c>
      <c r="D4843" s="8" t="s">
        <v>11453</v>
      </c>
      <c r="E4843" s="9" t="str">
        <f aca="false">HYPERLINK("https://twitter.com/newslivenetwork/status/922280951530565634","922280951530565634")</f>
        <v>922280951530565634</v>
      </c>
      <c r="F4843" s="10" t="s">
        <v>55</v>
      </c>
      <c r="G4843" s="10" t="n">
        <v>272</v>
      </c>
      <c r="H4843" s="10" t="n">
        <v>87</v>
      </c>
      <c r="I4843" s="10" t="n">
        <v>0</v>
      </c>
      <c r="J4843" s="10" t="n">
        <v>0</v>
      </c>
      <c r="K4843" s="10" t="s">
        <v>20</v>
      </c>
      <c r="L4843" s="11" t="n">
        <v>42741.4719675926</v>
      </c>
      <c r="M4843" s="12" t="s">
        <v>1670</v>
      </c>
      <c r="N4843" s="12" t="s">
        <v>1671</v>
      </c>
      <c r="O4843" s="9" t="str">
        <f aca="false">HYPERLINK("https://pbs.twimg.com/profile_images/877414144424660992/scfhocj3_normal.jpg","View")</f>
        <v>View</v>
      </c>
      <c r="P4843" s="10"/>
    </row>
    <row r="4844" customFormat="false" ht="15.75" hidden="false" customHeight="false" outlineLevel="0" collapsed="false">
      <c r="A4844" s="6" t="n">
        <v>43030.7904282407</v>
      </c>
      <c r="B4844" s="7" t="str">
        <f aca="false">HYPERLINK("https://twitter.com/VernaPolitics","@VernaPolitics")</f>
        <v>@VernaPolitics</v>
      </c>
      <c r="C4844" s="8" t="s">
        <v>11454</v>
      </c>
      <c r="D4844" s="8" t="s">
        <v>11436</v>
      </c>
      <c r="E4844" s="9" t="str">
        <f aca="false">HYPERLINK("https://twitter.com/VernaPolitics/status/922280973634555904","922280973634555904")</f>
        <v>922280973634555904</v>
      </c>
      <c r="F4844" s="10" t="s">
        <v>3763</v>
      </c>
      <c r="G4844" s="10" t="n">
        <v>2383</v>
      </c>
      <c r="H4844" s="10" t="n">
        <v>999</v>
      </c>
      <c r="I4844" s="10" t="n">
        <v>6</v>
      </c>
      <c r="J4844" s="10" t="n">
        <v>0</v>
      </c>
      <c r="K4844" s="10" t="s">
        <v>20</v>
      </c>
      <c r="L4844" s="11" t="n">
        <v>39731.4943865741</v>
      </c>
      <c r="M4844" s="12" t="s">
        <v>230</v>
      </c>
      <c r="N4844" s="12" t="s">
        <v>11455</v>
      </c>
      <c r="O4844" s="9" t="str">
        <f aca="false">HYPERLINK("https://pbs.twimg.com/profile_images/826129696630910976/8BJlQASM_normal.jpg","View")</f>
        <v>View</v>
      </c>
      <c r="P4844" s="10"/>
    </row>
    <row r="4845" customFormat="false" ht="15.75" hidden="false" customHeight="false" outlineLevel="0" collapsed="false">
      <c r="A4845" s="6" t="n">
        <v>43030.7906018519</v>
      </c>
      <c r="B4845" s="7" t="str">
        <f aca="false">HYPERLINK("https://twitter.com/kimvie","@kimvie")</f>
        <v>@kimvie</v>
      </c>
      <c r="C4845" s="8" t="s">
        <v>1342</v>
      </c>
      <c r="D4845" s="8" t="s">
        <v>11365</v>
      </c>
      <c r="E4845" s="9" t="str">
        <f aca="false">HYPERLINK("https://twitter.com/kimvie/status/922281036595200002","922281036595200002")</f>
        <v>922281036595200002</v>
      </c>
      <c r="F4845" s="10" t="s">
        <v>51</v>
      </c>
      <c r="G4845" s="10" t="n">
        <v>2592</v>
      </c>
      <c r="H4845" s="10" t="n">
        <v>5000</v>
      </c>
      <c r="I4845" s="10" t="n">
        <v>8</v>
      </c>
      <c r="J4845" s="10" t="n">
        <v>0</v>
      </c>
      <c r="K4845" s="10" t="s">
        <v>20</v>
      </c>
      <c r="L4845" s="11" t="n">
        <v>39911.8142361111</v>
      </c>
      <c r="M4845" s="12"/>
      <c r="N4845" s="12" t="s">
        <v>1343</v>
      </c>
      <c r="O4845" s="9" t="str">
        <f aca="false">HYPERLINK("https://pbs.twimg.com/profile_images/900901038814887938/-pZjQTHp_normal.jpg","View")</f>
        <v>View</v>
      </c>
      <c r="P4845" s="10"/>
    </row>
    <row r="4846" customFormat="false" ht="15.75" hidden="false" customHeight="false" outlineLevel="0" collapsed="false">
      <c r="A4846" s="6" t="n">
        <v>43030.790775463</v>
      </c>
      <c r="B4846" s="7" t="str">
        <f aca="false">HYPERLINK("https://twitter.com/ver25346592","@ver25346592")</f>
        <v>@ver25346592</v>
      </c>
      <c r="C4846" s="14" t="s">
        <v>11456</v>
      </c>
      <c r="D4846" s="8" t="s">
        <v>10997</v>
      </c>
      <c r="E4846" s="9" t="str">
        <f aca="false">HYPERLINK("https://twitter.com/ver25346592/status/922281097345429504","922281097345429504")</f>
        <v>922281097345429504</v>
      </c>
      <c r="F4846" s="10" t="s">
        <v>98</v>
      </c>
      <c r="G4846" s="10" t="n">
        <v>172</v>
      </c>
      <c r="H4846" s="10" t="n">
        <v>212</v>
      </c>
      <c r="I4846" s="10" t="n">
        <v>27</v>
      </c>
      <c r="J4846" s="10" t="n">
        <v>0</v>
      </c>
      <c r="K4846" s="10" t="s">
        <v>20</v>
      </c>
      <c r="L4846" s="11" t="n">
        <v>42969.7632175926</v>
      </c>
      <c r="M4846" s="12" t="s">
        <v>11457</v>
      </c>
      <c r="N4846" s="13" t="s">
        <v>11458</v>
      </c>
      <c r="O4846" s="9" t="str">
        <f aca="false">HYPERLINK("https://pbs.twimg.com/profile_images/915540599792472064/I38SCM6U_normal.jpg","View")</f>
        <v>View</v>
      </c>
      <c r="P4846" s="10"/>
    </row>
    <row r="4847" customFormat="false" ht="15.75" hidden="false" customHeight="false" outlineLevel="0" collapsed="false">
      <c r="A4847" s="6" t="n">
        <v>43030.7909143519</v>
      </c>
      <c r="B4847" s="7" t="str">
        <f aca="false">HYPERLINK("https://twitter.com/vikaskarunakara","@vikaskarunakara")</f>
        <v>@vikaskarunakara</v>
      </c>
      <c r="C4847" s="8" t="s">
        <v>8529</v>
      </c>
      <c r="D4847" s="8" t="s">
        <v>11130</v>
      </c>
      <c r="E4847" s="9" t="str">
        <f aca="false">HYPERLINK("https://twitter.com/vikaskarunakara/status/922281146049810432","922281146049810432")</f>
        <v>922281146049810432</v>
      </c>
      <c r="F4847" s="10" t="s">
        <v>51</v>
      </c>
      <c r="G4847" s="10" t="n">
        <v>169</v>
      </c>
      <c r="H4847" s="10" t="n">
        <v>191</v>
      </c>
      <c r="I4847" s="10" t="n">
        <v>9</v>
      </c>
      <c r="J4847" s="10" t="n">
        <v>0</v>
      </c>
      <c r="K4847" s="10" t="s">
        <v>20</v>
      </c>
      <c r="L4847" s="11" t="n">
        <v>40431.8824652778</v>
      </c>
      <c r="M4847" s="12" t="s">
        <v>230</v>
      </c>
      <c r="N4847" s="12" t="s">
        <v>8530</v>
      </c>
      <c r="O4847" s="9" t="str">
        <f aca="false">HYPERLINK("https://pbs.twimg.com/profile_images/837823653232398337/Sw50pORy_normal.jpg","View")</f>
        <v>View</v>
      </c>
      <c r="P4847" s="10"/>
    </row>
    <row r="4848" customFormat="false" ht="15.75" hidden="false" customHeight="false" outlineLevel="0" collapsed="false">
      <c r="A4848" s="6" t="n">
        <v>43030.791412037</v>
      </c>
      <c r="B4848" s="7" t="str">
        <f aca="false">HYPERLINK("https://twitter.com/FrantzianLeader","@FrantzianLeader")</f>
        <v>@FrantzianLeader</v>
      </c>
      <c r="C4848" s="8" t="s">
        <v>11459</v>
      </c>
      <c r="D4848" s="8" t="s">
        <v>11460</v>
      </c>
      <c r="E4848" s="9" t="str">
        <f aca="false">HYPERLINK("https://twitter.com/FrantzianLeader/status/922281326945886208","922281326945886208")</f>
        <v>922281326945886208</v>
      </c>
      <c r="F4848" s="10" t="s">
        <v>39</v>
      </c>
      <c r="G4848" s="10" t="n">
        <v>1208</v>
      </c>
      <c r="H4848" s="10" t="n">
        <v>2960</v>
      </c>
      <c r="I4848" s="10" t="n">
        <v>0</v>
      </c>
      <c r="J4848" s="10" t="n">
        <v>0</v>
      </c>
      <c r="K4848" s="10" t="s">
        <v>20</v>
      </c>
      <c r="L4848" s="11" t="n">
        <v>42505.0149305556</v>
      </c>
      <c r="M4848" s="12" t="s">
        <v>11461</v>
      </c>
      <c r="N4848" s="12" t="s">
        <v>11462</v>
      </c>
      <c r="O4848" s="9" t="str">
        <f aca="false">HYPERLINK("https://pbs.twimg.com/profile_images/875280684545302528/XGXiiW00_normal.jpg","View")</f>
        <v>View</v>
      </c>
      <c r="P4848" s="10"/>
    </row>
    <row r="4849" customFormat="false" ht="15.75" hidden="false" customHeight="false" outlineLevel="0" collapsed="false">
      <c r="A4849" s="6" t="n">
        <v>43030.7915162037</v>
      </c>
      <c r="B4849" s="7" t="str">
        <f aca="false">HYPERLINK("https://twitter.com/ChiekoInCage","@ChiekoInCage")</f>
        <v>@ChiekoInCage</v>
      </c>
      <c r="C4849" s="8" t="s">
        <v>11463</v>
      </c>
      <c r="D4849" s="8" t="s">
        <v>11464</v>
      </c>
      <c r="E4849" s="9" t="str">
        <f aca="false">HYPERLINK("https://twitter.com/ChiekoInCage/status/922281365957091328","922281365957091328")</f>
        <v>922281365957091328</v>
      </c>
      <c r="F4849" s="10" t="s">
        <v>39</v>
      </c>
      <c r="G4849" s="10" t="n">
        <v>934</v>
      </c>
      <c r="H4849" s="10" t="n">
        <v>268</v>
      </c>
      <c r="I4849" s="10" t="n">
        <v>1</v>
      </c>
      <c r="J4849" s="10" t="n">
        <v>0</v>
      </c>
      <c r="K4849" s="10" t="s">
        <v>20</v>
      </c>
      <c r="L4849" s="11" t="n">
        <v>40895.0504398148</v>
      </c>
      <c r="M4849" s="12" t="s">
        <v>11465</v>
      </c>
      <c r="N4849" s="13" t="s">
        <v>11466</v>
      </c>
      <c r="O4849" s="9" t="str">
        <f aca="false">HYPERLINK("https://pbs.twimg.com/profile_images/765106894478290944/QUKoQR_I_normal.jpg","View")</f>
        <v>View</v>
      </c>
      <c r="P4849" s="10"/>
    </row>
    <row r="4850" customFormat="false" ht="15.75" hidden="false" customHeight="false" outlineLevel="0" collapsed="false">
      <c r="A4850" s="6" t="n">
        <v>43030.7916435185</v>
      </c>
      <c r="B4850" s="7" t="str">
        <f aca="false">HYPERLINK("https://twitter.com/MukeshKN","@MukeshKN")</f>
        <v>@MukeshKN</v>
      </c>
      <c r="C4850" s="8" t="s">
        <v>11467</v>
      </c>
      <c r="D4850" s="8" t="s">
        <v>8538</v>
      </c>
      <c r="E4850" s="9" t="str">
        <f aca="false">HYPERLINK("https://twitter.com/MukeshKN/status/922281411679215616","922281411679215616")</f>
        <v>922281411679215616</v>
      </c>
      <c r="F4850" s="10" t="s">
        <v>25</v>
      </c>
      <c r="G4850" s="10" t="n">
        <v>284</v>
      </c>
      <c r="H4850" s="10" t="n">
        <v>346</v>
      </c>
      <c r="I4850" s="10" t="n">
        <v>1015</v>
      </c>
      <c r="J4850" s="10" t="n">
        <v>0</v>
      </c>
      <c r="K4850" s="10" t="s">
        <v>20</v>
      </c>
      <c r="L4850" s="11" t="n">
        <v>39921.3429398148</v>
      </c>
      <c r="M4850" s="12" t="s">
        <v>11468</v>
      </c>
      <c r="N4850" s="12" t="s">
        <v>11469</v>
      </c>
      <c r="O4850" s="9" t="str">
        <f aca="false">HYPERLINK("https://pbs.twimg.com/profile_images/500888254921457666/gCMajP7d_normal.jpeg","View")</f>
        <v>View</v>
      </c>
      <c r="P4850" s="10"/>
    </row>
    <row r="4851" customFormat="false" ht="15.75" hidden="false" customHeight="false" outlineLevel="0" collapsed="false">
      <c r="A4851" s="6" t="n">
        <v>43030.7916782407</v>
      </c>
      <c r="B4851" s="7" t="str">
        <f aca="false">HYPERLINK("https://twitter.com/ssvsasp","@ssvsasp")</f>
        <v>@ssvsasp</v>
      </c>
      <c r="C4851" s="8" t="s">
        <v>11470</v>
      </c>
      <c r="D4851" s="8" t="s">
        <v>8538</v>
      </c>
      <c r="E4851" s="9" t="str">
        <f aca="false">HYPERLINK("https://twitter.com/ssvsasp/status/922281424228511745","922281424228511745")</f>
        <v>922281424228511745</v>
      </c>
      <c r="F4851" s="10" t="s">
        <v>39</v>
      </c>
      <c r="G4851" s="10" t="n">
        <v>326</v>
      </c>
      <c r="H4851" s="10" t="n">
        <v>344</v>
      </c>
      <c r="I4851" s="10" t="n">
        <v>1015</v>
      </c>
      <c r="J4851" s="10" t="n">
        <v>0</v>
      </c>
      <c r="K4851" s="10" t="s">
        <v>20</v>
      </c>
      <c r="L4851" s="11" t="n">
        <v>40903.0478819444</v>
      </c>
      <c r="M4851" s="12"/>
      <c r="N4851" s="12"/>
      <c r="O4851" s="9" t="str">
        <f aca="false">HYPERLINK("https://abs.twimg.com/sticky/default_profile_images/default_profile_normal.png","View")</f>
        <v>View</v>
      </c>
      <c r="P4851" s="10"/>
    </row>
    <row r="4852" customFormat="false" ht="15.75" hidden="false" customHeight="false" outlineLevel="0" collapsed="false">
      <c r="A4852" s="6" t="n">
        <v>43030.7916782407</v>
      </c>
      <c r="B4852" s="7" t="str">
        <f aca="false">HYPERLINK("https://twitter.com/momo_moow","@momo_moow")</f>
        <v>@momo_moow</v>
      </c>
      <c r="C4852" s="8" t="s">
        <v>11471</v>
      </c>
      <c r="D4852" s="8" t="s">
        <v>11033</v>
      </c>
      <c r="E4852" s="9" t="str">
        <f aca="false">HYPERLINK("https://twitter.com/momo_moow/status/922281426262749186","922281426262749186")</f>
        <v>922281426262749186</v>
      </c>
      <c r="F4852" s="10" t="s">
        <v>11472</v>
      </c>
      <c r="G4852" s="10" t="n">
        <v>163</v>
      </c>
      <c r="H4852" s="10" t="n">
        <v>144</v>
      </c>
      <c r="I4852" s="10" t="n">
        <v>60</v>
      </c>
      <c r="J4852" s="10" t="n">
        <v>0</v>
      </c>
      <c r="K4852" s="10" t="s">
        <v>20</v>
      </c>
      <c r="L4852" s="11" t="n">
        <v>41079.3765162037</v>
      </c>
      <c r="M4852" s="12"/>
      <c r="N4852" s="12" t="s">
        <v>11473</v>
      </c>
      <c r="O4852" s="9" t="str">
        <f aca="false">HYPERLINK("https://pbs.twimg.com/profile_images/920118523849879552/RU6LgwQX_normal.jpg","View")</f>
        <v>View</v>
      </c>
      <c r="P4852" s="10"/>
    </row>
    <row r="4853" customFormat="false" ht="15.75" hidden="false" customHeight="false" outlineLevel="0" collapsed="false">
      <c r="A4853" s="6" t="n">
        <v>43030.791712963</v>
      </c>
      <c r="B4853" s="7" t="str">
        <f aca="false">HYPERLINK("https://twitter.com/bpolitics","@bpolitics")</f>
        <v>@bpolitics</v>
      </c>
      <c r="C4853" s="8" t="s">
        <v>266</v>
      </c>
      <c r="D4853" s="8" t="s">
        <v>11474</v>
      </c>
      <c r="E4853" s="9" t="str">
        <f aca="false">HYPERLINK("https://twitter.com/bpolitics/status/922281436123729920","922281436123729920")</f>
        <v>922281436123729920</v>
      </c>
      <c r="F4853" s="10" t="s">
        <v>268</v>
      </c>
      <c r="G4853" s="10" t="n">
        <v>221392</v>
      </c>
      <c r="H4853" s="10" t="n">
        <v>868</v>
      </c>
      <c r="I4853" s="10" t="n">
        <v>1</v>
      </c>
      <c r="J4853" s="10" t="n">
        <v>0</v>
      </c>
      <c r="K4853" s="10" t="s">
        <v>20</v>
      </c>
      <c r="L4853" s="11" t="n">
        <v>41025.576400463</v>
      </c>
      <c r="M4853" s="12"/>
      <c r="N4853" s="12" t="s">
        <v>269</v>
      </c>
      <c r="O4853" s="9" t="str">
        <f aca="false">HYPERLINK("https://pbs.twimg.com/profile_images/714804098890133504/cUO4gD1A_normal.jpg","View")</f>
        <v>View</v>
      </c>
      <c r="P4853" s="10"/>
    </row>
    <row r="4854" customFormat="false" ht="15.75" hidden="false" customHeight="false" outlineLevel="0" collapsed="false">
      <c r="A4854" s="6" t="n">
        <v>43030.7917476852</v>
      </c>
      <c r="B4854" s="7" t="str">
        <f aca="false">HYPERLINK("https://twitter.com/jrj_jacobs","@jrj_jacobs")</f>
        <v>@jrj_jacobs</v>
      </c>
      <c r="C4854" s="8" t="s">
        <v>11475</v>
      </c>
      <c r="D4854" s="8" t="s">
        <v>11436</v>
      </c>
      <c r="E4854" s="9" t="str">
        <f aca="false">HYPERLINK("https://twitter.com/jrj_jacobs/status/922281449604071425","922281449604071425")</f>
        <v>922281449604071425</v>
      </c>
      <c r="F4854" s="10" t="s">
        <v>51</v>
      </c>
      <c r="G4854" s="10" t="n">
        <v>255</v>
      </c>
      <c r="H4854" s="10" t="n">
        <v>1034</v>
      </c>
      <c r="I4854" s="10" t="n">
        <v>6</v>
      </c>
      <c r="J4854" s="10" t="n">
        <v>0</v>
      </c>
      <c r="K4854" s="10" t="s">
        <v>20</v>
      </c>
      <c r="L4854" s="11" t="n">
        <v>40819.3501273148</v>
      </c>
      <c r="M4854" s="12" t="s">
        <v>11476</v>
      </c>
      <c r="N4854" s="12" t="s">
        <v>11477</v>
      </c>
      <c r="O4854" s="9" t="str">
        <f aca="false">HYPERLINK("https://pbs.twimg.com/profile_images/477651566774591489/E7uYYdDV_normal.jpeg","View")</f>
        <v>View</v>
      </c>
      <c r="P4854" s="10"/>
    </row>
    <row r="4855" customFormat="false" ht="15.75" hidden="false" customHeight="false" outlineLevel="0" collapsed="false">
      <c r="A4855" s="6" t="n">
        <v>43030.7917476852</v>
      </c>
      <c r="B4855" s="7" t="str">
        <f aca="false">HYPERLINK("https://twitter.com/momo_moow","@momo_moow")</f>
        <v>@momo_moow</v>
      </c>
      <c r="C4855" s="8" t="s">
        <v>11471</v>
      </c>
      <c r="D4855" s="8" t="s">
        <v>11284</v>
      </c>
      <c r="E4855" s="9" t="str">
        <f aca="false">HYPERLINK("https://twitter.com/momo_moow/status/922281449671180288","922281449671180288")</f>
        <v>922281449671180288</v>
      </c>
      <c r="F4855" s="10" t="s">
        <v>11472</v>
      </c>
      <c r="G4855" s="10" t="n">
        <v>163</v>
      </c>
      <c r="H4855" s="10" t="n">
        <v>144</v>
      </c>
      <c r="I4855" s="10" t="n">
        <v>41</v>
      </c>
      <c r="J4855" s="10" t="n">
        <v>0</v>
      </c>
      <c r="K4855" s="10" t="s">
        <v>20</v>
      </c>
      <c r="L4855" s="11" t="n">
        <v>41079.3765162037</v>
      </c>
      <c r="M4855" s="12"/>
      <c r="N4855" s="12" t="s">
        <v>11473</v>
      </c>
      <c r="O4855" s="9" t="str">
        <f aca="false">HYPERLINK("https://pbs.twimg.com/profile_images/920118523849879552/RU6LgwQX_normal.jpg","View")</f>
        <v>View</v>
      </c>
      <c r="P4855" s="10"/>
    </row>
    <row r="4856" customFormat="false" ht="15.75" hidden="false" customHeight="false" outlineLevel="0" collapsed="false">
      <c r="A4856" s="6" t="n">
        <v>43030.7918171296</v>
      </c>
      <c r="B4856" s="7" t="str">
        <f aca="false">HYPERLINK("https://twitter.com/questionforall","@questionforall")</f>
        <v>@questionforall</v>
      </c>
      <c r="C4856" s="8" t="s">
        <v>11478</v>
      </c>
      <c r="D4856" s="8" t="s">
        <v>11479</v>
      </c>
      <c r="E4856" s="9" t="str">
        <f aca="false">HYPERLINK("https://twitter.com/questionforall/status/922281476410036225","922281476410036225")</f>
        <v>922281476410036225</v>
      </c>
      <c r="F4856" s="10" t="s">
        <v>11480</v>
      </c>
      <c r="G4856" s="10" t="n">
        <v>8140</v>
      </c>
      <c r="H4856" s="10" t="n">
        <v>1</v>
      </c>
      <c r="I4856" s="10" t="n">
        <v>1</v>
      </c>
      <c r="J4856" s="10" t="n">
        <v>0</v>
      </c>
      <c r="K4856" s="10" t="s">
        <v>20</v>
      </c>
      <c r="L4856" s="11" t="n">
        <v>39828.0931365741</v>
      </c>
      <c r="M4856" s="12" t="s">
        <v>2102</v>
      </c>
      <c r="N4856" s="12" t="s">
        <v>11481</v>
      </c>
      <c r="O4856" s="9" t="str">
        <f aca="false">HYPERLINK("https://pbs.twimg.com/profile_images/923920620697608192/78QhL_38_normal.jpg","View")</f>
        <v>View</v>
      </c>
      <c r="P4856" s="10"/>
    </row>
    <row r="4857" customFormat="false" ht="15.75" hidden="false" customHeight="false" outlineLevel="0" collapsed="false">
      <c r="A4857" s="6" t="n">
        <v>43030.7921064815</v>
      </c>
      <c r="B4857" s="7" t="str">
        <f aca="false">HYPERLINK("https://twitter.com/AladinaJohn","@AladinaJohn")</f>
        <v>@AladinaJohn</v>
      </c>
      <c r="C4857" s="8" t="s">
        <v>11482</v>
      </c>
      <c r="D4857" s="8" t="s">
        <v>11084</v>
      </c>
      <c r="E4857" s="9" t="str">
        <f aca="false">HYPERLINK("https://twitter.com/AladinaJohn/status/922281581334683648","922281581334683648")</f>
        <v>922281581334683648</v>
      </c>
      <c r="F4857" s="10" t="s">
        <v>25</v>
      </c>
      <c r="G4857" s="10" t="n">
        <v>1110</v>
      </c>
      <c r="H4857" s="10" t="n">
        <v>626</v>
      </c>
      <c r="I4857" s="10" t="n">
        <v>13</v>
      </c>
      <c r="J4857" s="10" t="n">
        <v>0</v>
      </c>
      <c r="K4857" s="10" t="s">
        <v>20</v>
      </c>
      <c r="L4857" s="11" t="n">
        <v>42765.3930902778</v>
      </c>
      <c r="M4857" s="12" t="s">
        <v>11483</v>
      </c>
      <c r="N4857" s="12" t="s">
        <v>11484</v>
      </c>
      <c r="O4857" s="9" t="str">
        <f aca="false">HYPERLINK("https://pbs.twimg.com/profile_images/829307856151277569/JX8OOzt5_normal.jpg","View")</f>
        <v>View</v>
      </c>
      <c r="P4857" s="10"/>
    </row>
    <row r="4858" customFormat="false" ht="15.75" hidden="false" customHeight="false" outlineLevel="0" collapsed="false">
      <c r="A4858" s="6" t="n">
        <v>43030.7921296296</v>
      </c>
      <c r="B4858" s="7" t="str">
        <f aca="false">HYPERLINK("https://twitter.com/KailashVishnu","@KailashVishnu")</f>
        <v>@KailashVishnu</v>
      </c>
      <c r="C4858" s="8" t="s">
        <v>11485</v>
      </c>
      <c r="D4858" s="8" t="s">
        <v>8538</v>
      </c>
      <c r="E4858" s="9" t="str">
        <f aca="false">HYPERLINK("https://twitter.com/KailashVishnu/status/922281589316272128","922281589316272128")</f>
        <v>922281589316272128</v>
      </c>
      <c r="F4858" s="10" t="s">
        <v>51</v>
      </c>
      <c r="G4858" s="10" t="n">
        <v>156</v>
      </c>
      <c r="H4858" s="10" t="n">
        <v>27</v>
      </c>
      <c r="I4858" s="10" t="n">
        <v>1015</v>
      </c>
      <c r="J4858" s="10" t="n">
        <v>0</v>
      </c>
      <c r="K4858" s="10" t="s">
        <v>20</v>
      </c>
      <c r="L4858" s="11" t="n">
        <v>41745.3008333333</v>
      </c>
      <c r="M4858" s="12" t="s">
        <v>11486</v>
      </c>
      <c r="N4858" s="12" t="s">
        <v>11487</v>
      </c>
      <c r="O4858" s="9" t="str">
        <f aca="false">HYPERLINK("https://pbs.twimg.com/profile_images/575048027460624385/UQpHXfQq_normal.jpeg","View")</f>
        <v>View</v>
      </c>
      <c r="P4858" s="10"/>
    </row>
    <row r="4859" customFormat="false" ht="15.75" hidden="false" customHeight="false" outlineLevel="0" collapsed="false">
      <c r="A4859" s="6" t="n">
        <v>43030.7927430556</v>
      </c>
      <c r="B4859" s="7" t="str">
        <f aca="false">HYPERLINK("https://twitter.com/hashimoto914","@hashimoto914")</f>
        <v>@hashimoto914</v>
      </c>
      <c r="C4859" s="14" t="s">
        <v>8050</v>
      </c>
      <c r="D4859" s="8" t="s">
        <v>11418</v>
      </c>
      <c r="E4859" s="9" t="str">
        <f aca="false">HYPERLINK("https://twitter.com/hashimoto914/status/922281811572531201","922281811572531201")</f>
        <v>922281811572531201</v>
      </c>
      <c r="F4859" s="10" t="s">
        <v>51</v>
      </c>
      <c r="G4859" s="10" t="n">
        <v>2698</v>
      </c>
      <c r="H4859" s="10" t="n">
        <v>3327</v>
      </c>
      <c r="I4859" s="10" t="n">
        <v>38</v>
      </c>
      <c r="J4859" s="10" t="n">
        <v>0</v>
      </c>
      <c r="K4859" s="10" t="s">
        <v>20</v>
      </c>
      <c r="L4859" s="11" t="n">
        <v>41369.3802430556</v>
      </c>
      <c r="M4859" s="13" t="s">
        <v>160</v>
      </c>
      <c r="N4859" s="13" t="s">
        <v>8051</v>
      </c>
      <c r="O4859" s="9" t="str">
        <f aca="false">HYPERLINK("https://pbs.twimg.com/profile_images/752113030800896000/AogHXcMs_normal.jpg","View")</f>
        <v>View</v>
      </c>
      <c r="P4859" s="10"/>
    </row>
    <row r="4860" customFormat="false" ht="15.75" hidden="false" customHeight="false" outlineLevel="0" collapsed="false">
      <c r="A4860" s="6" t="n">
        <v>43030.7928356481</v>
      </c>
      <c r="B4860" s="7" t="str">
        <f aca="false">HYPERLINK("https://twitter.com/havre3st","@havre3st")</f>
        <v>@havre3st</v>
      </c>
      <c r="C4860" s="8" t="s">
        <v>11488</v>
      </c>
      <c r="D4860" s="8" t="s">
        <v>10127</v>
      </c>
      <c r="E4860" s="9" t="str">
        <f aca="false">HYPERLINK("https://twitter.com/havre3st/status/922281845345042432","922281845345042432")</f>
        <v>922281845345042432</v>
      </c>
      <c r="F4860" s="10" t="s">
        <v>39</v>
      </c>
      <c r="G4860" s="10" t="n">
        <v>97</v>
      </c>
      <c r="H4860" s="10" t="n">
        <v>1381</v>
      </c>
      <c r="I4860" s="10" t="n">
        <v>8</v>
      </c>
      <c r="J4860" s="10" t="n">
        <v>0</v>
      </c>
      <c r="K4860" s="10" t="s">
        <v>20</v>
      </c>
      <c r="L4860" s="11" t="n">
        <v>40014.0827430556</v>
      </c>
      <c r="M4860" s="12" t="s">
        <v>11489</v>
      </c>
      <c r="N4860" s="12" t="s">
        <v>11490</v>
      </c>
      <c r="O4860" s="9" t="str">
        <f aca="false">HYPERLINK("https://pbs.twimg.com/profile_images/777042588/image_ii_normal.jpg","View")</f>
        <v>View</v>
      </c>
      <c r="P4860" s="10"/>
    </row>
    <row r="4861" customFormat="false" ht="15.75" hidden="false" customHeight="false" outlineLevel="0" collapsed="false">
      <c r="A4861" s="6" t="n">
        <v>43030.7928356481</v>
      </c>
      <c r="B4861" s="7" t="str">
        <f aca="false">HYPERLINK("https://twitter.com/Bhaskarg77G","@Bhaskarg77G")</f>
        <v>@Bhaskarg77G</v>
      </c>
      <c r="C4861" s="8" t="s">
        <v>11491</v>
      </c>
      <c r="D4861" s="8" t="s">
        <v>8538</v>
      </c>
      <c r="E4861" s="9" t="str">
        <f aca="false">HYPERLINK("https://twitter.com/Bhaskarg77G/status/922281845894475776","922281845894475776")</f>
        <v>922281845894475776</v>
      </c>
      <c r="F4861" s="10" t="s">
        <v>25</v>
      </c>
      <c r="G4861" s="10" t="n">
        <v>1289</v>
      </c>
      <c r="H4861" s="10" t="n">
        <v>598</v>
      </c>
      <c r="I4861" s="10" t="n">
        <v>1015</v>
      </c>
      <c r="J4861" s="10" t="n">
        <v>0</v>
      </c>
      <c r="K4861" s="10" t="s">
        <v>20</v>
      </c>
      <c r="L4861" s="11" t="n">
        <v>41153.1075231482</v>
      </c>
      <c r="M4861" s="12" t="s">
        <v>6635</v>
      </c>
      <c r="N4861" s="12" t="s">
        <v>11492</v>
      </c>
      <c r="O4861" s="9" t="str">
        <f aca="false">HYPERLINK("https://pbs.twimg.com/profile_images/632252463211376640/chm3oyAc_normal.png","View")</f>
        <v>View</v>
      </c>
      <c r="P4861" s="10"/>
    </row>
    <row r="4862" customFormat="false" ht="15.75" hidden="false" customHeight="false" outlineLevel="0" collapsed="false">
      <c r="A4862" s="6" t="n">
        <v>43030.7929050926</v>
      </c>
      <c r="B4862" s="7" t="str">
        <f aca="false">HYPERLINK("https://twitter.com/berfborg","@berfborg")</f>
        <v>@berfborg</v>
      </c>
      <c r="C4862" s="8" t="s">
        <v>11493</v>
      </c>
      <c r="D4862" s="8" t="s">
        <v>11436</v>
      </c>
      <c r="E4862" s="9" t="str">
        <f aca="false">HYPERLINK("https://twitter.com/berfborg/status/922281870234193921","922281870234193921")</f>
        <v>922281870234193921</v>
      </c>
      <c r="F4862" s="10" t="s">
        <v>51</v>
      </c>
      <c r="G4862" s="10" t="n">
        <v>545</v>
      </c>
      <c r="H4862" s="10" t="n">
        <v>3989</v>
      </c>
      <c r="I4862" s="10" t="n">
        <v>6</v>
      </c>
      <c r="J4862" s="10" t="n">
        <v>0</v>
      </c>
      <c r="K4862" s="10" t="s">
        <v>20</v>
      </c>
      <c r="L4862" s="11" t="n">
        <v>42330.8477314815</v>
      </c>
      <c r="M4862" s="12" t="s">
        <v>11494</v>
      </c>
      <c r="N4862" s="12" t="s">
        <v>11495</v>
      </c>
      <c r="O4862" s="9" t="str">
        <f aca="false">HYPERLINK("https://pbs.twimg.com/profile_images/837544283095756800/5jN9M7W8_normal.jpg","View")</f>
        <v>View</v>
      </c>
      <c r="P4862" s="10"/>
    </row>
    <row r="4863" customFormat="false" ht="15.75" hidden="false" customHeight="false" outlineLevel="0" collapsed="false">
      <c r="A4863" s="6" t="n">
        <v>43030.7930555556</v>
      </c>
      <c r="B4863" s="7" t="str">
        <f aca="false">HYPERLINK("https://twitter.com/poi5vron","@poi5vron")</f>
        <v>@poi5vron</v>
      </c>
      <c r="C4863" s="8" t="s">
        <v>11496</v>
      </c>
      <c r="D4863" s="8" t="s">
        <v>10127</v>
      </c>
      <c r="E4863" s="9" t="str">
        <f aca="false">HYPERLINK("https://twitter.com/poi5vron/status/922281922641895424","922281922641895424")</f>
        <v>922281922641895424</v>
      </c>
      <c r="F4863" s="10" t="s">
        <v>39</v>
      </c>
      <c r="G4863" s="10" t="n">
        <v>105</v>
      </c>
      <c r="H4863" s="10" t="n">
        <v>1214</v>
      </c>
      <c r="I4863" s="10" t="n">
        <v>8</v>
      </c>
      <c r="J4863" s="10" t="n">
        <v>0</v>
      </c>
      <c r="K4863" s="10" t="s">
        <v>20</v>
      </c>
      <c r="L4863" s="11" t="n">
        <v>40328.8492013889</v>
      </c>
      <c r="M4863" s="12" t="s">
        <v>11497</v>
      </c>
      <c r="N4863" s="12" t="s">
        <v>11498</v>
      </c>
      <c r="O4863" s="9" t="str">
        <f aca="false">HYPERLINK("https://pbs.twimg.com/profile_images/1252548068/P1000058_normal.jpg","View")</f>
        <v>View</v>
      </c>
      <c r="P4863" s="10"/>
    </row>
    <row r="4864" customFormat="false" ht="15.75" hidden="false" customHeight="false" outlineLevel="0" collapsed="false">
      <c r="A4864" s="6" t="n">
        <v>43030.7930671296</v>
      </c>
      <c r="B4864" s="7" t="str">
        <f aca="false">HYPERLINK("https://twitter.com/gk_thehindutva","@gk_thehindutva")</f>
        <v>@gk_thehindutva</v>
      </c>
      <c r="C4864" s="8" t="s">
        <v>11499</v>
      </c>
      <c r="D4864" s="8" t="s">
        <v>8538</v>
      </c>
      <c r="E4864" s="9" t="str">
        <f aca="false">HYPERLINK("https://twitter.com/gk_thehindutva/status/922281929885413377","922281929885413377")</f>
        <v>922281929885413377</v>
      </c>
      <c r="F4864" s="10" t="s">
        <v>25</v>
      </c>
      <c r="G4864" s="10" t="n">
        <v>75</v>
      </c>
      <c r="H4864" s="10" t="n">
        <v>50</v>
      </c>
      <c r="I4864" s="10" t="n">
        <v>1015</v>
      </c>
      <c r="J4864" s="10" t="n">
        <v>0</v>
      </c>
      <c r="K4864" s="10" t="s">
        <v>20</v>
      </c>
      <c r="L4864" s="11" t="n">
        <v>42667.0518634259</v>
      </c>
      <c r="M4864" s="12" t="s">
        <v>11500</v>
      </c>
      <c r="N4864" s="12" t="s">
        <v>11501</v>
      </c>
      <c r="O4864" s="9" t="str">
        <f aca="false">HYPERLINK("https://pbs.twimg.com/profile_images/898933641169874944/WaDXdbb-_normal.jpg","View")</f>
        <v>View</v>
      </c>
      <c r="P4864" s="10"/>
    </row>
    <row r="4865" customFormat="false" ht="15.75" hidden="false" customHeight="false" outlineLevel="0" collapsed="false">
      <c r="A4865" s="6" t="n">
        <v>43030.7931018519</v>
      </c>
      <c r="B4865" s="7" t="str">
        <f aca="false">HYPERLINK("https://twitter.com/drifter_N","@drifter_N")</f>
        <v>@drifter_N</v>
      </c>
      <c r="C4865" s="8" t="s">
        <v>11502</v>
      </c>
      <c r="D4865" s="8" t="s">
        <v>11418</v>
      </c>
      <c r="E4865" s="9" t="str">
        <f aca="false">HYPERLINK("https://twitter.com/drifter_N/status/922281941210095616","922281941210095616")</f>
        <v>922281941210095616</v>
      </c>
      <c r="F4865" s="10" t="s">
        <v>51</v>
      </c>
      <c r="G4865" s="10" t="n">
        <v>1911</v>
      </c>
      <c r="H4865" s="10" t="n">
        <v>4278</v>
      </c>
      <c r="I4865" s="10" t="n">
        <v>38</v>
      </c>
      <c r="J4865" s="10" t="n">
        <v>0</v>
      </c>
      <c r="K4865" s="10" t="s">
        <v>20</v>
      </c>
      <c r="L4865" s="11" t="n">
        <v>40330.0920023148</v>
      </c>
      <c r="M4865" s="12"/>
      <c r="N4865" s="13" t="s">
        <v>11503</v>
      </c>
      <c r="O4865" s="9" t="str">
        <f aca="false">HYPERLINK("https://pbs.twimg.com/profile_images/1019320437/twitter_normal.jpg","View")</f>
        <v>View</v>
      </c>
      <c r="P4865" s="10"/>
    </row>
    <row r="4866" customFormat="false" ht="15.75" hidden="false" customHeight="false" outlineLevel="0" collapsed="false">
      <c r="A4866" s="6" t="n">
        <v>43030.7934490741</v>
      </c>
      <c r="B4866" s="7" t="str">
        <f aca="false">HYPERLINK("https://twitter.com/moin5re","@moin5re")</f>
        <v>@moin5re</v>
      </c>
      <c r="C4866" s="8" t="s">
        <v>11504</v>
      </c>
      <c r="D4866" s="8" t="s">
        <v>10127</v>
      </c>
      <c r="E4866" s="9" t="str">
        <f aca="false">HYPERLINK("https://twitter.com/moin5re/status/922282064514187264","922282064514187264")</f>
        <v>922282064514187264</v>
      </c>
      <c r="F4866" s="10" t="s">
        <v>39</v>
      </c>
      <c r="G4866" s="10" t="n">
        <v>42</v>
      </c>
      <c r="H4866" s="10" t="n">
        <v>117</v>
      </c>
      <c r="I4866" s="10" t="n">
        <v>8</v>
      </c>
      <c r="J4866" s="10" t="n">
        <v>0</v>
      </c>
      <c r="K4866" s="10" t="s">
        <v>20</v>
      </c>
      <c r="L4866" s="11" t="n">
        <v>40328.8517939815</v>
      </c>
      <c r="M4866" s="12" t="s">
        <v>11505</v>
      </c>
      <c r="N4866" s="13" t="s">
        <v>11506</v>
      </c>
      <c r="O4866" s="9" t="str">
        <f aca="false">HYPERLINK("https://pbs.twimg.com/profile_images/463469772059860993/y-K0Lr_2_normal.jpeg","View")</f>
        <v>View</v>
      </c>
      <c r="P4866" s="10"/>
    </row>
    <row r="4867" customFormat="false" ht="15.75" hidden="false" customHeight="false" outlineLevel="0" collapsed="false">
      <c r="A4867" s="6" t="n">
        <v>43030.7936342593</v>
      </c>
      <c r="B4867" s="7" t="str">
        <f aca="false">HYPERLINK("https://twitter.com/LaScallywag","@LaScallywag")</f>
        <v>@LaScallywag</v>
      </c>
      <c r="C4867" s="8" t="s">
        <v>11507</v>
      </c>
      <c r="D4867" s="8" t="s">
        <v>11033</v>
      </c>
      <c r="E4867" s="9" t="str">
        <f aca="false">HYPERLINK("https://twitter.com/LaScallywag/status/922282132642385920","922282132642385920")</f>
        <v>922282132642385920</v>
      </c>
      <c r="F4867" s="10" t="s">
        <v>51</v>
      </c>
      <c r="G4867" s="10" t="n">
        <v>2625</v>
      </c>
      <c r="H4867" s="10" t="n">
        <v>4992</v>
      </c>
      <c r="I4867" s="10" t="n">
        <v>60</v>
      </c>
      <c r="J4867" s="10" t="n">
        <v>0</v>
      </c>
      <c r="K4867" s="10" t="s">
        <v>20</v>
      </c>
      <c r="L4867" s="11" t="n">
        <v>41594.0008912037</v>
      </c>
      <c r="M4867" s="12" t="s">
        <v>11508</v>
      </c>
      <c r="N4867" s="12" t="s">
        <v>11509</v>
      </c>
      <c r="O4867" s="9" t="str">
        <f aca="false">HYPERLINK("https://pbs.twimg.com/profile_images/892852101260337152/VIyMcTsP_normal.jpg","View")</f>
        <v>View</v>
      </c>
      <c r="P4867" s="10"/>
    </row>
    <row r="4868" customFormat="false" ht="15.75" hidden="false" customHeight="false" outlineLevel="0" collapsed="false">
      <c r="A4868" s="6" t="n">
        <v>43030.79375</v>
      </c>
      <c r="B4868" s="7" t="str">
        <f aca="false">HYPERLINK("https://twitter.com/2a58b881299b4c4","@2a58b881299b4c4")</f>
        <v>@2a58b881299b4c4</v>
      </c>
      <c r="C4868" s="8" t="s">
        <v>11510</v>
      </c>
      <c r="D4868" s="8" t="s">
        <v>8538</v>
      </c>
      <c r="E4868" s="9" t="str">
        <f aca="false">HYPERLINK("https://twitter.com/2a58b881299b4c4/status/922282173868249089","922282173868249089")</f>
        <v>922282173868249089</v>
      </c>
      <c r="F4868" s="10" t="s">
        <v>25</v>
      </c>
      <c r="G4868" s="10" t="n">
        <v>141</v>
      </c>
      <c r="H4868" s="10" t="n">
        <v>444</v>
      </c>
      <c r="I4868" s="10" t="n">
        <v>1015</v>
      </c>
      <c r="J4868" s="10" t="n">
        <v>0</v>
      </c>
      <c r="K4868" s="10" t="s">
        <v>20</v>
      </c>
      <c r="L4868" s="11" t="n">
        <v>42009.8099074074</v>
      </c>
      <c r="M4868" s="12" t="s">
        <v>11511</v>
      </c>
      <c r="N4868" s="12"/>
      <c r="O4868" s="9" t="str">
        <f aca="false">HYPERLINK("https://abs.twimg.com/sticky/default_profile_images/default_profile_normal.png","View")</f>
        <v>View</v>
      </c>
      <c r="P4868" s="10"/>
    </row>
    <row r="4869" customFormat="false" ht="15.75" hidden="false" customHeight="false" outlineLevel="0" collapsed="false">
      <c r="A4869" s="6" t="n">
        <v>43030.7938541667</v>
      </c>
      <c r="B4869" s="7" t="str">
        <f aca="false">HYPERLINK("https://twitter.com/pinanksanghvi","@pinanksanghvi")</f>
        <v>@pinanksanghvi</v>
      </c>
      <c r="C4869" s="8" t="s">
        <v>11512</v>
      </c>
      <c r="D4869" s="8" t="s">
        <v>8538</v>
      </c>
      <c r="E4869" s="9" t="str">
        <f aca="false">HYPERLINK("https://twitter.com/pinanksanghvi/status/922282213890080768","922282213890080768")</f>
        <v>922282213890080768</v>
      </c>
      <c r="F4869" s="10" t="s">
        <v>25</v>
      </c>
      <c r="G4869" s="10" t="n">
        <v>90</v>
      </c>
      <c r="H4869" s="10" t="n">
        <v>40</v>
      </c>
      <c r="I4869" s="10" t="n">
        <v>1015</v>
      </c>
      <c r="J4869" s="10" t="n">
        <v>0</v>
      </c>
      <c r="K4869" s="10" t="s">
        <v>20</v>
      </c>
      <c r="L4869" s="11" t="n">
        <v>40222.5139351852</v>
      </c>
      <c r="M4869" s="12"/>
      <c r="N4869" s="12"/>
      <c r="O4869" s="9" t="str">
        <f aca="false">HYPERLINK("https://pbs.twimg.com/profile_images/835189192112156673/eHM1E77b_normal.jpg","View")</f>
        <v>View</v>
      </c>
      <c r="P4869" s="10"/>
    </row>
    <row r="4870" customFormat="false" ht="15.75" hidden="false" customHeight="false" outlineLevel="0" collapsed="false">
      <c r="A4870" s="6" t="n">
        <v>43030.794224537</v>
      </c>
      <c r="B4870" s="7" t="str">
        <f aca="false">HYPERLINK("https://twitter.com/urtrading","@urtrading")</f>
        <v>@urtrading</v>
      </c>
      <c r="C4870" s="8" t="s">
        <v>11513</v>
      </c>
      <c r="D4870" s="8" t="s">
        <v>11514</v>
      </c>
      <c r="E4870" s="9" t="str">
        <f aca="false">HYPERLINK("https://twitter.com/urtrading/status/922282346296029184","922282346296029184")</f>
        <v>922282346296029184</v>
      </c>
      <c r="F4870" s="10" t="s">
        <v>39</v>
      </c>
      <c r="G4870" s="10" t="n">
        <v>3132</v>
      </c>
      <c r="H4870" s="10" t="n">
        <v>5002</v>
      </c>
      <c r="I4870" s="10" t="n">
        <v>0</v>
      </c>
      <c r="J4870" s="10" t="n">
        <v>0</v>
      </c>
      <c r="K4870" s="10" t="s">
        <v>20</v>
      </c>
      <c r="L4870" s="11" t="n">
        <v>41488.342349537</v>
      </c>
      <c r="M4870" s="12" t="s">
        <v>11515</v>
      </c>
      <c r="N4870" s="12" t="s">
        <v>11516</v>
      </c>
      <c r="O4870" s="9" t="str">
        <f aca="false">HYPERLINK("https://pbs.twimg.com/profile_images/853349434083737602/H55EKb_D_normal.jpg","View")</f>
        <v>View</v>
      </c>
      <c r="P4870" s="10"/>
    </row>
    <row r="4871" customFormat="false" ht="15.75" hidden="false" customHeight="false" outlineLevel="0" collapsed="false">
      <c r="A4871" s="6" t="n">
        <v>43030.7943518519</v>
      </c>
      <c r="B4871" s="7" t="str">
        <f aca="false">HYPERLINK("https://twitter.com/santiago0612","@santiago0612")</f>
        <v>@santiago0612</v>
      </c>
      <c r="C4871" s="8" t="s">
        <v>11517</v>
      </c>
      <c r="D4871" s="8" t="s">
        <v>10997</v>
      </c>
      <c r="E4871" s="9" t="str">
        <f aca="false">HYPERLINK("https://twitter.com/santiago0612/status/922282393653755904","922282393653755904")</f>
        <v>922282393653755904</v>
      </c>
      <c r="F4871" s="10" t="s">
        <v>51</v>
      </c>
      <c r="G4871" s="10" t="n">
        <v>837</v>
      </c>
      <c r="H4871" s="10" t="n">
        <v>481</v>
      </c>
      <c r="I4871" s="10" t="n">
        <v>27</v>
      </c>
      <c r="J4871" s="10" t="n">
        <v>0</v>
      </c>
      <c r="K4871" s="10" t="s">
        <v>20</v>
      </c>
      <c r="L4871" s="11" t="n">
        <v>40690.277962963</v>
      </c>
      <c r="M4871" s="12" t="s">
        <v>2806</v>
      </c>
      <c r="N4871" s="12" t="s">
        <v>11518</v>
      </c>
      <c r="O4871" s="9" t="str">
        <f aca="false">HYPERLINK("https://pbs.twimg.com/profile_images/880163969985646592/3kocC1tZ_normal.jpg","View")</f>
        <v>View</v>
      </c>
      <c r="P4871" s="10"/>
    </row>
    <row r="4872" customFormat="false" ht="15.75" hidden="false" customHeight="false" outlineLevel="0" collapsed="false">
      <c r="A4872" s="6" t="n">
        <v>43030.7948842593</v>
      </c>
      <c r="B4872" s="7" t="str">
        <f aca="false">HYPERLINK("https://twitter.com/mahapatra_abhi","@mahapatra_abhi")</f>
        <v>@mahapatra_abhi</v>
      </c>
      <c r="C4872" s="8" t="s">
        <v>11519</v>
      </c>
      <c r="D4872" s="8" t="s">
        <v>7375</v>
      </c>
      <c r="E4872" s="9" t="str">
        <f aca="false">HYPERLINK("https://twitter.com/mahapatra_abhi/status/922282587770339328","922282587770339328")</f>
        <v>922282587770339328</v>
      </c>
      <c r="F4872" s="10" t="s">
        <v>25</v>
      </c>
      <c r="G4872" s="10" t="n">
        <v>869</v>
      </c>
      <c r="H4872" s="10" t="n">
        <v>480</v>
      </c>
      <c r="I4872" s="10" t="n">
        <v>5</v>
      </c>
      <c r="J4872" s="10" t="n">
        <v>0</v>
      </c>
      <c r="K4872" s="10" t="s">
        <v>20</v>
      </c>
      <c r="L4872" s="11" t="n">
        <v>39961.9463773148</v>
      </c>
      <c r="M4872" s="12" t="s">
        <v>9148</v>
      </c>
      <c r="N4872" s="12" t="s">
        <v>11520</v>
      </c>
      <c r="O4872" s="9" t="str">
        <f aca="false">HYPERLINK("https://pbs.twimg.com/profile_images/617501200292786177/t564P7Lg_normal.jpg","View")</f>
        <v>View</v>
      </c>
      <c r="P4872" s="10"/>
    </row>
    <row r="4873" customFormat="false" ht="15.75" hidden="false" customHeight="false" outlineLevel="0" collapsed="false">
      <c r="A4873" s="6" t="n">
        <v>43030.7949074074</v>
      </c>
      <c r="B4873" s="7" t="str">
        <f aca="false">HYPERLINK("https://twitter.com/Sakura_hirakuyo","@Sakura_hirakuyo")</f>
        <v>@Sakura_hirakuyo</v>
      </c>
      <c r="C4873" s="8" t="s">
        <v>11521</v>
      </c>
      <c r="D4873" s="8" t="s">
        <v>11418</v>
      </c>
      <c r="E4873" s="9" t="str">
        <f aca="false">HYPERLINK("https://twitter.com/Sakura_hirakuyo/status/922282593348870145","922282593348870145")</f>
        <v>922282593348870145</v>
      </c>
      <c r="F4873" s="10" t="s">
        <v>177</v>
      </c>
      <c r="G4873" s="10" t="n">
        <v>415</v>
      </c>
      <c r="H4873" s="10" t="n">
        <v>901</v>
      </c>
      <c r="I4873" s="10" t="n">
        <v>38</v>
      </c>
      <c r="J4873" s="10" t="n">
        <v>0</v>
      </c>
      <c r="K4873" s="10" t="s">
        <v>20</v>
      </c>
      <c r="L4873" s="11" t="n">
        <v>41670.6890393519</v>
      </c>
      <c r="M4873" s="13" t="s">
        <v>152</v>
      </c>
      <c r="N4873" s="13" t="s">
        <v>11522</v>
      </c>
      <c r="O4873" s="9" t="str">
        <f aca="false">HYPERLINK("https://pbs.twimg.com/profile_images/748077993222766592/0VczxfeT_normal.jpg","View")</f>
        <v>View</v>
      </c>
      <c r="P4873" s="10"/>
    </row>
    <row r="4874" customFormat="false" ht="15.75" hidden="false" customHeight="false" outlineLevel="0" collapsed="false">
      <c r="A4874" s="6" t="n">
        <v>43030.7949305556</v>
      </c>
      <c r="B4874" s="7" t="str">
        <f aca="false">HYPERLINK("https://twitter.com/1045Aki","@1045Aki")</f>
        <v>@1045Aki</v>
      </c>
      <c r="C4874" s="14" t="s">
        <v>11523</v>
      </c>
      <c r="D4874" s="8" t="s">
        <v>11418</v>
      </c>
      <c r="E4874" s="9" t="str">
        <f aca="false">HYPERLINK("https://twitter.com/1045Aki/status/922282603159236608","922282603159236608")</f>
        <v>922282603159236608</v>
      </c>
      <c r="F4874" s="10" t="s">
        <v>25</v>
      </c>
      <c r="G4874" s="10" t="n">
        <v>627</v>
      </c>
      <c r="H4874" s="10" t="n">
        <v>192</v>
      </c>
      <c r="I4874" s="10" t="n">
        <v>38</v>
      </c>
      <c r="J4874" s="10" t="n">
        <v>0</v>
      </c>
      <c r="K4874" s="10" t="s">
        <v>20</v>
      </c>
      <c r="L4874" s="11" t="n">
        <v>42093.2256712963</v>
      </c>
      <c r="M4874" s="12"/>
      <c r="N4874" s="13" t="s">
        <v>11524</v>
      </c>
      <c r="O4874" s="9" t="str">
        <f aca="false">HYPERLINK("https://abs.twimg.com/sticky/default_profile_images/default_profile_normal.png","View")</f>
        <v>View</v>
      </c>
      <c r="P4874" s="10"/>
    </row>
    <row r="4875" customFormat="false" ht="15.75" hidden="false" customHeight="false" outlineLevel="0" collapsed="false">
      <c r="A4875" s="6" t="n">
        <v>43030.7949652778</v>
      </c>
      <c r="B4875" s="7" t="str">
        <f aca="false">HYPERLINK("https://twitter.com/beritahariiini","@beritahariiini")</f>
        <v>@beritahariiini</v>
      </c>
      <c r="C4875" s="8" t="s">
        <v>11525</v>
      </c>
      <c r="D4875" s="8" t="s">
        <v>11526</v>
      </c>
      <c r="E4875" s="9" t="str">
        <f aca="false">HYPERLINK("https://twitter.com/beritahariiini/status/922282615985594368","922282615985594368")</f>
        <v>922282615985594368</v>
      </c>
      <c r="F4875" s="9" t="s">
        <v>979</v>
      </c>
      <c r="G4875" s="10" t="n">
        <v>11</v>
      </c>
      <c r="H4875" s="10" t="n">
        <v>45</v>
      </c>
      <c r="I4875" s="10" t="n">
        <v>0</v>
      </c>
      <c r="J4875" s="10" t="n">
        <v>0</v>
      </c>
      <c r="K4875" s="10" t="s">
        <v>20</v>
      </c>
      <c r="L4875" s="11" t="n">
        <v>42993.7736805556</v>
      </c>
      <c r="M4875" s="12" t="s">
        <v>2724</v>
      </c>
      <c r="N4875" s="12" t="s">
        <v>11527</v>
      </c>
      <c r="O4875" s="9" t="str">
        <f aca="false">HYPERLINK("https://pbs.twimg.com/profile_images/908868859767037952/DfWmszAN_normal.jpg","View")</f>
        <v>View</v>
      </c>
      <c r="P4875" s="10"/>
    </row>
    <row r="4876" customFormat="false" ht="15.75" hidden="false" customHeight="false" outlineLevel="0" collapsed="false">
      <c r="A4876" s="6" t="n">
        <v>43030.7949768519</v>
      </c>
      <c r="B4876" s="7" t="str">
        <f aca="false">HYPERLINK("https://twitter.com/kingthump3r","@kingthump3r")</f>
        <v>@kingthump3r</v>
      </c>
      <c r="C4876" s="8" t="s">
        <v>11528</v>
      </c>
      <c r="D4876" s="8" t="s">
        <v>11529</v>
      </c>
      <c r="E4876" s="9" t="str">
        <f aca="false">HYPERLINK("https://twitter.com/kingthump3r/status/922282620603502597","922282620603502597")</f>
        <v>922282620603502597</v>
      </c>
      <c r="F4876" s="10" t="s">
        <v>60</v>
      </c>
      <c r="G4876" s="10" t="n">
        <v>285</v>
      </c>
      <c r="H4876" s="10" t="n">
        <v>382</v>
      </c>
      <c r="I4876" s="10" t="n">
        <v>0</v>
      </c>
      <c r="J4876" s="10" t="n">
        <v>0</v>
      </c>
      <c r="K4876" s="10" t="s">
        <v>20</v>
      </c>
      <c r="L4876" s="11" t="n">
        <v>41086.4992013889</v>
      </c>
      <c r="M4876" s="12" t="s">
        <v>230</v>
      </c>
      <c r="N4876" s="12" t="s">
        <v>11530</v>
      </c>
      <c r="O4876" s="9" t="str">
        <f aca="false">HYPERLINK("https://pbs.twimg.com/profile_images/870792902036692992/o8CZpg5u_normal.jpg","View")</f>
        <v>View</v>
      </c>
      <c r="P4876" s="10"/>
    </row>
    <row r="4877" customFormat="false" ht="15.75" hidden="false" customHeight="false" outlineLevel="0" collapsed="false">
      <c r="A4877" s="6" t="n">
        <v>43030.7950115741</v>
      </c>
      <c r="B4877" s="7" t="str">
        <f aca="false">HYPERLINK("https://twitter.com/DarkShinigami86","@DarkShinigami86")</f>
        <v>@DarkShinigami86</v>
      </c>
      <c r="C4877" s="8" t="s">
        <v>11531</v>
      </c>
      <c r="D4877" s="8" t="s">
        <v>10987</v>
      </c>
      <c r="E4877" s="9" t="str">
        <f aca="false">HYPERLINK("https://twitter.com/DarkShinigami86/status/922282631848431617","922282631848431617")</f>
        <v>922282631848431617</v>
      </c>
      <c r="F4877" s="10" t="s">
        <v>25</v>
      </c>
      <c r="G4877" s="10" t="n">
        <v>723</v>
      </c>
      <c r="H4877" s="10" t="n">
        <v>430</v>
      </c>
      <c r="I4877" s="10" t="n">
        <v>9</v>
      </c>
      <c r="J4877" s="10" t="n">
        <v>0</v>
      </c>
      <c r="K4877" s="10" t="s">
        <v>20</v>
      </c>
      <c r="L4877" s="11" t="n">
        <v>41876.8205555556</v>
      </c>
      <c r="M4877" s="12" t="s">
        <v>11532</v>
      </c>
      <c r="N4877" s="12" t="s">
        <v>11533</v>
      </c>
      <c r="O4877" s="9" t="str">
        <f aca="false">HYPERLINK("https://pbs.twimg.com/profile_images/872899849619881984/8wL87zEz_normal.jpg","View")</f>
        <v>View</v>
      </c>
      <c r="P4877" s="10"/>
    </row>
    <row r="4878" customFormat="false" ht="15.75" hidden="false" customHeight="false" outlineLevel="0" collapsed="false">
      <c r="A4878" s="6" t="n">
        <v>43030.7951273148</v>
      </c>
      <c r="B4878" s="7" t="str">
        <f aca="false">HYPERLINK("https://twitter.com/pesonaIDnesia","@pesonaIDnesia")</f>
        <v>@pesonaIDnesia</v>
      </c>
      <c r="C4878" s="8" t="s">
        <v>1369</v>
      </c>
      <c r="D4878" s="8" t="s">
        <v>11534</v>
      </c>
      <c r="E4878" s="9" t="str">
        <f aca="false">HYPERLINK("https://twitter.com/pesonaIDnesia/status/922282672860344321","922282672860344321")</f>
        <v>922282672860344321</v>
      </c>
      <c r="F4878" s="9" t="s">
        <v>979</v>
      </c>
      <c r="G4878" s="10" t="n">
        <v>45</v>
      </c>
      <c r="H4878" s="10" t="n">
        <v>37</v>
      </c>
      <c r="I4878" s="10" t="n">
        <v>0</v>
      </c>
      <c r="J4878" s="10" t="n">
        <v>0</v>
      </c>
      <c r="K4878" s="10" t="s">
        <v>20</v>
      </c>
      <c r="L4878" s="11" t="n">
        <v>42490.9393518518</v>
      </c>
      <c r="M4878" s="12" t="s">
        <v>1371</v>
      </c>
      <c r="N4878" s="12" t="s">
        <v>1372</v>
      </c>
      <c r="O4878" s="9" t="str">
        <f aca="false">HYPERLINK("https://pbs.twimg.com/profile_images/726645983849762816/Rd6RuvJB_normal.jpg","View")</f>
        <v>View</v>
      </c>
      <c r="P4878" s="10"/>
    </row>
    <row r="4879" customFormat="false" ht="15.75" hidden="false" customHeight="false" outlineLevel="0" collapsed="false">
      <c r="A4879" s="6" t="n">
        <v>43030.7952662037</v>
      </c>
      <c r="B4879" s="7" t="str">
        <f aca="false">HYPERLINK("https://twitter.com/EDENSCLIPPS","@EDENSCLIPPS")</f>
        <v>@EDENSCLIPPS</v>
      </c>
      <c r="C4879" s="8" t="s">
        <v>11535</v>
      </c>
      <c r="D4879" s="8" t="s">
        <v>7669</v>
      </c>
      <c r="E4879" s="9" t="str">
        <f aca="false">HYPERLINK("https://twitter.com/EDENSCLIPPS/status/922282725008064512","922282725008064512")</f>
        <v>922282725008064512</v>
      </c>
      <c r="F4879" s="10" t="s">
        <v>39</v>
      </c>
      <c r="G4879" s="10" t="n">
        <v>473</v>
      </c>
      <c r="H4879" s="10" t="n">
        <v>414</v>
      </c>
      <c r="I4879" s="10" t="n">
        <v>5</v>
      </c>
      <c r="J4879" s="10" t="n">
        <v>0</v>
      </c>
      <c r="K4879" s="10" t="s">
        <v>20</v>
      </c>
      <c r="L4879" s="11" t="n">
        <v>39997.8630902778</v>
      </c>
      <c r="M4879" s="12" t="s">
        <v>11536</v>
      </c>
      <c r="N4879" s="12" t="s">
        <v>11537</v>
      </c>
      <c r="O4879" s="9" t="str">
        <f aca="false">HYPERLINK("https://pbs.twimg.com/profile_images/830844018854473728/QZXA2yYe_normal.jpg","View")</f>
        <v>View</v>
      </c>
      <c r="P4879" s="10"/>
    </row>
    <row r="4880" customFormat="false" ht="15.75" hidden="false" customHeight="false" outlineLevel="0" collapsed="false">
      <c r="A4880" s="6" t="n">
        <v>43030.7953009259</v>
      </c>
      <c r="B4880" s="7" t="str">
        <f aca="false">HYPERLINK("https://twitter.com/_WonderRoy","@_WonderRoy")</f>
        <v>@_WonderRoy</v>
      </c>
      <c r="C4880" s="8" t="s">
        <v>11538</v>
      </c>
      <c r="D4880" s="8" t="s">
        <v>11183</v>
      </c>
      <c r="E4880" s="9" t="str">
        <f aca="false">HYPERLINK("https://twitter.com/_WonderRoy/status/922282737754447872","922282737754447872")</f>
        <v>922282737754447872</v>
      </c>
      <c r="F4880" s="10" t="s">
        <v>51</v>
      </c>
      <c r="G4880" s="10" t="n">
        <v>331</v>
      </c>
      <c r="H4880" s="10" t="n">
        <v>382</v>
      </c>
      <c r="I4880" s="10" t="n">
        <v>4</v>
      </c>
      <c r="J4880" s="10" t="n">
        <v>0</v>
      </c>
      <c r="K4880" s="10" t="s">
        <v>20</v>
      </c>
      <c r="L4880" s="11" t="n">
        <v>41642.3727546296</v>
      </c>
      <c r="M4880" s="12" t="s">
        <v>11539</v>
      </c>
      <c r="N4880" s="12"/>
      <c r="O4880" s="9" t="str">
        <f aca="false">HYPERLINK("https://pbs.twimg.com/profile_images/745089090320621568/DrcMCyQD_normal.jpg","View")</f>
        <v>View</v>
      </c>
      <c r="P4880" s="10"/>
    </row>
    <row r="4881" customFormat="false" ht="15.75" hidden="false" customHeight="false" outlineLevel="0" collapsed="false">
      <c r="A4881" s="6" t="n">
        <v>43030.7953935185</v>
      </c>
      <c r="B4881" s="7" t="str">
        <f aca="false">HYPERLINK("https://twitter.com/Chi312Chi","@Chi312Chi")</f>
        <v>@Chi312Chi</v>
      </c>
      <c r="C4881" s="8" t="s">
        <v>1359</v>
      </c>
      <c r="D4881" s="8" t="s">
        <v>10997</v>
      </c>
      <c r="E4881" s="9" t="str">
        <f aca="false">HYPERLINK("https://twitter.com/Chi312Chi/status/922282772751888384","922282772751888384")</f>
        <v>922282772751888384</v>
      </c>
      <c r="F4881" s="10" t="s">
        <v>4100</v>
      </c>
      <c r="G4881" s="10" t="n">
        <v>580</v>
      </c>
      <c r="H4881" s="10" t="n">
        <v>2786</v>
      </c>
      <c r="I4881" s="10" t="n">
        <v>27</v>
      </c>
      <c r="J4881" s="10" t="n">
        <v>0</v>
      </c>
      <c r="K4881" s="10" t="s">
        <v>20</v>
      </c>
      <c r="L4881" s="11" t="n">
        <v>41645.8166203704</v>
      </c>
      <c r="M4881" s="12"/>
      <c r="N4881" s="12"/>
      <c r="O4881" s="9" t="str">
        <f aca="false">HYPERLINK("https://pbs.twimg.com/profile_images/918940173085413376/0qeHPlF8_normal.jpg","View")</f>
        <v>View</v>
      </c>
      <c r="P4881" s="10"/>
    </row>
    <row r="4882" customFormat="false" ht="15.75" hidden="false" customHeight="false" outlineLevel="0" collapsed="false">
      <c r="A4882" s="6" t="n">
        <v>43030.7954513889</v>
      </c>
      <c r="B4882" s="7" t="str">
        <f aca="false">HYPERLINK("https://twitter.com/lorac328","@lorac328")</f>
        <v>@lorac328</v>
      </c>
      <c r="C4882" s="8" t="s">
        <v>11540</v>
      </c>
      <c r="D4882" s="8" t="s">
        <v>11436</v>
      </c>
      <c r="E4882" s="9" t="str">
        <f aca="false">HYPERLINK("https://twitter.com/lorac328/status/922282790586126338","922282790586126338")</f>
        <v>922282790586126338</v>
      </c>
      <c r="F4882" s="10" t="s">
        <v>25</v>
      </c>
      <c r="G4882" s="10" t="n">
        <v>691</v>
      </c>
      <c r="H4882" s="10" t="n">
        <v>734</v>
      </c>
      <c r="I4882" s="10" t="n">
        <v>6</v>
      </c>
      <c r="J4882" s="10" t="n">
        <v>0</v>
      </c>
      <c r="K4882" s="10" t="s">
        <v>20</v>
      </c>
      <c r="L4882" s="11" t="n">
        <v>39921.2836111111</v>
      </c>
      <c r="M4882" s="12" t="s">
        <v>312</v>
      </c>
      <c r="N4882" s="12" t="s">
        <v>11541</v>
      </c>
      <c r="O4882" s="9" t="str">
        <f aca="false">HYPERLINK("https://pbs.twimg.com/profile_images/820089529814097920/gbrXBy0v_normal.jpg","View")</f>
        <v>View</v>
      </c>
      <c r="P4882" s="10"/>
    </row>
    <row r="4883" customFormat="false" ht="15.75" hidden="false" customHeight="false" outlineLevel="0" collapsed="false">
      <c r="A4883" s="6" t="n">
        <v>43030.795462963</v>
      </c>
      <c r="B4883" s="7" t="str">
        <f aca="false">HYPERLINK("https://twitter.com/coomi_natume","@coomi_natume")</f>
        <v>@coomi_natume</v>
      </c>
      <c r="C4883" s="14" t="s">
        <v>11542</v>
      </c>
      <c r="D4883" s="8" t="s">
        <v>11418</v>
      </c>
      <c r="E4883" s="9" t="str">
        <f aca="false">HYPERLINK("https://twitter.com/coomi_natume/status/922282798135656449","922282798135656449")</f>
        <v>922282798135656449</v>
      </c>
      <c r="F4883" s="10" t="s">
        <v>39</v>
      </c>
      <c r="G4883" s="10" t="n">
        <v>1684</v>
      </c>
      <c r="H4883" s="10" t="n">
        <v>1989</v>
      </c>
      <c r="I4883" s="10" t="n">
        <v>38</v>
      </c>
      <c r="J4883" s="10" t="n">
        <v>0</v>
      </c>
      <c r="K4883" s="10" t="s">
        <v>20</v>
      </c>
      <c r="L4883" s="11" t="n">
        <v>40214.4464583333</v>
      </c>
      <c r="M4883" s="13" t="s">
        <v>11543</v>
      </c>
      <c r="N4883" s="13" t="s">
        <v>11544</v>
      </c>
      <c r="O4883" s="9" t="str">
        <f aca="false">HYPERLINK("https://pbs.twimg.com/profile_images/677843829/kabe2_s_s_s_normal.jpg","View")</f>
        <v>View</v>
      </c>
      <c r="P4883" s="10"/>
    </row>
    <row r="4884" customFormat="false" ht="15.75" hidden="false" customHeight="false" outlineLevel="0" collapsed="false">
      <c r="A4884" s="6" t="n">
        <v>43030.7957175926</v>
      </c>
      <c r="B4884" s="7" t="str">
        <f aca="false">HYPERLINK("https://twitter.com/CaseyBillX","@CaseyBillX")</f>
        <v>@CaseyBillX</v>
      </c>
      <c r="C4884" s="8" t="s">
        <v>2159</v>
      </c>
      <c r="D4884" s="8" t="s">
        <v>10997</v>
      </c>
      <c r="E4884" s="9" t="str">
        <f aca="false">HYPERLINK("https://twitter.com/CaseyBillX/status/922282890078982144","922282890078982144")</f>
        <v>922282890078982144</v>
      </c>
      <c r="F4884" s="10" t="s">
        <v>2160</v>
      </c>
      <c r="G4884" s="10" t="n">
        <v>2484</v>
      </c>
      <c r="H4884" s="10" t="n">
        <v>5001</v>
      </c>
      <c r="I4884" s="10" t="n">
        <v>27</v>
      </c>
      <c r="J4884" s="10" t="n">
        <v>0</v>
      </c>
      <c r="K4884" s="10" t="s">
        <v>20</v>
      </c>
      <c r="L4884" s="11" t="n">
        <v>42997.1530208333</v>
      </c>
      <c r="M4884" s="12"/>
      <c r="N4884" s="12"/>
      <c r="O4884" s="9" t="str">
        <f aca="false">HYPERLINK("https://pbs.twimg.com/profile_images/910103474003525633/_kzNa9NX_normal.jpg","View")</f>
        <v>View</v>
      </c>
      <c r="P4884" s="10"/>
    </row>
    <row r="4885" customFormat="false" ht="15.75" hidden="false" customHeight="false" outlineLevel="0" collapsed="false">
      <c r="A4885" s="6" t="n">
        <v>43030.7958449074</v>
      </c>
      <c r="B4885" s="7" t="str">
        <f aca="false">HYPERLINK("https://twitter.com/polticaljournal","@polticaljournal")</f>
        <v>@polticaljournal</v>
      </c>
      <c r="C4885" s="8" t="s">
        <v>11545</v>
      </c>
      <c r="D4885" s="8" t="s">
        <v>4124</v>
      </c>
      <c r="E4885" s="9" t="str">
        <f aca="false">HYPERLINK("https://twitter.com/polticaljournal/status/922282933372768256","922282933372768256")</f>
        <v>922282933372768256</v>
      </c>
      <c r="F4885" s="10" t="s">
        <v>51</v>
      </c>
      <c r="G4885" s="10" t="n">
        <v>308</v>
      </c>
      <c r="H4885" s="10" t="n">
        <v>114</v>
      </c>
      <c r="I4885" s="10" t="n">
        <v>111</v>
      </c>
      <c r="J4885" s="10" t="n">
        <v>0</v>
      </c>
      <c r="K4885" s="10" t="s">
        <v>20</v>
      </c>
      <c r="L4885" s="11" t="n">
        <v>41805.5968518519</v>
      </c>
      <c r="M4885" s="12"/>
      <c r="N4885" s="12" t="s">
        <v>11546</v>
      </c>
      <c r="O4885" s="9" t="str">
        <f aca="false">HYPERLINK("https://pbs.twimg.com/profile_images/884995309268553729/d8rx5LiH_normal.jpg","View")</f>
        <v>View</v>
      </c>
      <c r="P4885" s="10"/>
    </row>
    <row r="4886" customFormat="false" ht="15.75" hidden="false" customHeight="false" outlineLevel="0" collapsed="false">
      <c r="A4886" s="6" t="n">
        <v>43030.7962268519</v>
      </c>
      <c r="B4886" s="7" t="str">
        <f aca="false">HYPERLINK("https://twitter.com/rohitagarwal86","@rohitagarwal86")</f>
        <v>@rohitagarwal86</v>
      </c>
      <c r="C4886" s="8" t="s">
        <v>11547</v>
      </c>
      <c r="D4886" s="8" t="s">
        <v>8538</v>
      </c>
      <c r="E4886" s="9" t="str">
        <f aca="false">HYPERLINK("https://twitter.com/rohitagarwal86/status/922283071184842752","922283071184842752")</f>
        <v>922283071184842752</v>
      </c>
      <c r="F4886" s="10" t="s">
        <v>25</v>
      </c>
      <c r="G4886" s="10" t="n">
        <v>2515</v>
      </c>
      <c r="H4886" s="10" t="n">
        <v>981</v>
      </c>
      <c r="I4886" s="10" t="n">
        <v>1015</v>
      </c>
      <c r="J4886" s="10" t="n">
        <v>0</v>
      </c>
      <c r="K4886" s="10" t="s">
        <v>20</v>
      </c>
      <c r="L4886" s="11" t="n">
        <v>39897.0971064815</v>
      </c>
      <c r="M4886" s="12"/>
      <c r="N4886" s="12"/>
      <c r="O4886" s="9" t="str">
        <f aca="false">HYPERLINK("https://pbs.twimg.com/profile_images/907623768289288193/pnrxmX_z_normal.jpg","View")</f>
        <v>View</v>
      </c>
      <c r="P4886" s="10"/>
    </row>
    <row r="4887" customFormat="false" ht="15.75" hidden="false" customHeight="false" outlineLevel="0" collapsed="false">
      <c r="A4887" s="6" t="n">
        <v>43030.7962962963</v>
      </c>
      <c r="B4887" s="7" t="str">
        <f aca="false">HYPERLINK("https://twitter.com/ChiekoInCage","@ChiekoInCage")</f>
        <v>@ChiekoInCage</v>
      </c>
      <c r="C4887" s="8" t="s">
        <v>11463</v>
      </c>
      <c r="D4887" s="8" t="s">
        <v>11548</v>
      </c>
      <c r="E4887" s="9" t="str">
        <f aca="false">HYPERLINK("https://twitter.com/ChiekoInCage/status/922283099924262912","922283099924262912")</f>
        <v>922283099924262912</v>
      </c>
      <c r="F4887" s="10" t="s">
        <v>39</v>
      </c>
      <c r="G4887" s="10" t="n">
        <v>934</v>
      </c>
      <c r="H4887" s="10" t="n">
        <v>268</v>
      </c>
      <c r="I4887" s="10" t="n">
        <v>0</v>
      </c>
      <c r="J4887" s="10" t="n">
        <v>0</v>
      </c>
      <c r="K4887" s="10" t="s">
        <v>20</v>
      </c>
      <c r="L4887" s="11" t="n">
        <v>40895.0504398148</v>
      </c>
      <c r="M4887" s="12" t="s">
        <v>11465</v>
      </c>
      <c r="N4887" s="13" t="s">
        <v>11466</v>
      </c>
      <c r="O4887" s="9" t="str">
        <f aca="false">HYPERLINK("https://pbs.twimg.com/profile_images/765106894478290944/QUKoQR_I_normal.jpg","View")</f>
        <v>View</v>
      </c>
      <c r="P4887" s="10"/>
    </row>
    <row r="4888" customFormat="false" ht="15.75" hidden="false" customHeight="false" outlineLevel="0" collapsed="false">
      <c r="A4888" s="6" t="n">
        <v>43030.7963657407</v>
      </c>
      <c r="B4888" s="7" t="str">
        <f aca="false">HYPERLINK("https://twitter.com/AvinashGoraksha","@AvinashGoraksha")</f>
        <v>@AvinashGoraksha</v>
      </c>
      <c r="C4888" s="8" t="s">
        <v>11549</v>
      </c>
      <c r="D4888" s="8" t="s">
        <v>11130</v>
      </c>
      <c r="E4888" s="9" t="str">
        <f aca="false">HYPERLINK("https://twitter.com/AvinashGoraksha/status/922283121642561537","922283121642561537")</f>
        <v>922283121642561537</v>
      </c>
      <c r="F4888" s="10" t="s">
        <v>25</v>
      </c>
      <c r="G4888" s="10" t="n">
        <v>1246</v>
      </c>
      <c r="H4888" s="10" t="n">
        <v>117</v>
      </c>
      <c r="I4888" s="10" t="n">
        <v>9</v>
      </c>
      <c r="J4888" s="10" t="n">
        <v>0</v>
      </c>
      <c r="K4888" s="10" t="s">
        <v>20</v>
      </c>
      <c r="L4888" s="11" t="n">
        <v>41695.3507291667</v>
      </c>
      <c r="M4888" s="12" t="s">
        <v>860</v>
      </c>
      <c r="N4888" s="12" t="s">
        <v>11550</v>
      </c>
      <c r="O4888" s="9" t="str">
        <f aca="false">HYPERLINK("https://pbs.twimg.com/profile_images/604922475655274498/qqtaZwY1_normal.jpg","View")</f>
        <v>View</v>
      </c>
      <c r="P4888" s="10"/>
    </row>
    <row r="4889" customFormat="false" ht="15.75" hidden="false" customHeight="false" outlineLevel="0" collapsed="false">
      <c r="A4889" s="6" t="n">
        <v>43030.7964583333</v>
      </c>
      <c r="B4889" s="7" t="str">
        <f aca="false">HYPERLINK("https://twitter.com/IndianKashmiri","@IndianKashmiri")</f>
        <v>@IndianKashmiri</v>
      </c>
      <c r="C4889" s="8" t="s">
        <v>11551</v>
      </c>
      <c r="D4889" s="8" t="s">
        <v>8538</v>
      </c>
      <c r="E4889" s="9" t="str">
        <f aca="false">HYPERLINK("https://twitter.com/IndianKashmiri/status/922283158812311552","922283158812311552")</f>
        <v>922283158812311552</v>
      </c>
      <c r="F4889" s="10" t="s">
        <v>25</v>
      </c>
      <c r="G4889" s="10" t="n">
        <v>299</v>
      </c>
      <c r="H4889" s="10" t="n">
        <v>540</v>
      </c>
      <c r="I4889" s="10" t="n">
        <v>1015</v>
      </c>
      <c r="J4889" s="10" t="n">
        <v>0</v>
      </c>
      <c r="K4889" s="10" t="s">
        <v>20</v>
      </c>
      <c r="L4889" s="11" t="n">
        <v>41120.4443171296</v>
      </c>
      <c r="M4889" s="12" t="s">
        <v>11552</v>
      </c>
      <c r="N4889" s="12" t="s">
        <v>11553</v>
      </c>
      <c r="O4889" s="9" t="str">
        <f aca="false">HYPERLINK("https://pbs.twimg.com/profile_images/472394547742253057/l2Bvu8aN_normal.jpeg","View")</f>
        <v>View</v>
      </c>
      <c r="P4889" s="10"/>
    </row>
    <row r="4890" customFormat="false" ht="15.75" hidden="false" customHeight="false" outlineLevel="0" collapsed="false">
      <c r="A4890" s="6" t="n">
        <v>43030.7968171296</v>
      </c>
      <c r="B4890" s="7" t="str">
        <f aca="false">HYPERLINK("https://twitter.com/Pankaj_NaMo","@Pankaj_NaMo")</f>
        <v>@Pankaj_NaMo</v>
      </c>
      <c r="C4890" s="8" t="s">
        <v>11554</v>
      </c>
      <c r="D4890" s="8" t="s">
        <v>8538</v>
      </c>
      <c r="E4890" s="9" t="str">
        <f aca="false">HYPERLINK("https://twitter.com/Pankaj_NaMo/status/922283287707492352","922283287707492352")</f>
        <v>922283287707492352</v>
      </c>
      <c r="F4890" s="10" t="s">
        <v>25</v>
      </c>
      <c r="G4890" s="10" t="n">
        <v>4791</v>
      </c>
      <c r="H4890" s="10" t="n">
        <v>3254</v>
      </c>
      <c r="I4890" s="10" t="n">
        <v>1015</v>
      </c>
      <c r="J4890" s="10" t="n">
        <v>0</v>
      </c>
      <c r="K4890" s="10" t="s">
        <v>20</v>
      </c>
      <c r="L4890" s="11" t="n">
        <v>39954.1767939815</v>
      </c>
      <c r="M4890" s="12" t="s">
        <v>11555</v>
      </c>
      <c r="N4890" s="12" t="s">
        <v>11556</v>
      </c>
      <c r="O4890" s="9" t="str">
        <f aca="false">HYPERLINK("https://pbs.twimg.com/profile_images/706749745591488512/Y4McqKz2_normal.jpg","View")</f>
        <v>View</v>
      </c>
      <c r="P4890" s="10"/>
    </row>
    <row r="4891" customFormat="false" ht="15.75" hidden="false" customHeight="false" outlineLevel="0" collapsed="false">
      <c r="A4891" s="6" t="n">
        <v>43030.7972337963</v>
      </c>
      <c r="B4891" s="7" t="str">
        <f aca="false">HYPERLINK("https://twitter.com/tlsahu1","@tlsahu1")</f>
        <v>@tlsahu1</v>
      </c>
      <c r="C4891" s="8" t="s">
        <v>11557</v>
      </c>
      <c r="D4891" s="8" t="s">
        <v>8538</v>
      </c>
      <c r="E4891" s="9" t="str">
        <f aca="false">HYPERLINK("https://twitter.com/tlsahu1/status/922283437217562625","922283437217562625")</f>
        <v>922283437217562625</v>
      </c>
      <c r="F4891" s="10" t="s">
        <v>25</v>
      </c>
      <c r="G4891" s="10" t="n">
        <v>351</v>
      </c>
      <c r="H4891" s="10" t="n">
        <v>880</v>
      </c>
      <c r="I4891" s="10" t="n">
        <v>1015</v>
      </c>
      <c r="J4891" s="10" t="n">
        <v>0</v>
      </c>
      <c r="K4891" s="10" t="s">
        <v>20</v>
      </c>
      <c r="L4891" s="11" t="n">
        <v>41167.8856597222</v>
      </c>
      <c r="M4891" s="12" t="s">
        <v>87</v>
      </c>
      <c r="N4891" s="12" t="s">
        <v>11558</v>
      </c>
      <c r="O4891" s="9" t="str">
        <f aca="false">HYPERLINK("https://pbs.twimg.com/profile_images/745643031496384520/uNrE7AQ8_normal.jpg","View")</f>
        <v>View</v>
      </c>
      <c r="P4891" s="10"/>
    </row>
    <row r="4892" customFormat="false" ht="15.75" hidden="false" customHeight="false" outlineLevel="0" collapsed="false">
      <c r="A4892" s="6" t="n">
        <v>43030.7973148148</v>
      </c>
      <c r="B4892" s="7" t="str">
        <f aca="false">HYPERLINK("https://twitter.com/nakulruparel","@nakulruparel")</f>
        <v>@nakulruparel</v>
      </c>
      <c r="C4892" s="8" t="s">
        <v>11559</v>
      </c>
      <c r="D4892" s="8" t="s">
        <v>11130</v>
      </c>
      <c r="E4892" s="9" t="str">
        <f aca="false">HYPERLINK("https://twitter.com/nakulruparel/status/922283468301545472","922283468301545472")</f>
        <v>922283468301545472</v>
      </c>
      <c r="F4892" s="10" t="s">
        <v>25</v>
      </c>
      <c r="G4892" s="10" t="n">
        <v>198</v>
      </c>
      <c r="H4892" s="10" t="n">
        <v>678</v>
      </c>
      <c r="I4892" s="10" t="n">
        <v>9</v>
      </c>
      <c r="J4892" s="10" t="n">
        <v>0</v>
      </c>
      <c r="K4892" s="10" t="s">
        <v>20</v>
      </c>
      <c r="L4892" s="11" t="n">
        <v>40027.9874537037</v>
      </c>
      <c r="M4892" s="12" t="s">
        <v>253</v>
      </c>
      <c r="N4892" s="12" t="s">
        <v>11560</v>
      </c>
      <c r="O4892" s="9" t="str">
        <f aca="false">HYPERLINK("https://pbs.twimg.com/profile_images/727250120501280769/_7QuO4RQ_normal.jpg","View")</f>
        <v>View</v>
      </c>
      <c r="P4892" s="10"/>
    </row>
    <row r="4893" customFormat="false" ht="15.75" hidden="false" customHeight="false" outlineLevel="0" collapsed="false">
      <c r="A4893" s="6" t="n">
        <v>43030.7974074074</v>
      </c>
      <c r="B4893" s="7" t="str">
        <f aca="false">HYPERLINK("https://twitter.com/Starlow15","@Starlow15")</f>
        <v>@Starlow15</v>
      </c>
      <c r="C4893" s="8" t="s">
        <v>1380</v>
      </c>
      <c r="D4893" s="8" t="s">
        <v>11379</v>
      </c>
      <c r="E4893" s="9" t="str">
        <f aca="false">HYPERLINK("https://twitter.com/Starlow15/status/922283500522430464","922283500522430464")</f>
        <v>922283500522430464</v>
      </c>
      <c r="F4893" s="10" t="s">
        <v>51</v>
      </c>
      <c r="G4893" s="10" t="n">
        <v>313</v>
      </c>
      <c r="H4893" s="10" t="n">
        <v>746</v>
      </c>
      <c r="I4893" s="10" t="n">
        <v>5</v>
      </c>
      <c r="J4893" s="10" t="n">
        <v>0</v>
      </c>
      <c r="K4893" s="10" t="s">
        <v>20</v>
      </c>
      <c r="L4893" s="11" t="n">
        <v>42049.6742824074</v>
      </c>
      <c r="M4893" s="12" t="s">
        <v>230</v>
      </c>
      <c r="N4893" s="12" t="s">
        <v>11561</v>
      </c>
      <c r="O4893" s="9" t="str">
        <f aca="false">HYPERLINK("https://pbs.twimg.com/profile_images/741727691431251969/VWAN1AnF_normal.jpg","View")</f>
        <v>View</v>
      </c>
      <c r="P4893" s="10"/>
    </row>
    <row r="4894" customFormat="false" ht="15.75" hidden="false" customHeight="false" outlineLevel="0" collapsed="false">
      <c r="A4894" s="6" t="n">
        <v>43030.7975462963</v>
      </c>
      <c r="B4894" s="7" t="str">
        <f aca="false">HYPERLINK("https://twitter.com/Starlow15","@Starlow15")</f>
        <v>@Starlow15</v>
      </c>
      <c r="C4894" s="8" t="s">
        <v>1380</v>
      </c>
      <c r="D4894" s="8" t="s">
        <v>11365</v>
      </c>
      <c r="E4894" s="9" t="str">
        <f aca="false">HYPERLINK("https://twitter.com/Starlow15/status/922283550031974402","922283550031974402")</f>
        <v>922283550031974402</v>
      </c>
      <c r="F4894" s="10" t="s">
        <v>51</v>
      </c>
      <c r="G4894" s="10" t="n">
        <v>313</v>
      </c>
      <c r="H4894" s="10" t="n">
        <v>746</v>
      </c>
      <c r="I4894" s="10" t="n">
        <v>8</v>
      </c>
      <c r="J4894" s="10" t="n">
        <v>0</v>
      </c>
      <c r="K4894" s="10" t="s">
        <v>20</v>
      </c>
      <c r="L4894" s="11" t="n">
        <v>42049.6742824074</v>
      </c>
      <c r="M4894" s="12" t="s">
        <v>230</v>
      </c>
      <c r="N4894" s="12" t="s">
        <v>11561</v>
      </c>
      <c r="O4894" s="9" t="str">
        <f aca="false">HYPERLINK("https://pbs.twimg.com/profile_images/741727691431251969/VWAN1AnF_normal.jpg","View")</f>
        <v>View</v>
      </c>
      <c r="P4894" s="10"/>
    </row>
    <row r="4895" customFormat="false" ht="15.75" hidden="false" customHeight="false" outlineLevel="0" collapsed="false">
      <c r="A4895" s="6" t="n">
        <v>43030.7976388889</v>
      </c>
      <c r="B4895" s="7" t="str">
        <f aca="false">HYPERLINK("https://twitter.com/coomi_natume","@coomi_natume")</f>
        <v>@coomi_natume</v>
      </c>
      <c r="C4895" s="14" t="s">
        <v>11542</v>
      </c>
      <c r="D4895" s="8" t="s">
        <v>6707</v>
      </c>
      <c r="E4895" s="9" t="str">
        <f aca="false">HYPERLINK("https://twitter.com/coomi_natume/status/922283583657598976","922283583657598976")</f>
        <v>922283583657598976</v>
      </c>
      <c r="F4895" s="10" t="s">
        <v>39</v>
      </c>
      <c r="G4895" s="10" t="n">
        <v>1684</v>
      </c>
      <c r="H4895" s="10" t="n">
        <v>1989</v>
      </c>
      <c r="I4895" s="10" t="n">
        <v>97</v>
      </c>
      <c r="J4895" s="10" t="n">
        <v>0</v>
      </c>
      <c r="K4895" s="10" t="s">
        <v>20</v>
      </c>
      <c r="L4895" s="11" t="n">
        <v>40214.4464583333</v>
      </c>
      <c r="M4895" s="13" t="s">
        <v>11543</v>
      </c>
      <c r="N4895" s="13" t="s">
        <v>11544</v>
      </c>
      <c r="O4895" s="9" t="str">
        <f aca="false">HYPERLINK("https://pbs.twimg.com/profile_images/677843829/kabe2_s_s_s_normal.jpg","View")</f>
        <v>View</v>
      </c>
      <c r="P4895" s="10"/>
    </row>
    <row r="4896" customFormat="false" ht="15.75" hidden="false" customHeight="false" outlineLevel="0" collapsed="false">
      <c r="A4896" s="6" t="n">
        <v>43030.7978587963</v>
      </c>
      <c r="B4896" s="7" t="str">
        <f aca="false">HYPERLINK("https://twitter.com/coomi_natume","@coomi_natume")</f>
        <v>@coomi_natume</v>
      </c>
      <c r="C4896" s="14" t="s">
        <v>11542</v>
      </c>
      <c r="D4896" s="8" t="s">
        <v>7803</v>
      </c>
      <c r="E4896" s="9" t="str">
        <f aca="false">HYPERLINK("https://twitter.com/coomi_natume/status/922283665954131968","922283665954131968")</f>
        <v>922283665954131968</v>
      </c>
      <c r="F4896" s="10" t="s">
        <v>39</v>
      </c>
      <c r="G4896" s="10" t="n">
        <v>1684</v>
      </c>
      <c r="H4896" s="10" t="n">
        <v>1989</v>
      </c>
      <c r="I4896" s="10" t="n">
        <v>30</v>
      </c>
      <c r="J4896" s="10" t="n">
        <v>0</v>
      </c>
      <c r="K4896" s="10" t="s">
        <v>20</v>
      </c>
      <c r="L4896" s="11" t="n">
        <v>40214.4464583333</v>
      </c>
      <c r="M4896" s="13" t="s">
        <v>11543</v>
      </c>
      <c r="N4896" s="13" t="s">
        <v>11544</v>
      </c>
      <c r="O4896" s="9" t="str">
        <f aca="false">HYPERLINK("https://pbs.twimg.com/profile_images/677843829/kabe2_s_s_s_normal.jpg","View")</f>
        <v>View</v>
      </c>
      <c r="P4896" s="10"/>
    </row>
    <row r="4897" customFormat="false" ht="15.75" hidden="false" customHeight="false" outlineLevel="0" collapsed="false">
      <c r="A4897" s="6" t="n">
        <v>43030.7982638889</v>
      </c>
      <c r="B4897" s="7" t="str">
        <f aca="false">HYPERLINK("https://twitter.com/3101gp","@3101gp")</f>
        <v>@3101gp</v>
      </c>
      <c r="C4897" s="8" t="s">
        <v>11562</v>
      </c>
      <c r="D4897" s="8" t="s">
        <v>8538</v>
      </c>
      <c r="E4897" s="9" t="str">
        <f aca="false">HYPERLINK("https://twitter.com/3101gp/status/922283810368057349","922283810368057349")</f>
        <v>922283810368057349</v>
      </c>
      <c r="F4897" s="10" t="s">
        <v>25</v>
      </c>
      <c r="G4897" s="10" t="n">
        <v>581</v>
      </c>
      <c r="H4897" s="10" t="n">
        <v>654</v>
      </c>
      <c r="I4897" s="10" t="n">
        <v>1015</v>
      </c>
      <c r="J4897" s="10" t="n">
        <v>0</v>
      </c>
      <c r="K4897" s="10" t="s">
        <v>20</v>
      </c>
      <c r="L4897" s="11" t="n">
        <v>41465.2613078704</v>
      </c>
      <c r="M4897" s="12" t="s">
        <v>72</v>
      </c>
      <c r="N4897" s="12" t="s">
        <v>11563</v>
      </c>
      <c r="O4897" s="9" t="str">
        <f aca="false">HYPERLINK("https://pbs.twimg.com/profile_images/897258146569367553/vPAohyUC_normal.jpg","View")</f>
        <v>View</v>
      </c>
      <c r="P4897" s="10"/>
    </row>
    <row r="4898" customFormat="false" ht="15.75" hidden="false" customHeight="false" outlineLevel="0" collapsed="false">
      <c r="A4898" s="6" t="n">
        <v>43030.7984143519</v>
      </c>
      <c r="B4898" s="7" t="str">
        <f aca="false">HYPERLINK("https://twitter.com/girishglg","@girishglg")</f>
        <v>@girishglg</v>
      </c>
      <c r="C4898" s="8" t="s">
        <v>11564</v>
      </c>
      <c r="D4898" s="8" t="s">
        <v>8538</v>
      </c>
      <c r="E4898" s="9" t="str">
        <f aca="false">HYPERLINK("https://twitter.com/girishglg/status/922283867993554945","922283867993554945")</f>
        <v>922283867993554945</v>
      </c>
      <c r="F4898" s="10" t="s">
        <v>25</v>
      </c>
      <c r="G4898" s="10" t="n">
        <v>373</v>
      </c>
      <c r="H4898" s="10" t="n">
        <v>0</v>
      </c>
      <c r="I4898" s="10" t="n">
        <v>1015</v>
      </c>
      <c r="J4898" s="10" t="n">
        <v>0</v>
      </c>
      <c r="K4898" s="10" t="s">
        <v>20</v>
      </c>
      <c r="L4898" s="11" t="n">
        <v>40301.3179050926</v>
      </c>
      <c r="M4898" s="12" t="s">
        <v>11565</v>
      </c>
      <c r="N4898" s="12" t="s">
        <v>11566</v>
      </c>
      <c r="O4898" s="9" t="str">
        <f aca="false">HYPERLINK("https://pbs.twimg.com/profile_images/788249926753026048/6jodYL4Z_normal.jpg","View")</f>
        <v>View</v>
      </c>
      <c r="P4898" s="10"/>
    </row>
    <row r="4899" customFormat="false" ht="15.75" hidden="false" customHeight="false" outlineLevel="0" collapsed="false">
      <c r="A4899" s="6" t="n">
        <v>43030.7986342593</v>
      </c>
      <c r="B4899" s="7" t="str">
        <f aca="false">HYPERLINK("https://twitter.com/BhartiyaParesh","@BhartiyaParesh")</f>
        <v>@BhartiyaParesh</v>
      </c>
      <c r="C4899" s="8" t="s">
        <v>11567</v>
      </c>
      <c r="D4899" s="8" t="s">
        <v>8538</v>
      </c>
      <c r="E4899" s="9" t="str">
        <f aca="false">HYPERLINK("https://twitter.com/BhartiyaParesh/status/922283946846535680","922283946846535680")</f>
        <v>922283946846535680</v>
      </c>
      <c r="F4899" s="10" t="s">
        <v>25</v>
      </c>
      <c r="G4899" s="10" t="n">
        <v>3084</v>
      </c>
      <c r="H4899" s="10" t="n">
        <v>445</v>
      </c>
      <c r="I4899" s="10" t="n">
        <v>1015</v>
      </c>
      <c r="J4899" s="10" t="n">
        <v>0</v>
      </c>
      <c r="K4899" s="10" t="s">
        <v>20</v>
      </c>
      <c r="L4899" s="11" t="n">
        <v>41497.9934722222</v>
      </c>
      <c r="M4899" s="12" t="s">
        <v>11568</v>
      </c>
      <c r="N4899" s="12" t="s">
        <v>11569</v>
      </c>
      <c r="O4899" s="9" t="str">
        <f aca="false">HYPERLINK("https://pbs.twimg.com/profile_images/897685630817378304/alRdgRzu_normal.jpg","View")</f>
        <v>View</v>
      </c>
      <c r="P4899" s="10"/>
    </row>
    <row r="4900" customFormat="false" ht="15.75" hidden="false" customHeight="false" outlineLevel="0" collapsed="false">
      <c r="A4900" s="6" t="n">
        <v>43030.7988657407</v>
      </c>
      <c r="B4900" s="7" t="str">
        <f aca="false">HYPERLINK("https://twitter.com/nkDarkDrgmailc1","@nkDarkDrgmailc1")</f>
        <v>@nkDarkDrgmailc1</v>
      </c>
      <c r="C4900" s="8" t="s">
        <v>11570</v>
      </c>
      <c r="D4900" s="8" t="s">
        <v>7275</v>
      </c>
      <c r="E4900" s="9" t="str">
        <f aca="false">HYPERLINK("https://twitter.com/nkDarkDrgmailc1/status/922284031156240384","922284031156240384")</f>
        <v>922284031156240384</v>
      </c>
      <c r="F4900" s="10" t="s">
        <v>25</v>
      </c>
      <c r="G4900" s="10" t="n">
        <v>4140</v>
      </c>
      <c r="H4900" s="10" t="n">
        <v>2891</v>
      </c>
      <c r="I4900" s="10" t="n">
        <v>9</v>
      </c>
      <c r="J4900" s="10" t="n">
        <v>0</v>
      </c>
      <c r="K4900" s="10" t="s">
        <v>20</v>
      </c>
      <c r="L4900" s="11" t="n">
        <v>42002.1843402778</v>
      </c>
      <c r="M4900" s="12"/>
      <c r="N4900" s="13" t="s">
        <v>11571</v>
      </c>
      <c r="O4900" s="9" t="str">
        <f aca="false">HYPERLINK("https://pbs.twimg.com/profile_images/549546382671900672/AD_kn2tS_normal.jpeg","View")</f>
        <v>View</v>
      </c>
      <c r="P4900" s="10"/>
    </row>
    <row r="4901" customFormat="false" ht="15.75" hidden="false" customHeight="false" outlineLevel="0" collapsed="false">
      <c r="A4901" s="6" t="n">
        <v>43030.7989351852</v>
      </c>
      <c r="B4901" s="7" t="str">
        <f aca="false">HYPERLINK("https://twitter.com/TFTCS","@TFTCS")</f>
        <v>@TFTCS</v>
      </c>
      <c r="C4901" s="8" t="s">
        <v>338</v>
      </c>
      <c r="D4901" s="8" t="s">
        <v>11572</v>
      </c>
      <c r="E4901" s="9" t="str">
        <f aca="false">HYPERLINK("https://twitter.com/TFTCS/status/922284053088407555","922284053088407555")</f>
        <v>922284053088407555</v>
      </c>
      <c r="F4901" s="10" t="s">
        <v>60</v>
      </c>
      <c r="G4901" s="10" t="n">
        <v>4435</v>
      </c>
      <c r="H4901" s="10" t="n">
        <v>4613</v>
      </c>
      <c r="I4901" s="10" t="n">
        <v>0</v>
      </c>
      <c r="J4901" s="10" t="n">
        <v>0</v>
      </c>
      <c r="K4901" s="10" t="s">
        <v>20</v>
      </c>
      <c r="L4901" s="11" t="n">
        <v>41868.7681018518</v>
      </c>
      <c r="M4901" s="12" t="s">
        <v>340</v>
      </c>
      <c r="N4901" s="12" t="s">
        <v>341</v>
      </c>
      <c r="O4901" s="9" t="str">
        <f aca="false">HYPERLINK("https://pbs.twimg.com/profile_images/736027772800368640/DdLGgNNU_normal.jpg","View")</f>
        <v>View</v>
      </c>
      <c r="P4901" s="10"/>
    </row>
    <row r="4902" customFormat="false" ht="15.75" hidden="false" customHeight="false" outlineLevel="0" collapsed="false">
      <c r="A4902" s="6" t="n">
        <v>43030.7994560185</v>
      </c>
      <c r="B4902" s="7" t="str">
        <f aca="false">HYPERLINK("https://twitter.com/9maksimlebedev","@9maksimlebedev")</f>
        <v>@9maksimlebedev</v>
      </c>
      <c r="C4902" s="8" t="s">
        <v>11573</v>
      </c>
      <c r="D4902" s="8" t="s">
        <v>4984</v>
      </c>
      <c r="E4902" s="9" t="str">
        <f aca="false">HYPERLINK("https://twitter.com/9maksimlebedev/status/922284244256178179","922284244256178179")</f>
        <v>922284244256178179</v>
      </c>
      <c r="F4902" s="10" t="s">
        <v>39</v>
      </c>
      <c r="G4902" s="10" t="n">
        <v>5</v>
      </c>
      <c r="H4902" s="10" t="n">
        <v>0</v>
      </c>
      <c r="I4902" s="10" t="n">
        <v>187</v>
      </c>
      <c r="J4902" s="10" t="n">
        <v>0</v>
      </c>
      <c r="K4902" s="10" t="s">
        <v>20</v>
      </c>
      <c r="L4902" s="11" t="n">
        <v>43015.6221412037</v>
      </c>
      <c r="M4902" s="12"/>
      <c r="N4902" s="12"/>
      <c r="O4902" s="9" t="str">
        <f aca="false">HYPERLINK("https://pbs.twimg.com/profile_images/918880479272624128/7D5-vXH2_normal.jpg","View")</f>
        <v>View</v>
      </c>
      <c r="P4902" s="10"/>
    </row>
    <row r="4903" customFormat="false" ht="15.75" hidden="false" customHeight="false" outlineLevel="0" collapsed="false">
      <c r="A4903" s="6" t="n">
        <v>43030.7995138889</v>
      </c>
      <c r="B4903" s="7" t="str">
        <f aca="false">HYPERLINK("https://twitter.com/j_arpit13","@j_arpit13")</f>
        <v>@j_arpit13</v>
      </c>
      <c r="C4903" s="8" t="s">
        <v>11574</v>
      </c>
      <c r="D4903" s="8" t="s">
        <v>8538</v>
      </c>
      <c r="E4903" s="9" t="str">
        <f aca="false">HYPERLINK("https://twitter.com/j_arpit13/status/922284266163093504","922284266163093504")</f>
        <v>922284266163093504</v>
      </c>
      <c r="F4903" s="10" t="s">
        <v>51</v>
      </c>
      <c r="G4903" s="10" t="n">
        <v>82</v>
      </c>
      <c r="H4903" s="10" t="n">
        <v>170</v>
      </c>
      <c r="I4903" s="10" t="n">
        <v>1015</v>
      </c>
      <c r="J4903" s="10" t="n">
        <v>0</v>
      </c>
      <c r="K4903" s="10" t="s">
        <v>20</v>
      </c>
      <c r="L4903" s="11" t="n">
        <v>41815.1144675926</v>
      </c>
      <c r="M4903" s="12" t="s">
        <v>253</v>
      </c>
      <c r="N4903" s="12" t="s">
        <v>11575</v>
      </c>
      <c r="O4903" s="9" t="str">
        <f aca="false">HYPERLINK("https://pbs.twimg.com/profile_images/884808845113008128/0HqlTrQo_normal.jpg","View")</f>
        <v>View</v>
      </c>
      <c r="P4903" s="10"/>
    </row>
    <row r="4904" customFormat="false" ht="15.75" hidden="false" customHeight="false" outlineLevel="0" collapsed="false">
      <c r="A4904" s="6" t="n">
        <v>43030.7997453704</v>
      </c>
      <c r="B4904" s="7" t="str">
        <f aca="false">HYPERLINK("https://twitter.com/sen_sindh","@sen_sindh")</f>
        <v>@sen_sindh</v>
      </c>
      <c r="C4904" s="8" t="s">
        <v>11576</v>
      </c>
      <c r="D4904" s="8" t="s">
        <v>8538</v>
      </c>
      <c r="E4904" s="9" t="str">
        <f aca="false">HYPERLINK("https://twitter.com/sen_sindh/status/922284347721359360","922284347721359360")</f>
        <v>922284347721359360</v>
      </c>
      <c r="F4904" s="10" t="s">
        <v>25</v>
      </c>
      <c r="G4904" s="10" t="n">
        <v>1835</v>
      </c>
      <c r="H4904" s="10" t="n">
        <v>1407</v>
      </c>
      <c r="I4904" s="10" t="n">
        <v>1015</v>
      </c>
      <c r="J4904" s="10" t="n">
        <v>0</v>
      </c>
      <c r="K4904" s="10" t="s">
        <v>20</v>
      </c>
      <c r="L4904" s="11" t="n">
        <v>40782.4066898148</v>
      </c>
      <c r="M4904" s="12" t="s">
        <v>9385</v>
      </c>
      <c r="N4904" s="12" t="s">
        <v>11577</v>
      </c>
      <c r="O4904" s="9" t="str">
        <f aca="false">HYPERLINK("https://pbs.twimg.com/profile_images/792161309311766528/-5WVHD9O_normal.jpg","View")</f>
        <v>View</v>
      </c>
      <c r="P4904" s="10"/>
    </row>
    <row r="4905" customFormat="false" ht="15.75" hidden="false" customHeight="false" outlineLevel="0" collapsed="false">
      <c r="A4905" s="6" t="n">
        <v>43030.799849537</v>
      </c>
      <c r="B4905" s="7" t="str">
        <f aca="false">HYPERLINK("https://twitter.com/SGLocalNews","@SGLocalNews")</f>
        <v>@SGLocalNews</v>
      </c>
      <c r="C4905" s="8" t="s">
        <v>5421</v>
      </c>
      <c r="D4905" s="8" t="s">
        <v>11578</v>
      </c>
      <c r="E4905" s="9" t="str">
        <f aca="false">HYPERLINK("https://twitter.com/SGLocalNews/status/922284384497041408","922284384497041408")</f>
        <v>922284384497041408</v>
      </c>
      <c r="F4905" s="10" t="s">
        <v>47</v>
      </c>
      <c r="G4905" s="10" t="n">
        <v>306</v>
      </c>
      <c r="H4905" s="10" t="n">
        <v>36</v>
      </c>
      <c r="I4905" s="10" t="n">
        <v>0</v>
      </c>
      <c r="J4905" s="10" t="n">
        <v>0</v>
      </c>
      <c r="K4905" s="10" t="s">
        <v>20</v>
      </c>
      <c r="L4905" s="11" t="n">
        <v>42430.5542939815</v>
      </c>
      <c r="M4905" s="12"/>
      <c r="N4905" s="12"/>
      <c r="O4905" s="9" t="str">
        <f aca="false">HYPERLINK("https://pbs.twimg.com/profile_images/704778690094194688/P2ZbpKIt_normal.jpg","View")</f>
        <v>View</v>
      </c>
      <c r="P4905" s="10"/>
    </row>
    <row r="4906" customFormat="false" ht="15.75" hidden="false" customHeight="false" outlineLevel="0" collapsed="false">
      <c r="A4906" s="6" t="n">
        <v>43030.8004861111</v>
      </c>
      <c r="B4906" s="7" t="str">
        <f aca="false">HYPERLINK("https://twitter.com/iNewsSource","@iNewsSource")</f>
        <v>@iNewsSource</v>
      </c>
      <c r="C4906" s="8" t="s">
        <v>11579</v>
      </c>
      <c r="D4906" s="8" t="s">
        <v>11418</v>
      </c>
      <c r="E4906" s="9" t="str">
        <f aca="false">HYPERLINK("https://twitter.com/iNewsSource/status/922284618740531200","922284618740531200")</f>
        <v>922284618740531200</v>
      </c>
      <c r="F4906" s="10" t="s">
        <v>25</v>
      </c>
      <c r="G4906" s="10" t="n">
        <v>208</v>
      </c>
      <c r="H4906" s="10" t="n">
        <v>2413</v>
      </c>
      <c r="I4906" s="10" t="n">
        <v>38</v>
      </c>
      <c r="J4906" s="10" t="n">
        <v>0</v>
      </c>
      <c r="K4906" s="10" t="s">
        <v>20</v>
      </c>
      <c r="L4906" s="11" t="n">
        <v>40912.8727199074</v>
      </c>
      <c r="M4906" s="12"/>
      <c r="N4906" s="12" t="s">
        <v>11580</v>
      </c>
      <c r="O4906" s="9" t="str">
        <f aca="false">HYPERLINK("https://pbs.twimg.com/profile_images/1798610030/image_normal.jpg","View")</f>
        <v>View</v>
      </c>
      <c r="P4906" s="10"/>
    </row>
    <row r="4907" customFormat="false" ht="15.75" hidden="false" customHeight="false" outlineLevel="0" collapsed="false">
      <c r="A4907" s="6" t="n">
        <v>43030.8005208333</v>
      </c>
      <c r="B4907" s="7" t="str">
        <f aca="false">HYPERLINK("https://twitter.com/Tweet2Sid","@Tweet2Sid")</f>
        <v>@Tweet2Sid</v>
      </c>
      <c r="C4907" s="8" t="s">
        <v>9903</v>
      </c>
      <c r="D4907" s="8" t="s">
        <v>11581</v>
      </c>
      <c r="E4907" s="9" t="str">
        <f aca="false">HYPERLINK("https://twitter.com/Tweet2Sid/status/922284630853767174","922284630853767174")</f>
        <v>922284630853767174</v>
      </c>
      <c r="F4907" s="10" t="s">
        <v>55</v>
      </c>
      <c r="G4907" s="10" t="n">
        <v>529</v>
      </c>
      <c r="H4907" s="10" t="n">
        <v>272</v>
      </c>
      <c r="I4907" s="10" t="n">
        <v>0</v>
      </c>
      <c r="J4907" s="10" t="n">
        <v>0</v>
      </c>
      <c r="K4907" s="10" t="s">
        <v>20</v>
      </c>
      <c r="L4907" s="11" t="n">
        <v>39999.7896527778</v>
      </c>
      <c r="M4907" s="12" t="s">
        <v>72</v>
      </c>
      <c r="N4907" s="12" t="s">
        <v>9905</v>
      </c>
      <c r="O4907" s="9" t="str">
        <f aca="false">HYPERLINK("https://pbs.twimg.com/profile_images/652924587789828096/WSaKMVSf_normal.jpg","View")</f>
        <v>View</v>
      </c>
      <c r="P4907" s="10"/>
    </row>
    <row r="4908" customFormat="false" ht="15.75" hidden="false" customHeight="false" outlineLevel="0" collapsed="false">
      <c r="A4908" s="6" t="n">
        <v>43030.8007175926</v>
      </c>
      <c r="B4908" s="7" t="str">
        <f aca="false">HYPERLINK("https://twitter.com/Raka_Noodle","@Raka_Noodle")</f>
        <v>@Raka_Noodle</v>
      </c>
      <c r="C4908" s="8" t="s">
        <v>11582</v>
      </c>
      <c r="D4908" s="8" t="s">
        <v>8538</v>
      </c>
      <c r="E4908" s="9" t="str">
        <f aca="false">HYPERLINK("https://twitter.com/Raka_Noodle/status/922284699627556864","922284699627556864")</f>
        <v>922284699627556864</v>
      </c>
      <c r="F4908" s="10" t="s">
        <v>98</v>
      </c>
      <c r="G4908" s="10" t="n">
        <v>340</v>
      </c>
      <c r="H4908" s="10" t="n">
        <v>316</v>
      </c>
      <c r="I4908" s="10" t="n">
        <v>1015</v>
      </c>
      <c r="J4908" s="10" t="n">
        <v>0</v>
      </c>
      <c r="K4908" s="10" t="s">
        <v>20</v>
      </c>
      <c r="L4908" s="11" t="n">
        <v>40709.0150925926</v>
      </c>
      <c r="M4908" s="12" t="s">
        <v>72</v>
      </c>
      <c r="N4908" s="12" t="s">
        <v>11583</v>
      </c>
      <c r="O4908" s="9" t="str">
        <f aca="false">HYPERLINK("https://pbs.twimg.com/profile_images/708196510551289856/Ufd0I3SS_normal.jpg","View")</f>
        <v>View</v>
      </c>
      <c r="P4908" s="10"/>
    </row>
    <row r="4909" customFormat="false" ht="15.75" hidden="false" customHeight="false" outlineLevel="0" collapsed="false">
      <c r="A4909" s="6" t="n">
        <v>43030.8012615741</v>
      </c>
      <c r="B4909" s="7" t="str">
        <f aca="false">HYPERLINK("https://twitter.com/jagan7585","@jagan7585")</f>
        <v>@jagan7585</v>
      </c>
      <c r="C4909" s="8" t="s">
        <v>11584</v>
      </c>
      <c r="D4909" s="8" t="s">
        <v>8538</v>
      </c>
      <c r="E4909" s="9" t="str">
        <f aca="false">HYPERLINK("https://twitter.com/jagan7585/status/922284896072081409","922284896072081409")</f>
        <v>922284896072081409</v>
      </c>
      <c r="F4909" s="10" t="s">
        <v>25</v>
      </c>
      <c r="G4909" s="10" t="n">
        <v>155</v>
      </c>
      <c r="H4909" s="10" t="n">
        <v>321</v>
      </c>
      <c r="I4909" s="10" t="n">
        <v>1015</v>
      </c>
      <c r="J4909" s="10" t="n">
        <v>0</v>
      </c>
      <c r="K4909" s="10" t="s">
        <v>20</v>
      </c>
      <c r="L4909" s="11" t="n">
        <v>41497.1442708333</v>
      </c>
      <c r="M4909" s="12"/>
      <c r="N4909" s="12" t="s">
        <v>11585</v>
      </c>
      <c r="O4909" s="9" t="str">
        <f aca="false">HYPERLINK("https://pbs.twimg.com/profile_images/900933135038152704/nu6ZfzBs_normal.jpg","View")</f>
        <v>View</v>
      </c>
      <c r="P4909" s="10"/>
    </row>
    <row r="4910" customFormat="false" ht="15.75" hidden="false" customHeight="false" outlineLevel="0" collapsed="false">
      <c r="A4910" s="6" t="n">
        <v>43030.8021412037</v>
      </c>
      <c r="B4910" s="7" t="str">
        <f aca="false">HYPERLINK("https://twitter.com/consumer_A_","@consumer_A_")</f>
        <v>@consumer_A_</v>
      </c>
      <c r="C4910" s="8" t="s">
        <v>11586</v>
      </c>
      <c r="D4910" s="8" t="s">
        <v>11587</v>
      </c>
      <c r="E4910" s="9" t="str">
        <f aca="false">HYPERLINK("https://twitter.com/consumer_A_/status/922285214973521920","922285214973521920")</f>
        <v>922285214973521920</v>
      </c>
      <c r="F4910" s="10" t="s">
        <v>1167</v>
      </c>
      <c r="G4910" s="10" t="n">
        <v>59</v>
      </c>
      <c r="H4910" s="10" t="n">
        <v>4</v>
      </c>
      <c r="I4910" s="10" t="n">
        <v>0</v>
      </c>
      <c r="J4910" s="10" t="n">
        <v>0</v>
      </c>
      <c r="K4910" s="10" t="s">
        <v>20</v>
      </c>
      <c r="L4910" s="11" t="n">
        <v>40477.2019907407</v>
      </c>
      <c r="M4910" s="12"/>
      <c r="N4910" s="12" t="s">
        <v>11588</v>
      </c>
      <c r="O4910" s="9" t="str">
        <f aca="false">HYPERLINK("https://pbs.twimg.com/profile_images/887343974922412032/6cEAItXV_normal.jpg","View")</f>
        <v>View</v>
      </c>
      <c r="P4910" s="10"/>
    </row>
    <row r="4911" customFormat="false" ht="15.75" hidden="false" customHeight="false" outlineLevel="0" collapsed="false">
      <c r="A4911" s="6" t="n">
        <v>43030.8022106482</v>
      </c>
      <c r="B4911" s="7" t="str">
        <f aca="false">HYPERLINK("https://twitter.com/gentle_cat009","@gentle_cat009")</f>
        <v>@gentle_cat009</v>
      </c>
      <c r="C4911" s="8" t="s">
        <v>11589</v>
      </c>
      <c r="D4911" s="8" t="s">
        <v>11418</v>
      </c>
      <c r="E4911" s="9" t="str">
        <f aca="false">HYPERLINK("https://twitter.com/gentle_cat009/status/922285240114077696","922285240114077696")</f>
        <v>922285240114077696</v>
      </c>
      <c r="F4911" s="10" t="s">
        <v>39</v>
      </c>
      <c r="G4911" s="10" t="n">
        <v>200</v>
      </c>
      <c r="H4911" s="10" t="n">
        <v>57</v>
      </c>
      <c r="I4911" s="10" t="n">
        <v>38</v>
      </c>
      <c r="J4911" s="10" t="n">
        <v>0</v>
      </c>
      <c r="K4911" s="10" t="s">
        <v>20</v>
      </c>
      <c r="L4911" s="11" t="n">
        <v>40677.4819444444</v>
      </c>
      <c r="M4911" s="12"/>
      <c r="N4911" s="13" t="s">
        <v>11590</v>
      </c>
      <c r="O4911" s="9" t="str">
        <f aca="false">HYPERLINK("https://pbs.twimg.com/profile_images/2186219531/bakeneko_normal.jpg","View")</f>
        <v>View</v>
      </c>
      <c r="P4911" s="10"/>
    </row>
    <row r="4912" customFormat="false" ht="15.75" hidden="false" customHeight="false" outlineLevel="0" collapsed="false">
      <c r="A4912" s="6" t="n">
        <v>43030.8024421296</v>
      </c>
      <c r="B4912" s="7" t="str">
        <f aca="false">HYPERLINK("https://twitter.com/matglobal","@matglobal")</f>
        <v>@matglobal</v>
      </c>
      <c r="C4912" s="8" t="s">
        <v>3976</v>
      </c>
      <c r="D4912" s="8" t="s">
        <v>11591</v>
      </c>
      <c r="E4912" s="9" t="str">
        <f aca="false">HYPERLINK("https://twitter.com/matglobal/status/922285324851654656","922285324851654656")</f>
        <v>922285324851654656</v>
      </c>
      <c r="F4912" s="10" t="s">
        <v>55</v>
      </c>
      <c r="G4912" s="10" t="n">
        <v>1533</v>
      </c>
      <c r="H4912" s="10" t="n">
        <v>1475</v>
      </c>
      <c r="I4912" s="10" t="n">
        <v>0</v>
      </c>
      <c r="J4912" s="10" t="n">
        <v>0</v>
      </c>
      <c r="K4912" s="10" t="s">
        <v>20</v>
      </c>
      <c r="L4912" s="11" t="n">
        <v>40887.2283564815</v>
      </c>
      <c r="M4912" s="12" t="s">
        <v>2990</v>
      </c>
      <c r="N4912" s="12" t="s">
        <v>3978</v>
      </c>
      <c r="O4912" s="9" t="str">
        <f aca="false">HYPERLINK("https://pbs.twimg.com/profile_images/673814548684652544/cha7Er5K_normal.png","View")</f>
        <v>View</v>
      </c>
      <c r="P4912" s="10"/>
    </row>
    <row r="4913" customFormat="false" ht="15.75" hidden="false" customHeight="false" outlineLevel="0" collapsed="false">
      <c r="A4913" s="6" t="n">
        <v>43030.8027199074</v>
      </c>
      <c r="B4913" s="7" t="str">
        <f aca="false">HYPERLINK("https://twitter.com/prabhakers","@prabhakers")</f>
        <v>@prabhakers</v>
      </c>
      <c r="C4913" s="8" t="s">
        <v>11592</v>
      </c>
      <c r="D4913" s="8" t="s">
        <v>8538</v>
      </c>
      <c r="E4913" s="9" t="str">
        <f aca="false">HYPERLINK("https://twitter.com/prabhakers/status/922285427389640705","922285427389640705")</f>
        <v>922285427389640705</v>
      </c>
      <c r="F4913" s="10" t="s">
        <v>25</v>
      </c>
      <c r="G4913" s="10" t="n">
        <v>206</v>
      </c>
      <c r="H4913" s="10" t="n">
        <v>235</v>
      </c>
      <c r="I4913" s="10" t="n">
        <v>1015</v>
      </c>
      <c r="J4913" s="10" t="n">
        <v>0</v>
      </c>
      <c r="K4913" s="10" t="s">
        <v>20</v>
      </c>
      <c r="L4913" s="11" t="n">
        <v>40139.970462963</v>
      </c>
      <c r="M4913" s="12"/>
      <c r="N4913" s="12"/>
      <c r="O4913" s="9" t="str">
        <f aca="false">HYPERLINK("https://pbs.twimg.com/profile_images/539742833/best_normal.JPG","View")</f>
        <v>View</v>
      </c>
      <c r="P4913" s="10"/>
    </row>
    <row r="4914" customFormat="false" ht="15.75" hidden="false" customHeight="false" outlineLevel="0" collapsed="false">
      <c r="A4914" s="6" t="n">
        <v>43030.8032060185</v>
      </c>
      <c r="B4914" s="7" t="str">
        <f aca="false">HYPERLINK("https://twitter.com/LynneJBoccaccio","@LynneJBoccaccio")</f>
        <v>@LynneJBoccaccio</v>
      </c>
      <c r="C4914" s="8" t="s">
        <v>11593</v>
      </c>
      <c r="D4914" s="8" t="s">
        <v>11594</v>
      </c>
      <c r="E4914" s="9" t="str">
        <f aca="false">HYPERLINK("https://twitter.com/LynneJBoccaccio/status/922285603089137664","922285603089137664")</f>
        <v>922285603089137664</v>
      </c>
      <c r="F4914" s="10" t="s">
        <v>39</v>
      </c>
      <c r="G4914" s="10" t="n">
        <v>229</v>
      </c>
      <c r="H4914" s="10" t="n">
        <v>948</v>
      </c>
      <c r="I4914" s="10" t="n">
        <v>0</v>
      </c>
      <c r="J4914" s="10" t="n">
        <v>0</v>
      </c>
      <c r="K4914" s="10" t="s">
        <v>20</v>
      </c>
      <c r="L4914" s="11" t="n">
        <v>41408.4577662037</v>
      </c>
      <c r="M4914" s="12" t="s">
        <v>11595</v>
      </c>
      <c r="N4914" s="12" t="s">
        <v>11596</v>
      </c>
      <c r="O4914" s="9" t="str">
        <f aca="false">HYPERLINK("https://pbs.twimg.com/profile_images/909622902034755585/AkQ9M5hX_normal.jpg","View")</f>
        <v>View</v>
      </c>
      <c r="P4914" s="10"/>
    </row>
    <row r="4915" customFormat="false" ht="15.75" hidden="false" customHeight="false" outlineLevel="0" collapsed="false">
      <c r="A4915" s="6" t="n">
        <v>43030.803287037</v>
      </c>
      <c r="B4915" s="7" t="str">
        <f aca="false">HYPERLINK("https://twitter.com/CollectedN","@CollectedN")</f>
        <v>@CollectedN</v>
      </c>
      <c r="C4915" s="8" t="s">
        <v>1803</v>
      </c>
      <c r="D4915" s="8" t="s">
        <v>11597</v>
      </c>
      <c r="E4915" s="9" t="str">
        <f aca="false">HYPERLINK("https://twitter.com/CollectedN/status/922285632457764864","922285632457764864")</f>
        <v>922285632457764864</v>
      </c>
      <c r="F4915" s="10" t="s">
        <v>60</v>
      </c>
      <c r="G4915" s="10" t="n">
        <v>21998</v>
      </c>
      <c r="H4915" s="10" t="n">
        <v>16536</v>
      </c>
      <c r="I4915" s="10" t="n">
        <v>0</v>
      </c>
      <c r="J4915" s="10" t="n">
        <v>0</v>
      </c>
      <c r="K4915" s="10" t="s">
        <v>20</v>
      </c>
      <c r="L4915" s="11" t="n">
        <v>41333.7684027778</v>
      </c>
      <c r="M4915" s="12"/>
      <c r="N4915" s="12" t="s">
        <v>1805</v>
      </c>
      <c r="O4915" s="9" t="str">
        <f aca="false">HYPERLINK("https://pbs.twimg.com/profile_images/705925817277108224/nGS1Ko7F_normal.jpg","View")</f>
        <v>View</v>
      </c>
      <c r="P4915" s="10"/>
    </row>
    <row r="4916" customFormat="false" ht="15.75" hidden="false" customHeight="false" outlineLevel="0" collapsed="false">
      <c r="A4916" s="6" t="n">
        <v>43030.8038888889</v>
      </c>
      <c r="B4916" s="7" t="str">
        <f aca="false">HYPERLINK("https://twitter.com/kosheleva121","@kosheleva121")</f>
        <v>@kosheleva121</v>
      </c>
      <c r="C4916" s="14" t="s">
        <v>11598</v>
      </c>
      <c r="D4916" s="8" t="s">
        <v>4984</v>
      </c>
      <c r="E4916" s="9" t="str">
        <f aca="false">HYPERLINK("https://twitter.com/kosheleva121/status/922285848472649728","922285848472649728")</f>
        <v>922285848472649728</v>
      </c>
      <c r="F4916" s="10" t="s">
        <v>39</v>
      </c>
      <c r="G4916" s="10" t="n">
        <v>1</v>
      </c>
      <c r="H4916" s="10" t="n">
        <v>0</v>
      </c>
      <c r="I4916" s="10" t="n">
        <v>187</v>
      </c>
      <c r="J4916" s="10" t="n">
        <v>0</v>
      </c>
      <c r="K4916" s="10" t="s">
        <v>20</v>
      </c>
      <c r="L4916" s="11" t="n">
        <v>43015.6299768519</v>
      </c>
      <c r="M4916" s="12"/>
      <c r="N4916" s="12"/>
      <c r="O4916" s="9" t="str">
        <f aca="false">HYPERLINK("https://pbs.twimg.com/profile_images/918894134575865856/xTuC4mj-_normal.jpg","View")</f>
        <v>View</v>
      </c>
      <c r="P4916" s="10"/>
    </row>
    <row r="4917" customFormat="false" ht="15.75" hidden="false" customHeight="false" outlineLevel="0" collapsed="false">
      <c r="A4917" s="6" t="n">
        <v>43030.8043402778</v>
      </c>
      <c r="B4917" s="7" t="str">
        <f aca="false">HYPERLINK("https://twitter.com/TopFiveTraders","@TopFiveTraders")</f>
        <v>@TopFiveTraders</v>
      </c>
      <c r="C4917" s="8" t="s">
        <v>321</v>
      </c>
      <c r="D4917" s="8" t="s">
        <v>11599</v>
      </c>
      <c r="E4917" s="9" t="str">
        <f aca="false">HYPERLINK("https://twitter.com/TopFiveTraders/status/922286013577351169","922286013577351169")</f>
        <v>922286013577351169</v>
      </c>
      <c r="F4917" s="10" t="s">
        <v>60</v>
      </c>
      <c r="G4917" s="10" t="n">
        <v>8181</v>
      </c>
      <c r="H4917" s="10" t="n">
        <v>6774</v>
      </c>
      <c r="I4917" s="10" t="n">
        <v>0</v>
      </c>
      <c r="J4917" s="10" t="n">
        <v>0</v>
      </c>
      <c r="K4917" s="10" t="s">
        <v>20</v>
      </c>
      <c r="L4917" s="11" t="n">
        <v>41573.4842013889</v>
      </c>
      <c r="M4917" s="12" t="s">
        <v>323</v>
      </c>
      <c r="N4917" s="12" t="s">
        <v>324</v>
      </c>
      <c r="O4917" s="9" t="str">
        <f aca="false">HYPERLINK("https://pbs.twimg.com/profile_images/729113141444026370/hi202Ffp_normal.jpg","View")</f>
        <v>View</v>
      </c>
      <c r="P4917" s="10"/>
    </row>
    <row r="4918" customFormat="false" ht="15.75" hidden="false" customHeight="false" outlineLevel="0" collapsed="false">
      <c r="A4918" s="6" t="n">
        <v>43030.8044212963</v>
      </c>
      <c r="B4918" s="7" t="str">
        <f aca="false">HYPERLINK("https://twitter.com/guptas08","@guptas08")</f>
        <v>@guptas08</v>
      </c>
      <c r="C4918" s="8" t="s">
        <v>11600</v>
      </c>
      <c r="D4918" s="8" t="s">
        <v>8538</v>
      </c>
      <c r="E4918" s="9" t="str">
        <f aca="false">HYPERLINK("https://twitter.com/guptas08/status/922286041309917184","922286041309917184")</f>
        <v>922286041309917184</v>
      </c>
      <c r="F4918" s="10" t="s">
        <v>177</v>
      </c>
      <c r="G4918" s="10" t="n">
        <v>1234</v>
      </c>
      <c r="H4918" s="10" t="n">
        <v>320</v>
      </c>
      <c r="I4918" s="10" t="n">
        <v>1015</v>
      </c>
      <c r="J4918" s="10" t="n">
        <v>0</v>
      </c>
      <c r="K4918" s="10" t="s">
        <v>20</v>
      </c>
      <c r="L4918" s="11" t="n">
        <v>39861.4144560185</v>
      </c>
      <c r="M4918" s="12" t="s">
        <v>2102</v>
      </c>
      <c r="N4918" s="12" t="s">
        <v>11601</v>
      </c>
      <c r="O4918" s="9" t="str">
        <f aca="false">HYPERLINK("https://pbs.twimg.com/profile_images/838016632408715265/HafVcUtQ_normal.jpg","View")</f>
        <v>View</v>
      </c>
      <c r="P4918" s="10"/>
    </row>
    <row r="4919" customFormat="false" ht="15.75" hidden="false" customHeight="false" outlineLevel="0" collapsed="false">
      <c r="A4919" s="6" t="n">
        <v>43030.8044212963</v>
      </c>
      <c r="B4919" s="7" t="str">
        <f aca="false">HYPERLINK("https://twitter.com/ajeybhatia","@ajeybhatia")</f>
        <v>@ajeybhatia</v>
      </c>
      <c r="C4919" s="8" t="s">
        <v>11602</v>
      </c>
      <c r="D4919" s="8" t="s">
        <v>8538</v>
      </c>
      <c r="E4919" s="9" t="str">
        <f aca="false">HYPERLINK("https://twitter.com/ajeybhatia/status/922286041704275969","922286041704275969")</f>
        <v>922286041704275969</v>
      </c>
      <c r="F4919" s="10" t="s">
        <v>25</v>
      </c>
      <c r="G4919" s="10" t="n">
        <v>373</v>
      </c>
      <c r="H4919" s="10" t="n">
        <v>1153</v>
      </c>
      <c r="I4919" s="10" t="n">
        <v>1015</v>
      </c>
      <c r="J4919" s="10" t="n">
        <v>0</v>
      </c>
      <c r="K4919" s="10" t="s">
        <v>20</v>
      </c>
      <c r="L4919" s="11" t="n">
        <v>40033.9650462963</v>
      </c>
      <c r="M4919" s="12"/>
      <c r="N4919" s="12" t="s">
        <v>11603</v>
      </c>
      <c r="O4919" s="9" t="str">
        <f aca="false">HYPERLINK("https://pbs.twimg.com/profile_images/755232566353944577/xUqQF6xI_normal.jpg","View")</f>
        <v>View</v>
      </c>
      <c r="P4919" s="10"/>
    </row>
    <row r="4920" customFormat="false" ht="15.75" hidden="false" customHeight="false" outlineLevel="0" collapsed="false">
      <c r="A4920" s="6" t="n">
        <v>43030.8047800926</v>
      </c>
      <c r="B4920" s="7" t="str">
        <f aca="false">HYPERLINK("https://twitter.com/SunitaG01593694","@SunitaG01593694")</f>
        <v>@SunitaG01593694</v>
      </c>
      <c r="C4920" s="8" t="s">
        <v>11604</v>
      </c>
      <c r="D4920" s="8" t="s">
        <v>8538</v>
      </c>
      <c r="E4920" s="9" t="str">
        <f aca="false">HYPERLINK("https://twitter.com/SunitaG01593694/status/922286173321510912","922286173321510912")</f>
        <v>922286173321510912</v>
      </c>
      <c r="F4920" s="10" t="s">
        <v>25</v>
      </c>
      <c r="G4920" s="10" t="n">
        <v>80</v>
      </c>
      <c r="H4920" s="10" t="n">
        <v>231</v>
      </c>
      <c r="I4920" s="10" t="n">
        <v>1015</v>
      </c>
      <c r="J4920" s="10" t="n">
        <v>0</v>
      </c>
      <c r="K4920" s="10" t="s">
        <v>20</v>
      </c>
      <c r="L4920" s="11" t="n">
        <v>42688.9042708333</v>
      </c>
      <c r="M4920" s="12"/>
      <c r="N4920" s="12" t="s">
        <v>11605</v>
      </c>
      <c r="O4920" s="9" t="str">
        <f aca="false">HYPERLINK("https://pbs.twimg.com/profile_images/834456625364688897/xNnFXGhj_normal.jpg","View")</f>
        <v>View</v>
      </c>
      <c r="P4920" s="10"/>
    </row>
    <row r="4921" customFormat="false" ht="15.75" hidden="false" customHeight="false" outlineLevel="0" collapsed="false">
      <c r="A4921" s="6" t="n">
        <v>43030.805625</v>
      </c>
      <c r="B4921" s="7" t="str">
        <f aca="false">HYPERLINK("https://twitter.com/DankKnight60","@DankKnight60")</f>
        <v>@DankKnight60</v>
      </c>
      <c r="C4921" s="14" t="s">
        <v>11606</v>
      </c>
      <c r="D4921" s="8" t="s">
        <v>11418</v>
      </c>
      <c r="E4921" s="9" t="str">
        <f aca="false">HYPERLINK("https://twitter.com/DankKnight60/status/922286480373964800","922286480373964800")</f>
        <v>922286480373964800</v>
      </c>
      <c r="F4921" s="10" t="s">
        <v>25</v>
      </c>
      <c r="G4921" s="10" t="n">
        <v>3430</v>
      </c>
      <c r="H4921" s="10" t="n">
        <v>1654</v>
      </c>
      <c r="I4921" s="10" t="n">
        <v>38</v>
      </c>
      <c r="J4921" s="10" t="n">
        <v>0</v>
      </c>
      <c r="K4921" s="10" t="s">
        <v>20</v>
      </c>
      <c r="L4921" s="11" t="n">
        <v>41933.833900463</v>
      </c>
      <c r="M4921" s="12"/>
      <c r="N4921" s="13" t="s">
        <v>11607</v>
      </c>
      <c r="O4921" s="9" t="str">
        <f aca="false">HYPERLINK("https://pbs.twimg.com/profile_images/864342565704704005/1MR_h8cS_normal.jpg","View")</f>
        <v>View</v>
      </c>
      <c r="P4921" s="10"/>
    </row>
    <row r="4922" customFormat="false" ht="15.75" hidden="false" customHeight="false" outlineLevel="0" collapsed="false">
      <c r="A4922" s="6" t="n">
        <v>43030.8068287037</v>
      </c>
      <c r="B4922" s="7" t="str">
        <f aca="false">HYPERLINK("https://twitter.com/carum_my","@carum_my")</f>
        <v>@carum_my</v>
      </c>
      <c r="C4922" s="8" t="s">
        <v>11608</v>
      </c>
      <c r="D4922" s="8" t="s">
        <v>11084</v>
      </c>
      <c r="E4922" s="9" t="str">
        <f aca="false">HYPERLINK("https://twitter.com/carum_my/status/922286916849901568","922286916849901568")</f>
        <v>922286916849901568</v>
      </c>
      <c r="F4922" s="10" t="s">
        <v>39</v>
      </c>
      <c r="G4922" s="10" t="n">
        <v>85</v>
      </c>
      <c r="H4922" s="10" t="n">
        <v>223</v>
      </c>
      <c r="I4922" s="10" t="n">
        <v>13</v>
      </c>
      <c r="J4922" s="10" t="n">
        <v>0</v>
      </c>
      <c r="K4922" s="10" t="s">
        <v>20</v>
      </c>
      <c r="L4922" s="11" t="n">
        <v>42779.9438425926</v>
      </c>
      <c r="M4922" s="12" t="s">
        <v>11609</v>
      </c>
      <c r="N4922" s="12" t="s">
        <v>11610</v>
      </c>
      <c r="O4922" s="9" t="str">
        <f aca="false">HYPERLINK("https://pbs.twimg.com/profile_images/831410216033935360/FI8Vtzly_normal.jpg","View")</f>
        <v>View</v>
      </c>
      <c r="P4922" s="10"/>
    </row>
    <row r="4923" customFormat="false" ht="15.75" hidden="false" customHeight="false" outlineLevel="0" collapsed="false">
      <c r="A4923" s="6" t="n">
        <v>43030.8076736111</v>
      </c>
      <c r="B4923" s="7" t="str">
        <f aca="false">HYPERLINK("https://twitter.com/madskak","@madskak")</f>
        <v>@madskak</v>
      </c>
      <c r="C4923" s="8" t="s">
        <v>11611</v>
      </c>
      <c r="D4923" s="8" t="s">
        <v>8538</v>
      </c>
      <c r="E4923" s="9" t="str">
        <f aca="false">HYPERLINK("https://twitter.com/madskak/status/922287221746548737","922287221746548737")</f>
        <v>922287221746548737</v>
      </c>
      <c r="F4923" s="10" t="s">
        <v>25</v>
      </c>
      <c r="G4923" s="10" t="n">
        <v>6063</v>
      </c>
      <c r="H4923" s="10" t="n">
        <v>532</v>
      </c>
      <c r="I4923" s="10" t="n">
        <v>1015</v>
      </c>
      <c r="J4923" s="10" t="n">
        <v>0</v>
      </c>
      <c r="K4923" s="10" t="s">
        <v>20</v>
      </c>
      <c r="L4923" s="11" t="n">
        <v>42102.052037037</v>
      </c>
      <c r="M4923" s="12"/>
      <c r="N4923" s="12" t="s">
        <v>11612</v>
      </c>
      <c r="O4923" s="9" t="str">
        <f aca="false">HYPERLINK("https://pbs.twimg.com/profile_images/666908640012402689/kXeWhyrg_normal.jpg","View")</f>
        <v>View</v>
      </c>
      <c r="P4923" s="10"/>
    </row>
    <row r="4924" customFormat="false" ht="15.75" hidden="false" customHeight="false" outlineLevel="0" collapsed="false">
      <c r="A4924" s="6" t="n">
        <v>43030.8077662037</v>
      </c>
      <c r="B4924" s="7" t="str">
        <f aca="false">HYPERLINK("https://twitter.com/elliesato","@elliesato")</f>
        <v>@elliesato</v>
      </c>
      <c r="C4924" s="14" t="s">
        <v>11613</v>
      </c>
      <c r="D4924" s="8" t="s">
        <v>11365</v>
      </c>
      <c r="E4924" s="9" t="str">
        <f aca="false">HYPERLINK("https://twitter.com/elliesato/status/922287254655066112","922287254655066112")</f>
        <v>922287254655066112</v>
      </c>
      <c r="F4924" s="10" t="s">
        <v>25</v>
      </c>
      <c r="G4924" s="10" t="n">
        <v>37</v>
      </c>
      <c r="H4924" s="10" t="n">
        <v>38</v>
      </c>
      <c r="I4924" s="10" t="n">
        <v>8</v>
      </c>
      <c r="J4924" s="10" t="n">
        <v>0</v>
      </c>
      <c r="K4924" s="10" t="s">
        <v>20</v>
      </c>
      <c r="L4924" s="11" t="n">
        <v>40462.9708101852</v>
      </c>
      <c r="M4924" s="12" t="s">
        <v>1473</v>
      </c>
      <c r="N4924" s="12" t="s">
        <v>11614</v>
      </c>
      <c r="O4924" s="9" t="str">
        <f aca="false">HYPERLINK("https://pbs.twimg.com/profile_images/678767448556879874/cum-RrA4_normal.jpg","View")</f>
        <v>View</v>
      </c>
      <c r="P4924" s="10"/>
    </row>
    <row r="4925" customFormat="false" ht="15.75" hidden="false" customHeight="false" outlineLevel="0" collapsed="false">
      <c r="A4925" s="6" t="n">
        <v>43030.8077777778</v>
      </c>
      <c r="B4925" s="7" t="str">
        <f aca="false">HYPERLINK("https://twitter.com/iakovleva3","@iakovleva3")</f>
        <v>@iakovleva3</v>
      </c>
      <c r="C4925" s="14" t="s">
        <v>11615</v>
      </c>
      <c r="D4925" s="8" t="s">
        <v>4984</v>
      </c>
      <c r="E4925" s="9" t="str">
        <f aca="false">HYPERLINK("https://twitter.com/iakovleva3/status/922287260942217217","922287260942217217")</f>
        <v>922287260942217217</v>
      </c>
      <c r="F4925" s="10" t="s">
        <v>39</v>
      </c>
      <c r="G4925" s="10" t="n">
        <v>3</v>
      </c>
      <c r="H4925" s="10" t="n">
        <v>1</v>
      </c>
      <c r="I4925" s="10" t="n">
        <v>187</v>
      </c>
      <c r="J4925" s="10" t="n">
        <v>0</v>
      </c>
      <c r="K4925" s="10" t="s">
        <v>20</v>
      </c>
      <c r="L4925" s="11" t="n">
        <v>43015.6413310185</v>
      </c>
      <c r="M4925" s="12"/>
      <c r="N4925" s="12"/>
      <c r="O4925" s="9" t="str">
        <f aca="false">HYPERLINK("https://pbs.twimg.com/profile_images/918899008059273216/zYzJlvfS_normal.jpg","View")</f>
        <v>View</v>
      </c>
      <c r="P4925" s="10"/>
    </row>
    <row r="4926" customFormat="false" ht="15.75" hidden="false" customHeight="false" outlineLevel="0" collapsed="false">
      <c r="A4926" s="6" t="n">
        <v>43030.8078587963</v>
      </c>
      <c r="B4926" s="7" t="str">
        <f aca="false">HYPERLINK("https://twitter.com/VeoNews_","@VeoNews_")</f>
        <v>@VeoNews_</v>
      </c>
      <c r="C4926" s="8" t="s">
        <v>11616</v>
      </c>
      <c r="D4926" s="8" t="s">
        <v>11617</v>
      </c>
      <c r="E4926" s="9" t="str">
        <f aca="false">HYPERLINK("https://twitter.com/VeoNews_/status/922287289044217857","922287289044217857")</f>
        <v>922287289044217857</v>
      </c>
      <c r="F4926" s="9" t="s">
        <v>979</v>
      </c>
      <c r="G4926" s="10" t="n">
        <v>540</v>
      </c>
      <c r="H4926" s="10" t="n">
        <v>1108</v>
      </c>
      <c r="I4926" s="10" t="n">
        <v>0</v>
      </c>
      <c r="J4926" s="10" t="n">
        <v>0</v>
      </c>
      <c r="K4926" s="10" t="s">
        <v>20</v>
      </c>
      <c r="L4926" s="11" t="n">
        <v>42124.5965856482</v>
      </c>
      <c r="M4926" s="12" t="s">
        <v>2102</v>
      </c>
      <c r="N4926" s="12" t="s">
        <v>11618</v>
      </c>
      <c r="O4926" s="9" t="str">
        <f aca="false">HYPERLINK("https://pbs.twimg.com/profile_images/835825387875758080/McyJqYfp_normal.jpg","View")</f>
        <v>View</v>
      </c>
      <c r="P4926" s="10"/>
    </row>
    <row r="4927" customFormat="false" ht="15.75" hidden="false" customHeight="false" outlineLevel="0" collapsed="false">
      <c r="A4927" s="6" t="n">
        <v>43030.8079398148</v>
      </c>
      <c r="B4927" s="7" t="str">
        <f aca="false">HYPERLINK("https://twitter.com/87Aragon","@87Aragon")</f>
        <v>@87Aragon</v>
      </c>
      <c r="C4927" s="8" t="s">
        <v>11619</v>
      </c>
      <c r="D4927" s="8" t="s">
        <v>10997</v>
      </c>
      <c r="E4927" s="9" t="str">
        <f aca="false">HYPERLINK("https://twitter.com/87Aragon/status/922287317959757829","922287317959757829")</f>
        <v>922287317959757829</v>
      </c>
      <c r="F4927" s="10" t="s">
        <v>25</v>
      </c>
      <c r="G4927" s="10" t="n">
        <v>167</v>
      </c>
      <c r="H4927" s="10" t="n">
        <v>1025</v>
      </c>
      <c r="I4927" s="10" t="n">
        <v>27</v>
      </c>
      <c r="J4927" s="10" t="n">
        <v>0</v>
      </c>
      <c r="K4927" s="10" t="s">
        <v>20</v>
      </c>
      <c r="L4927" s="11" t="n">
        <v>41019.796875</v>
      </c>
      <c r="M4927" s="12" t="s">
        <v>11620</v>
      </c>
      <c r="N4927" s="12" t="s">
        <v>11621</v>
      </c>
      <c r="O4927" s="9" t="str">
        <f aca="false">HYPERLINK("https://pbs.twimg.com/profile_images/920077813868302336/YgV7AsYN_normal.jpg","View")</f>
        <v>View</v>
      </c>
      <c r="P4927" s="10"/>
    </row>
    <row r="4928" customFormat="false" ht="15.75" hidden="false" customHeight="false" outlineLevel="0" collapsed="false">
      <c r="A4928" s="6" t="n">
        <v>43030.8082407407</v>
      </c>
      <c r="B4928" s="7" t="str">
        <f aca="false">HYPERLINK("https://twitter.com/Prof_KJ","@Prof_KJ")</f>
        <v>@Prof_KJ</v>
      </c>
      <c r="C4928" s="8" t="s">
        <v>11622</v>
      </c>
      <c r="D4928" s="8" t="s">
        <v>8538</v>
      </c>
      <c r="E4928" s="9" t="str">
        <f aca="false">HYPERLINK("https://twitter.com/Prof_KJ/status/922287425782558721","922287425782558721")</f>
        <v>922287425782558721</v>
      </c>
      <c r="F4928" s="10" t="s">
        <v>25</v>
      </c>
      <c r="G4928" s="10" t="n">
        <v>148</v>
      </c>
      <c r="H4928" s="10" t="n">
        <v>161</v>
      </c>
      <c r="I4928" s="10" t="n">
        <v>1015</v>
      </c>
      <c r="J4928" s="10" t="n">
        <v>0</v>
      </c>
      <c r="K4928" s="10" t="s">
        <v>20</v>
      </c>
      <c r="L4928" s="11" t="n">
        <v>40285.7011574074</v>
      </c>
      <c r="M4928" s="12" t="s">
        <v>3531</v>
      </c>
      <c r="N4928" s="12" t="s">
        <v>11623</v>
      </c>
      <c r="O4928" s="9" t="str">
        <f aca="false">HYPERLINK("https://pbs.twimg.com/profile_images/883761597264670721/BznAVF0g_normal.jpg","View")</f>
        <v>View</v>
      </c>
      <c r="P4928" s="10"/>
    </row>
    <row r="4929" customFormat="false" ht="15.75" hidden="false" customHeight="false" outlineLevel="0" collapsed="false">
      <c r="A4929" s="6" t="n">
        <v>43030.8087152778</v>
      </c>
      <c r="B4929" s="7" t="str">
        <f aca="false">HYPERLINK("https://twitter.com/mahora561","@mahora561")</f>
        <v>@mahora561</v>
      </c>
      <c r="C4929" s="14" t="s">
        <v>11624</v>
      </c>
      <c r="D4929" s="8" t="s">
        <v>11625</v>
      </c>
      <c r="E4929" s="9" t="str">
        <f aca="false">HYPERLINK("https://twitter.com/mahora561/status/922287600861188096","922287600861188096")</f>
        <v>922287600861188096</v>
      </c>
      <c r="F4929" s="10" t="s">
        <v>39</v>
      </c>
      <c r="G4929" s="10" t="n">
        <v>80</v>
      </c>
      <c r="H4929" s="10" t="n">
        <v>76</v>
      </c>
      <c r="I4929" s="10" t="n">
        <v>0</v>
      </c>
      <c r="J4929" s="10" t="n">
        <v>0</v>
      </c>
      <c r="K4929" s="10" t="s">
        <v>20</v>
      </c>
      <c r="L4929" s="11" t="n">
        <v>40334.1994328704</v>
      </c>
      <c r="M4929" s="12" t="s">
        <v>11626</v>
      </c>
      <c r="N4929" s="13" t="s">
        <v>11627</v>
      </c>
      <c r="O4929" s="9" t="str">
        <f aca="false">HYPERLINK("https://pbs.twimg.com/profile_images/484646587512008704/6IQMRVcS_normal.jpeg","View")</f>
        <v>View</v>
      </c>
      <c r="P4929" s="10"/>
    </row>
    <row r="4930" customFormat="false" ht="15.75" hidden="false" customHeight="false" outlineLevel="0" collapsed="false">
      <c r="A4930" s="6" t="n">
        <v>43030.8089699074</v>
      </c>
      <c r="B4930" s="7" t="str">
        <f aca="false">HYPERLINK("https://twitter.com/rauluraghi","@rauluraghi")</f>
        <v>@rauluraghi</v>
      </c>
      <c r="C4930" s="8" t="s">
        <v>11628</v>
      </c>
      <c r="D4930" s="8" t="s">
        <v>11379</v>
      </c>
      <c r="E4930" s="9" t="str">
        <f aca="false">HYPERLINK("https://twitter.com/rauluraghi/status/922287692267827201","922287692267827201")</f>
        <v>922287692267827201</v>
      </c>
      <c r="F4930" s="10" t="s">
        <v>25</v>
      </c>
      <c r="G4930" s="10" t="n">
        <v>200</v>
      </c>
      <c r="H4930" s="10" t="n">
        <v>536</v>
      </c>
      <c r="I4930" s="10" t="n">
        <v>5</v>
      </c>
      <c r="J4930" s="10" t="n">
        <v>0</v>
      </c>
      <c r="K4930" s="10" t="s">
        <v>20</v>
      </c>
      <c r="L4930" s="11" t="n">
        <v>40993.5675694444</v>
      </c>
      <c r="M4930" s="12"/>
      <c r="N4930" s="12"/>
      <c r="O4930" s="9" t="str">
        <f aca="false">HYPERLINK("https://pbs.twimg.com/profile_images/378800000069747976/038572c6313d118dadb9dfcbd656af07_normal.jpeg","View")</f>
        <v>View</v>
      </c>
      <c r="P4930" s="10"/>
    </row>
    <row r="4931" customFormat="false" ht="15.75" hidden="false" customHeight="false" outlineLevel="0" collapsed="false">
      <c r="A4931" s="6" t="n">
        <v>43030.8090277778</v>
      </c>
      <c r="B4931" s="7" t="str">
        <f aca="false">HYPERLINK("https://twitter.com/GnNegi","@GnNegi")</f>
        <v>@GnNegi</v>
      </c>
      <c r="C4931" s="8" t="s">
        <v>11629</v>
      </c>
      <c r="D4931" s="8" t="s">
        <v>8538</v>
      </c>
      <c r="E4931" s="9" t="str">
        <f aca="false">HYPERLINK("https://twitter.com/GnNegi/status/922287712400392195","922287712400392195")</f>
        <v>922287712400392195</v>
      </c>
      <c r="F4931" s="10" t="s">
        <v>25</v>
      </c>
      <c r="G4931" s="10" t="n">
        <v>15</v>
      </c>
      <c r="H4931" s="10" t="n">
        <v>72</v>
      </c>
      <c r="I4931" s="10" t="n">
        <v>1015</v>
      </c>
      <c r="J4931" s="10" t="n">
        <v>0</v>
      </c>
      <c r="K4931" s="10" t="s">
        <v>20</v>
      </c>
      <c r="L4931" s="11" t="n">
        <v>41799.4022916667</v>
      </c>
      <c r="M4931" s="12" t="s">
        <v>72</v>
      </c>
      <c r="N4931" s="12" t="s">
        <v>11630</v>
      </c>
      <c r="O4931" s="9" t="str">
        <f aca="false">HYPERLINK("https://pbs.twimg.com/profile_images/860141794931208192/Z7ZcOfm7_normal.jpg","View")</f>
        <v>View</v>
      </c>
      <c r="P4931" s="10"/>
    </row>
    <row r="4932" customFormat="false" ht="15.75" hidden="false" customHeight="false" outlineLevel="0" collapsed="false">
      <c r="A4932" s="6" t="n">
        <v>43030.8105555556</v>
      </c>
      <c r="B4932" s="7" t="str">
        <f aca="false">HYPERLINK("https://twitter.com/TujoPanda","@TujoPanda")</f>
        <v>@TujoPanda</v>
      </c>
      <c r="C4932" s="8" t="s">
        <v>11631</v>
      </c>
      <c r="D4932" s="8" t="s">
        <v>10987</v>
      </c>
      <c r="E4932" s="9" t="str">
        <f aca="false">HYPERLINK("https://twitter.com/TujoPanda/status/922288265063010304","922288265063010304")</f>
        <v>922288265063010304</v>
      </c>
      <c r="F4932" s="10" t="s">
        <v>25</v>
      </c>
      <c r="G4932" s="10" t="n">
        <v>371</v>
      </c>
      <c r="H4932" s="10" t="n">
        <v>244</v>
      </c>
      <c r="I4932" s="10" t="n">
        <v>9</v>
      </c>
      <c r="J4932" s="10" t="n">
        <v>0</v>
      </c>
      <c r="K4932" s="10" t="s">
        <v>20</v>
      </c>
      <c r="L4932" s="11" t="n">
        <v>41765.5053356482</v>
      </c>
      <c r="M4932" s="12" t="s">
        <v>11632</v>
      </c>
      <c r="N4932" s="12" t="s">
        <v>11633</v>
      </c>
      <c r="O4932" s="9" t="str">
        <f aca="false">HYPERLINK("https://pbs.twimg.com/profile_images/884285027651133440/rZ2_NMuC_normal.jpg","View")</f>
        <v>View</v>
      </c>
      <c r="P4932" s="10"/>
    </row>
    <row r="4933" customFormat="false" ht="15.75" hidden="false" customHeight="false" outlineLevel="0" collapsed="false">
      <c r="A4933" s="6" t="n">
        <v>43030.8106018519</v>
      </c>
      <c r="B4933" s="7" t="str">
        <f aca="false">HYPERLINK("https://twitter.com/harrypande","@harrypande")</f>
        <v>@harrypande</v>
      </c>
      <c r="C4933" s="8" t="s">
        <v>11634</v>
      </c>
      <c r="D4933" s="8" t="s">
        <v>8538</v>
      </c>
      <c r="E4933" s="9" t="str">
        <f aca="false">HYPERLINK("https://twitter.com/harrypande/status/922288283027087360","922288283027087360")</f>
        <v>922288283027087360</v>
      </c>
      <c r="F4933" s="10" t="s">
        <v>177</v>
      </c>
      <c r="G4933" s="10" t="n">
        <v>1364</v>
      </c>
      <c r="H4933" s="10" t="n">
        <v>1631</v>
      </c>
      <c r="I4933" s="10" t="n">
        <v>1015</v>
      </c>
      <c r="J4933" s="10" t="n">
        <v>0</v>
      </c>
      <c r="K4933" s="10" t="s">
        <v>20</v>
      </c>
      <c r="L4933" s="11" t="n">
        <v>40612.792962963</v>
      </c>
      <c r="M4933" s="12"/>
      <c r="N4933" s="12" t="s">
        <v>11635</v>
      </c>
      <c r="O4933" s="9" t="str">
        <f aca="false">HYPERLINK("https://pbs.twimg.com/profile_images/923891159507771393/KLX5Qk43_normal.jpg","View")</f>
        <v>View</v>
      </c>
      <c r="P4933" s="10"/>
    </row>
    <row r="4934" customFormat="false" ht="15.75" hidden="false" customHeight="false" outlineLevel="0" collapsed="false">
      <c r="A4934" s="6" t="n">
        <v>43030.8106365741</v>
      </c>
      <c r="B4934" s="7" t="str">
        <f aca="false">HYPERLINK("https://twitter.com/ketan72","@ketan72")</f>
        <v>@ketan72</v>
      </c>
      <c r="C4934" s="8" t="s">
        <v>11636</v>
      </c>
      <c r="D4934" s="8" t="s">
        <v>11637</v>
      </c>
      <c r="E4934" s="9" t="str">
        <f aca="false">HYPERLINK("https://twitter.com/ketan72/status/922288294565617664","922288294565617664")</f>
        <v>922288294565617664</v>
      </c>
      <c r="F4934" s="10" t="s">
        <v>25</v>
      </c>
      <c r="G4934" s="10" t="n">
        <v>6729</v>
      </c>
      <c r="H4934" s="10" t="n">
        <v>200</v>
      </c>
      <c r="I4934" s="10" t="n">
        <v>0</v>
      </c>
      <c r="J4934" s="10" t="n">
        <v>0</v>
      </c>
      <c r="K4934" s="10" t="s">
        <v>20</v>
      </c>
      <c r="L4934" s="11" t="n">
        <v>39899.0571064815</v>
      </c>
      <c r="M4934" s="12" t="s">
        <v>72</v>
      </c>
      <c r="N4934" s="12" t="s">
        <v>11638</v>
      </c>
      <c r="O4934" s="9" t="str">
        <f aca="false">HYPERLINK("https://pbs.twimg.com/profile_images/888091277425754112/urNhH9HQ_normal.jpg","View")</f>
        <v>View</v>
      </c>
      <c r="P4934" s="10"/>
    </row>
    <row r="4935" customFormat="false" ht="15.75" hidden="false" customHeight="false" outlineLevel="0" collapsed="false">
      <c r="A4935" s="6" t="n">
        <v>43030.8107175926</v>
      </c>
      <c r="B4935" s="7" t="str">
        <f aca="false">HYPERLINK("https://twitter.com/CNBCTradersFan","@CNBCTradersFan")</f>
        <v>@CNBCTradersFan</v>
      </c>
      <c r="C4935" s="8" t="s">
        <v>325</v>
      </c>
      <c r="D4935" s="8" t="s">
        <v>11639</v>
      </c>
      <c r="E4935" s="9" t="str">
        <f aca="false">HYPERLINK("https://twitter.com/CNBCTradersFan/status/922288324362022913","922288324362022913")</f>
        <v>922288324362022913</v>
      </c>
      <c r="F4935" s="10" t="s">
        <v>60</v>
      </c>
      <c r="G4935" s="10" t="n">
        <v>17155</v>
      </c>
      <c r="H4935" s="10" t="n">
        <v>11641</v>
      </c>
      <c r="I4935" s="10" t="n">
        <v>0</v>
      </c>
      <c r="J4935" s="10" t="n">
        <v>0</v>
      </c>
      <c r="K4935" s="10" t="s">
        <v>20</v>
      </c>
      <c r="L4935" s="11" t="n">
        <v>40922.5054282407</v>
      </c>
      <c r="M4935" s="12" t="s">
        <v>327</v>
      </c>
      <c r="N4935" s="12" t="s">
        <v>328</v>
      </c>
      <c r="O4935" s="9" t="str">
        <f aca="false">HYPERLINK("https://pbs.twimg.com/profile_images/731870469318684672/Ckf7rDdJ_normal.jpg","View")</f>
        <v>View</v>
      </c>
      <c r="P4935" s="10"/>
    </row>
    <row r="4936" customFormat="false" ht="15.75" hidden="false" customHeight="false" outlineLevel="0" collapsed="false">
      <c r="A4936" s="6" t="n">
        <v>43030.8108217593</v>
      </c>
      <c r="B4936" s="7" t="str">
        <f aca="false">HYPERLINK("https://twitter.com/Reply2world","@Reply2world")</f>
        <v>@Reply2world</v>
      </c>
      <c r="C4936" s="8" t="s">
        <v>11640</v>
      </c>
      <c r="D4936" s="8" t="s">
        <v>11641</v>
      </c>
      <c r="E4936" s="9" t="str">
        <f aca="false">HYPERLINK("https://twitter.com/Reply2world/status/922288362052038656","922288362052038656")</f>
        <v>922288362052038656</v>
      </c>
      <c r="F4936" s="10" t="s">
        <v>51</v>
      </c>
      <c r="G4936" s="10" t="n">
        <v>1228</v>
      </c>
      <c r="H4936" s="10" t="n">
        <v>263</v>
      </c>
      <c r="I4936" s="10" t="n">
        <v>0</v>
      </c>
      <c r="J4936" s="10" t="n">
        <v>0</v>
      </c>
      <c r="K4936" s="10" t="s">
        <v>20</v>
      </c>
      <c r="L4936" s="11" t="n">
        <v>41840.1163078704</v>
      </c>
      <c r="M4936" s="12" t="s">
        <v>1670</v>
      </c>
      <c r="N4936" s="12" t="s">
        <v>11642</v>
      </c>
      <c r="O4936" s="9" t="str">
        <f aca="false">HYPERLINK("https://pbs.twimg.com/profile_images/918716080452861952/wfrkgpwg_normal.jpg","View")</f>
        <v>View</v>
      </c>
      <c r="P4936" s="10"/>
    </row>
    <row r="4937" customFormat="false" ht="15.75" hidden="false" customHeight="false" outlineLevel="0" collapsed="false">
      <c r="A4937" s="6" t="n">
        <v>43030.8111574074</v>
      </c>
      <c r="B4937" s="7" t="str">
        <f aca="false">HYPERLINK("https://twitter.com/akshaykanoria","@akshaykanoria")</f>
        <v>@akshaykanoria</v>
      </c>
      <c r="C4937" s="8" t="s">
        <v>11643</v>
      </c>
      <c r="D4937" s="8" t="s">
        <v>8538</v>
      </c>
      <c r="E4937" s="9" t="str">
        <f aca="false">HYPERLINK("https://twitter.com/akshaykanoria/status/922288484752265217","922288484752265217")</f>
        <v>922288484752265217</v>
      </c>
      <c r="F4937" s="10" t="s">
        <v>51</v>
      </c>
      <c r="G4937" s="10" t="n">
        <v>235</v>
      </c>
      <c r="H4937" s="10" t="n">
        <v>451</v>
      </c>
      <c r="I4937" s="10" t="n">
        <v>1015</v>
      </c>
      <c r="J4937" s="10" t="n">
        <v>0</v>
      </c>
      <c r="K4937" s="10" t="s">
        <v>20</v>
      </c>
      <c r="L4937" s="11" t="n">
        <v>40292.8325</v>
      </c>
      <c r="M4937" s="12" t="s">
        <v>860</v>
      </c>
      <c r="N4937" s="12" t="s">
        <v>11644</v>
      </c>
      <c r="O4937" s="9" t="str">
        <f aca="false">HYPERLINK("https://pbs.twimg.com/profile_images/880730112261578752/mB-Sclne_normal.jpg","View")</f>
        <v>View</v>
      </c>
      <c r="P4937" s="10"/>
    </row>
    <row r="4938" customFormat="false" ht="15.75" hidden="false" customHeight="false" outlineLevel="0" collapsed="false">
      <c r="A4938" s="6" t="n">
        <v>43030.811400463</v>
      </c>
      <c r="B4938" s="7" t="str">
        <f aca="false">HYPERLINK("https://twitter.com/samplespaces","@samplespaces")</f>
        <v>@samplespaces</v>
      </c>
      <c r="C4938" s="8" t="s">
        <v>11645</v>
      </c>
      <c r="D4938" s="8" t="s">
        <v>11646</v>
      </c>
      <c r="E4938" s="9" t="str">
        <f aca="false">HYPERLINK("https://twitter.com/samplespaces/status/922288570827554816","922288570827554816")</f>
        <v>922288570827554816</v>
      </c>
      <c r="F4938" s="10" t="s">
        <v>25</v>
      </c>
      <c r="G4938" s="10" t="n">
        <v>1051</v>
      </c>
      <c r="H4938" s="10" t="n">
        <v>558</v>
      </c>
      <c r="I4938" s="10" t="n">
        <v>0</v>
      </c>
      <c r="J4938" s="10" t="n">
        <v>0</v>
      </c>
      <c r="K4938" s="10" t="s">
        <v>20</v>
      </c>
      <c r="L4938" s="11" t="n">
        <v>40063.3405324074</v>
      </c>
      <c r="M4938" s="12" t="s">
        <v>380</v>
      </c>
      <c r="N4938" s="12" t="s">
        <v>11647</v>
      </c>
      <c r="O4938" s="9" t="str">
        <f aca="false">HYPERLINK("https://pbs.twimg.com/profile_images/757957648826310657/F4imcd7u_normal.jpg","View")</f>
        <v>View</v>
      </c>
      <c r="P4938" s="10"/>
    </row>
    <row r="4939" customFormat="false" ht="15.75" hidden="false" customHeight="false" outlineLevel="0" collapsed="false">
      <c r="A4939" s="6" t="n">
        <v>43030.811400463</v>
      </c>
      <c r="B4939" s="7" t="str">
        <f aca="false">HYPERLINK("https://twitter.com/Bhuvi2_0","@Bhuvi2_0")</f>
        <v>@Bhuvi2_0</v>
      </c>
      <c r="C4939" s="8" t="s">
        <v>11648</v>
      </c>
      <c r="D4939" s="8" t="s">
        <v>8538</v>
      </c>
      <c r="E4939" s="9" t="str">
        <f aca="false">HYPERLINK("https://twitter.com/Bhuvi2_0/status/922288570957574144","922288570957574144")</f>
        <v>922288570957574144</v>
      </c>
      <c r="F4939" s="10" t="s">
        <v>51</v>
      </c>
      <c r="G4939" s="10" t="n">
        <v>16</v>
      </c>
      <c r="H4939" s="10" t="n">
        <v>186</v>
      </c>
      <c r="I4939" s="10" t="n">
        <v>1015</v>
      </c>
      <c r="J4939" s="10" t="n">
        <v>0</v>
      </c>
      <c r="K4939" s="10" t="s">
        <v>20</v>
      </c>
      <c r="L4939" s="11" t="n">
        <v>42965.1405439815</v>
      </c>
      <c r="M4939" s="12" t="s">
        <v>3588</v>
      </c>
      <c r="N4939" s="12" t="s">
        <v>11649</v>
      </c>
      <c r="O4939" s="9" t="str">
        <f aca="false">HYPERLINK("https://pbs.twimg.com/profile_images/921242321756217346/kpT2gh7K_normal.jpg","View")</f>
        <v>View</v>
      </c>
      <c r="P4939" s="10"/>
    </row>
    <row r="4940" customFormat="false" ht="15.75" hidden="false" customHeight="false" outlineLevel="0" collapsed="false">
      <c r="A4940" s="6" t="n">
        <v>43030.811724537</v>
      </c>
      <c r="B4940" s="7" t="str">
        <f aca="false">HYPERLINK("https://twitter.com/RaiVithal","@RaiVithal")</f>
        <v>@RaiVithal</v>
      </c>
      <c r="C4940" s="8" t="s">
        <v>11650</v>
      </c>
      <c r="D4940" s="8" t="s">
        <v>8538</v>
      </c>
      <c r="E4940" s="9" t="str">
        <f aca="false">HYPERLINK("https://twitter.com/RaiVithal/status/922288688091996160","922288688091996160")</f>
        <v>922288688091996160</v>
      </c>
      <c r="F4940" s="10" t="s">
        <v>25</v>
      </c>
      <c r="G4940" s="10" t="n">
        <v>117</v>
      </c>
      <c r="H4940" s="10" t="n">
        <v>301</v>
      </c>
      <c r="I4940" s="10" t="n">
        <v>1015</v>
      </c>
      <c r="J4940" s="10" t="n">
        <v>0</v>
      </c>
      <c r="K4940" s="10" t="s">
        <v>20</v>
      </c>
      <c r="L4940" s="11" t="n">
        <v>41296.98625</v>
      </c>
      <c r="M4940" s="12" t="s">
        <v>11651</v>
      </c>
      <c r="N4940" s="12" t="s">
        <v>11652</v>
      </c>
      <c r="O4940" s="9" t="str">
        <f aca="false">HYPERLINK("https://pbs.twimg.com/profile_images/700586653744672768/zU4ggq_x_normal.jpg","View")</f>
        <v>View</v>
      </c>
      <c r="P4940" s="10"/>
    </row>
    <row r="4941" customFormat="false" ht="15.75" hidden="false" customHeight="false" outlineLevel="0" collapsed="false">
      <c r="A4941" s="6" t="n">
        <v>43030.8117824074</v>
      </c>
      <c r="B4941" s="7" t="str">
        <f aca="false">HYPERLINK("https://twitter.com/rishitwt","@rishitwt")</f>
        <v>@rishitwt</v>
      </c>
      <c r="C4941" s="8" t="s">
        <v>11653</v>
      </c>
      <c r="D4941" s="8" t="s">
        <v>8538</v>
      </c>
      <c r="E4941" s="9" t="str">
        <f aca="false">HYPERLINK("https://twitter.com/rishitwt/status/922288709327757312","922288709327757312")</f>
        <v>922288709327757312</v>
      </c>
      <c r="F4941" s="10" t="s">
        <v>25</v>
      </c>
      <c r="G4941" s="10" t="n">
        <v>589</v>
      </c>
      <c r="H4941" s="10" t="n">
        <v>494</v>
      </c>
      <c r="I4941" s="10" t="n">
        <v>1015</v>
      </c>
      <c r="J4941" s="10" t="n">
        <v>0</v>
      </c>
      <c r="K4941" s="10" t="s">
        <v>20</v>
      </c>
      <c r="L4941" s="11" t="n">
        <v>40211.083125</v>
      </c>
      <c r="M4941" s="12"/>
      <c r="N4941" s="12" t="s">
        <v>11654</v>
      </c>
      <c r="O4941" s="9" t="str">
        <f aca="false">HYPERLINK("https://pbs.twimg.com/profile_images/3159874126/f43b29c07c76a686d1c7c609a39ca36e_normal.jpeg","View")</f>
        <v>View</v>
      </c>
      <c r="P4941" s="10"/>
    </row>
    <row r="4942" customFormat="false" ht="15.75" hidden="false" customHeight="false" outlineLevel="0" collapsed="false">
      <c r="A4942" s="6" t="n">
        <v>43030.811875</v>
      </c>
      <c r="B4942" s="7" t="str">
        <f aca="false">HYPERLINK("https://twitter.com/taniasmirnova8","@taniasmirnova8")</f>
        <v>@taniasmirnova8</v>
      </c>
      <c r="C4942" s="14" t="s">
        <v>11655</v>
      </c>
      <c r="D4942" s="8" t="s">
        <v>4984</v>
      </c>
      <c r="E4942" s="9" t="str">
        <f aca="false">HYPERLINK("https://twitter.com/taniasmirnova8/status/922288744408891394","922288744408891394")</f>
        <v>922288744408891394</v>
      </c>
      <c r="F4942" s="10" t="s">
        <v>39</v>
      </c>
      <c r="G4942" s="10" t="n">
        <v>1</v>
      </c>
      <c r="H4942" s="10" t="n">
        <v>0</v>
      </c>
      <c r="I4942" s="10" t="n">
        <v>187</v>
      </c>
      <c r="J4942" s="10" t="n">
        <v>0</v>
      </c>
      <c r="K4942" s="10" t="s">
        <v>20</v>
      </c>
      <c r="L4942" s="11" t="n">
        <v>43015.6440625</v>
      </c>
      <c r="M4942" s="12"/>
      <c r="N4942" s="12"/>
      <c r="O4942" s="9" t="str">
        <f aca="false">HYPERLINK("https://pbs.twimg.com/profile_images/919553263921373184/IVocaqox_normal.jpg","View")</f>
        <v>View</v>
      </c>
      <c r="P4942" s="10"/>
    </row>
    <row r="4943" customFormat="false" ht="15.75" hidden="false" customHeight="false" outlineLevel="0" collapsed="false">
      <c r="A4943" s="6" t="n">
        <v>43030.8121180556</v>
      </c>
      <c r="B4943" s="7" t="str">
        <f aca="false">HYPERLINK("https://twitter.com/i_shaktiprasad","@i_shaktiprasad")</f>
        <v>@i_shaktiprasad</v>
      </c>
      <c r="C4943" s="8" t="s">
        <v>11656</v>
      </c>
      <c r="D4943" s="8" t="s">
        <v>8538</v>
      </c>
      <c r="E4943" s="9" t="str">
        <f aca="false">HYPERLINK("https://twitter.com/i_shaktiprasad/status/922288833961500672","922288833961500672")</f>
        <v>922288833961500672</v>
      </c>
      <c r="F4943" s="10" t="s">
        <v>51</v>
      </c>
      <c r="G4943" s="10" t="n">
        <v>92</v>
      </c>
      <c r="H4943" s="10" t="n">
        <v>163</v>
      </c>
      <c r="I4943" s="10" t="n">
        <v>1015</v>
      </c>
      <c r="J4943" s="10" t="n">
        <v>0</v>
      </c>
      <c r="K4943" s="10" t="s">
        <v>20</v>
      </c>
      <c r="L4943" s="11" t="n">
        <v>41192.5128240741</v>
      </c>
      <c r="M4943" s="12" t="s">
        <v>11657</v>
      </c>
      <c r="N4943" s="12" t="s">
        <v>11658</v>
      </c>
      <c r="O4943" s="9" t="str">
        <f aca="false">HYPERLINK("https://pbs.twimg.com/profile_images/699201177351618560/oEbQhTf2_normal.jpg","View")</f>
        <v>View</v>
      </c>
      <c r="P4943" s="10"/>
    </row>
    <row r="4944" customFormat="false" ht="15.75" hidden="false" customHeight="false" outlineLevel="0" collapsed="false">
      <c r="A4944" s="6" t="n">
        <v>43030.8122569444</v>
      </c>
      <c r="B4944" s="7" t="str">
        <f aca="false">HYPERLINK("https://twitter.com/Adiiidatta","@Adiiidatta")</f>
        <v>@Adiiidatta</v>
      </c>
      <c r="C4944" s="8" t="s">
        <v>11659</v>
      </c>
      <c r="D4944" s="8" t="s">
        <v>8538</v>
      </c>
      <c r="E4944" s="9" t="str">
        <f aca="false">HYPERLINK("https://twitter.com/Adiiidatta/status/922288883798228993","922288883798228993")</f>
        <v>922288883798228993</v>
      </c>
      <c r="F4944" s="10" t="s">
        <v>25</v>
      </c>
      <c r="G4944" s="10" t="n">
        <v>67</v>
      </c>
      <c r="H4944" s="10" t="n">
        <v>1017</v>
      </c>
      <c r="I4944" s="10" t="n">
        <v>1015</v>
      </c>
      <c r="J4944" s="10" t="n">
        <v>0</v>
      </c>
      <c r="K4944" s="10" t="s">
        <v>20</v>
      </c>
      <c r="L4944" s="11" t="n">
        <v>43012.3155555556</v>
      </c>
      <c r="M4944" s="12" t="s">
        <v>11660</v>
      </c>
      <c r="N4944" s="12" t="s">
        <v>11661</v>
      </c>
      <c r="O4944" s="9" t="str">
        <f aca="false">HYPERLINK("https://pbs.twimg.com/profile_images/920456703203729409/UNWvhlIi_normal.jpg","View")</f>
        <v>View</v>
      </c>
      <c r="P4944" s="10"/>
    </row>
    <row r="4945" customFormat="false" ht="15.75" hidden="false" customHeight="false" outlineLevel="0" collapsed="false">
      <c r="A4945" s="6" t="n">
        <v>43030.812349537</v>
      </c>
      <c r="B4945" s="7" t="str">
        <f aca="false">HYPERLINK("https://twitter.com/NewsInnOfficial","@NewsInnOfficial")</f>
        <v>@NewsInnOfficial</v>
      </c>
      <c r="C4945" s="8" t="s">
        <v>1978</v>
      </c>
      <c r="D4945" s="8" t="s">
        <v>11662</v>
      </c>
      <c r="E4945" s="9" t="str">
        <f aca="false">HYPERLINK("https://twitter.com/NewsInnOfficial/status/922288917159862272","922288917159862272")</f>
        <v>922288917159862272</v>
      </c>
      <c r="F4945" s="9" t="s">
        <v>1980</v>
      </c>
      <c r="G4945" s="10" t="n">
        <v>3184</v>
      </c>
      <c r="H4945" s="10" t="n">
        <v>423</v>
      </c>
      <c r="I4945" s="10" t="n">
        <v>0</v>
      </c>
      <c r="J4945" s="10" t="n">
        <v>0</v>
      </c>
      <c r="K4945" s="10" t="s">
        <v>20</v>
      </c>
      <c r="L4945" s="11" t="n">
        <v>42261.0373032407</v>
      </c>
      <c r="M4945" s="12"/>
      <c r="N4945" s="12" t="s">
        <v>1981</v>
      </c>
      <c r="O4945" s="9" t="str">
        <f aca="false">HYPERLINK("https://pbs.twimg.com/profile_images/643332184808357888/iflwS-R9_normal.png","View")</f>
        <v>View</v>
      </c>
      <c r="P4945" s="10"/>
    </row>
    <row r="4946" customFormat="false" ht="15.75" hidden="false" customHeight="false" outlineLevel="0" collapsed="false">
      <c r="A4946" s="6" t="n">
        <v>43030.8129166667</v>
      </c>
      <c r="B4946" s="7" t="str">
        <f aca="false">HYPERLINK("https://twitter.com/breakingknowlez","@breakingknowlez")</f>
        <v>@breakingknowlez</v>
      </c>
      <c r="C4946" s="8" t="s">
        <v>9708</v>
      </c>
      <c r="D4946" s="8" t="s">
        <v>11663</v>
      </c>
      <c r="E4946" s="9" t="str">
        <f aca="false">HYPERLINK("https://twitter.com/breakingknowlez/status/922289123360157697","922289123360157697")</f>
        <v>922289123360157697</v>
      </c>
      <c r="F4946" s="10" t="s">
        <v>55</v>
      </c>
      <c r="G4946" s="10" t="n">
        <v>379</v>
      </c>
      <c r="H4946" s="10" t="n">
        <v>100</v>
      </c>
      <c r="I4946" s="10" t="n">
        <v>0</v>
      </c>
      <c r="J4946" s="10" t="n">
        <v>0</v>
      </c>
      <c r="K4946" s="10" t="s">
        <v>20</v>
      </c>
      <c r="L4946" s="11" t="n">
        <v>41087.2706134259</v>
      </c>
      <c r="M4946" s="12" t="s">
        <v>7434</v>
      </c>
      <c r="N4946" s="12" t="s">
        <v>9710</v>
      </c>
      <c r="O4946" s="9" t="str">
        <f aca="false">HYPERLINK("https://pbs.twimg.com/profile_images/665966096663506944/cBf1Cg_c_normal.png","View")</f>
        <v>View</v>
      </c>
      <c r="P4946" s="10"/>
    </row>
    <row r="4947" customFormat="false" ht="15.75" hidden="false" customHeight="false" outlineLevel="0" collapsed="false">
      <c r="A4947" s="6" t="n">
        <v>43030.813125</v>
      </c>
      <c r="B4947" s="7" t="str">
        <f aca="false">HYPERLINK("https://twitter.com/congressmafia","@congressmafia")</f>
        <v>@congressmafia</v>
      </c>
      <c r="C4947" s="8" t="s">
        <v>11664</v>
      </c>
      <c r="D4947" s="8" t="s">
        <v>8538</v>
      </c>
      <c r="E4947" s="9" t="str">
        <f aca="false">HYPERLINK("https://twitter.com/congressmafia/status/922289195187613697","922289195187613697")</f>
        <v>922289195187613697</v>
      </c>
      <c r="F4947" s="10" t="s">
        <v>25</v>
      </c>
      <c r="G4947" s="10" t="n">
        <v>35</v>
      </c>
      <c r="H4947" s="10" t="n">
        <v>154</v>
      </c>
      <c r="I4947" s="10" t="n">
        <v>1015</v>
      </c>
      <c r="J4947" s="10" t="n">
        <v>0</v>
      </c>
      <c r="K4947" s="10" t="s">
        <v>20</v>
      </c>
      <c r="L4947" s="11" t="n">
        <v>40509.5151388889</v>
      </c>
      <c r="M4947" s="12" t="s">
        <v>8668</v>
      </c>
      <c r="N4947" s="12" t="s">
        <v>11665</v>
      </c>
      <c r="O4947" s="9" t="str">
        <f aca="false">HYPERLINK("https://abs.twimg.com/sticky/default_profile_images/default_profile_normal.png","View")</f>
        <v>View</v>
      </c>
      <c r="P4947" s="10"/>
    </row>
    <row r="4948" customFormat="false" ht="15.75" hidden="false" customHeight="false" outlineLevel="0" collapsed="false">
      <c r="A4948" s="6" t="n">
        <v>43030.8136805556</v>
      </c>
      <c r="B4948" s="7" t="str">
        <f aca="false">HYPERLINK("https://twitter.com/fondoflinux","@fondoflinux")</f>
        <v>@fondoflinux</v>
      </c>
      <c r="C4948" s="8" t="s">
        <v>11666</v>
      </c>
      <c r="D4948" s="8" t="s">
        <v>8538</v>
      </c>
      <c r="E4948" s="9" t="str">
        <f aca="false">HYPERLINK("https://twitter.com/fondoflinux/status/922289398514716672","922289398514716672")</f>
        <v>922289398514716672</v>
      </c>
      <c r="F4948" s="10" t="s">
        <v>25</v>
      </c>
      <c r="G4948" s="10" t="n">
        <v>80</v>
      </c>
      <c r="H4948" s="10" t="n">
        <v>366</v>
      </c>
      <c r="I4948" s="10" t="n">
        <v>1015</v>
      </c>
      <c r="J4948" s="10" t="n">
        <v>0</v>
      </c>
      <c r="K4948" s="10" t="s">
        <v>20</v>
      </c>
      <c r="L4948" s="11" t="n">
        <v>40015.3776157407</v>
      </c>
      <c r="M4948" s="12" t="s">
        <v>868</v>
      </c>
      <c r="N4948" s="12"/>
      <c r="O4948" s="9" t="str">
        <f aca="false">HYPERLINK("https://pbs.twimg.com/profile_images/593441940806369282/3Nhofj5j_normal.jpg","View")</f>
        <v>View</v>
      </c>
      <c r="P4948" s="10"/>
    </row>
    <row r="4949" customFormat="false" ht="15.75" hidden="false" customHeight="false" outlineLevel="0" collapsed="false">
      <c r="A4949" s="6" t="n">
        <v>43030.8149305556</v>
      </c>
      <c r="B4949" s="7" t="str">
        <f aca="false">HYPERLINK("https://twitter.com/SupremeHarish","@SupremeHarish")</f>
        <v>@SupremeHarish</v>
      </c>
      <c r="C4949" s="8" t="s">
        <v>11667</v>
      </c>
      <c r="D4949" s="8" t="s">
        <v>8538</v>
      </c>
      <c r="E4949" s="9" t="str">
        <f aca="false">HYPERLINK("https://twitter.com/SupremeHarish/status/922289849880604672","922289849880604672")</f>
        <v>922289849880604672</v>
      </c>
      <c r="F4949" s="10" t="s">
        <v>25</v>
      </c>
      <c r="G4949" s="10" t="n">
        <v>913</v>
      </c>
      <c r="H4949" s="10" t="n">
        <v>3410</v>
      </c>
      <c r="I4949" s="10" t="n">
        <v>1015</v>
      </c>
      <c r="J4949" s="10" t="n">
        <v>0</v>
      </c>
      <c r="K4949" s="10" t="s">
        <v>20</v>
      </c>
      <c r="L4949" s="11" t="n">
        <v>40992.4135416667</v>
      </c>
      <c r="M4949" s="12" t="s">
        <v>7434</v>
      </c>
      <c r="N4949" s="12" t="s">
        <v>11668</v>
      </c>
      <c r="O4949" s="9" t="str">
        <f aca="false">HYPERLINK("https://pbs.twimg.com/profile_images/748455563554488320/VYlCt7Q9_normal.jpg","View")</f>
        <v>View</v>
      </c>
      <c r="P4949" s="10"/>
    </row>
    <row r="4950" customFormat="false" ht="15.75" hidden="false" customHeight="false" outlineLevel="0" collapsed="false">
      <c r="A4950" s="6" t="n">
        <v>43030.8152893519</v>
      </c>
      <c r="B4950" s="7" t="str">
        <f aca="false">HYPERLINK("https://twitter.com/JamesIacobus","@JamesIacobus")</f>
        <v>@JamesIacobus</v>
      </c>
      <c r="C4950" s="8" t="s">
        <v>11669</v>
      </c>
      <c r="D4950" s="8" t="s">
        <v>11670</v>
      </c>
      <c r="E4950" s="9" t="str">
        <f aca="false">HYPERLINK("https://twitter.com/JamesIacobus/status/922289981216849920","922289981216849920")</f>
        <v>922289981216849920</v>
      </c>
      <c r="F4950" s="10" t="s">
        <v>25</v>
      </c>
      <c r="G4950" s="10" t="n">
        <v>4878</v>
      </c>
      <c r="H4950" s="10" t="n">
        <v>4292</v>
      </c>
      <c r="I4950" s="10" t="n">
        <v>0</v>
      </c>
      <c r="J4950" s="10" t="n">
        <v>0</v>
      </c>
      <c r="K4950" s="10" t="s">
        <v>20</v>
      </c>
      <c r="L4950" s="11" t="n">
        <v>41463.4687615741</v>
      </c>
      <c r="M4950" s="12" t="s">
        <v>4839</v>
      </c>
      <c r="N4950" s="12" t="s">
        <v>11671</v>
      </c>
      <c r="O4950" s="9" t="str">
        <f aca="false">HYPERLINK("https://pbs.twimg.com/profile_images/755118908684644353/zwp_thRR_normal.jpg","View")</f>
        <v>View</v>
      </c>
      <c r="P4950" s="10"/>
    </row>
    <row r="4951" customFormat="false" ht="15.75" hidden="false" customHeight="false" outlineLevel="0" collapsed="false">
      <c r="A4951" s="6" t="n">
        <v>43030.8154166667</v>
      </c>
      <c r="B4951" s="7" t="str">
        <f aca="false">HYPERLINK("https://twitter.com/AmilAbuBakr","@AmilAbuBakr")</f>
        <v>@AmilAbuBakr</v>
      </c>
      <c r="C4951" s="8" t="s">
        <v>11672</v>
      </c>
      <c r="D4951" s="8" t="s">
        <v>11033</v>
      </c>
      <c r="E4951" s="9" t="str">
        <f aca="false">HYPERLINK("https://twitter.com/AmilAbuBakr/status/922290028872482817","922290028872482817")</f>
        <v>922290028872482817</v>
      </c>
      <c r="F4951" s="10" t="s">
        <v>51</v>
      </c>
      <c r="G4951" s="10" t="n">
        <v>480</v>
      </c>
      <c r="H4951" s="10" t="n">
        <v>430</v>
      </c>
      <c r="I4951" s="10" t="n">
        <v>60</v>
      </c>
      <c r="J4951" s="10" t="n">
        <v>0</v>
      </c>
      <c r="K4951" s="10" t="s">
        <v>20</v>
      </c>
      <c r="L4951" s="11" t="n">
        <v>40822.0744791667</v>
      </c>
      <c r="M4951" s="12" t="s">
        <v>11673</v>
      </c>
      <c r="N4951" s="12" t="s">
        <v>11674</v>
      </c>
      <c r="O4951" s="9" t="str">
        <f aca="false">HYPERLINK("https://pbs.twimg.com/profile_images/920590413739593730/DmwNdlyu_normal.jpg","View")</f>
        <v>View</v>
      </c>
      <c r="P4951" s="10"/>
    </row>
    <row r="4952" customFormat="false" ht="15.75" hidden="false" customHeight="false" outlineLevel="0" collapsed="false">
      <c r="A4952" s="6" t="n">
        <v>43030.8154976852</v>
      </c>
      <c r="B4952" s="7" t="str">
        <f aca="false">HYPERLINK("https://twitter.com/babajibaala","@babajibaala")</f>
        <v>@babajibaala</v>
      </c>
      <c r="C4952" s="8" t="s">
        <v>11675</v>
      </c>
      <c r="D4952" s="8" t="s">
        <v>8538</v>
      </c>
      <c r="E4952" s="9" t="str">
        <f aca="false">HYPERLINK("https://twitter.com/babajibaala/status/922290056798257152","922290056798257152")</f>
        <v>922290056798257152</v>
      </c>
      <c r="F4952" s="10" t="s">
        <v>39</v>
      </c>
      <c r="G4952" s="10" t="n">
        <v>344</v>
      </c>
      <c r="H4952" s="10" t="n">
        <v>219</v>
      </c>
      <c r="I4952" s="10" t="n">
        <v>1015</v>
      </c>
      <c r="J4952" s="10" t="n">
        <v>0</v>
      </c>
      <c r="K4952" s="10" t="s">
        <v>20</v>
      </c>
      <c r="L4952" s="11" t="n">
        <v>42156.0112615741</v>
      </c>
      <c r="M4952" s="12"/>
      <c r="N4952" s="12" t="s">
        <v>11676</v>
      </c>
      <c r="O4952" s="9" t="str">
        <f aca="false">HYPERLINK("https://pbs.twimg.com/profile_images/605667770437496832/YYIZhftA_normal.jpg","View")</f>
        <v>View</v>
      </c>
      <c r="P4952" s="10"/>
    </row>
    <row r="4953" customFormat="false" ht="15.75" hidden="false" customHeight="false" outlineLevel="0" collapsed="false">
      <c r="A4953" s="6" t="n">
        <v>43030.8158217593</v>
      </c>
      <c r="B4953" s="7" t="str">
        <f aca="false">HYPERLINK("https://twitter.com/ramlantern","@ramlantern")</f>
        <v>@ramlantern</v>
      </c>
      <c r="C4953" s="8" t="s">
        <v>273</v>
      </c>
      <c r="D4953" s="8" t="s">
        <v>11284</v>
      </c>
      <c r="E4953" s="9" t="str">
        <f aca="false">HYPERLINK("https://twitter.com/ramlantern/status/922290176034004992","922290176034004992")</f>
        <v>922290176034004992</v>
      </c>
      <c r="F4953" s="10" t="s">
        <v>25</v>
      </c>
      <c r="G4953" s="10" t="n">
        <v>46</v>
      </c>
      <c r="H4953" s="10" t="n">
        <v>332</v>
      </c>
      <c r="I4953" s="10" t="n">
        <v>41</v>
      </c>
      <c r="J4953" s="10" t="n">
        <v>0</v>
      </c>
      <c r="K4953" s="10" t="s">
        <v>20</v>
      </c>
      <c r="L4953" s="11" t="n">
        <v>42645.5801273148</v>
      </c>
      <c r="M4953" s="12"/>
      <c r="N4953" s="12"/>
      <c r="O4953" s="9" t="str">
        <f aca="false">HYPERLINK("https://abs.twimg.com/sticky/default_profile_images/default_profile_normal.png","View")</f>
        <v>View</v>
      </c>
      <c r="P4953" s="10"/>
    </row>
    <row r="4954" customFormat="false" ht="15.75" hidden="false" customHeight="false" outlineLevel="0" collapsed="false">
      <c r="A4954" s="6" t="n">
        <v>43030.8160300926</v>
      </c>
      <c r="B4954" s="7" t="str">
        <f aca="false">HYPERLINK("https://twitter.com/nekrasov7pavel","@nekrasov7pavel")</f>
        <v>@nekrasov7pavel</v>
      </c>
      <c r="C4954" s="14" t="s">
        <v>11677</v>
      </c>
      <c r="D4954" s="8" t="s">
        <v>4984</v>
      </c>
      <c r="E4954" s="9" t="str">
        <f aca="false">HYPERLINK("https://twitter.com/nekrasov7pavel/status/922290249832611840","922290249832611840")</f>
        <v>922290249832611840</v>
      </c>
      <c r="F4954" s="10" t="s">
        <v>39</v>
      </c>
      <c r="G4954" s="10" t="n">
        <v>1</v>
      </c>
      <c r="H4954" s="10" t="n">
        <v>3</v>
      </c>
      <c r="I4954" s="10" t="n">
        <v>187</v>
      </c>
      <c r="J4954" s="10" t="n">
        <v>0</v>
      </c>
      <c r="K4954" s="10" t="s">
        <v>20</v>
      </c>
      <c r="L4954" s="11" t="n">
        <v>43015.6474652778</v>
      </c>
      <c r="M4954" s="12"/>
      <c r="N4954" s="12"/>
      <c r="O4954" s="9" t="str">
        <f aca="false">HYPERLINK("https://pbs.twimg.com/profile_images/919554173821100032/8lik4TSM_normal.jpg","View")</f>
        <v>View</v>
      </c>
      <c r="P4954" s="10"/>
    </row>
    <row r="4955" customFormat="false" ht="15.75" hidden="false" customHeight="false" outlineLevel="0" collapsed="false">
      <c r="A4955" s="6" t="n">
        <v>43030.8162268519</v>
      </c>
      <c r="B4955" s="7" t="str">
        <f aca="false">HYPERLINK("https://twitter.com/PankajBagla","@PankajBagla")</f>
        <v>@PankajBagla</v>
      </c>
      <c r="C4955" s="8" t="s">
        <v>11678</v>
      </c>
      <c r="D4955" s="8" t="s">
        <v>8538</v>
      </c>
      <c r="E4955" s="9" t="str">
        <f aca="false">HYPERLINK("https://twitter.com/PankajBagla/status/922290322188722176","922290322188722176")</f>
        <v>922290322188722176</v>
      </c>
      <c r="F4955" s="10" t="s">
        <v>25</v>
      </c>
      <c r="G4955" s="10" t="n">
        <v>284</v>
      </c>
      <c r="H4955" s="10" t="n">
        <v>1534</v>
      </c>
      <c r="I4955" s="10" t="n">
        <v>1015</v>
      </c>
      <c r="J4955" s="10" t="n">
        <v>0</v>
      </c>
      <c r="K4955" s="10" t="s">
        <v>20</v>
      </c>
      <c r="L4955" s="11" t="n">
        <v>40781.2179282407</v>
      </c>
      <c r="M4955" s="12" t="s">
        <v>860</v>
      </c>
      <c r="N4955" s="12" t="s">
        <v>11679</v>
      </c>
      <c r="O4955" s="9" t="str">
        <f aca="false">HYPERLINK("https://pbs.twimg.com/profile_images/755741432833597440/rciyXtQk_normal.jpg","View")</f>
        <v>View</v>
      </c>
      <c r="P4955" s="10"/>
    </row>
    <row r="4956" customFormat="false" ht="15.75" hidden="false" customHeight="false" outlineLevel="0" collapsed="false">
      <c r="A4956" s="6" t="n">
        <v>43030.8162384259</v>
      </c>
      <c r="B4956" s="7" t="str">
        <f aca="false">HYPERLINK("https://twitter.com/ChuHKstock","@ChuHKstock")</f>
        <v>@ChuHKstock</v>
      </c>
      <c r="C4956" s="8" t="s">
        <v>11680</v>
      </c>
      <c r="D4956" s="8" t="s">
        <v>11033</v>
      </c>
      <c r="E4956" s="9" t="str">
        <f aca="false">HYPERLINK("https://twitter.com/ChuHKstock/status/922290325934170112","922290325934170112")</f>
        <v>922290325934170112</v>
      </c>
      <c r="F4956" s="10" t="s">
        <v>51</v>
      </c>
      <c r="G4956" s="10" t="n">
        <v>58</v>
      </c>
      <c r="H4956" s="10" t="n">
        <v>170</v>
      </c>
      <c r="I4956" s="10" t="n">
        <v>60</v>
      </c>
      <c r="J4956" s="10" t="n">
        <v>0</v>
      </c>
      <c r="K4956" s="10" t="s">
        <v>20</v>
      </c>
      <c r="L4956" s="11" t="n">
        <v>42122.2869444445</v>
      </c>
      <c r="M4956" s="12"/>
      <c r="N4956" s="12"/>
      <c r="O4956" s="9" t="str">
        <f aca="false">HYPERLINK("https://pbs.twimg.com/profile_images/593594384727166977/OOlhTH_F_normal.jpg","View")</f>
        <v>View</v>
      </c>
      <c r="P4956" s="10"/>
    </row>
    <row r="4957" customFormat="false" ht="15.75" hidden="false" customHeight="false" outlineLevel="0" collapsed="false">
      <c r="A4957" s="6" t="n">
        <v>43030.8165856482</v>
      </c>
      <c r="B4957" s="7" t="str">
        <f aca="false">HYPERLINK("https://twitter.com/PAgarkhed","@PAgarkhed")</f>
        <v>@PAgarkhed</v>
      </c>
      <c r="C4957" s="8" t="s">
        <v>11681</v>
      </c>
      <c r="D4957" s="8" t="s">
        <v>8538</v>
      </c>
      <c r="E4957" s="9" t="str">
        <f aca="false">HYPERLINK("https://twitter.com/PAgarkhed/status/922290452442648576","922290452442648576")</f>
        <v>922290452442648576</v>
      </c>
      <c r="F4957" s="10" t="s">
        <v>25</v>
      </c>
      <c r="G4957" s="10" t="n">
        <v>19</v>
      </c>
      <c r="H4957" s="10" t="n">
        <v>42</v>
      </c>
      <c r="I4957" s="10" t="n">
        <v>1015</v>
      </c>
      <c r="J4957" s="10" t="n">
        <v>0</v>
      </c>
      <c r="K4957" s="10" t="s">
        <v>20</v>
      </c>
      <c r="L4957" s="11" t="n">
        <v>42337.1876388889</v>
      </c>
      <c r="M4957" s="12"/>
      <c r="N4957" s="12"/>
      <c r="O4957" s="9" t="str">
        <f aca="false">HYPERLINK("https://pbs.twimg.com/profile_images/713372269565906945/JNaIdFay_normal.jpg","View")</f>
        <v>View</v>
      </c>
      <c r="P4957" s="10"/>
    </row>
    <row r="4958" customFormat="false" ht="15.75" hidden="false" customHeight="false" outlineLevel="0" collapsed="false">
      <c r="A4958" s="6" t="n">
        <v>43030.816712963</v>
      </c>
      <c r="B4958" s="7" t="str">
        <f aca="false">HYPERLINK("https://twitter.com/OmShiv108","@OmShiv108")</f>
        <v>@OmShiv108</v>
      </c>
      <c r="C4958" s="8" t="s">
        <v>11682</v>
      </c>
      <c r="D4958" s="8" t="s">
        <v>8538</v>
      </c>
      <c r="E4958" s="9" t="str">
        <f aca="false">HYPERLINK("https://twitter.com/OmShiv108/status/922290498773008384","922290498773008384")</f>
        <v>922290498773008384</v>
      </c>
      <c r="F4958" s="10" t="s">
        <v>51</v>
      </c>
      <c r="G4958" s="10" t="n">
        <v>1128</v>
      </c>
      <c r="H4958" s="10" t="n">
        <v>1834</v>
      </c>
      <c r="I4958" s="10" t="n">
        <v>1015</v>
      </c>
      <c r="J4958" s="10" t="n">
        <v>0</v>
      </c>
      <c r="K4958" s="10" t="s">
        <v>20</v>
      </c>
      <c r="L4958" s="11" t="n">
        <v>40766.4149537037</v>
      </c>
      <c r="M4958" s="12"/>
      <c r="N4958" s="12"/>
      <c r="O4958" s="9" t="str">
        <f aca="false">HYPERLINK("https://pbs.twimg.com/profile_images/909264598200500224/d71KK5DT_normal.jpg","View")</f>
        <v>View</v>
      </c>
      <c r="P4958" s="10"/>
    </row>
    <row r="4959" customFormat="false" ht="15.75" hidden="false" customHeight="false" outlineLevel="0" collapsed="false">
      <c r="A4959" s="6" t="n">
        <v>43030.817037037</v>
      </c>
      <c r="B4959" s="7" t="str">
        <f aca="false">HYPERLINK("https://twitter.com/TrendingNewsTV","@TrendingNewsTV")</f>
        <v>@TrendingNewsTV</v>
      </c>
      <c r="C4959" s="8" t="s">
        <v>1646</v>
      </c>
      <c r="D4959" s="8" t="s">
        <v>11683</v>
      </c>
      <c r="E4959" s="9" t="str">
        <f aca="false">HYPERLINK("https://twitter.com/TrendingNewsTV/status/922290613646700544","922290613646700544")</f>
        <v>922290613646700544</v>
      </c>
      <c r="F4959" s="10" t="s">
        <v>60</v>
      </c>
      <c r="G4959" s="10" t="n">
        <v>157</v>
      </c>
      <c r="H4959" s="10" t="n">
        <v>16</v>
      </c>
      <c r="I4959" s="10" t="n">
        <v>0</v>
      </c>
      <c r="J4959" s="10" t="n">
        <v>0</v>
      </c>
      <c r="K4959" s="10" t="s">
        <v>20</v>
      </c>
      <c r="L4959" s="11" t="n">
        <v>42873.3151851852</v>
      </c>
      <c r="M4959" s="12" t="s">
        <v>1648</v>
      </c>
      <c r="N4959" s="12" t="s">
        <v>1649</v>
      </c>
      <c r="O4959" s="9" t="str">
        <f aca="false">HYPERLINK("https://pbs.twimg.com/profile_images/870695993104252929/yk2g-5OO_normal.jpg","View")</f>
        <v>View</v>
      </c>
      <c r="P4959" s="10"/>
    </row>
    <row r="4960" customFormat="false" ht="15.75" hidden="false" customHeight="false" outlineLevel="0" collapsed="false">
      <c r="A4960" s="6" t="n">
        <v>43030.8171759259</v>
      </c>
      <c r="B4960" s="7" t="str">
        <f aca="false">HYPERLINK("https://twitter.com/sanjaymshra","@sanjaymshra")</f>
        <v>@sanjaymshra</v>
      </c>
      <c r="C4960" s="8" t="s">
        <v>11684</v>
      </c>
      <c r="D4960" s="8" t="s">
        <v>8538</v>
      </c>
      <c r="E4960" s="9" t="str">
        <f aca="false">HYPERLINK("https://twitter.com/sanjaymshra/status/922290666826121217","922290666826121217")</f>
        <v>922290666826121217</v>
      </c>
      <c r="F4960" s="10" t="s">
        <v>25</v>
      </c>
      <c r="G4960" s="10" t="n">
        <v>651</v>
      </c>
      <c r="H4960" s="10" t="n">
        <v>124</v>
      </c>
      <c r="I4960" s="10" t="n">
        <v>1015</v>
      </c>
      <c r="J4960" s="10" t="n">
        <v>0</v>
      </c>
      <c r="K4960" s="10" t="s">
        <v>20</v>
      </c>
      <c r="L4960" s="11" t="n">
        <v>40526.9294444445</v>
      </c>
      <c r="M4960" s="12" t="s">
        <v>72</v>
      </c>
      <c r="N4960" s="12" t="s">
        <v>11685</v>
      </c>
      <c r="O4960" s="9" t="str">
        <f aca="false">HYPERLINK("https://pbs.twimg.com/profile_images/847654472293560321/gMJ8W6BX_normal.jpg","View")</f>
        <v>View</v>
      </c>
      <c r="P4960" s="10"/>
    </row>
    <row r="4961" customFormat="false" ht="15.75" hidden="false" customHeight="false" outlineLevel="0" collapsed="false">
      <c r="A4961" s="6" t="n">
        <v>43030.8172222222</v>
      </c>
      <c r="B4961" s="7" t="str">
        <f aca="false">HYPERLINK("https://twitter.com/muralikumarje","@muralikumarje")</f>
        <v>@muralikumarje</v>
      </c>
      <c r="C4961" s="8" t="s">
        <v>841</v>
      </c>
      <c r="D4961" s="8" t="s">
        <v>11130</v>
      </c>
      <c r="E4961" s="9" t="str">
        <f aca="false">HYPERLINK("https://twitter.com/muralikumarje/status/922290683112669184","922290683112669184")</f>
        <v>922290683112669184</v>
      </c>
      <c r="F4961" s="10" t="s">
        <v>25</v>
      </c>
      <c r="G4961" s="10" t="n">
        <v>103</v>
      </c>
      <c r="H4961" s="10" t="n">
        <v>85</v>
      </c>
      <c r="I4961" s="10" t="n">
        <v>9</v>
      </c>
      <c r="J4961" s="10" t="n">
        <v>0</v>
      </c>
      <c r="K4961" s="10" t="s">
        <v>20</v>
      </c>
      <c r="L4961" s="11" t="n">
        <v>41033.2837152778</v>
      </c>
      <c r="M4961" s="12" t="s">
        <v>843</v>
      </c>
      <c r="N4961" s="12" t="s">
        <v>844</v>
      </c>
      <c r="O4961" s="9" t="str">
        <f aca="false">HYPERLINK("https://pbs.twimg.com/profile_images/544861659328569345/Q-vIkusJ_normal.jpeg","View")</f>
        <v>View</v>
      </c>
      <c r="P4961" s="10"/>
    </row>
    <row r="4962" customFormat="false" ht="15.75" hidden="false" customHeight="false" outlineLevel="0" collapsed="false">
      <c r="A4962" s="6" t="n">
        <v>43030.8173263889</v>
      </c>
      <c r="B4962" s="7" t="str">
        <f aca="false">HYPERLINK("https://twitter.com/maheshkumaryad","@maheshkumaryad")</f>
        <v>@maheshkumaryad</v>
      </c>
      <c r="C4962" s="8" t="s">
        <v>11686</v>
      </c>
      <c r="D4962" s="8" t="s">
        <v>8538</v>
      </c>
      <c r="E4962" s="9" t="str">
        <f aca="false">HYPERLINK("https://twitter.com/maheshkumaryad/status/922290720148406272","922290720148406272")</f>
        <v>922290720148406272</v>
      </c>
      <c r="F4962" s="10" t="s">
        <v>25</v>
      </c>
      <c r="G4962" s="10" t="n">
        <v>306</v>
      </c>
      <c r="H4962" s="10" t="n">
        <v>281</v>
      </c>
      <c r="I4962" s="10" t="n">
        <v>1015</v>
      </c>
      <c r="J4962" s="10" t="n">
        <v>0</v>
      </c>
      <c r="K4962" s="10" t="s">
        <v>20</v>
      </c>
      <c r="L4962" s="11" t="n">
        <v>40614.94125</v>
      </c>
      <c r="M4962" s="12" t="s">
        <v>64</v>
      </c>
      <c r="N4962" s="12" t="s">
        <v>11687</v>
      </c>
      <c r="O4962" s="9" t="str">
        <f aca="false">HYPERLINK("https://pbs.twimg.com/profile_images/914518694058909696/FJY1Prj0_normal.jpg","View")</f>
        <v>View</v>
      </c>
      <c r="P4962" s="10"/>
    </row>
    <row r="4963" customFormat="false" ht="15.75" hidden="false" customHeight="false" outlineLevel="0" collapsed="false">
      <c r="A4963" s="6" t="n">
        <v>43030.8175347222</v>
      </c>
      <c r="B4963" s="7" t="str">
        <f aca="false">HYPERLINK("https://twitter.com/bijuk74","@bijuk74")</f>
        <v>@bijuk74</v>
      </c>
      <c r="C4963" s="8" t="s">
        <v>11688</v>
      </c>
      <c r="D4963" s="8" t="s">
        <v>8538</v>
      </c>
      <c r="E4963" s="9" t="str">
        <f aca="false">HYPERLINK("https://twitter.com/bijuk74/status/922290795406700544","922290795406700544")</f>
        <v>922290795406700544</v>
      </c>
      <c r="F4963" s="10" t="s">
        <v>51</v>
      </c>
      <c r="G4963" s="10" t="n">
        <v>180</v>
      </c>
      <c r="H4963" s="10" t="n">
        <v>673</v>
      </c>
      <c r="I4963" s="10" t="n">
        <v>1015</v>
      </c>
      <c r="J4963" s="10" t="n">
        <v>0</v>
      </c>
      <c r="K4963" s="10" t="s">
        <v>20</v>
      </c>
      <c r="L4963" s="11" t="n">
        <v>41095.550462963</v>
      </c>
      <c r="M4963" s="12" t="s">
        <v>868</v>
      </c>
      <c r="N4963" s="12" t="s">
        <v>11689</v>
      </c>
      <c r="O4963" s="9" t="str">
        <f aca="false">HYPERLINK("https://pbs.twimg.com/profile_images/468843506794909697/HYifGWD8_normal.jpeg","View")</f>
        <v>View</v>
      </c>
      <c r="P4963" s="10"/>
    </row>
    <row r="4964" customFormat="false" ht="15.75" hidden="false" customHeight="false" outlineLevel="0" collapsed="false">
      <c r="A4964" s="6" t="n">
        <v>43030.8187615741</v>
      </c>
      <c r="B4964" s="7" t="str">
        <f aca="false">HYPERLINK("https://twitter.com/mkskrish","@mkskrish")</f>
        <v>@mkskrish</v>
      </c>
      <c r="C4964" s="8" t="s">
        <v>11690</v>
      </c>
      <c r="D4964" s="8" t="s">
        <v>8538</v>
      </c>
      <c r="E4964" s="9" t="str">
        <f aca="false">HYPERLINK("https://twitter.com/mkskrish/status/922291240321761281","922291240321761281")</f>
        <v>922291240321761281</v>
      </c>
      <c r="F4964" s="10" t="s">
        <v>98</v>
      </c>
      <c r="G4964" s="10" t="n">
        <v>602</v>
      </c>
      <c r="H4964" s="10" t="n">
        <v>1355</v>
      </c>
      <c r="I4964" s="10" t="n">
        <v>1015</v>
      </c>
      <c r="J4964" s="10" t="n">
        <v>0</v>
      </c>
      <c r="K4964" s="10" t="s">
        <v>20</v>
      </c>
      <c r="L4964" s="11" t="n">
        <v>40307.4974884259</v>
      </c>
      <c r="M4964" s="12" t="s">
        <v>3588</v>
      </c>
      <c r="N4964" s="12" t="s">
        <v>11691</v>
      </c>
      <c r="O4964" s="9" t="str">
        <f aca="false">HYPERLINK("https://pbs.twimg.com/profile_images/911301367829897216/a-Q8uTgJ_normal.jpg","View")</f>
        <v>View</v>
      </c>
      <c r="P4964" s="10"/>
    </row>
    <row r="4965" customFormat="false" ht="15.75" hidden="false" customHeight="false" outlineLevel="0" collapsed="false">
      <c r="A4965" s="6" t="n">
        <v>43030.8190625</v>
      </c>
      <c r="B4965" s="7" t="str">
        <f aca="false">HYPERLINK("https://twitter.com/DanialAzraei","@DanialAzraei")</f>
        <v>@DanialAzraei</v>
      </c>
      <c r="C4965" s="8" t="s">
        <v>11692</v>
      </c>
      <c r="D4965" s="8" t="s">
        <v>11284</v>
      </c>
      <c r="E4965" s="9" t="str">
        <f aca="false">HYPERLINK("https://twitter.com/DanialAzraei/status/922291347033243649","922291347033243649")</f>
        <v>922291347033243649</v>
      </c>
      <c r="F4965" s="10" t="s">
        <v>51</v>
      </c>
      <c r="G4965" s="10" t="n">
        <v>852</v>
      </c>
      <c r="H4965" s="10" t="n">
        <v>268</v>
      </c>
      <c r="I4965" s="10" t="n">
        <v>41</v>
      </c>
      <c r="J4965" s="10" t="n">
        <v>0</v>
      </c>
      <c r="K4965" s="10" t="s">
        <v>20</v>
      </c>
      <c r="L4965" s="11" t="n">
        <v>41246.0960763889</v>
      </c>
      <c r="M4965" s="12" t="s">
        <v>11693</v>
      </c>
      <c r="N4965" s="12" t="s">
        <v>11694</v>
      </c>
      <c r="O4965" s="9" t="str">
        <f aca="false">HYPERLINK("https://pbs.twimg.com/profile_images/896052822210265088/VeD5Hhvy_normal.jpg","View")</f>
        <v>View</v>
      </c>
      <c r="P4965" s="10"/>
    </row>
    <row r="4966" customFormat="false" ht="15.75" hidden="false" customHeight="false" outlineLevel="0" collapsed="false">
      <c r="A4966" s="6" t="n">
        <v>43030.819224537</v>
      </c>
      <c r="B4966" s="7" t="str">
        <f aca="false">HYPERLINK("https://twitter.com/Avalurian","@Avalurian")</f>
        <v>@Avalurian</v>
      </c>
      <c r="C4966" s="8" t="s">
        <v>11695</v>
      </c>
      <c r="D4966" s="8" t="s">
        <v>11696</v>
      </c>
      <c r="E4966" s="9" t="str">
        <f aca="false">HYPERLINK("https://twitter.com/Avalurian/status/922291409226317824","922291409226317824")</f>
        <v>922291409226317824</v>
      </c>
      <c r="F4966" s="10" t="s">
        <v>39</v>
      </c>
      <c r="G4966" s="10" t="n">
        <v>1310</v>
      </c>
      <c r="H4966" s="10" t="n">
        <v>4917</v>
      </c>
      <c r="I4966" s="10" t="n">
        <v>0</v>
      </c>
      <c r="J4966" s="10" t="n">
        <v>0</v>
      </c>
      <c r="K4966" s="10" t="s">
        <v>20</v>
      </c>
      <c r="L4966" s="11" t="n">
        <v>41533.1780555556</v>
      </c>
      <c r="M4966" s="12" t="s">
        <v>11697</v>
      </c>
      <c r="N4966" s="12" t="s">
        <v>11698</v>
      </c>
      <c r="O4966" s="9" t="str">
        <f aca="false">HYPERLINK("https://pbs.twimg.com/profile_images/906834248824274944/hAJ0STpP_normal.jpg","View")</f>
        <v>View</v>
      </c>
      <c r="P4966" s="10"/>
    </row>
    <row r="4967" customFormat="false" ht="15.75" hidden="false" customHeight="false" outlineLevel="0" collapsed="false">
      <c r="A4967" s="6" t="n">
        <v>43030.8196759259</v>
      </c>
      <c r="B4967" s="7" t="str">
        <f aca="false">HYPERLINK("https://twitter.com/SsChugh","@SsChugh")</f>
        <v>@SsChugh</v>
      </c>
      <c r="C4967" s="8" t="s">
        <v>11699</v>
      </c>
      <c r="D4967" s="8" t="s">
        <v>8538</v>
      </c>
      <c r="E4967" s="9" t="str">
        <f aca="false">HYPERLINK("https://twitter.com/SsChugh/status/922291571394932737","922291571394932737")</f>
        <v>922291571394932737</v>
      </c>
      <c r="F4967" s="10" t="s">
        <v>25</v>
      </c>
      <c r="G4967" s="10" t="n">
        <v>249</v>
      </c>
      <c r="H4967" s="10" t="n">
        <v>407</v>
      </c>
      <c r="I4967" s="10" t="n">
        <v>1015</v>
      </c>
      <c r="J4967" s="10" t="n">
        <v>0</v>
      </c>
      <c r="K4967" s="10" t="s">
        <v>20</v>
      </c>
      <c r="L4967" s="11" t="n">
        <v>41708.4114583333</v>
      </c>
      <c r="M4967" s="12" t="s">
        <v>857</v>
      </c>
      <c r="N4967" s="12" t="s">
        <v>11700</v>
      </c>
      <c r="O4967" s="9" t="str">
        <f aca="false">HYPERLINK("https://pbs.twimg.com/profile_images/871008579230326784/zuYa7Oe9_normal.jpg","View")</f>
        <v>View</v>
      </c>
      <c r="P4967" s="10"/>
    </row>
    <row r="4968" customFormat="false" ht="15.75" hidden="false" customHeight="false" outlineLevel="0" collapsed="false">
      <c r="A4968" s="6" t="n">
        <v>43030.8199652778</v>
      </c>
      <c r="B4968" s="7" t="str">
        <f aca="false">HYPERLINK("https://twitter.com/AussieToday","@AussieToday")</f>
        <v>@AussieToday</v>
      </c>
      <c r="C4968" s="8" t="s">
        <v>11701</v>
      </c>
      <c r="D4968" s="8" t="s">
        <v>11702</v>
      </c>
      <c r="E4968" s="9" t="str">
        <f aca="false">HYPERLINK("https://twitter.com/AussieToday/status/922291674411405312","922291674411405312")</f>
        <v>922291674411405312</v>
      </c>
      <c r="F4968" s="10" t="s">
        <v>11703</v>
      </c>
      <c r="G4968" s="10" t="n">
        <v>23</v>
      </c>
      <c r="H4968" s="10" t="n">
        <v>10</v>
      </c>
      <c r="I4968" s="10" t="n">
        <v>0</v>
      </c>
      <c r="J4968" s="10" t="n">
        <v>0</v>
      </c>
      <c r="K4968" s="10" t="s">
        <v>20</v>
      </c>
      <c r="L4968" s="11" t="n">
        <v>42573.1310069445</v>
      </c>
      <c r="M4968" s="12" t="s">
        <v>1199</v>
      </c>
      <c r="N4968" s="12" t="s">
        <v>11704</v>
      </c>
      <c r="O4968" s="9" t="str">
        <f aca="false">HYPERLINK("https://abs.twimg.com/sticky/default_profile_images/default_profile_normal.png","View")</f>
        <v>View</v>
      </c>
      <c r="P4968" s="10"/>
    </row>
    <row r="4969" customFormat="false" ht="15.75" hidden="false" customHeight="false" outlineLevel="0" collapsed="false">
      <c r="A4969" s="6" t="n">
        <v>43030.8218287037</v>
      </c>
      <c r="B4969" s="7" t="str">
        <f aca="false">HYPERLINK("https://twitter.com/kuma_love_japan","@kuma_love_japan")</f>
        <v>@kuma_love_japan</v>
      </c>
      <c r="C4969" s="14" t="s">
        <v>11705</v>
      </c>
      <c r="D4969" s="8" t="s">
        <v>11418</v>
      </c>
      <c r="E4969" s="9" t="str">
        <f aca="false">HYPERLINK("https://twitter.com/kuma_love_japan/status/922292349023035392","922292349023035392")</f>
        <v>922292349023035392</v>
      </c>
      <c r="F4969" s="10" t="s">
        <v>51</v>
      </c>
      <c r="G4969" s="10" t="n">
        <v>93</v>
      </c>
      <c r="H4969" s="10" t="n">
        <v>85</v>
      </c>
      <c r="I4969" s="10" t="n">
        <v>38</v>
      </c>
      <c r="J4969" s="10" t="n">
        <v>0</v>
      </c>
      <c r="K4969" s="10" t="s">
        <v>20</v>
      </c>
      <c r="L4969" s="11" t="n">
        <v>42913.085787037</v>
      </c>
      <c r="M4969" s="13" t="s">
        <v>152</v>
      </c>
      <c r="N4969" s="13" t="s">
        <v>11706</v>
      </c>
      <c r="O4969" s="9" t="str">
        <f aca="false">HYPERLINK("https://pbs.twimg.com/profile_images/879627783021797376/YWN-jiMH_normal.jpg","View")</f>
        <v>View</v>
      </c>
      <c r="P4969" s="10"/>
    </row>
    <row r="4970" customFormat="false" ht="15.75" hidden="false" customHeight="false" outlineLevel="0" collapsed="false">
      <c r="A4970" s="6" t="n">
        <v>43030.8218981481</v>
      </c>
      <c r="B4970" s="7" t="str">
        <f aca="false">HYPERLINK("https://twitter.com/harsha_moksha","@harsha_moksha")</f>
        <v>@harsha_moksha</v>
      </c>
      <c r="C4970" s="8" t="s">
        <v>11707</v>
      </c>
      <c r="D4970" s="8" t="s">
        <v>8538</v>
      </c>
      <c r="E4970" s="9" t="str">
        <f aca="false">HYPERLINK("https://twitter.com/harsha_moksha/status/922292376625864704","922292376625864704")</f>
        <v>922292376625864704</v>
      </c>
      <c r="F4970" s="10" t="s">
        <v>25</v>
      </c>
      <c r="G4970" s="10" t="n">
        <v>1051</v>
      </c>
      <c r="H4970" s="10" t="n">
        <v>1466</v>
      </c>
      <c r="I4970" s="10" t="n">
        <v>1015</v>
      </c>
      <c r="J4970" s="10" t="n">
        <v>0</v>
      </c>
      <c r="K4970" s="10" t="s">
        <v>20</v>
      </c>
      <c r="L4970" s="11" t="n">
        <v>40312.4473032407</v>
      </c>
      <c r="M4970" s="12" t="s">
        <v>72</v>
      </c>
      <c r="N4970" s="12" t="s">
        <v>11708</v>
      </c>
      <c r="O4970" s="9" t="str">
        <f aca="false">HYPERLINK("https://pbs.twimg.com/profile_images/797132696149315585/cSnCryul_normal.jpg","View")</f>
        <v>View</v>
      </c>
      <c r="P4970" s="10"/>
    </row>
    <row r="4971" customFormat="false" ht="15.75" hidden="false" customHeight="false" outlineLevel="0" collapsed="false">
      <c r="A4971" s="6" t="n">
        <v>43030.8220023148</v>
      </c>
      <c r="B4971" s="7" t="str">
        <f aca="false">HYPERLINK("https://twitter.com/mitsuya_niwa","@mitsuya_niwa")</f>
        <v>@mitsuya_niwa</v>
      </c>
      <c r="C4971" s="14" t="s">
        <v>11709</v>
      </c>
      <c r="D4971" s="8" t="s">
        <v>10225</v>
      </c>
      <c r="E4971" s="9" t="str">
        <f aca="false">HYPERLINK("https://twitter.com/mitsuya_niwa/status/922292413850312704","922292413850312704")</f>
        <v>922292413850312704</v>
      </c>
      <c r="F4971" s="10" t="s">
        <v>39</v>
      </c>
      <c r="G4971" s="10" t="n">
        <v>9075</v>
      </c>
      <c r="H4971" s="10" t="n">
        <v>123</v>
      </c>
      <c r="I4971" s="10" t="n">
        <v>16</v>
      </c>
      <c r="J4971" s="10" t="n">
        <v>0</v>
      </c>
      <c r="K4971" s="10" t="s">
        <v>20</v>
      </c>
      <c r="L4971" s="11" t="n">
        <v>40189.6716782407</v>
      </c>
      <c r="M4971" s="12" t="s">
        <v>357</v>
      </c>
      <c r="N4971" s="13" t="s">
        <v>11710</v>
      </c>
      <c r="O4971" s="9" t="str">
        <f aca="false">HYPERLINK("https://pbs.twimg.com/profile_images/1099542286/20090816_616399_normal.jpg","View")</f>
        <v>View</v>
      </c>
      <c r="P4971" s="10"/>
    </row>
    <row r="4972" customFormat="false" ht="15.75" hidden="false" customHeight="false" outlineLevel="0" collapsed="false">
      <c r="A4972" s="6" t="n">
        <v>43030.8220833333</v>
      </c>
      <c r="B4972" s="7" t="str">
        <f aca="false">HYPERLINK("https://twitter.com/SCOTUSBios","@SCOTUSBios")</f>
        <v>@SCOTUSBios</v>
      </c>
      <c r="C4972" s="8" t="s">
        <v>11711</v>
      </c>
      <c r="D4972" s="8" t="s">
        <v>11284</v>
      </c>
      <c r="E4972" s="9" t="str">
        <f aca="false">HYPERLINK("https://twitter.com/SCOTUSBios/status/922292443902566400","922292443902566400")</f>
        <v>922292443902566400</v>
      </c>
      <c r="F4972" s="10" t="s">
        <v>51</v>
      </c>
      <c r="G4972" s="10" t="n">
        <v>1402</v>
      </c>
      <c r="H4972" s="10" t="n">
        <v>4855</v>
      </c>
      <c r="I4972" s="10" t="n">
        <v>41</v>
      </c>
      <c r="J4972" s="10" t="n">
        <v>0</v>
      </c>
      <c r="K4972" s="10" t="s">
        <v>20</v>
      </c>
      <c r="L4972" s="11" t="n">
        <v>42392.5974305556</v>
      </c>
      <c r="M4972" s="12" t="s">
        <v>798</v>
      </c>
      <c r="N4972" s="12" t="s">
        <v>11712</v>
      </c>
      <c r="O4972" s="9" t="str">
        <f aca="false">HYPERLINK("https://pbs.twimg.com/profile_images/812144239748534273/uunVK4pJ_normal.jpg","View")</f>
        <v>View</v>
      </c>
      <c r="P4972" s="10"/>
    </row>
    <row r="4973" customFormat="false" ht="15.75" hidden="false" customHeight="false" outlineLevel="0" collapsed="false">
      <c r="A4973" s="6" t="n">
        <v>43030.8226967593</v>
      </c>
      <c r="B4973" s="7" t="str">
        <f aca="false">HYPERLINK("https://twitter.com/kappa_136","@kappa_136")</f>
        <v>@kappa_136</v>
      </c>
      <c r="C4973" s="8" t="s">
        <v>11713</v>
      </c>
      <c r="D4973" s="8" t="s">
        <v>11418</v>
      </c>
      <c r="E4973" s="9" t="str">
        <f aca="false">HYPERLINK("https://twitter.com/kappa_136/status/922292667500728320","922292667500728320")</f>
        <v>922292667500728320</v>
      </c>
      <c r="F4973" s="10" t="s">
        <v>3219</v>
      </c>
      <c r="G4973" s="10" t="n">
        <v>19</v>
      </c>
      <c r="H4973" s="10" t="n">
        <v>110</v>
      </c>
      <c r="I4973" s="10" t="n">
        <v>38</v>
      </c>
      <c r="J4973" s="10" t="n">
        <v>0</v>
      </c>
      <c r="K4973" s="10" t="s">
        <v>20</v>
      </c>
      <c r="L4973" s="11" t="n">
        <v>40760.6044791667</v>
      </c>
      <c r="M4973" s="12"/>
      <c r="N4973" s="13" t="s">
        <v>11714</v>
      </c>
      <c r="O4973" s="9" t="str">
        <f aca="false">HYPERLINK("https://pbs.twimg.com/profile_images/914357945520971776/MsPq6nsX_normal.jpg","View")</f>
        <v>View</v>
      </c>
      <c r="P4973" s="10"/>
    </row>
    <row r="4974" customFormat="false" ht="15.75" hidden="false" customHeight="false" outlineLevel="0" collapsed="false">
      <c r="A4974" s="6" t="n">
        <v>43030.8230439815</v>
      </c>
      <c r="B4974" s="7" t="str">
        <f aca="false">HYPERLINK("https://twitter.com/absh_27","@absh_27")</f>
        <v>@absh_27</v>
      </c>
      <c r="C4974" s="8" t="s">
        <v>11715</v>
      </c>
      <c r="D4974" s="8" t="s">
        <v>8538</v>
      </c>
      <c r="E4974" s="9" t="str">
        <f aca="false">HYPERLINK("https://twitter.com/absh_27/status/922292789831860225","922292789831860225")</f>
        <v>922292789831860225</v>
      </c>
      <c r="F4974" s="10" t="s">
        <v>25</v>
      </c>
      <c r="G4974" s="10" t="n">
        <v>101</v>
      </c>
      <c r="H4974" s="10" t="n">
        <v>139</v>
      </c>
      <c r="I4974" s="10" t="n">
        <v>1015</v>
      </c>
      <c r="J4974" s="10" t="n">
        <v>0</v>
      </c>
      <c r="K4974" s="10" t="s">
        <v>20</v>
      </c>
      <c r="L4974" s="11" t="n">
        <v>41171.9928240741</v>
      </c>
      <c r="M4974" s="12" t="s">
        <v>3531</v>
      </c>
      <c r="N4974" s="12"/>
      <c r="O4974" s="9" t="str">
        <f aca="false">HYPERLINK("https://pbs.twimg.com/profile_images/503046679709224960/NFMXwlKR_normal.jpeg","View")</f>
        <v>View</v>
      </c>
      <c r="P4974" s="10"/>
    </row>
    <row r="4975" customFormat="false" ht="15.75" hidden="false" customHeight="false" outlineLevel="0" collapsed="false">
      <c r="A4975" s="6" t="n">
        <v>43030.8232407407</v>
      </c>
      <c r="B4975" s="7" t="str">
        <f aca="false">HYPERLINK("https://twitter.com/ENIN_NW_Sports","@ENIN_NW_Sports")</f>
        <v>@ENIN_NW_Sports</v>
      </c>
      <c r="C4975" s="8" t="s">
        <v>11716</v>
      </c>
      <c r="D4975" s="8" t="s">
        <v>11717</v>
      </c>
      <c r="E4975" s="9" t="str">
        <f aca="false">HYPERLINK("https://twitter.com/ENIN_NW_Sports/status/922292864209637376","922292864209637376")</f>
        <v>922292864209637376</v>
      </c>
      <c r="F4975" s="10" t="s">
        <v>110</v>
      </c>
      <c r="G4975" s="10" t="n">
        <v>390</v>
      </c>
      <c r="H4975" s="10" t="n">
        <v>666</v>
      </c>
      <c r="I4975" s="10" t="n">
        <v>0</v>
      </c>
      <c r="J4975" s="10" t="n">
        <v>0</v>
      </c>
      <c r="K4975" s="10" t="s">
        <v>20</v>
      </c>
      <c r="L4975" s="11" t="n">
        <v>41364.8085185185</v>
      </c>
      <c r="M4975" s="12" t="s">
        <v>72</v>
      </c>
      <c r="N4975" s="12" t="s">
        <v>11718</v>
      </c>
      <c r="O4975" s="9" t="str">
        <f aca="false">HYPERLINK("https://pbs.twimg.com/profile_images/3459400669/8b6685fccc316b16e9068018639c7d6a_normal.png","View")</f>
        <v>View</v>
      </c>
      <c r="P4975" s="10"/>
    </row>
    <row r="4976" customFormat="false" ht="15.75" hidden="false" customHeight="false" outlineLevel="0" collapsed="false">
      <c r="A4976" s="6" t="n">
        <v>43030.8234606482</v>
      </c>
      <c r="B4976" s="7" t="str">
        <f aca="false">HYPERLINK("https://twitter.com/vinish_ind","@vinish_ind")</f>
        <v>@vinish_ind</v>
      </c>
      <c r="C4976" s="8" t="s">
        <v>11719</v>
      </c>
      <c r="D4976" s="8" t="s">
        <v>8538</v>
      </c>
      <c r="E4976" s="9" t="str">
        <f aca="false">HYPERLINK("https://twitter.com/vinish_ind/status/922292940327870464","922292940327870464")</f>
        <v>922292940327870464</v>
      </c>
      <c r="F4976" s="10" t="s">
        <v>51</v>
      </c>
      <c r="G4976" s="10" t="n">
        <v>519</v>
      </c>
      <c r="H4976" s="10" t="n">
        <v>170</v>
      </c>
      <c r="I4976" s="10" t="n">
        <v>1015</v>
      </c>
      <c r="J4976" s="10" t="n">
        <v>0</v>
      </c>
      <c r="K4976" s="10" t="s">
        <v>20</v>
      </c>
      <c r="L4976" s="11" t="n">
        <v>40841.4194675926</v>
      </c>
      <c r="M4976" s="12" t="s">
        <v>8609</v>
      </c>
      <c r="N4976" s="12" t="s">
        <v>11720</v>
      </c>
      <c r="O4976" s="9" t="str">
        <f aca="false">HYPERLINK("https://pbs.twimg.com/profile_images/915852168141271041/Md5a3nfu_normal.jpg","View")</f>
        <v>View</v>
      </c>
      <c r="P4976" s="10"/>
    </row>
    <row r="4977" customFormat="false" ht="15.75" hidden="false" customHeight="false" outlineLevel="0" collapsed="false">
      <c r="A4977" s="6" t="n">
        <v>43030.8237268519</v>
      </c>
      <c r="B4977" s="7" t="str">
        <f aca="false">HYPERLINK("https://twitter.com/salilnike","@salilnike")</f>
        <v>@salilnike</v>
      </c>
      <c r="C4977" s="8" t="s">
        <v>11721</v>
      </c>
      <c r="D4977" s="8" t="s">
        <v>8538</v>
      </c>
      <c r="E4977" s="9" t="str">
        <f aca="false">HYPERLINK("https://twitter.com/salilnike/status/922293038600175616","922293038600175616")</f>
        <v>922293038600175616</v>
      </c>
      <c r="F4977" s="10" t="s">
        <v>25</v>
      </c>
      <c r="G4977" s="10" t="n">
        <v>22</v>
      </c>
      <c r="H4977" s="10" t="n">
        <v>364</v>
      </c>
      <c r="I4977" s="10" t="n">
        <v>1015</v>
      </c>
      <c r="J4977" s="10" t="n">
        <v>0</v>
      </c>
      <c r="K4977" s="10" t="s">
        <v>20</v>
      </c>
      <c r="L4977" s="11" t="n">
        <v>40620.8295486111</v>
      </c>
      <c r="M4977" s="12"/>
      <c r="N4977" s="12"/>
      <c r="O4977" s="9" t="str">
        <f aca="false">HYPERLINK("https://abs.twimg.com/sticky/default_profile_images/default_profile_normal.png","View")</f>
        <v>View</v>
      </c>
      <c r="P4977" s="10"/>
    </row>
    <row r="4978" customFormat="false" ht="15.75" hidden="false" customHeight="false" outlineLevel="0" collapsed="false">
      <c r="A4978" s="6" t="n">
        <v>43030.8238888889</v>
      </c>
      <c r="B4978" s="7" t="str">
        <f aca="false">HYPERLINK("https://twitter.com/BloombergTV","@BloombergTV")</f>
        <v>@BloombergTV</v>
      </c>
      <c r="C4978" s="8" t="s">
        <v>317</v>
      </c>
      <c r="D4978" s="8" t="s">
        <v>11722</v>
      </c>
      <c r="E4978" s="9" t="str">
        <f aca="false">HYPERLINK("https://twitter.com/BloombergTV/status/922293096947245056","922293096947245056")</f>
        <v>922293096947245056</v>
      </c>
      <c r="F4978" s="9" t="s">
        <v>198</v>
      </c>
      <c r="G4978" s="10" t="n">
        <v>452918</v>
      </c>
      <c r="H4978" s="10" t="n">
        <v>458</v>
      </c>
      <c r="I4978" s="10" t="n">
        <v>11</v>
      </c>
      <c r="J4978" s="10" t="n">
        <v>13</v>
      </c>
      <c r="K4978" s="10" t="s">
        <v>20</v>
      </c>
      <c r="L4978" s="11" t="n">
        <v>39927.4899768519</v>
      </c>
      <c r="M4978" s="12" t="s">
        <v>319</v>
      </c>
      <c r="N4978" s="12" t="s">
        <v>320</v>
      </c>
      <c r="O4978" s="9" t="str">
        <f aca="false">HYPERLINK("https://pbs.twimg.com/profile_images/714801760632770560/7My2hMBt_normal.jpg","View")</f>
        <v>View</v>
      </c>
      <c r="P4978" s="10"/>
    </row>
    <row r="4979" customFormat="false" ht="15.75" hidden="false" customHeight="false" outlineLevel="0" collapsed="false">
      <c r="A4979" s="6" t="n">
        <v>43030.8239583333</v>
      </c>
      <c r="B4979" s="7" t="str">
        <f aca="false">HYPERLINK("https://twitter.com/raahulbansal","@raahulbansal")</f>
        <v>@raahulbansal</v>
      </c>
      <c r="C4979" s="8" t="s">
        <v>11723</v>
      </c>
      <c r="D4979" s="8" t="s">
        <v>8538</v>
      </c>
      <c r="E4979" s="9" t="str">
        <f aca="false">HYPERLINK("https://twitter.com/raahulbansal/status/922293120812818432","922293120812818432")</f>
        <v>922293120812818432</v>
      </c>
      <c r="F4979" s="10" t="s">
        <v>25</v>
      </c>
      <c r="G4979" s="10" t="n">
        <v>844</v>
      </c>
      <c r="H4979" s="10" t="n">
        <v>386</v>
      </c>
      <c r="I4979" s="10" t="n">
        <v>1015</v>
      </c>
      <c r="J4979" s="10" t="n">
        <v>0</v>
      </c>
      <c r="K4979" s="10" t="s">
        <v>20</v>
      </c>
      <c r="L4979" s="11" t="n">
        <v>40709.243287037</v>
      </c>
      <c r="M4979" s="12" t="s">
        <v>72</v>
      </c>
      <c r="N4979" s="12" t="s">
        <v>11724</v>
      </c>
      <c r="O4979" s="9" t="str">
        <f aca="false">HYPERLINK("https://pbs.twimg.com/profile_images/920979925644951552/9raB_hlj_normal.jpg","View")</f>
        <v>View</v>
      </c>
      <c r="P4979" s="10"/>
    </row>
    <row r="4980" customFormat="false" ht="15.75" hidden="false" customHeight="false" outlineLevel="0" collapsed="false">
      <c r="A4980" s="6" t="n">
        <v>43030.8239814815</v>
      </c>
      <c r="B4980" s="7" t="str">
        <f aca="false">HYPERLINK("https://twitter.com/sparjaga","@sparjaga")</f>
        <v>@sparjaga</v>
      </c>
      <c r="C4980" s="8" t="s">
        <v>11725</v>
      </c>
      <c r="D4980" s="8" t="s">
        <v>8538</v>
      </c>
      <c r="E4980" s="9" t="str">
        <f aca="false">HYPERLINK("https://twitter.com/sparjaga/status/922293131810185216","922293131810185216")</f>
        <v>922293131810185216</v>
      </c>
      <c r="F4980" s="10" t="s">
        <v>25</v>
      </c>
      <c r="G4980" s="10" t="n">
        <v>722</v>
      </c>
      <c r="H4980" s="10" t="n">
        <v>1631</v>
      </c>
      <c r="I4980" s="10" t="n">
        <v>1015</v>
      </c>
      <c r="J4980" s="10" t="n">
        <v>0</v>
      </c>
      <c r="K4980" s="10" t="s">
        <v>20</v>
      </c>
      <c r="L4980" s="11" t="n">
        <v>42254.0464351852</v>
      </c>
      <c r="M4980" s="12" t="s">
        <v>11726</v>
      </c>
      <c r="N4980" s="12" t="s">
        <v>11727</v>
      </c>
      <c r="O4980" s="9" t="str">
        <f aca="false">HYPERLINK("https://pbs.twimg.com/profile_images/666249851022147585/s7U7jsv__normal.jpg","View")</f>
        <v>View</v>
      </c>
      <c r="P4980" s="10"/>
    </row>
    <row r="4981" customFormat="false" ht="15.75" hidden="false" customHeight="false" outlineLevel="0" collapsed="false">
      <c r="A4981" s="6" t="n">
        <v>43030.8240277778</v>
      </c>
      <c r="B4981" s="7" t="str">
        <f aca="false">HYPERLINK("https://twitter.com/TirzahYerusalem","@TirzahYerusalem")</f>
        <v>@TirzahYerusalem</v>
      </c>
      <c r="C4981" s="8" t="s">
        <v>11728</v>
      </c>
      <c r="D4981" s="8" t="s">
        <v>4124</v>
      </c>
      <c r="E4981" s="9" t="str">
        <f aca="false">HYPERLINK("https://twitter.com/TirzahYerusalem/status/922293146527997954","922293146527997954")</f>
        <v>922293146527997954</v>
      </c>
      <c r="F4981" s="10" t="s">
        <v>39</v>
      </c>
      <c r="G4981" s="10" t="n">
        <v>487</v>
      </c>
      <c r="H4981" s="10" t="n">
        <v>3246</v>
      </c>
      <c r="I4981" s="10" t="n">
        <v>111</v>
      </c>
      <c r="J4981" s="10" t="n">
        <v>0</v>
      </c>
      <c r="K4981" s="10" t="s">
        <v>20</v>
      </c>
      <c r="L4981" s="11" t="n">
        <v>41663.3679398148</v>
      </c>
      <c r="M4981" s="12" t="s">
        <v>11729</v>
      </c>
      <c r="N4981" s="12" t="s">
        <v>11730</v>
      </c>
      <c r="O4981" s="9" t="str">
        <f aca="false">HYPERLINK("https://pbs.twimg.com/profile_images/596924901241425921/Jb4Jme8w_normal.jpg","View")</f>
        <v>View</v>
      </c>
      <c r="P4981" s="10"/>
    </row>
    <row r="4982" customFormat="false" ht="15.75" hidden="false" customHeight="false" outlineLevel="0" collapsed="false">
      <c r="A4982" s="6" t="n">
        <v>43030.8245023148</v>
      </c>
      <c r="B4982" s="7" t="str">
        <f aca="false">HYPERLINK("https://twitter.com/fpjindia","@fpjindia")</f>
        <v>@fpjindia</v>
      </c>
      <c r="C4982" s="8" t="s">
        <v>11731</v>
      </c>
      <c r="D4982" s="8" t="s">
        <v>11732</v>
      </c>
      <c r="E4982" s="9" t="str">
        <f aca="false">HYPERLINK("https://twitter.com/fpjindia/status/922293321732468736","922293321732468736")</f>
        <v>922293321732468736</v>
      </c>
      <c r="F4982" s="10" t="s">
        <v>39</v>
      </c>
      <c r="G4982" s="10" t="n">
        <v>4225</v>
      </c>
      <c r="H4982" s="10" t="n">
        <v>242</v>
      </c>
      <c r="I4982" s="10" t="n">
        <v>0</v>
      </c>
      <c r="J4982" s="10" t="n">
        <v>0</v>
      </c>
      <c r="K4982" s="10" t="s">
        <v>20</v>
      </c>
      <c r="L4982" s="11" t="n">
        <v>40672.3021412037</v>
      </c>
      <c r="M4982" s="12" t="s">
        <v>72</v>
      </c>
      <c r="N4982" s="12" t="s">
        <v>11733</v>
      </c>
      <c r="O4982" s="9" t="str">
        <f aca="false">HYPERLINK("https://pbs.twimg.com/profile_images/761162924412903424/JtNOFjnG_normal.jpg","View")</f>
        <v>View</v>
      </c>
      <c r="P4982" s="10"/>
    </row>
    <row r="4983" customFormat="false" ht="15.75" hidden="false" customHeight="false" outlineLevel="0" collapsed="false">
      <c r="A4983" s="6" t="n">
        <v>43030.8250347222</v>
      </c>
      <c r="B4983" s="7" t="str">
        <f aca="false">HYPERLINK("https://twitter.com/suryakanthreddy","@suryakanthreddy")</f>
        <v>@suryakanthreddy</v>
      </c>
      <c r="C4983" s="8" t="s">
        <v>11734</v>
      </c>
      <c r="D4983" s="8" t="s">
        <v>8538</v>
      </c>
      <c r="E4983" s="9" t="str">
        <f aca="false">HYPERLINK("https://twitter.com/suryakanthreddy/status/922293511172456449","922293511172456449")</f>
        <v>922293511172456449</v>
      </c>
      <c r="F4983" s="10" t="s">
        <v>177</v>
      </c>
      <c r="G4983" s="10" t="n">
        <v>1725</v>
      </c>
      <c r="H4983" s="10" t="n">
        <v>709</v>
      </c>
      <c r="I4983" s="10" t="n">
        <v>1015</v>
      </c>
      <c r="J4983" s="10" t="n">
        <v>0</v>
      </c>
      <c r="K4983" s="10" t="s">
        <v>20</v>
      </c>
      <c r="L4983" s="11" t="n">
        <v>40292.2796643519</v>
      </c>
      <c r="M4983" s="12" t="s">
        <v>11735</v>
      </c>
      <c r="N4983" s="12" t="s">
        <v>11736</v>
      </c>
      <c r="O4983" s="9" t="str">
        <f aca="false">HYPERLINK("https://pbs.twimg.com/profile_images/914376623608045568/tWdaX1FK_normal.jpg","View")</f>
        <v>View</v>
      </c>
      <c r="P4983" s="10"/>
    </row>
    <row r="4984" customFormat="false" ht="15.75" hidden="false" customHeight="false" outlineLevel="0" collapsed="false">
      <c r="A4984" s="6" t="n">
        <v>43030.8251736111</v>
      </c>
      <c r="B4984" s="7" t="str">
        <f aca="false">HYPERLINK("https://twitter.com/leeeric8","@leeeric8")</f>
        <v>@leeeric8</v>
      </c>
      <c r="C4984" s="8" t="s">
        <v>11737</v>
      </c>
      <c r="D4984" s="8" t="s">
        <v>11738</v>
      </c>
      <c r="E4984" s="9" t="str">
        <f aca="false">HYPERLINK("https://twitter.com/leeeric8/status/922293563118911488","922293563118911488")</f>
        <v>922293563118911488</v>
      </c>
      <c r="F4984" s="10" t="s">
        <v>25</v>
      </c>
      <c r="G4984" s="10" t="n">
        <v>54</v>
      </c>
      <c r="H4984" s="10" t="n">
        <v>141</v>
      </c>
      <c r="I4984" s="10" t="n">
        <v>11</v>
      </c>
      <c r="J4984" s="10" t="n">
        <v>0</v>
      </c>
      <c r="K4984" s="10" t="s">
        <v>20</v>
      </c>
      <c r="L4984" s="11" t="n">
        <v>40019.9356712963</v>
      </c>
      <c r="M4984" s="12" t="s">
        <v>186</v>
      </c>
      <c r="N4984" s="12"/>
      <c r="O4984" s="9" t="str">
        <f aca="false">HYPERLINK("https://pbs.twimg.com/profile_images/1800714668/image_normal.jpg","View")</f>
        <v>View</v>
      </c>
      <c r="P4984" s="10"/>
    </row>
    <row r="4985" customFormat="false" ht="15.75" hidden="false" customHeight="false" outlineLevel="0" collapsed="false">
      <c r="A4985" s="6" t="n">
        <v>43030.8257407407</v>
      </c>
      <c r="B4985" s="7" t="str">
        <f aca="false">HYPERLINK("https://twitter.com/InvestmentNow","@InvestmentNow")</f>
        <v>@InvestmentNow</v>
      </c>
      <c r="C4985" s="8" t="s">
        <v>11739</v>
      </c>
      <c r="D4985" s="8" t="s">
        <v>11740</v>
      </c>
      <c r="E4985" s="9" t="str">
        <f aca="false">HYPERLINK("https://twitter.com/InvestmentNow/status/922293768056795136","922293768056795136")</f>
        <v>922293768056795136</v>
      </c>
      <c r="F4985" s="9" t="s">
        <v>1147</v>
      </c>
      <c r="G4985" s="10" t="n">
        <v>527</v>
      </c>
      <c r="H4985" s="10" t="n">
        <v>245</v>
      </c>
      <c r="I4985" s="10" t="n">
        <v>0</v>
      </c>
      <c r="J4985" s="10" t="n">
        <v>0</v>
      </c>
      <c r="K4985" s="10" t="s">
        <v>20</v>
      </c>
      <c r="L4985" s="11" t="n">
        <v>40710.1595717593</v>
      </c>
      <c r="M4985" s="12"/>
      <c r="N4985" s="12"/>
      <c r="O4985" s="9" t="str">
        <f aca="false">HYPERLINK("https://pbs.twimg.com/profile_images/1447569662/images_normal.jpg","View")</f>
        <v>View</v>
      </c>
      <c r="P4985" s="10"/>
    </row>
    <row r="4986" customFormat="false" ht="15.75" hidden="false" customHeight="false" outlineLevel="0" collapsed="false">
      <c r="A4986" s="6" t="n">
        <v>43030.8257523148</v>
      </c>
      <c r="B4986" s="7" t="str">
        <f aca="false">HYPERLINK("https://twitter.com/InvestmentNow","@InvestmentNow")</f>
        <v>@InvestmentNow</v>
      </c>
      <c r="C4986" s="8" t="s">
        <v>11739</v>
      </c>
      <c r="D4986" s="8" t="s">
        <v>11741</v>
      </c>
      <c r="E4986" s="9" t="str">
        <f aca="false">HYPERLINK("https://twitter.com/InvestmentNow/status/922293771311517696","922293771311517696")</f>
        <v>922293771311517696</v>
      </c>
      <c r="F4986" s="9" t="s">
        <v>1147</v>
      </c>
      <c r="G4986" s="10" t="n">
        <v>527</v>
      </c>
      <c r="H4986" s="10" t="n">
        <v>245</v>
      </c>
      <c r="I4986" s="10" t="n">
        <v>0</v>
      </c>
      <c r="J4986" s="10" t="n">
        <v>0</v>
      </c>
      <c r="K4986" s="10" t="s">
        <v>20</v>
      </c>
      <c r="L4986" s="11" t="n">
        <v>40710.1595717593</v>
      </c>
      <c r="M4986" s="12"/>
      <c r="N4986" s="12"/>
      <c r="O4986" s="9" t="str">
        <f aca="false">HYPERLINK("https://pbs.twimg.com/profile_images/1447569662/images_normal.jpg","View")</f>
        <v>View</v>
      </c>
      <c r="P4986" s="10"/>
    </row>
    <row r="4987" customFormat="false" ht="15.75" hidden="false" customHeight="false" outlineLevel="0" collapsed="false">
      <c r="A4987" s="6" t="n">
        <v>43030.8260069444</v>
      </c>
      <c r="B4987" s="7" t="str">
        <f aca="false">HYPERLINK("https://twitter.com/Les_Conway","@Les_Conway")</f>
        <v>@Les_Conway</v>
      </c>
      <c r="C4987" s="8" t="s">
        <v>11742</v>
      </c>
      <c r="D4987" s="8" t="s">
        <v>11743</v>
      </c>
      <c r="E4987" s="9" t="str">
        <f aca="false">HYPERLINK("https://twitter.com/Les_Conway/status/922293863355768832","922293863355768832")</f>
        <v>922293863355768832</v>
      </c>
      <c r="F4987" s="10" t="s">
        <v>60</v>
      </c>
      <c r="G4987" s="10" t="n">
        <v>1127</v>
      </c>
      <c r="H4987" s="10" t="n">
        <v>270</v>
      </c>
      <c r="I4987" s="10" t="n">
        <v>0</v>
      </c>
      <c r="J4987" s="10" t="n">
        <v>0</v>
      </c>
      <c r="K4987" s="10" t="s">
        <v>20</v>
      </c>
      <c r="L4987" s="11" t="n">
        <v>40563.3737037037</v>
      </c>
      <c r="M4987" s="12" t="s">
        <v>11744</v>
      </c>
      <c r="N4987" s="12" t="s">
        <v>11745</v>
      </c>
      <c r="O4987" s="9" t="str">
        <f aca="false">HYPERLINK("https://pbs.twimg.com/profile_images/657232705575329792/l3WTt5w5_normal.jpg","View")</f>
        <v>View</v>
      </c>
      <c r="P4987" s="10"/>
    </row>
    <row r="4988" customFormat="false" ht="15.75" hidden="false" customHeight="false" outlineLevel="0" collapsed="false">
      <c r="A4988" s="6" t="n">
        <v>43030.8264699074</v>
      </c>
      <c r="B4988" s="7" t="str">
        <f aca="false">HYPERLINK("https://twitter.com/ATHREYAG","@ATHREYAG")</f>
        <v>@ATHREYAG</v>
      </c>
      <c r="C4988" s="8" t="s">
        <v>11746</v>
      </c>
      <c r="D4988" s="8" t="s">
        <v>8538</v>
      </c>
      <c r="E4988" s="9" t="str">
        <f aca="false">HYPERLINK("https://twitter.com/ATHREYAG/status/922294034252447744","922294034252447744")</f>
        <v>922294034252447744</v>
      </c>
      <c r="F4988" s="10" t="s">
        <v>25</v>
      </c>
      <c r="G4988" s="10" t="n">
        <v>2259</v>
      </c>
      <c r="H4988" s="10" t="n">
        <v>4910</v>
      </c>
      <c r="I4988" s="10" t="n">
        <v>1015</v>
      </c>
      <c r="J4988" s="10" t="n">
        <v>0</v>
      </c>
      <c r="K4988" s="10" t="s">
        <v>20</v>
      </c>
      <c r="L4988" s="11" t="n">
        <v>39994.4124421296</v>
      </c>
      <c r="M4988" s="12" t="s">
        <v>11747</v>
      </c>
      <c r="N4988" s="12" t="s">
        <v>11748</v>
      </c>
      <c r="O4988" s="9" t="str">
        <f aca="false">HYPERLINK("https://pbs.twimg.com/profile_images/847649866767417345/ZdltsWW8_normal.jpg","View")</f>
        <v>View</v>
      </c>
      <c r="P4988" s="10"/>
    </row>
    <row r="4989" customFormat="false" ht="15.75" hidden="false" customHeight="false" outlineLevel="0" collapsed="false">
      <c r="A4989" s="6" t="n">
        <v>43030.8264930556</v>
      </c>
      <c r="B4989" s="7" t="str">
        <f aca="false">HYPERLINK("https://twitter.com/Gurutweet82","@Gurutweet82")</f>
        <v>@Gurutweet82</v>
      </c>
      <c r="C4989" s="8" t="s">
        <v>11749</v>
      </c>
      <c r="D4989" s="8" t="s">
        <v>8538</v>
      </c>
      <c r="E4989" s="9" t="str">
        <f aca="false">HYPERLINK("https://twitter.com/Gurutweet82/status/922294043190497281","922294043190497281")</f>
        <v>922294043190497281</v>
      </c>
      <c r="F4989" s="10" t="s">
        <v>51</v>
      </c>
      <c r="G4989" s="10" t="n">
        <v>58</v>
      </c>
      <c r="H4989" s="10" t="n">
        <v>118</v>
      </c>
      <c r="I4989" s="10" t="n">
        <v>1015</v>
      </c>
      <c r="J4989" s="10" t="n">
        <v>0</v>
      </c>
      <c r="K4989" s="10" t="s">
        <v>20</v>
      </c>
      <c r="L4989" s="11" t="n">
        <v>40795.5466666667</v>
      </c>
      <c r="M4989" s="12"/>
      <c r="N4989" s="12" t="s">
        <v>11750</v>
      </c>
      <c r="O4989" s="9" t="str">
        <f aca="false">HYPERLINK("https://pbs.twimg.com/profile_images/863794411771244544/bylQE6SI_normal.jpg","View")</f>
        <v>View</v>
      </c>
      <c r="P4989" s="10"/>
    </row>
    <row r="4990" customFormat="false" ht="15.75" hidden="false" customHeight="false" outlineLevel="0" collapsed="false">
      <c r="A4990" s="6" t="n">
        <v>43030.8267013889</v>
      </c>
      <c r="B4990" s="7" t="str">
        <f aca="false">HYPERLINK("https://twitter.com/FinanceNewsLDN","@FinanceNewsLDN")</f>
        <v>@FinanceNewsLDN</v>
      </c>
      <c r="C4990" s="8" t="s">
        <v>11751</v>
      </c>
      <c r="D4990" s="8" t="s">
        <v>11752</v>
      </c>
      <c r="E4990" s="9" t="str">
        <f aca="false">HYPERLINK("https://twitter.com/FinanceNewsLDN/status/922294114963656704","922294114963656704")</f>
        <v>922294114963656704</v>
      </c>
      <c r="F4990" s="10" t="s">
        <v>60</v>
      </c>
      <c r="G4990" s="10" t="n">
        <v>5198</v>
      </c>
      <c r="H4990" s="10" t="n">
        <v>0</v>
      </c>
      <c r="I4990" s="10" t="n">
        <v>0</v>
      </c>
      <c r="J4990" s="10" t="n">
        <v>0</v>
      </c>
      <c r="K4990" s="10" t="s">
        <v>20</v>
      </c>
      <c r="L4990" s="11" t="n">
        <v>41655.1720486111</v>
      </c>
      <c r="M4990" s="12" t="s">
        <v>893</v>
      </c>
      <c r="N4990" s="12" t="s">
        <v>11753</v>
      </c>
      <c r="O4990" s="9" t="str">
        <f aca="false">HYPERLINK("https://pbs.twimg.com/profile_images/424130587029278720/5KYC-0n__normal.png","View")</f>
        <v>View</v>
      </c>
      <c r="P4990" s="10"/>
    </row>
    <row r="4991" customFormat="false" ht="15.75" hidden="false" customHeight="false" outlineLevel="0" collapsed="false">
      <c r="A4991" s="6" t="n">
        <v>43030.8268518519</v>
      </c>
      <c r="B4991" s="7" t="str">
        <f aca="false">HYPERLINK("https://twitter.com/RozChin","@RozChin")</f>
        <v>@RozChin</v>
      </c>
      <c r="C4991" s="8" t="s">
        <v>11754</v>
      </c>
      <c r="D4991" s="8" t="s">
        <v>11738</v>
      </c>
      <c r="E4991" s="9" t="str">
        <f aca="false">HYPERLINK("https://twitter.com/RozChin/status/922294171817320448","922294171817320448")</f>
        <v>922294171817320448</v>
      </c>
      <c r="F4991" s="10" t="s">
        <v>39</v>
      </c>
      <c r="G4991" s="10" t="n">
        <v>3022</v>
      </c>
      <c r="H4991" s="10" t="n">
        <v>1448</v>
      </c>
      <c r="I4991" s="10" t="n">
        <v>11</v>
      </c>
      <c r="J4991" s="10" t="n">
        <v>0</v>
      </c>
      <c r="K4991" s="10" t="s">
        <v>20</v>
      </c>
      <c r="L4991" s="11" t="n">
        <v>41115.7575</v>
      </c>
      <c r="M4991" s="12"/>
      <c r="N4991" s="12" t="s">
        <v>11755</v>
      </c>
      <c r="O4991" s="9" t="str">
        <f aca="false">HYPERLINK("https://pbs.twimg.com/profile_images/763485348022353920/Jzvy0ifI_normal.jpg","View")</f>
        <v>View</v>
      </c>
      <c r="P4991" s="10"/>
    </row>
    <row r="4992" customFormat="false" ht="15.75" hidden="false" customHeight="false" outlineLevel="0" collapsed="false">
      <c r="A4992" s="6" t="n">
        <v>43030.8274189815</v>
      </c>
      <c r="B4992" s="7" t="str">
        <f aca="false">HYPERLINK("https://twitter.com/Purohit9Rahul","@Purohit9Rahul")</f>
        <v>@Purohit9Rahul</v>
      </c>
      <c r="C4992" s="8" t="s">
        <v>11756</v>
      </c>
      <c r="D4992" s="8" t="s">
        <v>8538</v>
      </c>
      <c r="E4992" s="9" t="str">
        <f aca="false">HYPERLINK("https://twitter.com/Purohit9Rahul/status/922294378730807297","922294378730807297")</f>
        <v>922294378730807297</v>
      </c>
      <c r="F4992" s="10" t="s">
        <v>25</v>
      </c>
      <c r="G4992" s="10" t="n">
        <v>48</v>
      </c>
      <c r="H4992" s="10" t="n">
        <v>69</v>
      </c>
      <c r="I4992" s="10" t="n">
        <v>1015</v>
      </c>
      <c r="J4992" s="10" t="n">
        <v>0</v>
      </c>
      <c r="K4992" s="10" t="s">
        <v>20</v>
      </c>
      <c r="L4992" s="11" t="n">
        <v>40980.3771180556</v>
      </c>
      <c r="M4992" s="12" t="s">
        <v>253</v>
      </c>
      <c r="N4992" s="12" t="s">
        <v>11757</v>
      </c>
      <c r="O4992" s="9" t="str">
        <f aca="false">HYPERLINK("https://pbs.twimg.com/profile_images/807222646991532032/MePjLA6A_normal.jpg","View")</f>
        <v>View</v>
      </c>
      <c r="P4992" s="10"/>
    </row>
    <row r="4993" customFormat="false" ht="15.75" hidden="false" customHeight="false" outlineLevel="0" collapsed="false">
      <c r="A4993" s="6" t="n">
        <v>43030.8280324074</v>
      </c>
      <c r="B4993" s="7" t="str">
        <f aca="false">HYPERLINK("https://twitter.com/_Super_Man_1981","@_Super_Man_1981")</f>
        <v>@_Super_Man_1981</v>
      </c>
      <c r="C4993" s="8" t="s">
        <v>11758</v>
      </c>
      <c r="D4993" s="8" t="s">
        <v>11084</v>
      </c>
      <c r="E4993" s="9" t="str">
        <f aca="false">HYPERLINK("https://twitter.com/_Super_Man_1981/status/922294600982847488","922294600982847488")</f>
        <v>922294600982847488</v>
      </c>
      <c r="F4993" s="10" t="s">
        <v>11759</v>
      </c>
      <c r="G4993" s="10" t="n">
        <v>213</v>
      </c>
      <c r="H4993" s="10" t="n">
        <v>1216</v>
      </c>
      <c r="I4993" s="10" t="n">
        <v>13</v>
      </c>
      <c r="J4993" s="10" t="n">
        <v>0</v>
      </c>
      <c r="K4993" s="10" t="s">
        <v>20</v>
      </c>
      <c r="L4993" s="11" t="n">
        <v>42961.5489699074</v>
      </c>
      <c r="M4993" s="12"/>
      <c r="N4993" s="12"/>
      <c r="O4993" s="9" t="str">
        <f aca="false">HYPERLINK("https://pbs.twimg.com/profile_images/899033216870481920/b2tg2GRF_normal.jpg","View")</f>
        <v>View</v>
      </c>
      <c r="P4993" s="10"/>
    </row>
    <row r="4994" customFormat="false" ht="15.75" hidden="false" customHeight="false" outlineLevel="0" collapsed="false">
      <c r="A4994" s="6" t="n">
        <v>43030.8282060185</v>
      </c>
      <c r="B4994" s="7" t="str">
        <f aca="false">HYPERLINK("https://twitter.com/so_rahman","@so_rahman")</f>
        <v>@so_rahman</v>
      </c>
      <c r="C4994" s="8" t="s">
        <v>9288</v>
      </c>
      <c r="D4994" s="8" t="s">
        <v>9783</v>
      </c>
      <c r="E4994" s="9" t="str">
        <f aca="false">HYPERLINK("https://twitter.com/so_rahman/status/922294663247269890","922294663247269890")</f>
        <v>922294663247269890</v>
      </c>
      <c r="F4994" s="10" t="s">
        <v>51</v>
      </c>
      <c r="G4994" s="10" t="n">
        <v>1045</v>
      </c>
      <c r="H4994" s="10" t="n">
        <v>504</v>
      </c>
      <c r="I4994" s="10" t="n">
        <v>17</v>
      </c>
      <c r="J4994" s="10" t="n">
        <v>0</v>
      </c>
      <c r="K4994" s="10" t="s">
        <v>20</v>
      </c>
      <c r="L4994" s="11" t="n">
        <v>41793.1372453704</v>
      </c>
      <c r="M4994" s="12" t="s">
        <v>3962</v>
      </c>
      <c r="N4994" s="12" t="s">
        <v>9289</v>
      </c>
      <c r="O4994" s="9" t="str">
        <f aca="false">HYPERLINK("https://pbs.twimg.com/profile_images/473772158213033984/a_s2ICt1_normal.jpeg","View")</f>
        <v>View</v>
      </c>
      <c r="P4994" s="10"/>
    </row>
    <row r="4995" customFormat="false" ht="15.75" hidden="false" customHeight="false" outlineLevel="0" collapsed="false">
      <c r="A4995" s="6" t="n">
        <v>43030.8285300926</v>
      </c>
      <c r="B4995" s="7" t="str">
        <f aca="false">HYPERLINK("https://twitter.com/RJ_Wealth_Ltd","@RJ_Wealth_Ltd")</f>
        <v>@RJ_Wealth_Ltd</v>
      </c>
      <c r="C4995" s="8" t="s">
        <v>11760</v>
      </c>
      <c r="D4995" s="8" t="s">
        <v>11761</v>
      </c>
      <c r="E4995" s="9" t="str">
        <f aca="false">HYPERLINK("https://twitter.com/RJ_Wealth_Ltd/status/922294777990672384","922294777990672384")</f>
        <v>922294777990672384</v>
      </c>
      <c r="F4995" s="9" t="s">
        <v>1147</v>
      </c>
      <c r="G4995" s="10" t="n">
        <v>1831</v>
      </c>
      <c r="H4995" s="10" t="n">
        <v>1221</v>
      </c>
      <c r="I4995" s="10" t="n">
        <v>0</v>
      </c>
      <c r="J4995" s="10" t="n">
        <v>0</v>
      </c>
      <c r="K4995" s="10" t="s">
        <v>20</v>
      </c>
      <c r="L4995" s="11" t="n">
        <v>40430.2323726852</v>
      </c>
      <c r="M4995" s="12" t="s">
        <v>11762</v>
      </c>
      <c r="N4995" s="12" t="s">
        <v>11763</v>
      </c>
      <c r="O4995" s="9" t="str">
        <f aca="false">HYPERLINK("https://pbs.twimg.com/profile_images/882142620117499904/NgWsJRX7_normal.jpg","View")</f>
        <v>View</v>
      </c>
      <c r="P4995" s="10"/>
    </row>
    <row r="4996" customFormat="false" ht="15.75" hidden="false" customHeight="false" outlineLevel="0" collapsed="false">
      <c r="A4996" s="6" t="n">
        <v>43030.82875</v>
      </c>
      <c r="B4996" s="7" t="str">
        <f aca="false">HYPERLINK("https://twitter.com/vajapeyam","@vajapeyam")</f>
        <v>@vajapeyam</v>
      </c>
      <c r="C4996" s="8" t="s">
        <v>1509</v>
      </c>
      <c r="D4996" s="8" t="s">
        <v>11764</v>
      </c>
      <c r="E4996" s="9" t="str">
        <f aca="false">HYPERLINK("https://twitter.com/vajapeyam/status/922294858898800640","922294858898800640")</f>
        <v>922294858898800640</v>
      </c>
      <c r="F4996" s="10" t="s">
        <v>39</v>
      </c>
      <c r="G4996" s="10" t="n">
        <v>3712</v>
      </c>
      <c r="H4996" s="10" t="n">
        <v>4367</v>
      </c>
      <c r="I4996" s="10" t="n">
        <v>0</v>
      </c>
      <c r="J4996" s="10" t="n">
        <v>0</v>
      </c>
      <c r="K4996" s="10" t="s">
        <v>20</v>
      </c>
      <c r="L4996" s="11" t="n">
        <v>41374.8256712963</v>
      </c>
      <c r="M4996" s="12" t="s">
        <v>1511</v>
      </c>
      <c r="N4996" s="12" t="s">
        <v>1512</v>
      </c>
      <c r="O4996" s="9" t="str">
        <f aca="false">HYPERLINK("https://pbs.twimg.com/profile_images/918708972810465280/agqN1hmS_normal.jpg","View")</f>
        <v>View</v>
      </c>
      <c r="P4996" s="10"/>
    </row>
    <row r="4997" customFormat="false" ht="15.75" hidden="false" customHeight="false" outlineLevel="0" collapsed="false">
      <c r="A4997" s="6" t="n">
        <v>43030.8287731481</v>
      </c>
      <c r="B4997" s="7" t="str">
        <f aca="false">HYPERLINK("https://twitter.com/vrai777","@vrai777")</f>
        <v>@vrai777</v>
      </c>
      <c r="C4997" s="8" t="s">
        <v>335</v>
      </c>
      <c r="D4997" s="8" t="s">
        <v>11765</v>
      </c>
      <c r="E4997" s="9" t="str">
        <f aca="false">HYPERLINK("https://twitter.com/vrai777/status/922294869586006016","922294869586006016")</f>
        <v>922294869586006016</v>
      </c>
      <c r="F4997" s="10" t="s">
        <v>60</v>
      </c>
      <c r="G4997" s="10" t="n">
        <v>7959</v>
      </c>
      <c r="H4997" s="10" t="n">
        <v>71</v>
      </c>
      <c r="I4997" s="10" t="n">
        <v>0</v>
      </c>
      <c r="J4997" s="10" t="n">
        <v>0</v>
      </c>
      <c r="K4997" s="10" t="s">
        <v>20</v>
      </c>
      <c r="L4997" s="11" t="n">
        <v>39878.7593287037</v>
      </c>
      <c r="M4997" s="12" t="s">
        <v>295</v>
      </c>
      <c r="N4997" s="12" t="s">
        <v>337</v>
      </c>
      <c r="O4997" s="9" t="str">
        <f aca="false">HYPERLINK("https://pbs.twimg.com/profile_images/688775800284266496/qhWTo08H_normal.png","View")</f>
        <v>View</v>
      </c>
      <c r="P4997" s="10"/>
    </row>
    <row r="4998" customFormat="false" ht="15.75" hidden="false" customHeight="false" outlineLevel="0" collapsed="false">
      <c r="A4998" s="6" t="n">
        <v>43030.828900463</v>
      </c>
      <c r="B4998" s="7" t="str">
        <f aca="false">HYPERLINK("https://twitter.com/BloombergAsia","@BloombergAsia")</f>
        <v>@BloombergAsia</v>
      </c>
      <c r="C4998" s="8" t="s">
        <v>1399</v>
      </c>
      <c r="D4998" s="8" t="s">
        <v>11738</v>
      </c>
      <c r="E4998" s="9" t="str">
        <f aca="false">HYPERLINK("https://twitter.com/BloombergAsia/status/922294914016333825","922294914016333825")</f>
        <v>922294914016333825</v>
      </c>
      <c r="F4998" s="10" t="s">
        <v>268</v>
      </c>
      <c r="G4998" s="10" t="n">
        <v>28824</v>
      </c>
      <c r="H4998" s="10" t="n">
        <v>97</v>
      </c>
      <c r="I4998" s="10" t="n">
        <v>11</v>
      </c>
      <c r="J4998" s="10" t="n">
        <v>0</v>
      </c>
      <c r="K4998" s="10" t="s">
        <v>20</v>
      </c>
      <c r="L4998" s="11" t="n">
        <v>41052.2384837963</v>
      </c>
      <c r="M4998" s="12"/>
      <c r="N4998" s="12" t="s">
        <v>1401</v>
      </c>
      <c r="O4998" s="9" t="str">
        <f aca="false">HYPERLINK("https://pbs.twimg.com/profile_images/778129630284902401/gXjFkqGM_normal.jpg","View")</f>
        <v>View</v>
      </c>
      <c r="P4998" s="10"/>
    </row>
    <row r="4999" customFormat="false" ht="15.75" hidden="false" customHeight="false" outlineLevel="0" collapsed="false">
      <c r="A4999" s="6" t="n">
        <v>43030.8290740741</v>
      </c>
      <c r="B4999" s="7" t="str">
        <f aca="false">HYPERLINK("https://twitter.com/CitywireMoney","@CitywireMoney")</f>
        <v>@CitywireMoney</v>
      </c>
      <c r="C4999" s="8" t="s">
        <v>11766</v>
      </c>
      <c r="D4999" s="8" t="s">
        <v>11767</v>
      </c>
      <c r="E4999" s="9" t="str">
        <f aca="false">HYPERLINK("https://twitter.com/CitywireMoney/status/922294974963765248","922294974963765248")</f>
        <v>922294974963765248</v>
      </c>
      <c r="F4999" s="10" t="s">
        <v>60</v>
      </c>
      <c r="G4999" s="10" t="n">
        <v>7088</v>
      </c>
      <c r="H4999" s="10" t="n">
        <v>256</v>
      </c>
      <c r="I4999" s="10" t="n">
        <v>0</v>
      </c>
      <c r="J4999" s="10" t="n">
        <v>0</v>
      </c>
      <c r="K4999" s="10" t="s">
        <v>20</v>
      </c>
      <c r="L4999" s="11" t="n">
        <v>40070.0649305556</v>
      </c>
      <c r="M4999" s="12" t="s">
        <v>11768</v>
      </c>
      <c r="N4999" s="12" t="s">
        <v>11769</v>
      </c>
      <c r="O4999" s="9" t="str">
        <f aca="false">HYPERLINK("https://pbs.twimg.com/profile_images/683970316238888960/MwgiOJFW_normal.png","View")</f>
        <v>View</v>
      </c>
      <c r="P4999" s="10"/>
    </row>
    <row r="5000" customFormat="false" ht="15.75" hidden="false" customHeight="false" outlineLevel="0" collapsed="false">
      <c r="A5000" s="6" t="n">
        <v>43030.8292592593</v>
      </c>
      <c r="B5000" s="7" t="str">
        <f aca="false">HYPERLINK("https://twitter.com/TopFiveTraders","@TopFiveTraders")</f>
        <v>@TopFiveTraders</v>
      </c>
      <c r="C5000" s="8" t="s">
        <v>321</v>
      </c>
      <c r="D5000" s="8" t="s">
        <v>11770</v>
      </c>
      <c r="E5000" s="9" t="str">
        <f aca="false">HYPERLINK("https://twitter.com/TopFiveTraders/status/922295044148776960","922295044148776960")</f>
        <v>922295044148776960</v>
      </c>
      <c r="F5000" s="10" t="s">
        <v>60</v>
      </c>
      <c r="G5000" s="10" t="n">
        <v>8181</v>
      </c>
      <c r="H5000" s="10" t="n">
        <v>6774</v>
      </c>
      <c r="I5000" s="10" t="n">
        <v>0</v>
      </c>
      <c r="J5000" s="10" t="n">
        <v>0</v>
      </c>
      <c r="K5000" s="10" t="s">
        <v>20</v>
      </c>
      <c r="L5000" s="11" t="n">
        <v>41573.4842013889</v>
      </c>
      <c r="M5000" s="12" t="s">
        <v>323</v>
      </c>
      <c r="N5000" s="12" t="s">
        <v>324</v>
      </c>
      <c r="O5000" s="9" t="str">
        <f aca="false">HYPERLINK("https://pbs.twimg.com/profile_images/729113141444026370/hi202Ffp_normal.jpg","View")</f>
        <v>View</v>
      </c>
      <c r="P5000" s="10"/>
    </row>
    <row r="5001" customFormat="false" ht="15.75" hidden="false" customHeight="false" outlineLevel="0" collapsed="false">
      <c r="A5001" s="6" t="n">
        <v>43030.8296180556</v>
      </c>
      <c r="B5001" s="7" t="str">
        <f aca="false">HYPERLINK("https://twitter.com/kashiramojiao","@kashiramojiao")</f>
        <v>@kashiramojiao</v>
      </c>
      <c r="C5001" s="14" t="s">
        <v>11771</v>
      </c>
      <c r="D5001" s="8" t="s">
        <v>10601</v>
      </c>
      <c r="E5001" s="9" t="str">
        <f aca="false">HYPERLINK("https://twitter.com/kashiramojiao/status/922295172456636417","922295172456636417")</f>
        <v>922295172456636417</v>
      </c>
      <c r="F5001" s="10" t="s">
        <v>51</v>
      </c>
      <c r="G5001" s="10" t="n">
        <v>12327</v>
      </c>
      <c r="H5001" s="10" t="n">
        <v>9717</v>
      </c>
      <c r="I5001" s="10" t="n">
        <v>2</v>
      </c>
      <c r="J5001" s="10" t="n">
        <v>0</v>
      </c>
      <c r="K5001" s="10" t="s">
        <v>20</v>
      </c>
      <c r="L5001" s="11" t="n">
        <v>41249.9494675926</v>
      </c>
      <c r="M5001" s="13" t="s">
        <v>11772</v>
      </c>
      <c r="N5001" s="13" t="s">
        <v>11773</v>
      </c>
      <c r="O5001" s="9" t="str">
        <f aca="false">HYPERLINK("https://pbs.twimg.com/profile_images/889211259975086082/ZGERNDKH_normal.jpg","View")</f>
        <v>View</v>
      </c>
      <c r="P5001" s="10"/>
    </row>
    <row r="5002" customFormat="false" ht="15.75" hidden="false" customHeight="false" outlineLevel="0" collapsed="false">
      <c r="A5002" s="6" t="n">
        <v>43030.8297800926</v>
      </c>
      <c r="B5002" s="7" t="str">
        <f aca="false">HYPERLINK("https://twitter.com/MatthewIFA","@MatthewIFA")</f>
        <v>@MatthewIFA</v>
      </c>
      <c r="C5002" s="8" t="s">
        <v>11774</v>
      </c>
      <c r="D5002" s="8" t="s">
        <v>11775</v>
      </c>
      <c r="E5002" s="9" t="str">
        <f aca="false">HYPERLINK("https://twitter.com/MatthewIFA/status/922295233278230528","922295233278230528")</f>
        <v>922295233278230528</v>
      </c>
      <c r="F5002" s="9" t="s">
        <v>1147</v>
      </c>
      <c r="G5002" s="10" t="n">
        <v>600</v>
      </c>
      <c r="H5002" s="10" t="n">
        <v>435</v>
      </c>
      <c r="I5002" s="10" t="n">
        <v>0</v>
      </c>
      <c r="J5002" s="10" t="n">
        <v>0</v>
      </c>
      <c r="K5002" s="10" t="s">
        <v>20</v>
      </c>
      <c r="L5002" s="11" t="n">
        <v>41051.6741898148</v>
      </c>
      <c r="M5002" s="12" t="s">
        <v>11776</v>
      </c>
      <c r="N5002" s="12" t="s">
        <v>11777</v>
      </c>
      <c r="O5002" s="9" t="str">
        <f aca="false">HYPERLINK("https://pbs.twimg.com/profile_images/3651709313/ec1dd5c1cc4872d5ba59a57180dca941_normal.jpeg","View")</f>
        <v>View</v>
      </c>
      <c r="P5002" s="10"/>
    </row>
    <row r="5003" customFormat="false" ht="15.75" hidden="false" customHeight="false" outlineLevel="0" collapsed="false">
      <c r="A5003" s="6" t="n">
        <v>43030.8299884259</v>
      </c>
      <c r="B5003" s="7" t="str">
        <f aca="false">HYPERLINK("https://twitter.com/TFTCS","@TFTCS")</f>
        <v>@TFTCS</v>
      </c>
      <c r="C5003" s="8" t="s">
        <v>338</v>
      </c>
      <c r="D5003" s="8" t="s">
        <v>11778</v>
      </c>
      <c r="E5003" s="9" t="str">
        <f aca="false">HYPERLINK("https://twitter.com/TFTCS/status/922295308616458241","922295308616458241")</f>
        <v>922295308616458241</v>
      </c>
      <c r="F5003" s="10" t="s">
        <v>60</v>
      </c>
      <c r="G5003" s="10" t="n">
        <v>4435</v>
      </c>
      <c r="H5003" s="10" t="n">
        <v>4613</v>
      </c>
      <c r="I5003" s="10" t="n">
        <v>0</v>
      </c>
      <c r="J5003" s="10" t="n">
        <v>0</v>
      </c>
      <c r="K5003" s="10" t="s">
        <v>20</v>
      </c>
      <c r="L5003" s="11" t="n">
        <v>41868.7681018518</v>
      </c>
      <c r="M5003" s="12" t="s">
        <v>340</v>
      </c>
      <c r="N5003" s="12" t="s">
        <v>341</v>
      </c>
      <c r="O5003" s="9" t="str">
        <f aca="false">HYPERLINK("https://pbs.twimg.com/profile_images/736027772800368640/DdLGgNNU_normal.jpg","View")</f>
        <v>View</v>
      </c>
      <c r="P5003" s="10"/>
    </row>
    <row r="5004" customFormat="false" ht="15.75" hidden="false" customHeight="false" outlineLevel="0" collapsed="false">
      <c r="A5004" s="6" t="n">
        <v>43030.8300810185</v>
      </c>
      <c r="B5004" s="7" t="str">
        <f aca="false">HYPERLINK("https://twitter.com/RamnathKumar1","@RamnathKumar1")</f>
        <v>@RamnathKumar1</v>
      </c>
      <c r="C5004" s="8" t="s">
        <v>11779</v>
      </c>
      <c r="D5004" s="8" t="s">
        <v>8538</v>
      </c>
      <c r="E5004" s="9" t="str">
        <f aca="false">HYPERLINK("https://twitter.com/RamnathKumar1/status/922295339847004160","922295339847004160")</f>
        <v>922295339847004160</v>
      </c>
      <c r="F5004" s="10" t="s">
        <v>98</v>
      </c>
      <c r="G5004" s="10" t="n">
        <v>512</v>
      </c>
      <c r="H5004" s="10" t="n">
        <v>363</v>
      </c>
      <c r="I5004" s="10" t="n">
        <v>1015</v>
      </c>
      <c r="J5004" s="10" t="n">
        <v>0</v>
      </c>
      <c r="K5004" s="10" t="s">
        <v>20</v>
      </c>
      <c r="L5004" s="11" t="n">
        <v>40792.982650463</v>
      </c>
      <c r="M5004" s="12" t="s">
        <v>87</v>
      </c>
      <c r="N5004" s="12" t="s">
        <v>11780</v>
      </c>
      <c r="O5004" s="9" t="str">
        <f aca="false">HYPERLINK("https://pbs.twimg.com/profile_images/419829772546371584/ff1Vo6QK_normal.jpeg","View")</f>
        <v>View</v>
      </c>
      <c r="P5004" s="10"/>
    </row>
    <row r="5005" customFormat="false" ht="15.75" hidden="false" customHeight="false" outlineLevel="0" collapsed="false">
      <c r="A5005" s="6" t="n">
        <v>43030.8301967593</v>
      </c>
      <c r="B5005" s="7" t="str">
        <f aca="false">HYPERLINK("https://twitter.com/cedricsam","@cedricsam")</f>
        <v>@cedricsam</v>
      </c>
      <c r="C5005" s="8" t="s">
        <v>11781</v>
      </c>
      <c r="D5005" s="8" t="s">
        <v>10997</v>
      </c>
      <c r="E5005" s="9" t="str">
        <f aca="false">HYPERLINK("https://twitter.com/cedricsam/status/922295384055087110","922295384055087110")</f>
        <v>922295384055087110</v>
      </c>
      <c r="F5005" s="10" t="s">
        <v>39</v>
      </c>
      <c r="G5005" s="10" t="n">
        <v>2365</v>
      </c>
      <c r="H5005" s="10" t="n">
        <v>3226</v>
      </c>
      <c r="I5005" s="10" t="n">
        <v>27</v>
      </c>
      <c r="J5005" s="10" t="n">
        <v>0</v>
      </c>
      <c r="K5005" s="10" t="s">
        <v>20</v>
      </c>
      <c r="L5005" s="11" t="n">
        <v>39718.9648726852</v>
      </c>
      <c r="M5005" s="12" t="s">
        <v>491</v>
      </c>
      <c r="N5005" s="12" t="s">
        <v>11782</v>
      </c>
      <c r="O5005" s="9" t="str">
        <f aca="false">HYPERLINK("https://pbs.twimg.com/profile_images/664113503016325121/DWYNAQF__normal.jpg","View")</f>
        <v>View</v>
      </c>
      <c r="P5005" s="10"/>
    </row>
    <row r="5006" customFormat="false" ht="15.75" hidden="false" customHeight="false" outlineLevel="0" collapsed="false">
      <c r="A5006" s="6" t="n">
        <v>43030.830787037</v>
      </c>
      <c r="B5006" s="7" t="str">
        <f aca="false">HYPERLINK("https://twitter.com/PRO_FITS","@PRO_FITS")</f>
        <v>@PRO_FITS</v>
      </c>
      <c r="C5006" s="8" t="s">
        <v>11783</v>
      </c>
      <c r="D5006" s="8" t="s">
        <v>11738</v>
      </c>
      <c r="E5006" s="9" t="str">
        <f aca="false">HYPERLINK("https://twitter.com/PRO_FITS/status/922295596794261505","922295596794261505")</f>
        <v>922295596794261505</v>
      </c>
      <c r="F5006" s="10" t="s">
        <v>25</v>
      </c>
      <c r="G5006" s="10" t="n">
        <v>1182</v>
      </c>
      <c r="H5006" s="10" t="n">
        <v>2369</v>
      </c>
      <c r="I5006" s="10" t="n">
        <v>11</v>
      </c>
      <c r="J5006" s="10" t="n">
        <v>0</v>
      </c>
      <c r="K5006" s="10" t="s">
        <v>20</v>
      </c>
      <c r="L5006" s="11" t="n">
        <v>40675.1416782407</v>
      </c>
      <c r="M5006" s="12" t="s">
        <v>186</v>
      </c>
      <c r="N5006" s="12" t="s">
        <v>11784</v>
      </c>
      <c r="O5006" s="9" t="str">
        <f aca="false">HYPERLINK("https://pbs.twimg.com/profile_images/851341330936508416/zyw2eLhL_normal.jpg","View")</f>
        <v>View</v>
      </c>
      <c r="P5006" s="10"/>
    </row>
    <row r="5007" customFormat="false" ht="15.75" hidden="false" customHeight="false" outlineLevel="0" collapsed="false">
      <c r="A5007" s="6" t="n">
        <v>43030.8312037037</v>
      </c>
      <c r="B5007" s="7" t="str">
        <f aca="false">HYPERLINK("https://twitter.com/nareshvenusint","@nareshvenusint")</f>
        <v>@nareshvenusint</v>
      </c>
      <c r="C5007" s="8" t="s">
        <v>7014</v>
      </c>
      <c r="D5007" s="8" t="s">
        <v>8538</v>
      </c>
      <c r="E5007" s="9" t="str">
        <f aca="false">HYPERLINK("https://twitter.com/nareshvenusint/status/922295746950414336","922295746950414336")</f>
        <v>922295746950414336</v>
      </c>
      <c r="F5007" s="10" t="s">
        <v>25</v>
      </c>
      <c r="G5007" s="10" t="n">
        <v>204</v>
      </c>
      <c r="H5007" s="10" t="n">
        <v>2082</v>
      </c>
      <c r="I5007" s="10" t="n">
        <v>1015</v>
      </c>
      <c r="J5007" s="10" t="n">
        <v>0</v>
      </c>
      <c r="K5007" s="10" t="s">
        <v>20</v>
      </c>
      <c r="L5007" s="11" t="n">
        <v>40943.8903356481</v>
      </c>
      <c r="M5007" s="12"/>
      <c r="N5007" s="12"/>
      <c r="O5007" s="9" t="str">
        <f aca="false">HYPERLINK("https://abs.twimg.com/sticky/default_profile_images/default_profile_normal.png","View")</f>
        <v>View</v>
      </c>
      <c r="P5007" s="10"/>
    </row>
    <row r="5008" customFormat="false" ht="15.75" hidden="false" customHeight="false" outlineLevel="0" collapsed="false">
      <c r="A5008" s="6" t="n">
        <v>43030.8313541667</v>
      </c>
      <c r="B5008" s="7" t="str">
        <f aca="false">HYPERLINK("https://twitter.com/zachvega","@zachvega")</f>
        <v>@zachvega</v>
      </c>
      <c r="C5008" s="8" t="s">
        <v>3504</v>
      </c>
      <c r="D5008" s="8" t="s">
        <v>10525</v>
      </c>
      <c r="E5008" s="9" t="str">
        <f aca="false">HYPERLINK("https://twitter.com/zachvega/status/922295803452051457","922295803452051457")</f>
        <v>922295803452051457</v>
      </c>
      <c r="F5008" s="10" t="s">
        <v>39</v>
      </c>
      <c r="G5008" s="10" t="n">
        <v>154</v>
      </c>
      <c r="H5008" s="10" t="n">
        <v>977</v>
      </c>
      <c r="I5008" s="10" t="n">
        <v>16</v>
      </c>
      <c r="J5008" s="10" t="n">
        <v>0</v>
      </c>
      <c r="K5008" s="10" t="s">
        <v>20</v>
      </c>
      <c r="L5008" s="11" t="n">
        <v>42273.513599537</v>
      </c>
      <c r="M5008" s="12" t="s">
        <v>3505</v>
      </c>
      <c r="N5008" s="12" t="s">
        <v>3506</v>
      </c>
      <c r="O5008" s="9" t="str">
        <f aca="false">HYPERLINK("https://pbs.twimg.com/profile_images/912330438571646976/iGJvFw6M_normal.jpg","View")</f>
        <v>View</v>
      </c>
      <c r="P5008" s="10"/>
    </row>
    <row r="5009" customFormat="false" ht="15.75" hidden="false" customHeight="false" outlineLevel="0" collapsed="false">
      <c r="A5009" s="6" t="n">
        <v>43030.8315625</v>
      </c>
      <c r="B5009" s="7" t="str">
        <f aca="false">HYPERLINK("https://twitter.com/shibubalan1","@shibubalan1")</f>
        <v>@shibubalan1</v>
      </c>
      <c r="C5009" s="8" t="s">
        <v>11785</v>
      </c>
      <c r="D5009" s="8" t="s">
        <v>8538</v>
      </c>
      <c r="E5009" s="9" t="str">
        <f aca="false">HYPERLINK("https://twitter.com/shibubalan1/status/922295877221236737","922295877221236737")</f>
        <v>922295877221236737</v>
      </c>
      <c r="F5009" s="10" t="s">
        <v>25</v>
      </c>
      <c r="G5009" s="10" t="n">
        <v>142</v>
      </c>
      <c r="H5009" s="10" t="n">
        <v>993</v>
      </c>
      <c r="I5009" s="10" t="n">
        <v>1015</v>
      </c>
      <c r="J5009" s="10" t="n">
        <v>0</v>
      </c>
      <c r="K5009" s="10" t="s">
        <v>20</v>
      </c>
      <c r="L5009" s="11" t="n">
        <v>40920.4923263889</v>
      </c>
      <c r="M5009" s="12"/>
      <c r="N5009" s="12" t="s">
        <v>11786</v>
      </c>
      <c r="O5009" s="9" t="str">
        <f aca="false">HYPERLINK("https://pbs.twimg.com/profile_images/685726787263795200/GiuD15yq_normal.jpg","View")</f>
        <v>View</v>
      </c>
      <c r="P5009" s="10"/>
    </row>
    <row r="5010" customFormat="false" ht="15.75" hidden="false" customHeight="false" outlineLevel="0" collapsed="false">
      <c r="A5010" s="6" t="n">
        <v>43030.8321412037</v>
      </c>
      <c r="B5010" s="7" t="str">
        <f aca="false">HYPERLINK("https://twitter.com/sitifatimahnet","@sitifatimahnet")</f>
        <v>@sitifatimahnet</v>
      </c>
      <c r="C5010" s="8" t="s">
        <v>11184</v>
      </c>
      <c r="D5010" s="8" t="s">
        <v>11787</v>
      </c>
      <c r="E5010" s="9" t="str">
        <f aca="false">HYPERLINK("https://twitter.com/sitifatimahnet/status/922296086752047104","922296086752047104")</f>
        <v>922296086752047104</v>
      </c>
      <c r="F5010" s="10" t="s">
        <v>60</v>
      </c>
      <c r="G5010" s="10" t="n">
        <v>312</v>
      </c>
      <c r="H5010" s="10" t="n">
        <v>27</v>
      </c>
      <c r="I5010" s="10" t="n">
        <v>0</v>
      </c>
      <c r="J5010" s="10" t="n">
        <v>0</v>
      </c>
      <c r="K5010" s="10" t="s">
        <v>20</v>
      </c>
      <c r="L5010" s="11" t="n">
        <v>42698.4371990741</v>
      </c>
      <c r="M5010" s="12" t="s">
        <v>11186</v>
      </c>
      <c r="N5010" s="12" t="s">
        <v>11187</v>
      </c>
      <c r="O5010" s="9" t="str">
        <f aca="false">HYPERLINK("https://pbs.twimg.com/profile_images/897683241594912769/-rSDzg9T_normal.jpg","View")</f>
        <v>View</v>
      </c>
      <c r="P5010" s="10"/>
    </row>
    <row r="5011" customFormat="false" ht="15.75" hidden="false" customHeight="false" outlineLevel="0" collapsed="false">
      <c r="A5011" s="6" t="n">
        <v>43030.8322222222</v>
      </c>
      <c r="B5011" s="7" t="str">
        <f aca="false">HYPERLINK("https://twitter.com/TopFiveTraders","@TopFiveTraders")</f>
        <v>@TopFiveTraders</v>
      </c>
      <c r="C5011" s="8" t="s">
        <v>321</v>
      </c>
      <c r="D5011" s="8" t="s">
        <v>11788</v>
      </c>
      <c r="E5011" s="9" t="str">
        <f aca="false">HYPERLINK("https://twitter.com/TopFiveTraders/status/922296116024086528","922296116024086528")</f>
        <v>922296116024086528</v>
      </c>
      <c r="F5011" s="10" t="s">
        <v>60</v>
      </c>
      <c r="G5011" s="10" t="n">
        <v>8181</v>
      </c>
      <c r="H5011" s="10" t="n">
        <v>6774</v>
      </c>
      <c r="I5011" s="10" t="n">
        <v>0</v>
      </c>
      <c r="J5011" s="10" t="n">
        <v>0</v>
      </c>
      <c r="K5011" s="10" t="s">
        <v>20</v>
      </c>
      <c r="L5011" s="11" t="n">
        <v>41573.4842013889</v>
      </c>
      <c r="M5011" s="12" t="s">
        <v>323</v>
      </c>
      <c r="N5011" s="12" t="s">
        <v>324</v>
      </c>
      <c r="O5011" s="9" t="str">
        <f aca="false">HYPERLINK("https://pbs.twimg.com/profile_images/729113141444026370/hi202Ffp_normal.jpg","View")</f>
        <v>View</v>
      </c>
      <c r="P5011" s="10"/>
    </row>
    <row r="5012" customFormat="false" ht="15.75" hidden="false" customHeight="false" outlineLevel="0" collapsed="false">
      <c r="A5012" s="6" t="n">
        <v>43030.8328240741</v>
      </c>
      <c r="B5012" s="7" t="str">
        <f aca="false">HYPERLINK("https://twitter.com/AficionadoYash","@AficionadoYash")</f>
        <v>@AficionadoYash</v>
      </c>
      <c r="C5012" s="8" t="s">
        <v>819</v>
      </c>
      <c r="D5012" s="8" t="s">
        <v>11789</v>
      </c>
      <c r="E5012" s="9" t="str">
        <f aca="false">HYPERLINK("https://twitter.com/AficionadoYash/status/922296334639665153","922296334639665153")</f>
        <v>922296334639665153</v>
      </c>
      <c r="F5012" s="10" t="s">
        <v>60</v>
      </c>
      <c r="G5012" s="10" t="n">
        <v>2582</v>
      </c>
      <c r="H5012" s="10" t="n">
        <v>948</v>
      </c>
      <c r="I5012" s="10" t="n">
        <v>0</v>
      </c>
      <c r="J5012" s="10" t="n">
        <v>0</v>
      </c>
      <c r="K5012" s="10" t="s">
        <v>20</v>
      </c>
      <c r="L5012" s="11" t="n">
        <v>40905.1268287037</v>
      </c>
      <c r="M5012" s="12" t="s">
        <v>72</v>
      </c>
      <c r="N5012" s="12" t="s">
        <v>821</v>
      </c>
      <c r="O5012" s="9" t="str">
        <f aca="false">HYPERLINK("https://pbs.twimg.com/profile_images/731065154129928192/gauLWTlp_normal.jpg","View")</f>
        <v>View</v>
      </c>
      <c r="P5012" s="10"/>
    </row>
    <row r="5013" customFormat="false" ht="15.75" hidden="false" customHeight="false" outlineLevel="0" collapsed="false">
      <c r="A5013" s="6" t="n">
        <v>43030.8329861111</v>
      </c>
      <c r="B5013" s="7" t="str">
        <f aca="false">HYPERLINK("https://twitter.com/bibkumar","@bibkumar")</f>
        <v>@bibkumar</v>
      </c>
      <c r="C5013" s="8" t="s">
        <v>11790</v>
      </c>
      <c r="D5013" s="8" t="s">
        <v>7350</v>
      </c>
      <c r="E5013" s="9" t="str">
        <f aca="false">HYPERLINK("https://twitter.com/bibkumar/status/922296395838533632","922296395838533632")</f>
        <v>922296395838533632</v>
      </c>
      <c r="F5013" s="10" t="s">
        <v>25</v>
      </c>
      <c r="G5013" s="10" t="n">
        <v>1</v>
      </c>
      <c r="H5013" s="10" t="n">
        <v>66</v>
      </c>
      <c r="I5013" s="10" t="n">
        <v>62</v>
      </c>
      <c r="J5013" s="10" t="n">
        <v>0</v>
      </c>
      <c r="K5013" s="10" t="s">
        <v>20</v>
      </c>
      <c r="L5013" s="11" t="n">
        <v>42111.1855439815</v>
      </c>
      <c r="M5013" s="12" t="s">
        <v>11791</v>
      </c>
      <c r="N5013" s="12"/>
      <c r="O5013" s="9" t="str">
        <f aca="false">HYPERLINK("https://pbs.twimg.com/profile_images/898530985913884672/27S6JIq1_normal.jpg","View")</f>
        <v>View</v>
      </c>
      <c r="P5013" s="10"/>
    </row>
    <row r="5014" customFormat="false" ht="15.75" hidden="false" customHeight="false" outlineLevel="0" collapsed="false">
      <c r="A5014" s="6" t="n">
        <v>43030.8330324074</v>
      </c>
      <c r="B5014" s="7" t="str">
        <f aca="false">HYPERLINK("https://twitter.com/shalin5960","@shalin5960")</f>
        <v>@shalin5960</v>
      </c>
      <c r="C5014" s="8" t="s">
        <v>812</v>
      </c>
      <c r="D5014" s="8" t="s">
        <v>11792</v>
      </c>
      <c r="E5014" s="9" t="str">
        <f aca="false">HYPERLINK("https://twitter.com/shalin5960/status/922296411932299264","922296411932299264")</f>
        <v>922296411932299264</v>
      </c>
      <c r="F5014" s="10" t="s">
        <v>60</v>
      </c>
      <c r="G5014" s="10" t="n">
        <v>235</v>
      </c>
      <c r="H5014" s="10" t="n">
        <v>167</v>
      </c>
      <c r="I5014" s="10" t="n">
        <v>0</v>
      </c>
      <c r="J5014" s="10" t="n">
        <v>0</v>
      </c>
      <c r="K5014" s="10" t="s">
        <v>20</v>
      </c>
      <c r="L5014" s="11" t="n">
        <v>40276.4158564815</v>
      </c>
      <c r="M5014" s="12" t="s">
        <v>814</v>
      </c>
      <c r="N5014" s="12" t="s">
        <v>815</v>
      </c>
      <c r="O5014" s="9" t="str">
        <f aca="false">HYPERLINK("https://pbs.twimg.com/profile_images/883907510070935552/d2p-brHu_normal.jpg","View")</f>
        <v>View</v>
      </c>
      <c r="P5014" s="10"/>
    </row>
    <row r="5015" customFormat="false" ht="15.75" hidden="false" customHeight="false" outlineLevel="0" collapsed="false">
      <c r="A5015" s="6" t="n">
        <v>43030.8337037037</v>
      </c>
      <c r="B5015" s="7" t="str">
        <f aca="false">HYPERLINK("https://twitter.com/Lynxxrider","@Lynxxrider")</f>
        <v>@Lynxxrider</v>
      </c>
      <c r="C5015" s="8" t="s">
        <v>11793</v>
      </c>
      <c r="D5015" s="8" t="s">
        <v>11418</v>
      </c>
      <c r="E5015" s="9" t="str">
        <f aca="false">HYPERLINK("https://twitter.com/Lynxxrider/status/922296656103485441","922296656103485441")</f>
        <v>922296656103485441</v>
      </c>
      <c r="F5015" s="10" t="s">
        <v>177</v>
      </c>
      <c r="G5015" s="10" t="n">
        <v>248</v>
      </c>
      <c r="H5015" s="10" t="n">
        <v>94</v>
      </c>
      <c r="I5015" s="10" t="n">
        <v>38</v>
      </c>
      <c r="J5015" s="10" t="n">
        <v>0</v>
      </c>
      <c r="K5015" s="10" t="s">
        <v>20</v>
      </c>
      <c r="L5015" s="11" t="n">
        <v>40313.1162037037</v>
      </c>
      <c r="M5015" s="12"/>
      <c r="N5015" s="12"/>
      <c r="O5015" s="9" t="str">
        <f aca="false">HYPERLINK("https://abs.twimg.com/sticky/default_profile_images/default_profile_normal.png","View")</f>
        <v>View</v>
      </c>
      <c r="P5015" s="10"/>
    </row>
    <row r="5016" customFormat="false" ht="15.75" hidden="false" customHeight="false" outlineLevel="0" collapsed="false">
      <c r="A5016" s="6" t="n">
        <v>43030.8337152778</v>
      </c>
      <c r="B5016" s="7" t="str">
        <f aca="false">HYPERLINK("https://twitter.com/amit_2220","@amit_2220")</f>
        <v>@amit_2220</v>
      </c>
      <c r="C5016" s="8" t="s">
        <v>11794</v>
      </c>
      <c r="D5016" s="8" t="s">
        <v>9783</v>
      </c>
      <c r="E5016" s="9" t="str">
        <f aca="false">HYPERLINK("https://twitter.com/amit_2220/status/922296659760922624","922296659760922624")</f>
        <v>922296659760922624</v>
      </c>
      <c r="F5016" s="10" t="s">
        <v>25</v>
      </c>
      <c r="G5016" s="10" t="n">
        <v>830</v>
      </c>
      <c r="H5016" s="10" t="n">
        <v>814</v>
      </c>
      <c r="I5016" s="10" t="n">
        <v>17</v>
      </c>
      <c r="J5016" s="10" t="n">
        <v>0</v>
      </c>
      <c r="K5016" s="10" t="s">
        <v>20</v>
      </c>
      <c r="L5016" s="11" t="n">
        <v>41440.0842013889</v>
      </c>
      <c r="M5016" s="12"/>
      <c r="N5016" s="12" t="s">
        <v>11795</v>
      </c>
      <c r="O5016" s="9" t="str">
        <f aca="false">HYPERLINK("https://pbs.twimg.com/profile_images/922502974651248641/CehwqiZY_normal.jpg","View")</f>
        <v>View</v>
      </c>
      <c r="P5016" s="10"/>
    </row>
    <row r="5017" customFormat="false" ht="15.75" hidden="false" customHeight="false" outlineLevel="0" collapsed="false">
      <c r="A5017" s="6" t="n">
        <v>43030.83375</v>
      </c>
      <c r="B5017" s="7" t="str">
        <f aca="false">HYPERLINK("https://twitter.com/scorpioinstinct","@scorpioinstinct")</f>
        <v>@scorpioinstinct</v>
      </c>
      <c r="C5017" s="8" t="s">
        <v>11796</v>
      </c>
      <c r="D5017" s="8" t="s">
        <v>8538</v>
      </c>
      <c r="E5017" s="9" t="str">
        <f aca="false">HYPERLINK("https://twitter.com/scorpioinstinct/status/922296672222187521","922296672222187521")</f>
        <v>922296672222187521</v>
      </c>
      <c r="F5017" s="10" t="s">
        <v>25</v>
      </c>
      <c r="G5017" s="10" t="n">
        <v>302</v>
      </c>
      <c r="H5017" s="10" t="n">
        <v>547</v>
      </c>
      <c r="I5017" s="10" t="n">
        <v>1015</v>
      </c>
      <c r="J5017" s="10" t="n">
        <v>0</v>
      </c>
      <c r="K5017" s="10" t="s">
        <v>20</v>
      </c>
      <c r="L5017" s="11" t="n">
        <v>40065.1421064815</v>
      </c>
      <c r="M5017" s="12" t="s">
        <v>11797</v>
      </c>
      <c r="N5017" s="12" t="s">
        <v>11798</v>
      </c>
      <c r="O5017" s="9" t="str">
        <f aca="false">HYPERLINK("https://pbs.twimg.com/profile_images/808570892754321408/IIdB2dV2_normal.jpg","View")</f>
        <v>View</v>
      </c>
      <c r="P5017" s="10"/>
    </row>
    <row r="5018" customFormat="false" ht="15.75" hidden="false" customHeight="false" outlineLevel="0" collapsed="false">
      <c r="A5018" s="6" t="n">
        <v>43030.8340509259</v>
      </c>
      <c r="B5018" s="7" t="str">
        <f aca="false">HYPERLINK("https://twitter.com/jitendra_lalani","@jitendra_lalani")</f>
        <v>@jitendra_lalani</v>
      </c>
      <c r="C5018" s="8" t="s">
        <v>11799</v>
      </c>
      <c r="D5018" s="8" t="s">
        <v>8538</v>
      </c>
      <c r="E5018" s="9" t="str">
        <f aca="false">HYPERLINK("https://twitter.com/jitendra_lalani/status/922296780791808000","922296780791808000")</f>
        <v>922296780791808000</v>
      </c>
      <c r="F5018" s="10" t="s">
        <v>25</v>
      </c>
      <c r="G5018" s="10" t="n">
        <v>177</v>
      </c>
      <c r="H5018" s="10" t="n">
        <v>95</v>
      </c>
      <c r="I5018" s="10" t="n">
        <v>1015</v>
      </c>
      <c r="J5018" s="10" t="n">
        <v>0</v>
      </c>
      <c r="K5018" s="10" t="s">
        <v>20</v>
      </c>
      <c r="L5018" s="11" t="n">
        <v>40217.3652893519</v>
      </c>
      <c r="M5018" s="12" t="s">
        <v>11800</v>
      </c>
      <c r="N5018" s="12" t="s">
        <v>11801</v>
      </c>
      <c r="O5018" s="9" t="str">
        <f aca="false">HYPERLINK("https://pbs.twimg.com/profile_images/517266430870315008/8AYKKOK0_normal.jpeg","View")</f>
        <v>View</v>
      </c>
      <c r="P5018" s="10"/>
    </row>
    <row r="5019" customFormat="false" ht="15.75" hidden="false" customHeight="false" outlineLevel="0" collapsed="false">
      <c r="A5019" s="6" t="n">
        <v>43030.834212963</v>
      </c>
      <c r="B5019" s="7" t="str">
        <f aca="false">HYPERLINK("https://twitter.com/gopalrathi","@gopalrathi")</f>
        <v>@gopalrathi</v>
      </c>
      <c r="C5019" s="8" t="s">
        <v>11802</v>
      </c>
      <c r="D5019" s="8" t="s">
        <v>7350</v>
      </c>
      <c r="E5019" s="9" t="str">
        <f aca="false">HYPERLINK("https://twitter.com/gopalrathi/status/922296839600095233","922296839600095233")</f>
        <v>922296839600095233</v>
      </c>
      <c r="F5019" s="10" t="s">
        <v>25</v>
      </c>
      <c r="G5019" s="10" t="n">
        <v>373</v>
      </c>
      <c r="H5019" s="10" t="n">
        <v>162</v>
      </c>
      <c r="I5019" s="10" t="n">
        <v>62</v>
      </c>
      <c r="J5019" s="10" t="n">
        <v>0</v>
      </c>
      <c r="K5019" s="10" t="s">
        <v>20</v>
      </c>
      <c r="L5019" s="11" t="n">
        <v>40243.460474537</v>
      </c>
      <c r="M5019" s="12" t="s">
        <v>72</v>
      </c>
      <c r="N5019" s="12" t="s">
        <v>11803</v>
      </c>
      <c r="O5019" s="9" t="str">
        <f aca="false">HYPERLINK("https://pbs.twimg.com/profile_images/835927039878254592/1W3pr3Zx_normal.jpg","View")</f>
        <v>View</v>
      </c>
      <c r="P5019" s="10"/>
    </row>
    <row r="5020" customFormat="false" ht="15.75" hidden="false" customHeight="false" outlineLevel="0" collapsed="false">
      <c r="A5020" s="6" t="n">
        <v>43030.834212963</v>
      </c>
      <c r="B5020" s="7" t="str">
        <f aca="false">HYPERLINK("https://twitter.com/livemint","@livemint")</f>
        <v>@livemint</v>
      </c>
      <c r="C5020" s="8" t="s">
        <v>816</v>
      </c>
      <c r="D5020" s="8" t="s">
        <v>11804</v>
      </c>
      <c r="E5020" s="9" t="str">
        <f aca="false">HYPERLINK("https://twitter.com/livemint/status/922296840623706117","922296840623706117")</f>
        <v>922296840623706117</v>
      </c>
      <c r="F5020" s="10" t="s">
        <v>60</v>
      </c>
      <c r="G5020" s="10" t="n">
        <v>1692767</v>
      </c>
      <c r="H5020" s="10" t="n">
        <v>352</v>
      </c>
      <c r="I5020" s="10" t="n">
        <v>8</v>
      </c>
      <c r="J5020" s="10" t="n">
        <v>24</v>
      </c>
      <c r="K5020" s="10" t="s">
        <v>20</v>
      </c>
      <c r="L5020" s="11" t="n">
        <v>39779.0469675926</v>
      </c>
      <c r="M5020" s="12" t="s">
        <v>72</v>
      </c>
      <c r="N5020" s="12" t="s">
        <v>818</v>
      </c>
      <c r="O5020" s="9" t="str">
        <f aca="false">HYPERLINK("https://pbs.twimg.com/profile_images/786768566280458240/10bMmNvU_normal.jpg","View")</f>
        <v>View</v>
      </c>
      <c r="P5020" s="10"/>
    </row>
    <row r="5021" customFormat="false" ht="15.75" hidden="false" customHeight="false" outlineLevel="0" collapsed="false">
      <c r="A5021" s="6" t="n">
        <v>43030.8347800926</v>
      </c>
      <c r="B5021" s="7" t="str">
        <f aca="false">HYPERLINK("https://twitter.com/Kero_417","@Kero_417")</f>
        <v>@Kero_417</v>
      </c>
      <c r="C5021" s="8" t="s">
        <v>10734</v>
      </c>
      <c r="D5021" s="8" t="s">
        <v>11418</v>
      </c>
      <c r="E5021" s="9" t="str">
        <f aca="false">HYPERLINK("https://twitter.com/Kero_417/status/922297046412886016","922297046412886016")</f>
        <v>922297046412886016</v>
      </c>
      <c r="F5021" s="10" t="s">
        <v>51</v>
      </c>
      <c r="G5021" s="10" t="n">
        <v>122</v>
      </c>
      <c r="H5021" s="10" t="n">
        <v>304</v>
      </c>
      <c r="I5021" s="10" t="n">
        <v>38</v>
      </c>
      <c r="J5021" s="10" t="n">
        <v>0</v>
      </c>
      <c r="K5021" s="10" t="s">
        <v>20</v>
      </c>
      <c r="L5021" s="11" t="n">
        <v>42526.4036805556</v>
      </c>
      <c r="M5021" s="12"/>
      <c r="N5021" s="12" t="s">
        <v>10735</v>
      </c>
      <c r="O5021" s="9" t="str">
        <f aca="false">HYPERLINK("https://pbs.twimg.com/profile_images/841318962562457601/1Hno5ttB_normal.jpg","View")</f>
        <v>View</v>
      </c>
      <c r="P5021" s="10"/>
    </row>
    <row r="5022" customFormat="false" ht="15.75" hidden="false" customHeight="false" outlineLevel="0" collapsed="false">
      <c r="A5022" s="6" t="n">
        <v>43030.8348263889</v>
      </c>
      <c r="B5022" s="7" t="str">
        <f aca="false">HYPERLINK("https://twitter.com/GustafReinfeldt","@GustafReinfeldt")</f>
        <v>@GustafReinfeldt</v>
      </c>
      <c r="C5022" s="8" t="s">
        <v>11805</v>
      </c>
      <c r="D5022" s="8" t="s">
        <v>10414</v>
      </c>
      <c r="E5022" s="9" t="str">
        <f aca="false">HYPERLINK("https://twitter.com/GustafReinfeldt/status/922297059390185472","922297059390185472")</f>
        <v>922297059390185472</v>
      </c>
      <c r="F5022" s="10" t="s">
        <v>51</v>
      </c>
      <c r="G5022" s="10" t="n">
        <v>4007</v>
      </c>
      <c r="H5022" s="10" t="n">
        <v>3293</v>
      </c>
      <c r="I5022" s="10" t="n">
        <v>14</v>
      </c>
      <c r="J5022" s="10" t="n">
        <v>0</v>
      </c>
      <c r="K5022" s="10" t="s">
        <v>20</v>
      </c>
      <c r="L5022" s="11" t="n">
        <v>40436.1161226852</v>
      </c>
      <c r="M5022" s="12" t="s">
        <v>11806</v>
      </c>
      <c r="N5022" s="12" t="s">
        <v>11807</v>
      </c>
      <c r="O5022" s="9" t="str">
        <f aca="false">HYPERLINK("https://pbs.twimg.com/profile_images/904017458872377344/-v9kPZQ-_normal.jpg","View")</f>
        <v>View</v>
      </c>
      <c r="P5022" s="10"/>
    </row>
    <row r="5023" customFormat="false" ht="15.75" hidden="false" customHeight="false" outlineLevel="0" collapsed="false">
      <c r="A5023" s="6" t="n">
        <v>43030.8349652778</v>
      </c>
      <c r="B5023" s="7" t="str">
        <f aca="false">HYPERLINK("https://twitter.com/CNBCTradersFan","@CNBCTradersFan")</f>
        <v>@CNBCTradersFan</v>
      </c>
      <c r="C5023" s="8" t="s">
        <v>325</v>
      </c>
      <c r="D5023" s="8" t="s">
        <v>11808</v>
      </c>
      <c r="E5023" s="9" t="str">
        <f aca="false">HYPERLINK("https://twitter.com/CNBCTradersFan/status/922297113333166080","922297113333166080")</f>
        <v>922297113333166080</v>
      </c>
      <c r="F5023" s="10" t="s">
        <v>60</v>
      </c>
      <c r="G5023" s="10" t="n">
        <v>17155</v>
      </c>
      <c r="H5023" s="10" t="n">
        <v>11641</v>
      </c>
      <c r="I5023" s="10" t="n">
        <v>0</v>
      </c>
      <c r="J5023" s="10" t="n">
        <v>0</v>
      </c>
      <c r="K5023" s="10" t="s">
        <v>20</v>
      </c>
      <c r="L5023" s="11" t="n">
        <v>40922.5054282407</v>
      </c>
      <c r="M5023" s="12" t="s">
        <v>327</v>
      </c>
      <c r="N5023" s="12" t="s">
        <v>328</v>
      </c>
      <c r="O5023" s="9" t="str">
        <f aca="false">HYPERLINK("https://pbs.twimg.com/profile_images/731870469318684672/Ckf7rDdJ_normal.jpg","View")</f>
        <v>View</v>
      </c>
      <c r="P5023" s="10"/>
    </row>
    <row r="5024" customFormat="false" ht="15.75" hidden="false" customHeight="false" outlineLevel="0" collapsed="false">
      <c r="A5024" s="6" t="n">
        <v>43030.8350115741</v>
      </c>
      <c r="B5024" s="7" t="str">
        <f aca="false">HYPERLINK("https://twitter.com/CNBCTradersFan","@CNBCTradersFan")</f>
        <v>@CNBCTradersFan</v>
      </c>
      <c r="C5024" s="8" t="s">
        <v>325</v>
      </c>
      <c r="D5024" s="8" t="s">
        <v>11809</v>
      </c>
      <c r="E5024" s="9" t="str">
        <f aca="false">HYPERLINK("https://twitter.com/CNBCTradersFan/status/922297127916769280","922297127916769280")</f>
        <v>922297127916769280</v>
      </c>
      <c r="F5024" s="10" t="s">
        <v>60</v>
      </c>
      <c r="G5024" s="10" t="n">
        <v>17155</v>
      </c>
      <c r="H5024" s="10" t="n">
        <v>11641</v>
      </c>
      <c r="I5024" s="10" t="n">
        <v>0</v>
      </c>
      <c r="J5024" s="10" t="n">
        <v>0</v>
      </c>
      <c r="K5024" s="10" t="s">
        <v>20</v>
      </c>
      <c r="L5024" s="11" t="n">
        <v>40922.5054282407</v>
      </c>
      <c r="M5024" s="12" t="s">
        <v>327</v>
      </c>
      <c r="N5024" s="12" t="s">
        <v>328</v>
      </c>
      <c r="O5024" s="9" t="str">
        <f aca="false">HYPERLINK("https://pbs.twimg.com/profile_images/731870469318684672/Ckf7rDdJ_normal.jpg","View")</f>
        <v>View</v>
      </c>
      <c r="P5024" s="10"/>
    </row>
    <row r="5025" customFormat="false" ht="15.75" hidden="false" customHeight="false" outlineLevel="0" collapsed="false">
      <c r="A5025" s="6" t="n">
        <v>43030.8350925926</v>
      </c>
      <c r="B5025" s="7" t="str">
        <f aca="false">HYPERLINK("https://twitter.com/Sidbhutoria","@Sidbhutoria")</f>
        <v>@Sidbhutoria</v>
      </c>
      <c r="C5025" s="8" t="s">
        <v>11810</v>
      </c>
      <c r="D5025" s="8" t="s">
        <v>8538</v>
      </c>
      <c r="E5025" s="9" t="str">
        <f aca="false">HYPERLINK("https://twitter.com/Sidbhutoria/status/922297156806905856","922297156806905856")</f>
        <v>922297156806905856</v>
      </c>
      <c r="F5025" s="10" t="s">
        <v>25</v>
      </c>
      <c r="G5025" s="10" t="n">
        <v>164</v>
      </c>
      <c r="H5025" s="10" t="n">
        <v>172</v>
      </c>
      <c r="I5025" s="10" t="n">
        <v>1015</v>
      </c>
      <c r="J5025" s="10" t="n">
        <v>0</v>
      </c>
      <c r="K5025" s="10" t="s">
        <v>20</v>
      </c>
      <c r="L5025" s="11" t="n">
        <v>40980.5057638889</v>
      </c>
      <c r="M5025" s="12"/>
      <c r="N5025" s="12"/>
      <c r="O5025" s="9" t="str">
        <f aca="false">HYPERLINK("https://pbs.twimg.com/profile_images/1892005898/DSCN6102_normal.JPG","View")</f>
        <v>View</v>
      </c>
      <c r="P5025" s="10"/>
    </row>
    <row r="5026" customFormat="false" ht="15.75" hidden="false" customHeight="false" outlineLevel="0" collapsed="false">
      <c r="A5026" s="6" t="n">
        <v>43030.8352199074</v>
      </c>
      <c r="B5026" s="7" t="str">
        <f aca="false">HYPERLINK("https://twitter.com/NewsDingo","@NewsDingo")</f>
        <v>@NewsDingo</v>
      </c>
      <c r="C5026" s="8" t="s">
        <v>1930</v>
      </c>
      <c r="D5026" s="8" t="s">
        <v>11811</v>
      </c>
      <c r="E5026" s="9" t="str">
        <f aca="false">HYPERLINK("https://twitter.com/NewsDingo/status/922297204408246273","922297204408246273")</f>
        <v>922297204408246273</v>
      </c>
      <c r="F5026" s="10" t="s">
        <v>1932</v>
      </c>
      <c r="G5026" s="10" t="n">
        <v>141</v>
      </c>
      <c r="H5026" s="10" t="n">
        <v>55</v>
      </c>
      <c r="I5026" s="10" t="n">
        <v>0</v>
      </c>
      <c r="J5026" s="10" t="n">
        <v>0</v>
      </c>
      <c r="K5026" s="10" t="s">
        <v>20</v>
      </c>
      <c r="L5026" s="11" t="n">
        <v>40282.5263657407</v>
      </c>
      <c r="M5026" s="12" t="s">
        <v>1933</v>
      </c>
      <c r="N5026" s="12" t="s">
        <v>1934</v>
      </c>
      <c r="O5026" s="9" t="str">
        <f aca="false">HYPERLINK("https://pbs.twimg.com/profile_images/823485261/news_dingo_48_normal.gif","View")</f>
        <v>View</v>
      </c>
      <c r="P5026" s="10"/>
    </row>
    <row r="5027" customFormat="false" ht="15.75" hidden="false" customHeight="false" outlineLevel="0" collapsed="false">
      <c r="A5027" s="6" t="n">
        <v>43030.8352430556</v>
      </c>
      <c r="B5027" s="7" t="str">
        <f aca="false">HYPERLINK("https://twitter.com/OldSunil","@OldSunil")</f>
        <v>@OldSunil</v>
      </c>
      <c r="C5027" s="8" t="s">
        <v>11812</v>
      </c>
      <c r="D5027" s="8" t="s">
        <v>8538</v>
      </c>
      <c r="E5027" s="9" t="str">
        <f aca="false">HYPERLINK("https://twitter.com/OldSunil/status/922297212402507776","922297212402507776")</f>
        <v>922297212402507776</v>
      </c>
      <c r="F5027" s="10" t="s">
        <v>25</v>
      </c>
      <c r="G5027" s="10" t="n">
        <v>17</v>
      </c>
      <c r="H5027" s="10" t="n">
        <v>97</v>
      </c>
      <c r="I5027" s="10" t="n">
        <v>1015</v>
      </c>
      <c r="J5027" s="10" t="n">
        <v>0</v>
      </c>
      <c r="K5027" s="10" t="s">
        <v>20</v>
      </c>
      <c r="L5027" s="11" t="n">
        <v>42672.3023032407</v>
      </c>
      <c r="M5027" s="12" t="s">
        <v>598</v>
      </c>
      <c r="N5027" s="12"/>
      <c r="O5027" s="9" t="str">
        <f aca="false">HYPERLINK("https://abs.twimg.com/sticky/default_profile_images/default_profile_normal.png","View")</f>
        <v>View</v>
      </c>
      <c r="P5027" s="10"/>
    </row>
    <row r="5028" customFormat="false" ht="15.75" hidden="false" customHeight="false" outlineLevel="0" collapsed="false">
      <c r="A5028" s="6" t="n">
        <v>43030.8353935185</v>
      </c>
      <c r="B5028" s="7" t="str">
        <f aca="false">HYPERLINK("https://twitter.com/vajapeyam","@vajapeyam")</f>
        <v>@vajapeyam</v>
      </c>
      <c r="C5028" s="8" t="s">
        <v>1509</v>
      </c>
      <c r="D5028" s="8" t="s">
        <v>11813</v>
      </c>
      <c r="E5028" s="9" t="str">
        <f aca="false">HYPERLINK("https://twitter.com/vajapeyam/status/922297265628225536","922297265628225536")</f>
        <v>922297265628225536</v>
      </c>
      <c r="F5028" s="10" t="s">
        <v>39</v>
      </c>
      <c r="G5028" s="10" t="n">
        <v>3712</v>
      </c>
      <c r="H5028" s="10" t="n">
        <v>4367</v>
      </c>
      <c r="I5028" s="10" t="n">
        <v>0</v>
      </c>
      <c r="J5028" s="10" t="n">
        <v>0</v>
      </c>
      <c r="K5028" s="10" t="s">
        <v>20</v>
      </c>
      <c r="L5028" s="11" t="n">
        <v>41374.8256712963</v>
      </c>
      <c r="M5028" s="12" t="s">
        <v>1511</v>
      </c>
      <c r="N5028" s="12" t="s">
        <v>1512</v>
      </c>
      <c r="O5028" s="9" t="str">
        <f aca="false">HYPERLINK("https://pbs.twimg.com/profile_images/918708972810465280/agqN1hmS_normal.jpg","View")</f>
        <v>View</v>
      </c>
      <c r="P5028" s="10"/>
    </row>
    <row r="5029" customFormat="false" ht="15.75" hidden="false" customHeight="false" outlineLevel="0" collapsed="false">
      <c r="A5029" s="6" t="n">
        <v>43030.8355787037</v>
      </c>
      <c r="B5029" s="7" t="str">
        <f aca="false">HYPERLINK("https://twitter.com/Ninnad_Shrotri","@Ninnad_Shrotri")</f>
        <v>@Ninnad_Shrotri</v>
      </c>
      <c r="C5029" s="8" t="s">
        <v>11814</v>
      </c>
      <c r="D5029" s="8" t="s">
        <v>11815</v>
      </c>
      <c r="E5029" s="9" t="str">
        <f aca="false">HYPERLINK("https://twitter.com/Ninnad_Shrotri/status/922297335442493440","922297335442493440")</f>
        <v>922297335442493440</v>
      </c>
      <c r="F5029" s="10" t="s">
        <v>25</v>
      </c>
      <c r="G5029" s="10" t="n">
        <v>409</v>
      </c>
      <c r="H5029" s="10" t="n">
        <v>333</v>
      </c>
      <c r="I5029" s="10" t="n">
        <v>8</v>
      </c>
      <c r="J5029" s="10" t="n">
        <v>0</v>
      </c>
      <c r="K5029" s="10" t="s">
        <v>20</v>
      </c>
      <c r="L5029" s="11" t="n">
        <v>40350.0109953704</v>
      </c>
      <c r="M5029" s="12" t="s">
        <v>1522</v>
      </c>
      <c r="N5029" s="12" t="s">
        <v>11816</v>
      </c>
      <c r="O5029" s="9" t="str">
        <f aca="false">HYPERLINK("https://pbs.twimg.com/profile_images/795319519661068288/dt6JU1Ib_normal.jpg","View")</f>
        <v>View</v>
      </c>
      <c r="P5029" s="10"/>
    </row>
    <row r="5030" customFormat="false" ht="15.75" hidden="false" customHeight="false" outlineLevel="0" collapsed="false">
      <c r="A5030" s="6" t="n">
        <v>43030.8357407407</v>
      </c>
      <c r="B5030" s="7" t="str">
        <f aca="false">HYPERLINK("https://twitter.com/NewsDingo","@NewsDingo")</f>
        <v>@NewsDingo</v>
      </c>
      <c r="C5030" s="8" t="s">
        <v>1930</v>
      </c>
      <c r="D5030" s="8" t="s">
        <v>11817</v>
      </c>
      <c r="E5030" s="9" t="str">
        <f aca="false">HYPERLINK("https://twitter.com/NewsDingo/status/922297393118416897","922297393118416897")</f>
        <v>922297393118416897</v>
      </c>
      <c r="F5030" s="10" t="s">
        <v>1932</v>
      </c>
      <c r="G5030" s="10" t="n">
        <v>141</v>
      </c>
      <c r="H5030" s="10" t="n">
        <v>55</v>
      </c>
      <c r="I5030" s="10" t="n">
        <v>0</v>
      </c>
      <c r="J5030" s="10" t="n">
        <v>0</v>
      </c>
      <c r="K5030" s="10" t="s">
        <v>20</v>
      </c>
      <c r="L5030" s="11" t="n">
        <v>40282.5263657407</v>
      </c>
      <c r="M5030" s="12" t="s">
        <v>1933</v>
      </c>
      <c r="N5030" s="12" t="s">
        <v>1934</v>
      </c>
      <c r="O5030" s="9" t="str">
        <f aca="false">HYPERLINK("https://pbs.twimg.com/profile_images/823485261/news_dingo_48_normal.gif","View")</f>
        <v>View</v>
      </c>
      <c r="P5030" s="10"/>
    </row>
    <row r="5031" customFormat="false" ht="15.75" hidden="false" customHeight="false" outlineLevel="0" collapsed="false">
      <c r="A5031" s="6" t="n">
        <v>43030.8359027778</v>
      </c>
      <c r="B5031" s="7" t="str">
        <f aca="false">HYPERLINK("https://twitter.com/newssummedupuk","@newssummedupuk")</f>
        <v>@newssummedupuk</v>
      </c>
      <c r="C5031" s="8" t="s">
        <v>2458</v>
      </c>
      <c r="D5031" s="8" t="s">
        <v>11818</v>
      </c>
      <c r="E5031" s="9" t="str">
        <f aca="false">HYPERLINK("https://twitter.com/newssummedupuk/status/922297451775647745","922297451775647745")</f>
        <v>922297451775647745</v>
      </c>
      <c r="F5031" s="10" t="s">
        <v>1179</v>
      </c>
      <c r="G5031" s="10" t="n">
        <v>62</v>
      </c>
      <c r="H5031" s="10" t="n">
        <v>99</v>
      </c>
      <c r="I5031" s="10" t="n">
        <v>0</v>
      </c>
      <c r="J5031" s="10" t="n">
        <v>0</v>
      </c>
      <c r="K5031" s="10" t="s">
        <v>20</v>
      </c>
      <c r="L5031" s="11" t="n">
        <v>42534.2836574074</v>
      </c>
      <c r="M5031" s="12" t="s">
        <v>182</v>
      </c>
      <c r="N5031" s="12" t="s">
        <v>2460</v>
      </c>
      <c r="O5031" s="9" t="str">
        <f aca="false">HYPERLINK("https://pbs.twimg.com/profile_images/742353419147436032/yIX83zk-_normal.jpg","View")</f>
        <v>View</v>
      </c>
      <c r="P5031" s="10"/>
    </row>
    <row r="5032" customFormat="false" ht="15.75" hidden="false" customHeight="false" outlineLevel="0" collapsed="false">
      <c r="A5032" s="6" t="n">
        <v>43030.8360069444</v>
      </c>
      <c r="B5032" s="7" t="str">
        <f aca="false">HYPERLINK("https://twitter.com/peepal59","@peepal59")</f>
        <v>@peepal59</v>
      </c>
      <c r="C5032" s="8" t="s">
        <v>11819</v>
      </c>
      <c r="D5032" s="8" t="s">
        <v>8538</v>
      </c>
      <c r="E5032" s="9" t="str">
        <f aca="false">HYPERLINK("https://twitter.com/peepal59/status/922297488647712770","922297488647712770")</f>
        <v>922297488647712770</v>
      </c>
      <c r="F5032" s="10" t="s">
        <v>177</v>
      </c>
      <c r="G5032" s="10" t="n">
        <v>698</v>
      </c>
      <c r="H5032" s="10" t="n">
        <v>846</v>
      </c>
      <c r="I5032" s="10" t="n">
        <v>1015</v>
      </c>
      <c r="J5032" s="10" t="n">
        <v>0</v>
      </c>
      <c r="K5032" s="10" t="s">
        <v>20</v>
      </c>
      <c r="L5032" s="11" t="n">
        <v>40288.1713657407</v>
      </c>
      <c r="M5032" s="12" t="s">
        <v>11820</v>
      </c>
      <c r="N5032" s="12" t="s">
        <v>11821</v>
      </c>
      <c r="O5032" s="9" t="str">
        <f aca="false">HYPERLINK("https://abs.twimg.com/sticky/default_profile_images/default_profile_normal.png","View")</f>
        <v>View</v>
      </c>
      <c r="P5032" s="10"/>
    </row>
    <row r="5033" customFormat="false" ht="15.75" hidden="false" customHeight="false" outlineLevel="0" collapsed="false">
      <c r="A5033" s="6" t="n">
        <v>43030.8361574074</v>
      </c>
      <c r="B5033" s="7" t="str">
        <f aca="false">HYPERLINK("https://twitter.com/vigasapuwath","@vigasapuwath")</f>
        <v>@vigasapuwath</v>
      </c>
      <c r="C5033" s="8" t="s">
        <v>11410</v>
      </c>
      <c r="D5033" s="8" t="s">
        <v>11822</v>
      </c>
      <c r="E5033" s="9" t="str">
        <f aca="false">HYPERLINK("https://twitter.com/vigasapuwath/status/922297544134287360","922297544134287360")</f>
        <v>922297544134287360</v>
      </c>
      <c r="F5033" s="10" t="s">
        <v>60</v>
      </c>
      <c r="G5033" s="10" t="n">
        <v>1145</v>
      </c>
      <c r="H5033" s="10" t="n">
        <v>816</v>
      </c>
      <c r="I5033" s="10" t="n">
        <v>0</v>
      </c>
      <c r="J5033" s="10" t="n">
        <v>0</v>
      </c>
      <c r="K5033" s="10" t="s">
        <v>20</v>
      </c>
      <c r="L5033" s="11" t="n">
        <v>41520.2704282407</v>
      </c>
      <c r="M5033" s="12" t="s">
        <v>4532</v>
      </c>
      <c r="N5033" s="12" t="s">
        <v>11412</v>
      </c>
      <c r="O5033" s="9" t="str">
        <f aca="false">HYPERLINK("https://pbs.twimg.com/profile_images/378800000405181648/90031a4f8e812dd2a0028c4b11e9d781_normal.jpeg","View")</f>
        <v>View</v>
      </c>
      <c r="P5033" s="10"/>
    </row>
    <row r="5034" customFormat="false" ht="15.75" hidden="false" customHeight="false" outlineLevel="0" collapsed="false">
      <c r="A5034" s="6" t="n">
        <v>43030.8364351852</v>
      </c>
      <c r="B5034" s="7" t="str">
        <f aca="false">HYPERLINK("https://twitter.com/rajs51","@rajs51")</f>
        <v>@rajs51</v>
      </c>
      <c r="C5034" s="8" t="s">
        <v>11823</v>
      </c>
      <c r="D5034" s="8" t="s">
        <v>8538</v>
      </c>
      <c r="E5034" s="9" t="str">
        <f aca="false">HYPERLINK("https://twitter.com/rajs51/status/922297643727970304","922297643727970304")</f>
        <v>922297643727970304</v>
      </c>
      <c r="F5034" s="10" t="s">
        <v>25</v>
      </c>
      <c r="G5034" s="10" t="n">
        <v>327</v>
      </c>
      <c r="H5034" s="10" t="n">
        <v>208</v>
      </c>
      <c r="I5034" s="10" t="n">
        <v>1015</v>
      </c>
      <c r="J5034" s="10" t="n">
        <v>0</v>
      </c>
      <c r="K5034" s="10" t="s">
        <v>20</v>
      </c>
      <c r="L5034" s="11" t="n">
        <v>41705.3749652778</v>
      </c>
      <c r="M5034" s="12"/>
      <c r="N5034" s="12" t="s">
        <v>10742</v>
      </c>
      <c r="O5034" s="9" t="str">
        <f aca="false">HYPERLINK("https://pbs.twimg.com/profile_images/639091964953038848/iSqfnzrB_normal.jpg","View")</f>
        <v>View</v>
      </c>
      <c r="P5034" s="10"/>
    </row>
    <row r="5035" customFormat="false" ht="15.75" hidden="false" customHeight="false" outlineLevel="0" collapsed="false">
      <c r="A5035" s="6" t="n">
        <v>43030.8365162037</v>
      </c>
      <c r="B5035" s="7" t="str">
        <f aca="false">HYPERLINK("https://twitter.com/worldramana","@worldramana")</f>
        <v>@worldramana</v>
      </c>
      <c r="C5035" s="8" t="s">
        <v>11824</v>
      </c>
      <c r="D5035" s="8" t="s">
        <v>8538</v>
      </c>
      <c r="E5035" s="9" t="str">
        <f aca="false">HYPERLINK("https://twitter.com/worldramana/status/922297673922707456","922297673922707456")</f>
        <v>922297673922707456</v>
      </c>
      <c r="F5035" s="10" t="s">
        <v>25</v>
      </c>
      <c r="G5035" s="10" t="n">
        <v>84</v>
      </c>
      <c r="H5035" s="10" t="n">
        <v>281</v>
      </c>
      <c r="I5035" s="10" t="n">
        <v>1015</v>
      </c>
      <c r="J5035" s="10" t="n">
        <v>0</v>
      </c>
      <c r="K5035" s="10" t="s">
        <v>20</v>
      </c>
      <c r="L5035" s="11" t="n">
        <v>40569.4220138889</v>
      </c>
      <c r="M5035" s="12" t="s">
        <v>11825</v>
      </c>
      <c r="N5035" s="12"/>
      <c r="O5035" s="9" t="str">
        <f aca="false">HYPERLINK("https://pbs.twimg.com/profile_images/3219599568/725ce6dc9f47a464cb51447c2d0723af_normal.jpeg","View")</f>
        <v>View</v>
      </c>
      <c r="P5035" s="10"/>
    </row>
    <row r="5036" customFormat="false" ht="15.75" hidden="false" customHeight="false" outlineLevel="0" collapsed="false">
      <c r="A5036" s="6" t="n">
        <v>43030.8366203704</v>
      </c>
      <c r="B5036" s="7" t="str">
        <f aca="false">HYPERLINK("https://twitter.com/fuzzyguest","@fuzzyguest")</f>
        <v>@fuzzyguest</v>
      </c>
      <c r="C5036" s="8" t="s">
        <v>6258</v>
      </c>
      <c r="D5036" s="8" t="s">
        <v>11738</v>
      </c>
      <c r="E5036" s="9" t="str">
        <f aca="false">HYPERLINK("https://twitter.com/fuzzyguest/status/922297709670817792","922297709670817792")</f>
        <v>922297709670817792</v>
      </c>
      <c r="F5036" s="10" t="s">
        <v>39</v>
      </c>
      <c r="G5036" s="10" t="n">
        <v>56</v>
      </c>
      <c r="H5036" s="10" t="n">
        <v>815</v>
      </c>
      <c r="I5036" s="10" t="n">
        <v>11</v>
      </c>
      <c r="J5036" s="10" t="n">
        <v>0</v>
      </c>
      <c r="K5036" s="10" t="s">
        <v>20</v>
      </c>
      <c r="L5036" s="11" t="n">
        <v>41335.8183333333</v>
      </c>
      <c r="M5036" s="12" t="s">
        <v>574</v>
      </c>
      <c r="N5036" s="12"/>
      <c r="O5036" s="9" t="str">
        <f aca="false">HYPERLINK("https://pbs.twimg.com/profile_images/378800000310251208/39e3ef268e83d4457361db41b199ea80_normal.jpeg","View")</f>
        <v>View</v>
      </c>
      <c r="P5036" s="10"/>
    </row>
    <row r="5037" customFormat="false" ht="15.75" hidden="false" customHeight="false" outlineLevel="0" collapsed="false">
      <c r="A5037" s="6" t="n">
        <v>43030.8368981482</v>
      </c>
      <c r="B5037" s="7" t="str">
        <f aca="false">HYPERLINK("https://twitter.com/ssbahga","@ssbahga")</f>
        <v>@ssbahga</v>
      </c>
      <c r="C5037" s="8" t="s">
        <v>11826</v>
      </c>
      <c r="D5037" s="8" t="s">
        <v>8538</v>
      </c>
      <c r="E5037" s="9" t="str">
        <f aca="false">HYPERLINK("https://twitter.com/ssbahga/status/922297811508461568","922297811508461568")</f>
        <v>922297811508461568</v>
      </c>
      <c r="F5037" s="10" t="s">
        <v>39</v>
      </c>
      <c r="G5037" s="10" t="n">
        <v>240</v>
      </c>
      <c r="H5037" s="10" t="n">
        <v>98</v>
      </c>
      <c r="I5037" s="10" t="n">
        <v>1015</v>
      </c>
      <c r="J5037" s="10" t="n">
        <v>0</v>
      </c>
      <c r="K5037" s="10" t="s">
        <v>20</v>
      </c>
      <c r="L5037" s="11" t="n">
        <v>41497.3252199074</v>
      </c>
      <c r="M5037" s="12" t="s">
        <v>87</v>
      </c>
      <c r="N5037" s="12" t="s">
        <v>11827</v>
      </c>
      <c r="O5037" s="9" t="str">
        <f aca="false">HYPERLINK("https://pbs.twimg.com/profile_images/378800000274774219/eb122e789ca6c28ea077e49de9e2aa59_normal.jpeg","View")</f>
        <v>View</v>
      </c>
      <c r="P5037" s="10"/>
    </row>
    <row r="5038" customFormat="false" ht="15.75" hidden="false" customHeight="false" outlineLevel="0" collapsed="false">
      <c r="A5038" s="6" t="n">
        <v>43030.8373263889</v>
      </c>
      <c r="B5038" s="7" t="str">
        <f aca="false">HYPERLINK("https://twitter.com/daModified","@daModified")</f>
        <v>@daModified</v>
      </c>
      <c r="C5038" s="8" t="s">
        <v>11828</v>
      </c>
      <c r="D5038" s="8" t="s">
        <v>8538</v>
      </c>
      <c r="E5038" s="9" t="str">
        <f aca="false">HYPERLINK("https://twitter.com/daModified/status/922297966802616322","922297966802616322")</f>
        <v>922297966802616322</v>
      </c>
      <c r="F5038" s="10" t="s">
        <v>51</v>
      </c>
      <c r="G5038" s="10" t="n">
        <v>442</v>
      </c>
      <c r="H5038" s="10" t="n">
        <v>1062</v>
      </c>
      <c r="I5038" s="10" t="n">
        <v>1015</v>
      </c>
      <c r="J5038" s="10" t="n">
        <v>0</v>
      </c>
      <c r="K5038" s="10" t="s">
        <v>20</v>
      </c>
      <c r="L5038" s="11" t="n">
        <v>40972.9911574074</v>
      </c>
      <c r="M5038" s="12"/>
      <c r="N5038" s="12" t="s">
        <v>11829</v>
      </c>
      <c r="O5038" s="9" t="str">
        <f aca="false">HYPERLINK("https://pbs.twimg.com/profile_images/533931883914989569/UR2851Lz_normal.jpeg","View")</f>
        <v>View</v>
      </c>
      <c r="P5038" s="10"/>
    </row>
    <row r="5039" customFormat="false" ht="15.75" hidden="false" customHeight="false" outlineLevel="0" collapsed="false">
      <c r="A5039" s="6" t="n">
        <v>43030.8383564815</v>
      </c>
      <c r="B5039" s="7" t="str">
        <f aca="false">HYPERLINK("https://twitter.com/CNBCTradersFan","@CNBCTradersFan")</f>
        <v>@CNBCTradersFan</v>
      </c>
      <c r="C5039" s="8" t="s">
        <v>325</v>
      </c>
      <c r="D5039" s="8" t="s">
        <v>11830</v>
      </c>
      <c r="E5039" s="9" t="str">
        <f aca="false">HYPERLINK("https://twitter.com/CNBCTradersFan/status/922298341903478784","922298341903478784")</f>
        <v>922298341903478784</v>
      </c>
      <c r="F5039" s="10" t="s">
        <v>60</v>
      </c>
      <c r="G5039" s="10" t="n">
        <v>17155</v>
      </c>
      <c r="H5039" s="10" t="n">
        <v>11641</v>
      </c>
      <c r="I5039" s="10" t="n">
        <v>0</v>
      </c>
      <c r="J5039" s="10" t="n">
        <v>0</v>
      </c>
      <c r="K5039" s="10" t="s">
        <v>20</v>
      </c>
      <c r="L5039" s="11" t="n">
        <v>40922.5054282407</v>
      </c>
      <c r="M5039" s="12" t="s">
        <v>327</v>
      </c>
      <c r="N5039" s="12" t="s">
        <v>328</v>
      </c>
      <c r="O5039" s="9" t="str">
        <f aca="false">HYPERLINK("https://pbs.twimg.com/profile_images/731870469318684672/Ckf7rDdJ_normal.jpg","View")</f>
        <v>View</v>
      </c>
      <c r="P5039" s="10"/>
    </row>
    <row r="5040" customFormat="false" ht="15.75" hidden="false" customHeight="false" outlineLevel="0" collapsed="false">
      <c r="A5040" s="6" t="n">
        <v>43030.8383680556</v>
      </c>
      <c r="B5040" s="7" t="str">
        <f aca="false">HYPERLINK("https://twitter.com/aestheticallypr","@aestheticallypr")</f>
        <v>@aestheticallypr</v>
      </c>
      <c r="C5040" s="8" t="s">
        <v>11831</v>
      </c>
      <c r="D5040" s="8" t="s">
        <v>11738</v>
      </c>
      <c r="E5040" s="9" t="str">
        <f aca="false">HYPERLINK("https://twitter.com/aestheticallypr/status/922298346102018053","922298346102018053")</f>
        <v>922298346102018053</v>
      </c>
      <c r="F5040" s="10" t="s">
        <v>51</v>
      </c>
      <c r="G5040" s="10" t="n">
        <v>123</v>
      </c>
      <c r="H5040" s="10" t="n">
        <v>187</v>
      </c>
      <c r="I5040" s="10" t="n">
        <v>11</v>
      </c>
      <c r="J5040" s="10" t="n">
        <v>0</v>
      </c>
      <c r="K5040" s="10" t="s">
        <v>20</v>
      </c>
      <c r="L5040" s="11" t="n">
        <v>42430.8288078704</v>
      </c>
      <c r="M5040" s="12"/>
      <c r="N5040" s="12" t="s">
        <v>11832</v>
      </c>
      <c r="O5040" s="9" t="str">
        <f aca="false">HYPERLINK("https://pbs.twimg.com/profile_images/786764474988556288/pUWpWqPF_normal.jpg","View")</f>
        <v>View</v>
      </c>
      <c r="P5040" s="10"/>
    </row>
    <row r="5041" customFormat="false" ht="15.75" hidden="false" customHeight="false" outlineLevel="0" collapsed="false">
      <c r="A5041" s="6" t="n">
        <v>43030.8383796296</v>
      </c>
      <c r="B5041" s="7" t="str">
        <f aca="false">HYPERLINK("https://twitter.com/manoj_mafiosi","@manoj_mafiosi")</f>
        <v>@manoj_mafiosi</v>
      </c>
      <c r="C5041" s="8" t="s">
        <v>11833</v>
      </c>
      <c r="D5041" s="8" t="s">
        <v>8538</v>
      </c>
      <c r="E5041" s="9" t="str">
        <f aca="false">HYPERLINK("https://twitter.com/manoj_mafiosi/status/922298347469266944","922298347469266944")</f>
        <v>922298347469266944</v>
      </c>
      <c r="F5041" s="10" t="s">
        <v>98</v>
      </c>
      <c r="G5041" s="10" t="n">
        <v>146</v>
      </c>
      <c r="H5041" s="10" t="n">
        <v>143</v>
      </c>
      <c r="I5041" s="10" t="n">
        <v>1015</v>
      </c>
      <c r="J5041" s="10" t="n">
        <v>0</v>
      </c>
      <c r="K5041" s="10" t="s">
        <v>20</v>
      </c>
      <c r="L5041" s="11" t="n">
        <v>40146.3261921296</v>
      </c>
      <c r="M5041" s="12" t="s">
        <v>6635</v>
      </c>
      <c r="N5041" s="12" t="s">
        <v>11834</v>
      </c>
      <c r="O5041" s="9" t="str">
        <f aca="false">HYPERLINK("https://pbs.twimg.com/profile_images/631827307418640385/7PO0N5pf_normal.jpg","View")</f>
        <v>View</v>
      </c>
      <c r="P5041" s="10"/>
    </row>
    <row r="5042" customFormat="false" ht="15.75" hidden="false" customHeight="false" outlineLevel="0" collapsed="false">
      <c r="A5042" s="6" t="n">
        <v>43030.8385763889</v>
      </c>
      <c r="B5042" s="7" t="str">
        <f aca="false">HYPERLINK("https://twitter.com/NitinKapoor2020","@NitinKapoor2020")</f>
        <v>@NitinKapoor2020</v>
      </c>
      <c r="C5042" s="8" t="s">
        <v>11835</v>
      </c>
      <c r="D5042" s="8" t="s">
        <v>8538</v>
      </c>
      <c r="E5042" s="9" t="str">
        <f aca="false">HYPERLINK("https://twitter.com/NitinKapoor2020/status/922298418449358849","922298418449358849")</f>
        <v>922298418449358849</v>
      </c>
      <c r="F5042" s="10" t="s">
        <v>98</v>
      </c>
      <c r="G5042" s="10" t="n">
        <v>4839</v>
      </c>
      <c r="H5042" s="10" t="n">
        <v>1590</v>
      </c>
      <c r="I5042" s="10" t="n">
        <v>1015</v>
      </c>
      <c r="J5042" s="10" t="n">
        <v>0</v>
      </c>
      <c r="K5042" s="10" t="s">
        <v>20</v>
      </c>
      <c r="L5042" s="11" t="n">
        <v>40059.2670138889</v>
      </c>
      <c r="M5042" s="12"/>
      <c r="N5042" s="12" t="s">
        <v>11836</v>
      </c>
      <c r="O5042" s="9" t="str">
        <f aca="false">HYPERLINK("https://pbs.twimg.com/profile_images/745321579349848064/7C4WGimv_normal.jpg","View")</f>
        <v>View</v>
      </c>
      <c r="P5042" s="10"/>
    </row>
    <row r="5043" customFormat="false" ht="15.75" hidden="false" customHeight="false" outlineLevel="0" collapsed="false">
      <c r="A5043" s="6" t="n">
        <v>43030.8391898148</v>
      </c>
      <c r="B5043" s="7" t="str">
        <f aca="false">HYPERLINK("https://twitter.com/Satyaka14273620","@Satyaka14273620")</f>
        <v>@Satyaka14273620</v>
      </c>
      <c r="C5043" s="8" t="s">
        <v>11837</v>
      </c>
      <c r="D5043" s="8" t="s">
        <v>8538</v>
      </c>
      <c r="E5043" s="9" t="str">
        <f aca="false">HYPERLINK("https://twitter.com/Satyaka14273620/status/922298643377545216","922298643377545216")</f>
        <v>922298643377545216</v>
      </c>
      <c r="F5043" s="10" t="s">
        <v>98</v>
      </c>
      <c r="G5043" s="10" t="n">
        <v>263</v>
      </c>
      <c r="H5043" s="10" t="n">
        <v>1189</v>
      </c>
      <c r="I5043" s="10" t="n">
        <v>1015</v>
      </c>
      <c r="J5043" s="10" t="n">
        <v>0</v>
      </c>
      <c r="K5043" s="10" t="s">
        <v>20</v>
      </c>
      <c r="L5043" s="11" t="n">
        <v>41469.1838773148</v>
      </c>
      <c r="M5043" s="12"/>
      <c r="N5043" s="12"/>
      <c r="O5043" s="9" t="str">
        <f aca="false">HYPERLINK("https://abs.twimg.com/sticky/default_profile_images/default_profile_normal.png","View")</f>
        <v>View</v>
      </c>
      <c r="P5043" s="10"/>
    </row>
    <row r="5044" customFormat="false" ht="15.75" hidden="false" customHeight="false" outlineLevel="0" collapsed="false">
      <c r="A5044" s="6" t="n">
        <v>43030.839224537</v>
      </c>
      <c r="B5044" s="7" t="str">
        <f aca="false">HYPERLINK("https://twitter.com/tayhweepeng","@tayhweepeng")</f>
        <v>@tayhweepeng</v>
      </c>
      <c r="C5044" s="8" t="s">
        <v>11838</v>
      </c>
      <c r="D5044" s="8" t="s">
        <v>11839</v>
      </c>
      <c r="E5044" s="9" t="str">
        <f aca="false">HYPERLINK("https://twitter.com/tayhweepeng/status/922298653359841282","922298653359841282")</f>
        <v>922298653359841282</v>
      </c>
      <c r="F5044" s="10" t="s">
        <v>51</v>
      </c>
      <c r="G5044" s="10" t="n">
        <v>98</v>
      </c>
      <c r="H5044" s="10" t="n">
        <v>620</v>
      </c>
      <c r="I5044" s="10" t="n">
        <v>0</v>
      </c>
      <c r="J5044" s="10" t="n">
        <v>0</v>
      </c>
      <c r="K5044" s="10" t="s">
        <v>20</v>
      </c>
      <c r="L5044" s="11" t="n">
        <v>39968.0095833333</v>
      </c>
      <c r="M5044" s="12"/>
      <c r="N5044" s="12" t="s">
        <v>11840</v>
      </c>
      <c r="O5044" s="9" t="str">
        <f aca="false">HYPERLINK("https://pbs.twimg.com/profile_images/724112560169963520/8DMrgCPU_normal.jpg","View")</f>
        <v>View</v>
      </c>
      <c r="P5044" s="10"/>
    </row>
    <row r="5045" customFormat="false" ht="15.75" hidden="false" customHeight="false" outlineLevel="0" collapsed="false">
      <c r="A5045" s="6" t="n">
        <v>43030.8392592593</v>
      </c>
      <c r="B5045" s="7" t="str">
        <f aca="false">HYPERLINK("https://twitter.com/sven_gradolny","@sven_gradolny")</f>
        <v>@sven_gradolny</v>
      </c>
      <c r="C5045" s="8" t="s">
        <v>11841</v>
      </c>
      <c r="D5045" s="8" t="s">
        <v>11033</v>
      </c>
      <c r="E5045" s="9" t="str">
        <f aca="false">HYPERLINK("https://twitter.com/sven_gradolny/status/922298665842208768","922298665842208768")</f>
        <v>922298665842208768</v>
      </c>
      <c r="F5045" s="10" t="s">
        <v>11842</v>
      </c>
      <c r="G5045" s="10" t="n">
        <v>430</v>
      </c>
      <c r="H5045" s="10" t="n">
        <v>1949</v>
      </c>
      <c r="I5045" s="10" t="n">
        <v>60</v>
      </c>
      <c r="J5045" s="10" t="n">
        <v>0</v>
      </c>
      <c r="K5045" s="10" t="s">
        <v>20</v>
      </c>
      <c r="L5045" s="11" t="n">
        <v>43000.121099537</v>
      </c>
      <c r="M5045" s="12" t="s">
        <v>11843</v>
      </c>
      <c r="N5045" s="12" t="s">
        <v>11844</v>
      </c>
      <c r="O5045" s="9" t="str">
        <f aca="false">HYPERLINK("https://pbs.twimg.com/profile_images/911168456481017856/juhz4EMl_normal.jpg","View")</f>
        <v>View</v>
      </c>
      <c r="P5045" s="10"/>
    </row>
    <row r="5046" customFormat="false" ht="15.75" hidden="false" customHeight="false" outlineLevel="0" collapsed="false">
      <c r="A5046" s="6" t="n">
        <v>43030.839375</v>
      </c>
      <c r="B5046" s="7" t="str">
        <f aca="false">HYPERLINK("https://twitter.com/The_MarkJohnson","@The_MarkJohnson")</f>
        <v>@The_MarkJohnson</v>
      </c>
      <c r="C5046" s="8" t="s">
        <v>11845</v>
      </c>
      <c r="D5046" s="8" t="s">
        <v>11846</v>
      </c>
      <c r="E5046" s="9" t="str">
        <f aca="false">HYPERLINK("https://twitter.com/The_MarkJohnson/status/922298710523916288","922298710523916288")</f>
        <v>922298710523916288</v>
      </c>
      <c r="F5046" s="10" t="s">
        <v>39</v>
      </c>
      <c r="G5046" s="10" t="n">
        <v>4447</v>
      </c>
      <c r="H5046" s="10" t="n">
        <v>4383</v>
      </c>
      <c r="I5046" s="10" t="n">
        <v>0</v>
      </c>
      <c r="J5046" s="10" t="n">
        <v>0</v>
      </c>
      <c r="K5046" s="10" t="s">
        <v>20</v>
      </c>
      <c r="L5046" s="11" t="n">
        <v>40474.869212963</v>
      </c>
      <c r="M5046" s="12" t="s">
        <v>11847</v>
      </c>
      <c r="N5046" s="12" t="s">
        <v>11848</v>
      </c>
      <c r="O5046" s="9" t="str">
        <f aca="false">HYPERLINK("https://pbs.twimg.com/profile_images/715290493836328960/qs3h3WaD_normal.jpg","View")</f>
        <v>View</v>
      </c>
      <c r="P5046" s="10"/>
    </row>
    <row r="5047" customFormat="false" ht="15.75" hidden="false" customHeight="false" outlineLevel="0" collapsed="false">
      <c r="A5047" s="6" t="n">
        <v>43030.8394097222</v>
      </c>
      <c r="B5047" s="7" t="str">
        <f aca="false">HYPERLINK("https://twitter.com/Synergyspeak","@Synergyspeak")</f>
        <v>@Synergyspeak</v>
      </c>
      <c r="C5047" s="8" t="s">
        <v>11849</v>
      </c>
      <c r="D5047" s="8" t="s">
        <v>6558</v>
      </c>
      <c r="E5047" s="9" t="str">
        <f aca="false">HYPERLINK("https://twitter.com/Synergyspeak/status/922298723383746561","922298723383746561")</f>
        <v>922298723383746561</v>
      </c>
      <c r="F5047" s="10" t="s">
        <v>98</v>
      </c>
      <c r="G5047" s="10" t="n">
        <v>508</v>
      </c>
      <c r="H5047" s="10" t="n">
        <v>177</v>
      </c>
      <c r="I5047" s="10" t="n">
        <v>65</v>
      </c>
      <c r="J5047" s="10" t="n">
        <v>0</v>
      </c>
      <c r="K5047" s="10" t="s">
        <v>20</v>
      </c>
      <c r="L5047" s="11" t="n">
        <v>42067.9142824074</v>
      </c>
      <c r="M5047" s="12" t="s">
        <v>72</v>
      </c>
      <c r="N5047" s="12" t="s">
        <v>11850</v>
      </c>
      <c r="O5047" s="9" t="str">
        <f aca="false">HYPERLINK("https://pbs.twimg.com/profile_images/922834499599089664/46cMtJeQ_normal.jpg","View")</f>
        <v>View</v>
      </c>
      <c r="P5047" s="10"/>
    </row>
    <row r="5048" customFormat="false" ht="15.75" hidden="false" customHeight="false" outlineLevel="0" collapsed="false">
      <c r="A5048" s="6" t="n">
        <v>43030.8394791667</v>
      </c>
      <c r="B5048" s="7" t="str">
        <f aca="false">HYPERLINK("https://twitter.com/ajaypillay06","@ajaypillay06")</f>
        <v>@ajaypillay06</v>
      </c>
      <c r="C5048" s="8" t="s">
        <v>11851</v>
      </c>
      <c r="D5048" s="8" t="s">
        <v>8538</v>
      </c>
      <c r="E5048" s="9" t="str">
        <f aca="false">HYPERLINK("https://twitter.com/ajaypillay06/status/922298747819663360","922298747819663360")</f>
        <v>922298747819663360</v>
      </c>
      <c r="F5048" s="10" t="s">
        <v>51</v>
      </c>
      <c r="G5048" s="10" t="n">
        <v>703</v>
      </c>
      <c r="H5048" s="10" t="n">
        <v>1345</v>
      </c>
      <c r="I5048" s="10" t="n">
        <v>1015</v>
      </c>
      <c r="J5048" s="10" t="n">
        <v>0</v>
      </c>
      <c r="K5048" s="10" t="s">
        <v>20</v>
      </c>
      <c r="L5048" s="11" t="n">
        <v>39907.533900463</v>
      </c>
      <c r="M5048" s="12"/>
      <c r="N5048" s="12"/>
      <c r="O5048" s="9" t="str">
        <f aca="false">HYPERLINK("https://pbs.twimg.com/profile_images/2665158577/f39fe5600f975e827f0b4b4b7d252de0_normal.jpeg","View")</f>
        <v>View</v>
      </c>
      <c r="P5048" s="10"/>
    </row>
    <row r="5049" customFormat="false" ht="15.75" hidden="false" customHeight="false" outlineLevel="0" collapsed="false">
      <c r="A5049" s="6" t="n">
        <v>43030.8397106482</v>
      </c>
      <c r="B5049" s="7" t="str">
        <f aca="false">HYPERLINK("https://twitter.com/dame____","@dame____")</f>
        <v>@dame____</v>
      </c>
      <c r="C5049" s="8" t="s">
        <v>11852</v>
      </c>
      <c r="D5049" s="8" t="s">
        <v>11033</v>
      </c>
      <c r="E5049" s="9" t="str">
        <f aca="false">HYPERLINK("https://twitter.com/dame____/status/922298830728466432","922298830728466432")</f>
        <v>922298830728466432</v>
      </c>
      <c r="F5049" s="10" t="s">
        <v>25</v>
      </c>
      <c r="G5049" s="10" t="n">
        <v>948</v>
      </c>
      <c r="H5049" s="10" t="n">
        <v>494</v>
      </c>
      <c r="I5049" s="10" t="n">
        <v>60</v>
      </c>
      <c r="J5049" s="10" t="n">
        <v>0</v>
      </c>
      <c r="K5049" s="10" t="s">
        <v>20</v>
      </c>
      <c r="L5049" s="11" t="n">
        <v>40088.8003819444</v>
      </c>
      <c r="M5049" s="12" t="s">
        <v>1371</v>
      </c>
      <c r="N5049" s="12" t="s">
        <v>11853</v>
      </c>
      <c r="O5049" s="9" t="str">
        <f aca="false">HYPERLINK("https://pbs.twimg.com/profile_images/918032671023890432/SaNYeZRI_normal.jpg","View")</f>
        <v>View</v>
      </c>
      <c r="P5049" s="10"/>
    </row>
    <row r="5050" customFormat="false" ht="15.75" hidden="false" customHeight="false" outlineLevel="0" collapsed="false">
      <c r="A5050" s="6" t="n">
        <v>43030.840474537</v>
      </c>
      <c r="B5050" s="7" t="str">
        <f aca="false">HYPERLINK("https://twitter.com/anuuragj","@anuuragj")</f>
        <v>@anuuragj</v>
      </c>
      <c r="C5050" s="8" t="s">
        <v>11854</v>
      </c>
      <c r="D5050" s="8" t="s">
        <v>8538</v>
      </c>
      <c r="E5050" s="9" t="str">
        <f aca="false">HYPERLINK("https://twitter.com/anuuragj/status/922299107598680066","922299107598680066")</f>
        <v>922299107598680066</v>
      </c>
      <c r="F5050" s="10" t="s">
        <v>25</v>
      </c>
      <c r="G5050" s="10" t="n">
        <v>34</v>
      </c>
      <c r="H5050" s="10" t="n">
        <v>265</v>
      </c>
      <c r="I5050" s="10" t="n">
        <v>1015</v>
      </c>
      <c r="J5050" s="10" t="n">
        <v>0</v>
      </c>
      <c r="K5050" s="10" t="s">
        <v>20</v>
      </c>
      <c r="L5050" s="11" t="n">
        <v>42948.937349537</v>
      </c>
      <c r="M5050" s="12"/>
      <c r="N5050" s="12"/>
      <c r="O5050" s="9" t="str">
        <f aca="false">HYPERLINK("https://abs.twimg.com/sticky/default_profile_images/default_profile_normal.png","View")</f>
        <v>View</v>
      </c>
      <c r="P5050" s="10"/>
    </row>
    <row r="5051" customFormat="false" ht="15.75" hidden="false" customHeight="false" outlineLevel="0" collapsed="false">
      <c r="A5051" s="6" t="n">
        <v>43030.8408217593</v>
      </c>
      <c r="B5051" s="7" t="str">
        <f aca="false">HYPERLINK("https://twitter.com/Bhavadasnkm","@Bhavadasnkm")</f>
        <v>@Bhavadasnkm</v>
      </c>
      <c r="C5051" s="8" t="s">
        <v>11855</v>
      </c>
      <c r="D5051" s="8" t="s">
        <v>8538</v>
      </c>
      <c r="E5051" s="9" t="str">
        <f aca="false">HYPERLINK("https://twitter.com/Bhavadasnkm/status/922299233193156608","922299233193156608")</f>
        <v>922299233193156608</v>
      </c>
      <c r="F5051" s="10" t="s">
        <v>39</v>
      </c>
      <c r="G5051" s="10" t="n">
        <v>247</v>
      </c>
      <c r="H5051" s="10" t="n">
        <v>574</v>
      </c>
      <c r="I5051" s="10" t="n">
        <v>1015</v>
      </c>
      <c r="J5051" s="10" t="n">
        <v>0</v>
      </c>
      <c r="K5051" s="10" t="s">
        <v>20</v>
      </c>
      <c r="L5051" s="11" t="n">
        <v>40895.4074421296</v>
      </c>
      <c r="M5051" s="12"/>
      <c r="N5051" s="12" t="s">
        <v>11856</v>
      </c>
      <c r="O5051" s="9" t="str">
        <f aca="false">HYPERLINK("https://pbs.twimg.com/profile_images/707029831372812288/SjpXDpu8_normal.jpg","View")</f>
        <v>View</v>
      </c>
      <c r="P5051" s="10"/>
    </row>
    <row r="5052" customFormat="false" ht="15.75" hidden="false" customHeight="false" outlineLevel="0" collapsed="false">
      <c r="A5052" s="6" t="n">
        <v>43030.8412268519</v>
      </c>
      <c r="B5052" s="7" t="str">
        <f aca="false">HYPERLINK("https://twitter.com/rpandya72","@rpandya72")</f>
        <v>@rpandya72</v>
      </c>
      <c r="C5052" s="8" t="s">
        <v>9655</v>
      </c>
      <c r="D5052" s="8" t="s">
        <v>11815</v>
      </c>
      <c r="E5052" s="9" t="str">
        <f aca="false">HYPERLINK("https://twitter.com/rpandya72/status/922299380253597696","922299380253597696")</f>
        <v>922299380253597696</v>
      </c>
      <c r="F5052" s="10" t="s">
        <v>2620</v>
      </c>
      <c r="G5052" s="10" t="n">
        <v>741</v>
      </c>
      <c r="H5052" s="10" t="n">
        <v>783</v>
      </c>
      <c r="I5052" s="10" t="n">
        <v>8</v>
      </c>
      <c r="J5052" s="10" t="n">
        <v>0</v>
      </c>
      <c r="K5052" s="10" t="s">
        <v>20</v>
      </c>
      <c r="L5052" s="11" t="n">
        <v>40184.4344328704</v>
      </c>
      <c r="M5052" s="12" t="s">
        <v>9656</v>
      </c>
      <c r="N5052" s="12" t="s">
        <v>9657</v>
      </c>
      <c r="O5052" s="9" t="str">
        <f aca="false">HYPERLINK("https://pbs.twimg.com/profile_images/749300891916832768/1j6CkS3H_normal.jpg","View")</f>
        <v>View</v>
      </c>
      <c r="P5052" s="10"/>
    </row>
    <row r="5053" customFormat="false" ht="15.75" hidden="false" customHeight="false" outlineLevel="0" collapsed="false">
      <c r="A5053" s="6" t="n">
        <v>43030.8414699074</v>
      </c>
      <c r="B5053" s="7" t="str">
        <f aca="false">HYPERLINK("https://twitter.com/RaghuTragghu","@RaghuTragghu")</f>
        <v>@RaghuTragghu</v>
      </c>
      <c r="C5053" s="8" t="s">
        <v>11857</v>
      </c>
      <c r="D5053" s="8" t="s">
        <v>11815</v>
      </c>
      <c r="E5053" s="9" t="str">
        <f aca="false">HYPERLINK("https://twitter.com/RaghuTragghu/status/922299468753416193","922299468753416193")</f>
        <v>922299468753416193</v>
      </c>
      <c r="F5053" s="10" t="s">
        <v>25</v>
      </c>
      <c r="G5053" s="10" t="n">
        <v>1076</v>
      </c>
      <c r="H5053" s="10" t="n">
        <v>812</v>
      </c>
      <c r="I5053" s="10" t="n">
        <v>8</v>
      </c>
      <c r="J5053" s="10" t="n">
        <v>0</v>
      </c>
      <c r="K5053" s="10" t="s">
        <v>20</v>
      </c>
      <c r="L5053" s="11" t="n">
        <v>42217.0171527778</v>
      </c>
      <c r="M5053" s="12"/>
      <c r="N5053" s="12" t="s">
        <v>11858</v>
      </c>
      <c r="O5053" s="9" t="str">
        <f aca="false">HYPERLINK("https://pbs.twimg.com/profile_images/690837043325177856/lC_MyHda_normal.jpg","View")</f>
        <v>View</v>
      </c>
      <c r="P5053" s="10"/>
    </row>
    <row r="5054" customFormat="false" ht="15.75" hidden="false" customHeight="false" outlineLevel="0" collapsed="false">
      <c r="A5054" s="6" t="n">
        <v>43030.8418865741</v>
      </c>
      <c r="B5054" s="7" t="str">
        <f aca="false">HYPERLINK("https://twitter.com/knifetwirls","@knifetwirls")</f>
        <v>@knifetwirls</v>
      </c>
      <c r="C5054" s="8" t="s">
        <v>3437</v>
      </c>
      <c r="D5054" s="8" t="s">
        <v>11033</v>
      </c>
      <c r="E5054" s="9" t="str">
        <f aca="false">HYPERLINK("https://twitter.com/knifetwirls/status/922299621023666176","922299621023666176")</f>
        <v>922299621023666176</v>
      </c>
      <c r="F5054" s="10" t="s">
        <v>39</v>
      </c>
      <c r="G5054" s="10" t="n">
        <v>269</v>
      </c>
      <c r="H5054" s="10" t="n">
        <v>726</v>
      </c>
      <c r="I5054" s="10" t="n">
        <v>60</v>
      </c>
      <c r="J5054" s="10" t="n">
        <v>0</v>
      </c>
      <c r="K5054" s="10" t="s">
        <v>20</v>
      </c>
      <c r="L5054" s="11" t="n">
        <v>40233.1009143519</v>
      </c>
      <c r="M5054" s="12"/>
      <c r="N5054" s="12" t="s">
        <v>3439</v>
      </c>
      <c r="O5054" s="9" t="str">
        <f aca="false">HYPERLINK("https://pbs.twimg.com/profile_images/614390641422774274/CPbxUGcW_normal.png","View")</f>
        <v>View</v>
      </c>
      <c r="P5054" s="10"/>
    </row>
    <row r="5055" customFormat="false" ht="15.75" hidden="false" customHeight="false" outlineLevel="0" collapsed="false">
      <c r="A5055" s="6" t="n">
        <v>43030.8421759259</v>
      </c>
      <c r="B5055" s="7" t="str">
        <f aca="false">HYPERLINK("https://twitter.com/dww_k","@dww_k")</f>
        <v>@dww_k</v>
      </c>
      <c r="C5055" s="8" t="s">
        <v>11859</v>
      </c>
      <c r="D5055" s="8" t="s">
        <v>8538</v>
      </c>
      <c r="E5055" s="9" t="str">
        <f aca="false">HYPERLINK("https://twitter.com/dww_k/status/922299725264560128","922299725264560128")</f>
        <v>922299725264560128</v>
      </c>
      <c r="F5055" s="10" t="s">
        <v>25</v>
      </c>
      <c r="G5055" s="10" t="n">
        <v>69</v>
      </c>
      <c r="H5055" s="10" t="n">
        <v>175</v>
      </c>
      <c r="I5055" s="10" t="n">
        <v>1015</v>
      </c>
      <c r="J5055" s="10" t="n">
        <v>0</v>
      </c>
      <c r="K5055" s="10" t="s">
        <v>20</v>
      </c>
      <c r="L5055" s="11" t="n">
        <v>42048.1136458333</v>
      </c>
      <c r="M5055" s="12"/>
      <c r="N5055" s="12"/>
      <c r="O5055" s="9" t="str">
        <f aca="false">HYPERLINK("https://abs.twimg.com/sticky/default_profile_images/default_profile_normal.png","View")</f>
        <v>View</v>
      </c>
      <c r="P5055" s="10"/>
    </row>
    <row r="5056" customFormat="false" ht="15.75" hidden="false" customHeight="false" outlineLevel="0" collapsed="false">
      <c r="A5056" s="6" t="n">
        <v>43030.8423611111</v>
      </c>
      <c r="B5056" s="7" t="str">
        <f aca="false">HYPERLINK("https://twitter.com/ensine","@ensine")</f>
        <v>@ensine</v>
      </c>
      <c r="C5056" s="8" t="s">
        <v>11860</v>
      </c>
      <c r="D5056" s="8" t="s">
        <v>8538</v>
      </c>
      <c r="E5056" s="9" t="str">
        <f aca="false">HYPERLINK("https://twitter.com/ensine/status/922299792545296384","922299792545296384")</f>
        <v>922299792545296384</v>
      </c>
      <c r="F5056" s="10" t="s">
        <v>39</v>
      </c>
      <c r="G5056" s="10" t="n">
        <v>18522</v>
      </c>
      <c r="H5056" s="10" t="n">
        <v>3233</v>
      </c>
      <c r="I5056" s="10" t="n">
        <v>1015</v>
      </c>
      <c r="J5056" s="10" t="n">
        <v>0</v>
      </c>
      <c r="K5056" s="10" t="s">
        <v>20</v>
      </c>
      <c r="L5056" s="11" t="n">
        <v>40323.4873263889</v>
      </c>
      <c r="M5056" s="12"/>
      <c r="N5056" s="12" t="s">
        <v>11861</v>
      </c>
      <c r="O5056" s="9" t="str">
        <f aca="false">HYPERLINK("https://pbs.twimg.com/profile_images/765399134375325696/12ncFhzF_normal.jpg","View")</f>
        <v>View</v>
      </c>
      <c r="P5056" s="10"/>
    </row>
    <row r="5057" customFormat="false" ht="15.75" hidden="false" customHeight="false" outlineLevel="0" collapsed="false">
      <c r="A5057" s="6" t="n">
        <v>43030.8437268519</v>
      </c>
      <c r="B5057" s="7" t="str">
        <f aca="false">HYPERLINK("https://twitter.com/nebuer42","@nebuer42")</f>
        <v>@nebuer42</v>
      </c>
      <c r="C5057" s="8" t="s">
        <v>11862</v>
      </c>
      <c r="D5057" s="8" t="s">
        <v>11863</v>
      </c>
      <c r="E5057" s="9" t="str">
        <f aca="false">HYPERLINK("https://twitter.com/nebuer42/status/922300288337289217","922300288337289217")</f>
        <v>922300288337289217</v>
      </c>
      <c r="F5057" s="10" t="s">
        <v>51</v>
      </c>
      <c r="G5057" s="10" t="n">
        <v>1625</v>
      </c>
      <c r="H5057" s="10" t="n">
        <v>425</v>
      </c>
      <c r="I5057" s="10" t="n">
        <v>0</v>
      </c>
      <c r="J5057" s="10" t="n">
        <v>0</v>
      </c>
      <c r="K5057" s="10" t="s">
        <v>20</v>
      </c>
      <c r="L5057" s="11" t="n">
        <v>39984.6103240741</v>
      </c>
      <c r="M5057" s="12" t="s">
        <v>253</v>
      </c>
      <c r="N5057" s="12" t="s">
        <v>11864</v>
      </c>
      <c r="O5057" s="9" t="str">
        <f aca="false">HYPERLINK("https://pbs.twimg.com/profile_images/556210700276621312/otJdb78x_normal.jpeg","View")</f>
        <v>View</v>
      </c>
      <c r="P5057" s="10"/>
    </row>
    <row r="5058" customFormat="false" ht="15.75" hidden="false" customHeight="false" outlineLevel="0" collapsed="false">
      <c r="A5058" s="6" t="n">
        <v>43030.8438425926</v>
      </c>
      <c r="B5058" s="7" t="str">
        <f aca="false">HYPERLINK("https://twitter.com/thorntonah","@thorntonah")</f>
        <v>@thorntonah</v>
      </c>
      <c r="C5058" s="8" t="s">
        <v>11865</v>
      </c>
      <c r="D5058" s="8" t="s">
        <v>11866</v>
      </c>
      <c r="E5058" s="9" t="str">
        <f aca="false">HYPERLINK("https://twitter.com/thorntonah/status/922300329051353088","922300329051353088")</f>
        <v>922300329051353088</v>
      </c>
      <c r="F5058" s="9" t="s">
        <v>1147</v>
      </c>
      <c r="G5058" s="10" t="n">
        <v>4299</v>
      </c>
      <c r="H5058" s="10" t="n">
        <v>1624</v>
      </c>
      <c r="I5058" s="10" t="n">
        <v>0</v>
      </c>
      <c r="J5058" s="10" t="n">
        <v>0</v>
      </c>
      <c r="K5058" s="10" t="s">
        <v>20</v>
      </c>
      <c r="L5058" s="11" t="n">
        <v>39819.0238657407</v>
      </c>
      <c r="M5058" s="12" t="s">
        <v>11867</v>
      </c>
      <c r="N5058" s="12" t="s">
        <v>11868</v>
      </c>
      <c r="O5058" s="9" t="str">
        <f aca="false">HYPERLINK("https://pbs.twimg.com/profile_images/2651098918/3f684bb18cdbb066776f880a73867aea_normal.png","View")</f>
        <v>View</v>
      </c>
      <c r="P5058" s="10"/>
    </row>
    <row r="5059" customFormat="false" ht="15.75" hidden="false" customHeight="false" outlineLevel="0" collapsed="false">
      <c r="A5059" s="6" t="n">
        <v>43030.843900463</v>
      </c>
      <c r="B5059" s="7" t="str">
        <f aca="false">HYPERLINK("https://twitter.com/thorntonah","@thorntonah")</f>
        <v>@thorntonah</v>
      </c>
      <c r="C5059" s="8" t="s">
        <v>11865</v>
      </c>
      <c r="D5059" s="8" t="s">
        <v>11869</v>
      </c>
      <c r="E5059" s="9" t="str">
        <f aca="false">HYPERLINK("https://twitter.com/thorntonah/status/922300348324306945","922300348324306945")</f>
        <v>922300348324306945</v>
      </c>
      <c r="F5059" s="10" t="s">
        <v>47</v>
      </c>
      <c r="G5059" s="10" t="n">
        <v>4299</v>
      </c>
      <c r="H5059" s="10" t="n">
        <v>1624</v>
      </c>
      <c r="I5059" s="10" t="n">
        <v>0</v>
      </c>
      <c r="J5059" s="10" t="n">
        <v>0</v>
      </c>
      <c r="K5059" s="10" t="s">
        <v>20</v>
      </c>
      <c r="L5059" s="11" t="n">
        <v>39819.0238657407</v>
      </c>
      <c r="M5059" s="12" t="s">
        <v>11867</v>
      </c>
      <c r="N5059" s="12" t="s">
        <v>11868</v>
      </c>
      <c r="O5059" s="9" t="str">
        <f aca="false">HYPERLINK("https://pbs.twimg.com/profile_images/2651098918/3f684bb18cdbb066776f880a73867aea_normal.png","View")</f>
        <v>View</v>
      </c>
      <c r="P5059" s="10"/>
    </row>
    <row r="5060" customFormat="false" ht="15.75" hidden="false" customHeight="false" outlineLevel="0" collapsed="false">
      <c r="A5060" s="6" t="n">
        <v>43030.8439930556</v>
      </c>
      <c r="B5060" s="7" t="str">
        <f aca="false">HYPERLINK("https://twitter.com/thorntonah","@thorntonah")</f>
        <v>@thorntonah</v>
      </c>
      <c r="C5060" s="8" t="s">
        <v>11865</v>
      </c>
      <c r="D5060" s="8" t="s">
        <v>11870</v>
      </c>
      <c r="E5060" s="9" t="str">
        <f aca="false">HYPERLINK("https://twitter.com/thorntonah/status/922300381312503808","922300381312503808")</f>
        <v>922300381312503808</v>
      </c>
      <c r="F5060" s="10" t="s">
        <v>47</v>
      </c>
      <c r="G5060" s="10" t="n">
        <v>4299</v>
      </c>
      <c r="H5060" s="10" t="n">
        <v>1624</v>
      </c>
      <c r="I5060" s="10" t="n">
        <v>0</v>
      </c>
      <c r="J5060" s="10" t="n">
        <v>0</v>
      </c>
      <c r="K5060" s="10" t="s">
        <v>20</v>
      </c>
      <c r="L5060" s="11" t="n">
        <v>39819.0238657407</v>
      </c>
      <c r="M5060" s="12" t="s">
        <v>11867</v>
      </c>
      <c r="N5060" s="12" t="s">
        <v>11868</v>
      </c>
      <c r="O5060" s="9" t="str">
        <f aca="false">HYPERLINK("https://pbs.twimg.com/profile_images/2651098918/3f684bb18cdbb066776f880a73867aea_normal.png","View")</f>
        <v>View</v>
      </c>
      <c r="P5060" s="10"/>
    </row>
    <row r="5061" customFormat="false" ht="15.75" hidden="false" customHeight="false" outlineLevel="0" collapsed="false">
      <c r="A5061" s="6" t="n">
        <v>43030.844224537</v>
      </c>
      <c r="B5061" s="7" t="str">
        <f aca="false">HYPERLINK("https://twitter.com/ENIN_NewsWaver","@ENIN_NewsWaver")</f>
        <v>@ENIN_NewsWaver</v>
      </c>
      <c r="C5061" s="8" t="s">
        <v>11871</v>
      </c>
      <c r="D5061" s="8" t="s">
        <v>11872</v>
      </c>
      <c r="E5061" s="9" t="str">
        <f aca="false">HYPERLINK("https://twitter.com/ENIN_NewsWaver/status/922300467790663680","922300467790663680")</f>
        <v>922300467790663680</v>
      </c>
      <c r="F5061" s="10" t="s">
        <v>110</v>
      </c>
      <c r="G5061" s="10" t="n">
        <v>989</v>
      </c>
      <c r="H5061" s="10" t="n">
        <v>861</v>
      </c>
      <c r="I5061" s="10" t="n">
        <v>0</v>
      </c>
      <c r="J5061" s="10" t="n">
        <v>0</v>
      </c>
      <c r="K5061" s="10" t="s">
        <v>20</v>
      </c>
      <c r="L5061" s="11" t="n">
        <v>41364.7952893519</v>
      </c>
      <c r="M5061" s="12" t="s">
        <v>72</v>
      </c>
      <c r="N5061" s="12" t="s">
        <v>11873</v>
      </c>
      <c r="O5061" s="9" t="str">
        <f aca="false">HYPERLINK("https://pbs.twimg.com/profile_images/3459327406/8b6685fccc316b16e9068018639c7d6a_normal.png","View")</f>
        <v>View</v>
      </c>
      <c r="P5061" s="10"/>
    </row>
    <row r="5062" customFormat="false" ht="15.75" hidden="false" customHeight="false" outlineLevel="0" collapsed="false">
      <c r="A5062" s="6" t="n">
        <v>43030.8445717593</v>
      </c>
      <c r="B5062" s="7" t="str">
        <f aca="false">HYPERLINK("https://twitter.com/CafeMalacca","@CafeMalacca")</f>
        <v>@CafeMalacca</v>
      </c>
      <c r="C5062" s="14" t="s">
        <v>11874</v>
      </c>
      <c r="D5062" s="8" t="s">
        <v>11284</v>
      </c>
      <c r="E5062" s="9" t="str">
        <f aca="false">HYPERLINK("https://twitter.com/CafeMalacca/status/922300591514120193","922300591514120193")</f>
        <v>922300591514120193</v>
      </c>
      <c r="F5062" s="10" t="s">
        <v>51</v>
      </c>
      <c r="G5062" s="10" t="n">
        <v>3898</v>
      </c>
      <c r="H5062" s="10" t="n">
        <v>4971</v>
      </c>
      <c r="I5062" s="10" t="n">
        <v>41</v>
      </c>
      <c r="J5062" s="10" t="n">
        <v>0</v>
      </c>
      <c r="K5062" s="10" t="s">
        <v>20</v>
      </c>
      <c r="L5062" s="11" t="n">
        <v>41486.2669675926</v>
      </c>
      <c r="M5062" s="13" t="s">
        <v>11875</v>
      </c>
      <c r="N5062" s="13" t="s">
        <v>11876</v>
      </c>
      <c r="O5062" s="9" t="str">
        <f aca="false">HYPERLINK("https://pbs.twimg.com/profile_images/891858223887654914/gEda_cLI_normal.jpg","View")</f>
        <v>View</v>
      </c>
      <c r="P5062" s="10"/>
    </row>
    <row r="5063" customFormat="false" ht="15.75" hidden="false" customHeight="false" outlineLevel="0" collapsed="false">
      <c r="A5063" s="6" t="n">
        <v>43030.8446296296</v>
      </c>
      <c r="B5063" s="7" t="str">
        <f aca="false">HYPERLINK("https://twitter.com/csjahgirdaar","@csjahgirdaar")</f>
        <v>@csjahgirdaar</v>
      </c>
      <c r="C5063" s="8" t="s">
        <v>11877</v>
      </c>
      <c r="D5063" s="8" t="s">
        <v>8538</v>
      </c>
      <c r="E5063" s="9" t="str">
        <f aca="false">HYPERLINK("https://twitter.com/csjahgirdaar/status/922300611873222656","922300611873222656")</f>
        <v>922300611873222656</v>
      </c>
      <c r="F5063" s="10" t="s">
        <v>25</v>
      </c>
      <c r="G5063" s="10" t="n">
        <v>510</v>
      </c>
      <c r="H5063" s="10" t="n">
        <v>237</v>
      </c>
      <c r="I5063" s="10" t="n">
        <v>1015</v>
      </c>
      <c r="J5063" s="10" t="n">
        <v>0</v>
      </c>
      <c r="K5063" s="10" t="s">
        <v>20</v>
      </c>
      <c r="L5063" s="11" t="n">
        <v>41857.0859143519</v>
      </c>
      <c r="M5063" s="12"/>
      <c r="N5063" s="12"/>
      <c r="O5063" s="9" t="str">
        <f aca="false">HYPERLINK("https://pbs.twimg.com/profile_images/496956052106010624/kCrx9XYr_normal.jpeg","View")</f>
        <v>View</v>
      </c>
      <c r="P5063" s="10"/>
    </row>
    <row r="5064" customFormat="false" ht="15.75" hidden="false" customHeight="false" outlineLevel="0" collapsed="false">
      <c r="A5064" s="6" t="n">
        <v>43030.8450694445</v>
      </c>
      <c r="B5064" s="7" t="str">
        <f aca="false">HYPERLINK("https://twitter.com/Digvijay_Samy","@Digvijay_Samy")</f>
        <v>@Digvijay_Samy</v>
      </c>
      <c r="C5064" s="8" t="s">
        <v>11878</v>
      </c>
      <c r="D5064" s="8" t="s">
        <v>11815</v>
      </c>
      <c r="E5064" s="9" t="str">
        <f aca="false">HYPERLINK("https://twitter.com/Digvijay_Samy/status/922300774566133760","922300774566133760")</f>
        <v>922300774566133760</v>
      </c>
      <c r="F5064" s="10" t="s">
        <v>25</v>
      </c>
      <c r="G5064" s="10" t="n">
        <v>172</v>
      </c>
      <c r="H5064" s="10" t="n">
        <v>108</v>
      </c>
      <c r="I5064" s="10" t="n">
        <v>8</v>
      </c>
      <c r="J5064" s="10" t="n">
        <v>0</v>
      </c>
      <c r="K5064" s="10" t="s">
        <v>20</v>
      </c>
      <c r="L5064" s="11" t="n">
        <v>40258.2565625</v>
      </c>
      <c r="M5064" s="12"/>
      <c r="N5064" s="12" t="s">
        <v>11879</v>
      </c>
      <c r="O5064" s="9" t="str">
        <f aca="false">HYPERLINK("https://pbs.twimg.com/profile_images/909351774208770053/SfW0LdjX_normal.jpg","View")</f>
        <v>View</v>
      </c>
      <c r="P5064" s="10"/>
    </row>
    <row r="5065" customFormat="false" ht="15.75" hidden="false" customHeight="false" outlineLevel="0" collapsed="false">
      <c r="A5065" s="6" t="n">
        <v>43030.8453009259</v>
      </c>
      <c r="B5065" s="7" t="str">
        <f aca="false">HYPERLINK("https://twitter.com/madhvithakurr","@madhvithakurr")</f>
        <v>@madhvithakurr</v>
      </c>
      <c r="C5065" s="8" t="s">
        <v>11880</v>
      </c>
      <c r="D5065" s="8" t="s">
        <v>8538</v>
      </c>
      <c r="E5065" s="9" t="str">
        <f aca="false">HYPERLINK("https://twitter.com/madhvithakurr/status/922300857537871873","922300857537871873")</f>
        <v>922300857537871873</v>
      </c>
      <c r="F5065" s="10" t="s">
        <v>25</v>
      </c>
      <c r="G5065" s="10" t="n">
        <v>1760</v>
      </c>
      <c r="H5065" s="10" t="n">
        <v>1305</v>
      </c>
      <c r="I5065" s="10" t="n">
        <v>1015</v>
      </c>
      <c r="J5065" s="10" t="n">
        <v>0</v>
      </c>
      <c r="K5065" s="10" t="s">
        <v>20</v>
      </c>
      <c r="L5065" s="11" t="n">
        <v>42077.0060648148</v>
      </c>
      <c r="M5065" s="12" t="s">
        <v>11881</v>
      </c>
      <c r="N5065" s="12" t="s">
        <v>11882</v>
      </c>
      <c r="O5065" s="9" t="str">
        <f aca="false">HYPERLINK("https://pbs.twimg.com/profile_images/921310997213863936/kE_XNPEA_normal.jpg","View")</f>
        <v>View</v>
      </c>
      <c r="P5065" s="10"/>
    </row>
    <row r="5066" customFormat="false" ht="15.75" hidden="false" customHeight="false" outlineLevel="0" collapsed="false">
      <c r="A5066" s="6" t="n">
        <v>43030.8454166667</v>
      </c>
      <c r="B5066" s="7" t="str">
        <f aca="false">HYPERLINK("https://twitter.com/brazen_dude","@brazen_dude")</f>
        <v>@brazen_dude</v>
      </c>
      <c r="C5066" s="8" t="s">
        <v>11883</v>
      </c>
      <c r="D5066" s="8" t="s">
        <v>8538</v>
      </c>
      <c r="E5066" s="9" t="str">
        <f aca="false">HYPERLINK("https://twitter.com/brazen_dude/status/922300900085063680","922300900085063680")</f>
        <v>922300900085063680</v>
      </c>
      <c r="F5066" s="10" t="s">
        <v>25</v>
      </c>
      <c r="G5066" s="10" t="n">
        <v>57</v>
      </c>
      <c r="H5066" s="10" t="n">
        <v>814</v>
      </c>
      <c r="I5066" s="10" t="n">
        <v>1015</v>
      </c>
      <c r="J5066" s="10" t="n">
        <v>0</v>
      </c>
      <c r="K5066" s="10" t="s">
        <v>20</v>
      </c>
      <c r="L5066" s="11" t="n">
        <v>39917.0358796296</v>
      </c>
      <c r="M5066" s="12"/>
      <c r="N5066" s="12" t="s">
        <v>11884</v>
      </c>
      <c r="O5066" s="9" t="str">
        <f aca="false">HYPERLINK("https://abs.twimg.com/sticky/default_profile_images/default_profile_normal.png","View")</f>
        <v>View</v>
      </c>
      <c r="P5066" s="10"/>
    </row>
    <row r="5067" customFormat="false" ht="15.75" hidden="false" customHeight="false" outlineLevel="0" collapsed="false">
      <c r="A5067" s="6" t="n">
        <v>43030.8461226852</v>
      </c>
      <c r="B5067" s="7" t="str">
        <f aca="false">HYPERLINK("https://twitter.com/santoshks","@santoshks")</f>
        <v>@santoshks</v>
      </c>
      <c r="C5067" s="8" t="s">
        <v>11885</v>
      </c>
      <c r="D5067" s="8" t="s">
        <v>8538</v>
      </c>
      <c r="E5067" s="9" t="str">
        <f aca="false">HYPERLINK("https://twitter.com/santoshks/status/922301153437552641","922301153437552641")</f>
        <v>922301153437552641</v>
      </c>
      <c r="F5067" s="10" t="s">
        <v>25</v>
      </c>
      <c r="G5067" s="10" t="n">
        <v>21</v>
      </c>
      <c r="H5067" s="10" t="n">
        <v>312</v>
      </c>
      <c r="I5067" s="10" t="n">
        <v>1015</v>
      </c>
      <c r="J5067" s="10" t="n">
        <v>0</v>
      </c>
      <c r="K5067" s="10" t="s">
        <v>20</v>
      </c>
      <c r="L5067" s="11" t="n">
        <v>39896.1298032407</v>
      </c>
      <c r="M5067" s="12" t="s">
        <v>868</v>
      </c>
      <c r="N5067" s="12"/>
      <c r="O5067" s="9" t="str">
        <f aca="false">HYPERLINK("https://abs.twimg.com/sticky/default_profile_images/default_profile_normal.png","View")</f>
        <v>View</v>
      </c>
      <c r="P5067" s="10"/>
    </row>
    <row r="5068" customFormat="false" ht="15.75" hidden="false" customHeight="false" outlineLevel="0" collapsed="false">
      <c r="A5068" s="6" t="n">
        <v>43030.8462384259</v>
      </c>
      <c r="B5068" s="7" t="str">
        <f aca="false">HYPERLINK("https://twitter.com/ps57","@ps57")</f>
        <v>@ps57</v>
      </c>
      <c r="C5068" s="8" t="s">
        <v>11886</v>
      </c>
      <c r="D5068" s="8" t="s">
        <v>8538</v>
      </c>
      <c r="E5068" s="9" t="str">
        <f aca="false">HYPERLINK("https://twitter.com/ps57/status/922301194898247680","922301194898247680")</f>
        <v>922301194898247680</v>
      </c>
      <c r="F5068" s="10" t="s">
        <v>25</v>
      </c>
      <c r="G5068" s="10" t="n">
        <v>863</v>
      </c>
      <c r="H5068" s="10" t="n">
        <v>4077</v>
      </c>
      <c r="I5068" s="10" t="n">
        <v>1015</v>
      </c>
      <c r="J5068" s="10" t="n">
        <v>0</v>
      </c>
      <c r="K5068" s="10" t="s">
        <v>20</v>
      </c>
      <c r="L5068" s="11" t="n">
        <v>40032.9758564815</v>
      </c>
      <c r="M5068" s="12" t="s">
        <v>11887</v>
      </c>
      <c r="N5068" s="12" t="s">
        <v>11888</v>
      </c>
      <c r="O5068" s="9" t="str">
        <f aca="false">HYPERLINK("https://pbs.twimg.com/profile_images/676653308950409216/b7yOw_tg_normal.jpg","View")</f>
        <v>View</v>
      </c>
      <c r="P5068" s="10"/>
    </row>
    <row r="5069" customFormat="false" ht="15.75" hidden="false" customHeight="false" outlineLevel="0" collapsed="false">
      <c r="A5069" s="6" t="n">
        <v>43030.84625</v>
      </c>
      <c r="B5069" s="7" t="str">
        <f aca="false">HYPERLINK("https://twitter.com/isumitksinha","@isumitksinha")</f>
        <v>@isumitksinha</v>
      </c>
      <c r="C5069" s="8" t="s">
        <v>855</v>
      </c>
      <c r="D5069" s="8" t="s">
        <v>11889</v>
      </c>
      <c r="E5069" s="9" t="str">
        <f aca="false">HYPERLINK("https://twitter.com/isumitksinha/status/922301199956824065","922301199956824065")</f>
        <v>922301199956824065</v>
      </c>
      <c r="F5069" s="10" t="s">
        <v>55</v>
      </c>
      <c r="G5069" s="10" t="n">
        <v>821</v>
      </c>
      <c r="H5069" s="10" t="n">
        <v>110</v>
      </c>
      <c r="I5069" s="10" t="n">
        <v>0</v>
      </c>
      <c r="J5069" s="10" t="n">
        <v>0</v>
      </c>
      <c r="K5069" s="10" t="s">
        <v>20</v>
      </c>
      <c r="L5069" s="11" t="n">
        <v>40211.2578125</v>
      </c>
      <c r="M5069" s="12" t="s">
        <v>857</v>
      </c>
      <c r="N5069" s="12" t="s">
        <v>858</v>
      </c>
      <c r="O5069" s="9" t="str">
        <f aca="false">HYPERLINK("https://pbs.twimg.com/profile_images/662292972654870528/N3kLvWAZ_normal.jpg","View")</f>
        <v>View</v>
      </c>
      <c r="P5069" s="10"/>
    </row>
    <row r="5070" customFormat="false" ht="15.75" hidden="false" customHeight="false" outlineLevel="0" collapsed="false">
      <c r="A5070" s="6" t="n">
        <v>43030.8466550926</v>
      </c>
      <c r="B5070" s="7" t="str">
        <f aca="false">HYPERLINK("https://twitter.com/mlgmario217","@mlgmario217")</f>
        <v>@mlgmario217</v>
      </c>
      <c r="C5070" s="8" t="s">
        <v>11890</v>
      </c>
      <c r="D5070" s="8" t="s">
        <v>11033</v>
      </c>
      <c r="E5070" s="9" t="str">
        <f aca="false">HYPERLINK("https://twitter.com/mlgmario217/status/922301347155857408","922301347155857408")</f>
        <v>922301347155857408</v>
      </c>
      <c r="F5070" s="10" t="s">
        <v>51</v>
      </c>
      <c r="G5070" s="10" t="n">
        <v>166</v>
      </c>
      <c r="H5070" s="10" t="n">
        <v>514</v>
      </c>
      <c r="I5070" s="10" t="n">
        <v>60</v>
      </c>
      <c r="J5070" s="10" t="n">
        <v>0</v>
      </c>
      <c r="K5070" s="10" t="s">
        <v>20</v>
      </c>
      <c r="L5070" s="11" t="n">
        <v>42164.5597916667</v>
      </c>
      <c r="M5070" s="12" t="s">
        <v>502</v>
      </c>
      <c r="N5070" s="12"/>
      <c r="O5070" s="9" t="str">
        <f aca="false">HYPERLINK("https://pbs.twimg.com/profile_images/759642867950166016/HZNPaGhW_normal.jpg","View")</f>
        <v>View</v>
      </c>
      <c r="P5070" s="10"/>
    </row>
    <row r="5071" customFormat="false" ht="15.75" hidden="false" customHeight="false" outlineLevel="0" collapsed="false">
      <c r="A5071" s="6" t="n">
        <v>43030.8467592593</v>
      </c>
      <c r="B5071" s="7" t="str">
        <f aca="false">HYPERLINK("https://twitter.com/SAMURAI4JP","@SAMURAI4JP")</f>
        <v>@SAMURAI4JP</v>
      </c>
      <c r="C5071" s="14" t="s">
        <v>11891</v>
      </c>
      <c r="D5071" s="8" t="s">
        <v>11418</v>
      </c>
      <c r="E5071" s="9" t="str">
        <f aca="false">HYPERLINK("https://twitter.com/SAMURAI4JP/status/922301387060346881","922301387060346881")</f>
        <v>922301387060346881</v>
      </c>
      <c r="F5071" s="10" t="s">
        <v>25</v>
      </c>
      <c r="G5071" s="10" t="n">
        <v>2659</v>
      </c>
      <c r="H5071" s="10" t="n">
        <v>2670</v>
      </c>
      <c r="I5071" s="10" t="n">
        <v>38</v>
      </c>
      <c r="J5071" s="10" t="n">
        <v>0</v>
      </c>
      <c r="K5071" s="10" t="s">
        <v>20</v>
      </c>
      <c r="L5071" s="11" t="n">
        <v>42232.0063541667</v>
      </c>
      <c r="M5071" s="12"/>
      <c r="N5071" s="13" t="s">
        <v>11892</v>
      </c>
      <c r="O5071" s="9" t="str">
        <f aca="false">HYPERLINK("https://pbs.twimg.com/profile_images/923811476481097728/SgVKNOnn_normal.jpg","View")</f>
        <v>View</v>
      </c>
      <c r="P5071" s="10"/>
    </row>
    <row r="5072" customFormat="false" ht="15.75" hidden="false" customHeight="false" outlineLevel="0" collapsed="false">
      <c r="A5072" s="6" t="n">
        <v>43030.8468634259</v>
      </c>
      <c r="B5072" s="7" t="str">
        <f aca="false">HYPERLINK("https://twitter.com/sven_gradolny","@sven_gradolny")</f>
        <v>@sven_gradolny</v>
      </c>
      <c r="C5072" s="8" t="s">
        <v>11841</v>
      </c>
      <c r="D5072" s="8" t="s">
        <v>2061</v>
      </c>
      <c r="E5072" s="9" t="str">
        <f aca="false">HYPERLINK("https://twitter.com/sven_gradolny/status/922301421520900096","922301421520900096")</f>
        <v>922301421520900096</v>
      </c>
      <c r="F5072" s="10" t="s">
        <v>11842</v>
      </c>
      <c r="G5072" s="10" t="n">
        <v>430</v>
      </c>
      <c r="H5072" s="10" t="n">
        <v>1949</v>
      </c>
      <c r="I5072" s="10" t="n">
        <v>12</v>
      </c>
      <c r="J5072" s="10" t="n">
        <v>0</v>
      </c>
      <c r="K5072" s="10" t="s">
        <v>20</v>
      </c>
      <c r="L5072" s="11" t="n">
        <v>43000.121099537</v>
      </c>
      <c r="M5072" s="12" t="s">
        <v>11843</v>
      </c>
      <c r="N5072" s="12" t="s">
        <v>11844</v>
      </c>
      <c r="O5072" s="9" t="str">
        <f aca="false">HYPERLINK("https://pbs.twimg.com/profile_images/911168456481017856/juhz4EMl_normal.jpg","View")</f>
        <v>View</v>
      </c>
      <c r="P5072" s="10"/>
    </row>
    <row r="5073" customFormat="false" ht="15.75" hidden="false" customHeight="false" outlineLevel="0" collapsed="false">
      <c r="A5073" s="6" t="n">
        <v>43030.846875</v>
      </c>
      <c r="B5073" s="7" t="str">
        <f aca="false">HYPERLINK("https://twitter.com/ram_nithya","@ram_nithya")</f>
        <v>@ram_nithya</v>
      </c>
      <c r="C5073" s="8" t="s">
        <v>11893</v>
      </c>
      <c r="D5073" s="8" t="s">
        <v>8538</v>
      </c>
      <c r="E5073" s="9" t="str">
        <f aca="false">HYPERLINK("https://twitter.com/ram_nithya/status/922301429062164480","922301429062164480")</f>
        <v>922301429062164480</v>
      </c>
      <c r="F5073" s="10" t="s">
        <v>98</v>
      </c>
      <c r="G5073" s="10" t="n">
        <v>50</v>
      </c>
      <c r="H5073" s="10" t="n">
        <v>113</v>
      </c>
      <c r="I5073" s="10" t="n">
        <v>1015</v>
      </c>
      <c r="J5073" s="10" t="n">
        <v>0</v>
      </c>
      <c r="K5073" s="10" t="s">
        <v>20</v>
      </c>
      <c r="L5073" s="11" t="n">
        <v>40651.234837963</v>
      </c>
      <c r="M5073" s="12" t="s">
        <v>1039</v>
      </c>
      <c r="N5073" s="12" t="s">
        <v>11894</v>
      </c>
      <c r="O5073" s="9" t="str">
        <f aca="false">HYPERLINK("https://abs.twimg.com/sticky/default_profile_images/default_profile_normal.png","View")</f>
        <v>View</v>
      </c>
      <c r="P5073" s="10"/>
    </row>
    <row r="5074" customFormat="false" ht="15.75" hidden="false" customHeight="false" outlineLevel="0" collapsed="false">
      <c r="A5074" s="6" t="n">
        <v>43030.8483333333</v>
      </c>
      <c r="B5074" s="7" t="str">
        <f aca="false">HYPERLINK("https://twitter.com/AnantVidya","@AnantVidya")</f>
        <v>@AnantVidya</v>
      </c>
      <c r="C5074" s="8" t="s">
        <v>11895</v>
      </c>
      <c r="D5074" s="8" t="s">
        <v>8538</v>
      </c>
      <c r="E5074" s="9" t="str">
        <f aca="false">HYPERLINK("https://twitter.com/AnantVidya/status/922301954532843520","922301954532843520")</f>
        <v>922301954532843520</v>
      </c>
      <c r="F5074" s="10" t="s">
        <v>25</v>
      </c>
      <c r="G5074" s="10" t="n">
        <v>339</v>
      </c>
      <c r="H5074" s="10" t="n">
        <v>732</v>
      </c>
      <c r="I5074" s="10" t="n">
        <v>1015</v>
      </c>
      <c r="J5074" s="10" t="n">
        <v>0</v>
      </c>
      <c r="K5074" s="10" t="s">
        <v>20</v>
      </c>
      <c r="L5074" s="11" t="n">
        <v>41482.191099537</v>
      </c>
      <c r="M5074" s="12"/>
      <c r="N5074" s="12" t="s">
        <v>11896</v>
      </c>
      <c r="O5074" s="9" t="str">
        <f aca="false">HYPERLINK("https://pbs.twimg.com/profile_images/558671481148686336/dh6UivK7_normal.jpeg","View")</f>
        <v>View</v>
      </c>
      <c r="P5074" s="10"/>
    </row>
    <row r="5075" customFormat="false" ht="15.75" hidden="false" customHeight="false" outlineLevel="0" collapsed="false">
      <c r="A5075" s="6" t="n">
        <v>43030.8487731482</v>
      </c>
      <c r="B5075" s="7" t="str">
        <f aca="false">HYPERLINK("https://twitter.com/DhavanBhayani","@DhavanBhayani")</f>
        <v>@DhavanBhayani</v>
      </c>
      <c r="C5075" s="8" t="s">
        <v>11897</v>
      </c>
      <c r="D5075" s="8" t="s">
        <v>8538</v>
      </c>
      <c r="E5075" s="9" t="str">
        <f aca="false">HYPERLINK("https://twitter.com/DhavanBhayani/status/922302114365300736","922302114365300736")</f>
        <v>922302114365300736</v>
      </c>
      <c r="F5075" s="10" t="s">
        <v>25</v>
      </c>
      <c r="G5075" s="10" t="n">
        <v>197</v>
      </c>
      <c r="H5075" s="10" t="n">
        <v>521</v>
      </c>
      <c r="I5075" s="10" t="n">
        <v>1015</v>
      </c>
      <c r="J5075" s="10" t="n">
        <v>0</v>
      </c>
      <c r="K5075" s="10" t="s">
        <v>20</v>
      </c>
      <c r="L5075" s="11" t="n">
        <v>40304.5057291667</v>
      </c>
      <c r="M5075" s="12" t="s">
        <v>11898</v>
      </c>
      <c r="N5075" s="12" t="s">
        <v>11899</v>
      </c>
      <c r="O5075" s="9" t="str">
        <f aca="false">HYPERLINK("https://pbs.twimg.com/profile_images/838679249036931072/8wKz0TMZ_normal.jpg","View")</f>
        <v>View</v>
      </c>
      <c r="P5075" s="10"/>
    </row>
    <row r="5076" customFormat="false" ht="15.75" hidden="false" customHeight="false" outlineLevel="0" collapsed="false">
      <c r="A5076" s="6" t="n">
        <v>43030.8489351852</v>
      </c>
      <c r="B5076" s="7" t="str">
        <f aca="false">HYPERLINK("https://twitter.com/suniltm","@suniltm")</f>
        <v>@suniltm</v>
      </c>
      <c r="C5076" s="8" t="s">
        <v>11900</v>
      </c>
      <c r="D5076" s="8" t="s">
        <v>8538</v>
      </c>
      <c r="E5076" s="9" t="str">
        <f aca="false">HYPERLINK("https://twitter.com/suniltm/status/922302174691913728","922302174691913728")</f>
        <v>922302174691913728</v>
      </c>
      <c r="F5076" s="10" t="s">
        <v>25</v>
      </c>
      <c r="G5076" s="10" t="n">
        <v>8</v>
      </c>
      <c r="H5076" s="10" t="n">
        <v>115</v>
      </c>
      <c r="I5076" s="10" t="n">
        <v>1015</v>
      </c>
      <c r="J5076" s="10" t="n">
        <v>0</v>
      </c>
      <c r="K5076" s="10" t="s">
        <v>20</v>
      </c>
      <c r="L5076" s="11" t="n">
        <v>40069.3178125</v>
      </c>
      <c r="M5076" s="12" t="s">
        <v>6635</v>
      </c>
      <c r="N5076" s="12" t="s">
        <v>11901</v>
      </c>
      <c r="O5076" s="9" t="str">
        <f aca="false">HYPERLINK("https://pbs.twimg.com/profile_images/856338540388651013/eo9VywFm_normal.jpg","View")</f>
        <v>View</v>
      </c>
      <c r="P5076" s="10"/>
    </row>
    <row r="5077" customFormat="false" ht="15.75" hidden="false" customHeight="false" outlineLevel="0" collapsed="false">
      <c r="A5077" s="6" t="n">
        <v>43030.8494328704</v>
      </c>
      <c r="B5077" s="7" t="str">
        <f aca="false">HYPERLINK("https://twitter.com/msreekanth","@msreekanth")</f>
        <v>@msreekanth</v>
      </c>
      <c r="C5077" s="8" t="s">
        <v>11902</v>
      </c>
      <c r="D5077" s="8" t="s">
        <v>8538</v>
      </c>
      <c r="E5077" s="9" t="str">
        <f aca="false">HYPERLINK("https://twitter.com/msreekanth/status/922302355185348609","922302355185348609")</f>
        <v>922302355185348609</v>
      </c>
      <c r="F5077" s="10" t="s">
        <v>25</v>
      </c>
      <c r="G5077" s="10" t="n">
        <v>597</v>
      </c>
      <c r="H5077" s="10" t="n">
        <v>328</v>
      </c>
      <c r="I5077" s="10" t="n">
        <v>1015</v>
      </c>
      <c r="J5077" s="10" t="n">
        <v>0</v>
      </c>
      <c r="K5077" s="10" t="s">
        <v>20</v>
      </c>
      <c r="L5077" s="11" t="n">
        <v>39793.0136226852</v>
      </c>
      <c r="M5077" s="12" t="s">
        <v>11903</v>
      </c>
      <c r="N5077" s="12" t="s">
        <v>11904</v>
      </c>
      <c r="O5077" s="9" t="str">
        <f aca="false">HYPERLINK("https://pbs.twimg.com/profile_images/843865422604746753/FYP8hIiH_normal.jpg","View")</f>
        <v>View</v>
      </c>
      <c r="P5077" s="10"/>
    </row>
    <row r="5078" customFormat="false" ht="15.75" hidden="false" customHeight="false" outlineLevel="0" collapsed="false">
      <c r="A5078" s="6" t="n">
        <v>43030.8503587963</v>
      </c>
      <c r="B5078" s="7" t="str">
        <f aca="false">HYPERLINK("https://twitter.com/Sadafsayeed","@Sadafsayeed")</f>
        <v>@Sadafsayeed</v>
      </c>
      <c r="C5078" s="8" t="s">
        <v>11905</v>
      </c>
      <c r="D5078" s="8" t="s">
        <v>11815</v>
      </c>
      <c r="E5078" s="9" t="str">
        <f aca="false">HYPERLINK("https://twitter.com/Sadafsayeed/status/922302690574589953","922302690574589953")</f>
        <v>922302690574589953</v>
      </c>
      <c r="F5078" s="10" t="s">
        <v>51</v>
      </c>
      <c r="G5078" s="10" t="n">
        <v>524</v>
      </c>
      <c r="H5078" s="10" t="n">
        <v>431</v>
      </c>
      <c r="I5078" s="10" t="n">
        <v>8</v>
      </c>
      <c r="J5078" s="10" t="n">
        <v>0</v>
      </c>
      <c r="K5078" s="10" t="s">
        <v>20</v>
      </c>
      <c r="L5078" s="11" t="n">
        <v>40172.4153703704</v>
      </c>
      <c r="M5078" s="12" t="s">
        <v>11906</v>
      </c>
      <c r="N5078" s="12" t="s">
        <v>11907</v>
      </c>
      <c r="O5078" s="9" t="str">
        <f aca="false">HYPERLINK("https://pbs.twimg.com/profile_images/902222463517458432/RYNrzI-a_normal.jpg","View")</f>
        <v>View</v>
      </c>
      <c r="P5078" s="10"/>
    </row>
    <row r="5079" customFormat="false" ht="15.75" hidden="false" customHeight="false" outlineLevel="0" collapsed="false">
      <c r="A5079" s="6" t="n">
        <v>43030.8508564815</v>
      </c>
      <c r="B5079" s="7" t="str">
        <f aca="false">HYPERLINK("https://twitter.com/Shudhtweets","@Shudhtweets")</f>
        <v>@Shudhtweets</v>
      </c>
      <c r="C5079" s="8" t="s">
        <v>11908</v>
      </c>
      <c r="D5079" s="8" t="s">
        <v>8538</v>
      </c>
      <c r="E5079" s="9" t="str">
        <f aca="false">HYPERLINK("https://twitter.com/Shudhtweets/status/922302871378583552","922302871378583552")</f>
        <v>922302871378583552</v>
      </c>
      <c r="F5079" s="10" t="s">
        <v>98</v>
      </c>
      <c r="G5079" s="10" t="n">
        <v>275</v>
      </c>
      <c r="H5079" s="10" t="n">
        <v>182</v>
      </c>
      <c r="I5079" s="10" t="n">
        <v>1015</v>
      </c>
      <c r="J5079" s="10" t="n">
        <v>0</v>
      </c>
      <c r="K5079" s="10" t="s">
        <v>20</v>
      </c>
      <c r="L5079" s="11" t="n">
        <v>41411.2246527778</v>
      </c>
      <c r="M5079" s="12" t="s">
        <v>72</v>
      </c>
      <c r="N5079" s="12" t="s">
        <v>11909</v>
      </c>
      <c r="O5079" s="9" t="str">
        <f aca="false">HYPERLINK("https://pbs.twimg.com/profile_images/912642987393474560/sua42EjQ_normal.jpg","View")</f>
        <v>View</v>
      </c>
      <c r="P5079" s="10"/>
    </row>
    <row r="5080" customFormat="false" ht="15.75" hidden="false" customHeight="false" outlineLevel="0" collapsed="false">
      <c r="A5080" s="6" t="n">
        <v>43030.8508796296</v>
      </c>
      <c r="B5080" s="7" t="str">
        <f aca="false">HYPERLINK("https://twitter.com/moneybizines","@moneybizines")</f>
        <v>@moneybizines</v>
      </c>
      <c r="C5080" s="8" t="s">
        <v>11910</v>
      </c>
      <c r="D5080" s="8" t="s">
        <v>11738</v>
      </c>
      <c r="E5080" s="9" t="str">
        <f aca="false">HYPERLINK("https://twitter.com/moneybizines/status/922302877334249473","922302877334249473")</f>
        <v>922302877334249473</v>
      </c>
      <c r="F5080" s="10" t="s">
        <v>39</v>
      </c>
      <c r="G5080" s="10" t="n">
        <v>877</v>
      </c>
      <c r="H5080" s="10" t="n">
        <v>4199</v>
      </c>
      <c r="I5080" s="10" t="n">
        <v>11</v>
      </c>
      <c r="J5080" s="10" t="n">
        <v>0</v>
      </c>
      <c r="K5080" s="10" t="s">
        <v>20</v>
      </c>
      <c r="L5080" s="11" t="n">
        <v>40881.170150463</v>
      </c>
      <c r="M5080" s="12" t="s">
        <v>8994</v>
      </c>
      <c r="N5080" s="12" t="s">
        <v>11911</v>
      </c>
      <c r="O5080" s="9" t="str">
        <f aca="false">HYPERLINK("https://pbs.twimg.com/profile_images/921013706569297921/9RfcoiS9_normal.jpg","View")</f>
        <v>View</v>
      </c>
      <c r="P5080" s="10"/>
    </row>
    <row r="5081" customFormat="false" ht="15.75" hidden="false" customHeight="false" outlineLevel="0" collapsed="false">
      <c r="A5081" s="6" t="n">
        <v>43030.8509143519</v>
      </c>
      <c r="B5081" s="7" t="str">
        <f aca="false">HYPERLINK("https://twitter.com/sachanuj","@sachanuj")</f>
        <v>@sachanuj</v>
      </c>
      <c r="C5081" s="8" t="s">
        <v>11912</v>
      </c>
      <c r="D5081" s="8" t="s">
        <v>8538</v>
      </c>
      <c r="E5081" s="9" t="str">
        <f aca="false">HYPERLINK("https://twitter.com/sachanuj/status/922302891225899010","922302891225899010")</f>
        <v>922302891225899010</v>
      </c>
      <c r="F5081" s="10" t="s">
        <v>25</v>
      </c>
      <c r="G5081" s="10" t="n">
        <v>132</v>
      </c>
      <c r="H5081" s="10" t="n">
        <v>124</v>
      </c>
      <c r="I5081" s="10" t="n">
        <v>1015</v>
      </c>
      <c r="J5081" s="10" t="n">
        <v>0</v>
      </c>
      <c r="K5081" s="10" t="s">
        <v>20</v>
      </c>
      <c r="L5081" s="11" t="n">
        <v>42205.1996296296</v>
      </c>
      <c r="M5081" s="12" t="s">
        <v>64</v>
      </c>
      <c r="N5081" s="12" t="s">
        <v>11913</v>
      </c>
      <c r="O5081" s="9" t="str">
        <f aca="false">HYPERLINK("https://pbs.twimg.com/profile_images/710158775429115904/qhF_vs1w_normal.jpg","View")</f>
        <v>View</v>
      </c>
      <c r="P5081" s="10"/>
    </row>
    <row r="5082" customFormat="false" ht="15.75" hidden="false" customHeight="false" outlineLevel="0" collapsed="false">
      <c r="A5082" s="6" t="n">
        <v>43030.8509490741</v>
      </c>
      <c r="B5082" s="7" t="str">
        <f aca="false">HYPERLINK("https://twitter.com/candidomtz","@candidomtz")</f>
        <v>@candidomtz</v>
      </c>
      <c r="C5082" s="8" t="s">
        <v>11914</v>
      </c>
      <c r="D5082" s="8" t="s">
        <v>10997</v>
      </c>
      <c r="E5082" s="9" t="str">
        <f aca="false">HYPERLINK("https://twitter.com/candidomtz/status/922302901996965888","922302901996965888")</f>
        <v>922302901996965888</v>
      </c>
      <c r="F5082" s="10" t="s">
        <v>51</v>
      </c>
      <c r="G5082" s="10" t="n">
        <v>2382</v>
      </c>
      <c r="H5082" s="10" t="n">
        <v>3231</v>
      </c>
      <c r="I5082" s="10" t="n">
        <v>27</v>
      </c>
      <c r="J5082" s="10" t="n">
        <v>0</v>
      </c>
      <c r="K5082" s="10" t="s">
        <v>20</v>
      </c>
      <c r="L5082" s="11" t="n">
        <v>39848.3125462963</v>
      </c>
      <c r="M5082" s="12" t="s">
        <v>1335</v>
      </c>
      <c r="N5082" s="12" t="s">
        <v>11915</v>
      </c>
      <c r="O5082" s="9" t="str">
        <f aca="false">HYPERLINK("https://pbs.twimg.com/profile_images/756538854123851776/sHeC3q-V_normal.jpg","View")</f>
        <v>View</v>
      </c>
      <c r="P5082" s="10"/>
    </row>
    <row r="5083" customFormat="false" ht="15.75" hidden="false" customHeight="false" outlineLevel="0" collapsed="false">
      <c r="A5083" s="6" t="n">
        <v>43030.8509606482</v>
      </c>
      <c r="B5083" s="7" t="str">
        <f aca="false">HYPERLINK("https://twitter.com/rohanjoshi6761","@rohanjoshi6761")</f>
        <v>@rohanjoshi6761</v>
      </c>
      <c r="C5083" s="8" t="s">
        <v>11916</v>
      </c>
      <c r="D5083" s="8" t="s">
        <v>8538</v>
      </c>
      <c r="E5083" s="9" t="str">
        <f aca="false">HYPERLINK("https://twitter.com/rohanjoshi6761/status/922302906157621249","922302906157621249")</f>
        <v>922302906157621249</v>
      </c>
      <c r="F5083" s="10" t="s">
        <v>51</v>
      </c>
      <c r="G5083" s="10" t="n">
        <v>161</v>
      </c>
      <c r="H5083" s="10" t="n">
        <v>63</v>
      </c>
      <c r="I5083" s="10" t="n">
        <v>1015</v>
      </c>
      <c r="J5083" s="10" t="n">
        <v>0</v>
      </c>
      <c r="K5083" s="10" t="s">
        <v>20</v>
      </c>
      <c r="L5083" s="11" t="n">
        <v>39919.2614351852</v>
      </c>
      <c r="M5083" s="12" t="s">
        <v>11917</v>
      </c>
      <c r="N5083" s="12" t="s">
        <v>11918</v>
      </c>
      <c r="O5083" s="9" t="str">
        <f aca="false">HYPERLINK("https://pbs.twimg.com/profile_images/3718488166/a8929643ac2c0052dd9a4cae65584d6d_normal.png","View")</f>
        <v>View</v>
      </c>
      <c r="P5083" s="10"/>
    </row>
    <row r="5084" customFormat="false" ht="15.75" hidden="false" customHeight="false" outlineLevel="0" collapsed="false">
      <c r="A5084" s="6" t="n">
        <v>43030.8516666667</v>
      </c>
      <c r="B5084" s="7" t="str">
        <f aca="false">HYPERLINK("https://twitter.com/IndiaPpk","@IndiaPpk")</f>
        <v>@IndiaPpk</v>
      </c>
      <c r="C5084" s="8" t="s">
        <v>11919</v>
      </c>
      <c r="D5084" s="8" t="s">
        <v>8538</v>
      </c>
      <c r="E5084" s="9" t="str">
        <f aca="false">HYPERLINK("https://twitter.com/IndiaPpk/status/922303165969715200","922303165969715200")</f>
        <v>922303165969715200</v>
      </c>
      <c r="F5084" s="10" t="s">
        <v>25</v>
      </c>
      <c r="G5084" s="10" t="n">
        <v>738</v>
      </c>
      <c r="H5084" s="10" t="n">
        <v>884</v>
      </c>
      <c r="I5084" s="10" t="n">
        <v>1015</v>
      </c>
      <c r="J5084" s="10" t="n">
        <v>0</v>
      </c>
      <c r="K5084" s="10" t="s">
        <v>20</v>
      </c>
      <c r="L5084" s="11" t="n">
        <v>41660.1328819445</v>
      </c>
      <c r="M5084" s="12" t="s">
        <v>64</v>
      </c>
      <c r="N5084" s="12" t="s">
        <v>11920</v>
      </c>
      <c r="O5084" s="9" t="str">
        <f aca="false">HYPERLINK("https://pbs.twimg.com/profile_images/904372536531668992/U_Jf7XrS_normal.jpg","View")</f>
        <v>View</v>
      </c>
      <c r="P5084" s="10"/>
    </row>
    <row r="5085" customFormat="false" ht="15.75" hidden="false" customHeight="false" outlineLevel="0" collapsed="false">
      <c r="A5085" s="6" t="n">
        <v>43030.8516898148</v>
      </c>
      <c r="B5085" s="7" t="str">
        <f aca="false">HYPERLINK("https://twitter.com/WILLCOM_shine","@WILLCOM_shine")</f>
        <v>@WILLCOM_shine</v>
      </c>
      <c r="C5085" s="8" t="s">
        <v>11921</v>
      </c>
      <c r="D5085" s="8" t="s">
        <v>11418</v>
      </c>
      <c r="E5085" s="9" t="str">
        <f aca="false">HYPERLINK("https://twitter.com/WILLCOM_shine/status/922303172177149952","922303172177149952")</f>
        <v>922303172177149952</v>
      </c>
      <c r="F5085" s="10" t="s">
        <v>25</v>
      </c>
      <c r="G5085" s="10" t="n">
        <v>148</v>
      </c>
      <c r="H5085" s="10" t="n">
        <v>90</v>
      </c>
      <c r="I5085" s="10" t="n">
        <v>38</v>
      </c>
      <c r="J5085" s="10" t="n">
        <v>0</v>
      </c>
      <c r="K5085" s="10" t="s">
        <v>20</v>
      </c>
      <c r="L5085" s="11" t="n">
        <v>40997.8425</v>
      </c>
      <c r="M5085" s="12"/>
      <c r="N5085" s="13" t="s">
        <v>11922</v>
      </c>
      <c r="O5085" s="9" t="str">
        <f aca="false">HYPERLINK("https://pbs.twimg.com/profile_images/1993215930/ryokusai_normal.jpg","View")</f>
        <v>View</v>
      </c>
      <c r="P5085" s="10"/>
    </row>
    <row r="5086" customFormat="false" ht="15.75" hidden="false" customHeight="false" outlineLevel="0" collapsed="false">
      <c r="A5086" s="6" t="n">
        <v>43030.8518171296</v>
      </c>
      <c r="B5086" s="7" t="str">
        <f aca="false">HYPERLINK("https://twitter.com/moneybizines","@moneybizines")</f>
        <v>@moneybizines</v>
      </c>
      <c r="C5086" s="8" t="s">
        <v>11910</v>
      </c>
      <c r="D5086" s="8" t="s">
        <v>11189</v>
      </c>
      <c r="E5086" s="9" t="str">
        <f aca="false">HYPERLINK("https://twitter.com/moneybizines/status/922303218490552320","922303218490552320")</f>
        <v>922303218490552320</v>
      </c>
      <c r="F5086" s="10" t="s">
        <v>39</v>
      </c>
      <c r="G5086" s="10" t="n">
        <v>877</v>
      </c>
      <c r="H5086" s="10" t="n">
        <v>4199</v>
      </c>
      <c r="I5086" s="10" t="n">
        <v>4</v>
      </c>
      <c r="J5086" s="10" t="n">
        <v>0</v>
      </c>
      <c r="K5086" s="10" t="s">
        <v>20</v>
      </c>
      <c r="L5086" s="11" t="n">
        <v>40881.170150463</v>
      </c>
      <c r="M5086" s="12" t="s">
        <v>8994</v>
      </c>
      <c r="N5086" s="12" t="s">
        <v>11911</v>
      </c>
      <c r="O5086" s="9" t="str">
        <f aca="false">HYPERLINK("https://pbs.twimg.com/profile_images/921013706569297921/9RfcoiS9_normal.jpg","View")</f>
        <v>View</v>
      </c>
      <c r="P5086" s="10"/>
    </row>
    <row r="5087" customFormat="false" ht="15.75" hidden="false" customHeight="false" outlineLevel="0" collapsed="false">
      <c r="A5087" s="6" t="n">
        <v>43030.8518865741</v>
      </c>
      <c r="B5087" s="7" t="str">
        <f aca="false">HYPERLINK("https://twitter.com/ChocolaRei","@ChocolaRei")</f>
        <v>@ChocolaRei</v>
      </c>
      <c r="C5087" s="8" t="s">
        <v>4145</v>
      </c>
      <c r="D5087" s="8" t="s">
        <v>11418</v>
      </c>
      <c r="E5087" s="9" t="str">
        <f aca="false">HYPERLINK("https://twitter.com/ChocolaRei/status/922303242737926144","922303242737926144")</f>
        <v>922303242737926144</v>
      </c>
      <c r="F5087" s="10" t="s">
        <v>51</v>
      </c>
      <c r="G5087" s="10" t="n">
        <v>146</v>
      </c>
      <c r="H5087" s="10" t="n">
        <v>440</v>
      </c>
      <c r="I5087" s="10" t="n">
        <v>38</v>
      </c>
      <c r="J5087" s="10" t="n">
        <v>0</v>
      </c>
      <c r="K5087" s="10" t="s">
        <v>20</v>
      </c>
      <c r="L5087" s="11" t="n">
        <v>42956.6448263889</v>
      </c>
      <c r="M5087" s="12"/>
      <c r="N5087" s="12"/>
      <c r="O5087" s="9" t="str">
        <f aca="false">HYPERLINK("https://pbs.twimg.com/profile_images/921902951626502146/P9S70wUo_normal.png","View")</f>
        <v>View</v>
      </c>
      <c r="P5087" s="10"/>
    </row>
    <row r="5088" customFormat="false" ht="15.75" hidden="false" customHeight="false" outlineLevel="0" collapsed="false">
      <c r="A5088" s="6" t="n">
        <v>43030.8522685185</v>
      </c>
      <c r="B5088" s="7" t="str">
        <f aca="false">HYPERLINK("https://twitter.com/HinduNationali2","@HinduNationali2")</f>
        <v>@HinduNationali2</v>
      </c>
      <c r="C5088" s="8" t="s">
        <v>11923</v>
      </c>
      <c r="D5088" s="8" t="s">
        <v>8538</v>
      </c>
      <c r="E5088" s="9" t="str">
        <f aca="false">HYPERLINK("https://twitter.com/HinduNationali2/status/922303380755693568","922303380755693568")</f>
        <v>922303380755693568</v>
      </c>
      <c r="F5088" s="10" t="s">
        <v>98</v>
      </c>
      <c r="G5088" s="10" t="n">
        <v>155</v>
      </c>
      <c r="H5088" s="10" t="n">
        <v>105</v>
      </c>
      <c r="I5088" s="10" t="n">
        <v>1015</v>
      </c>
      <c r="J5088" s="10" t="n">
        <v>0</v>
      </c>
      <c r="K5088" s="10" t="s">
        <v>20</v>
      </c>
      <c r="L5088" s="11" t="n">
        <v>42209.4398263889</v>
      </c>
      <c r="M5088" s="12"/>
      <c r="N5088" s="12" t="s">
        <v>11924</v>
      </c>
      <c r="O5088" s="9" t="str">
        <f aca="false">HYPERLINK("https://pbs.twimg.com/profile_images/898476223839428609/mX6G-PSE_normal.jpg","View")</f>
        <v>View</v>
      </c>
      <c r="P5088" s="10"/>
    </row>
    <row r="5089" customFormat="false" ht="15.75" hidden="false" customHeight="false" outlineLevel="0" collapsed="false">
      <c r="A5089" s="6" t="n">
        <v>43030.8526157407</v>
      </c>
      <c r="B5089" s="7" t="str">
        <f aca="false">HYPERLINK("https://twitter.com/7NewsMelbourne","@7NewsMelbourne")</f>
        <v>@7NewsMelbourne</v>
      </c>
      <c r="C5089" s="8" t="s">
        <v>11925</v>
      </c>
      <c r="D5089" s="8" t="s">
        <v>11926</v>
      </c>
      <c r="E5089" s="9" t="str">
        <f aca="false">HYPERLINK("https://twitter.com/7NewsMelbourne/status/922303506056278017","922303506056278017")</f>
        <v>922303506056278017</v>
      </c>
      <c r="F5089" s="10" t="s">
        <v>276</v>
      </c>
      <c r="G5089" s="10" t="n">
        <v>91654</v>
      </c>
      <c r="H5089" s="10" t="n">
        <v>554</v>
      </c>
      <c r="I5089" s="10" t="n">
        <v>1</v>
      </c>
      <c r="J5089" s="10" t="n">
        <v>2</v>
      </c>
      <c r="K5089" s="10" t="s">
        <v>20</v>
      </c>
      <c r="L5089" s="11" t="n">
        <v>40246.8263194444</v>
      </c>
      <c r="M5089" s="12" t="s">
        <v>10929</v>
      </c>
      <c r="N5089" s="12" t="s">
        <v>11927</v>
      </c>
      <c r="O5089" s="9" t="str">
        <f aca="false">HYPERLINK("https://pbs.twimg.com/profile_images/762485762654740482/g1PyyJj-_normal.jpg","View")</f>
        <v>View</v>
      </c>
      <c r="P5089" s="10"/>
    </row>
    <row r="5090" customFormat="false" ht="15.75" hidden="false" customHeight="false" outlineLevel="0" collapsed="false">
      <c r="A5090" s="6" t="n">
        <v>43030.8526388889</v>
      </c>
      <c r="B5090" s="7" t="str">
        <f aca="false">HYPERLINK("https://twitter.com/LovToRideMyTrek","@LovToRideMyTrek")</f>
        <v>@LovToRideMyTrek</v>
      </c>
      <c r="C5090" s="8" t="s">
        <v>11928</v>
      </c>
      <c r="D5090" s="8" t="s">
        <v>10788</v>
      </c>
      <c r="E5090" s="9" t="str">
        <f aca="false">HYPERLINK("https://twitter.com/LovToRideMyTrek/status/922303516772880384","922303516772880384")</f>
        <v>922303516772880384</v>
      </c>
      <c r="F5090" s="10" t="s">
        <v>25</v>
      </c>
      <c r="G5090" s="10" t="n">
        <v>6901</v>
      </c>
      <c r="H5090" s="10" t="n">
        <v>7330</v>
      </c>
      <c r="I5090" s="10" t="n">
        <v>18</v>
      </c>
      <c r="J5090" s="10" t="n">
        <v>0</v>
      </c>
      <c r="K5090" s="10" t="s">
        <v>20</v>
      </c>
      <c r="L5090" s="11" t="n">
        <v>40458.4515972222</v>
      </c>
      <c r="M5090" s="12" t="s">
        <v>4756</v>
      </c>
      <c r="N5090" s="12" t="s">
        <v>11929</v>
      </c>
      <c r="O5090" s="9" t="str">
        <f aca="false">HYPERLINK("https://pbs.twimg.com/profile_images/742405202922217478/3rq6WeOa_normal.jpg","View")</f>
        <v>View</v>
      </c>
      <c r="P5090" s="10"/>
    </row>
    <row r="5091" customFormat="false" ht="15.75" hidden="false" customHeight="false" outlineLevel="0" collapsed="false">
      <c r="A5091" s="6" t="n">
        <v>43030.8534490741</v>
      </c>
      <c r="B5091" s="7" t="str">
        <f aca="false">HYPERLINK("https://twitter.com/sanjay3356","@sanjay3356")</f>
        <v>@sanjay3356</v>
      </c>
      <c r="C5091" s="8" t="s">
        <v>11930</v>
      </c>
      <c r="D5091" s="8" t="s">
        <v>8538</v>
      </c>
      <c r="E5091" s="9" t="str">
        <f aca="false">HYPERLINK("https://twitter.com/sanjay3356/status/922303808989839360","922303808989839360")</f>
        <v>922303808989839360</v>
      </c>
      <c r="F5091" s="10" t="s">
        <v>25</v>
      </c>
      <c r="G5091" s="10" t="n">
        <v>421</v>
      </c>
      <c r="H5091" s="10" t="n">
        <v>330</v>
      </c>
      <c r="I5091" s="10" t="n">
        <v>1015</v>
      </c>
      <c r="J5091" s="10" t="n">
        <v>0</v>
      </c>
      <c r="K5091" s="10" t="s">
        <v>20</v>
      </c>
      <c r="L5091" s="11" t="n">
        <v>41750.8859143519</v>
      </c>
      <c r="M5091" s="12" t="s">
        <v>10254</v>
      </c>
      <c r="N5091" s="12" t="s">
        <v>11931</v>
      </c>
      <c r="O5091" s="9" t="str">
        <f aca="false">HYPERLINK("https://pbs.twimg.com/profile_images/873445011005751298/_63Cj3Zb_normal.jpg","View")</f>
        <v>View</v>
      </c>
      <c r="P5091" s="10"/>
    </row>
    <row r="5092" customFormat="false" ht="15.75" hidden="false" customHeight="false" outlineLevel="0" collapsed="false">
      <c r="A5092" s="6" t="n">
        <v>43030.8537615741</v>
      </c>
      <c r="B5092" s="7" t="str">
        <f aca="false">HYPERLINK("https://twitter.com/Prasaddiwalkar","@Prasaddiwalkar")</f>
        <v>@Prasaddiwalkar</v>
      </c>
      <c r="C5092" s="8" t="s">
        <v>11932</v>
      </c>
      <c r="D5092" s="8" t="s">
        <v>8538</v>
      </c>
      <c r="E5092" s="9" t="str">
        <f aca="false">HYPERLINK("https://twitter.com/Prasaddiwalkar/status/922303925172047872","922303925172047872")</f>
        <v>922303925172047872</v>
      </c>
      <c r="F5092" s="10" t="s">
        <v>25</v>
      </c>
      <c r="G5092" s="10" t="n">
        <v>56</v>
      </c>
      <c r="H5092" s="10" t="n">
        <v>87</v>
      </c>
      <c r="I5092" s="10" t="n">
        <v>1015</v>
      </c>
      <c r="J5092" s="10" t="n">
        <v>0</v>
      </c>
      <c r="K5092" s="10" t="s">
        <v>20</v>
      </c>
      <c r="L5092" s="11" t="n">
        <v>41786.9609953704</v>
      </c>
      <c r="M5092" s="12" t="s">
        <v>11933</v>
      </c>
      <c r="N5092" s="12" t="s">
        <v>11934</v>
      </c>
      <c r="O5092" s="9" t="str">
        <f aca="false">HYPERLINK("https://pbs.twimg.com/profile_images/670859523385503744/qO35wgh2_normal.jpg","View")</f>
        <v>View</v>
      </c>
      <c r="P5092" s="10"/>
    </row>
    <row r="5093" customFormat="false" ht="15.75" hidden="false" customHeight="false" outlineLevel="0" collapsed="false">
      <c r="A5093" s="6" t="n">
        <v>43030.8543287037</v>
      </c>
      <c r="B5093" s="7" t="str">
        <f aca="false">HYPERLINK("https://twitter.com/yandao","@yandao")</f>
        <v>@yandao</v>
      </c>
      <c r="C5093" s="8" t="s">
        <v>11935</v>
      </c>
      <c r="D5093" s="8" t="s">
        <v>4984</v>
      </c>
      <c r="E5093" s="9" t="str">
        <f aca="false">HYPERLINK("https://twitter.com/yandao/status/922304126523809792","922304126523809792")</f>
        <v>922304126523809792</v>
      </c>
      <c r="F5093" s="10" t="s">
        <v>11936</v>
      </c>
      <c r="G5093" s="10" t="n">
        <v>56</v>
      </c>
      <c r="H5093" s="10" t="n">
        <v>209</v>
      </c>
      <c r="I5093" s="10" t="n">
        <v>187</v>
      </c>
      <c r="J5093" s="10" t="n">
        <v>0</v>
      </c>
      <c r="K5093" s="10" t="s">
        <v>20</v>
      </c>
      <c r="L5093" s="11" t="n">
        <v>39242.3521064815</v>
      </c>
      <c r="M5093" s="12" t="s">
        <v>1473</v>
      </c>
      <c r="N5093" s="12" t="s">
        <v>11937</v>
      </c>
      <c r="O5093" s="9" t="str">
        <f aca="false">HYPERLINK("https://pbs.twimg.com/profile_images/656843206/4129694214_ca5e8848a8_normal.jpg","View")</f>
        <v>View</v>
      </c>
      <c r="P5093" s="10"/>
    </row>
    <row r="5094" customFormat="false" ht="15.75" hidden="false" customHeight="false" outlineLevel="0" collapsed="false">
      <c r="A5094" s="6" t="n">
        <v>43030.8544444444</v>
      </c>
      <c r="B5094" s="7" t="str">
        <f aca="false">HYPERLINK("https://twitter.com/singhrakesh2166","@singhrakesh2166")</f>
        <v>@singhrakesh2166</v>
      </c>
      <c r="C5094" s="8" t="s">
        <v>11938</v>
      </c>
      <c r="D5094" s="8" t="s">
        <v>11815</v>
      </c>
      <c r="E5094" s="9" t="str">
        <f aca="false">HYPERLINK("https://twitter.com/singhrakesh2166/status/922304169209401344","922304169209401344")</f>
        <v>922304169209401344</v>
      </c>
      <c r="F5094" s="10" t="s">
        <v>51</v>
      </c>
      <c r="G5094" s="10" t="n">
        <v>475</v>
      </c>
      <c r="H5094" s="10" t="n">
        <v>2451</v>
      </c>
      <c r="I5094" s="10" t="n">
        <v>8</v>
      </c>
      <c r="J5094" s="10" t="n">
        <v>0</v>
      </c>
      <c r="K5094" s="10" t="s">
        <v>20</v>
      </c>
      <c r="L5094" s="11" t="n">
        <v>40307.3225347222</v>
      </c>
      <c r="M5094" s="12" t="s">
        <v>72</v>
      </c>
      <c r="N5094" s="12" t="s">
        <v>11939</v>
      </c>
      <c r="O5094" s="9" t="str">
        <f aca="false">HYPERLINK("https://pbs.twimg.com/profile_images/913916318415429632/MkTarcCK_normal.jpg","View")</f>
        <v>View</v>
      </c>
      <c r="P5094" s="10"/>
    </row>
    <row r="5095" customFormat="false" ht="15.75" hidden="false" customHeight="false" outlineLevel="0" collapsed="false">
      <c r="A5095" s="6" t="n">
        <v>43030.8545023148</v>
      </c>
      <c r="B5095" s="7" t="str">
        <f aca="false">HYPERLINK("https://twitter.com/50Choungi","@50Choungi")</f>
        <v>@50Choungi</v>
      </c>
      <c r="C5095" s="8" t="s">
        <v>8266</v>
      </c>
      <c r="D5095" s="8" t="s">
        <v>11940</v>
      </c>
      <c r="E5095" s="9" t="str">
        <f aca="false">HYPERLINK("https://twitter.com/50Choungi/status/922304190432428032","922304190432428032")</f>
        <v>922304190432428032</v>
      </c>
      <c r="F5095" s="10" t="s">
        <v>25</v>
      </c>
      <c r="G5095" s="10" t="n">
        <v>11519</v>
      </c>
      <c r="H5095" s="10" t="n">
        <v>12674</v>
      </c>
      <c r="I5095" s="10" t="n">
        <v>0</v>
      </c>
      <c r="J5095" s="10" t="n">
        <v>0</v>
      </c>
      <c r="K5095" s="10" t="s">
        <v>20</v>
      </c>
      <c r="L5095" s="11" t="n">
        <v>41743.1961921296</v>
      </c>
      <c r="M5095" s="12" t="s">
        <v>8268</v>
      </c>
      <c r="N5095" s="12"/>
      <c r="O5095" s="9" t="str">
        <f aca="false">HYPERLINK("https://pbs.twimg.com/profile_images/529950036780535808/bpAkcqJt_normal.jpeg","View")</f>
        <v>View</v>
      </c>
      <c r="P5095" s="10"/>
    </row>
    <row r="5096" customFormat="false" ht="15.75" hidden="false" customHeight="false" outlineLevel="0" collapsed="false">
      <c r="A5096" s="6" t="n">
        <v>43030.854837963</v>
      </c>
      <c r="B5096" s="7" t="str">
        <f aca="false">HYPERLINK("https://twitter.com/deepfresh","@deepfresh")</f>
        <v>@deepfresh</v>
      </c>
      <c r="C5096" s="8" t="s">
        <v>11941</v>
      </c>
      <c r="D5096" s="8" t="s">
        <v>10997</v>
      </c>
      <c r="E5096" s="9" t="str">
        <f aca="false">HYPERLINK("https://twitter.com/deepfresh/status/922304313921122304","922304313921122304")</f>
        <v>922304313921122304</v>
      </c>
      <c r="F5096" s="10" t="s">
        <v>51</v>
      </c>
      <c r="G5096" s="10" t="n">
        <v>1535</v>
      </c>
      <c r="H5096" s="10" t="n">
        <v>1421</v>
      </c>
      <c r="I5096" s="10" t="n">
        <v>27</v>
      </c>
      <c r="J5096" s="10" t="n">
        <v>0</v>
      </c>
      <c r="K5096" s="10" t="s">
        <v>20</v>
      </c>
      <c r="L5096" s="11" t="n">
        <v>39553.8866435185</v>
      </c>
      <c r="M5096" s="12" t="s">
        <v>1199</v>
      </c>
      <c r="N5096" s="12" t="s">
        <v>11942</v>
      </c>
      <c r="O5096" s="9" t="str">
        <f aca="false">HYPERLINK("https://pbs.twimg.com/profile_images/866471638312734720/HKzzdZVt_normal.jpg","View")</f>
        <v>View</v>
      </c>
      <c r="P5096" s="10"/>
    </row>
    <row r="5097" customFormat="false" ht="15.75" hidden="false" customHeight="false" outlineLevel="0" collapsed="false">
      <c r="A5097" s="6" t="n">
        <v>43030.8555439815</v>
      </c>
      <c r="B5097" s="7" t="str">
        <f aca="false">HYPERLINK("https://twitter.com/yaajushi","@yaajushi")</f>
        <v>@yaajushi</v>
      </c>
      <c r="C5097" s="8" t="s">
        <v>11943</v>
      </c>
      <c r="D5097" s="8" t="s">
        <v>8538</v>
      </c>
      <c r="E5097" s="9" t="str">
        <f aca="false">HYPERLINK("https://twitter.com/yaajushi/status/922304567676755968","922304567676755968")</f>
        <v>922304567676755968</v>
      </c>
      <c r="F5097" s="10" t="s">
        <v>25</v>
      </c>
      <c r="G5097" s="10" t="n">
        <v>1223</v>
      </c>
      <c r="H5097" s="10" t="n">
        <v>97</v>
      </c>
      <c r="I5097" s="10" t="n">
        <v>1015</v>
      </c>
      <c r="J5097" s="10" t="n">
        <v>0</v>
      </c>
      <c r="K5097" s="10" t="s">
        <v>20</v>
      </c>
      <c r="L5097" s="11" t="n">
        <v>40510.1138657407</v>
      </c>
      <c r="M5097" s="12"/>
      <c r="N5097" s="12" t="s">
        <v>11944</v>
      </c>
      <c r="O5097" s="9" t="str">
        <f aca="false">HYPERLINK("https://pbs.twimg.com/profile_images/1177501208/avidurga_normal.jpg","View")</f>
        <v>View</v>
      </c>
      <c r="P5097" s="10"/>
    </row>
    <row r="5098" customFormat="false" ht="15.75" hidden="false" customHeight="false" outlineLevel="0" collapsed="false">
      <c r="A5098" s="6" t="n">
        <v>43030.8559143518</v>
      </c>
      <c r="B5098" s="7" t="str">
        <f aca="false">HYPERLINK("https://twitter.com/malapatiraja","@malapatiraja")</f>
        <v>@malapatiraja</v>
      </c>
      <c r="C5098" s="8" t="s">
        <v>11945</v>
      </c>
      <c r="D5098" s="8" t="s">
        <v>8538</v>
      </c>
      <c r="E5098" s="9" t="str">
        <f aca="false">HYPERLINK("https://twitter.com/malapatiraja/status/922304705044164608","922304705044164608")</f>
        <v>922304705044164608</v>
      </c>
      <c r="F5098" s="10" t="s">
        <v>25</v>
      </c>
      <c r="G5098" s="10" t="n">
        <v>35</v>
      </c>
      <c r="H5098" s="10" t="n">
        <v>28</v>
      </c>
      <c r="I5098" s="10" t="n">
        <v>1015</v>
      </c>
      <c r="J5098" s="10" t="n">
        <v>0</v>
      </c>
      <c r="K5098" s="10" t="s">
        <v>20</v>
      </c>
      <c r="L5098" s="11" t="n">
        <v>42475.3305902778</v>
      </c>
      <c r="M5098" s="12"/>
      <c r="N5098" s="12" t="s">
        <v>11946</v>
      </c>
      <c r="O5098" s="9" t="str">
        <f aca="false">HYPERLINK("https://abs.twimg.com/sticky/default_profile_images/default_profile_normal.png","View")</f>
        <v>View</v>
      </c>
      <c r="P5098" s="10"/>
    </row>
    <row r="5099" customFormat="false" ht="15.75" hidden="false" customHeight="false" outlineLevel="0" collapsed="false">
      <c r="A5099" s="6" t="n">
        <v>43030.8562615741</v>
      </c>
      <c r="B5099" s="7" t="str">
        <f aca="false">HYPERLINK("https://twitter.com/sinonomenews","@sinonomenews")</f>
        <v>@sinonomenews</v>
      </c>
      <c r="C5099" s="14" t="s">
        <v>11947</v>
      </c>
      <c r="D5099" s="8" t="s">
        <v>11418</v>
      </c>
      <c r="E5099" s="9" t="str">
        <f aca="false">HYPERLINK("https://twitter.com/sinonomenews/status/922304827127767040","922304827127767040")</f>
        <v>922304827127767040</v>
      </c>
      <c r="F5099" s="10" t="s">
        <v>25</v>
      </c>
      <c r="G5099" s="10" t="n">
        <v>239</v>
      </c>
      <c r="H5099" s="10" t="n">
        <v>182</v>
      </c>
      <c r="I5099" s="10" t="n">
        <v>38</v>
      </c>
      <c r="J5099" s="10" t="n">
        <v>0</v>
      </c>
      <c r="K5099" s="10" t="s">
        <v>20</v>
      </c>
      <c r="L5099" s="11" t="n">
        <v>42266.0452662037</v>
      </c>
      <c r="M5099" s="12" t="s">
        <v>574</v>
      </c>
      <c r="N5099" s="13" t="s">
        <v>11948</v>
      </c>
      <c r="O5099" s="9" t="str">
        <f aca="false">HYPERLINK("https://pbs.twimg.com/profile_images/645147917523644416/NsmMwKz4_normal.jpg","View")</f>
        <v>View</v>
      </c>
      <c r="P5099" s="10"/>
    </row>
    <row r="5100" customFormat="false" ht="15.75" hidden="false" customHeight="false" outlineLevel="0" collapsed="false">
      <c r="A5100" s="6" t="n">
        <v>43030.8580787037</v>
      </c>
      <c r="B5100" s="7" t="str">
        <f aca="false">HYPERLINK("https://twitter.com/RaviBatra","@RaviBatra")</f>
        <v>@RaviBatra</v>
      </c>
      <c r="C5100" s="8" t="s">
        <v>11949</v>
      </c>
      <c r="D5100" s="8" t="s">
        <v>11950</v>
      </c>
      <c r="E5100" s="9" t="str">
        <f aca="false">HYPERLINK("https://twitter.com/RaviBatra/status/922305489223995392","922305489223995392")</f>
        <v>922305489223995392</v>
      </c>
      <c r="F5100" s="10" t="s">
        <v>39</v>
      </c>
      <c r="G5100" s="10" t="n">
        <v>736</v>
      </c>
      <c r="H5100" s="10" t="n">
        <v>199</v>
      </c>
      <c r="I5100" s="10" t="n">
        <v>0</v>
      </c>
      <c r="J5100" s="10" t="n">
        <v>0</v>
      </c>
      <c r="K5100" s="10" t="s">
        <v>20</v>
      </c>
      <c r="L5100" s="11" t="n">
        <v>39945.7304166667</v>
      </c>
      <c r="M5100" s="12" t="s">
        <v>11951</v>
      </c>
      <c r="N5100" s="12" t="s">
        <v>11952</v>
      </c>
      <c r="O5100" s="9" t="str">
        <f aca="false">HYPERLINK("https://pbs.twimg.com/profile_images/3214442804/5779a46ddb74f1151f554440dc7573e5_normal.jpeg","View")</f>
        <v>View</v>
      </c>
      <c r="P5100" s="10"/>
    </row>
    <row r="5101" customFormat="false" ht="15.75" hidden="false" customHeight="false" outlineLevel="0" collapsed="false">
      <c r="A5101" s="6" t="n">
        <v>43030.8588425926</v>
      </c>
      <c r="B5101" s="7" t="str">
        <f aca="false">HYPERLINK("https://twitter.com/lnair123","@lnair123")</f>
        <v>@lnair123</v>
      </c>
      <c r="C5101" s="8" t="s">
        <v>11953</v>
      </c>
      <c r="D5101" s="8" t="s">
        <v>8538</v>
      </c>
      <c r="E5101" s="9" t="str">
        <f aca="false">HYPERLINK("https://twitter.com/lnair123/status/922305762357002241","922305762357002241")</f>
        <v>922305762357002241</v>
      </c>
      <c r="F5101" s="10" t="s">
        <v>177</v>
      </c>
      <c r="G5101" s="10" t="n">
        <v>3052</v>
      </c>
      <c r="H5101" s="10" t="n">
        <v>440</v>
      </c>
      <c r="I5101" s="10" t="n">
        <v>1015</v>
      </c>
      <c r="J5101" s="10" t="n">
        <v>0</v>
      </c>
      <c r="K5101" s="10" t="s">
        <v>20</v>
      </c>
      <c r="L5101" s="11" t="n">
        <v>41119.3923263889</v>
      </c>
      <c r="M5101" s="12"/>
      <c r="N5101" s="12"/>
      <c r="O5101" s="9" t="str">
        <f aca="false">HYPERLINK("https://pbs.twimg.com/profile_images/2591778120/r537jwq44219pe38hd2j_normal.jpeg","View")</f>
        <v>View</v>
      </c>
      <c r="P5101" s="10"/>
    </row>
    <row r="5102" customFormat="false" ht="15.75" hidden="false" customHeight="false" outlineLevel="0" collapsed="false">
      <c r="A5102" s="6" t="n">
        <v>43030.8592708333</v>
      </c>
      <c r="B5102" s="7" t="str">
        <f aca="false">HYPERLINK("https://twitter.com/gkeshari","@gkeshari")</f>
        <v>@gkeshari</v>
      </c>
      <c r="C5102" s="8" t="s">
        <v>11954</v>
      </c>
      <c r="D5102" s="8" t="s">
        <v>8538</v>
      </c>
      <c r="E5102" s="9" t="str">
        <f aca="false">HYPERLINK("https://twitter.com/gkeshari/status/922305919836340224","922305919836340224")</f>
        <v>922305919836340224</v>
      </c>
      <c r="F5102" s="10" t="s">
        <v>25</v>
      </c>
      <c r="G5102" s="10" t="n">
        <v>231</v>
      </c>
      <c r="H5102" s="10" t="n">
        <v>374</v>
      </c>
      <c r="I5102" s="10" t="n">
        <v>1015</v>
      </c>
      <c r="J5102" s="10" t="n">
        <v>0</v>
      </c>
      <c r="K5102" s="10" t="s">
        <v>20</v>
      </c>
      <c r="L5102" s="11" t="n">
        <v>40061.2596527778</v>
      </c>
      <c r="M5102" s="12" t="s">
        <v>11955</v>
      </c>
      <c r="N5102" s="12" t="s">
        <v>11956</v>
      </c>
      <c r="O5102" s="9" t="str">
        <f aca="false">HYPERLINK("https://pbs.twimg.com/profile_images/904769311255937028/zvi_MNXB_normal.jpg","View")</f>
        <v>View</v>
      </c>
      <c r="P5102" s="10"/>
    </row>
    <row r="5103" customFormat="false" ht="15.75" hidden="false" customHeight="false" outlineLevel="0" collapsed="false">
      <c r="A5103" s="6" t="n">
        <v>43030.8592939815</v>
      </c>
      <c r="B5103" s="7" t="str">
        <f aca="false">HYPERLINK("https://twitter.com/login2bigbang","@login2bigbang")</f>
        <v>@login2bigbang</v>
      </c>
      <c r="C5103" s="8" t="s">
        <v>11957</v>
      </c>
      <c r="D5103" s="8" t="s">
        <v>8538</v>
      </c>
      <c r="E5103" s="9" t="str">
        <f aca="false">HYPERLINK("https://twitter.com/login2bigbang/status/922305926576476160","922305926576476160")</f>
        <v>922305926576476160</v>
      </c>
      <c r="F5103" s="10" t="s">
        <v>25</v>
      </c>
      <c r="G5103" s="10" t="n">
        <v>159</v>
      </c>
      <c r="H5103" s="10" t="n">
        <v>185</v>
      </c>
      <c r="I5103" s="10" t="n">
        <v>1015</v>
      </c>
      <c r="J5103" s="10" t="n">
        <v>0</v>
      </c>
      <c r="K5103" s="10" t="s">
        <v>20</v>
      </c>
      <c r="L5103" s="11" t="n">
        <v>41776.8982638889</v>
      </c>
      <c r="M5103" s="12" t="s">
        <v>72</v>
      </c>
      <c r="N5103" s="12" t="s">
        <v>11958</v>
      </c>
      <c r="O5103" s="9" t="str">
        <f aca="false">HYPERLINK("https://pbs.twimg.com/profile_images/922195378543370240/-hfHZgg1_normal.jpg","View")</f>
        <v>View</v>
      </c>
      <c r="P5103" s="10"/>
    </row>
    <row r="5104" customFormat="false" ht="15.75" hidden="false" customHeight="false" outlineLevel="0" collapsed="false">
      <c r="A5104" s="6" t="n">
        <v>43030.8604513889</v>
      </c>
      <c r="B5104" s="7" t="str">
        <f aca="false">HYPERLINK("https://twitter.com/Insuranceshare","@Insuranceshare")</f>
        <v>@Insuranceshare</v>
      </c>
      <c r="C5104" s="8" t="s">
        <v>11959</v>
      </c>
      <c r="D5104" s="8" t="s">
        <v>11960</v>
      </c>
      <c r="E5104" s="9" t="str">
        <f aca="false">HYPERLINK("https://twitter.com/Insuranceshare/status/922306346233479168","922306346233479168")</f>
        <v>922306346233479168</v>
      </c>
      <c r="F5104" s="9" t="s">
        <v>1147</v>
      </c>
      <c r="G5104" s="10" t="n">
        <v>1702</v>
      </c>
      <c r="H5104" s="10" t="n">
        <v>2200</v>
      </c>
      <c r="I5104" s="10" t="n">
        <v>0</v>
      </c>
      <c r="J5104" s="10" t="n">
        <v>0</v>
      </c>
      <c r="K5104" s="10" t="s">
        <v>20</v>
      </c>
      <c r="L5104" s="11" t="n">
        <v>41063.9702662037</v>
      </c>
      <c r="M5104" s="12"/>
      <c r="N5104" s="12" t="s">
        <v>11961</v>
      </c>
      <c r="O5104" s="9" t="str">
        <f aca="false">HYPERLINK("https://pbs.twimg.com/profile_images/2452291086/k4ora7ocv2m1xpxkbhrp_normal.jpeg","View")</f>
        <v>View</v>
      </c>
      <c r="P5104" s="10"/>
    </row>
    <row r="5105" customFormat="false" ht="15.75" hidden="false" customHeight="false" outlineLevel="0" collapsed="false">
      <c r="A5105" s="6" t="n">
        <v>43030.8609837963</v>
      </c>
      <c r="B5105" s="7" t="str">
        <f aca="false">HYPERLINK("https://twitter.com/PRKumar3100","@PRKumar3100")</f>
        <v>@PRKumar3100</v>
      </c>
      <c r="C5105" s="8" t="s">
        <v>11962</v>
      </c>
      <c r="D5105" s="8" t="s">
        <v>8538</v>
      </c>
      <c r="E5105" s="9" t="str">
        <f aca="false">HYPERLINK("https://twitter.com/PRKumar3100/status/922306541264490496","922306541264490496")</f>
        <v>922306541264490496</v>
      </c>
      <c r="F5105" s="10" t="s">
        <v>51</v>
      </c>
      <c r="G5105" s="10" t="n">
        <v>68</v>
      </c>
      <c r="H5105" s="10" t="n">
        <v>57</v>
      </c>
      <c r="I5105" s="10" t="n">
        <v>1015</v>
      </c>
      <c r="J5105" s="10" t="n">
        <v>0</v>
      </c>
      <c r="K5105" s="10" t="s">
        <v>20</v>
      </c>
      <c r="L5105" s="11" t="n">
        <v>41531.0155671296</v>
      </c>
      <c r="M5105" s="12"/>
      <c r="N5105" s="12"/>
      <c r="O5105" s="9" t="str">
        <f aca="false">HYPERLINK("https://pbs.twimg.com/profile_images/666661383669313536/0Cbsaqz7_normal.jpg","View")</f>
        <v>View</v>
      </c>
      <c r="P5105" s="10"/>
    </row>
    <row r="5106" customFormat="false" ht="15.75" hidden="false" customHeight="false" outlineLevel="0" collapsed="false">
      <c r="A5106" s="6" t="n">
        <v>43030.86125</v>
      </c>
      <c r="B5106" s="7" t="str">
        <f aca="false">HYPERLINK("https://twitter.com/AficionadoYash","@AficionadoYash")</f>
        <v>@AficionadoYash</v>
      </c>
      <c r="C5106" s="8" t="s">
        <v>819</v>
      </c>
      <c r="D5106" s="8" t="s">
        <v>11963</v>
      </c>
      <c r="E5106" s="9" t="str">
        <f aca="false">HYPERLINK("https://twitter.com/AficionadoYash/status/922306636265422848","922306636265422848")</f>
        <v>922306636265422848</v>
      </c>
      <c r="F5106" s="10" t="s">
        <v>60</v>
      </c>
      <c r="G5106" s="10" t="n">
        <v>2582</v>
      </c>
      <c r="H5106" s="10" t="n">
        <v>948</v>
      </c>
      <c r="I5106" s="10" t="n">
        <v>0</v>
      </c>
      <c r="J5106" s="10" t="n">
        <v>0</v>
      </c>
      <c r="K5106" s="10" t="s">
        <v>20</v>
      </c>
      <c r="L5106" s="11" t="n">
        <v>40905.1268287037</v>
      </c>
      <c r="M5106" s="12" t="s">
        <v>72</v>
      </c>
      <c r="N5106" s="12" t="s">
        <v>821</v>
      </c>
      <c r="O5106" s="9" t="str">
        <f aca="false">HYPERLINK("https://pbs.twimg.com/profile_images/731065154129928192/gauLWTlp_normal.jpg","View")</f>
        <v>View</v>
      </c>
      <c r="P5106" s="10"/>
    </row>
    <row r="5107" customFormat="false" ht="15.75" hidden="false" customHeight="false" outlineLevel="0" collapsed="false">
      <c r="A5107" s="6" t="n">
        <v>43030.861400463</v>
      </c>
      <c r="B5107" s="7" t="str">
        <f aca="false">HYPERLINK("https://twitter.com/bhasaby","@bhasaby")</f>
        <v>@bhasaby</v>
      </c>
      <c r="C5107" s="8" t="s">
        <v>8626</v>
      </c>
      <c r="D5107" s="8" t="s">
        <v>11964</v>
      </c>
      <c r="E5107" s="9" t="str">
        <f aca="false">HYPERLINK("https://twitter.com/bhasaby/status/922306690241855488","922306690241855488")</f>
        <v>922306690241855488</v>
      </c>
      <c r="F5107" s="10" t="s">
        <v>25</v>
      </c>
      <c r="G5107" s="10" t="n">
        <v>821</v>
      </c>
      <c r="H5107" s="10" t="n">
        <v>355</v>
      </c>
      <c r="I5107" s="10" t="n">
        <v>0</v>
      </c>
      <c r="J5107" s="10" t="n">
        <v>0</v>
      </c>
      <c r="K5107" s="10" t="s">
        <v>20</v>
      </c>
      <c r="L5107" s="11" t="n">
        <v>40154.8785648148</v>
      </c>
      <c r="M5107" s="12"/>
      <c r="N5107" s="12" t="s">
        <v>8627</v>
      </c>
      <c r="O5107" s="9" t="str">
        <f aca="false">HYPERLINK("https://pbs.twimg.com/profile_images/842006490361683969/3q3GgQ7a_normal.jpg","View")</f>
        <v>View</v>
      </c>
      <c r="P5107" s="10"/>
    </row>
    <row r="5108" customFormat="false" ht="15.75" hidden="false" customHeight="false" outlineLevel="0" collapsed="false">
      <c r="A5108" s="6" t="n">
        <v>43030.8615856482</v>
      </c>
      <c r="B5108" s="7" t="str">
        <f aca="false">HYPERLINK("https://twitter.com/NationVVant2kno","@NationVVant2kno")</f>
        <v>@NationVVant2kno</v>
      </c>
      <c r="C5108" s="8" t="s">
        <v>11965</v>
      </c>
      <c r="D5108" s="8" t="s">
        <v>8538</v>
      </c>
      <c r="E5108" s="9" t="str">
        <f aca="false">HYPERLINK("https://twitter.com/NationVVant2kno/status/922306757656944640","922306757656944640")</f>
        <v>922306757656944640</v>
      </c>
      <c r="F5108" s="10" t="s">
        <v>51</v>
      </c>
      <c r="G5108" s="10" t="n">
        <v>13</v>
      </c>
      <c r="H5108" s="10" t="n">
        <v>181</v>
      </c>
      <c r="I5108" s="10" t="n">
        <v>1015</v>
      </c>
      <c r="J5108" s="10" t="n">
        <v>0</v>
      </c>
      <c r="K5108" s="10" t="s">
        <v>20</v>
      </c>
      <c r="L5108" s="11" t="n">
        <v>42915.1833796296</v>
      </c>
      <c r="M5108" s="12"/>
      <c r="N5108" s="12"/>
      <c r="O5108" s="9" t="str">
        <f aca="false">HYPERLINK("https://abs.twimg.com/sticky/default_profile_images/default_profile_normal.png","View")</f>
        <v>View</v>
      </c>
      <c r="P5108" s="10"/>
    </row>
    <row r="5109" customFormat="false" ht="15.75" hidden="false" customHeight="false" outlineLevel="0" collapsed="false">
      <c r="A5109" s="6" t="n">
        <v>43030.8619907407</v>
      </c>
      <c r="B5109" s="7" t="str">
        <f aca="false">HYPERLINK("https://twitter.com/varunvd","@varunvd")</f>
        <v>@varunvd</v>
      </c>
      <c r="C5109" s="8" t="s">
        <v>4119</v>
      </c>
      <c r="D5109" s="8" t="s">
        <v>8538</v>
      </c>
      <c r="E5109" s="9" t="str">
        <f aca="false">HYPERLINK("https://twitter.com/varunvd/status/922306903681548288","922306903681548288")</f>
        <v>922306903681548288</v>
      </c>
      <c r="F5109" s="10" t="s">
        <v>25</v>
      </c>
      <c r="G5109" s="10" t="n">
        <v>1473</v>
      </c>
      <c r="H5109" s="10" t="n">
        <v>5001</v>
      </c>
      <c r="I5109" s="10" t="n">
        <v>1015</v>
      </c>
      <c r="J5109" s="10" t="n">
        <v>0</v>
      </c>
      <c r="K5109" s="10" t="s">
        <v>20</v>
      </c>
      <c r="L5109" s="11" t="n">
        <v>40059.147662037</v>
      </c>
      <c r="M5109" s="12" t="s">
        <v>4121</v>
      </c>
      <c r="N5109" s="12" t="s">
        <v>4122</v>
      </c>
      <c r="O5109" s="9" t="str">
        <f aca="false">HYPERLINK("https://pbs.twimg.com/profile_images/921410394958082049/7lSsVbzm_normal.jpg","View")</f>
        <v>View</v>
      </c>
      <c r="P5109" s="10"/>
    </row>
    <row r="5110" customFormat="false" ht="15.75" hidden="false" customHeight="false" outlineLevel="0" collapsed="false">
      <c r="A5110" s="6" t="n">
        <v>43030.8622222222</v>
      </c>
      <c r="B5110" s="7" t="str">
        <f aca="false">HYPERLINK("https://twitter.com/LalithKris","@LalithKris")</f>
        <v>@LalithKris</v>
      </c>
      <c r="C5110" s="8" t="s">
        <v>8206</v>
      </c>
      <c r="D5110" s="8" t="s">
        <v>11966</v>
      </c>
      <c r="E5110" s="9" t="str">
        <f aca="false">HYPERLINK("https://twitter.com/LalithKris/status/922306991187300353","922306991187300353")</f>
        <v>922306991187300353</v>
      </c>
      <c r="F5110" s="10" t="s">
        <v>39</v>
      </c>
      <c r="G5110" s="10" t="n">
        <v>396</v>
      </c>
      <c r="H5110" s="10" t="n">
        <v>10</v>
      </c>
      <c r="I5110" s="10" t="n">
        <v>0</v>
      </c>
      <c r="J5110" s="10" t="n">
        <v>0</v>
      </c>
      <c r="K5110" s="10" t="s">
        <v>20</v>
      </c>
      <c r="L5110" s="11" t="n">
        <v>42419.0413888889</v>
      </c>
      <c r="M5110" s="12"/>
      <c r="N5110" s="12" t="s">
        <v>8208</v>
      </c>
      <c r="O5110" s="9" t="str">
        <f aca="false">HYPERLINK("https://pbs.twimg.com/profile_images/923787226575540224/laQBsztd_normal.jpg","View")</f>
        <v>View</v>
      </c>
      <c r="P5110" s="10"/>
    </row>
    <row r="5111" customFormat="false" ht="15.75" hidden="false" customHeight="false" outlineLevel="0" collapsed="false">
      <c r="A5111" s="6" t="n">
        <v>43030.8622569444</v>
      </c>
      <c r="B5111" s="7" t="str">
        <f aca="false">HYPERLINK("https://twitter.com/U_HBC","@U_HBC")</f>
        <v>@U_HBC</v>
      </c>
      <c r="C5111" s="14" t="s">
        <v>11967</v>
      </c>
      <c r="D5111" s="8" t="s">
        <v>11033</v>
      </c>
      <c r="E5111" s="9" t="str">
        <f aca="false">HYPERLINK("https://twitter.com/U_HBC/status/922307003250180096","922307003250180096")</f>
        <v>922307003250180096</v>
      </c>
      <c r="F5111" s="10" t="s">
        <v>51</v>
      </c>
      <c r="G5111" s="10" t="n">
        <v>80</v>
      </c>
      <c r="H5111" s="10" t="n">
        <v>420</v>
      </c>
      <c r="I5111" s="10" t="n">
        <v>60</v>
      </c>
      <c r="J5111" s="10" t="n">
        <v>0</v>
      </c>
      <c r="K5111" s="10" t="s">
        <v>20</v>
      </c>
      <c r="L5111" s="11" t="n">
        <v>40620.9977546296</v>
      </c>
      <c r="M5111" s="12"/>
      <c r="N5111" s="13" t="s">
        <v>11968</v>
      </c>
      <c r="O5111" s="9" t="str">
        <f aca="false">HYPERLINK("https://pbs.twimg.com/profile_images/892675606898294784/zV_pyOsO_normal.jpg","View")</f>
        <v>View</v>
      </c>
      <c r="P5111" s="10"/>
    </row>
    <row r="5112" customFormat="false" ht="15.75" hidden="false" customHeight="false" outlineLevel="0" collapsed="false">
      <c r="A5112" s="6" t="n">
        <v>43030.8634837963</v>
      </c>
      <c r="B5112" s="7" t="str">
        <f aca="false">HYPERLINK("https://twitter.com/MarisKucinskis","@MarisKucinskis")</f>
        <v>@MarisKucinskis</v>
      </c>
      <c r="C5112" s="8" t="s">
        <v>11969</v>
      </c>
      <c r="D5112" s="8" t="s">
        <v>11970</v>
      </c>
      <c r="E5112" s="9" t="str">
        <f aca="false">HYPERLINK("https://twitter.com/MarisKucinskis/status/922307446974099456","922307446974099456")</f>
        <v>922307446974099456</v>
      </c>
      <c r="F5112" s="10" t="s">
        <v>39</v>
      </c>
      <c r="G5112" s="10" t="n">
        <v>3458</v>
      </c>
      <c r="H5112" s="10" t="n">
        <v>944</v>
      </c>
      <c r="I5112" s="10" t="n">
        <v>3</v>
      </c>
      <c r="J5112" s="10" t="n">
        <v>6</v>
      </c>
      <c r="K5112" s="10" t="s">
        <v>20</v>
      </c>
      <c r="L5112" s="11" t="n">
        <v>41211.3869444444</v>
      </c>
      <c r="M5112" s="12"/>
      <c r="N5112" s="12"/>
      <c r="O5112" s="9" t="str">
        <f aca="false">HYPERLINK("https://pbs.twimg.com/profile_images/700792735779975169/2hUdkIxr_normal.jpg","View")</f>
        <v>View</v>
      </c>
      <c r="P5112" s="10"/>
    </row>
    <row r="5113" customFormat="false" ht="15.75" hidden="false" customHeight="false" outlineLevel="0" collapsed="false">
      <c r="A5113" s="6" t="n">
        <v>43030.8636342593</v>
      </c>
      <c r="B5113" s="7" t="str">
        <f aca="false">HYPERLINK("https://twitter.com/DukeTakahashi","@DukeTakahashi")</f>
        <v>@DukeTakahashi</v>
      </c>
      <c r="C5113" s="8" t="s">
        <v>11971</v>
      </c>
      <c r="D5113" s="8" t="s">
        <v>10073</v>
      </c>
      <c r="E5113" s="9" t="str">
        <f aca="false">HYPERLINK("https://twitter.com/DukeTakahashi/status/922307502573625344","922307502573625344")</f>
        <v>922307502573625344</v>
      </c>
      <c r="F5113" s="10" t="s">
        <v>39</v>
      </c>
      <c r="G5113" s="10" t="n">
        <v>972</v>
      </c>
      <c r="H5113" s="10" t="n">
        <v>2867</v>
      </c>
      <c r="I5113" s="10" t="n">
        <v>5</v>
      </c>
      <c r="J5113" s="10" t="n">
        <v>0</v>
      </c>
      <c r="K5113" s="10" t="s">
        <v>20</v>
      </c>
      <c r="L5113" s="11" t="n">
        <v>40323.0850115741</v>
      </c>
      <c r="M5113" s="12"/>
      <c r="N5113" s="12"/>
      <c r="O5113" s="9" t="str">
        <f aca="false">HYPERLINK("https://pbs.twimg.com/profile_images/958492061/Nec_0190_normal.jpg","View")</f>
        <v>View</v>
      </c>
      <c r="P5113" s="10"/>
    </row>
    <row r="5114" customFormat="false" ht="15.75" hidden="false" customHeight="false" outlineLevel="0" collapsed="false">
      <c r="A5114" s="6" t="n">
        <v>43030.8637962963</v>
      </c>
      <c r="B5114" s="7" t="str">
        <f aca="false">HYPERLINK("https://twitter.com/Ajit_Patil_17","@Ajit_Patil_17")</f>
        <v>@Ajit_Patil_17</v>
      </c>
      <c r="C5114" s="8" t="s">
        <v>11972</v>
      </c>
      <c r="D5114" s="8" t="s">
        <v>8538</v>
      </c>
      <c r="E5114" s="9" t="str">
        <f aca="false">HYPERLINK("https://twitter.com/Ajit_Patil_17/status/922307558995402752","922307558995402752")</f>
        <v>922307558995402752</v>
      </c>
      <c r="F5114" s="10" t="s">
        <v>39</v>
      </c>
      <c r="G5114" s="10" t="n">
        <v>36</v>
      </c>
      <c r="H5114" s="10" t="n">
        <v>217</v>
      </c>
      <c r="I5114" s="10" t="n">
        <v>1015</v>
      </c>
      <c r="J5114" s="10" t="n">
        <v>0</v>
      </c>
      <c r="K5114" s="10" t="s">
        <v>20</v>
      </c>
      <c r="L5114" s="11" t="n">
        <v>42951.3804976852</v>
      </c>
      <c r="M5114" s="12" t="s">
        <v>5920</v>
      </c>
      <c r="N5114" s="12" t="s">
        <v>11973</v>
      </c>
      <c r="O5114" s="9" t="str">
        <f aca="false">HYPERLINK("https://pbs.twimg.com/profile_images/895732101273731072/E0t-o-sf_normal.jpg","View")</f>
        <v>View</v>
      </c>
      <c r="P5114" s="10"/>
    </row>
    <row r="5115" customFormat="false" ht="15.75" hidden="false" customHeight="false" outlineLevel="0" collapsed="false">
      <c r="A5115" s="6" t="n">
        <v>43030.8645833333</v>
      </c>
      <c r="B5115" s="7" t="str">
        <f aca="false">HYPERLINK("https://twitter.com/BrexitCosts","@BrexitCosts")</f>
        <v>@BrexitCosts</v>
      </c>
      <c r="C5115" s="8" t="s">
        <v>11974</v>
      </c>
      <c r="D5115" s="8" t="s">
        <v>11975</v>
      </c>
      <c r="E5115" s="9" t="str">
        <f aca="false">HYPERLINK("https://twitter.com/BrexitCosts/status/922307845307224064","922307845307224064")</f>
        <v>922307845307224064</v>
      </c>
      <c r="F5115" s="10" t="s">
        <v>1167</v>
      </c>
      <c r="G5115" s="10" t="n">
        <v>609</v>
      </c>
      <c r="H5115" s="10" t="n">
        <v>538</v>
      </c>
      <c r="I5115" s="10" t="n">
        <v>0</v>
      </c>
      <c r="J5115" s="10" t="n">
        <v>0</v>
      </c>
      <c r="K5115" s="10" t="s">
        <v>20</v>
      </c>
      <c r="L5115" s="11" t="n">
        <v>42941.2328240741</v>
      </c>
      <c r="M5115" s="12" t="s">
        <v>203</v>
      </c>
      <c r="N5115" s="12" t="s">
        <v>11976</v>
      </c>
      <c r="O5115" s="9" t="str">
        <f aca="false">HYPERLINK("https://pbs.twimg.com/profile_images/889828408166842368/v8MBEDNn_normal.jpg","View")</f>
        <v>View</v>
      </c>
      <c r="P5115" s="10"/>
    </row>
    <row r="5116" customFormat="false" ht="15.75" hidden="false" customHeight="false" outlineLevel="0" collapsed="false">
      <c r="A5116" s="6" t="n">
        <v>43030.864837963</v>
      </c>
      <c r="B5116" s="7" t="str">
        <f aca="false">HYPERLINK("https://twitter.com/rajatdhar1","@rajatdhar1")</f>
        <v>@rajatdhar1</v>
      </c>
      <c r="C5116" s="8" t="s">
        <v>2889</v>
      </c>
      <c r="D5116" s="8" t="s">
        <v>11977</v>
      </c>
      <c r="E5116" s="9" t="str">
        <f aca="false">HYPERLINK("https://twitter.com/rajatdhar1/status/922307935807688704","922307935807688704")</f>
        <v>922307935807688704</v>
      </c>
      <c r="F5116" s="10" t="s">
        <v>110</v>
      </c>
      <c r="G5116" s="10" t="n">
        <v>3161</v>
      </c>
      <c r="H5116" s="10" t="n">
        <v>3395</v>
      </c>
      <c r="I5116" s="10" t="n">
        <v>0</v>
      </c>
      <c r="J5116" s="10" t="n">
        <v>0</v>
      </c>
      <c r="K5116" s="10" t="s">
        <v>20</v>
      </c>
      <c r="L5116" s="11" t="n">
        <v>40503.3462384259</v>
      </c>
      <c r="M5116" s="12" t="s">
        <v>2891</v>
      </c>
      <c r="N5116" s="12" t="s">
        <v>2892</v>
      </c>
      <c r="O5116" s="9" t="str">
        <f aca="false">HYPERLINK("https://pbs.twimg.com/profile_images/750193714157461504/ZSEe3DV4_normal.jpg","View")</f>
        <v>View</v>
      </c>
      <c r="P5116" s="10"/>
    </row>
    <row r="5117" customFormat="false" ht="15.75" hidden="false" customHeight="false" outlineLevel="0" collapsed="false">
      <c r="A5117" s="6" t="n">
        <v>43030.864837963</v>
      </c>
      <c r="B5117" s="7" t="str">
        <f aca="false">HYPERLINK("https://twitter.com/AliANaqviPro","@AliANaqviPro")</f>
        <v>@AliANaqviPro</v>
      </c>
      <c r="C5117" s="8" t="s">
        <v>11978</v>
      </c>
      <c r="D5117" s="8" t="s">
        <v>11979</v>
      </c>
      <c r="E5117" s="9" t="str">
        <f aca="false">HYPERLINK("https://twitter.com/AliANaqviPro/status/922307938953416704","922307938953416704")</f>
        <v>922307938953416704</v>
      </c>
      <c r="F5117" s="10" t="s">
        <v>110</v>
      </c>
      <c r="G5117" s="10" t="n">
        <v>226</v>
      </c>
      <c r="H5117" s="10" t="n">
        <v>502</v>
      </c>
      <c r="I5117" s="10" t="n">
        <v>0</v>
      </c>
      <c r="J5117" s="10" t="n">
        <v>0</v>
      </c>
      <c r="K5117" s="10" t="s">
        <v>20</v>
      </c>
      <c r="L5117" s="11" t="n">
        <v>40247.3721643519</v>
      </c>
      <c r="M5117" s="12" t="s">
        <v>1843</v>
      </c>
      <c r="N5117" s="12" t="s">
        <v>11980</v>
      </c>
      <c r="O5117" s="9" t="str">
        <f aca="false">HYPERLINK("https://pbs.twimg.com/profile_images/738793650361147392/y4OmDuNh_normal.jpg","View")</f>
        <v>View</v>
      </c>
      <c r="P5117" s="10"/>
    </row>
    <row r="5118" customFormat="false" ht="15.75" hidden="false" customHeight="false" outlineLevel="0" collapsed="false">
      <c r="A5118" s="6" t="n">
        <v>43030.8650231481</v>
      </c>
      <c r="B5118" s="7" t="str">
        <f aca="false">HYPERLINK("https://twitter.com/BrexshitTrade","@BrexshitTrade")</f>
        <v>@BrexshitTrade</v>
      </c>
      <c r="C5118" s="8" t="s">
        <v>11981</v>
      </c>
      <c r="D5118" s="8" t="s">
        <v>11982</v>
      </c>
      <c r="E5118" s="9" t="str">
        <f aca="false">HYPERLINK("https://twitter.com/BrexshitTrade/status/922308005160419328","922308005160419328")</f>
        <v>922308005160419328</v>
      </c>
      <c r="F5118" s="10" t="s">
        <v>60</v>
      </c>
      <c r="G5118" s="10" t="n">
        <v>443</v>
      </c>
      <c r="H5118" s="10" t="n">
        <v>359</v>
      </c>
      <c r="I5118" s="10" t="n">
        <v>0</v>
      </c>
      <c r="J5118" s="10" t="n">
        <v>0</v>
      </c>
      <c r="K5118" s="10" t="s">
        <v>20</v>
      </c>
      <c r="L5118" s="11" t="n">
        <v>42894.1754861111</v>
      </c>
      <c r="M5118" s="12" t="s">
        <v>203</v>
      </c>
      <c r="N5118" s="12" t="s">
        <v>11983</v>
      </c>
      <c r="O5118" s="9" t="str">
        <f aca="false">HYPERLINK("https://pbs.twimg.com/profile_images/872775128186224640/JD8GR2OM_normal.jpg","View")</f>
        <v>View</v>
      </c>
      <c r="P5118" s="10"/>
    </row>
    <row r="5119" customFormat="false" ht="15.75" hidden="false" customHeight="false" outlineLevel="0" collapsed="false">
      <c r="A5119" s="6" t="n">
        <v>43030.8652083333</v>
      </c>
      <c r="B5119" s="7" t="str">
        <f aca="false">HYPERLINK("https://twitter.com/gutulu06","@gutulu06")</f>
        <v>@gutulu06</v>
      </c>
      <c r="C5119" s="8" t="s">
        <v>11984</v>
      </c>
      <c r="D5119" s="8" t="s">
        <v>8538</v>
      </c>
      <c r="E5119" s="9" t="str">
        <f aca="false">HYPERLINK("https://twitter.com/gutulu06/status/922308072705609728","922308072705609728")</f>
        <v>922308072705609728</v>
      </c>
      <c r="F5119" s="10" t="s">
        <v>177</v>
      </c>
      <c r="G5119" s="10" t="n">
        <v>128</v>
      </c>
      <c r="H5119" s="10" t="n">
        <v>127</v>
      </c>
      <c r="I5119" s="10" t="n">
        <v>1015</v>
      </c>
      <c r="J5119" s="10" t="n">
        <v>0</v>
      </c>
      <c r="K5119" s="10" t="s">
        <v>20</v>
      </c>
      <c r="L5119" s="11" t="n">
        <v>41543.547962963</v>
      </c>
      <c r="M5119" s="12"/>
      <c r="N5119" s="12"/>
      <c r="O5119" s="9" t="str">
        <f aca="false">HYPERLINK("https://abs.twimg.com/sticky/default_profile_images/default_profile_normal.png","View")</f>
        <v>View</v>
      </c>
      <c r="P5119" s="10"/>
    </row>
    <row r="5120" customFormat="false" ht="15.75" hidden="false" customHeight="false" outlineLevel="0" collapsed="false">
      <c r="A5120" s="6" t="n">
        <v>43030.8659837963</v>
      </c>
      <c r="B5120" s="7" t="str">
        <f aca="false">HYPERLINK("https://twitter.com/Latvia_Japan","@Latvia_Japan")</f>
        <v>@Latvia_Japan</v>
      </c>
      <c r="C5120" s="8" t="s">
        <v>11985</v>
      </c>
      <c r="D5120" s="8" t="s">
        <v>11986</v>
      </c>
      <c r="E5120" s="9" t="str">
        <f aca="false">HYPERLINK("https://twitter.com/Latvia_Japan/status/922308352360812544","922308352360812544")</f>
        <v>922308352360812544</v>
      </c>
      <c r="F5120" s="10" t="s">
        <v>39</v>
      </c>
      <c r="G5120" s="10" t="n">
        <v>9</v>
      </c>
      <c r="H5120" s="10" t="n">
        <v>24</v>
      </c>
      <c r="I5120" s="10" t="n">
        <v>3</v>
      </c>
      <c r="J5120" s="10" t="n">
        <v>0</v>
      </c>
      <c r="K5120" s="10" t="s">
        <v>20</v>
      </c>
      <c r="L5120" s="11" t="n">
        <v>42984.0145023148</v>
      </c>
      <c r="M5120" s="12" t="s">
        <v>11987</v>
      </c>
      <c r="N5120" s="12" t="s">
        <v>11988</v>
      </c>
      <c r="O5120" s="9" t="str">
        <f aca="false">HYPERLINK("https://pbs.twimg.com/profile_images/905350119595413505/_GlNfxYm_normal.jpg","View")</f>
        <v>View</v>
      </c>
      <c r="P5120" s="10"/>
    </row>
    <row r="5121" customFormat="false" ht="15.75" hidden="false" customHeight="false" outlineLevel="0" collapsed="false">
      <c r="A5121" s="6" t="n">
        <v>43030.8662731482</v>
      </c>
      <c r="B5121" s="7" t="str">
        <f aca="false">HYPERLINK("https://twitter.com/nramaswamy","@nramaswamy")</f>
        <v>@nramaswamy</v>
      </c>
      <c r="C5121" s="8" t="s">
        <v>11989</v>
      </c>
      <c r="D5121" s="8" t="s">
        <v>8538</v>
      </c>
      <c r="E5121" s="9" t="str">
        <f aca="false">HYPERLINK("https://twitter.com/nramaswamy/status/922308457738387457","922308457738387457")</f>
        <v>922308457738387457</v>
      </c>
      <c r="F5121" s="10" t="s">
        <v>25</v>
      </c>
      <c r="G5121" s="10" t="n">
        <v>57</v>
      </c>
      <c r="H5121" s="10" t="n">
        <v>101</v>
      </c>
      <c r="I5121" s="10" t="n">
        <v>1015</v>
      </c>
      <c r="J5121" s="10" t="n">
        <v>0</v>
      </c>
      <c r="K5121" s="10" t="s">
        <v>20</v>
      </c>
      <c r="L5121" s="11" t="n">
        <v>40024.1486574074</v>
      </c>
      <c r="M5121" s="12" t="s">
        <v>6635</v>
      </c>
      <c r="N5121" s="12" t="s">
        <v>11990</v>
      </c>
      <c r="O5121" s="9" t="str">
        <f aca="false">HYPERLINK("https://pbs.twimg.com/profile_images/1157091662/img2c_normal.jpg","View")</f>
        <v>View</v>
      </c>
      <c r="P5121" s="10"/>
    </row>
    <row r="5122" customFormat="false" ht="15.75" hidden="false" customHeight="false" outlineLevel="0" collapsed="false">
      <c r="A5122" s="6" t="n">
        <v>43030.8670833333</v>
      </c>
      <c r="B5122" s="7" t="str">
        <f aca="false">HYPERLINK("https://twitter.com/shiro0515","@shiro0515")</f>
        <v>@shiro0515</v>
      </c>
      <c r="C5122" s="14" t="s">
        <v>11991</v>
      </c>
      <c r="D5122" s="8" t="s">
        <v>11418</v>
      </c>
      <c r="E5122" s="9" t="str">
        <f aca="false">HYPERLINK("https://twitter.com/shiro0515/status/922308749586341888","922308749586341888")</f>
        <v>922308749586341888</v>
      </c>
      <c r="F5122" s="10" t="s">
        <v>25</v>
      </c>
      <c r="G5122" s="10" t="n">
        <v>229</v>
      </c>
      <c r="H5122" s="10" t="n">
        <v>51</v>
      </c>
      <c r="I5122" s="10" t="n">
        <v>38</v>
      </c>
      <c r="J5122" s="10" t="n">
        <v>0</v>
      </c>
      <c r="K5122" s="10" t="s">
        <v>20</v>
      </c>
      <c r="L5122" s="11" t="n">
        <v>40496.1677546296</v>
      </c>
      <c r="M5122" s="13" t="s">
        <v>8250</v>
      </c>
      <c r="N5122" s="13" t="s">
        <v>11992</v>
      </c>
      <c r="O5122" s="9" t="str">
        <f aca="false">HYPERLINK("https://pbs.twimg.com/profile_images/896917876602425345/fkAChBfN_normal.jpg","View")</f>
        <v>View</v>
      </c>
      <c r="P5122" s="10"/>
    </row>
    <row r="5123" customFormat="false" ht="15.75" hidden="false" customHeight="false" outlineLevel="0" collapsed="false">
      <c r="A5123" s="6" t="n">
        <v>43030.8685763889</v>
      </c>
      <c r="B5123" s="7" t="str">
        <f aca="false">HYPERLINK("https://twitter.com/News247247","@News247247")</f>
        <v>@News247247</v>
      </c>
      <c r="C5123" s="8" t="s">
        <v>11993</v>
      </c>
      <c r="D5123" s="8" t="s">
        <v>11994</v>
      </c>
      <c r="E5123" s="9" t="str">
        <f aca="false">HYPERLINK("https://twitter.com/News247247/status/922309290580414464","922309290580414464")</f>
        <v>922309290580414464</v>
      </c>
      <c r="F5123" s="10" t="s">
        <v>60</v>
      </c>
      <c r="G5123" s="10" t="n">
        <v>400</v>
      </c>
      <c r="H5123" s="10" t="n">
        <v>882</v>
      </c>
      <c r="I5123" s="10" t="n">
        <v>0</v>
      </c>
      <c r="J5123" s="10" t="n">
        <v>0</v>
      </c>
      <c r="K5123" s="10" t="s">
        <v>20</v>
      </c>
      <c r="L5123" s="11" t="n">
        <v>41856.6327430556</v>
      </c>
      <c r="M5123" s="12"/>
      <c r="N5123" s="12" t="s">
        <v>11995</v>
      </c>
      <c r="O5123" s="9" t="str">
        <f aca="false">HYPERLINK("https://pbs.twimg.com/profile_images/597719785338580992/Ew21xv7i_normal.jpg","View")</f>
        <v>View</v>
      </c>
      <c r="P5123" s="10"/>
    </row>
    <row r="5124" customFormat="false" ht="15.75" hidden="false" customHeight="false" outlineLevel="0" collapsed="false">
      <c r="A5124" s="6" t="n">
        <v>43030.8687152778</v>
      </c>
      <c r="B5124" s="7" t="str">
        <f aca="false">HYPERLINK("https://twitter.com/foqn_roll","@foqn_roll")</f>
        <v>@foqn_roll</v>
      </c>
      <c r="C5124" s="14" t="s">
        <v>11996</v>
      </c>
      <c r="D5124" s="8" t="s">
        <v>11418</v>
      </c>
      <c r="E5124" s="9" t="str">
        <f aca="false">HYPERLINK("https://twitter.com/foqn_roll/status/922309342690291712","922309342690291712")</f>
        <v>922309342690291712</v>
      </c>
      <c r="F5124" s="10" t="s">
        <v>25</v>
      </c>
      <c r="G5124" s="10" t="n">
        <v>621</v>
      </c>
      <c r="H5124" s="10" t="n">
        <v>602</v>
      </c>
      <c r="I5124" s="10" t="n">
        <v>38</v>
      </c>
      <c r="J5124" s="10" t="n">
        <v>0</v>
      </c>
      <c r="K5124" s="10" t="s">
        <v>20</v>
      </c>
      <c r="L5124" s="11" t="n">
        <v>40004.3200231482</v>
      </c>
      <c r="M5124" s="13" t="s">
        <v>11997</v>
      </c>
      <c r="N5124" s="12" t="s">
        <v>11998</v>
      </c>
      <c r="O5124" s="9" t="str">
        <f aca="false">HYPERLINK("https://pbs.twimg.com/profile_images/867405795683700737/S8EI1W-2_normal.jpg","View")</f>
        <v>View</v>
      </c>
      <c r="P5124" s="10"/>
    </row>
    <row r="5125" customFormat="false" ht="15.75" hidden="false" customHeight="false" outlineLevel="0" collapsed="false">
      <c r="A5125" s="6" t="n">
        <v>43030.8691782407</v>
      </c>
      <c r="B5125" s="7" t="str">
        <f aca="false">HYPERLINK("https://twitter.com/qwerty_sg","@qwerty_sg")</f>
        <v>@qwerty_sg</v>
      </c>
      <c r="C5125" s="8" t="s">
        <v>11999</v>
      </c>
      <c r="D5125" s="8" t="s">
        <v>12000</v>
      </c>
      <c r="E5125" s="9" t="str">
        <f aca="false">HYPERLINK("https://twitter.com/qwerty_sg/status/922309507878936576","922309507878936576")</f>
        <v>922309507878936576</v>
      </c>
      <c r="F5125" s="10" t="s">
        <v>60</v>
      </c>
      <c r="G5125" s="10" t="n">
        <v>282</v>
      </c>
      <c r="H5125" s="10" t="n">
        <v>260</v>
      </c>
      <c r="I5125" s="10" t="n">
        <v>0</v>
      </c>
      <c r="J5125" s="10" t="n">
        <v>0</v>
      </c>
      <c r="K5125" s="10" t="s">
        <v>20</v>
      </c>
      <c r="L5125" s="11" t="n">
        <v>39975.1607986111</v>
      </c>
      <c r="M5125" s="12" t="s">
        <v>3531</v>
      </c>
      <c r="N5125" s="12" t="s">
        <v>12001</v>
      </c>
      <c r="O5125" s="9" t="str">
        <f aca="false">HYPERLINK("https://pbs.twimg.com/profile_images/713389705367130112/-2Zuy39S_normal.jpg","View")</f>
        <v>View</v>
      </c>
      <c r="P5125" s="10"/>
    </row>
    <row r="5126" customFormat="false" ht="15.75" hidden="false" customHeight="false" outlineLevel="0" collapsed="false">
      <c r="A5126" s="6" t="n">
        <v>43030.8694791667</v>
      </c>
      <c r="B5126" s="7" t="str">
        <f aca="false">HYPERLINK("https://twitter.com/topMelbourneNow","@topMelbourneNow")</f>
        <v>@topMelbourneNow</v>
      </c>
      <c r="C5126" s="8" t="s">
        <v>12002</v>
      </c>
      <c r="D5126" s="8" t="s">
        <v>12003</v>
      </c>
      <c r="E5126" s="9" t="str">
        <f aca="false">HYPERLINK("https://twitter.com/topMelbourneNow/status/922309620772888576","922309620772888576")</f>
        <v>922309620772888576</v>
      </c>
      <c r="F5126" s="10" t="s">
        <v>12004</v>
      </c>
      <c r="G5126" s="10" t="n">
        <v>331</v>
      </c>
      <c r="H5126" s="10" t="n">
        <v>9</v>
      </c>
      <c r="I5126" s="10" t="n">
        <v>0</v>
      </c>
      <c r="J5126" s="10" t="n">
        <v>1</v>
      </c>
      <c r="K5126" s="10" t="s">
        <v>20</v>
      </c>
      <c r="L5126" s="11" t="n">
        <v>42318.7082291667</v>
      </c>
      <c r="M5126" s="12" t="s">
        <v>10929</v>
      </c>
      <c r="N5126" s="12" t="s">
        <v>12005</v>
      </c>
      <c r="O5126" s="9" t="str">
        <f aca="false">HYPERLINK("https://pbs.twimg.com/profile_images/860284222216556545/qfn1d1S9_normal.jpg","View")</f>
        <v>View</v>
      </c>
      <c r="P5126" s="10"/>
    </row>
    <row r="5127" customFormat="false" ht="15.75" hidden="false" customHeight="false" outlineLevel="0" collapsed="false">
      <c r="A5127" s="6" t="n">
        <v>43030.8696296296</v>
      </c>
      <c r="B5127" s="7" t="str">
        <f aca="false">HYPERLINK("https://twitter.com/LapisLazuli1127","@LapisLazuli1127")</f>
        <v>@LapisLazuli1127</v>
      </c>
      <c r="C5127" s="8" t="s">
        <v>12006</v>
      </c>
      <c r="D5127" s="8" t="s">
        <v>12007</v>
      </c>
      <c r="E5127" s="9" t="str">
        <f aca="false">HYPERLINK("https://twitter.com/LapisLazuli1127/status/922309674556203008","922309674556203008")</f>
        <v>922309674556203008</v>
      </c>
      <c r="F5127" s="10" t="s">
        <v>39</v>
      </c>
      <c r="G5127" s="10" t="n">
        <v>58</v>
      </c>
      <c r="H5127" s="10" t="n">
        <v>535</v>
      </c>
      <c r="I5127" s="10" t="n">
        <v>0</v>
      </c>
      <c r="J5127" s="10" t="n">
        <v>0</v>
      </c>
      <c r="K5127" s="10" t="s">
        <v>20</v>
      </c>
      <c r="L5127" s="11" t="n">
        <v>43008.079212963</v>
      </c>
      <c r="M5127" s="12" t="s">
        <v>7740</v>
      </c>
      <c r="N5127" s="12" t="s">
        <v>12008</v>
      </c>
      <c r="O5127" s="9" t="str">
        <f aca="false">HYPERLINK("https://pbs.twimg.com/profile_images/918265940034203648/KXRGrPiZ_normal.jpg","View")</f>
        <v>View</v>
      </c>
      <c r="P5127" s="10"/>
    </row>
    <row r="5128" customFormat="false" ht="15.75" hidden="false" customHeight="false" outlineLevel="0" collapsed="false">
      <c r="A5128" s="6" t="n">
        <v>43030.8703587963</v>
      </c>
      <c r="B5128" s="7" t="str">
        <f aca="false">HYPERLINK("https://twitter.com/PNNHQ","@PNNHQ")</f>
        <v>@PNNHQ</v>
      </c>
      <c r="C5128" s="8" t="s">
        <v>12009</v>
      </c>
      <c r="D5128" s="8" t="s">
        <v>12010</v>
      </c>
      <c r="E5128" s="9" t="str">
        <f aca="false">HYPERLINK("https://twitter.com/PNNHQ/status/922309937312788480","922309937312788480")</f>
        <v>922309937312788480</v>
      </c>
      <c r="F5128" s="10" t="s">
        <v>60</v>
      </c>
      <c r="G5128" s="10" t="n">
        <v>182</v>
      </c>
      <c r="H5128" s="10" t="n">
        <v>622</v>
      </c>
      <c r="I5128" s="10" t="n">
        <v>0</v>
      </c>
      <c r="J5128" s="10" t="n">
        <v>0</v>
      </c>
      <c r="K5128" s="10" t="s">
        <v>20</v>
      </c>
      <c r="L5128" s="11" t="n">
        <v>42787.4893981481</v>
      </c>
      <c r="M5128" s="12" t="s">
        <v>370</v>
      </c>
      <c r="N5128" s="12" t="s">
        <v>12011</v>
      </c>
      <c r="O5128" s="9" t="str">
        <f aca="false">HYPERLINK("https://pbs.twimg.com/profile_images/895307743665545216/S7HwVm0z_normal.jpg","View")</f>
        <v>View</v>
      </c>
      <c r="P5128" s="10"/>
    </row>
    <row r="5129" customFormat="false" ht="15.75" hidden="false" customHeight="false" outlineLevel="0" collapsed="false">
      <c r="A5129" s="6" t="n">
        <v>43030.8707638889</v>
      </c>
      <c r="B5129" s="7" t="str">
        <f aca="false">HYPERLINK("https://twitter.com/shivaprasad_124","@shivaprasad_124")</f>
        <v>@shivaprasad_124</v>
      </c>
      <c r="C5129" s="8" t="s">
        <v>12012</v>
      </c>
      <c r="D5129" s="8" t="s">
        <v>8538</v>
      </c>
      <c r="E5129" s="9" t="str">
        <f aca="false">HYPERLINK("https://twitter.com/shivaprasad_124/status/922310083354042370","922310083354042370")</f>
        <v>922310083354042370</v>
      </c>
      <c r="F5129" s="10" t="s">
        <v>25</v>
      </c>
      <c r="G5129" s="10" t="n">
        <v>237</v>
      </c>
      <c r="H5129" s="10" t="n">
        <v>952</v>
      </c>
      <c r="I5129" s="10" t="n">
        <v>1015</v>
      </c>
      <c r="J5129" s="10" t="n">
        <v>0</v>
      </c>
      <c r="K5129" s="10" t="s">
        <v>20</v>
      </c>
      <c r="L5129" s="11" t="n">
        <v>40538.9725578704</v>
      </c>
      <c r="M5129" s="12"/>
      <c r="N5129" s="12"/>
      <c r="O5129" s="9" t="str">
        <f aca="false">HYPERLINK("https://pbs.twimg.com/profile_images/784264792110268416/8sCT3crf_normal.jpg","View")</f>
        <v>View</v>
      </c>
      <c r="P5129" s="10"/>
    </row>
    <row r="5130" customFormat="false" ht="15.75" hidden="false" customHeight="false" outlineLevel="0" collapsed="false">
      <c r="A5130" s="6" t="n">
        <v>43030.870787037</v>
      </c>
      <c r="B5130" s="7" t="str">
        <f aca="false">HYPERLINK("https://twitter.com/factsfeeding","@factsfeeding")</f>
        <v>@factsfeeding</v>
      </c>
      <c r="C5130" s="7" t="s">
        <v>12013</v>
      </c>
      <c r="D5130" s="8" t="s">
        <v>12014</v>
      </c>
      <c r="E5130" s="9" t="str">
        <f aca="false">HYPERLINK("https://twitter.com/factsfeeding/status/922310092367810560","922310092367810560")</f>
        <v>922310092367810560</v>
      </c>
      <c r="F5130" s="9" t="s">
        <v>979</v>
      </c>
      <c r="G5130" s="10" t="n">
        <v>42</v>
      </c>
      <c r="H5130" s="10" t="n">
        <v>148</v>
      </c>
      <c r="I5130" s="10" t="n">
        <v>0</v>
      </c>
      <c r="J5130" s="10" t="n">
        <v>0</v>
      </c>
      <c r="K5130" s="10" t="s">
        <v>20</v>
      </c>
      <c r="L5130" s="11" t="n">
        <v>42452.9984722222</v>
      </c>
      <c r="M5130" s="12" t="s">
        <v>72</v>
      </c>
      <c r="N5130" s="12" t="s">
        <v>12015</v>
      </c>
      <c r="O5130" s="9" t="str">
        <f aca="false">HYPERLINK("https://pbs.twimg.com/profile_images/910926700892098560/JEZp7Kna_normal.jpg","View")</f>
        <v>View</v>
      </c>
      <c r="P5130" s="10"/>
    </row>
    <row r="5131" customFormat="false" ht="15.75" hidden="false" customHeight="false" outlineLevel="0" collapsed="false">
      <c r="A5131" s="6" t="n">
        <v>43030.8708449074</v>
      </c>
      <c r="B5131" s="7" t="str">
        <f aca="false">HYPERLINK("https://twitter.com/Mr_Junes","@Mr_Junes")</f>
        <v>@Mr_Junes</v>
      </c>
      <c r="C5131" s="8" t="s">
        <v>12016</v>
      </c>
      <c r="D5131" s="8" t="s">
        <v>11738</v>
      </c>
      <c r="E5131" s="9" t="str">
        <f aca="false">HYPERLINK("https://twitter.com/Mr_Junes/status/922310112265437189","922310112265437189")</f>
        <v>922310112265437189</v>
      </c>
      <c r="F5131" s="10" t="s">
        <v>12017</v>
      </c>
      <c r="G5131" s="10" t="n">
        <v>267</v>
      </c>
      <c r="H5131" s="10" t="n">
        <v>177</v>
      </c>
      <c r="I5131" s="10" t="n">
        <v>11</v>
      </c>
      <c r="J5131" s="10" t="n">
        <v>0</v>
      </c>
      <c r="K5131" s="10" t="s">
        <v>20</v>
      </c>
      <c r="L5131" s="11" t="n">
        <v>41435.214537037</v>
      </c>
      <c r="M5131" s="12" t="s">
        <v>12018</v>
      </c>
      <c r="N5131" s="12" t="s">
        <v>12019</v>
      </c>
      <c r="O5131" s="9" t="str">
        <f aca="false">HYPERLINK("https://pbs.twimg.com/profile_images/815659981147996161/LiD3Xfj6_normal.jpg","View")</f>
        <v>View</v>
      </c>
      <c r="P5131" s="10"/>
    </row>
    <row r="5132" customFormat="false" ht="15.75" hidden="false" customHeight="false" outlineLevel="0" collapsed="false">
      <c r="A5132" s="6" t="n">
        <v>43030.8708564815</v>
      </c>
      <c r="B5132" s="7" t="str">
        <f aca="false">HYPERLINK("https://twitter.com/hsnayak19","@hsnayak19")</f>
        <v>@hsnayak19</v>
      </c>
      <c r="C5132" s="8" t="s">
        <v>12020</v>
      </c>
      <c r="D5132" s="8" t="s">
        <v>8538</v>
      </c>
      <c r="E5132" s="9" t="str">
        <f aca="false">HYPERLINK("https://twitter.com/hsnayak19/status/922310118951104512","922310118951104512")</f>
        <v>922310118951104512</v>
      </c>
      <c r="F5132" s="10" t="s">
        <v>25</v>
      </c>
      <c r="G5132" s="10" t="n">
        <v>555</v>
      </c>
      <c r="H5132" s="10" t="n">
        <v>558</v>
      </c>
      <c r="I5132" s="10" t="n">
        <v>1015</v>
      </c>
      <c r="J5132" s="10" t="n">
        <v>0</v>
      </c>
      <c r="K5132" s="10" t="s">
        <v>20</v>
      </c>
      <c r="L5132" s="11" t="n">
        <v>40396.0799768518</v>
      </c>
      <c r="M5132" s="12"/>
      <c r="N5132" s="12"/>
      <c r="O5132" s="9" t="str">
        <f aca="false">HYPERLINK("https://pbs.twimg.com/profile_images/758626461683224576/cKNe6z87_normal.jpg","View")</f>
        <v>View</v>
      </c>
      <c r="P5132" s="10"/>
    </row>
    <row r="5133" customFormat="false" ht="15.75" hidden="false" customHeight="false" outlineLevel="0" collapsed="false">
      <c r="A5133" s="6" t="n">
        <v>43030.8711226852</v>
      </c>
      <c r="B5133" s="7" t="str">
        <f aca="false">HYPERLINK("https://twitter.com/lokeshnepaliya","@lokeshnepaliya")</f>
        <v>@lokeshnepaliya</v>
      </c>
      <c r="C5133" s="8" t="s">
        <v>12021</v>
      </c>
      <c r="D5133" s="8" t="s">
        <v>12022</v>
      </c>
      <c r="E5133" s="9" t="str">
        <f aca="false">HYPERLINK("https://twitter.com/lokeshnepaliya/status/922310213738176512","922310213738176512")</f>
        <v>922310213738176512</v>
      </c>
      <c r="F5133" s="10" t="s">
        <v>51</v>
      </c>
      <c r="G5133" s="10" t="n">
        <v>24</v>
      </c>
      <c r="H5133" s="10" t="n">
        <v>474</v>
      </c>
      <c r="I5133" s="10" t="n">
        <v>0</v>
      </c>
      <c r="J5133" s="10" t="n">
        <v>0</v>
      </c>
      <c r="K5133" s="10" t="s">
        <v>20</v>
      </c>
      <c r="L5133" s="11" t="n">
        <v>42953.2720023148</v>
      </c>
      <c r="M5133" s="12" t="s">
        <v>574</v>
      </c>
      <c r="N5133" s="12"/>
      <c r="O5133" s="9" t="str">
        <f aca="false">HYPERLINK("https://pbs.twimg.com/profile_images/919002192421330944/gfZzywc1_normal.jpg","View")</f>
        <v>View</v>
      </c>
      <c r="P5133" s="10"/>
    </row>
    <row r="5134" customFormat="false" ht="15.75" hidden="false" customHeight="false" outlineLevel="0" collapsed="false">
      <c r="A5134" s="6" t="n">
        <v>43030.8711342593</v>
      </c>
      <c r="B5134" s="7" t="str">
        <f aca="false">HYPERLINK("https://twitter.com/Venkat80777360","@Venkat80777360")</f>
        <v>@Venkat80777360</v>
      </c>
      <c r="C5134" s="8" t="s">
        <v>12023</v>
      </c>
      <c r="D5134" s="8" t="s">
        <v>8538</v>
      </c>
      <c r="E5134" s="9" t="str">
        <f aca="false">HYPERLINK("https://twitter.com/Venkat80777360/status/922310219161657345","922310219161657345")</f>
        <v>922310219161657345</v>
      </c>
      <c r="F5134" s="10" t="s">
        <v>25</v>
      </c>
      <c r="G5134" s="10" t="n">
        <v>209</v>
      </c>
      <c r="H5134" s="10" t="n">
        <v>206</v>
      </c>
      <c r="I5134" s="10" t="n">
        <v>1015</v>
      </c>
      <c r="J5134" s="10" t="n">
        <v>0</v>
      </c>
      <c r="K5134" s="10" t="s">
        <v>20</v>
      </c>
      <c r="L5134" s="11" t="n">
        <v>41221.1453356482</v>
      </c>
      <c r="M5134" s="12" t="s">
        <v>3531</v>
      </c>
      <c r="N5134" s="12" t="s">
        <v>12024</v>
      </c>
      <c r="O5134" s="9" t="str">
        <f aca="false">HYPERLINK("https://pbs.twimg.com/profile_images/903013634963582976/HPUPb7Zp_normal.jpg","View")</f>
        <v>View</v>
      </c>
      <c r="P5134" s="10"/>
    </row>
    <row r="5135" customFormat="false" ht="15.75" hidden="false" customHeight="false" outlineLevel="0" collapsed="false">
      <c r="A5135" s="6" t="n">
        <v>43030.8714930556</v>
      </c>
      <c r="B5135" s="7" t="str">
        <f aca="false">HYPERLINK("https://twitter.com/BhaktiHaiShakti","@BhaktiHaiShakti")</f>
        <v>@BhaktiHaiShakti</v>
      </c>
      <c r="C5135" s="8" t="s">
        <v>12025</v>
      </c>
      <c r="D5135" s="8" t="s">
        <v>10168</v>
      </c>
      <c r="E5135" s="9" t="str">
        <f aca="false">HYPERLINK("https://twitter.com/BhaktiHaiShakti/status/922310348740243456","922310348740243456")</f>
        <v>922310348740243456</v>
      </c>
      <c r="F5135" s="10" t="s">
        <v>51</v>
      </c>
      <c r="G5135" s="10" t="n">
        <v>97</v>
      </c>
      <c r="H5135" s="10" t="n">
        <v>143</v>
      </c>
      <c r="I5135" s="10" t="n">
        <v>25</v>
      </c>
      <c r="J5135" s="10" t="n">
        <v>0</v>
      </c>
      <c r="K5135" s="10" t="s">
        <v>20</v>
      </c>
      <c r="L5135" s="11" t="n">
        <v>42713.8276736111</v>
      </c>
      <c r="M5135" s="12" t="s">
        <v>12026</v>
      </c>
      <c r="N5135" s="12" t="s">
        <v>12027</v>
      </c>
      <c r="O5135" s="9" t="str">
        <f aca="false">HYPERLINK("https://pbs.twimg.com/profile_images/807433415247077376/-9RDWqLv_normal.jpg","View")</f>
        <v>View</v>
      </c>
      <c r="P5135" s="10"/>
    </row>
    <row r="5136" customFormat="false" ht="15.75" hidden="false" customHeight="false" outlineLevel="0" collapsed="false">
      <c r="A5136" s="6" t="n">
        <v>43030.8718981482</v>
      </c>
      <c r="B5136" s="7" t="str">
        <f aca="false">HYPERLINK("https://twitter.com/MoreShamLessWow","@MoreShamLessWow")</f>
        <v>@MoreShamLessWow</v>
      </c>
      <c r="C5136" s="8" t="s">
        <v>12028</v>
      </c>
      <c r="D5136" s="8" t="s">
        <v>3514</v>
      </c>
      <c r="E5136" s="9" t="str">
        <f aca="false">HYPERLINK("https://twitter.com/MoreShamLessWow/status/922310494760955905","922310494760955905")</f>
        <v>922310494760955905</v>
      </c>
      <c r="F5136" s="10" t="s">
        <v>12029</v>
      </c>
      <c r="G5136" s="10" t="n">
        <v>476</v>
      </c>
      <c r="H5136" s="10" t="n">
        <v>3620</v>
      </c>
      <c r="I5136" s="10" t="n">
        <v>19</v>
      </c>
      <c r="J5136" s="10" t="n">
        <v>0</v>
      </c>
      <c r="K5136" s="10" t="s">
        <v>20</v>
      </c>
      <c r="L5136" s="11" t="n">
        <v>43015.9462037037</v>
      </c>
      <c r="M5136" s="12"/>
      <c r="N5136" s="12" t="s">
        <v>12030</v>
      </c>
      <c r="O5136" s="9" t="str">
        <f aca="false">HYPERLINK("https://pbs.twimg.com/profile_images/917071167441244165/JhCl4xz1_normal.jpg","View")</f>
        <v>View</v>
      </c>
      <c r="P5136" s="10"/>
    </row>
    <row r="5137" customFormat="false" ht="15.75" hidden="false" customHeight="false" outlineLevel="0" collapsed="false">
      <c r="A5137" s="6" t="n">
        <v>43030.8722337963</v>
      </c>
      <c r="B5137" s="7" t="str">
        <f aca="false">HYPERLINK("https://twitter.com/Verdoge","@Verdoge")</f>
        <v>@Verdoge</v>
      </c>
      <c r="C5137" s="8" t="s">
        <v>12031</v>
      </c>
      <c r="D5137" s="8" t="s">
        <v>10997</v>
      </c>
      <c r="E5137" s="9" t="str">
        <f aca="false">HYPERLINK("https://twitter.com/Verdoge/status/922310618115276800","922310618115276800")</f>
        <v>922310618115276800</v>
      </c>
      <c r="F5137" s="10" t="s">
        <v>25</v>
      </c>
      <c r="G5137" s="10" t="n">
        <v>21</v>
      </c>
      <c r="H5137" s="10" t="n">
        <v>148</v>
      </c>
      <c r="I5137" s="10" t="n">
        <v>27</v>
      </c>
      <c r="J5137" s="10" t="n">
        <v>0</v>
      </c>
      <c r="K5137" s="10" t="s">
        <v>20</v>
      </c>
      <c r="L5137" s="11" t="n">
        <v>42985.4346527778</v>
      </c>
      <c r="M5137" s="12" t="s">
        <v>12032</v>
      </c>
      <c r="N5137" s="12"/>
      <c r="O5137" s="9" t="str">
        <f aca="false">HYPERLINK("https://pbs.twimg.com/profile_images/905859875434987521/yssKD9to_normal.jpg","View")</f>
        <v>View</v>
      </c>
      <c r="P5137" s="10"/>
    </row>
    <row r="5138" customFormat="false" ht="15.75" hidden="false" customHeight="false" outlineLevel="0" collapsed="false">
      <c r="A5138" s="6" t="n">
        <v>43030.8722800926</v>
      </c>
      <c r="B5138" s="7" t="str">
        <f aca="false">HYPERLINK("https://twitter.com/hksconsulting","@hksconsulting")</f>
        <v>@hksconsulting</v>
      </c>
      <c r="C5138" s="8" t="s">
        <v>12033</v>
      </c>
      <c r="D5138" s="8" t="s">
        <v>6558</v>
      </c>
      <c r="E5138" s="9" t="str">
        <f aca="false">HYPERLINK("https://twitter.com/hksconsulting/status/922310633978257408","922310633978257408")</f>
        <v>922310633978257408</v>
      </c>
      <c r="F5138" s="10" t="s">
        <v>25</v>
      </c>
      <c r="G5138" s="10" t="n">
        <v>808</v>
      </c>
      <c r="H5138" s="10" t="n">
        <v>709</v>
      </c>
      <c r="I5138" s="10" t="n">
        <v>65</v>
      </c>
      <c r="J5138" s="10" t="n">
        <v>0</v>
      </c>
      <c r="K5138" s="10" t="s">
        <v>20</v>
      </c>
      <c r="L5138" s="11" t="n">
        <v>40045.9210648148</v>
      </c>
      <c r="M5138" s="12" t="s">
        <v>12034</v>
      </c>
      <c r="N5138" s="12" t="s">
        <v>12035</v>
      </c>
      <c r="O5138" s="9" t="str">
        <f aca="false">HYPERLINK("https://pbs.twimg.com/profile_images/710177836699496448/y_TdCkiI_normal.jpg","View")</f>
        <v>View</v>
      </c>
      <c r="P5138" s="10"/>
    </row>
    <row r="5139" customFormat="false" ht="15.75" hidden="false" customHeight="false" outlineLevel="0" collapsed="false">
      <c r="A5139" s="6" t="n">
        <v>43030.872337963</v>
      </c>
      <c r="B5139" s="7" t="str">
        <f aca="false">HYPERLINK("https://twitter.com/MeJeremy99","@MeJeremy99")</f>
        <v>@MeJeremy99</v>
      </c>
      <c r="C5139" s="8" t="s">
        <v>12036</v>
      </c>
      <c r="D5139" s="8" t="s">
        <v>8538</v>
      </c>
      <c r="E5139" s="9" t="str">
        <f aca="false">HYPERLINK("https://twitter.com/MeJeremy99/status/922310653464866816","922310653464866816")</f>
        <v>922310653464866816</v>
      </c>
      <c r="F5139" s="10" t="s">
        <v>39</v>
      </c>
      <c r="G5139" s="10" t="n">
        <v>55</v>
      </c>
      <c r="H5139" s="10" t="n">
        <v>806</v>
      </c>
      <c r="I5139" s="10" t="n">
        <v>1015</v>
      </c>
      <c r="J5139" s="10" t="n">
        <v>0</v>
      </c>
      <c r="K5139" s="10" t="s">
        <v>20</v>
      </c>
      <c r="L5139" s="11" t="n">
        <v>42418.9131944444</v>
      </c>
      <c r="M5139" s="12" t="s">
        <v>10007</v>
      </c>
      <c r="N5139" s="12" t="s">
        <v>12037</v>
      </c>
      <c r="O5139" s="9" t="str">
        <f aca="false">HYPERLINK("https://pbs.twimg.com/profile_images/700641011412836356/MumZHHYZ_normal.jpg","View")</f>
        <v>View</v>
      </c>
      <c r="P5139" s="10"/>
    </row>
    <row r="5140" customFormat="false" ht="15.75" hidden="false" customHeight="false" outlineLevel="0" collapsed="false">
      <c r="A5140" s="6" t="n">
        <v>43030.8750231482</v>
      </c>
      <c r="B5140" s="7" t="str">
        <f aca="false">HYPERLINK("https://twitter.com/trtworld","@trtworld")</f>
        <v>@trtworld</v>
      </c>
      <c r="C5140" s="8" t="s">
        <v>1552</v>
      </c>
      <c r="D5140" s="8" t="s">
        <v>12038</v>
      </c>
      <c r="E5140" s="9" t="str">
        <f aca="false">HYPERLINK("https://twitter.com/trtworld/status/922311628795908096","922311628795908096")</f>
        <v>922311628795908096</v>
      </c>
      <c r="F5140" s="10" t="s">
        <v>12039</v>
      </c>
      <c r="G5140" s="10" t="n">
        <v>113610</v>
      </c>
      <c r="H5140" s="10" t="n">
        <v>9</v>
      </c>
      <c r="I5140" s="10" t="n">
        <v>7</v>
      </c>
      <c r="J5140" s="10" t="n">
        <v>2</v>
      </c>
      <c r="K5140" s="10" t="s">
        <v>20</v>
      </c>
      <c r="L5140" s="11" t="n">
        <v>42076.183125</v>
      </c>
      <c r="M5140" s="12"/>
      <c r="N5140" s="12" t="s">
        <v>1554</v>
      </c>
      <c r="O5140" s="9" t="str">
        <f aca="false">HYPERLINK("https://pbs.twimg.com/profile_images/604916087180754945/1aMHMBIj_normal.png","View")</f>
        <v>View</v>
      </c>
      <c r="P5140" s="10"/>
    </row>
    <row r="5141" customFormat="false" ht="15.75" hidden="false" customHeight="false" outlineLevel="0" collapsed="false">
      <c r="A5141" s="6" t="n">
        <v>43030.8750347222</v>
      </c>
      <c r="B5141" s="7" t="str">
        <f aca="false">HYPERLINK("https://twitter.com/newsibly","@newsibly")</f>
        <v>@newsibly</v>
      </c>
      <c r="C5141" s="7" t="s">
        <v>8687</v>
      </c>
      <c r="D5141" s="8" t="s">
        <v>12040</v>
      </c>
      <c r="E5141" s="9" t="str">
        <f aca="false">HYPERLINK("https://twitter.com/newsibly/status/922311631694192640","922311631694192640")</f>
        <v>922311631694192640</v>
      </c>
      <c r="F5141" s="10" t="s">
        <v>8689</v>
      </c>
      <c r="G5141" s="10" t="n">
        <v>107</v>
      </c>
      <c r="H5141" s="10" t="n">
        <v>36</v>
      </c>
      <c r="I5141" s="10" t="n">
        <v>0</v>
      </c>
      <c r="J5141" s="10" t="n">
        <v>0</v>
      </c>
      <c r="K5141" s="10" t="s">
        <v>20</v>
      </c>
      <c r="L5141" s="11" t="n">
        <v>41421.5112384259</v>
      </c>
      <c r="M5141" s="12"/>
      <c r="N5141" s="12" t="s">
        <v>8690</v>
      </c>
      <c r="O5141" s="9" t="str">
        <f aca="false">HYPERLINK("https://pbs.twimg.com/profile_images/517054322912157697/1wtI0mat_normal.png","View")</f>
        <v>View</v>
      </c>
      <c r="P5141" s="10"/>
    </row>
    <row r="5142" customFormat="false" ht="15.75" hidden="false" customHeight="false" outlineLevel="0" collapsed="false">
      <c r="A5142" s="6" t="n">
        <v>43030.8751041667</v>
      </c>
      <c r="B5142" s="7" t="str">
        <f aca="false">HYPERLINK("https://twitter.com/KimDudko","@KimDudko")</f>
        <v>@KimDudko</v>
      </c>
      <c r="C5142" s="8" t="s">
        <v>12041</v>
      </c>
      <c r="D5142" s="8" t="s">
        <v>12042</v>
      </c>
      <c r="E5142" s="9" t="str">
        <f aca="false">HYPERLINK("https://twitter.com/KimDudko/status/922311659426930689","922311659426930689")</f>
        <v>922311659426930689</v>
      </c>
      <c r="F5142" s="10" t="s">
        <v>12043</v>
      </c>
      <c r="G5142" s="10" t="n">
        <v>524</v>
      </c>
      <c r="H5142" s="10" t="n">
        <v>385</v>
      </c>
      <c r="I5142" s="10" t="n">
        <v>0</v>
      </c>
      <c r="J5142" s="10" t="n">
        <v>0</v>
      </c>
      <c r="K5142" s="10" t="s">
        <v>20</v>
      </c>
      <c r="L5142" s="11" t="n">
        <v>41848.0837268519</v>
      </c>
      <c r="M5142" s="12" t="s">
        <v>3627</v>
      </c>
      <c r="N5142" s="12" t="s">
        <v>12044</v>
      </c>
      <c r="O5142" s="9" t="str">
        <f aca="false">HYPERLINK("https://pbs.twimg.com/profile_images/750611897637040128/--fXNFOH_normal.jpg","View")</f>
        <v>View</v>
      </c>
      <c r="P5142" s="10"/>
    </row>
    <row r="5143" customFormat="false" ht="15.75" hidden="false" customHeight="false" outlineLevel="0" collapsed="false">
      <c r="A5143" s="6" t="n">
        <v>43030.8752662037</v>
      </c>
      <c r="B5143" s="7" t="str">
        <f aca="false">HYPERLINK("https://twitter.com/mustafeciise","@mustafeciise")</f>
        <v>@mustafeciise</v>
      </c>
      <c r="C5143" s="8" t="s">
        <v>12045</v>
      </c>
      <c r="D5143" s="8" t="s">
        <v>12046</v>
      </c>
      <c r="E5143" s="9" t="str">
        <f aca="false">HYPERLINK("https://twitter.com/mustafeciise/status/922311717681532930","922311717681532930")</f>
        <v>922311717681532930</v>
      </c>
      <c r="F5143" s="10" t="s">
        <v>39</v>
      </c>
      <c r="G5143" s="10" t="n">
        <v>195</v>
      </c>
      <c r="H5143" s="10" t="n">
        <v>5001</v>
      </c>
      <c r="I5143" s="10" t="n">
        <v>7</v>
      </c>
      <c r="J5143" s="10" t="n">
        <v>0</v>
      </c>
      <c r="K5143" s="10" t="s">
        <v>20</v>
      </c>
      <c r="L5143" s="11" t="n">
        <v>41471.3684027778</v>
      </c>
      <c r="M5143" s="12" t="s">
        <v>4946</v>
      </c>
      <c r="N5143" s="12" t="s">
        <v>12047</v>
      </c>
      <c r="O5143" s="9" t="str">
        <f aca="false">HYPERLINK("https://abs.twimg.com/sticky/default_profile_images/default_profile_normal.png","View")</f>
        <v>View</v>
      </c>
      <c r="P5143" s="10"/>
    </row>
    <row r="5144" customFormat="false" ht="15.75" hidden="false" customHeight="false" outlineLevel="0" collapsed="false">
      <c r="A5144" s="6" t="n">
        <v>43030.8754976852</v>
      </c>
      <c r="B5144" s="7" t="str">
        <f aca="false">HYPERLINK("https://twitter.com/CVM_GLASGOW","@CVM_GLASGOW")</f>
        <v>@CVM_GLASGOW</v>
      </c>
      <c r="C5144" s="8" t="s">
        <v>12048</v>
      </c>
      <c r="D5144" s="8" t="s">
        <v>12049</v>
      </c>
      <c r="E5144" s="9" t="str">
        <f aca="false">HYPERLINK("https://twitter.com/CVM_GLASGOW/status/922311798107398144","922311798107398144")</f>
        <v>922311798107398144</v>
      </c>
      <c r="F5144" s="10" t="s">
        <v>110</v>
      </c>
      <c r="G5144" s="10" t="n">
        <v>1958</v>
      </c>
      <c r="H5144" s="10" t="n">
        <v>1876</v>
      </c>
      <c r="I5144" s="10" t="n">
        <v>0</v>
      </c>
      <c r="J5144" s="10" t="n">
        <v>0</v>
      </c>
      <c r="K5144" s="10" t="s">
        <v>20</v>
      </c>
      <c r="L5144" s="11" t="n">
        <v>41064.0927199074</v>
      </c>
      <c r="M5144" s="12" t="s">
        <v>203</v>
      </c>
      <c r="N5144" s="12" t="s">
        <v>12050</v>
      </c>
      <c r="O5144" s="9" t="str">
        <f aca="false">HYPERLINK("https://pbs.twimg.com/profile_images/598205132933898240/8maj1KvR_normal.jpg","View")</f>
        <v>View</v>
      </c>
      <c r="P5144" s="10"/>
    </row>
    <row r="5145" customFormat="false" ht="15.75" hidden="false" customHeight="false" outlineLevel="0" collapsed="false">
      <c r="A5145" s="6" t="n">
        <v>43030.8759953704</v>
      </c>
      <c r="B5145" s="7" t="str">
        <f aca="false">HYPERLINK("https://twitter.com/vipernebulous","@vipernebulous")</f>
        <v>@vipernebulous</v>
      </c>
      <c r="C5145" s="8" t="s">
        <v>12051</v>
      </c>
      <c r="D5145" s="8" t="s">
        <v>12052</v>
      </c>
      <c r="E5145" s="9" t="str">
        <f aca="false">HYPERLINK("https://twitter.com/vipernebulous/status/922311980152754176","922311980152754176")</f>
        <v>922311980152754176</v>
      </c>
      <c r="F5145" s="10" t="s">
        <v>60</v>
      </c>
      <c r="G5145" s="10" t="n">
        <v>821</v>
      </c>
      <c r="H5145" s="10" t="n">
        <v>3086</v>
      </c>
      <c r="I5145" s="10" t="n">
        <v>0</v>
      </c>
      <c r="J5145" s="10" t="n">
        <v>0</v>
      </c>
      <c r="K5145" s="10" t="s">
        <v>20</v>
      </c>
      <c r="L5145" s="11" t="n">
        <v>42823.8196990741</v>
      </c>
      <c r="M5145" s="12" t="s">
        <v>230</v>
      </c>
      <c r="N5145" s="12" t="s">
        <v>12053</v>
      </c>
      <c r="O5145" s="9" t="str">
        <f aca="false">HYPERLINK("https://pbs.twimg.com/profile_images/911343089842667520/MOLf-hRQ_normal.jpg","View")</f>
        <v>View</v>
      </c>
      <c r="P5145" s="10"/>
    </row>
    <row r="5146" customFormat="false" ht="15.75" hidden="false" customHeight="false" outlineLevel="0" collapsed="false">
      <c r="A5146" s="6" t="n">
        <v>43030.8764236111</v>
      </c>
      <c r="B5146" s="7" t="str">
        <f aca="false">HYPERLINK("https://twitter.com/moueller1961","@moueller1961")</f>
        <v>@moueller1961</v>
      </c>
      <c r="C5146" s="8" t="s">
        <v>12054</v>
      </c>
      <c r="D5146" s="8" t="s">
        <v>12055</v>
      </c>
      <c r="E5146" s="9" t="str">
        <f aca="false">HYPERLINK("https://twitter.com/moueller1961/status/922312135153278978","922312135153278978")</f>
        <v>922312135153278978</v>
      </c>
      <c r="F5146" s="10" t="s">
        <v>39</v>
      </c>
      <c r="G5146" s="10" t="n">
        <v>1452</v>
      </c>
      <c r="H5146" s="10" t="n">
        <v>482</v>
      </c>
      <c r="I5146" s="10" t="n">
        <v>0</v>
      </c>
      <c r="J5146" s="10" t="n">
        <v>0</v>
      </c>
      <c r="K5146" s="10" t="s">
        <v>20</v>
      </c>
      <c r="L5146" s="11" t="n">
        <v>42106.4780555556</v>
      </c>
      <c r="M5146" s="12"/>
      <c r="N5146" s="12" t="s">
        <v>12056</v>
      </c>
      <c r="O5146" s="9" t="str">
        <f aca="false">HYPERLINK("https://pbs.twimg.com/profile_images/859660616293863424/AW-5w7c7_normal.jpg","View")</f>
        <v>View</v>
      </c>
      <c r="P5146" s="10"/>
    </row>
    <row r="5147" customFormat="false" ht="15.75" hidden="false" customHeight="false" outlineLevel="0" collapsed="false">
      <c r="A5147" s="6" t="n">
        <v>43030.8764467593</v>
      </c>
      <c r="B5147" s="7" t="str">
        <f aca="false">HYPERLINK("https://twitter.com/bhushangorey","@bhushangorey")</f>
        <v>@bhushangorey</v>
      </c>
      <c r="C5147" s="8" t="s">
        <v>12057</v>
      </c>
      <c r="D5147" s="8" t="s">
        <v>8538</v>
      </c>
      <c r="E5147" s="9" t="str">
        <f aca="false">HYPERLINK("https://twitter.com/bhushangorey/status/922312142468116480","922312142468116480")</f>
        <v>922312142468116480</v>
      </c>
      <c r="F5147" s="10" t="s">
        <v>25</v>
      </c>
      <c r="G5147" s="10" t="n">
        <v>312</v>
      </c>
      <c r="H5147" s="10" t="n">
        <v>412</v>
      </c>
      <c r="I5147" s="10" t="n">
        <v>1015</v>
      </c>
      <c r="J5147" s="10" t="n">
        <v>0</v>
      </c>
      <c r="K5147" s="10" t="s">
        <v>20</v>
      </c>
      <c r="L5147" s="11" t="n">
        <v>41404.5131134259</v>
      </c>
      <c r="M5147" s="12"/>
      <c r="N5147" s="12" t="s">
        <v>12058</v>
      </c>
      <c r="O5147" s="9" t="str">
        <f aca="false">HYPERLINK("https://abs.twimg.com/sticky/default_profile_images/default_profile_normal.png","View")</f>
        <v>View</v>
      </c>
      <c r="P5147" s="10"/>
    </row>
    <row r="5148" customFormat="false" ht="15.75" hidden="false" customHeight="false" outlineLevel="0" collapsed="false">
      <c r="A5148" s="6" t="n">
        <v>43030.8764699074</v>
      </c>
      <c r="B5148" s="7" t="str">
        <f aca="false">HYPERLINK("https://twitter.com/xxstallonexxx","@xxstallonexxx")</f>
        <v>@xxstallonexxx</v>
      </c>
      <c r="C5148" s="14" t="s">
        <v>12059</v>
      </c>
      <c r="D5148" s="8" t="s">
        <v>12060</v>
      </c>
      <c r="E5148" s="9" t="str">
        <f aca="false">HYPERLINK("https://twitter.com/xxstallonexxx/status/922312152781799424","922312152781799424")</f>
        <v>922312152781799424</v>
      </c>
      <c r="F5148" s="10" t="s">
        <v>39</v>
      </c>
      <c r="G5148" s="10" t="n">
        <v>100</v>
      </c>
      <c r="H5148" s="10" t="n">
        <v>108</v>
      </c>
      <c r="I5148" s="10" t="n">
        <v>1</v>
      </c>
      <c r="J5148" s="10" t="n">
        <v>0</v>
      </c>
      <c r="K5148" s="10" t="s">
        <v>20</v>
      </c>
      <c r="L5148" s="11" t="n">
        <v>42555.2630671296</v>
      </c>
      <c r="M5148" s="13" t="s">
        <v>12061</v>
      </c>
      <c r="N5148" s="12" t="s">
        <v>12062</v>
      </c>
      <c r="O5148" s="9" t="str">
        <f aca="false">HYPERLINK("https://pbs.twimg.com/profile_images/855426360629641216/6w13eK66_normal.jpg","View")</f>
        <v>View</v>
      </c>
      <c r="P5148" s="10"/>
    </row>
    <row r="5149" customFormat="false" ht="15.75" hidden="false" customHeight="false" outlineLevel="0" collapsed="false">
      <c r="A5149" s="6" t="n">
        <v>43030.8766319444</v>
      </c>
      <c r="B5149" s="7" t="str">
        <f aca="false">HYPERLINK("https://twitter.com/ramgopal5555","@ramgopal5555")</f>
        <v>@ramgopal5555</v>
      </c>
      <c r="C5149" s="8" t="s">
        <v>12063</v>
      </c>
      <c r="D5149" s="8" t="s">
        <v>8538</v>
      </c>
      <c r="E5149" s="9" t="str">
        <f aca="false">HYPERLINK("https://twitter.com/ramgopal5555/status/922312211606802433","922312211606802433")</f>
        <v>922312211606802433</v>
      </c>
      <c r="F5149" s="10" t="s">
        <v>51</v>
      </c>
      <c r="G5149" s="10" t="n">
        <v>100</v>
      </c>
      <c r="H5149" s="10" t="n">
        <v>236</v>
      </c>
      <c r="I5149" s="10" t="n">
        <v>1015</v>
      </c>
      <c r="J5149" s="10" t="n">
        <v>0</v>
      </c>
      <c r="K5149" s="10" t="s">
        <v>20</v>
      </c>
      <c r="L5149" s="11" t="n">
        <v>41339.0929398148</v>
      </c>
      <c r="M5149" s="12"/>
      <c r="N5149" s="12" t="s">
        <v>12064</v>
      </c>
      <c r="O5149" s="9" t="str">
        <f aca="false">HYPERLINK("https://pbs.twimg.com/profile_images/855751421962145792/enqh99Il_normal.jpg","View")</f>
        <v>View</v>
      </c>
      <c r="P5149" s="10"/>
    </row>
    <row r="5150" customFormat="false" ht="15.75" hidden="false" customHeight="false" outlineLevel="0" collapsed="false">
      <c r="A5150" s="6" t="n">
        <v>43030.876712963</v>
      </c>
      <c r="B5150" s="7" t="str">
        <f aca="false">HYPERLINK("https://twitter.com/4pawsdecals","@4pawsdecals")</f>
        <v>@4pawsdecals</v>
      </c>
      <c r="C5150" s="8" t="s">
        <v>12065</v>
      </c>
      <c r="D5150" s="8" t="s">
        <v>12066</v>
      </c>
      <c r="E5150" s="9" t="str">
        <f aca="false">HYPERLINK("https://twitter.com/4pawsdecals/status/922312242233860096","922312242233860096")</f>
        <v>922312242233860096</v>
      </c>
      <c r="F5150" s="10" t="s">
        <v>60</v>
      </c>
      <c r="G5150" s="10" t="n">
        <v>43</v>
      </c>
      <c r="H5150" s="10" t="n">
        <v>0</v>
      </c>
      <c r="I5150" s="10" t="n">
        <v>0</v>
      </c>
      <c r="J5150" s="10" t="n">
        <v>0</v>
      </c>
      <c r="K5150" s="10" t="s">
        <v>20</v>
      </c>
      <c r="L5150" s="11" t="n">
        <v>42443.1099305556</v>
      </c>
      <c r="M5150" s="12"/>
      <c r="N5150" s="12"/>
      <c r="O5150" s="9" t="str">
        <f aca="false">HYPERLINK("https://pbs.twimg.com/profile_images/710242860843421696/d_AZ6G0R_normal.jpg","View")</f>
        <v>View</v>
      </c>
      <c r="P5150" s="10"/>
    </row>
    <row r="5151" customFormat="false" ht="15.75" hidden="false" customHeight="false" outlineLevel="0" collapsed="false">
      <c r="A5151" s="6" t="n">
        <v>43030.8769907407</v>
      </c>
      <c r="B5151" s="7" t="str">
        <f aca="false">HYPERLINK("https://twitter.com/singh_pratigya","@singh_pratigya")</f>
        <v>@singh_pratigya</v>
      </c>
      <c r="C5151" s="8" t="s">
        <v>12067</v>
      </c>
      <c r="D5151" s="8" t="s">
        <v>8538</v>
      </c>
      <c r="E5151" s="9" t="str">
        <f aca="false">HYPERLINK("https://twitter.com/singh_pratigya/status/922312340090978304","922312340090978304")</f>
        <v>922312340090978304</v>
      </c>
      <c r="F5151" s="10" t="s">
        <v>51</v>
      </c>
      <c r="G5151" s="10" t="n">
        <v>220</v>
      </c>
      <c r="H5151" s="10" t="n">
        <v>217</v>
      </c>
      <c r="I5151" s="10" t="n">
        <v>1015</v>
      </c>
      <c r="J5151" s="10" t="n">
        <v>0</v>
      </c>
      <c r="K5151" s="10" t="s">
        <v>20</v>
      </c>
      <c r="L5151" s="11" t="n">
        <v>41408.9641550926</v>
      </c>
      <c r="M5151" s="12" t="s">
        <v>7908</v>
      </c>
      <c r="N5151" s="12" t="s">
        <v>12068</v>
      </c>
      <c r="O5151" s="9" t="str">
        <f aca="false">HYPERLINK("https://pbs.twimg.com/profile_images/672124757785993216/AR_j7-Al_normal.jpg","View")</f>
        <v>View</v>
      </c>
      <c r="P5151" s="10"/>
    </row>
    <row r="5152" customFormat="false" ht="15.75" hidden="false" customHeight="false" outlineLevel="0" collapsed="false">
      <c r="A5152" s="6" t="n">
        <v>43030.8771643519</v>
      </c>
      <c r="B5152" s="7" t="str">
        <f aca="false">HYPERLINK("https://twitter.com/enkay78","@enkay78")</f>
        <v>@enkay78</v>
      </c>
      <c r="C5152" s="8" t="s">
        <v>12069</v>
      </c>
      <c r="D5152" s="8" t="s">
        <v>8538</v>
      </c>
      <c r="E5152" s="9" t="str">
        <f aca="false">HYPERLINK("https://twitter.com/enkay78/status/922312404754505728","922312404754505728")</f>
        <v>922312404754505728</v>
      </c>
      <c r="F5152" s="10" t="s">
        <v>25</v>
      </c>
      <c r="G5152" s="10" t="n">
        <v>56</v>
      </c>
      <c r="H5152" s="10" t="n">
        <v>42</v>
      </c>
      <c r="I5152" s="10" t="n">
        <v>1015</v>
      </c>
      <c r="J5152" s="10" t="n">
        <v>0</v>
      </c>
      <c r="K5152" s="10" t="s">
        <v>20</v>
      </c>
      <c r="L5152" s="11" t="n">
        <v>40737.328287037</v>
      </c>
      <c r="M5152" s="12" t="s">
        <v>1104</v>
      </c>
      <c r="N5152" s="12"/>
      <c r="O5152" s="9" t="str">
        <f aca="false">HYPERLINK("https://pbs.twimg.com/profile_images/1440603412/kums16_normal.jpg","View")</f>
        <v>View</v>
      </c>
      <c r="P5152" s="10"/>
    </row>
    <row r="5153" customFormat="false" ht="15.75" hidden="false" customHeight="false" outlineLevel="0" collapsed="false">
      <c r="A5153" s="6" t="n">
        <v>43030.8772106481</v>
      </c>
      <c r="B5153" s="7" t="str">
        <f aca="false">HYPERLINK("https://twitter.com/Walterjt","@Walterjt")</f>
        <v>@Walterjt</v>
      </c>
      <c r="C5153" s="8" t="s">
        <v>12070</v>
      </c>
      <c r="D5153" s="8" t="s">
        <v>12071</v>
      </c>
      <c r="E5153" s="9" t="str">
        <f aca="false">HYPERLINK("https://twitter.com/Walterjt/status/922312421309669379","922312421309669379")</f>
        <v>922312421309669379</v>
      </c>
      <c r="F5153" s="10" t="s">
        <v>51</v>
      </c>
      <c r="G5153" s="10" t="n">
        <v>296</v>
      </c>
      <c r="H5153" s="10" t="n">
        <v>7</v>
      </c>
      <c r="I5153" s="10" t="n">
        <v>0</v>
      </c>
      <c r="J5153" s="10" t="n">
        <v>1</v>
      </c>
      <c r="K5153" s="10" t="s">
        <v>20</v>
      </c>
      <c r="L5153" s="11" t="n">
        <v>39879.584224537</v>
      </c>
      <c r="M5153" s="12" t="s">
        <v>370</v>
      </c>
      <c r="N5153" s="12" t="s">
        <v>12072</v>
      </c>
      <c r="O5153" s="9" t="str">
        <f aca="false">HYPERLINK("https://pbs.twimg.com/profile_images/820963078464565249/sZIRoPJm_normal.jpg","View")</f>
        <v>View</v>
      </c>
      <c r="P5153" s="10"/>
    </row>
    <row r="5154" customFormat="false" ht="15.75" hidden="false" customHeight="false" outlineLevel="0" collapsed="false">
      <c r="A5154" s="6" t="n">
        <v>43030.8775</v>
      </c>
      <c r="B5154" s="7" t="str">
        <f aca="false">HYPERLINK("https://twitter.com/JMBmusings","@JMBmusings")</f>
        <v>@JMBmusings</v>
      </c>
      <c r="C5154" s="8" t="s">
        <v>12073</v>
      </c>
      <c r="D5154" s="8" t="s">
        <v>3295</v>
      </c>
      <c r="E5154" s="9" t="str">
        <f aca="false">HYPERLINK("https://twitter.com/JMBmusings/status/922312525424627712","922312525424627712")</f>
        <v>922312525424627712</v>
      </c>
      <c r="F5154" s="10" t="s">
        <v>51</v>
      </c>
      <c r="G5154" s="10" t="n">
        <v>27</v>
      </c>
      <c r="H5154" s="10" t="n">
        <v>302</v>
      </c>
      <c r="I5154" s="10" t="n">
        <v>71</v>
      </c>
      <c r="J5154" s="10" t="n">
        <v>0</v>
      </c>
      <c r="K5154" s="10" t="s">
        <v>20</v>
      </c>
      <c r="L5154" s="11" t="n">
        <v>42724.6808564815</v>
      </c>
      <c r="M5154" s="12" t="s">
        <v>12074</v>
      </c>
      <c r="N5154" s="12" t="s">
        <v>12075</v>
      </c>
      <c r="O5154" s="9" t="str">
        <f aca="false">HYPERLINK("https://pbs.twimg.com/profile_images/900446623129509888/bOzuvTYO_normal.jpg","View")</f>
        <v>View</v>
      </c>
      <c r="P5154" s="10"/>
    </row>
    <row r="5155" customFormat="false" ht="15.75" hidden="false" customHeight="false" outlineLevel="0" collapsed="false">
      <c r="A5155" s="6" t="n">
        <v>43030.8777662037</v>
      </c>
      <c r="B5155" s="7" t="str">
        <f aca="false">HYPERLINK("https://twitter.com/jatin_hindu","@jatin_hindu")</f>
        <v>@jatin_hindu</v>
      </c>
      <c r="C5155" s="8" t="s">
        <v>12076</v>
      </c>
      <c r="D5155" s="8" t="s">
        <v>8538</v>
      </c>
      <c r="E5155" s="9" t="str">
        <f aca="false">HYPERLINK("https://twitter.com/jatin_hindu/status/922312623781269504","922312623781269504")</f>
        <v>922312623781269504</v>
      </c>
      <c r="F5155" s="10" t="s">
        <v>25</v>
      </c>
      <c r="G5155" s="10" t="n">
        <v>131</v>
      </c>
      <c r="H5155" s="10" t="n">
        <v>97</v>
      </c>
      <c r="I5155" s="10" t="n">
        <v>1015</v>
      </c>
      <c r="J5155" s="10" t="n">
        <v>0</v>
      </c>
      <c r="K5155" s="10" t="s">
        <v>20</v>
      </c>
      <c r="L5155" s="11" t="n">
        <v>42435.2738194444</v>
      </c>
      <c r="M5155" s="12"/>
      <c r="N5155" s="12"/>
      <c r="O5155" s="9" t="str">
        <f aca="false">HYPERLINK("https://pbs.twimg.com/profile_images/726284728307867648/e9fpSh4n_normal.jpg","View")</f>
        <v>View</v>
      </c>
      <c r="P5155" s="10"/>
    </row>
    <row r="5156" customFormat="false" ht="15.75" hidden="false" customHeight="false" outlineLevel="0" collapsed="false">
      <c r="A5156" s="6" t="n">
        <v>43030.8778125</v>
      </c>
      <c r="B5156" s="7" t="str">
        <f aca="false">HYPERLINK("https://twitter.com/vinmaxinfotech","@vinmaxinfotech")</f>
        <v>@vinmaxinfotech</v>
      </c>
      <c r="C5156" s="8" t="s">
        <v>12077</v>
      </c>
      <c r="D5156" s="8" t="s">
        <v>12078</v>
      </c>
      <c r="E5156" s="9" t="str">
        <f aca="false">HYPERLINK("https://twitter.com/vinmaxinfotech/status/922312640080302080","922312640080302080")</f>
        <v>922312640080302080</v>
      </c>
      <c r="F5156" s="10" t="s">
        <v>12079</v>
      </c>
      <c r="G5156" s="10" t="n">
        <v>445</v>
      </c>
      <c r="H5156" s="10" t="n">
        <v>904</v>
      </c>
      <c r="I5156" s="10" t="n">
        <v>0</v>
      </c>
      <c r="J5156" s="10" t="n">
        <v>0</v>
      </c>
      <c r="K5156" s="10" t="s">
        <v>20</v>
      </c>
      <c r="L5156" s="11" t="n">
        <v>41316.5070023148</v>
      </c>
      <c r="M5156" s="12"/>
      <c r="N5156" s="12" t="s">
        <v>12080</v>
      </c>
      <c r="O5156" s="9" t="str">
        <f aca="false">HYPERLINK("https://pbs.twimg.com/profile_images/3240431398/89019211781d138a5575b6b564d4e8fb_normal.png","View")</f>
        <v>View</v>
      </c>
      <c r="P5156" s="10"/>
    </row>
    <row r="5157" customFormat="false" ht="15.75" hidden="false" customHeight="false" outlineLevel="0" collapsed="false">
      <c r="A5157" s="6" t="n">
        <v>43030.8779513889</v>
      </c>
      <c r="B5157" s="7" t="str">
        <f aca="false">HYPERLINK("https://twitter.com/lusis3000","@lusis3000")</f>
        <v>@lusis3000</v>
      </c>
      <c r="C5157" s="8" t="s">
        <v>12081</v>
      </c>
      <c r="D5157" s="8" t="s">
        <v>11986</v>
      </c>
      <c r="E5157" s="9" t="str">
        <f aca="false">HYPERLINK("https://twitter.com/lusis3000/status/922312688071593986","922312688071593986")</f>
        <v>922312688071593986</v>
      </c>
      <c r="F5157" s="10" t="s">
        <v>25</v>
      </c>
      <c r="G5157" s="10" t="n">
        <v>62</v>
      </c>
      <c r="H5157" s="10" t="n">
        <v>117</v>
      </c>
      <c r="I5157" s="10" t="n">
        <v>3</v>
      </c>
      <c r="J5157" s="10" t="n">
        <v>0</v>
      </c>
      <c r="K5157" s="10" t="s">
        <v>20</v>
      </c>
      <c r="L5157" s="11" t="n">
        <v>40182.1490046296</v>
      </c>
      <c r="M5157" s="12" t="s">
        <v>12082</v>
      </c>
      <c r="N5157" s="12"/>
      <c r="O5157" s="9" t="str">
        <f aca="false">HYPERLINK("https://pbs.twimg.com/profile_images/1630279809/8f819170-990b-479e-a582-01fc6a2267e5_normal.png","View")</f>
        <v>View</v>
      </c>
      <c r="P5157" s="10"/>
    </row>
    <row r="5158" customFormat="false" ht="15.75" hidden="false" customHeight="false" outlineLevel="0" collapsed="false">
      <c r="A5158" s="6" t="n">
        <v>43030.8780902778</v>
      </c>
      <c r="B5158" s="7" t="str">
        <f aca="false">HYPERLINK("https://twitter.com/brazefuze","@brazefuze")</f>
        <v>@brazefuze</v>
      </c>
      <c r="C5158" s="8" t="s">
        <v>12083</v>
      </c>
      <c r="D5158" s="8" t="s">
        <v>3514</v>
      </c>
      <c r="E5158" s="9" t="str">
        <f aca="false">HYPERLINK("https://twitter.com/brazefuze/status/922312739774644224","922312739774644224")</f>
        <v>922312739774644224</v>
      </c>
      <c r="F5158" s="10" t="s">
        <v>25</v>
      </c>
      <c r="G5158" s="10" t="n">
        <v>221</v>
      </c>
      <c r="H5158" s="10" t="n">
        <v>112</v>
      </c>
      <c r="I5158" s="10" t="n">
        <v>19</v>
      </c>
      <c r="J5158" s="10" t="n">
        <v>0</v>
      </c>
      <c r="K5158" s="10" t="s">
        <v>20</v>
      </c>
      <c r="L5158" s="11" t="n">
        <v>41071.1264351852</v>
      </c>
      <c r="M5158" s="12"/>
      <c r="N5158" s="13" t="s">
        <v>12084</v>
      </c>
      <c r="O5158" s="9" t="str">
        <f aca="false">HYPERLINK("https://pbs.twimg.com/profile_images/803947060844056576/NBc_t_4q_normal.jpg","View")</f>
        <v>View</v>
      </c>
      <c r="P5158" s="10"/>
    </row>
    <row r="5159" customFormat="false" ht="15.75" hidden="false" customHeight="false" outlineLevel="0" collapsed="false">
      <c r="A5159" s="6" t="n">
        <v>43030.8781597222</v>
      </c>
      <c r="B5159" s="7" t="str">
        <f aca="false">HYPERLINK("https://twitter.com/venturebeyond","@venturebeyond")</f>
        <v>@venturebeyond</v>
      </c>
      <c r="C5159" s="8" t="s">
        <v>12085</v>
      </c>
      <c r="D5159" s="8" t="s">
        <v>8538</v>
      </c>
      <c r="E5159" s="9" t="str">
        <f aca="false">HYPERLINK("https://twitter.com/venturebeyond/status/922312765439488000","922312765439488000")</f>
        <v>922312765439488000</v>
      </c>
      <c r="F5159" s="10" t="s">
        <v>25</v>
      </c>
      <c r="G5159" s="10" t="n">
        <v>246</v>
      </c>
      <c r="H5159" s="10" t="n">
        <v>487</v>
      </c>
      <c r="I5159" s="10" t="n">
        <v>1015</v>
      </c>
      <c r="J5159" s="10" t="n">
        <v>0</v>
      </c>
      <c r="K5159" s="10" t="s">
        <v>20</v>
      </c>
      <c r="L5159" s="11" t="n">
        <v>40014.1766087963</v>
      </c>
      <c r="M5159" s="12" t="s">
        <v>72</v>
      </c>
      <c r="N5159" s="12" t="s">
        <v>12086</v>
      </c>
      <c r="O5159" s="9" t="str">
        <f aca="false">HYPERLINK("https://pbs.twimg.com/profile_images/467681014731374592/atqg9dd2_normal.jpeg","View")</f>
        <v>View</v>
      </c>
      <c r="P5159" s="10"/>
    </row>
    <row r="5160" customFormat="false" ht="15.75" hidden="false" customHeight="false" outlineLevel="0" collapsed="false">
      <c r="A5160" s="6" t="n">
        <v>43030.8784722222</v>
      </c>
      <c r="B5160" s="7" t="str">
        <f aca="false">HYPERLINK("https://twitter.com/ranganaathan","@ranganaathan")</f>
        <v>@ranganaathan</v>
      </c>
      <c r="C5160" s="8" t="s">
        <v>12087</v>
      </c>
      <c r="D5160" s="8" t="s">
        <v>8538</v>
      </c>
      <c r="E5160" s="9" t="str">
        <f aca="false">HYPERLINK("https://twitter.com/ranganaathan/status/922312879650435073","922312879650435073")</f>
        <v>922312879650435073</v>
      </c>
      <c r="F5160" s="10" t="s">
        <v>276</v>
      </c>
      <c r="G5160" s="10" t="n">
        <v>31176</v>
      </c>
      <c r="H5160" s="10" t="n">
        <v>851</v>
      </c>
      <c r="I5160" s="10" t="n">
        <v>1015</v>
      </c>
      <c r="J5160" s="10" t="n">
        <v>0</v>
      </c>
      <c r="K5160" s="10" t="s">
        <v>20</v>
      </c>
      <c r="L5160" s="11" t="n">
        <v>40255.3844328704</v>
      </c>
      <c r="M5160" s="12" t="s">
        <v>4400</v>
      </c>
      <c r="N5160" s="12" t="s">
        <v>12088</v>
      </c>
      <c r="O5160" s="9" t="str">
        <f aca="false">HYPERLINK("https://pbs.twimg.com/profile_images/890419116913311744/4_65GSf0_normal.jpg","View")</f>
        <v>View</v>
      </c>
      <c r="P5160" s="10"/>
    </row>
    <row r="5161" customFormat="false" ht="15.75" hidden="false" customHeight="false" outlineLevel="0" collapsed="false">
      <c r="A5161" s="6" t="n">
        <v>43030.8785416667</v>
      </c>
      <c r="B5161" s="7" t="str">
        <f aca="false">HYPERLINK("https://twitter.com/news2info","@news2info")</f>
        <v>@news2info</v>
      </c>
      <c r="C5161" s="8" t="s">
        <v>12089</v>
      </c>
      <c r="D5161" s="8" t="s">
        <v>12090</v>
      </c>
      <c r="E5161" s="9" t="str">
        <f aca="false">HYPERLINK("https://twitter.com/news2info/status/922312902505201664","922312902505201664")</f>
        <v>922312902505201664</v>
      </c>
      <c r="F5161" s="9" t="s">
        <v>1147</v>
      </c>
      <c r="G5161" s="10" t="n">
        <v>6626</v>
      </c>
      <c r="H5161" s="10" t="n">
        <v>5221</v>
      </c>
      <c r="I5161" s="10" t="n">
        <v>0</v>
      </c>
      <c r="J5161" s="10" t="n">
        <v>0</v>
      </c>
      <c r="K5161" s="10" t="s">
        <v>20</v>
      </c>
      <c r="L5161" s="11" t="n">
        <v>42138.1900347222</v>
      </c>
      <c r="M5161" s="12" t="s">
        <v>230</v>
      </c>
      <c r="N5161" s="12" t="s">
        <v>12091</v>
      </c>
      <c r="O5161" s="9" t="str">
        <f aca="false">HYPERLINK("https://pbs.twimg.com/profile_images/611103462651260928/me6VI6RX_normal.png","View")</f>
        <v>View</v>
      </c>
      <c r="P5161" s="10"/>
    </row>
    <row r="5162" customFormat="false" ht="15.75" hidden="false" customHeight="false" outlineLevel="0" collapsed="false">
      <c r="A5162" s="6" t="n">
        <v>43030.8788425926</v>
      </c>
      <c r="B5162" s="7" t="str">
        <f aca="false">HYPERLINK("https://twitter.com/JCSura","@JCSura")</f>
        <v>@JCSura</v>
      </c>
      <c r="C5162" s="8" t="s">
        <v>12092</v>
      </c>
      <c r="D5162" s="8" t="s">
        <v>12093</v>
      </c>
      <c r="E5162" s="9" t="str">
        <f aca="false">HYPERLINK("https://twitter.com/JCSura/status/922313014031904768","922313014031904768")</f>
        <v>922313014031904768</v>
      </c>
      <c r="F5162" s="10" t="s">
        <v>60</v>
      </c>
      <c r="G5162" s="10" t="n">
        <v>7344</v>
      </c>
      <c r="H5162" s="10" t="n">
        <v>503</v>
      </c>
      <c r="I5162" s="10" t="n">
        <v>0</v>
      </c>
      <c r="J5162" s="10" t="n">
        <v>0</v>
      </c>
      <c r="K5162" s="10" t="s">
        <v>20</v>
      </c>
      <c r="L5162" s="11" t="n">
        <v>39904.2328587963</v>
      </c>
      <c r="M5162" s="12" t="s">
        <v>12094</v>
      </c>
      <c r="N5162" s="12" t="s">
        <v>12095</v>
      </c>
      <c r="O5162" s="9" t="str">
        <f aca="false">HYPERLINK("https://pbs.twimg.com/profile_images/827568259465555968/4MROd4Dr_normal.jpg","View")</f>
        <v>View</v>
      </c>
      <c r="P5162" s="10"/>
    </row>
    <row r="5163" customFormat="false" ht="15.75" hidden="false" customHeight="false" outlineLevel="0" collapsed="false">
      <c r="A5163" s="6" t="n">
        <v>43030.8791203704</v>
      </c>
      <c r="B5163" s="7" t="str">
        <f aca="false">HYPERLINK("https://twitter.com/EfrainlLopez","@EfrainlLopez")</f>
        <v>@EfrainlLopez</v>
      </c>
      <c r="C5163" s="8" t="s">
        <v>5703</v>
      </c>
      <c r="D5163" s="8" t="s">
        <v>7754</v>
      </c>
      <c r="E5163" s="9" t="str">
        <f aca="false">HYPERLINK("https://twitter.com/EfrainlLopez/status/922313111050342400","922313111050342400")</f>
        <v>922313111050342400</v>
      </c>
      <c r="F5163" s="10" t="s">
        <v>25</v>
      </c>
      <c r="G5163" s="10" t="n">
        <v>109</v>
      </c>
      <c r="H5163" s="10" t="n">
        <v>131</v>
      </c>
      <c r="I5163" s="10" t="n">
        <v>20</v>
      </c>
      <c r="J5163" s="10" t="n">
        <v>0</v>
      </c>
      <c r="K5163" s="10" t="s">
        <v>20</v>
      </c>
      <c r="L5163" s="11" t="n">
        <v>41452.993275463</v>
      </c>
      <c r="M5163" s="12" t="s">
        <v>5704</v>
      </c>
      <c r="N5163" s="12" t="s">
        <v>5705</v>
      </c>
      <c r="O5163" s="9" t="str">
        <f aca="false">HYPERLINK("https://pbs.twimg.com/profile_images/830277519752441857/_Z64ibzK_normal.jpg","View")</f>
        <v>View</v>
      </c>
      <c r="P5163" s="10"/>
    </row>
    <row r="5164" customFormat="false" ht="15.75" hidden="false" customHeight="false" outlineLevel="0" collapsed="false">
      <c r="A5164" s="6" t="n">
        <v>43030.8793055556</v>
      </c>
      <c r="B5164" s="7" t="str">
        <f aca="false">HYPERLINK("https://twitter.com/Kundanmondal4","@Kundanmondal4")</f>
        <v>@Kundanmondal4</v>
      </c>
      <c r="C5164" s="8" t="s">
        <v>12096</v>
      </c>
      <c r="D5164" s="8" t="s">
        <v>12097</v>
      </c>
      <c r="E5164" s="9" t="str">
        <f aca="false">HYPERLINK("https://twitter.com/Kundanmondal4/status/922313181187358720","922313181187358720")</f>
        <v>922313181187358720</v>
      </c>
      <c r="F5164" s="10" t="s">
        <v>25</v>
      </c>
      <c r="G5164" s="10" t="n">
        <v>258</v>
      </c>
      <c r="H5164" s="10" t="n">
        <v>1188</v>
      </c>
      <c r="I5164" s="10" t="n">
        <v>0</v>
      </c>
      <c r="J5164" s="10" t="n">
        <v>0</v>
      </c>
      <c r="K5164" s="10" t="s">
        <v>20</v>
      </c>
      <c r="L5164" s="11" t="n">
        <v>42682.3504861111</v>
      </c>
      <c r="M5164" s="12"/>
      <c r="N5164" s="12"/>
      <c r="O5164" s="9" t="str">
        <f aca="false">HYPERLINK("https://abs.twimg.com/sticky/default_profile_images/default_profile_normal.png","View")</f>
        <v>View</v>
      </c>
      <c r="P5164" s="10"/>
    </row>
    <row r="5165" customFormat="false" ht="15.75" hidden="false" customHeight="false" outlineLevel="0" collapsed="false">
      <c r="A5165" s="6" t="n">
        <v>43030.8794791667</v>
      </c>
      <c r="B5165" s="7" t="str">
        <f aca="false">HYPERLINK("https://twitter.com/DrBarkatSoomro","@DrBarkatSoomro")</f>
        <v>@DrBarkatSoomro</v>
      </c>
      <c r="C5165" s="8" t="s">
        <v>12098</v>
      </c>
      <c r="D5165" s="8" t="s">
        <v>12099</v>
      </c>
      <c r="E5165" s="9" t="str">
        <f aca="false">HYPERLINK("https://twitter.com/DrBarkatSoomro/status/922313242936004608","922313242936004608")</f>
        <v>922313242936004608</v>
      </c>
      <c r="F5165" s="10" t="s">
        <v>25</v>
      </c>
      <c r="G5165" s="10" t="n">
        <v>917</v>
      </c>
      <c r="H5165" s="10" t="n">
        <v>119</v>
      </c>
      <c r="I5165" s="10" t="n">
        <v>0</v>
      </c>
      <c r="J5165" s="10" t="n">
        <v>0</v>
      </c>
      <c r="K5165" s="10" t="s">
        <v>20</v>
      </c>
      <c r="L5165" s="11" t="n">
        <v>40950.1166782407</v>
      </c>
      <c r="M5165" s="12" t="s">
        <v>12100</v>
      </c>
      <c r="N5165" s="12" t="s">
        <v>12101</v>
      </c>
      <c r="O5165" s="9" t="str">
        <f aca="false">HYPERLINK("https://pbs.twimg.com/profile_images/891375723969216514/kHjMj5bt_normal.jpg","View")</f>
        <v>View</v>
      </c>
      <c r="P5165" s="10"/>
    </row>
    <row r="5166" customFormat="false" ht="15.75" hidden="false" customHeight="false" outlineLevel="0" collapsed="false">
      <c r="A5166" s="6" t="n">
        <v>43030.8799074074</v>
      </c>
      <c r="B5166" s="7" t="str">
        <f aca="false">HYPERLINK("https://twitter.com/p1yush_K","@p1yush_K")</f>
        <v>@p1yush_K</v>
      </c>
      <c r="C5166" s="8" t="s">
        <v>12102</v>
      </c>
      <c r="D5166" s="8" t="s">
        <v>8538</v>
      </c>
      <c r="E5166" s="9" t="str">
        <f aca="false">HYPERLINK("https://twitter.com/p1yush_K/status/922313397760389120","922313397760389120")</f>
        <v>922313397760389120</v>
      </c>
      <c r="F5166" s="10" t="s">
        <v>39</v>
      </c>
      <c r="G5166" s="10" t="n">
        <v>260</v>
      </c>
      <c r="H5166" s="10" t="n">
        <v>233</v>
      </c>
      <c r="I5166" s="10" t="n">
        <v>1015</v>
      </c>
      <c r="J5166" s="10" t="n">
        <v>0</v>
      </c>
      <c r="K5166" s="10" t="s">
        <v>20</v>
      </c>
      <c r="L5166" s="11" t="n">
        <v>40224.2832523148</v>
      </c>
      <c r="M5166" s="12" t="s">
        <v>2348</v>
      </c>
      <c r="N5166" s="12"/>
      <c r="O5166" s="9" t="str">
        <f aca="false">HYPERLINK("https://pbs.twimg.com/profile_images/697185213/superman_emblem_normal.jpg","View")</f>
        <v>View</v>
      </c>
      <c r="P5166" s="10"/>
    </row>
    <row r="5167" customFormat="false" ht="15.75" hidden="false" customHeight="false" outlineLevel="0" collapsed="false">
      <c r="A5167" s="6" t="n">
        <v>43030.8803819445</v>
      </c>
      <c r="B5167" s="7" t="str">
        <f aca="false">HYPERLINK("https://twitter.com/anjalimpm","@anjalimpm")</f>
        <v>@anjalimpm</v>
      </c>
      <c r="C5167" s="8" t="s">
        <v>12103</v>
      </c>
      <c r="D5167" s="8" t="s">
        <v>8538</v>
      </c>
      <c r="E5167" s="9" t="str">
        <f aca="false">HYPERLINK("https://twitter.com/anjalimpm/status/922313570573959168","922313570573959168")</f>
        <v>922313570573959168</v>
      </c>
      <c r="F5167" s="10" t="s">
        <v>25</v>
      </c>
      <c r="G5167" s="10" t="n">
        <v>1019</v>
      </c>
      <c r="H5167" s="10" t="n">
        <v>769</v>
      </c>
      <c r="I5167" s="10" t="n">
        <v>1015</v>
      </c>
      <c r="J5167" s="10" t="n">
        <v>0</v>
      </c>
      <c r="K5167" s="10" t="s">
        <v>20</v>
      </c>
      <c r="L5167" s="11" t="n">
        <v>40000.0715856482</v>
      </c>
      <c r="M5167" s="12" t="s">
        <v>72</v>
      </c>
      <c r="N5167" s="12" t="s">
        <v>12104</v>
      </c>
      <c r="O5167" s="9" t="str">
        <f aca="false">HYPERLINK("https://pbs.twimg.com/profile_images/869223886222643200/EYDH2EkG_normal.jpg","View")</f>
        <v>View</v>
      </c>
      <c r="P5167" s="10"/>
    </row>
    <row r="5168" customFormat="false" ht="15.75" hidden="false" customHeight="false" outlineLevel="0" collapsed="false">
      <c r="A5168" s="6" t="n">
        <v>43030.8805902778</v>
      </c>
      <c r="B5168" s="7" t="str">
        <f aca="false">HYPERLINK("https://twitter.com/HarishS66284892","@HarishS66284892")</f>
        <v>@HarishS66284892</v>
      </c>
      <c r="C5168" s="8" t="s">
        <v>12105</v>
      </c>
      <c r="D5168" s="8" t="s">
        <v>8538</v>
      </c>
      <c r="E5168" s="9" t="str">
        <f aca="false">HYPERLINK("https://twitter.com/HarishS66284892/status/922313646922801152","922313646922801152")</f>
        <v>922313646922801152</v>
      </c>
      <c r="F5168" s="10" t="s">
        <v>177</v>
      </c>
      <c r="G5168" s="10" t="n">
        <v>1712</v>
      </c>
      <c r="H5168" s="10" t="n">
        <v>1571</v>
      </c>
      <c r="I5168" s="10" t="n">
        <v>1015</v>
      </c>
      <c r="J5168" s="10" t="n">
        <v>0</v>
      </c>
      <c r="K5168" s="10" t="s">
        <v>20</v>
      </c>
      <c r="L5168" s="11" t="n">
        <v>41373.9909606482</v>
      </c>
      <c r="M5168" s="12"/>
      <c r="N5168" s="12"/>
      <c r="O5168" s="9" t="str">
        <f aca="false">HYPERLINK("https://pbs.twimg.com/profile_images/823389833099812864/wa8Sv0pX_normal.jpg","View")</f>
        <v>View</v>
      </c>
      <c r="P5168" s="10"/>
    </row>
    <row r="5169" customFormat="false" ht="15.75" hidden="false" customHeight="false" outlineLevel="0" collapsed="false">
      <c r="A5169" s="6" t="n">
        <v>43030.8806365741</v>
      </c>
      <c r="B5169" s="7" t="str">
        <f aca="false">HYPERLINK("https://twitter.com/july_matters","@july_matters")</f>
        <v>@july_matters</v>
      </c>
      <c r="C5169" s="8" t="s">
        <v>12106</v>
      </c>
      <c r="D5169" s="8" t="s">
        <v>12107</v>
      </c>
      <c r="E5169" s="9" t="str">
        <f aca="false">HYPERLINK("https://twitter.com/july_matters/status/922313661460381696","922313661460381696")</f>
        <v>922313661460381696</v>
      </c>
      <c r="F5169" s="10" t="s">
        <v>12108</v>
      </c>
      <c r="G5169" s="10" t="n">
        <v>5</v>
      </c>
      <c r="H5169" s="10" t="n">
        <v>46</v>
      </c>
      <c r="I5169" s="10" t="n">
        <v>0</v>
      </c>
      <c r="J5169" s="10" t="n">
        <v>0</v>
      </c>
      <c r="K5169" s="10" t="s">
        <v>20</v>
      </c>
      <c r="L5169" s="11" t="n">
        <v>43009.078287037</v>
      </c>
      <c r="M5169" s="12" t="s">
        <v>4218</v>
      </c>
      <c r="N5169" s="12"/>
      <c r="O5169" s="9" t="str">
        <f aca="false">HYPERLINK("https://pbs.twimg.com/profile_images/914413068452495360/LZO_pNZ-_normal.jpg","View")</f>
        <v>View</v>
      </c>
      <c r="P5169" s="10"/>
    </row>
    <row r="5170" customFormat="false" ht="15.75" hidden="false" customHeight="false" outlineLevel="0" collapsed="false">
      <c r="A5170" s="6" t="n">
        <v>43030.8808101852</v>
      </c>
      <c r="B5170" s="7" t="str">
        <f aca="false">HYPERLINK("https://twitter.com/srs14756","@srs14756")</f>
        <v>@srs14756</v>
      </c>
      <c r="C5170" s="8" t="s">
        <v>12109</v>
      </c>
      <c r="D5170" s="8" t="s">
        <v>8538</v>
      </c>
      <c r="E5170" s="9" t="str">
        <f aca="false">HYPERLINK("https://twitter.com/srs14756/status/922313724664233984","922313724664233984")</f>
        <v>922313724664233984</v>
      </c>
      <c r="F5170" s="10" t="s">
        <v>25</v>
      </c>
      <c r="G5170" s="10" t="n">
        <v>490</v>
      </c>
      <c r="H5170" s="10" t="n">
        <v>2094</v>
      </c>
      <c r="I5170" s="10" t="n">
        <v>1015</v>
      </c>
      <c r="J5170" s="10" t="n">
        <v>0</v>
      </c>
      <c r="K5170" s="10" t="s">
        <v>20</v>
      </c>
      <c r="L5170" s="11" t="n">
        <v>40206.2593981482</v>
      </c>
      <c r="M5170" s="12" t="s">
        <v>860</v>
      </c>
      <c r="N5170" s="12" t="s">
        <v>12110</v>
      </c>
      <c r="O5170" s="9" t="str">
        <f aca="false">HYPERLINK("https://pbs.twimg.com/profile_images/474412242629173248/aqQli-78_normal.jpeg","View")</f>
        <v>View</v>
      </c>
      <c r="P5170" s="10"/>
    </row>
    <row r="5171" customFormat="false" ht="15.75" hidden="false" customHeight="false" outlineLevel="0" collapsed="false">
      <c r="A5171" s="6" t="n">
        <v>43030.8808912037</v>
      </c>
      <c r="B5171" s="7" t="str">
        <f aca="false">HYPERLINK("https://twitter.com/MexicoNewsBot","@MexicoNewsBot")</f>
        <v>@MexicoNewsBot</v>
      </c>
      <c r="C5171" s="8" t="s">
        <v>53</v>
      </c>
      <c r="D5171" s="8" t="s">
        <v>12111</v>
      </c>
      <c r="E5171" s="9" t="str">
        <f aca="false">HYPERLINK("https://twitter.com/MexicoNewsBot/status/922313756390109184","922313756390109184")</f>
        <v>922313756390109184</v>
      </c>
      <c r="F5171" s="10" t="s">
        <v>55</v>
      </c>
      <c r="G5171" s="10" t="n">
        <v>474</v>
      </c>
      <c r="H5171" s="10" t="n">
        <v>183</v>
      </c>
      <c r="I5171" s="10" t="n">
        <v>0</v>
      </c>
      <c r="J5171" s="10" t="n">
        <v>0</v>
      </c>
      <c r="K5171" s="10" t="s">
        <v>20</v>
      </c>
      <c r="L5171" s="11" t="n">
        <v>41845.7457523148</v>
      </c>
      <c r="M5171" s="12"/>
      <c r="N5171" s="12"/>
      <c r="O5171" s="9" t="str">
        <f aca="false">HYPERLINK("https://pbs.twimg.com/profile_images/492864938445000704/QxvpQrRZ_normal.jpeg","View")</f>
        <v>View</v>
      </c>
      <c r="P5171" s="10"/>
    </row>
    <row r="5172" customFormat="false" ht="15.75" hidden="false" customHeight="false" outlineLevel="0" collapsed="false">
      <c r="A5172" s="6" t="n">
        <v>43030.8812731481</v>
      </c>
      <c r="B5172" s="7" t="str">
        <f aca="false">HYPERLINK("https://twitter.com/vinkshah61","@vinkshah61")</f>
        <v>@vinkshah61</v>
      </c>
      <c r="C5172" s="8" t="s">
        <v>12112</v>
      </c>
      <c r="D5172" s="8" t="s">
        <v>8538</v>
      </c>
      <c r="E5172" s="9" t="str">
        <f aca="false">HYPERLINK("https://twitter.com/vinkshah61/status/922313891261988865","922313891261988865")</f>
        <v>922313891261988865</v>
      </c>
      <c r="F5172" s="10" t="s">
        <v>25</v>
      </c>
      <c r="G5172" s="10" t="n">
        <v>128</v>
      </c>
      <c r="H5172" s="10" t="n">
        <v>361</v>
      </c>
      <c r="I5172" s="10" t="n">
        <v>1015</v>
      </c>
      <c r="J5172" s="10" t="n">
        <v>0</v>
      </c>
      <c r="K5172" s="10" t="s">
        <v>20</v>
      </c>
      <c r="L5172" s="11" t="n">
        <v>41788.0576851852</v>
      </c>
      <c r="M5172" s="12" t="s">
        <v>253</v>
      </c>
      <c r="N5172" s="12" t="s">
        <v>12113</v>
      </c>
      <c r="O5172" s="9" t="str">
        <f aca="false">HYPERLINK("https://pbs.twimg.com/profile_images/806725019522826241/C_SXfnYe_normal.jpg","View")</f>
        <v>View</v>
      </c>
      <c r="P5172" s="10"/>
    </row>
    <row r="5173" customFormat="false" ht="15.75" hidden="false" customHeight="false" outlineLevel="0" collapsed="false">
      <c r="A5173" s="6" t="n">
        <v>43030.8815856482</v>
      </c>
      <c r="B5173" s="7" t="str">
        <f aca="false">HYPERLINK("https://twitter.com/mbwManzoni","@mbwManzoni")</f>
        <v>@mbwManzoni</v>
      </c>
      <c r="C5173" s="8" t="s">
        <v>45</v>
      </c>
      <c r="D5173" s="8" t="s">
        <v>12114</v>
      </c>
      <c r="E5173" s="9" t="str">
        <f aca="false">HYPERLINK("https://twitter.com/mbwManzoni/status/922314007956082688","922314007956082688")</f>
        <v>922314007956082688</v>
      </c>
      <c r="F5173" s="10" t="s">
        <v>47</v>
      </c>
      <c r="G5173" s="10" t="n">
        <v>503</v>
      </c>
      <c r="H5173" s="10" t="n">
        <v>1161</v>
      </c>
      <c r="I5173" s="10" t="n">
        <v>0</v>
      </c>
      <c r="J5173" s="10" t="n">
        <v>0</v>
      </c>
      <c r="K5173" s="10" t="s">
        <v>20</v>
      </c>
      <c r="L5173" s="11" t="n">
        <v>40440.4984259259</v>
      </c>
      <c r="M5173" s="12" t="s">
        <v>48</v>
      </c>
      <c r="N5173" s="12" t="s">
        <v>49</v>
      </c>
      <c r="O5173" s="9" t="str">
        <f aca="false">HYPERLINK("https://pbs.twimg.com/profile_images/876267141082861569/P5HrOcEH_normal.jpg","View")</f>
        <v>View</v>
      </c>
      <c r="P5173" s="10"/>
    </row>
    <row r="5174" customFormat="false" ht="15.75" hidden="false" customHeight="false" outlineLevel="0" collapsed="false">
      <c r="A5174" s="6" t="n">
        <v>43030.8820023148</v>
      </c>
      <c r="B5174" s="7" t="str">
        <f aca="false">HYPERLINK("https://twitter.com/tarokichi80","@tarokichi80")</f>
        <v>@tarokichi80</v>
      </c>
      <c r="C5174" s="8" t="s">
        <v>12115</v>
      </c>
      <c r="D5174" s="8" t="s">
        <v>12116</v>
      </c>
      <c r="E5174" s="9" t="str">
        <f aca="false">HYPERLINK("https://twitter.com/tarokichi80/status/922314158346874880","922314158346874880")</f>
        <v>922314158346874880</v>
      </c>
      <c r="F5174" s="10" t="s">
        <v>39</v>
      </c>
      <c r="G5174" s="10" t="n">
        <v>175</v>
      </c>
      <c r="H5174" s="10" t="n">
        <v>451</v>
      </c>
      <c r="I5174" s="10" t="n">
        <v>0</v>
      </c>
      <c r="J5174" s="10" t="n">
        <v>0</v>
      </c>
      <c r="K5174" s="10" t="s">
        <v>20</v>
      </c>
      <c r="L5174" s="11" t="n">
        <v>42793.7560300926</v>
      </c>
      <c r="M5174" s="12" t="s">
        <v>1257</v>
      </c>
      <c r="N5174" s="12" t="s">
        <v>12117</v>
      </c>
      <c r="O5174" s="9" t="str">
        <f aca="false">HYPERLINK("https://pbs.twimg.com/profile_images/836858574890549248/iV3gEUbY_normal.jpg","View")</f>
        <v>View</v>
      </c>
      <c r="P5174" s="10"/>
    </row>
    <row r="5175" customFormat="false" ht="15.75" hidden="false" customHeight="false" outlineLevel="0" collapsed="false">
      <c r="A5175" s="6" t="n">
        <v>43030.8824421296</v>
      </c>
      <c r="B5175" s="7" t="str">
        <f aca="false">HYPERLINK("https://twitter.com/sangeetasingh77","@sangeetasingh77")</f>
        <v>@sangeetasingh77</v>
      </c>
      <c r="C5175" s="8" t="s">
        <v>6811</v>
      </c>
      <c r="D5175" s="8" t="s">
        <v>8538</v>
      </c>
      <c r="E5175" s="9" t="str">
        <f aca="false">HYPERLINK("https://twitter.com/sangeetasingh77/status/922314316279373824","922314316279373824")</f>
        <v>922314316279373824</v>
      </c>
      <c r="F5175" s="10" t="s">
        <v>25</v>
      </c>
      <c r="G5175" s="10" t="n">
        <v>1252</v>
      </c>
      <c r="H5175" s="10" t="n">
        <v>502</v>
      </c>
      <c r="I5175" s="10" t="n">
        <v>1015</v>
      </c>
      <c r="J5175" s="10" t="n">
        <v>0</v>
      </c>
      <c r="K5175" s="10" t="s">
        <v>20</v>
      </c>
      <c r="L5175" s="11" t="n">
        <v>42145.1496180556</v>
      </c>
      <c r="M5175" s="12"/>
      <c r="N5175" s="12" t="s">
        <v>6812</v>
      </c>
      <c r="O5175" s="9" t="str">
        <f aca="false">HYPERLINK("https://pbs.twimg.com/profile_images/894429442268733441/psqCELCF_normal.jpg","View")</f>
        <v>View</v>
      </c>
      <c r="P5175" s="10"/>
    </row>
    <row r="5176" customFormat="false" ht="15.75" hidden="false" customHeight="false" outlineLevel="0" collapsed="false">
      <c r="A5176" s="6" t="n">
        <v>43030.8829282407</v>
      </c>
      <c r="B5176" s="7" t="str">
        <f aca="false">HYPERLINK("https://twitter.com/IAS_Gurukul","@IAS_Gurukul")</f>
        <v>@IAS_Gurukul</v>
      </c>
      <c r="C5176" s="8" t="s">
        <v>838</v>
      </c>
      <c r="D5176" s="8" t="s">
        <v>12118</v>
      </c>
      <c r="E5176" s="9" t="str">
        <f aca="false">HYPERLINK("https://twitter.com/IAS_Gurukul/status/922314491580370944","922314491580370944")</f>
        <v>922314491580370944</v>
      </c>
      <c r="F5176" s="10" t="s">
        <v>60</v>
      </c>
      <c r="G5176" s="10" t="n">
        <v>165</v>
      </c>
      <c r="H5176" s="10" t="n">
        <v>70</v>
      </c>
      <c r="I5176" s="10" t="n">
        <v>0</v>
      </c>
      <c r="J5176" s="10" t="n">
        <v>0</v>
      </c>
      <c r="K5176" s="10" t="s">
        <v>20</v>
      </c>
      <c r="L5176" s="11" t="n">
        <v>42635.8370486111</v>
      </c>
      <c r="M5176" s="12" t="s">
        <v>64</v>
      </c>
      <c r="N5176" s="12" t="s">
        <v>840</v>
      </c>
      <c r="O5176" s="9" t="str">
        <f aca="false">HYPERLINK("https://pbs.twimg.com/profile_images/898138063557214209/uxDcvkn3_normal.jpg","View")</f>
        <v>View</v>
      </c>
      <c r="P5176" s="10"/>
    </row>
    <row r="5177" customFormat="false" ht="15.75" hidden="false" customHeight="false" outlineLevel="0" collapsed="false">
      <c r="A5177" s="6" t="n">
        <v>43030.8834027778</v>
      </c>
      <c r="B5177" s="7" t="str">
        <f aca="false">HYPERLINK("https://twitter.com/madhava61","@madhava61")</f>
        <v>@madhava61</v>
      </c>
      <c r="C5177" s="8" t="s">
        <v>12119</v>
      </c>
      <c r="D5177" s="8" t="s">
        <v>8538</v>
      </c>
      <c r="E5177" s="9" t="str">
        <f aca="false">HYPERLINK("https://twitter.com/madhava61/status/922314664507248641","922314664507248641")</f>
        <v>922314664507248641</v>
      </c>
      <c r="F5177" s="10" t="s">
        <v>25</v>
      </c>
      <c r="G5177" s="10" t="n">
        <v>363</v>
      </c>
      <c r="H5177" s="10" t="n">
        <v>476</v>
      </c>
      <c r="I5177" s="10" t="n">
        <v>1015</v>
      </c>
      <c r="J5177" s="10" t="n">
        <v>0</v>
      </c>
      <c r="K5177" s="10" t="s">
        <v>20</v>
      </c>
      <c r="L5177" s="11" t="n">
        <v>41619.4672337963</v>
      </c>
      <c r="M5177" s="12" t="s">
        <v>860</v>
      </c>
      <c r="N5177" s="12" t="s">
        <v>12120</v>
      </c>
      <c r="O5177" s="9" t="str">
        <f aca="false">HYPERLINK("https://pbs.twimg.com/profile_images/447989806388109312/qRPbqZ57_normal.jpeg","View")</f>
        <v>View</v>
      </c>
      <c r="P5177" s="10"/>
    </row>
    <row r="5178" customFormat="false" ht="15.75" hidden="false" customHeight="false" outlineLevel="0" collapsed="false">
      <c r="A5178" s="6" t="n">
        <v>43030.8835763889</v>
      </c>
      <c r="B5178" s="7" t="str">
        <f aca="false">HYPERLINK("https://twitter.com/marinar9801","@marinar9801")</f>
        <v>@marinar9801</v>
      </c>
      <c r="C5178" s="14" t="s">
        <v>12121</v>
      </c>
      <c r="D5178" s="8" t="s">
        <v>12046</v>
      </c>
      <c r="E5178" s="9" t="str">
        <f aca="false">HYPERLINK("https://twitter.com/marinar9801/status/922314729351081985","922314729351081985")</f>
        <v>922314729351081985</v>
      </c>
      <c r="F5178" s="10" t="s">
        <v>25</v>
      </c>
      <c r="G5178" s="10" t="n">
        <v>3410</v>
      </c>
      <c r="H5178" s="10" t="n">
        <v>4994</v>
      </c>
      <c r="I5178" s="10" t="n">
        <v>7</v>
      </c>
      <c r="J5178" s="10" t="n">
        <v>0</v>
      </c>
      <c r="K5178" s="10" t="s">
        <v>20</v>
      </c>
      <c r="L5178" s="11" t="n">
        <v>42664.8663773148</v>
      </c>
      <c r="M5178" s="12" t="s">
        <v>574</v>
      </c>
      <c r="N5178" s="13" t="s">
        <v>12122</v>
      </c>
      <c r="O5178" s="9" t="str">
        <f aca="false">HYPERLINK("https://pbs.twimg.com/profile_images/789698660955062272/fAZ_qA07_normal.jpg","View")</f>
        <v>View</v>
      </c>
      <c r="P5178" s="10"/>
    </row>
    <row r="5179" customFormat="false" ht="15.75" hidden="false" customHeight="false" outlineLevel="0" collapsed="false">
      <c r="A5179" s="6" t="n">
        <v>43030.8838194444</v>
      </c>
      <c r="B5179" s="7" t="str">
        <f aca="false">HYPERLINK("https://twitter.com/Bharat_sethia","@Bharat_sethia")</f>
        <v>@Bharat_sethia</v>
      </c>
      <c r="C5179" s="8" t="s">
        <v>12123</v>
      </c>
      <c r="D5179" s="8" t="s">
        <v>8538</v>
      </c>
      <c r="E5179" s="9" t="str">
        <f aca="false">HYPERLINK("https://twitter.com/Bharat_sethia/status/922314817393778688","922314817393778688")</f>
        <v>922314817393778688</v>
      </c>
      <c r="F5179" s="10" t="s">
        <v>25</v>
      </c>
      <c r="G5179" s="10" t="n">
        <v>128</v>
      </c>
      <c r="H5179" s="10" t="n">
        <v>333</v>
      </c>
      <c r="I5179" s="10" t="n">
        <v>1015</v>
      </c>
      <c r="J5179" s="10" t="n">
        <v>0</v>
      </c>
      <c r="K5179" s="10" t="s">
        <v>20</v>
      </c>
      <c r="L5179" s="11" t="n">
        <v>39967.1028009259</v>
      </c>
      <c r="M5179" s="12" t="s">
        <v>12124</v>
      </c>
      <c r="N5179" s="12" t="s">
        <v>12125</v>
      </c>
      <c r="O5179" s="9" t="str">
        <f aca="false">HYPERLINK("https://pbs.twimg.com/profile_images/754895097779453952/OAUeuYd5_normal.jpg","View")</f>
        <v>View</v>
      </c>
      <c r="P5179" s="10"/>
    </row>
    <row r="5180" customFormat="false" ht="15.75" hidden="false" customHeight="false" outlineLevel="0" collapsed="false">
      <c r="A5180" s="6" t="n">
        <v>43030.8840972222</v>
      </c>
      <c r="B5180" s="7" t="str">
        <f aca="false">HYPERLINK("https://twitter.com/GST_Accountant","@GST_Accountant")</f>
        <v>@GST_Accountant</v>
      </c>
      <c r="C5180" s="8" t="s">
        <v>2464</v>
      </c>
      <c r="D5180" s="8" t="s">
        <v>12126</v>
      </c>
      <c r="E5180" s="9" t="str">
        <f aca="false">HYPERLINK("https://twitter.com/GST_Accountant/status/922314915980886016","922314915980886016")</f>
        <v>922314915980886016</v>
      </c>
      <c r="F5180" s="9" t="s">
        <v>1147</v>
      </c>
      <c r="G5180" s="10" t="n">
        <v>89</v>
      </c>
      <c r="H5180" s="10" t="n">
        <v>136</v>
      </c>
      <c r="I5180" s="10" t="n">
        <v>0</v>
      </c>
      <c r="J5180" s="10" t="n">
        <v>0</v>
      </c>
      <c r="K5180" s="10" t="s">
        <v>20</v>
      </c>
      <c r="L5180" s="11" t="n">
        <v>42818.5279282407</v>
      </c>
      <c r="M5180" s="12" t="s">
        <v>72</v>
      </c>
      <c r="N5180" s="12" t="s">
        <v>2466</v>
      </c>
      <c r="O5180" s="9" t="str">
        <f aca="false">HYPERLINK("https://pbs.twimg.com/profile_images/845362655296573440/ANZbLIOe_normal.jpg","View")</f>
        <v>View</v>
      </c>
      <c r="P5180" s="10"/>
    </row>
    <row r="5181" customFormat="false" ht="15.75" hidden="false" customHeight="false" outlineLevel="0" collapsed="false">
      <c r="A5181" s="6" t="n">
        <v>43030.8841666667</v>
      </c>
      <c r="B5181" s="7" t="str">
        <f aca="false">HYPERLINK("https://twitter.com/stiel","@stiel")</f>
        <v>@stiel</v>
      </c>
      <c r="C5181" s="8" t="s">
        <v>12127</v>
      </c>
      <c r="D5181" s="8" t="s">
        <v>12128</v>
      </c>
      <c r="E5181" s="9" t="str">
        <f aca="false">HYPERLINK("https://twitter.com/stiel/status/922314940957958145","922314940957958145")</f>
        <v>922314940957958145</v>
      </c>
      <c r="F5181" s="9" t="s">
        <v>1147</v>
      </c>
      <c r="G5181" s="10" t="n">
        <v>1752</v>
      </c>
      <c r="H5181" s="10" t="n">
        <v>76</v>
      </c>
      <c r="I5181" s="10" t="n">
        <v>0</v>
      </c>
      <c r="J5181" s="10" t="n">
        <v>0</v>
      </c>
      <c r="K5181" s="10" t="s">
        <v>20</v>
      </c>
      <c r="L5181" s="11" t="n">
        <v>39771.5838773148</v>
      </c>
      <c r="M5181" s="12" t="s">
        <v>12129</v>
      </c>
      <c r="N5181" s="12" t="s">
        <v>12130</v>
      </c>
      <c r="O5181" s="9" t="str">
        <f aca="false">HYPERLINK("https://pbs.twimg.com/profile_images/878755442028982272/CH-u2McV_normal.jpg","View")</f>
        <v>View</v>
      </c>
      <c r="P5181" s="10"/>
    </row>
    <row r="5182" customFormat="false" ht="15.75" hidden="false" customHeight="false" outlineLevel="0" collapsed="false">
      <c r="A5182" s="6" t="n">
        <v>43030.8841666667</v>
      </c>
      <c r="B5182" s="7" t="str">
        <f aca="false">HYPERLINK("https://twitter.com/nevofinancial","@nevofinancial")</f>
        <v>@nevofinancial</v>
      </c>
      <c r="C5182" s="8" t="s">
        <v>12131</v>
      </c>
      <c r="D5182" s="8" t="s">
        <v>12132</v>
      </c>
      <c r="E5182" s="9" t="str">
        <f aca="false">HYPERLINK("https://twitter.com/nevofinancial/status/922314942333599745","922314942333599745")</f>
        <v>922314942333599745</v>
      </c>
      <c r="F5182" s="9" t="s">
        <v>1147</v>
      </c>
      <c r="G5182" s="10" t="n">
        <v>149</v>
      </c>
      <c r="H5182" s="10" t="n">
        <v>6</v>
      </c>
      <c r="I5182" s="10" t="n">
        <v>0</v>
      </c>
      <c r="J5182" s="10" t="n">
        <v>0</v>
      </c>
      <c r="K5182" s="10" t="s">
        <v>20</v>
      </c>
      <c r="L5182" s="11" t="n">
        <v>42159.3876273148</v>
      </c>
      <c r="M5182" s="12" t="s">
        <v>380</v>
      </c>
      <c r="N5182" s="12" t="s">
        <v>12133</v>
      </c>
      <c r="O5182" s="9" t="str">
        <f aca="false">HYPERLINK("https://pbs.twimg.com/profile_images/922884462219747328/8yuvdyvu_normal.jpg","View")</f>
        <v>View</v>
      </c>
      <c r="P5182" s="10"/>
    </row>
    <row r="5183" customFormat="false" ht="15.75" hidden="false" customHeight="false" outlineLevel="0" collapsed="false">
      <c r="A5183" s="6" t="n">
        <v>43030.8842361111</v>
      </c>
      <c r="B5183" s="7" t="str">
        <f aca="false">HYPERLINK("https://twitter.com/AcheDinAaneWale","@AcheDinAaneWale")</f>
        <v>@AcheDinAaneWale</v>
      </c>
      <c r="C5183" s="8" t="s">
        <v>62</v>
      </c>
      <c r="D5183" s="8" t="s">
        <v>12134</v>
      </c>
      <c r="E5183" s="9" t="str">
        <f aca="false">HYPERLINK("https://twitter.com/AcheDinAaneWale/status/922314965637312513","922314965637312513")</f>
        <v>922314965637312513</v>
      </c>
      <c r="F5183" s="10" t="s">
        <v>60</v>
      </c>
      <c r="G5183" s="10" t="n">
        <v>5272</v>
      </c>
      <c r="H5183" s="10" t="n">
        <v>1963</v>
      </c>
      <c r="I5183" s="10" t="n">
        <v>1</v>
      </c>
      <c r="J5183" s="10" t="n">
        <v>1</v>
      </c>
      <c r="K5183" s="10" t="s">
        <v>20</v>
      </c>
      <c r="L5183" s="11" t="n">
        <v>41780.2063310185</v>
      </c>
      <c r="M5183" s="12" t="s">
        <v>64</v>
      </c>
      <c r="N5183" s="12" t="s">
        <v>65</v>
      </c>
      <c r="O5183" s="9" t="str">
        <f aca="false">HYPERLINK("https://pbs.twimg.com/profile_images/469240254461796352/nzfPG2gy_normal.jpeg","View")</f>
        <v>View</v>
      </c>
      <c r="P5183" s="10"/>
    </row>
    <row r="5184" customFormat="false" ht="15.75" hidden="false" customHeight="false" outlineLevel="0" collapsed="false">
      <c r="A5184" s="6" t="n">
        <v>43030.8842361111</v>
      </c>
      <c r="B5184" s="7" t="str">
        <f aca="false">HYPERLINK("https://twitter.com/asuka_250","@asuka_250")</f>
        <v>@asuka_250</v>
      </c>
      <c r="C5184" s="8" t="s">
        <v>1235</v>
      </c>
      <c r="D5184" s="8" t="s">
        <v>12046</v>
      </c>
      <c r="E5184" s="9" t="str">
        <f aca="false">HYPERLINK("https://twitter.com/asuka_250/status/922314965939142656","922314965939142656")</f>
        <v>922314965939142656</v>
      </c>
      <c r="F5184" s="10" t="s">
        <v>25</v>
      </c>
      <c r="G5184" s="10" t="n">
        <v>30709</v>
      </c>
      <c r="H5184" s="10" t="n">
        <v>30516</v>
      </c>
      <c r="I5184" s="10" t="n">
        <v>7</v>
      </c>
      <c r="J5184" s="10" t="n">
        <v>0</v>
      </c>
      <c r="K5184" s="10" t="s">
        <v>20</v>
      </c>
      <c r="L5184" s="11" t="n">
        <v>41943.1724768519</v>
      </c>
      <c r="M5184" s="12" t="s">
        <v>186</v>
      </c>
      <c r="N5184" s="12" t="s">
        <v>1236</v>
      </c>
      <c r="O5184" s="9" t="str">
        <f aca="false">HYPERLINK("https://pbs.twimg.com/profile_images/576284037486014464/dhYtI1qZ_normal.jpeg","View")</f>
        <v>View</v>
      </c>
      <c r="P5184" s="10"/>
    </row>
    <row r="5185" customFormat="false" ht="15.75" hidden="false" customHeight="false" outlineLevel="0" collapsed="false">
      <c r="A5185" s="6" t="n">
        <v>43030.8845023148</v>
      </c>
      <c r="B5185" s="7" t="str">
        <f aca="false">HYPERLINK("https://twitter.com/HilalUlukan","@HilalUlukan")</f>
        <v>@HilalUlukan</v>
      </c>
      <c r="C5185" s="8" t="s">
        <v>10105</v>
      </c>
      <c r="D5185" s="8" t="s">
        <v>12046</v>
      </c>
      <c r="E5185" s="9" t="str">
        <f aca="false">HYPERLINK("https://twitter.com/HilalUlukan/status/922315061934292993","922315061934292993")</f>
        <v>922315061934292993</v>
      </c>
      <c r="F5185" s="10" t="s">
        <v>10106</v>
      </c>
      <c r="G5185" s="10" t="n">
        <v>2125</v>
      </c>
      <c r="H5185" s="10" t="n">
        <v>3804</v>
      </c>
      <c r="I5185" s="10" t="n">
        <v>7</v>
      </c>
      <c r="J5185" s="10" t="n">
        <v>0</v>
      </c>
      <c r="K5185" s="10" t="s">
        <v>20</v>
      </c>
      <c r="L5185" s="11" t="n">
        <v>42229.9746296296</v>
      </c>
      <c r="M5185" s="12" t="s">
        <v>182</v>
      </c>
      <c r="N5185" s="12" t="s">
        <v>10107</v>
      </c>
      <c r="O5185" s="9" t="str">
        <f aca="false">HYPERLINK("https://pbs.twimg.com/profile_images/897130241025560581/zBMUiAkZ_normal.jpg","View")</f>
        <v>View</v>
      </c>
      <c r="P5185" s="10"/>
    </row>
    <row r="5186" customFormat="false" ht="15.75" hidden="false" customHeight="false" outlineLevel="0" collapsed="false">
      <c r="A5186" s="6" t="n">
        <v>43030.8845138889</v>
      </c>
      <c r="B5186" s="7" t="str">
        <f aca="false">HYPERLINK("https://twitter.com/allstartupsin","@allstartupsin")</f>
        <v>@allstartupsin</v>
      </c>
      <c r="C5186" s="7" t="s">
        <v>831</v>
      </c>
      <c r="D5186" s="8" t="s">
        <v>12135</v>
      </c>
      <c r="E5186" s="9" t="str">
        <f aca="false">HYPERLINK("https://twitter.com/allstartupsin/status/922315068599160832","922315068599160832")</f>
        <v>922315068599160832</v>
      </c>
      <c r="F5186" s="10" t="s">
        <v>60</v>
      </c>
      <c r="G5186" s="10" t="n">
        <v>1605</v>
      </c>
      <c r="H5186" s="10" t="n">
        <v>1993</v>
      </c>
      <c r="I5186" s="10" t="n">
        <v>0</v>
      </c>
      <c r="J5186" s="10" t="n">
        <v>0</v>
      </c>
      <c r="K5186" s="10" t="s">
        <v>20</v>
      </c>
      <c r="L5186" s="11" t="n">
        <v>41453.3700462963</v>
      </c>
      <c r="M5186" s="12" t="s">
        <v>72</v>
      </c>
      <c r="N5186" s="12" t="s">
        <v>833</v>
      </c>
      <c r="O5186" s="9" t="str">
        <f aca="false">HYPERLINK("https://pbs.twimg.com/profile_images/770675004446941184/DgZiAFjn_normal.jpg","View")</f>
        <v>View</v>
      </c>
      <c r="P5186" s="10"/>
    </row>
    <row r="5187" customFormat="false" ht="15.75" hidden="false" customHeight="false" outlineLevel="0" collapsed="false">
      <c r="A5187" s="6" t="n">
        <v>43030.8858101852</v>
      </c>
      <c r="B5187" s="7" t="str">
        <f aca="false">HYPERLINK("https://twitter.com/BlackWhite_","@BlackWhite_")</f>
        <v>@BlackWhite_</v>
      </c>
      <c r="C5187" s="8" t="s">
        <v>6846</v>
      </c>
      <c r="D5187" s="8" t="s">
        <v>12136</v>
      </c>
      <c r="E5187" s="9" t="str">
        <f aca="false">HYPERLINK("https://twitter.com/BlackWhite_/status/922315535181852672","922315535181852672")</f>
        <v>922315535181852672</v>
      </c>
      <c r="F5187" s="10" t="s">
        <v>110</v>
      </c>
      <c r="G5187" s="10" t="n">
        <v>141</v>
      </c>
      <c r="H5187" s="10" t="n">
        <v>99</v>
      </c>
      <c r="I5187" s="10" t="n">
        <v>0</v>
      </c>
      <c r="J5187" s="10" t="n">
        <v>0</v>
      </c>
      <c r="K5187" s="10" t="s">
        <v>20</v>
      </c>
      <c r="L5187" s="11" t="n">
        <v>40282.280474537</v>
      </c>
      <c r="M5187" s="12" t="s">
        <v>72</v>
      </c>
      <c r="N5187" s="12" t="s">
        <v>6848</v>
      </c>
      <c r="O5187" s="9" t="str">
        <f aca="false">HYPERLINK("https://pbs.twimg.com/profile_images/1435129032/robot_normal.jpg","View")</f>
        <v>View</v>
      </c>
      <c r="P5187" s="10"/>
    </row>
    <row r="5188" customFormat="false" ht="15.75" hidden="false" customHeight="false" outlineLevel="0" collapsed="false">
      <c r="A5188" s="6" t="n">
        <v>43030.8858101852</v>
      </c>
      <c r="B5188" s="7" t="str">
        <f aca="false">HYPERLINK("https://twitter.com/socialmedia4bjp","@socialmedia4bjp")</f>
        <v>@socialmedia4bjp</v>
      </c>
      <c r="C5188" s="8" t="s">
        <v>12137</v>
      </c>
      <c r="D5188" s="8" t="s">
        <v>12138</v>
      </c>
      <c r="E5188" s="9" t="str">
        <f aca="false">HYPERLINK("https://twitter.com/socialmedia4bjp/status/922315536607821824","922315536607821824")</f>
        <v>922315536607821824</v>
      </c>
      <c r="F5188" s="9" t="s">
        <v>1147</v>
      </c>
      <c r="G5188" s="10" t="n">
        <v>5496</v>
      </c>
      <c r="H5188" s="10" t="n">
        <v>2774</v>
      </c>
      <c r="I5188" s="10" t="n">
        <v>4</v>
      </c>
      <c r="J5188" s="10" t="n">
        <v>7</v>
      </c>
      <c r="K5188" s="10" t="s">
        <v>20</v>
      </c>
      <c r="L5188" s="11" t="n">
        <v>42639.1162152778</v>
      </c>
      <c r="M5188" s="12" t="s">
        <v>12139</v>
      </c>
      <c r="N5188" s="12" t="s">
        <v>12140</v>
      </c>
      <c r="O5188" s="9" t="str">
        <f aca="false">HYPERLINK("https://pbs.twimg.com/profile_images/812651178567856128/zsCDNkEC_normal.jpg","View")</f>
        <v>View</v>
      </c>
      <c r="P5188" s="10"/>
    </row>
    <row r="5189" customFormat="false" ht="15.75" hidden="false" customHeight="false" outlineLevel="0" collapsed="false">
      <c r="A5189" s="6" t="n">
        <v>43030.8859027778</v>
      </c>
      <c r="B5189" s="7" t="str">
        <f aca="false">HYPERLINK("https://twitter.com/ebstt","@ebstt")</f>
        <v>@ebstt</v>
      </c>
      <c r="C5189" s="8" t="s">
        <v>12141</v>
      </c>
      <c r="D5189" s="8" t="s">
        <v>12142</v>
      </c>
      <c r="E5189" s="9" t="str">
        <f aca="false">HYPERLINK("https://twitter.com/ebstt/status/922315568665059328","922315568665059328")</f>
        <v>922315568665059328</v>
      </c>
      <c r="F5189" s="10" t="s">
        <v>110</v>
      </c>
      <c r="G5189" s="10" t="n">
        <v>4933</v>
      </c>
      <c r="H5189" s="10" t="n">
        <v>4890</v>
      </c>
      <c r="I5189" s="10" t="n">
        <v>0</v>
      </c>
      <c r="J5189" s="10" t="n">
        <v>0</v>
      </c>
      <c r="K5189" s="10" t="s">
        <v>20</v>
      </c>
      <c r="L5189" s="11" t="n">
        <v>42116.6629976852</v>
      </c>
      <c r="M5189" s="12" t="s">
        <v>7385</v>
      </c>
      <c r="N5189" s="12" t="s">
        <v>12143</v>
      </c>
      <c r="O5189" s="9" t="str">
        <f aca="false">HYPERLINK("https://pbs.twimg.com/profile_images/639039162524565504/An1Pm0oK_normal.png","View")</f>
        <v>View</v>
      </c>
      <c r="P5189" s="10"/>
    </row>
    <row r="5190" customFormat="false" ht="15.75" hidden="false" customHeight="false" outlineLevel="0" collapsed="false">
      <c r="A5190" s="6" t="n">
        <v>43030.8859606482</v>
      </c>
      <c r="B5190" s="7" t="str">
        <f aca="false">HYPERLINK("https://twitter.com/HarshangDesai","@HarshangDesai")</f>
        <v>@HarshangDesai</v>
      </c>
      <c r="C5190" s="8" t="s">
        <v>12144</v>
      </c>
      <c r="D5190" s="8" t="s">
        <v>12145</v>
      </c>
      <c r="E5190" s="9" t="str">
        <f aca="false">HYPERLINK("https://twitter.com/HarshangDesai/status/922315592555667456","922315592555667456")</f>
        <v>922315592555667456</v>
      </c>
      <c r="F5190" s="10" t="s">
        <v>25</v>
      </c>
      <c r="G5190" s="10" t="n">
        <v>259</v>
      </c>
      <c r="H5190" s="10" t="n">
        <v>183</v>
      </c>
      <c r="I5190" s="10" t="n">
        <v>4</v>
      </c>
      <c r="J5190" s="10" t="n">
        <v>0</v>
      </c>
      <c r="K5190" s="10" t="s">
        <v>20</v>
      </c>
      <c r="L5190" s="11" t="n">
        <v>42949.9617361111</v>
      </c>
      <c r="M5190" s="12"/>
      <c r="N5190" s="12" t="s">
        <v>12146</v>
      </c>
      <c r="O5190" s="9" t="str">
        <f aca="false">HYPERLINK("https://pbs.twimg.com/profile_images/914380798488305665/SpcuNaS__normal.jpg","View")</f>
        <v>View</v>
      </c>
      <c r="P5190" s="10"/>
    </row>
    <row r="5191" customFormat="false" ht="15.75" hidden="false" customHeight="false" outlineLevel="0" collapsed="false">
      <c r="A5191" s="6" t="n">
        <v>43030.8863888889</v>
      </c>
      <c r="B5191" s="7" t="str">
        <f aca="false">HYPERLINK("https://twitter.com/Dips_2809","@Dips_2809")</f>
        <v>@Dips_2809</v>
      </c>
      <c r="C5191" s="8" t="s">
        <v>12147</v>
      </c>
      <c r="D5191" s="8" t="s">
        <v>8538</v>
      </c>
      <c r="E5191" s="9" t="str">
        <f aca="false">HYPERLINK("https://twitter.com/Dips_2809/status/922315745588944896","922315745588944896")</f>
        <v>922315745588944896</v>
      </c>
      <c r="F5191" s="10" t="s">
        <v>25</v>
      </c>
      <c r="G5191" s="10" t="n">
        <v>108</v>
      </c>
      <c r="H5191" s="10" t="n">
        <v>615</v>
      </c>
      <c r="I5191" s="10" t="n">
        <v>1015</v>
      </c>
      <c r="J5191" s="10" t="n">
        <v>0</v>
      </c>
      <c r="K5191" s="10" t="s">
        <v>20</v>
      </c>
      <c r="L5191" s="11" t="n">
        <v>41217.4645601852</v>
      </c>
      <c r="M5191" s="12" t="s">
        <v>12148</v>
      </c>
      <c r="N5191" s="12" t="s">
        <v>12149</v>
      </c>
      <c r="O5191" s="9" t="str">
        <f aca="false">HYPERLINK("https://pbs.twimg.com/profile_images/920175434368655360/nP9ysrj__normal.jpg","View")</f>
        <v>View</v>
      </c>
      <c r="P5191" s="10"/>
    </row>
    <row r="5192" customFormat="false" ht="15.75" hidden="false" customHeight="false" outlineLevel="0" collapsed="false">
      <c r="A5192" s="6" t="n">
        <v>43030.8865740741</v>
      </c>
      <c r="B5192" s="7" t="str">
        <f aca="false">HYPERLINK("https://twitter.com/AsiaCasinoGamin","@AsiaCasinoGamin")</f>
        <v>@AsiaCasinoGamin</v>
      </c>
      <c r="C5192" s="8" t="s">
        <v>12150</v>
      </c>
      <c r="D5192" s="8" t="s">
        <v>12151</v>
      </c>
      <c r="E5192" s="9" t="str">
        <f aca="false">HYPERLINK("https://twitter.com/AsiaCasinoGamin/status/922315812039311360","922315812039311360")</f>
        <v>922315812039311360</v>
      </c>
      <c r="F5192" s="10" t="s">
        <v>39</v>
      </c>
      <c r="G5192" s="10" t="n">
        <v>36</v>
      </c>
      <c r="H5192" s="10" t="n">
        <v>510</v>
      </c>
      <c r="I5192" s="10" t="n">
        <v>0</v>
      </c>
      <c r="J5192" s="10" t="n">
        <v>0</v>
      </c>
      <c r="K5192" s="10" t="s">
        <v>20</v>
      </c>
      <c r="L5192" s="11" t="n">
        <v>42923.0614467593</v>
      </c>
      <c r="M5192" s="12"/>
      <c r="N5192" s="12" t="s">
        <v>12152</v>
      </c>
      <c r="O5192" s="9" t="str">
        <f aca="false">HYPERLINK("https://pbs.twimg.com/profile_images/900955707817705472/tbbobi7l_normal.jpg","View")</f>
        <v>View</v>
      </c>
      <c r="P5192" s="10"/>
    </row>
    <row r="5193" customFormat="false" ht="15.75" hidden="false" customHeight="false" outlineLevel="0" collapsed="false">
      <c r="A5193" s="6" t="n">
        <v>43030.8867824074</v>
      </c>
      <c r="B5193" s="7" t="str">
        <f aca="false">HYPERLINK("https://twitter.com/sohnal","@sohnal")</f>
        <v>@sohnal</v>
      </c>
      <c r="C5193" s="8" t="s">
        <v>12153</v>
      </c>
      <c r="D5193" s="8" t="s">
        <v>8538</v>
      </c>
      <c r="E5193" s="9" t="str">
        <f aca="false">HYPERLINK("https://twitter.com/sohnal/status/922315889789222912","922315889789222912")</f>
        <v>922315889789222912</v>
      </c>
      <c r="F5193" s="10" t="s">
        <v>25</v>
      </c>
      <c r="G5193" s="10" t="n">
        <v>86</v>
      </c>
      <c r="H5193" s="10" t="n">
        <v>187</v>
      </c>
      <c r="I5193" s="10" t="n">
        <v>1015</v>
      </c>
      <c r="J5193" s="10" t="n">
        <v>0</v>
      </c>
      <c r="K5193" s="10" t="s">
        <v>20</v>
      </c>
      <c r="L5193" s="11" t="n">
        <v>39918.0899074074</v>
      </c>
      <c r="M5193" s="12"/>
      <c r="N5193" s="12"/>
      <c r="O5193" s="9" t="str">
        <f aca="false">HYPERLINK("https://pbs.twimg.com/profile_images/255710297/04_june_mobile_002_normal.jpg","View")</f>
        <v>View</v>
      </c>
      <c r="P5193" s="10"/>
    </row>
    <row r="5194" customFormat="false" ht="15.75" hidden="false" customHeight="false" outlineLevel="0" collapsed="false">
      <c r="A5194" s="6" t="n">
        <v>43030.8875231482</v>
      </c>
      <c r="B5194" s="7" t="str">
        <f aca="false">HYPERLINK("https://twitter.com/FortuneMagazine","@FortuneMagazine")</f>
        <v>@FortuneMagazine</v>
      </c>
      <c r="C5194" s="8" t="s">
        <v>12154</v>
      </c>
      <c r="D5194" s="8" t="s">
        <v>12155</v>
      </c>
      <c r="E5194" s="9" t="str">
        <f aca="false">HYPERLINK("https://twitter.com/FortuneMagazine/status/922316156245020674","922316156245020674")</f>
        <v>922316156245020674</v>
      </c>
      <c r="F5194" s="10" t="s">
        <v>268</v>
      </c>
      <c r="G5194" s="10" t="n">
        <v>2264858</v>
      </c>
      <c r="H5194" s="10" t="n">
        <v>452</v>
      </c>
      <c r="I5194" s="10" t="n">
        <v>9</v>
      </c>
      <c r="J5194" s="10" t="n">
        <v>8</v>
      </c>
      <c r="K5194" s="10" t="s">
        <v>20</v>
      </c>
      <c r="L5194" s="11" t="n">
        <v>39890.1415972222</v>
      </c>
      <c r="M5194" s="12" t="s">
        <v>319</v>
      </c>
      <c r="N5194" s="12" t="s">
        <v>12156</v>
      </c>
      <c r="O5194" s="9" t="str">
        <f aca="false">HYPERLINK("https://pbs.twimg.com/profile_images/875382047216467972/3119VjuE_normal.jpg","View")</f>
        <v>View</v>
      </c>
      <c r="P5194" s="10"/>
    </row>
    <row r="5195" customFormat="false" ht="15.75" hidden="false" customHeight="false" outlineLevel="0" collapsed="false">
      <c r="A5195" s="6" t="n">
        <v>43030.8875462963</v>
      </c>
      <c r="B5195" s="7" t="str">
        <f aca="false">HYPERLINK("https://twitter.com/wlstcom","@wlstcom")</f>
        <v>@wlstcom</v>
      </c>
      <c r="C5195" s="7" t="s">
        <v>12157</v>
      </c>
      <c r="D5195" s="8" t="s">
        <v>12158</v>
      </c>
      <c r="E5195" s="9" t="str">
        <f aca="false">HYPERLINK("https://twitter.com/wlstcom/status/922316165409591297","922316165409591297")</f>
        <v>922316165409591297</v>
      </c>
      <c r="F5195" s="10" t="s">
        <v>12159</v>
      </c>
      <c r="G5195" s="10" t="n">
        <v>2204</v>
      </c>
      <c r="H5195" s="10" t="n">
        <v>75</v>
      </c>
      <c r="I5195" s="10" t="n">
        <v>0</v>
      </c>
      <c r="J5195" s="10" t="n">
        <v>0</v>
      </c>
      <c r="K5195" s="10" t="s">
        <v>20</v>
      </c>
      <c r="L5195" s="11" t="n">
        <v>42052.7267476852</v>
      </c>
      <c r="M5195" s="12" t="s">
        <v>12160</v>
      </c>
      <c r="N5195" s="12" t="s">
        <v>12161</v>
      </c>
      <c r="O5195" s="9" t="str">
        <f aca="false">HYPERLINK("https://pbs.twimg.com/profile_images/569924896747438080/E4LyeJyN_normal.jpeg","View")</f>
        <v>View</v>
      </c>
      <c r="P5195" s="10"/>
    </row>
    <row r="5196" customFormat="false" ht="15.75" hidden="false" customHeight="false" outlineLevel="0" collapsed="false">
      <c r="A5196" s="6" t="n">
        <v>43030.8876273148</v>
      </c>
      <c r="B5196" s="7" t="str">
        <f aca="false">HYPERLINK("https://twitter.com/madoro68","@madoro68")</f>
        <v>@madoro68</v>
      </c>
      <c r="C5196" s="8" t="s">
        <v>12162</v>
      </c>
      <c r="D5196" s="8" t="s">
        <v>12163</v>
      </c>
      <c r="E5196" s="9" t="str">
        <f aca="false">HYPERLINK("https://twitter.com/madoro68/status/922316196535345152","922316196535345152")</f>
        <v>922316196535345152</v>
      </c>
      <c r="F5196" s="10" t="s">
        <v>25</v>
      </c>
      <c r="G5196" s="10" t="n">
        <v>260</v>
      </c>
      <c r="H5196" s="10" t="n">
        <v>1733</v>
      </c>
      <c r="I5196" s="10" t="n">
        <v>9</v>
      </c>
      <c r="J5196" s="10" t="n">
        <v>0</v>
      </c>
      <c r="K5196" s="10" t="s">
        <v>20</v>
      </c>
      <c r="L5196" s="11" t="n">
        <v>41519.4375578704</v>
      </c>
      <c r="M5196" s="12"/>
      <c r="N5196" s="12" t="s">
        <v>12164</v>
      </c>
      <c r="O5196" s="9" t="str">
        <f aca="false">HYPERLINK("https://pbs.twimg.com/profile_images/706195628649394176/ciu7fn2K_normal.jpg","View")</f>
        <v>View</v>
      </c>
      <c r="P5196" s="10"/>
    </row>
    <row r="5197" customFormat="false" ht="15.75" hidden="false" customHeight="false" outlineLevel="0" collapsed="false">
      <c r="A5197" s="6" t="n">
        <v>43030.8877314815</v>
      </c>
      <c r="B5197" s="7" t="str">
        <f aca="false">HYPERLINK("https://twitter.com/surkp25","@surkp25")</f>
        <v>@surkp25</v>
      </c>
      <c r="C5197" s="8" t="s">
        <v>12165</v>
      </c>
      <c r="D5197" s="8" t="s">
        <v>8538</v>
      </c>
      <c r="E5197" s="9" t="str">
        <f aca="false">HYPERLINK("https://twitter.com/surkp25/status/922316233483145216","922316233483145216")</f>
        <v>922316233483145216</v>
      </c>
      <c r="F5197" s="10" t="s">
        <v>25</v>
      </c>
      <c r="G5197" s="10" t="n">
        <v>102</v>
      </c>
      <c r="H5197" s="10" t="n">
        <v>346</v>
      </c>
      <c r="I5197" s="10" t="n">
        <v>1015</v>
      </c>
      <c r="J5197" s="10" t="n">
        <v>0</v>
      </c>
      <c r="K5197" s="10" t="s">
        <v>20</v>
      </c>
      <c r="L5197" s="11" t="n">
        <v>41551.4399768519</v>
      </c>
      <c r="M5197" s="12" t="s">
        <v>12166</v>
      </c>
      <c r="N5197" s="12"/>
      <c r="O5197" s="9" t="str">
        <f aca="false">HYPERLINK("https://pbs.twimg.com/profile_images/378800000549136612/017190ae050ec81b499e812eaed81c09_normal.jpeg","View")</f>
        <v>View</v>
      </c>
      <c r="P5197" s="10"/>
    </row>
    <row r="5198" customFormat="false" ht="15.75" hidden="false" customHeight="false" outlineLevel="0" collapsed="false">
      <c r="A5198" s="6" t="n">
        <v>43030.888125</v>
      </c>
      <c r="B5198" s="7" t="str">
        <f aca="false">HYPERLINK("https://twitter.com/matupoke2","@matupoke2")</f>
        <v>@matupoke2</v>
      </c>
      <c r="C5198" s="8" t="s">
        <v>12167</v>
      </c>
      <c r="D5198" s="8" t="s">
        <v>12163</v>
      </c>
      <c r="E5198" s="9" t="str">
        <f aca="false">HYPERLINK("https://twitter.com/matupoke2/status/922316378035703808","922316378035703808")</f>
        <v>922316378035703808</v>
      </c>
      <c r="F5198" s="10" t="s">
        <v>1024</v>
      </c>
      <c r="G5198" s="10" t="n">
        <v>488</v>
      </c>
      <c r="H5198" s="10" t="n">
        <v>2116</v>
      </c>
      <c r="I5198" s="10" t="n">
        <v>9</v>
      </c>
      <c r="J5198" s="10" t="n">
        <v>0</v>
      </c>
      <c r="K5198" s="10" t="s">
        <v>20</v>
      </c>
      <c r="L5198" s="11" t="n">
        <v>41877.2642824074</v>
      </c>
      <c r="M5198" s="12"/>
      <c r="N5198" s="12"/>
      <c r="O5198" s="9" t="str">
        <f aca="false">HYPERLINK("https://pbs.twimg.com/profile_images/504914195448475648/3u6J3npq_normal.jpeg","View")</f>
        <v>View</v>
      </c>
      <c r="P5198" s="10"/>
    </row>
    <row r="5199" customFormat="false" ht="15.75" hidden="false" customHeight="false" outlineLevel="0" collapsed="false">
      <c r="A5199" s="6" t="n">
        <v>43030.8882638889</v>
      </c>
      <c r="B5199" s="7" t="str">
        <f aca="false">HYPERLINK("https://twitter.com/gopsec2","@gopsec2")</f>
        <v>@gopsec2</v>
      </c>
      <c r="C5199" s="8" t="s">
        <v>9675</v>
      </c>
      <c r="D5199" s="8" t="s">
        <v>12168</v>
      </c>
      <c r="E5199" s="9" t="str">
        <f aca="false">HYPERLINK("https://twitter.com/gopsec2/status/922316427133988864","922316427133988864")</f>
        <v>922316427133988864</v>
      </c>
      <c r="F5199" s="10" t="s">
        <v>25</v>
      </c>
      <c r="G5199" s="10" t="n">
        <v>352</v>
      </c>
      <c r="H5199" s="10" t="n">
        <v>1038</v>
      </c>
      <c r="I5199" s="10" t="n">
        <v>1</v>
      </c>
      <c r="J5199" s="10" t="n">
        <v>0</v>
      </c>
      <c r="K5199" s="10" t="s">
        <v>20</v>
      </c>
      <c r="L5199" s="11" t="n">
        <v>42026.8206134259</v>
      </c>
      <c r="M5199" s="12"/>
      <c r="N5199" s="12"/>
      <c r="O5199" s="9" t="str">
        <f aca="false">HYPERLINK("https://pbs.twimg.com/profile_images/558469843272224771/aZU1ICfi_normal.jpeg","View")</f>
        <v>View</v>
      </c>
      <c r="P5199" s="10"/>
    </row>
    <row r="5200" customFormat="false" ht="15.75" hidden="false" customHeight="false" outlineLevel="0" collapsed="false">
      <c r="A5200" s="6" t="n">
        <v>43030.8884606481</v>
      </c>
      <c r="B5200" s="7" t="str">
        <f aca="false">HYPERLINK("https://twitter.com/kaushalvaghadia","@kaushalvaghadia")</f>
        <v>@kaushalvaghadia</v>
      </c>
      <c r="C5200" s="8" t="s">
        <v>12169</v>
      </c>
      <c r="D5200" s="8" t="s">
        <v>12145</v>
      </c>
      <c r="E5200" s="9" t="str">
        <f aca="false">HYPERLINK("https://twitter.com/kaushalvaghadia/status/922316499276070912","922316499276070912")</f>
        <v>922316499276070912</v>
      </c>
      <c r="F5200" s="10" t="s">
        <v>25</v>
      </c>
      <c r="G5200" s="10" t="n">
        <v>892</v>
      </c>
      <c r="H5200" s="10" t="n">
        <v>1549</v>
      </c>
      <c r="I5200" s="10" t="n">
        <v>4</v>
      </c>
      <c r="J5200" s="10" t="n">
        <v>0</v>
      </c>
      <c r="K5200" s="10" t="s">
        <v>20</v>
      </c>
      <c r="L5200" s="11" t="n">
        <v>41055.8783333333</v>
      </c>
      <c r="M5200" s="12" t="s">
        <v>12170</v>
      </c>
      <c r="N5200" s="12" t="s">
        <v>12171</v>
      </c>
      <c r="O5200" s="9" t="str">
        <f aca="false">HYPERLINK("https://pbs.twimg.com/profile_images/919131700835127297/7sFVdkuD_normal.jpg","View")</f>
        <v>View</v>
      </c>
      <c r="P5200" s="10"/>
    </row>
    <row r="5201" customFormat="false" ht="15.75" hidden="false" customHeight="false" outlineLevel="0" collapsed="false">
      <c r="A5201" s="6" t="n">
        <v>43030.8887731482</v>
      </c>
      <c r="B5201" s="7" t="str">
        <f aca="false">HYPERLINK("https://twitter.com/moneycontrolcom","@moneycontrolcom")</f>
        <v>@moneycontrolcom</v>
      </c>
      <c r="C5201" s="8" t="s">
        <v>12172</v>
      </c>
      <c r="D5201" s="8" t="s">
        <v>12173</v>
      </c>
      <c r="E5201" s="9" t="str">
        <f aca="false">HYPERLINK("https://twitter.com/moneycontrolcom/status/922316610089623552","922316610089623552")</f>
        <v>922316610089623552</v>
      </c>
      <c r="F5201" s="10" t="s">
        <v>39</v>
      </c>
      <c r="G5201" s="10" t="n">
        <v>558962</v>
      </c>
      <c r="H5201" s="10" t="n">
        <v>318</v>
      </c>
      <c r="I5201" s="10" t="n">
        <v>4</v>
      </c>
      <c r="J5201" s="10" t="n">
        <v>10</v>
      </c>
      <c r="K5201" s="10" t="s">
        <v>20</v>
      </c>
      <c r="L5201" s="11" t="n">
        <v>40051.0385300926</v>
      </c>
      <c r="M5201" s="12" t="s">
        <v>860</v>
      </c>
      <c r="N5201" s="12" t="s">
        <v>12174</v>
      </c>
      <c r="O5201" s="9" t="str">
        <f aca="false">HYPERLINK("https://pbs.twimg.com/profile_images/841519699632447488/ea4043nJ_normal.jpg","View")</f>
        <v>View</v>
      </c>
      <c r="P5201" s="10"/>
    </row>
    <row r="5202" customFormat="false" ht="15.75" hidden="false" customHeight="false" outlineLevel="0" collapsed="false">
      <c r="A5202" s="6" t="n">
        <v>43030.8888888889</v>
      </c>
      <c r="B5202" s="7" t="str">
        <f aca="false">HYPERLINK("https://twitter.com/QxNews","@QxNews")</f>
        <v>@QxNews</v>
      </c>
      <c r="C5202" s="8" t="s">
        <v>3009</v>
      </c>
      <c r="D5202" s="8" t="s">
        <v>12163</v>
      </c>
      <c r="E5202" s="9" t="str">
        <f aca="false">HYPERLINK("https://twitter.com/QxNews/status/922316653110509569","922316653110509569")</f>
        <v>922316653110509569</v>
      </c>
      <c r="F5202" s="10" t="s">
        <v>3011</v>
      </c>
      <c r="G5202" s="10" t="n">
        <v>3236</v>
      </c>
      <c r="H5202" s="10" t="n">
        <v>271</v>
      </c>
      <c r="I5202" s="10" t="n">
        <v>9</v>
      </c>
      <c r="J5202" s="10" t="n">
        <v>0</v>
      </c>
      <c r="K5202" s="10" t="s">
        <v>20</v>
      </c>
      <c r="L5202" s="11" t="n">
        <v>41497.8580671296</v>
      </c>
      <c r="M5202" s="12" t="s">
        <v>502</v>
      </c>
      <c r="N5202" s="12" t="s">
        <v>3012</v>
      </c>
      <c r="O5202" s="9" t="str">
        <f aca="false">HYPERLINK("https://pbs.twimg.com/profile_images/597288578092240896/ePlmSYCH_normal.png","View")</f>
        <v>View</v>
      </c>
      <c r="P5202" s="10"/>
    </row>
    <row r="5203" customFormat="false" ht="15.75" hidden="false" customHeight="false" outlineLevel="0" collapsed="false">
      <c r="A5203" s="6" t="n">
        <v>43030.8889236111</v>
      </c>
      <c r="B5203" s="7" t="str">
        <f aca="false">HYPERLINK("https://twitter.com/foolonthehillz","@foolonthehillz")</f>
        <v>@foolonthehillz</v>
      </c>
      <c r="C5203" s="8" t="s">
        <v>12175</v>
      </c>
      <c r="D5203" s="8" t="s">
        <v>12163</v>
      </c>
      <c r="E5203" s="9" t="str">
        <f aca="false">HYPERLINK("https://twitter.com/foolonthehillz/status/922316663856381952","922316663856381952")</f>
        <v>922316663856381952</v>
      </c>
      <c r="F5203" s="10" t="s">
        <v>39</v>
      </c>
      <c r="G5203" s="10" t="n">
        <v>1159</v>
      </c>
      <c r="H5203" s="10" t="n">
        <v>1457</v>
      </c>
      <c r="I5203" s="10" t="n">
        <v>9</v>
      </c>
      <c r="J5203" s="10" t="n">
        <v>0</v>
      </c>
      <c r="K5203" s="10" t="s">
        <v>20</v>
      </c>
      <c r="L5203" s="11" t="n">
        <v>41593.8483564815</v>
      </c>
      <c r="M5203" s="12"/>
      <c r="N5203" s="12" t="s">
        <v>12176</v>
      </c>
      <c r="O5203" s="9" t="str">
        <f aca="false">HYPERLINK("https://pbs.twimg.com/profile_images/486351280265105409/GNUodGrK_normal.jpeg","View")</f>
        <v>View</v>
      </c>
      <c r="P5203" s="10"/>
    </row>
    <row r="5204" customFormat="false" ht="15.75" hidden="false" customHeight="false" outlineLevel="0" collapsed="false">
      <c r="A5204" s="6" t="n">
        <v>43030.8890277778</v>
      </c>
      <c r="B5204" s="7" t="str">
        <f aca="false">HYPERLINK("https://twitter.com/navycapital","@navycapital")</f>
        <v>@navycapital</v>
      </c>
      <c r="C5204" s="8" t="s">
        <v>12177</v>
      </c>
      <c r="D5204" s="8" t="s">
        <v>12178</v>
      </c>
      <c r="E5204" s="9" t="str">
        <f aca="false">HYPERLINK("https://twitter.com/navycapital/status/922316704864243717","922316704864243717")</f>
        <v>922316704864243717</v>
      </c>
      <c r="F5204" s="10" t="s">
        <v>60</v>
      </c>
      <c r="G5204" s="10" t="n">
        <v>2789</v>
      </c>
      <c r="H5204" s="10" t="n">
        <v>54</v>
      </c>
      <c r="I5204" s="10" t="n">
        <v>0</v>
      </c>
      <c r="J5204" s="10" t="n">
        <v>0</v>
      </c>
      <c r="K5204" s="10" t="s">
        <v>20</v>
      </c>
      <c r="L5204" s="11" t="n">
        <v>42126.8694444444</v>
      </c>
      <c r="M5204" s="12"/>
      <c r="N5204" s="12" t="s">
        <v>12179</v>
      </c>
      <c r="O5204" s="9" t="str">
        <f aca="false">HYPERLINK("https://pbs.twimg.com/profile_images/657674778833063936/NAhBN525_normal.png","View")</f>
        <v>View</v>
      </c>
      <c r="P5204" s="10"/>
    </row>
    <row r="5205" customFormat="false" ht="15.75" hidden="false" customHeight="false" outlineLevel="0" collapsed="false">
      <c r="A5205" s="6" t="n">
        <v>43030.8891898148</v>
      </c>
      <c r="B5205" s="7" t="str">
        <f aca="false">HYPERLINK("https://twitter.com/rickey3danjuuro","@rickey3danjuuro")</f>
        <v>@rickey3danjuuro</v>
      </c>
      <c r="C5205" s="14" t="s">
        <v>8256</v>
      </c>
      <c r="D5205" s="8" t="s">
        <v>3620</v>
      </c>
      <c r="E5205" s="9" t="str">
        <f aca="false">HYPERLINK("https://twitter.com/rickey3danjuuro/status/922316761709518849","922316761709518849")</f>
        <v>922316761709518849</v>
      </c>
      <c r="F5205" s="10" t="s">
        <v>1024</v>
      </c>
      <c r="G5205" s="10" t="n">
        <v>23</v>
      </c>
      <c r="H5205" s="10" t="n">
        <v>31</v>
      </c>
      <c r="I5205" s="10" t="n">
        <v>11</v>
      </c>
      <c r="J5205" s="10" t="n">
        <v>0</v>
      </c>
      <c r="K5205" s="10" t="s">
        <v>20</v>
      </c>
      <c r="L5205" s="11" t="n">
        <v>42487.9501851852</v>
      </c>
      <c r="M5205" s="13" t="s">
        <v>8257</v>
      </c>
      <c r="N5205" s="13" t="s">
        <v>8258</v>
      </c>
      <c r="O5205" s="9" t="str">
        <f aca="false">HYPERLINK("https://abs.twimg.com/sticky/default_profile_images/default_profile_normal.png","View")</f>
        <v>View</v>
      </c>
      <c r="P5205" s="10"/>
    </row>
    <row r="5206" customFormat="false" ht="15.75" hidden="false" customHeight="false" outlineLevel="0" collapsed="false">
      <c r="A5206" s="6" t="n">
        <v>43030.8892361111</v>
      </c>
      <c r="B5206" s="7" t="str">
        <f aca="false">HYPERLINK("https://twitter.com/newseleven_in","@newseleven_in")</f>
        <v>@newseleven_in</v>
      </c>
      <c r="C5206" s="8" t="s">
        <v>12180</v>
      </c>
      <c r="D5206" s="8" t="s">
        <v>12181</v>
      </c>
      <c r="E5206" s="9" t="str">
        <f aca="false">HYPERLINK("https://twitter.com/newseleven_in/status/922316778893692928","922316778893692928")</f>
        <v>922316778893692928</v>
      </c>
      <c r="F5206" s="9" t="s">
        <v>979</v>
      </c>
      <c r="G5206" s="10" t="n">
        <v>164</v>
      </c>
      <c r="H5206" s="10" t="n">
        <v>63</v>
      </c>
      <c r="I5206" s="10" t="n">
        <v>0</v>
      </c>
      <c r="J5206" s="10" t="n">
        <v>0</v>
      </c>
      <c r="K5206" s="10" t="s">
        <v>20</v>
      </c>
      <c r="L5206" s="11" t="n">
        <v>42395.2011226852</v>
      </c>
      <c r="M5206" s="12"/>
      <c r="N5206" s="12"/>
      <c r="O5206" s="9" t="str">
        <f aca="false">HYPERLINK("https://pbs.twimg.com/profile_images/691966838385737728/s45loTBd_normal.jpg","View")</f>
        <v>View</v>
      </c>
      <c r="P5206" s="10"/>
    </row>
    <row r="5207" customFormat="false" ht="15.75" hidden="false" customHeight="false" outlineLevel="0" collapsed="false">
      <c r="A5207" s="6" t="n">
        <v>43030.8893402778</v>
      </c>
      <c r="B5207" s="7" t="str">
        <f aca="false">HYPERLINK("https://twitter.com/LorneDa","@LorneDa")</f>
        <v>@LorneDa</v>
      </c>
      <c r="C5207" s="8" t="s">
        <v>12182</v>
      </c>
      <c r="D5207" s="8" t="s">
        <v>12163</v>
      </c>
      <c r="E5207" s="9" t="str">
        <f aca="false">HYPERLINK("https://twitter.com/LorneDa/status/922316814763286528","922316814763286528")</f>
        <v>922316814763286528</v>
      </c>
      <c r="F5207" s="10" t="s">
        <v>51</v>
      </c>
      <c r="G5207" s="10" t="n">
        <v>50</v>
      </c>
      <c r="H5207" s="10" t="n">
        <v>211</v>
      </c>
      <c r="I5207" s="10" t="n">
        <v>9</v>
      </c>
      <c r="J5207" s="10" t="n">
        <v>0</v>
      </c>
      <c r="K5207" s="10" t="s">
        <v>20</v>
      </c>
      <c r="L5207" s="11" t="n">
        <v>41709.7720833333</v>
      </c>
      <c r="M5207" s="12" t="s">
        <v>3699</v>
      </c>
      <c r="N5207" s="12" t="s">
        <v>12183</v>
      </c>
      <c r="O5207" s="9" t="str">
        <f aca="false">HYPERLINK("https://pbs.twimg.com/profile_images/449757432864972800/k33NhLbX_normal.jpeg","View")</f>
        <v>View</v>
      </c>
      <c r="P5207" s="10"/>
    </row>
    <row r="5208" customFormat="false" ht="15.75" hidden="false" customHeight="false" outlineLevel="0" collapsed="false">
      <c r="A5208" s="6" t="n">
        <v>43030.8897222222</v>
      </c>
      <c r="B5208" s="7" t="str">
        <f aca="false">HYPERLINK("https://twitter.com/BSAFunds","@BSAFunds")</f>
        <v>@BSAFunds</v>
      </c>
      <c r="C5208" s="8" t="s">
        <v>924</v>
      </c>
      <c r="D5208" s="8" t="s">
        <v>12184</v>
      </c>
      <c r="E5208" s="9" t="str">
        <f aca="false">HYPERLINK("https://twitter.com/BSAFunds/status/922316955356483584","922316955356483584")</f>
        <v>922316955356483584</v>
      </c>
      <c r="F5208" s="10" t="s">
        <v>60</v>
      </c>
      <c r="G5208" s="10" t="n">
        <v>20871</v>
      </c>
      <c r="H5208" s="10" t="n">
        <v>8926</v>
      </c>
      <c r="I5208" s="10" t="n">
        <v>0</v>
      </c>
      <c r="J5208" s="10" t="n">
        <v>0</v>
      </c>
      <c r="K5208" s="10" t="s">
        <v>20</v>
      </c>
      <c r="L5208" s="11" t="n">
        <v>42601.9481828704</v>
      </c>
      <c r="M5208" s="12" t="s">
        <v>312</v>
      </c>
      <c r="N5208" s="12" t="s">
        <v>926</v>
      </c>
      <c r="O5208" s="9" t="str">
        <f aca="false">HYPERLINK("https://pbs.twimg.com/profile_images/912769166960033792/N4LAmrTs_normal.jpg","View")</f>
        <v>View</v>
      </c>
      <c r="P5208" s="10"/>
    </row>
    <row r="5209" customFormat="false" ht="15.75" hidden="false" customHeight="false" outlineLevel="0" collapsed="false">
      <c r="A5209" s="6" t="n">
        <v>43030.8900925926</v>
      </c>
      <c r="B5209" s="7" t="str">
        <f aca="false">HYPERLINK("https://twitter.com/HomelessKodo","@HomelessKodo")</f>
        <v>@HomelessKodo</v>
      </c>
      <c r="C5209" s="8" t="s">
        <v>12185</v>
      </c>
      <c r="D5209" s="8" t="s">
        <v>8538</v>
      </c>
      <c r="E5209" s="9" t="str">
        <f aca="false">HYPERLINK("https://twitter.com/HomelessKodo/status/922317089603334144","922317089603334144")</f>
        <v>922317089603334144</v>
      </c>
      <c r="F5209" s="10" t="s">
        <v>3790</v>
      </c>
      <c r="G5209" s="10" t="n">
        <v>3</v>
      </c>
      <c r="H5209" s="10" t="n">
        <v>32</v>
      </c>
      <c r="I5209" s="10" t="n">
        <v>1015</v>
      </c>
      <c r="J5209" s="10" t="n">
        <v>0</v>
      </c>
      <c r="K5209" s="10" t="s">
        <v>20</v>
      </c>
      <c r="L5209" s="11" t="n">
        <v>43015.3184953704</v>
      </c>
      <c r="M5209" s="12" t="s">
        <v>72</v>
      </c>
      <c r="N5209" s="12" t="s">
        <v>12186</v>
      </c>
      <c r="O5209" s="9" t="str">
        <f aca="false">HYPERLINK("https://pbs.twimg.com/profile_images/917302724550574081/_F7kglq7_normal.jpg","View")</f>
        <v>View</v>
      </c>
      <c r="P5209" s="10"/>
    </row>
    <row r="5210" customFormat="false" ht="15.75" hidden="false" customHeight="false" outlineLevel="0" collapsed="false">
      <c r="A5210" s="6" t="n">
        <v>43030.8902430556</v>
      </c>
      <c r="B5210" s="7" t="str">
        <f aca="false">HYPERLINK("https://twitter.com/fukushimaexpos2","@fukushimaexpos2")</f>
        <v>@fukushimaexpos2</v>
      </c>
      <c r="C5210" s="8" t="s">
        <v>12187</v>
      </c>
      <c r="D5210" s="8" t="s">
        <v>10759</v>
      </c>
      <c r="E5210" s="9" t="str">
        <f aca="false">HYPERLINK("https://twitter.com/fukushimaexpos2/status/922317141881139200","922317141881139200")</f>
        <v>922317141881139200</v>
      </c>
      <c r="F5210" s="10" t="s">
        <v>98</v>
      </c>
      <c r="G5210" s="10" t="n">
        <v>18</v>
      </c>
      <c r="H5210" s="10" t="n">
        <v>62</v>
      </c>
      <c r="I5210" s="10" t="n">
        <v>5</v>
      </c>
      <c r="J5210" s="10" t="n">
        <v>0</v>
      </c>
      <c r="K5210" s="10" t="s">
        <v>20</v>
      </c>
      <c r="L5210" s="11" t="n">
        <v>43029.6577083333</v>
      </c>
      <c r="M5210" s="12"/>
      <c r="N5210" s="12" t="s">
        <v>12188</v>
      </c>
      <c r="O5210" s="9" t="str">
        <f aca="false">HYPERLINK("https://pbs.twimg.com/profile_images/921878119622914048/Vn30Q11n_normal.jpg","View")</f>
        <v>View</v>
      </c>
      <c r="P5210" s="10"/>
    </row>
    <row r="5211" customFormat="false" ht="15.75" hidden="false" customHeight="false" outlineLevel="0" collapsed="false">
      <c r="A5211" s="6" t="n">
        <v>43030.8906828704</v>
      </c>
      <c r="B5211" s="7" t="str">
        <f aca="false">HYPERLINK("https://twitter.com/alexandru_herea","@alexandru_herea")</f>
        <v>@alexandru_herea</v>
      </c>
      <c r="C5211" s="8" t="s">
        <v>12189</v>
      </c>
      <c r="D5211" s="8" t="s">
        <v>11033</v>
      </c>
      <c r="E5211" s="9" t="str">
        <f aca="false">HYPERLINK("https://twitter.com/alexandru_herea/status/922317303395573760","922317303395573760")</f>
        <v>922317303395573760</v>
      </c>
      <c r="F5211" s="10" t="s">
        <v>25</v>
      </c>
      <c r="G5211" s="10" t="n">
        <v>141</v>
      </c>
      <c r="H5211" s="10" t="n">
        <v>138</v>
      </c>
      <c r="I5211" s="10" t="n">
        <v>60</v>
      </c>
      <c r="J5211" s="10" t="n">
        <v>0</v>
      </c>
      <c r="K5211" s="10" t="s">
        <v>20</v>
      </c>
      <c r="L5211" s="11" t="n">
        <v>40984.2923148148</v>
      </c>
      <c r="M5211" s="12" t="s">
        <v>12190</v>
      </c>
      <c r="N5211" s="12" t="s">
        <v>12191</v>
      </c>
      <c r="O5211" s="9" t="str">
        <f aca="false">HYPERLINK("https://pbs.twimg.com/profile_images/1902860921/P71301022_normal.jpg","View")</f>
        <v>View</v>
      </c>
      <c r="P5211" s="10"/>
    </row>
    <row r="5212" customFormat="false" ht="15.75" hidden="false" customHeight="false" outlineLevel="0" collapsed="false">
      <c r="A5212" s="6" t="n">
        <v>43030.8908564815</v>
      </c>
      <c r="B5212" s="7" t="str">
        <f aca="false">HYPERLINK("https://twitter.com/prashantm3007","@prashantm3007")</f>
        <v>@prashantm3007</v>
      </c>
      <c r="C5212" s="8" t="s">
        <v>12192</v>
      </c>
      <c r="D5212" s="8" t="s">
        <v>8538</v>
      </c>
      <c r="E5212" s="9" t="str">
        <f aca="false">HYPERLINK("https://twitter.com/prashantm3007/status/922317365911674880","922317365911674880")</f>
        <v>922317365911674880</v>
      </c>
      <c r="F5212" s="10" t="s">
        <v>177</v>
      </c>
      <c r="G5212" s="10" t="n">
        <v>239</v>
      </c>
      <c r="H5212" s="10" t="n">
        <v>579</v>
      </c>
      <c r="I5212" s="10" t="n">
        <v>1015</v>
      </c>
      <c r="J5212" s="10" t="n">
        <v>0</v>
      </c>
      <c r="K5212" s="10" t="s">
        <v>20</v>
      </c>
      <c r="L5212" s="11" t="n">
        <v>40556.4969212963</v>
      </c>
      <c r="M5212" s="12" t="s">
        <v>12193</v>
      </c>
      <c r="N5212" s="12" t="s">
        <v>12194</v>
      </c>
      <c r="O5212" s="9" t="str">
        <f aca="false">HYPERLINK("https://pbs.twimg.com/profile_images/825345548806877184/28qjz5VM_normal.jpg","View")</f>
        <v>View</v>
      </c>
      <c r="P5212" s="10"/>
    </row>
    <row r="5213" customFormat="false" ht="15.75" hidden="false" customHeight="false" outlineLevel="0" collapsed="false">
      <c r="A5213" s="6" t="n">
        <v>43030.8908796296</v>
      </c>
      <c r="B5213" s="7" t="str">
        <f aca="false">HYPERLINK("https://twitter.com/CNBC","@CNBC")</f>
        <v>@CNBC</v>
      </c>
      <c r="C5213" s="8" t="s">
        <v>12195</v>
      </c>
      <c r="D5213" s="8" t="s">
        <v>12196</v>
      </c>
      <c r="E5213" s="9" t="str">
        <f aca="false">HYPERLINK("https://twitter.com/CNBC/status/922317373885112321","922317373885112321")</f>
        <v>922317373885112321</v>
      </c>
      <c r="F5213" s="10" t="s">
        <v>268</v>
      </c>
      <c r="G5213" s="10" t="n">
        <v>2794846</v>
      </c>
      <c r="H5213" s="10" t="n">
        <v>376</v>
      </c>
      <c r="I5213" s="10" t="n">
        <v>16</v>
      </c>
      <c r="J5213" s="10" t="n">
        <v>20</v>
      </c>
      <c r="K5213" s="10" t="s">
        <v>20</v>
      </c>
      <c r="L5213" s="11" t="n">
        <v>39852.669224537</v>
      </c>
      <c r="M5213" s="12"/>
      <c r="N5213" s="12" t="s">
        <v>12197</v>
      </c>
      <c r="O5213" s="9" t="str">
        <f aca="false">HYPERLINK("https://pbs.twimg.com/profile_images/875399584477962241/CsazvyAF_normal.jpg","View")</f>
        <v>View</v>
      </c>
      <c r="P5213" s="10"/>
    </row>
    <row r="5214" customFormat="false" ht="15.75" hidden="false" customHeight="false" outlineLevel="0" collapsed="false">
      <c r="A5214" s="6" t="n">
        <v>43030.8912847222</v>
      </c>
      <c r="B5214" s="7" t="str">
        <f aca="false">HYPERLINK("https://twitter.com/bsevishal","@bsevishal")</f>
        <v>@bsevishal</v>
      </c>
      <c r="C5214" s="8" t="s">
        <v>12198</v>
      </c>
      <c r="D5214" s="8" t="s">
        <v>8538</v>
      </c>
      <c r="E5214" s="9" t="str">
        <f aca="false">HYPERLINK("https://twitter.com/bsevishal/status/922317520391979008","922317520391979008")</f>
        <v>922317520391979008</v>
      </c>
      <c r="F5214" s="10" t="s">
        <v>25</v>
      </c>
      <c r="G5214" s="10" t="n">
        <v>175</v>
      </c>
      <c r="H5214" s="10" t="n">
        <v>306</v>
      </c>
      <c r="I5214" s="10" t="n">
        <v>1015</v>
      </c>
      <c r="J5214" s="10" t="n">
        <v>0</v>
      </c>
      <c r="K5214" s="10" t="s">
        <v>20</v>
      </c>
      <c r="L5214" s="11" t="n">
        <v>40216.3012847222</v>
      </c>
      <c r="M5214" s="12" t="s">
        <v>868</v>
      </c>
      <c r="N5214" s="12"/>
      <c r="O5214" s="9" t="str">
        <f aca="false">HYPERLINK("https://pbs.twimg.com/profile_images/765081459275108352/GxCpBY2P_normal.jpg","View")</f>
        <v>View</v>
      </c>
      <c r="P5214" s="10"/>
    </row>
    <row r="5215" customFormat="false" ht="15.75" hidden="false" customHeight="false" outlineLevel="0" collapsed="false">
      <c r="A5215" s="6" t="n">
        <v>43030.8913541667</v>
      </c>
      <c r="B5215" s="7" t="str">
        <f aca="false">HYPERLINK("https://twitter.com/MahaDevKaBhakt","@MahaDevKaBhakt")</f>
        <v>@MahaDevKaBhakt</v>
      </c>
      <c r="C5215" s="8" t="s">
        <v>12199</v>
      </c>
      <c r="D5215" s="8" t="s">
        <v>12200</v>
      </c>
      <c r="E5215" s="9" t="str">
        <f aca="false">HYPERLINK("https://twitter.com/MahaDevKaBhakt/status/922317546656743424","922317546656743424")</f>
        <v>922317546656743424</v>
      </c>
      <c r="F5215" s="10" t="s">
        <v>39</v>
      </c>
      <c r="G5215" s="10" t="n">
        <v>710</v>
      </c>
      <c r="H5215" s="10" t="n">
        <v>526</v>
      </c>
      <c r="I5215" s="10" t="n">
        <v>4</v>
      </c>
      <c r="J5215" s="10" t="n">
        <v>0</v>
      </c>
      <c r="K5215" s="10" t="s">
        <v>20</v>
      </c>
      <c r="L5215" s="11" t="n">
        <v>41350.3988425926</v>
      </c>
      <c r="M5215" s="12" t="s">
        <v>12201</v>
      </c>
      <c r="N5215" s="12" t="s">
        <v>12202</v>
      </c>
      <c r="O5215" s="9" t="str">
        <f aca="false">HYPERLINK("https://pbs.twimg.com/profile_images/583318093729927168/e5FT7e2u_normal.jpg","View")</f>
        <v>View</v>
      </c>
      <c r="P5215" s="10"/>
    </row>
    <row r="5216" customFormat="false" ht="15.75" hidden="false" customHeight="false" outlineLevel="0" collapsed="false">
      <c r="A5216" s="6" t="n">
        <v>43030.8917708333</v>
      </c>
      <c r="B5216" s="7" t="str">
        <f aca="false">HYPERLINK("https://twitter.com/nishant_shastry","@nishant_shastry")</f>
        <v>@nishant_shastry</v>
      </c>
      <c r="C5216" s="8" t="s">
        <v>11122</v>
      </c>
      <c r="D5216" s="8" t="s">
        <v>12203</v>
      </c>
      <c r="E5216" s="9" t="str">
        <f aca="false">HYPERLINK("https://twitter.com/nishant_shastry/status/922317699170086913","922317699170086913")</f>
        <v>922317699170086913</v>
      </c>
      <c r="F5216" s="10" t="s">
        <v>60</v>
      </c>
      <c r="G5216" s="10" t="n">
        <v>362</v>
      </c>
      <c r="H5216" s="10" t="n">
        <v>866</v>
      </c>
      <c r="I5216" s="10" t="n">
        <v>0</v>
      </c>
      <c r="J5216" s="10" t="n">
        <v>0</v>
      </c>
      <c r="K5216" s="10" t="s">
        <v>20</v>
      </c>
      <c r="L5216" s="11" t="n">
        <v>41503.0891666667</v>
      </c>
      <c r="M5216" s="12" t="s">
        <v>11124</v>
      </c>
      <c r="N5216" s="12" t="s">
        <v>11125</v>
      </c>
      <c r="O5216" s="9" t="str">
        <f aca="false">HYPERLINK("https://pbs.twimg.com/profile_images/917695945386504192/AkJa4MAv_normal.jpg","View")</f>
        <v>View</v>
      </c>
      <c r="P5216" s="10"/>
    </row>
    <row r="5217" customFormat="false" ht="15.75" hidden="false" customHeight="false" outlineLevel="0" collapsed="false">
      <c r="A5217" s="6" t="n">
        <v>43030.8918402778</v>
      </c>
      <c r="B5217" s="7" t="str">
        <f aca="false">HYPERLINK("https://twitter.com/Fromroshan","@Fromroshan")</f>
        <v>@Fromroshan</v>
      </c>
      <c r="C5217" s="8" t="s">
        <v>12204</v>
      </c>
      <c r="D5217" s="8" t="s">
        <v>8538</v>
      </c>
      <c r="E5217" s="9" t="str">
        <f aca="false">HYPERLINK("https://twitter.com/Fromroshan/status/922317721995374592","922317721995374592")</f>
        <v>922317721995374592</v>
      </c>
      <c r="F5217" s="10" t="s">
        <v>51</v>
      </c>
      <c r="G5217" s="10" t="n">
        <v>484</v>
      </c>
      <c r="H5217" s="10" t="n">
        <v>239</v>
      </c>
      <c r="I5217" s="10" t="n">
        <v>1015</v>
      </c>
      <c r="J5217" s="10" t="n">
        <v>0</v>
      </c>
      <c r="K5217" s="10" t="s">
        <v>20</v>
      </c>
      <c r="L5217" s="11" t="n">
        <v>41526.3033217593</v>
      </c>
      <c r="M5217" s="12"/>
      <c r="N5217" s="12" t="s">
        <v>12205</v>
      </c>
      <c r="O5217" s="9" t="str">
        <f aca="false">HYPERLINK("https://pbs.twimg.com/profile_images/420079520557694976/TCYmc7V9_normal.jpeg","View")</f>
        <v>View</v>
      </c>
      <c r="P5217" s="10"/>
    </row>
    <row r="5218" customFormat="false" ht="15.75" hidden="false" customHeight="false" outlineLevel="0" collapsed="false">
      <c r="A5218" s="6" t="n">
        <v>43030.8918518518</v>
      </c>
      <c r="B5218" s="7" t="str">
        <f aca="false">HYPERLINK("https://twitter.com/IntrepidFF","@IntrepidFF")</f>
        <v>@IntrepidFF</v>
      </c>
      <c r="C5218" s="8" t="s">
        <v>12206</v>
      </c>
      <c r="D5218" s="8" t="s">
        <v>12207</v>
      </c>
      <c r="E5218" s="9" t="str">
        <f aca="false">HYPERLINK("https://twitter.com/IntrepidFF/status/922317727850778624","922317727850778624")</f>
        <v>922317727850778624</v>
      </c>
      <c r="F5218" s="10" t="s">
        <v>60</v>
      </c>
      <c r="G5218" s="10" t="n">
        <v>107</v>
      </c>
      <c r="H5218" s="10" t="n">
        <v>174</v>
      </c>
      <c r="I5218" s="10" t="n">
        <v>0</v>
      </c>
      <c r="J5218" s="10" t="n">
        <v>0</v>
      </c>
      <c r="K5218" s="10" t="s">
        <v>20</v>
      </c>
      <c r="L5218" s="11" t="n">
        <v>43007.6069097222</v>
      </c>
      <c r="M5218" s="12" t="s">
        <v>230</v>
      </c>
      <c r="N5218" s="12" t="s">
        <v>12208</v>
      </c>
      <c r="O5218" s="9" t="str">
        <f aca="false">HYPERLINK("https://pbs.twimg.com/profile_images/913880163154300928/T7in6NQq_normal.jpg","View")</f>
        <v>View</v>
      </c>
      <c r="P5218" s="10"/>
    </row>
    <row r="5219" customFormat="false" ht="15.75" hidden="false" customHeight="false" outlineLevel="0" collapsed="false">
      <c r="A5219" s="6" t="n">
        <v>43030.8919097222</v>
      </c>
      <c r="B5219" s="7" t="str">
        <f aca="false">HYPERLINK("https://twitter.com/DeShaunsMrk","@DeShaunsMrk")</f>
        <v>@DeShaunsMrk</v>
      </c>
      <c r="C5219" s="8" t="s">
        <v>12209</v>
      </c>
      <c r="D5219" s="8" t="s">
        <v>12210</v>
      </c>
      <c r="E5219" s="9" t="str">
        <f aca="false">HYPERLINK("https://twitter.com/DeShaunsMrk/status/922317746947403776","922317746947403776")</f>
        <v>922317746947403776</v>
      </c>
      <c r="F5219" s="10" t="s">
        <v>60</v>
      </c>
      <c r="G5219" s="10" t="n">
        <v>3807</v>
      </c>
      <c r="H5219" s="10" t="n">
        <v>3216</v>
      </c>
      <c r="I5219" s="10" t="n">
        <v>0</v>
      </c>
      <c r="J5219" s="10" t="n">
        <v>0</v>
      </c>
      <c r="K5219" s="10" t="s">
        <v>20</v>
      </c>
      <c r="L5219" s="11" t="n">
        <v>39959.3286342593</v>
      </c>
      <c r="M5219" s="12" t="s">
        <v>12211</v>
      </c>
      <c r="N5219" s="12" t="s">
        <v>12212</v>
      </c>
      <c r="O5219" s="9" t="str">
        <f aca="false">HYPERLINK("https://pbs.twimg.com/profile_images/900057324626206720/AI3IFUH4_normal.jpg","View")</f>
        <v>View</v>
      </c>
      <c r="P5219" s="10"/>
    </row>
    <row r="5220" customFormat="false" ht="15.75" hidden="false" customHeight="false" outlineLevel="0" collapsed="false">
      <c r="A5220" s="6" t="n">
        <v>43030.8919212963</v>
      </c>
      <c r="B5220" s="7" t="str">
        <f aca="false">HYPERLINK("https://twitter.com/CNBCi","@CNBCi")</f>
        <v>@CNBCi</v>
      </c>
      <c r="C5220" s="8" t="s">
        <v>12213</v>
      </c>
      <c r="D5220" s="8" t="s">
        <v>12214</v>
      </c>
      <c r="E5220" s="9" t="str">
        <f aca="false">HYPERLINK("https://twitter.com/CNBCi/status/922317750269304833","922317750269304833")</f>
        <v>922317750269304833</v>
      </c>
      <c r="F5220" s="10" t="s">
        <v>268</v>
      </c>
      <c r="G5220" s="10" t="n">
        <v>86361</v>
      </c>
      <c r="H5220" s="10" t="n">
        <v>811</v>
      </c>
      <c r="I5220" s="10" t="n">
        <v>2</v>
      </c>
      <c r="J5220" s="10" t="n">
        <v>2</v>
      </c>
      <c r="K5220" s="10" t="s">
        <v>20</v>
      </c>
      <c r="L5220" s="11" t="n">
        <v>39846.0150231481</v>
      </c>
      <c r="M5220" s="12"/>
      <c r="N5220" s="12" t="s">
        <v>12215</v>
      </c>
      <c r="O5220" s="9" t="str">
        <f aca="false">HYPERLINK("https://pbs.twimg.com/profile_images/915515142640513024/WSfnBlXs_normal.jpg","View")</f>
        <v>View</v>
      </c>
      <c r="P5220" s="10"/>
    </row>
    <row r="5221" customFormat="false" ht="15.75" hidden="false" customHeight="false" outlineLevel="0" collapsed="false">
      <c r="A5221" s="6" t="n">
        <v>43030.8919791667</v>
      </c>
      <c r="B5221" s="7" t="str">
        <f aca="false">HYPERLINK("https://twitter.com/kick_butts","@kick_butts")</f>
        <v>@kick_butts</v>
      </c>
      <c r="C5221" s="8" t="s">
        <v>5948</v>
      </c>
      <c r="D5221" s="8" t="s">
        <v>12216</v>
      </c>
      <c r="E5221" s="9" t="str">
        <f aca="false">HYPERLINK("https://twitter.com/kick_butts/status/922317770804445184","922317770804445184")</f>
        <v>922317770804445184</v>
      </c>
      <c r="F5221" s="10" t="s">
        <v>39</v>
      </c>
      <c r="G5221" s="10" t="n">
        <v>1172</v>
      </c>
      <c r="H5221" s="10" t="n">
        <v>268</v>
      </c>
      <c r="I5221" s="10" t="n">
        <v>16</v>
      </c>
      <c r="J5221" s="10" t="n">
        <v>0</v>
      </c>
      <c r="K5221" s="10" t="s">
        <v>20</v>
      </c>
      <c r="L5221" s="11" t="n">
        <v>40333.3452430556</v>
      </c>
      <c r="M5221" s="13" t="s">
        <v>5949</v>
      </c>
      <c r="N5221" s="12" t="s">
        <v>5950</v>
      </c>
      <c r="O5221" s="9" t="str">
        <f aca="false">HYPERLINK("https://pbs.twimg.com/profile_images/762642176480120832/Ab--2jVQ_normal.jpg","View")</f>
        <v>View</v>
      </c>
      <c r="P5221" s="10"/>
    </row>
    <row r="5222" customFormat="false" ht="15.75" hidden="false" customHeight="false" outlineLevel="0" collapsed="false">
      <c r="A5222" s="6" t="n">
        <v>43030.8923032407</v>
      </c>
      <c r="B5222" s="7" t="str">
        <f aca="false">HYPERLINK("https://twitter.com/revolution_fr","@revolution_fr")</f>
        <v>@revolution_fr</v>
      </c>
      <c r="C5222" s="8" t="s">
        <v>1579</v>
      </c>
      <c r="D5222" s="8" t="s">
        <v>12216</v>
      </c>
      <c r="E5222" s="9" t="str">
        <f aca="false">HYPERLINK("https://twitter.com/revolution_fr/status/922317888450715649","922317888450715649")</f>
        <v>922317888450715649</v>
      </c>
      <c r="F5222" s="10" t="s">
        <v>98</v>
      </c>
      <c r="G5222" s="10" t="n">
        <v>2663</v>
      </c>
      <c r="H5222" s="10" t="n">
        <v>3625</v>
      </c>
      <c r="I5222" s="10" t="n">
        <v>16</v>
      </c>
      <c r="J5222" s="10" t="n">
        <v>0</v>
      </c>
      <c r="K5222" s="10" t="s">
        <v>20</v>
      </c>
      <c r="L5222" s="11" t="n">
        <v>42400.3124305556</v>
      </c>
      <c r="M5222" s="12" t="s">
        <v>1580</v>
      </c>
      <c r="N5222" s="12" t="s">
        <v>1581</v>
      </c>
      <c r="O5222" s="9" t="str">
        <f aca="false">HYPERLINK("https://pbs.twimg.com/profile_images/912005330749575173/gmtBFZtv_normal.jpg","View")</f>
        <v>View</v>
      </c>
      <c r="P5222" s="10"/>
    </row>
    <row r="5223" customFormat="false" ht="15.75" hidden="false" customHeight="false" outlineLevel="0" collapsed="false">
      <c r="A5223" s="6" t="n">
        <v>43030.8925578704</v>
      </c>
      <c r="B5223" s="7" t="str">
        <f aca="false">HYPERLINK("https://twitter.com/briansequeira05","@briansequeira05")</f>
        <v>@briansequeira05</v>
      </c>
      <c r="C5223" s="8" t="s">
        <v>8487</v>
      </c>
      <c r="D5223" s="8" t="s">
        <v>11815</v>
      </c>
      <c r="E5223" s="9" t="str">
        <f aca="false">HYPERLINK("https://twitter.com/briansequeira05/status/922317980490444800","922317980490444800")</f>
        <v>922317980490444800</v>
      </c>
      <c r="F5223" s="10" t="s">
        <v>25</v>
      </c>
      <c r="G5223" s="10" t="n">
        <v>49</v>
      </c>
      <c r="H5223" s="10" t="n">
        <v>574</v>
      </c>
      <c r="I5223" s="10" t="n">
        <v>8</v>
      </c>
      <c r="J5223" s="10" t="n">
        <v>0</v>
      </c>
      <c r="K5223" s="10" t="s">
        <v>20</v>
      </c>
      <c r="L5223" s="11" t="n">
        <v>39989.0212152778</v>
      </c>
      <c r="M5223" s="12" t="s">
        <v>253</v>
      </c>
      <c r="N5223" s="12" t="s">
        <v>12217</v>
      </c>
      <c r="O5223" s="9" t="str">
        <f aca="false">HYPERLINK("https://pbs.twimg.com/profile_images/902833994244382720/azaqP7DL_normal.jpg","View")</f>
        <v>View</v>
      </c>
      <c r="P5223" s="10"/>
    </row>
    <row r="5224" customFormat="false" ht="15.75" hidden="false" customHeight="false" outlineLevel="0" collapsed="false">
      <c r="A5224" s="6" t="n">
        <v>43030.8928125</v>
      </c>
      <c r="B5224" s="7" t="str">
        <f aca="false">HYPERLINK("https://twitter.com/videobookinfo","@videobookinfo")</f>
        <v>@videobookinfo</v>
      </c>
      <c r="C5224" s="8" t="s">
        <v>12218</v>
      </c>
      <c r="D5224" s="8" t="s">
        <v>12219</v>
      </c>
      <c r="E5224" s="9" t="str">
        <f aca="false">HYPERLINK("https://twitter.com/videobookinfo/status/922318074476449792","922318074476449792")</f>
        <v>922318074476449792</v>
      </c>
      <c r="F5224" s="10" t="s">
        <v>55</v>
      </c>
      <c r="G5224" s="10" t="n">
        <v>75</v>
      </c>
      <c r="H5224" s="10" t="n">
        <v>50</v>
      </c>
      <c r="I5224" s="10" t="n">
        <v>0</v>
      </c>
      <c r="J5224" s="10" t="n">
        <v>0</v>
      </c>
      <c r="K5224" s="10" t="s">
        <v>20</v>
      </c>
      <c r="L5224" s="11" t="n">
        <v>42599.8088425926</v>
      </c>
      <c r="M5224" s="12" t="s">
        <v>12220</v>
      </c>
      <c r="N5224" s="15" t="s">
        <v>12221</v>
      </c>
      <c r="O5224" s="9" t="str">
        <f aca="false">HYPERLINK("https://pbs.twimg.com/profile_images/888442925792731136/r8wHE-Nx_normal.jpg","View")</f>
        <v>View</v>
      </c>
      <c r="P5224" s="10"/>
    </row>
    <row r="5225" customFormat="false" ht="15.75" hidden="false" customHeight="false" outlineLevel="0" collapsed="false">
      <c r="A5225" s="6" t="n">
        <v>43030.8928356482</v>
      </c>
      <c r="B5225" s="7" t="str">
        <f aca="false">HYPERLINK("https://twitter.com/MatruBhakt","@MatruBhakt")</f>
        <v>@MatruBhakt</v>
      </c>
      <c r="C5225" s="8" t="s">
        <v>12222</v>
      </c>
      <c r="D5225" s="8" t="s">
        <v>12223</v>
      </c>
      <c r="E5225" s="9" t="str">
        <f aca="false">HYPERLINK("https://twitter.com/MatruBhakt/status/922318081858457600","922318081858457600")</f>
        <v>922318081858457600</v>
      </c>
      <c r="F5225" s="10" t="s">
        <v>39</v>
      </c>
      <c r="G5225" s="10" t="n">
        <v>4888</v>
      </c>
      <c r="H5225" s="10" t="n">
        <v>175</v>
      </c>
      <c r="I5225" s="10" t="n">
        <v>1</v>
      </c>
      <c r="J5225" s="10" t="n">
        <v>1</v>
      </c>
      <c r="K5225" s="10" t="s">
        <v>20</v>
      </c>
      <c r="L5225" s="11" t="n">
        <v>40192.810787037</v>
      </c>
      <c r="M5225" s="12" t="s">
        <v>3531</v>
      </c>
      <c r="N5225" s="12" t="s">
        <v>12224</v>
      </c>
      <c r="O5225" s="9" t="str">
        <f aca="false">HYPERLINK("https://pbs.twimg.com/profile_images/907510855948013568/Vn3bUGm1_normal.jpg","View")</f>
        <v>View</v>
      </c>
      <c r="P5225" s="10"/>
    </row>
    <row r="5226" customFormat="false" ht="15.75" hidden="false" customHeight="false" outlineLevel="0" collapsed="false">
      <c r="A5226" s="6" t="n">
        <v>43030.8929398148</v>
      </c>
      <c r="B5226" s="7" t="str">
        <f aca="false">HYPERLINK("https://twitter.com/juanvelamacias","@juanvelamacias")</f>
        <v>@juanvelamacias</v>
      </c>
      <c r="C5226" s="8" t="s">
        <v>12225</v>
      </c>
      <c r="D5226" s="8" t="s">
        <v>12163</v>
      </c>
      <c r="E5226" s="9" t="str">
        <f aca="false">HYPERLINK("https://twitter.com/juanvelamacias/status/922318120483729409","922318120483729409")</f>
        <v>922318120483729409</v>
      </c>
      <c r="F5226" s="10" t="s">
        <v>25</v>
      </c>
      <c r="G5226" s="10" t="n">
        <v>132</v>
      </c>
      <c r="H5226" s="10" t="n">
        <v>405</v>
      </c>
      <c r="I5226" s="10" t="n">
        <v>9</v>
      </c>
      <c r="J5226" s="10" t="n">
        <v>0</v>
      </c>
      <c r="K5226" s="10" t="s">
        <v>20</v>
      </c>
      <c r="L5226" s="11" t="n">
        <v>42451.609525463</v>
      </c>
      <c r="M5226" s="12" t="s">
        <v>1126</v>
      </c>
      <c r="N5226" s="12" t="s">
        <v>12226</v>
      </c>
      <c r="O5226" s="9" t="str">
        <f aca="false">HYPERLINK("https://pbs.twimg.com/profile_images/712408246250840065/SN57pyJ7_normal.jpg","View")</f>
        <v>View</v>
      </c>
      <c r="P5226" s="10"/>
    </row>
    <row r="5227" customFormat="false" ht="15.75" hidden="false" customHeight="false" outlineLevel="0" collapsed="false">
      <c r="A5227" s="6" t="n">
        <v>43030.8929976852</v>
      </c>
      <c r="B5227" s="7" t="str">
        <f aca="false">HYPERLINK("https://twitter.com/konstantinaBel3","@konstantinaBel3")</f>
        <v>@konstantinaBel3</v>
      </c>
      <c r="C5227" s="8" t="s">
        <v>5732</v>
      </c>
      <c r="D5227" s="8" t="s">
        <v>12163</v>
      </c>
      <c r="E5227" s="9" t="str">
        <f aca="false">HYPERLINK("https://twitter.com/konstantinaBel3/status/922318139970293762","922318139970293762")</f>
        <v>922318139970293762</v>
      </c>
      <c r="F5227" s="10" t="s">
        <v>98</v>
      </c>
      <c r="G5227" s="10" t="n">
        <v>497</v>
      </c>
      <c r="H5227" s="10" t="n">
        <v>1011</v>
      </c>
      <c r="I5227" s="10" t="n">
        <v>9</v>
      </c>
      <c r="J5227" s="10" t="n">
        <v>0</v>
      </c>
      <c r="K5227" s="10" t="s">
        <v>20</v>
      </c>
      <c r="L5227" s="11" t="n">
        <v>42240.2451388889</v>
      </c>
      <c r="M5227" s="12" t="s">
        <v>4712</v>
      </c>
      <c r="N5227" s="12" t="s">
        <v>5733</v>
      </c>
      <c r="O5227" s="9" t="str">
        <f aca="false">HYPERLINK("https://pbs.twimg.com/profile_images/909814956161413121/FC--YmLH_normal.jpg","View")</f>
        <v>View</v>
      </c>
      <c r="P5227" s="10"/>
    </row>
    <row r="5228" customFormat="false" ht="15.75" hidden="false" customHeight="false" outlineLevel="0" collapsed="false">
      <c r="A5228" s="6" t="n">
        <v>43030.8930787037</v>
      </c>
      <c r="B5228" s="7" t="str">
        <f aca="false">HYPERLINK("https://twitter.com/rwang0","@rwang0")</f>
        <v>@rwang0</v>
      </c>
      <c r="C5228" s="8" t="s">
        <v>12227</v>
      </c>
      <c r="D5228" s="8" t="s">
        <v>12228</v>
      </c>
      <c r="E5228" s="9" t="str">
        <f aca="false">HYPERLINK("https://twitter.com/rwang0/status/922318172295872512","922318172295872512")</f>
        <v>922318172295872512</v>
      </c>
      <c r="F5228" s="10" t="s">
        <v>276</v>
      </c>
      <c r="G5228" s="10" t="n">
        <v>114114</v>
      </c>
      <c r="H5228" s="10" t="n">
        <v>80386</v>
      </c>
      <c r="I5228" s="10" t="n">
        <v>2</v>
      </c>
      <c r="J5228" s="10" t="n">
        <v>0</v>
      </c>
      <c r="K5228" s="10" t="s">
        <v>20</v>
      </c>
      <c r="L5228" s="11" t="n">
        <v>39565.6705324074</v>
      </c>
      <c r="M5228" s="12" t="s">
        <v>12229</v>
      </c>
      <c r="N5228" s="12" t="s">
        <v>12230</v>
      </c>
      <c r="O5228" s="9" t="str">
        <f aca="false">HYPERLINK("https://pbs.twimg.com/profile_images/2011923660/R_Wang_640x480_normal.jpg","View")</f>
        <v>View</v>
      </c>
      <c r="P5228" s="10"/>
    </row>
    <row r="5229" customFormat="false" ht="15.75" hidden="false" customHeight="false" outlineLevel="0" collapsed="false">
      <c r="A5229" s="6" t="n">
        <v>43030.8931018519</v>
      </c>
      <c r="B5229" s="7" t="str">
        <f aca="false">HYPERLINK("https://twitter.com/FinanzLinksAsia","@FinanzLinksAsia")</f>
        <v>@FinanzLinksAsia</v>
      </c>
      <c r="C5229" s="8" t="s">
        <v>12231</v>
      </c>
      <c r="D5229" s="8" t="s">
        <v>12232</v>
      </c>
      <c r="E5229" s="9" t="str">
        <f aca="false">HYPERLINK("https://twitter.com/FinanzLinksAsia/status/922318180009197569","922318180009197569")</f>
        <v>922318180009197569</v>
      </c>
      <c r="F5229" s="9" t="s">
        <v>1147</v>
      </c>
      <c r="G5229" s="10" t="n">
        <v>706</v>
      </c>
      <c r="H5229" s="10" t="n">
        <v>46</v>
      </c>
      <c r="I5229" s="10" t="n">
        <v>0</v>
      </c>
      <c r="J5229" s="10" t="n">
        <v>0</v>
      </c>
      <c r="K5229" s="10" t="s">
        <v>20</v>
      </c>
      <c r="L5229" s="11" t="n">
        <v>41327.4011342593</v>
      </c>
      <c r="M5229" s="12"/>
      <c r="N5229" s="12" t="s">
        <v>12233</v>
      </c>
      <c r="O5229" s="9" t="str">
        <f aca="false">HYPERLINK("https://pbs.twimg.com/profile_images/3292714860/542dc32aa555a2c7b6316aca2f091f87_normal.png","View")</f>
        <v>View</v>
      </c>
      <c r="P5229" s="10"/>
    </row>
    <row r="5230" customFormat="false" ht="15.75" hidden="false" customHeight="false" outlineLevel="0" collapsed="false">
      <c r="A5230" s="6" t="n">
        <v>43030.893125</v>
      </c>
      <c r="B5230" s="7" t="str">
        <f aca="false">HYPERLINK("https://twitter.com/psaurabh1556","@psaurabh1556")</f>
        <v>@psaurabh1556</v>
      </c>
      <c r="C5230" s="8" t="s">
        <v>12234</v>
      </c>
      <c r="D5230" s="8" t="s">
        <v>12200</v>
      </c>
      <c r="E5230" s="9" t="str">
        <f aca="false">HYPERLINK("https://twitter.com/psaurabh1556/status/922318186489327616","922318186489327616")</f>
        <v>922318186489327616</v>
      </c>
      <c r="F5230" s="10" t="s">
        <v>25</v>
      </c>
      <c r="G5230" s="10" t="n">
        <v>111</v>
      </c>
      <c r="H5230" s="10" t="n">
        <v>965</v>
      </c>
      <c r="I5230" s="10" t="n">
        <v>4</v>
      </c>
      <c r="J5230" s="10" t="n">
        <v>0</v>
      </c>
      <c r="K5230" s="10" t="s">
        <v>20</v>
      </c>
      <c r="L5230" s="11" t="n">
        <v>40333.3709837963</v>
      </c>
      <c r="M5230" s="12" t="s">
        <v>12235</v>
      </c>
      <c r="N5230" s="12" t="s">
        <v>12236</v>
      </c>
      <c r="O5230" s="9" t="str">
        <f aca="false">HYPERLINK("https://pbs.twimg.com/profile_images/807873093385551872/b65BdNcL_normal.jpg","View")</f>
        <v>View</v>
      </c>
      <c r="P5230" s="10"/>
    </row>
    <row r="5231" customFormat="false" ht="15.75" hidden="false" customHeight="false" outlineLevel="0" collapsed="false">
      <c r="A5231" s="6" t="n">
        <v>43030.893125</v>
      </c>
      <c r="B5231" s="7" t="str">
        <f aca="false">HYPERLINK("https://twitter.com/Blaiserboy","@Blaiserboy")</f>
        <v>@Blaiserboy</v>
      </c>
      <c r="C5231" s="8" t="s">
        <v>10549</v>
      </c>
      <c r="D5231" s="8" t="s">
        <v>12237</v>
      </c>
      <c r="E5231" s="9" t="str">
        <f aca="false">HYPERLINK("https://twitter.com/Blaiserboy/status/922318186892075008","922318186892075008")</f>
        <v>922318186892075008</v>
      </c>
      <c r="F5231" s="9" t="s">
        <v>1147</v>
      </c>
      <c r="G5231" s="10" t="n">
        <v>2416</v>
      </c>
      <c r="H5231" s="10" t="n">
        <v>551</v>
      </c>
      <c r="I5231" s="10" t="n">
        <v>0</v>
      </c>
      <c r="J5231" s="10" t="n">
        <v>0</v>
      </c>
      <c r="K5231" s="10" t="s">
        <v>20</v>
      </c>
      <c r="L5231" s="11" t="n">
        <v>40000.1337962963</v>
      </c>
      <c r="M5231" s="12" t="s">
        <v>4050</v>
      </c>
      <c r="N5231" s="12" t="s">
        <v>10551</v>
      </c>
      <c r="O5231" s="9" t="str">
        <f aca="false">HYPERLINK("https://pbs.twimg.com/profile_images/534793235634216960/rKIHcTlG_normal.jpeg","View")</f>
        <v>View</v>
      </c>
      <c r="P5231" s="10"/>
    </row>
    <row r="5232" customFormat="false" ht="15.75" hidden="false" customHeight="false" outlineLevel="0" collapsed="false">
      <c r="A5232" s="6" t="n">
        <v>43030.893125</v>
      </c>
      <c r="B5232" s="7" t="str">
        <f aca="false">HYPERLINK("https://twitter.com/Resona_DaiIchi","@Resona_DaiIchi")</f>
        <v>@Resona_DaiIchi</v>
      </c>
      <c r="C5232" s="8" t="s">
        <v>12238</v>
      </c>
      <c r="D5232" s="8" t="s">
        <v>12239</v>
      </c>
      <c r="E5232" s="9" t="str">
        <f aca="false">HYPERLINK("https://twitter.com/Resona_DaiIchi/status/922318187168907264","922318187168907264")</f>
        <v>922318187168907264</v>
      </c>
      <c r="F5232" s="9" t="s">
        <v>1147</v>
      </c>
      <c r="G5232" s="10" t="n">
        <v>2667</v>
      </c>
      <c r="H5232" s="10" t="n">
        <v>15</v>
      </c>
      <c r="I5232" s="10" t="n">
        <v>0</v>
      </c>
      <c r="J5232" s="10" t="n">
        <v>0</v>
      </c>
      <c r="K5232" s="10" t="s">
        <v>20</v>
      </c>
      <c r="L5232" s="11" t="n">
        <v>43017.1232060185</v>
      </c>
      <c r="M5232" s="12" t="s">
        <v>12240</v>
      </c>
      <c r="N5232" s="12" t="s">
        <v>12241</v>
      </c>
      <c r="O5232" s="9" t="str">
        <f aca="false">HYPERLINK("https://pbs.twimg.com/profile_images/917328620883865600/qYFeY0Jh_normal.jpg","View")</f>
        <v>View</v>
      </c>
      <c r="P5232" s="10"/>
    </row>
    <row r="5233" customFormat="false" ht="15.75" hidden="false" customHeight="false" outlineLevel="0" collapsed="false">
      <c r="A5233" s="6" t="n">
        <v>43030.893125</v>
      </c>
      <c r="B5233" s="7" t="str">
        <f aca="false">HYPERLINK("https://twitter.com/CNBCTopStories","@CNBCTopStories")</f>
        <v>@CNBCTopStories</v>
      </c>
      <c r="C5233" s="8" t="s">
        <v>12242</v>
      </c>
      <c r="D5233" s="8" t="s">
        <v>12243</v>
      </c>
      <c r="E5233" s="9" t="str">
        <f aca="false">HYPERLINK("https://twitter.com/CNBCTopStories/status/922318187789664256","922318187789664256")</f>
        <v>922318187789664256</v>
      </c>
      <c r="F5233" s="9" t="s">
        <v>1147</v>
      </c>
      <c r="G5233" s="10" t="n">
        <v>25505</v>
      </c>
      <c r="H5233" s="10" t="n">
        <v>314</v>
      </c>
      <c r="I5233" s="10" t="n">
        <v>0</v>
      </c>
      <c r="J5233" s="10" t="n">
        <v>0</v>
      </c>
      <c r="K5233" s="10" t="s">
        <v>20</v>
      </c>
      <c r="L5233" s="11" t="n">
        <v>39841.5279513889</v>
      </c>
      <c r="M5233" s="12" t="s">
        <v>12244</v>
      </c>
      <c r="N5233" s="12" t="s">
        <v>12245</v>
      </c>
      <c r="O5233" s="9" t="str">
        <f aca="false">HYPERLINK("https://pbs.twimg.com/profile_images/875409865660747776/PtRQu9XM_normal.jpg","View")</f>
        <v>View</v>
      </c>
      <c r="P5233" s="10"/>
    </row>
    <row r="5234" customFormat="false" ht="15.75" hidden="false" customHeight="false" outlineLevel="0" collapsed="false">
      <c r="A5234" s="6" t="n">
        <v>43030.8933564815</v>
      </c>
      <c r="B5234" s="7" t="str">
        <f aca="false">HYPERLINK("https://twitter.com/NTKRNow","@NTKRNow")</f>
        <v>@NTKRNow</v>
      </c>
      <c r="C5234" s="8" t="s">
        <v>829</v>
      </c>
      <c r="D5234" s="8" t="s">
        <v>12246</v>
      </c>
      <c r="E5234" s="9" t="str">
        <f aca="false">HYPERLINK("https://twitter.com/NTKRNow/status/922318269721260033","922318269721260033")</f>
        <v>922318269721260033</v>
      </c>
      <c r="F5234" s="10" t="s">
        <v>60</v>
      </c>
      <c r="G5234" s="10" t="n">
        <v>610</v>
      </c>
      <c r="H5234" s="10" t="n">
        <v>4</v>
      </c>
      <c r="I5234" s="10" t="n">
        <v>0</v>
      </c>
      <c r="J5234" s="10" t="n">
        <v>0</v>
      </c>
      <c r="K5234" s="10" t="s">
        <v>20</v>
      </c>
      <c r="L5234" s="11" t="n">
        <v>42402.810625</v>
      </c>
      <c r="M5234" s="12"/>
      <c r="N5234" s="12"/>
      <c r="O5234" s="9" t="str">
        <f aca="false">HYPERLINK("https://abs.twimg.com/sticky/default_profile_images/default_profile_normal.png","View")</f>
        <v>View</v>
      </c>
      <c r="P5234" s="10"/>
    </row>
    <row r="5235" customFormat="false" ht="15.75" hidden="false" customHeight="false" outlineLevel="0" collapsed="false">
      <c r="A5235" s="6" t="n">
        <v>43030.8934259259</v>
      </c>
      <c r="B5235" s="7" t="str">
        <f aca="false">HYPERLINK("https://twitter.com/JacekWierzbicki","@JacekWierzbicki")</f>
        <v>@JacekWierzbicki</v>
      </c>
      <c r="C5235" s="8" t="s">
        <v>12247</v>
      </c>
      <c r="D5235" s="8" t="s">
        <v>12248</v>
      </c>
      <c r="E5235" s="9" t="str">
        <f aca="false">HYPERLINK("https://twitter.com/JacekWierzbicki/status/922318296472580096","922318296472580096")</f>
        <v>922318296472580096</v>
      </c>
      <c r="F5235" s="10" t="s">
        <v>60</v>
      </c>
      <c r="G5235" s="10" t="n">
        <v>1316</v>
      </c>
      <c r="H5235" s="10" t="n">
        <v>1607</v>
      </c>
      <c r="I5235" s="10" t="n">
        <v>0</v>
      </c>
      <c r="J5235" s="10" t="n">
        <v>0</v>
      </c>
      <c r="K5235" s="10" t="s">
        <v>20</v>
      </c>
      <c r="L5235" s="11" t="n">
        <v>40624.4786689815</v>
      </c>
      <c r="M5235" s="12"/>
      <c r="N5235" s="12" t="s">
        <v>12249</v>
      </c>
      <c r="O5235" s="9" t="str">
        <f aca="false">HYPERLINK("https://pbs.twimg.com/profile_images/671222112594452480/eDBEu-8P_normal.jpg","View")</f>
        <v>View</v>
      </c>
      <c r="P5235" s="10"/>
    </row>
    <row r="5236" customFormat="false" ht="15.75" hidden="false" customHeight="false" outlineLevel="0" collapsed="false">
      <c r="A5236" s="6" t="n">
        <v>43030.8934837963</v>
      </c>
      <c r="B5236" s="7" t="str">
        <f aca="false">HYPERLINK("https://twitter.com/osholove","@osholove")</f>
        <v>@osholove</v>
      </c>
      <c r="C5236" s="8" t="s">
        <v>12250</v>
      </c>
      <c r="D5236" s="8" t="s">
        <v>8538</v>
      </c>
      <c r="E5236" s="9" t="str">
        <f aca="false">HYPERLINK("https://twitter.com/osholove/status/922318318685495296","922318318685495296")</f>
        <v>922318318685495296</v>
      </c>
      <c r="F5236" s="10" t="s">
        <v>25</v>
      </c>
      <c r="G5236" s="10" t="n">
        <v>103</v>
      </c>
      <c r="H5236" s="10" t="n">
        <v>237</v>
      </c>
      <c r="I5236" s="10" t="n">
        <v>1015</v>
      </c>
      <c r="J5236" s="10" t="n">
        <v>0</v>
      </c>
      <c r="K5236" s="10" t="s">
        <v>20</v>
      </c>
      <c r="L5236" s="11" t="n">
        <v>40449.9820949074</v>
      </c>
      <c r="M5236" s="12"/>
      <c r="N5236" s="12"/>
      <c r="O5236" s="9" t="str">
        <f aca="false">HYPERLINK("https://pbs.twimg.com/profile_images/1302924358/tw_6950578_1302163316_normal.jpg","View")</f>
        <v>View</v>
      </c>
      <c r="P5236" s="10"/>
    </row>
    <row r="5237" customFormat="false" ht="15.75" hidden="false" customHeight="false" outlineLevel="0" collapsed="false">
      <c r="A5237" s="6" t="n">
        <v>43030.8937037037</v>
      </c>
      <c r="B5237" s="7" t="str">
        <f aca="false">HYPERLINK("https://twitter.com/mako114106","@mako114106")</f>
        <v>@mako114106</v>
      </c>
      <c r="C5237" s="8" t="s">
        <v>12251</v>
      </c>
      <c r="D5237" s="8" t="s">
        <v>12216</v>
      </c>
      <c r="E5237" s="9" t="str">
        <f aca="false">HYPERLINK("https://twitter.com/mako114106/status/922318397118939136","922318397118939136")</f>
        <v>922318397118939136</v>
      </c>
      <c r="F5237" s="10" t="s">
        <v>51</v>
      </c>
      <c r="G5237" s="10" t="n">
        <v>28</v>
      </c>
      <c r="H5237" s="10" t="n">
        <v>113</v>
      </c>
      <c r="I5237" s="10" t="n">
        <v>16</v>
      </c>
      <c r="J5237" s="10" t="n">
        <v>0</v>
      </c>
      <c r="K5237" s="10" t="s">
        <v>20</v>
      </c>
      <c r="L5237" s="11" t="n">
        <v>42648.255462963</v>
      </c>
      <c r="M5237" s="13" t="s">
        <v>7151</v>
      </c>
      <c r="N5237" s="12" t="s">
        <v>12252</v>
      </c>
      <c r="O5237" s="9" t="str">
        <f aca="false">HYPERLINK("https://pbs.twimg.com/profile_images/920086101741658112/SpRZEyPX_normal.jpg","View")</f>
        <v>View</v>
      </c>
      <c r="P5237" s="10"/>
    </row>
    <row r="5238" customFormat="false" ht="15.75" hidden="false" customHeight="false" outlineLevel="0" collapsed="false">
      <c r="A5238" s="6" t="n">
        <v>43030.8938194445</v>
      </c>
      <c r="B5238" s="7" t="str">
        <f aca="false">HYPERLINK("https://twitter.com/b_a_r_i_RK","@b_a_r_i_RK")</f>
        <v>@b_a_r_i_RK</v>
      </c>
      <c r="C5238" s="8" t="s">
        <v>12253</v>
      </c>
      <c r="D5238" s="8" t="s">
        <v>12228</v>
      </c>
      <c r="E5238" s="9" t="str">
        <f aca="false">HYPERLINK("https://twitter.com/b_a_r_i_RK/status/922318439120650240","922318439120650240")</f>
        <v>922318439120650240</v>
      </c>
      <c r="F5238" s="10" t="s">
        <v>1643</v>
      </c>
      <c r="G5238" s="10" t="n">
        <v>1611</v>
      </c>
      <c r="H5238" s="10" t="n">
        <v>1711</v>
      </c>
      <c r="I5238" s="10" t="n">
        <v>2</v>
      </c>
      <c r="J5238" s="10" t="n">
        <v>0</v>
      </c>
      <c r="K5238" s="10" t="s">
        <v>20</v>
      </c>
      <c r="L5238" s="11" t="n">
        <v>40208.8442361111</v>
      </c>
      <c r="M5238" s="13" t="s">
        <v>12254</v>
      </c>
      <c r="N5238" s="13" t="s">
        <v>12255</v>
      </c>
      <c r="O5238" s="9" t="str">
        <f aca="false">HYPERLINK("https://pbs.twimg.com/profile_images/559248757460451328/I-2X4p_I_normal.jpeg","View")</f>
        <v>View</v>
      </c>
      <c r="P5238" s="10"/>
    </row>
    <row r="5239" customFormat="false" ht="15.75" hidden="false" customHeight="false" outlineLevel="0" collapsed="false">
      <c r="A5239" s="6" t="n">
        <v>43030.8938425926</v>
      </c>
      <c r="B5239" s="7" t="str">
        <f aca="false">HYPERLINK("https://twitter.com/dibakarme","@dibakarme")</f>
        <v>@dibakarme</v>
      </c>
      <c r="C5239" s="8" t="s">
        <v>745</v>
      </c>
      <c r="D5239" s="8" t="s">
        <v>12256</v>
      </c>
      <c r="E5239" s="9" t="str">
        <f aca="false">HYPERLINK("https://twitter.com/dibakarme/status/922318449803743232","922318449803743232")</f>
        <v>922318449803743232</v>
      </c>
      <c r="F5239" s="10" t="s">
        <v>60</v>
      </c>
      <c r="G5239" s="10" t="n">
        <v>1395</v>
      </c>
      <c r="H5239" s="10" t="n">
        <v>4852</v>
      </c>
      <c r="I5239" s="10" t="n">
        <v>0</v>
      </c>
      <c r="J5239" s="10" t="n">
        <v>0</v>
      </c>
      <c r="K5239" s="10" t="s">
        <v>20</v>
      </c>
      <c r="L5239" s="11" t="n">
        <v>41314.1230671296</v>
      </c>
      <c r="M5239" s="12" t="s">
        <v>747</v>
      </c>
      <c r="N5239" s="12" t="s">
        <v>748</v>
      </c>
      <c r="O5239" s="9" t="str">
        <f aca="false">HYPERLINK("https://pbs.twimg.com/profile_images/916070941481951232/hiUaouzl_normal.jpg","View")</f>
        <v>View</v>
      </c>
      <c r="P5239" s="10"/>
    </row>
    <row r="5240" customFormat="false" ht="15.75" hidden="false" customHeight="false" outlineLevel="0" collapsed="false">
      <c r="A5240" s="6" t="n">
        <v>43030.8940393519</v>
      </c>
      <c r="B5240" s="7" t="str">
        <f aca="false">HYPERLINK("https://twitter.com/jlesxander","@jlesxander")</f>
        <v>@jlesxander</v>
      </c>
      <c r="C5240" s="8" t="s">
        <v>12257</v>
      </c>
      <c r="D5240" s="8" t="s">
        <v>12216</v>
      </c>
      <c r="E5240" s="9" t="str">
        <f aca="false">HYPERLINK("https://twitter.com/jlesxander/status/922318519676620801","922318519676620801")</f>
        <v>922318519676620801</v>
      </c>
      <c r="F5240" s="10" t="s">
        <v>51</v>
      </c>
      <c r="G5240" s="10" t="n">
        <v>53</v>
      </c>
      <c r="H5240" s="10" t="n">
        <v>135</v>
      </c>
      <c r="I5240" s="10" t="n">
        <v>16</v>
      </c>
      <c r="J5240" s="10" t="n">
        <v>0</v>
      </c>
      <c r="K5240" s="10" t="s">
        <v>20</v>
      </c>
      <c r="L5240" s="11" t="n">
        <v>42150.6268171296</v>
      </c>
      <c r="M5240" s="12"/>
      <c r="N5240" s="12" t="s">
        <v>12258</v>
      </c>
      <c r="O5240" s="9" t="str">
        <f aca="false">HYPERLINK("https://pbs.twimg.com/profile_images/717192586247675904/xMZsya0W_normal.jpg","View")</f>
        <v>View</v>
      </c>
      <c r="P5240" s="10"/>
    </row>
    <row r="5241" customFormat="false" ht="15.75" hidden="false" customHeight="false" outlineLevel="0" collapsed="false">
      <c r="A5241" s="6" t="n">
        <v>43030.8942824074</v>
      </c>
      <c r="B5241" s="7" t="str">
        <f aca="false">HYPERLINK("https://twitter.com/patwater","@patwater")</f>
        <v>@patwater</v>
      </c>
      <c r="C5241" s="8" t="s">
        <v>12259</v>
      </c>
      <c r="D5241" s="8" t="s">
        <v>12260</v>
      </c>
      <c r="E5241" s="9" t="str">
        <f aca="false">HYPERLINK("https://twitter.com/patwater/status/922318607660466177","922318607660466177")</f>
        <v>922318607660466177</v>
      </c>
      <c r="F5241" s="10" t="s">
        <v>39</v>
      </c>
      <c r="G5241" s="10" t="n">
        <v>545</v>
      </c>
      <c r="H5241" s="10" t="n">
        <v>739</v>
      </c>
      <c r="I5241" s="10" t="n">
        <v>0</v>
      </c>
      <c r="J5241" s="10" t="n">
        <v>0</v>
      </c>
      <c r="K5241" s="10" t="s">
        <v>20</v>
      </c>
      <c r="L5241" s="11" t="n">
        <v>39962.8942013889</v>
      </c>
      <c r="M5241" s="12"/>
      <c r="N5241" s="12" t="s">
        <v>12261</v>
      </c>
      <c r="O5241" s="9" t="str">
        <f aca="false">HYPERLINK("https://pbs.twimg.com/profile_images/877681490896633860/cAQ22oQs_normal.jpg","View")</f>
        <v>View</v>
      </c>
      <c r="P5241" s="10"/>
    </row>
    <row r="5242" customFormat="false" ht="15.75" hidden="false" customHeight="false" outlineLevel="0" collapsed="false">
      <c r="A5242" s="6" t="n">
        <v>43030.8945601852</v>
      </c>
      <c r="B5242" s="7" t="str">
        <f aca="false">HYPERLINK("https://twitter.com/NTKRNow","@NTKRNow")</f>
        <v>@NTKRNow</v>
      </c>
      <c r="C5242" s="8" t="s">
        <v>829</v>
      </c>
      <c r="D5242" s="8" t="s">
        <v>12262</v>
      </c>
      <c r="E5242" s="9" t="str">
        <f aca="false">HYPERLINK("https://twitter.com/NTKRNow/status/922318709695315969","922318709695315969")</f>
        <v>922318709695315969</v>
      </c>
      <c r="F5242" s="10" t="s">
        <v>60</v>
      </c>
      <c r="G5242" s="10" t="n">
        <v>610</v>
      </c>
      <c r="H5242" s="10" t="n">
        <v>4</v>
      </c>
      <c r="I5242" s="10" t="n">
        <v>0</v>
      </c>
      <c r="J5242" s="10" t="n">
        <v>0</v>
      </c>
      <c r="K5242" s="10" t="s">
        <v>20</v>
      </c>
      <c r="L5242" s="11" t="n">
        <v>42402.810625</v>
      </c>
      <c r="M5242" s="12"/>
      <c r="N5242" s="12"/>
      <c r="O5242" s="9" t="str">
        <f aca="false">HYPERLINK("https://abs.twimg.com/sticky/default_profile_images/default_profile_normal.png","View")</f>
        <v>View</v>
      </c>
      <c r="P5242" s="10"/>
    </row>
    <row r="5243" customFormat="false" ht="15.75" hidden="false" customHeight="false" outlineLevel="0" collapsed="false">
      <c r="A5243" s="6" t="n">
        <v>43030.8945833333</v>
      </c>
      <c r="B5243" s="7" t="str">
        <f aca="false">HYPERLINK("https://twitter.com/RobinsonObunga","@RobinsonObunga")</f>
        <v>@RobinsonObunga</v>
      </c>
      <c r="C5243" s="8" t="s">
        <v>12263</v>
      </c>
      <c r="D5243" s="8" t="s">
        <v>12216</v>
      </c>
      <c r="E5243" s="9" t="str">
        <f aca="false">HYPERLINK("https://twitter.com/RobinsonObunga/status/922318716666286081","922318716666286081")</f>
        <v>922318716666286081</v>
      </c>
      <c r="F5243" s="10" t="s">
        <v>25</v>
      </c>
      <c r="G5243" s="10" t="n">
        <v>79</v>
      </c>
      <c r="H5243" s="10" t="n">
        <v>201</v>
      </c>
      <c r="I5243" s="10" t="n">
        <v>16</v>
      </c>
      <c r="J5243" s="10" t="n">
        <v>0</v>
      </c>
      <c r="K5243" s="10" t="s">
        <v>20</v>
      </c>
      <c r="L5243" s="11" t="n">
        <v>41007.1330324074</v>
      </c>
      <c r="M5243" s="12" t="s">
        <v>2400</v>
      </c>
      <c r="N5243" s="12" t="s">
        <v>12264</v>
      </c>
      <c r="O5243" s="9" t="str">
        <f aca="false">HYPERLINK("https://pbs.twimg.com/profile_images/899245288577257472/5XZTnHtB_normal.jpg","View")</f>
        <v>View</v>
      </c>
      <c r="P5243" s="10"/>
    </row>
    <row r="5244" customFormat="false" ht="15.75" hidden="false" customHeight="false" outlineLevel="0" collapsed="false">
      <c r="A5244" s="6" t="n">
        <v>43030.8947106481</v>
      </c>
      <c r="B5244" s="7" t="str">
        <f aca="false">HYPERLINK("https://twitter.com/PratMangal","@PratMangal")</f>
        <v>@PratMangal</v>
      </c>
      <c r="C5244" s="8" t="s">
        <v>12265</v>
      </c>
      <c r="D5244" s="8" t="s">
        <v>8538</v>
      </c>
      <c r="E5244" s="9" t="str">
        <f aca="false">HYPERLINK("https://twitter.com/PratMangal/status/922318762254192640","922318762254192640")</f>
        <v>922318762254192640</v>
      </c>
      <c r="F5244" s="10" t="s">
        <v>25</v>
      </c>
      <c r="G5244" s="10" t="n">
        <v>287</v>
      </c>
      <c r="H5244" s="10" t="n">
        <v>464</v>
      </c>
      <c r="I5244" s="10" t="n">
        <v>1015</v>
      </c>
      <c r="J5244" s="10" t="n">
        <v>0</v>
      </c>
      <c r="K5244" s="10" t="s">
        <v>20</v>
      </c>
      <c r="L5244" s="11" t="n">
        <v>41125.8416550926</v>
      </c>
      <c r="M5244" s="12"/>
      <c r="N5244" s="12"/>
      <c r="O5244" s="9" t="str">
        <f aca="false">HYPERLINK("https://pbs.twimg.com/profile_images/715216031552299010/ZWfYkhl4_normal.jpg","View")</f>
        <v>View</v>
      </c>
      <c r="P5244" s="10"/>
    </row>
    <row r="5245" customFormat="false" ht="15.75" hidden="false" customHeight="false" outlineLevel="0" collapsed="false">
      <c r="A5245" s="6" t="n">
        <v>43030.8947106481</v>
      </c>
      <c r="B5245" s="7" t="str">
        <f aca="false">HYPERLINK("https://twitter.com/TheNukeNewsBot","@TheNukeNewsBot")</f>
        <v>@TheNukeNewsBot</v>
      </c>
      <c r="C5245" s="8" t="s">
        <v>12266</v>
      </c>
      <c r="D5245" s="8" t="s">
        <v>12267</v>
      </c>
      <c r="E5245" s="9" t="str">
        <f aca="false">HYPERLINK("https://twitter.com/TheNukeNewsBot/status/922318764389158912","922318764389158912")</f>
        <v>922318764389158912</v>
      </c>
      <c r="F5245" s="10" t="s">
        <v>60</v>
      </c>
      <c r="G5245" s="10" t="n">
        <v>309</v>
      </c>
      <c r="H5245" s="10" t="n">
        <v>11</v>
      </c>
      <c r="I5245" s="10" t="n">
        <v>0</v>
      </c>
      <c r="J5245" s="10" t="n">
        <v>0</v>
      </c>
      <c r="K5245" s="10" t="s">
        <v>20</v>
      </c>
      <c r="L5245" s="11" t="n">
        <v>41779.4255787037</v>
      </c>
      <c r="M5245" s="12"/>
      <c r="N5245" s="12" t="s">
        <v>12268</v>
      </c>
      <c r="O5245" s="9" t="str">
        <f aca="false">HYPERLINK("https://pbs.twimg.com/profile_images/468812299549954048/LTPDWsPh_normal.png","View")</f>
        <v>View</v>
      </c>
      <c r="P5245" s="10"/>
    </row>
    <row r="5246" customFormat="false" ht="15.75" hidden="false" customHeight="false" outlineLevel="0" collapsed="false">
      <c r="A5246" s="6" t="n">
        <v>43030.8947569444</v>
      </c>
      <c r="B5246" s="7" t="str">
        <f aca="false">HYPERLINK("https://twitter.com/Dimi","@Dimi")</f>
        <v>@Dimi</v>
      </c>
      <c r="C5246" s="8" t="s">
        <v>12269</v>
      </c>
      <c r="D5246" s="8" t="s">
        <v>12270</v>
      </c>
      <c r="E5246" s="9" t="str">
        <f aca="false">HYPERLINK("https://twitter.com/Dimi/status/922318779241193472","922318779241193472")</f>
        <v>922318779241193472</v>
      </c>
      <c r="F5246" s="10" t="s">
        <v>51</v>
      </c>
      <c r="G5246" s="10" t="n">
        <v>42364</v>
      </c>
      <c r="H5246" s="10" t="n">
        <v>8863</v>
      </c>
      <c r="I5246" s="10" t="n">
        <v>2</v>
      </c>
      <c r="J5246" s="10" t="n">
        <v>0</v>
      </c>
      <c r="K5246" s="10" t="s">
        <v>20</v>
      </c>
      <c r="L5246" s="11" t="n">
        <v>40018.7454166667</v>
      </c>
      <c r="M5246" s="12" t="s">
        <v>12271</v>
      </c>
      <c r="N5246" s="12" t="s">
        <v>12272</v>
      </c>
      <c r="O5246" s="9" t="str">
        <f aca="false">HYPERLINK("https://pbs.twimg.com/profile_images/899837849377398784/Ov8MJSXU_normal.jpg","View")</f>
        <v>View</v>
      </c>
      <c r="P5246" s="10"/>
    </row>
    <row r="5247" customFormat="false" ht="15.75" hidden="false" customHeight="false" outlineLevel="0" collapsed="false">
      <c r="A5247" s="6" t="n">
        <v>43030.8953587963</v>
      </c>
      <c r="B5247" s="7" t="str">
        <f aca="false">HYPERLINK("https://twitter.com/rishi_4uraj","@rishi_4uraj")</f>
        <v>@rishi_4uraj</v>
      </c>
      <c r="C5247" s="8" t="s">
        <v>12273</v>
      </c>
      <c r="D5247" s="8" t="s">
        <v>12216</v>
      </c>
      <c r="E5247" s="9" t="str">
        <f aca="false">HYPERLINK("https://twitter.com/rishi_4uraj/status/922318996971462656","922318996971462656")</f>
        <v>922318996971462656</v>
      </c>
      <c r="F5247" s="10" t="s">
        <v>51</v>
      </c>
      <c r="G5247" s="10" t="n">
        <v>69</v>
      </c>
      <c r="H5247" s="10" t="n">
        <v>318</v>
      </c>
      <c r="I5247" s="10" t="n">
        <v>16</v>
      </c>
      <c r="J5247" s="10" t="n">
        <v>0</v>
      </c>
      <c r="K5247" s="10" t="s">
        <v>20</v>
      </c>
      <c r="L5247" s="11" t="n">
        <v>40270.9621875</v>
      </c>
      <c r="M5247" s="12" t="s">
        <v>12274</v>
      </c>
      <c r="N5247" s="12" t="s">
        <v>12275</v>
      </c>
      <c r="O5247" s="9" t="str">
        <f aca="false">HYPERLINK("https://pbs.twimg.com/profile_images/921057107142590464/IkF_vMRc_normal.jpg","View")</f>
        <v>View</v>
      </c>
      <c r="P5247" s="10"/>
    </row>
    <row r="5248" customFormat="false" ht="15.75" hidden="false" customHeight="false" outlineLevel="0" collapsed="false">
      <c r="A5248" s="6" t="n">
        <v>43030.8953819444</v>
      </c>
      <c r="B5248" s="7" t="str">
        <f aca="false">HYPERLINK("https://twitter.com/3NovicesAsian","@3NovicesAsian")</f>
        <v>@3NovicesAsian</v>
      </c>
      <c r="C5248" s="8" t="s">
        <v>12276</v>
      </c>
      <c r="D5248" s="8" t="s">
        <v>12277</v>
      </c>
      <c r="E5248" s="9" t="str">
        <f aca="false">HYPERLINK("https://twitter.com/3NovicesAsian/status/922319006555607040","922319006555607040")</f>
        <v>922319006555607040</v>
      </c>
      <c r="F5248" s="10" t="s">
        <v>60</v>
      </c>
      <c r="G5248" s="10" t="n">
        <v>524</v>
      </c>
      <c r="H5248" s="10" t="n">
        <v>656</v>
      </c>
      <c r="I5248" s="10" t="n">
        <v>0</v>
      </c>
      <c r="J5248" s="10" t="n">
        <v>0</v>
      </c>
      <c r="K5248" s="10" t="s">
        <v>20</v>
      </c>
      <c r="L5248" s="11" t="n">
        <v>42275.1021875</v>
      </c>
      <c r="M5248" s="12" t="s">
        <v>12278</v>
      </c>
      <c r="N5248" s="12" t="s">
        <v>1844</v>
      </c>
      <c r="O5248" s="9" t="str">
        <f aca="false">HYPERLINK("https://pbs.twimg.com/profile_images/648429611018121216/4W1NY8U1_normal.jpg","View")</f>
        <v>View</v>
      </c>
      <c r="P5248" s="10"/>
    </row>
    <row r="5249" customFormat="false" ht="15.75" hidden="false" customHeight="false" outlineLevel="0" collapsed="false">
      <c r="A5249" s="6" t="n">
        <v>43030.8956597222</v>
      </c>
      <c r="B5249" s="7" t="str">
        <f aca="false">HYPERLINK("https://twitter.com/twit48aa","@twit48aa")</f>
        <v>@twit48aa</v>
      </c>
      <c r="C5249" s="8" t="s">
        <v>2800</v>
      </c>
      <c r="D5249" s="8" t="s">
        <v>12279</v>
      </c>
      <c r="E5249" s="9" t="str">
        <f aca="false">HYPERLINK("https://twitter.com/twit48aa/status/922319107659304960","922319107659304960")</f>
        <v>922319107659304960</v>
      </c>
      <c r="F5249" s="10" t="s">
        <v>60</v>
      </c>
      <c r="G5249" s="10" t="n">
        <v>10</v>
      </c>
      <c r="H5249" s="10" t="n">
        <v>77</v>
      </c>
      <c r="I5249" s="10" t="n">
        <v>0</v>
      </c>
      <c r="J5249" s="10" t="n">
        <v>0</v>
      </c>
      <c r="K5249" s="10" t="s">
        <v>20</v>
      </c>
      <c r="L5249" s="11" t="n">
        <v>41375.2227430556</v>
      </c>
      <c r="M5249" s="12" t="s">
        <v>2802</v>
      </c>
      <c r="N5249" s="12" t="s">
        <v>2803</v>
      </c>
      <c r="O5249" s="9" t="str">
        <f aca="false">HYPERLINK("https://pbs.twimg.com/profile_images/3506164379/590ab77a416cbb6b88d0f6abb07e22fe_normal.jpeg","View")</f>
        <v>View</v>
      </c>
      <c r="P5249" s="10"/>
    </row>
    <row r="5250" customFormat="false" ht="15.75" hidden="false" customHeight="false" outlineLevel="0" collapsed="false">
      <c r="A5250" s="6" t="n">
        <v>43030.8956712963</v>
      </c>
      <c r="B5250" s="7" t="str">
        <f aca="false">HYPERLINK("https://twitter.com/iteobesta","@iteobesta")</f>
        <v>@iteobesta</v>
      </c>
      <c r="C5250" s="8" t="s">
        <v>12280</v>
      </c>
      <c r="D5250" s="8" t="s">
        <v>10127</v>
      </c>
      <c r="E5250" s="9" t="str">
        <f aca="false">HYPERLINK("https://twitter.com/iteobesta/status/922319110997868549","922319110997868549")</f>
        <v>922319110997868549</v>
      </c>
      <c r="F5250" s="10" t="s">
        <v>25</v>
      </c>
      <c r="G5250" s="10" t="n">
        <v>1671</v>
      </c>
      <c r="H5250" s="10" t="n">
        <v>618</v>
      </c>
      <c r="I5250" s="10" t="n">
        <v>8</v>
      </c>
      <c r="J5250" s="10" t="n">
        <v>0</v>
      </c>
      <c r="K5250" s="10" t="s">
        <v>20</v>
      </c>
      <c r="L5250" s="11" t="n">
        <v>40016.5165393519</v>
      </c>
      <c r="M5250" s="12" t="s">
        <v>12281</v>
      </c>
      <c r="N5250" s="12" t="s">
        <v>12282</v>
      </c>
      <c r="O5250" s="9" t="str">
        <f aca="false">HYPERLINK("https://pbs.twimg.com/profile_images/917262712043749377/2fRbny_k_normal.jpg","View")</f>
        <v>View</v>
      </c>
      <c r="P5250" s="10"/>
    </row>
    <row r="5251" customFormat="false" ht="15.75" hidden="false" customHeight="false" outlineLevel="0" collapsed="false">
      <c r="A5251" s="6" t="n">
        <v>43030.8959143519</v>
      </c>
      <c r="B5251" s="7" t="str">
        <f aca="false">HYPERLINK("https://twitter.com/pelon_0914","@pelon_0914")</f>
        <v>@pelon_0914</v>
      </c>
      <c r="C5251" s="8" t="s">
        <v>12283</v>
      </c>
      <c r="D5251" s="8" t="s">
        <v>12216</v>
      </c>
      <c r="E5251" s="9" t="str">
        <f aca="false">HYPERLINK("https://twitter.com/pelon_0914/status/922319197971013633","922319197971013633")</f>
        <v>922319197971013633</v>
      </c>
      <c r="F5251" s="10" t="s">
        <v>51</v>
      </c>
      <c r="G5251" s="10" t="n">
        <v>174</v>
      </c>
      <c r="H5251" s="10" t="n">
        <v>429</v>
      </c>
      <c r="I5251" s="10" t="n">
        <v>16</v>
      </c>
      <c r="J5251" s="10" t="n">
        <v>0</v>
      </c>
      <c r="K5251" s="10" t="s">
        <v>20</v>
      </c>
      <c r="L5251" s="11" t="n">
        <v>41432.5228703704</v>
      </c>
      <c r="M5251" s="12" t="s">
        <v>12284</v>
      </c>
      <c r="N5251" s="12" t="s">
        <v>12285</v>
      </c>
      <c r="O5251" s="9" t="str">
        <f aca="false">HYPERLINK("https://pbs.twimg.com/profile_images/378800000602114015/5476dadfc47b6c9181614b230727bcd5_normal.jpeg","View")</f>
        <v>View</v>
      </c>
      <c r="P5251" s="10"/>
    </row>
    <row r="5252" customFormat="false" ht="15.75" hidden="false" customHeight="false" outlineLevel="0" collapsed="false">
      <c r="A5252" s="6" t="n">
        <v>43030.8960648148</v>
      </c>
      <c r="B5252" s="7" t="str">
        <f aca="false">HYPERLINK("https://twitter.com/Subhank25219819","@Subhank25219819")</f>
        <v>@Subhank25219819</v>
      </c>
      <c r="C5252" s="8" t="s">
        <v>12286</v>
      </c>
      <c r="D5252" s="8" t="s">
        <v>7350</v>
      </c>
      <c r="E5252" s="9" t="str">
        <f aca="false">HYPERLINK("https://twitter.com/Subhank25219819/status/922319255114321920","922319255114321920")</f>
        <v>922319255114321920</v>
      </c>
      <c r="F5252" s="10" t="s">
        <v>51</v>
      </c>
      <c r="G5252" s="10" t="n">
        <v>215</v>
      </c>
      <c r="H5252" s="10" t="n">
        <v>227</v>
      </c>
      <c r="I5252" s="10" t="n">
        <v>62</v>
      </c>
      <c r="J5252" s="10" t="n">
        <v>0</v>
      </c>
      <c r="K5252" s="10" t="s">
        <v>20</v>
      </c>
      <c r="L5252" s="11" t="n">
        <v>42542.1566435185</v>
      </c>
      <c r="M5252" s="12" t="s">
        <v>253</v>
      </c>
      <c r="N5252" s="12"/>
      <c r="O5252" s="9" t="str">
        <f aca="false">HYPERLINK("https://abs.twimg.com/sticky/default_profile_images/default_profile_normal.png","View")</f>
        <v>View</v>
      </c>
      <c r="P5252" s="10"/>
    </row>
    <row r="5253" customFormat="false" ht="15.75" hidden="false" customHeight="false" outlineLevel="0" collapsed="false">
      <c r="A5253" s="6" t="n">
        <v>43030.8966319444</v>
      </c>
      <c r="B5253" s="7" t="str">
        <f aca="false">HYPERLINK("https://twitter.com/EmpComLLC","@EmpComLLC")</f>
        <v>@EmpComLLC</v>
      </c>
      <c r="C5253" s="8" t="s">
        <v>12287</v>
      </c>
      <c r="D5253" s="8" t="s">
        <v>12288</v>
      </c>
      <c r="E5253" s="9" t="str">
        <f aca="false">HYPERLINK("https://twitter.com/EmpComLLC/status/922319457892093952","922319457892093952")</f>
        <v>922319457892093952</v>
      </c>
      <c r="F5253" s="10" t="s">
        <v>60</v>
      </c>
      <c r="G5253" s="10" t="n">
        <v>43</v>
      </c>
      <c r="H5253" s="10" t="n">
        <v>0</v>
      </c>
      <c r="I5253" s="10" t="n">
        <v>0</v>
      </c>
      <c r="J5253" s="10" t="n">
        <v>0</v>
      </c>
      <c r="K5253" s="10" t="s">
        <v>20</v>
      </c>
      <c r="L5253" s="11" t="n">
        <v>42755.7867939815</v>
      </c>
      <c r="M5253" s="12"/>
      <c r="N5253" s="12"/>
      <c r="O5253" s="9" t="str">
        <f aca="false">HYPERLINK("https://pbs.twimg.com/profile_images/824648391569371136/xqL6hLXV_normal.jpg","View")</f>
        <v>View</v>
      </c>
      <c r="P5253" s="10"/>
    </row>
    <row r="5254" customFormat="false" ht="15.75" hidden="false" customHeight="false" outlineLevel="0" collapsed="false">
      <c r="A5254" s="6" t="n">
        <v>43030.896724537</v>
      </c>
      <c r="B5254" s="7" t="str">
        <f aca="false">HYPERLINK("https://twitter.com/menaleeciara","@menaleeciara")</f>
        <v>@menaleeciara</v>
      </c>
      <c r="C5254" s="8" t="s">
        <v>12289</v>
      </c>
      <c r="D5254" s="8" t="s">
        <v>12290</v>
      </c>
      <c r="E5254" s="9" t="str">
        <f aca="false">HYPERLINK("https://twitter.com/menaleeciara/status/922319492037869573","922319492037869573")</f>
        <v>922319492037869573</v>
      </c>
      <c r="F5254" s="10" t="s">
        <v>60</v>
      </c>
      <c r="G5254" s="10" t="n">
        <v>63</v>
      </c>
      <c r="H5254" s="10" t="n">
        <v>87</v>
      </c>
      <c r="I5254" s="10" t="n">
        <v>0</v>
      </c>
      <c r="J5254" s="10" t="n">
        <v>0</v>
      </c>
      <c r="K5254" s="10" t="s">
        <v>20</v>
      </c>
      <c r="L5254" s="11" t="n">
        <v>42815.6670949074</v>
      </c>
      <c r="M5254" s="12" t="s">
        <v>12291</v>
      </c>
      <c r="N5254" s="12" t="s">
        <v>12292</v>
      </c>
      <c r="O5254" s="9" t="str">
        <f aca="false">HYPERLINK("https://pbs.twimg.com/profile_images/862405264473026560/ENa3420v_normal.jpg","View")</f>
        <v>View</v>
      </c>
      <c r="P5254" s="10"/>
    </row>
    <row r="5255" customFormat="false" ht="15.75" hidden="false" customHeight="false" outlineLevel="0" collapsed="false">
      <c r="A5255" s="6" t="n">
        <v>43030.8969212963</v>
      </c>
      <c r="B5255" s="7" t="str">
        <f aca="false">HYPERLINK("https://twitter.com/krunal838412","@krunal838412")</f>
        <v>@krunal838412</v>
      </c>
      <c r="C5255" s="8" t="s">
        <v>12293</v>
      </c>
      <c r="D5255" s="8" t="s">
        <v>8538</v>
      </c>
      <c r="E5255" s="9" t="str">
        <f aca="false">HYPERLINK("https://twitter.com/krunal838412/status/922319563336794112","922319563336794112")</f>
        <v>922319563336794112</v>
      </c>
      <c r="F5255" s="10" t="s">
        <v>25</v>
      </c>
      <c r="G5255" s="10" t="n">
        <v>235</v>
      </c>
      <c r="H5255" s="10" t="n">
        <v>96</v>
      </c>
      <c r="I5255" s="10" t="n">
        <v>1015</v>
      </c>
      <c r="J5255" s="10" t="n">
        <v>0</v>
      </c>
      <c r="K5255" s="10" t="s">
        <v>20</v>
      </c>
      <c r="L5255" s="11" t="n">
        <v>41622.9013888889</v>
      </c>
      <c r="M5255" s="12" t="s">
        <v>12294</v>
      </c>
      <c r="N5255" s="12"/>
      <c r="O5255" s="9" t="str">
        <f aca="false">HYPERLINK("https://pbs.twimg.com/profile_images/845724472506122240/i9ztDpw2_normal.jpg","View")</f>
        <v>View</v>
      </c>
      <c r="P5255" s="10"/>
    </row>
    <row r="5256" customFormat="false" ht="15.75" hidden="false" customHeight="false" outlineLevel="0" collapsed="false">
      <c r="A5256" s="6" t="n">
        <v>43030.8969328704</v>
      </c>
      <c r="B5256" s="7" t="str">
        <f aca="false">HYPERLINK("https://twitter.com/3NovicesAsian","@3NovicesAsian")</f>
        <v>@3NovicesAsian</v>
      </c>
      <c r="C5256" s="8" t="s">
        <v>12276</v>
      </c>
      <c r="D5256" s="8" t="s">
        <v>12295</v>
      </c>
      <c r="E5256" s="9" t="str">
        <f aca="false">HYPERLINK("https://twitter.com/3NovicesAsian/status/922319566365216768","922319566365216768")</f>
        <v>922319566365216768</v>
      </c>
      <c r="F5256" s="10" t="s">
        <v>60</v>
      </c>
      <c r="G5256" s="10" t="n">
        <v>524</v>
      </c>
      <c r="H5256" s="10" t="n">
        <v>656</v>
      </c>
      <c r="I5256" s="10" t="n">
        <v>0</v>
      </c>
      <c r="J5256" s="10" t="n">
        <v>0</v>
      </c>
      <c r="K5256" s="10" t="s">
        <v>20</v>
      </c>
      <c r="L5256" s="11" t="n">
        <v>42275.1021875</v>
      </c>
      <c r="M5256" s="12" t="s">
        <v>12278</v>
      </c>
      <c r="N5256" s="12" t="s">
        <v>1844</v>
      </c>
      <c r="O5256" s="9" t="str">
        <f aca="false">HYPERLINK("https://pbs.twimg.com/profile_images/648429611018121216/4W1NY8U1_normal.jpg","View")</f>
        <v>View</v>
      </c>
      <c r="P5256" s="10"/>
    </row>
    <row r="5257" customFormat="false" ht="15.75" hidden="false" customHeight="false" outlineLevel="0" collapsed="false">
      <c r="A5257" s="6" t="n">
        <v>43030.8974189815</v>
      </c>
      <c r="B5257" s="7" t="str">
        <f aca="false">HYPERLINK("https://twitter.com/nakhon224","@nakhon224")</f>
        <v>@nakhon224</v>
      </c>
      <c r="C5257" s="8" t="s">
        <v>1087</v>
      </c>
      <c r="D5257" s="8" t="s">
        <v>12296</v>
      </c>
      <c r="E5257" s="9" t="str">
        <f aca="false">HYPERLINK("https://twitter.com/nakhon224/status/922319745105518592","922319745105518592")</f>
        <v>922319745105518592</v>
      </c>
      <c r="F5257" s="10" t="s">
        <v>60</v>
      </c>
      <c r="G5257" s="10" t="n">
        <v>16976</v>
      </c>
      <c r="H5257" s="10" t="n">
        <v>5082</v>
      </c>
      <c r="I5257" s="10" t="n">
        <v>0</v>
      </c>
      <c r="J5257" s="10" t="n">
        <v>0</v>
      </c>
      <c r="K5257" s="10" t="s">
        <v>20</v>
      </c>
      <c r="L5257" s="11" t="n">
        <v>40115.9020949074</v>
      </c>
      <c r="M5257" s="12" t="s">
        <v>1089</v>
      </c>
      <c r="N5257" s="12" t="s">
        <v>1090</v>
      </c>
      <c r="O5257" s="9" t="str">
        <f aca="false">HYPERLINK("https://pbs.twimg.com/profile_images/2399245020/niwo2t05j664oldr5izd_normal.gif","View")</f>
        <v>View</v>
      </c>
      <c r="P5257" s="10"/>
    </row>
    <row r="5258" customFormat="false" ht="15.75" hidden="false" customHeight="false" outlineLevel="0" collapsed="false">
      <c r="A5258" s="6" t="n">
        <v>43030.8981597222</v>
      </c>
      <c r="B5258" s="7" t="str">
        <f aca="false">HYPERLINK("https://twitter.com/TejNarang","@TejNarang")</f>
        <v>@TejNarang</v>
      </c>
      <c r="C5258" s="8" t="s">
        <v>12297</v>
      </c>
      <c r="D5258" s="8" t="s">
        <v>8538</v>
      </c>
      <c r="E5258" s="9" t="str">
        <f aca="false">HYPERLINK("https://twitter.com/TejNarang/status/922320010898415616","922320010898415616")</f>
        <v>922320010898415616</v>
      </c>
      <c r="F5258" s="10" t="s">
        <v>51</v>
      </c>
      <c r="G5258" s="10" t="n">
        <v>481</v>
      </c>
      <c r="H5258" s="10" t="n">
        <v>2066</v>
      </c>
      <c r="I5258" s="10" t="n">
        <v>1015</v>
      </c>
      <c r="J5258" s="10" t="n">
        <v>0</v>
      </c>
      <c r="K5258" s="10" t="s">
        <v>20</v>
      </c>
      <c r="L5258" s="11" t="n">
        <v>40943.235625</v>
      </c>
      <c r="M5258" s="12" t="s">
        <v>253</v>
      </c>
      <c r="N5258" s="12" t="s">
        <v>12298</v>
      </c>
      <c r="O5258" s="9" t="str">
        <f aca="false">HYPERLINK("https://pbs.twimg.com/profile_images/835451793647677440/mh3qTZJD_normal.jpg","View")</f>
        <v>View</v>
      </c>
      <c r="P5258" s="10"/>
    </row>
    <row r="5259" customFormat="false" ht="15.75" hidden="false" customHeight="false" outlineLevel="0" collapsed="false">
      <c r="A5259" s="6" t="n">
        <v>43030.8982407408</v>
      </c>
      <c r="B5259" s="7" t="str">
        <f aca="false">HYPERLINK("https://twitter.com/mate_mtys","@mate_mtys")</f>
        <v>@mate_mtys</v>
      </c>
      <c r="C5259" s="8" t="s">
        <v>12299</v>
      </c>
      <c r="D5259" s="8" t="s">
        <v>10997</v>
      </c>
      <c r="E5259" s="9" t="str">
        <f aca="false">HYPERLINK("https://twitter.com/mate_mtys/status/922320042640977920","922320042640977920")</f>
        <v>922320042640977920</v>
      </c>
      <c r="F5259" s="10" t="s">
        <v>25</v>
      </c>
      <c r="G5259" s="10" t="n">
        <v>146</v>
      </c>
      <c r="H5259" s="10" t="n">
        <v>1027</v>
      </c>
      <c r="I5259" s="10" t="n">
        <v>27</v>
      </c>
      <c r="J5259" s="10" t="n">
        <v>0</v>
      </c>
      <c r="K5259" s="10" t="s">
        <v>20</v>
      </c>
      <c r="L5259" s="11" t="n">
        <v>42128.457037037</v>
      </c>
      <c r="M5259" s="12" t="s">
        <v>723</v>
      </c>
      <c r="N5259" s="12" t="s">
        <v>12300</v>
      </c>
      <c r="O5259" s="9" t="str">
        <f aca="false">HYPERLINK("https://pbs.twimg.com/profile_images/794215082381152256/WE0eAct__normal.jpg","View")</f>
        <v>View</v>
      </c>
      <c r="P5259" s="10"/>
    </row>
    <row r="5260" customFormat="false" ht="15.75" hidden="false" customHeight="false" outlineLevel="0" collapsed="false">
      <c r="A5260" s="6" t="n">
        <v>43030.8986921296</v>
      </c>
      <c r="B5260" s="7" t="str">
        <f aca="false">HYPERLINK("https://twitter.com/Dagixle","@Dagixle")</f>
        <v>@Dagixle</v>
      </c>
      <c r="C5260" s="8" t="s">
        <v>12301</v>
      </c>
      <c r="D5260" s="8" t="s">
        <v>9783</v>
      </c>
      <c r="E5260" s="9" t="str">
        <f aca="false">HYPERLINK("https://twitter.com/Dagixle/status/922320205019262976","922320205019262976")</f>
        <v>922320205019262976</v>
      </c>
      <c r="F5260" s="10" t="s">
        <v>25</v>
      </c>
      <c r="G5260" s="10" t="n">
        <v>186</v>
      </c>
      <c r="H5260" s="10" t="n">
        <v>165</v>
      </c>
      <c r="I5260" s="10" t="n">
        <v>17</v>
      </c>
      <c r="J5260" s="10" t="n">
        <v>0</v>
      </c>
      <c r="K5260" s="10" t="s">
        <v>20</v>
      </c>
      <c r="L5260" s="11" t="n">
        <v>40317.109849537</v>
      </c>
      <c r="M5260" s="12" t="s">
        <v>12302</v>
      </c>
      <c r="N5260" s="12"/>
      <c r="O5260" s="9" t="str">
        <f aca="false">HYPERLINK("https://pbs.twimg.com/profile_images/378800000190235608/627092d09dceec8c7c82011a4e83720c_normal.png","View")</f>
        <v>View</v>
      </c>
      <c r="P5260" s="10"/>
    </row>
    <row r="5261" customFormat="false" ht="15.75" hidden="false" customHeight="false" outlineLevel="0" collapsed="false">
      <c r="A5261" s="6" t="n">
        <v>43030.8987268519</v>
      </c>
      <c r="B5261" s="7" t="str">
        <f aca="false">HYPERLINK("https://twitter.com/Annamalairmmdu","@Annamalairmmdu")</f>
        <v>@Annamalairmmdu</v>
      </c>
      <c r="C5261" s="8" t="s">
        <v>12303</v>
      </c>
      <c r="D5261" s="8" t="s">
        <v>7350</v>
      </c>
      <c r="E5261" s="9" t="str">
        <f aca="false">HYPERLINK("https://twitter.com/Annamalairmmdu/status/922320219250475008","922320219250475008")</f>
        <v>922320219250475008</v>
      </c>
      <c r="F5261" s="10" t="s">
        <v>25</v>
      </c>
      <c r="G5261" s="10" t="n">
        <v>3</v>
      </c>
      <c r="H5261" s="10" t="n">
        <v>168</v>
      </c>
      <c r="I5261" s="10" t="n">
        <v>62</v>
      </c>
      <c r="J5261" s="10" t="n">
        <v>0</v>
      </c>
      <c r="K5261" s="10" t="s">
        <v>20</v>
      </c>
      <c r="L5261" s="11" t="n">
        <v>42935.0497222222</v>
      </c>
      <c r="M5261" s="12" t="s">
        <v>12304</v>
      </c>
      <c r="N5261" s="12" t="s">
        <v>12305</v>
      </c>
      <c r="O5261" s="9" t="str">
        <f aca="false">HYPERLINK("https://abs.twimg.com/sticky/default_profile_images/default_profile_normal.png","View")</f>
        <v>View</v>
      </c>
      <c r="P5261" s="10"/>
    </row>
    <row r="5262" customFormat="false" ht="15.75" hidden="false" customHeight="false" outlineLevel="0" collapsed="false">
      <c r="A5262" s="6" t="n">
        <v>43030.89875</v>
      </c>
      <c r="B5262" s="7" t="str">
        <f aca="false">HYPERLINK("https://twitter.com/Venusrinivasan","@Venusrinivasan")</f>
        <v>@Venusrinivasan</v>
      </c>
      <c r="C5262" s="8" t="s">
        <v>12306</v>
      </c>
      <c r="D5262" s="8" t="s">
        <v>8538</v>
      </c>
      <c r="E5262" s="9" t="str">
        <f aca="false">HYPERLINK("https://twitter.com/Venusrinivasan/status/922320227232137216","922320227232137216")</f>
        <v>922320227232137216</v>
      </c>
      <c r="F5262" s="10" t="s">
        <v>25</v>
      </c>
      <c r="G5262" s="10" t="n">
        <v>53</v>
      </c>
      <c r="H5262" s="10" t="n">
        <v>213</v>
      </c>
      <c r="I5262" s="10" t="n">
        <v>1015</v>
      </c>
      <c r="J5262" s="10" t="n">
        <v>0</v>
      </c>
      <c r="K5262" s="10" t="s">
        <v>20</v>
      </c>
      <c r="L5262" s="11" t="n">
        <v>41864.0295833333</v>
      </c>
      <c r="M5262" s="12" t="s">
        <v>3588</v>
      </c>
      <c r="N5262" s="12" t="s">
        <v>12307</v>
      </c>
      <c r="O5262" s="9" t="str">
        <f aca="false">HYPERLINK("https://pbs.twimg.com/profile_images/919838194333396992/8Jftd0jA_normal.jpg","View")</f>
        <v>View</v>
      </c>
      <c r="P5262" s="10"/>
    </row>
    <row r="5263" customFormat="false" ht="15.75" hidden="false" customHeight="false" outlineLevel="0" collapsed="false">
      <c r="A5263" s="6" t="n">
        <v>43030.8988310185</v>
      </c>
      <c r="B5263" s="7" t="str">
        <f aca="false">HYPERLINK("https://twitter.com/Phikness","@Phikness")</f>
        <v>@Phikness</v>
      </c>
      <c r="C5263" s="8" t="s">
        <v>12308</v>
      </c>
      <c r="D5263" s="8" t="s">
        <v>8538</v>
      </c>
      <c r="E5263" s="9" t="str">
        <f aca="false">HYPERLINK("https://twitter.com/Phikness/status/922320254373543936","922320254373543936")</f>
        <v>922320254373543936</v>
      </c>
      <c r="F5263" s="10" t="s">
        <v>25</v>
      </c>
      <c r="G5263" s="10" t="n">
        <v>140</v>
      </c>
      <c r="H5263" s="10" t="n">
        <v>380</v>
      </c>
      <c r="I5263" s="10" t="n">
        <v>1015</v>
      </c>
      <c r="J5263" s="10" t="n">
        <v>0</v>
      </c>
      <c r="K5263" s="10" t="s">
        <v>20</v>
      </c>
      <c r="L5263" s="11" t="n">
        <v>42417.4151967593</v>
      </c>
      <c r="M5263" s="12" t="s">
        <v>12309</v>
      </c>
      <c r="N5263" s="12" t="s">
        <v>12310</v>
      </c>
      <c r="O5263" s="9" t="str">
        <f aca="false">HYPERLINK("https://pbs.twimg.com/profile_images/827460386043678721/GtOo6ayQ_normal.jpg","View")</f>
        <v>View</v>
      </c>
      <c r="P5263" s="10"/>
    </row>
    <row r="5264" customFormat="false" ht="15.75" hidden="false" customHeight="false" outlineLevel="0" collapsed="false">
      <c r="A5264" s="6" t="n">
        <v>43030.8990509259</v>
      </c>
      <c r="B5264" s="7" t="str">
        <f aca="false">HYPERLINK("https://twitter.com/TweetendraWagh","@TweetendraWagh")</f>
        <v>@TweetendraWagh</v>
      </c>
      <c r="C5264" s="8" t="s">
        <v>12311</v>
      </c>
      <c r="D5264" s="8" t="s">
        <v>8538</v>
      </c>
      <c r="E5264" s="9" t="str">
        <f aca="false">HYPERLINK("https://twitter.com/TweetendraWagh/status/922320335914938368","922320335914938368")</f>
        <v>922320335914938368</v>
      </c>
      <c r="F5264" s="10" t="s">
        <v>25</v>
      </c>
      <c r="G5264" s="10" t="n">
        <v>69</v>
      </c>
      <c r="H5264" s="10" t="n">
        <v>168</v>
      </c>
      <c r="I5264" s="10" t="n">
        <v>1015</v>
      </c>
      <c r="J5264" s="10" t="n">
        <v>0</v>
      </c>
      <c r="K5264" s="10" t="s">
        <v>20</v>
      </c>
      <c r="L5264" s="11" t="n">
        <v>42633.0146412037</v>
      </c>
      <c r="M5264" s="12" t="s">
        <v>12312</v>
      </c>
      <c r="N5264" s="12" t="s">
        <v>9274</v>
      </c>
      <c r="O5264" s="9" t="str">
        <f aca="false">HYPERLINK("https://pbs.twimg.com/profile_images/866288693283368960/dzliFzG9_normal.jpg","View")</f>
        <v>View</v>
      </c>
      <c r="P5264" s="10"/>
    </row>
    <row r="5265" customFormat="false" ht="15.75" hidden="false" customHeight="false" outlineLevel="0" collapsed="false">
      <c r="A5265" s="6" t="n">
        <v>43030.8993055556</v>
      </c>
      <c r="B5265" s="7" t="str">
        <f aca="false">HYPERLINK("https://twitter.com/PappuGsays","@PappuGsays")</f>
        <v>@PappuGsays</v>
      </c>
      <c r="C5265" s="8" t="s">
        <v>12313</v>
      </c>
      <c r="D5265" s="8" t="s">
        <v>8538</v>
      </c>
      <c r="E5265" s="9" t="str">
        <f aca="false">HYPERLINK("https://twitter.com/PappuGsays/status/922320428462428160","922320428462428160")</f>
        <v>922320428462428160</v>
      </c>
      <c r="F5265" s="10" t="s">
        <v>25</v>
      </c>
      <c r="G5265" s="10" t="n">
        <v>170</v>
      </c>
      <c r="H5265" s="10" t="n">
        <v>84</v>
      </c>
      <c r="I5265" s="10" t="n">
        <v>1015</v>
      </c>
      <c r="J5265" s="10" t="n">
        <v>0</v>
      </c>
      <c r="K5265" s="10" t="s">
        <v>20</v>
      </c>
      <c r="L5265" s="11" t="n">
        <v>41678.0350694444</v>
      </c>
      <c r="M5265" s="12" t="s">
        <v>2340</v>
      </c>
      <c r="N5265" s="12" t="s">
        <v>12314</v>
      </c>
      <c r="O5265" s="9" t="str">
        <f aca="false">HYPERLINK("https://pbs.twimg.com/profile_images/432078269936975872/SngfqU3I_normal.jpeg","View")</f>
        <v>View</v>
      </c>
      <c r="P5265" s="10"/>
    </row>
    <row r="5266" customFormat="false" ht="15.75" hidden="false" customHeight="false" outlineLevel="0" collapsed="false">
      <c r="A5266" s="6" t="n">
        <v>43030.8993287037</v>
      </c>
      <c r="B5266" s="7" t="str">
        <f aca="false">HYPERLINK("https://twitter.com/priyank3089","@priyank3089")</f>
        <v>@priyank3089</v>
      </c>
      <c r="C5266" s="8" t="s">
        <v>12315</v>
      </c>
      <c r="D5266" s="8" t="s">
        <v>12200</v>
      </c>
      <c r="E5266" s="9" t="str">
        <f aca="false">HYPERLINK("https://twitter.com/priyank3089/status/922320438054633478","922320438054633478")</f>
        <v>922320438054633478</v>
      </c>
      <c r="F5266" s="10" t="s">
        <v>25</v>
      </c>
      <c r="G5266" s="10" t="n">
        <v>401</v>
      </c>
      <c r="H5266" s="10" t="n">
        <v>697</v>
      </c>
      <c r="I5266" s="10" t="n">
        <v>4</v>
      </c>
      <c r="J5266" s="10" t="n">
        <v>0</v>
      </c>
      <c r="K5266" s="10" t="s">
        <v>20</v>
      </c>
      <c r="L5266" s="11" t="n">
        <v>40233.2220833333</v>
      </c>
      <c r="M5266" s="12" t="s">
        <v>12316</v>
      </c>
      <c r="N5266" s="12" t="s">
        <v>12317</v>
      </c>
      <c r="O5266" s="9" t="str">
        <f aca="false">HYPERLINK("https://pbs.twimg.com/profile_images/810424742159097856/JXh2oL4L_normal.jpg","View")</f>
        <v>View</v>
      </c>
      <c r="P5266" s="10"/>
    </row>
    <row r="5267" customFormat="false" ht="15.75" hidden="false" customHeight="false" outlineLevel="0" collapsed="false">
      <c r="A5267" s="6" t="n">
        <v>43030.899375</v>
      </c>
      <c r="B5267" s="7" t="str">
        <f aca="false">HYPERLINK("https://twitter.com/WorldNewsGPS","@WorldNewsGPS")</f>
        <v>@WorldNewsGPS</v>
      </c>
      <c r="C5267" s="8" t="s">
        <v>2573</v>
      </c>
      <c r="D5267" s="8" t="s">
        <v>12318</v>
      </c>
      <c r="E5267" s="9" t="str">
        <f aca="false">HYPERLINK("https://twitter.com/WorldNewsGPS/status/922320452684431361","922320452684431361")</f>
        <v>922320452684431361</v>
      </c>
      <c r="F5267" s="9" t="s">
        <v>1147</v>
      </c>
      <c r="G5267" s="10" t="n">
        <v>5082</v>
      </c>
      <c r="H5267" s="10" t="n">
        <v>3634</v>
      </c>
      <c r="I5267" s="10" t="n">
        <v>0</v>
      </c>
      <c r="J5267" s="10" t="n">
        <v>0</v>
      </c>
      <c r="K5267" s="10" t="s">
        <v>20</v>
      </c>
      <c r="L5267" s="11" t="n">
        <v>41855.6448263889</v>
      </c>
      <c r="M5267" s="12" t="s">
        <v>2575</v>
      </c>
      <c r="N5267" s="12" t="s">
        <v>2576</v>
      </c>
      <c r="O5267" s="9" t="str">
        <f aca="false">HYPERLINK("https://pbs.twimg.com/profile_images/923461394355257344/b0o17ueG_normal.jpg","View")</f>
        <v>View</v>
      </c>
      <c r="P5267" s="10"/>
    </row>
    <row r="5268" customFormat="false" ht="15.75" hidden="false" customHeight="false" outlineLevel="0" collapsed="false">
      <c r="A5268" s="6" t="n">
        <v>43030.8995023148</v>
      </c>
      <c r="B5268" s="7" t="str">
        <f aca="false">HYPERLINK("https://twitter.com/revolution_fr","@revolution_fr")</f>
        <v>@revolution_fr</v>
      </c>
      <c r="C5268" s="8" t="s">
        <v>1579</v>
      </c>
      <c r="D5268" s="8" t="s">
        <v>12319</v>
      </c>
      <c r="E5268" s="9" t="str">
        <f aca="false">HYPERLINK("https://twitter.com/revolution_fr/status/922320498679336961","922320498679336961")</f>
        <v>922320498679336961</v>
      </c>
      <c r="F5268" s="10" t="s">
        <v>98</v>
      </c>
      <c r="G5268" s="10" t="n">
        <v>2663</v>
      </c>
      <c r="H5268" s="10" t="n">
        <v>3625</v>
      </c>
      <c r="I5268" s="10" t="n">
        <v>2</v>
      </c>
      <c r="J5268" s="10" t="n">
        <v>0</v>
      </c>
      <c r="K5268" s="10" t="s">
        <v>20</v>
      </c>
      <c r="L5268" s="11" t="n">
        <v>42400.3124305556</v>
      </c>
      <c r="M5268" s="12" t="s">
        <v>1580</v>
      </c>
      <c r="N5268" s="12" t="s">
        <v>1581</v>
      </c>
      <c r="O5268" s="9" t="str">
        <f aca="false">HYPERLINK("https://pbs.twimg.com/profile_images/912005330749575173/gmtBFZtv_normal.jpg","View")</f>
        <v>View</v>
      </c>
      <c r="P5268" s="10"/>
    </row>
    <row r="5269" customFormat="false" ht="15.75" hidden="false" customHeight="false" outlineLevel="0" collapsed="false">
      <c r="A5269" s="6" t="n">
        <v>43030.899537037</v>
      </c>
      <c r="B5269" s="7" t="str">
        <f aca="false">HYPERLINK("https://twitter.com/amitj3","@amitj3")</f>
        <v>@amitj3</v>
      </c>
      <c r="C5269" s="8" t="s">
        <v>6680</v>
      </c>
      <c r="D5269" s="8" t="s">
        <v>8538</v>
      </c>
      <c r="E5269" s="9" t="str">
        <f aca="false">HYPERLINK("https://twitter.com/amitj3/status/922320510112763904","922320510112763904")</f>
        <v>922320510112763904</v>
      </c>
      <c r="F5269" s="10" t="s">
        <v>25</v>
      </c>
      <c r="G5269" s="10" t="n">
        <v>532</v>
      </c>
      <c r="H5269" s="10" t="n">
        <v>899</v>
      </c>
      <c r="I5269" s="10" t="n">
        <v>1015</v>
      </c>
      <c r="J5269" s="10" t="n">
        <v>0</v>
      </c>
      <c r="K5269" s="10" t="s">
        <v>20</v>
      </c>
      <c r="L5269" s="11" t="n">
        <v>40539.8352083333</v>
      </c>
      <c r="M5269" s="12" t="s">
        <v>6681</v>
      </c>
      <c r="N5269" s="12" t="s">
        <v>6682</v>
      </c>
      <c r="O5269" s="9" t="str">
        <f aca="false">HYPERLINK("https://abs.twimg.com/sticky/default_profile_images/default_profile_normal.png","View")</f>
        <v>View</v>
      </c>
      <c r="P5269" s="10"/>
    </row>
    <row r="5270" customFormat="false" ht="15.75" hidden="false" customHeight="false" outlineLevel="0" collapsed="false">
      <c r="A5270" s="6" t="n">
        <v>43030.8996875</v>
      </c>
      <c r="B5270" s="7" t="str">
        <f aca="false">HYPERLINK("https://twitter.com/CoonNathan","@CoonNathan")</f>
        <v>@CoonNathan</v>
      </c>
      <c r="C5270" s="8" t="s">
        <v>12320</v>
      </c>
      <c r="D5270" s="8" t="s">
        <v>11033</v>
      </c>
      <c r="E5270" s="9" t="str">
        <f aca="false">HYPERLINK("https://twitter.com/CoonNathan/status/922320564366336000","922320564366336000")</f>
        <v>922320564366336000</v>
      </c>
      <c r="F5270" s="10" t="s">
        <v>51</v>
      </c>
      <c r="G5270" s="10" t="n">
        <v>195</v>
      </c>
      <c r="H5270" s="10" t="n">
        <v>470</v>
      </c>
      <c r="I5270" s="10" t="n">
        <v>60</v>
      </c>
      <c r="J5270" s="10" t="n">
        <v>0</v>
      </c>
      <c r="K5270" s="10" t="s">
        <v>20</v>
      </c>
      <c r="L5270" s="11" t="n">
        <v>40872.3567592593</v>
      </c>
      <c r="M5270" s="12" t="s">
        <v>230</v>
      </c>
      <c r="N5270" s="12" t="s">
        <v>12321</v>
      </c>
      <c r="O5270" s="9" t="str">
        <f aca="false">HYPERLINK("https://pbs.twimg.com/profile_images/761070030029099009/6b4Mx6cL_normal.jpg","View")</f>
        <v>View</v>
      </c>
      <c r="P5270" s="10"/>
    </row>
    <row r="5271" customFormat="false" ht="15.75" hidden="false" customHeight="false" outlineLevel="0" collapsed="false">
      <c r="A5271" s="6" t="n">
        <v>43030.8996875</v>
      </c>
      <c r="B5271" s="7" t="str">
        <f aca="false">HYPERLINK("https://twitter.com/HaileHagos11","@HaileHagos11")</f>
        <v>@HaileHagos11</v>
      </c>
      <c r="C5271" s="8" t="s">
        <v>12322</v>
      </c>
      <c r="D5271" s="8" t="s">
        <v>12323</v>
      </c>
      <c r="E5271" s="9" t="str">
        <f aca="false">HYPERLINK("https://twitter.com/HaileHagos11/status/922320566115229696","922320566115229696")</f>
        <v>922320566115229696</v>
      </c>
      <c r="F5271" s="10" t="s">
        <v>51</v>
      </c>
      <c r="G5271" s="10" t="n">
        <v>56</v>
      </c>
      <c r="H5271" s="10" t="n">
        <v>190</v>
      </c>
      <c r="I5271" s="10" t="n">
        <v>0</v>
      </c>
      <c r="J5271" s="10" t="n">
        <v>0</v>
      </c>
      <c r="K5271" s="10" t="s">
        <v>20</v>
      </c>
      <c r="L5271" s="11" t="n">
        <v>42780.6317361111</v>
      </c>
      <c r="M5271" s="12"/>
      <c r="N5271" s="12"/>
      <c r="O5271" s="9" t="str">
        <f aca="false">HYPERLINK("https://pbs.twimg.com/profile_images/869654359717560321/yufEIxjY_normal.jpg","View")</f>
        <v>View</v>
      </c>
      <c r="P5271" s="10"/>
    </row>
    <row r="5272" customFormat="false" ht="15.75" hidden="false" customHeight="false" outlineLevel="0" collapsed="false">
      <c r="A5272" s="6" t="n">
        <v>43030.9000231482</v>
      </c>
      <c r="B5272" s="7" t="str">
        <f aca="false">HYPERLINK("https://twitter.com/ibtimes_india","@ibtimes_india")</f>
        <v>@ibtimes_india</v>
      </c>
      <c r="C5272" s="8" t="s">
        <v>12324</v>
      </c>
      <c r="D5272" s="8" t="s">
        <v>12325</v>
      </c>
      <c r="E5272" s="9" t="str">
        <f aca="false">HYPERLINK("https://twitter.com/ibtimes_india/status/922320688706338816","922320688706338816")</f>
        <v>922320688706338816</v>
      </c>
      <c r="F5272" s="10" t="s">
        <v>276</v>
      </c>
      <c r="G5272" s="10" t="n">
        <v>15574</v>
      </c>
      <c r="H5272" s="10" t="n">
        <v>89</v>
      </c>
      <c r="I5272" s="10" t="n">
        <v>7</v>
      </c>
      <c r="J5272" s="10" t="n">
        <v>0</v>
      </c>
      <c r="K5272" s="10" t="s">
        <v>20</v>
      </c>
      <c r="L5272" s="11" t="n">
        <v>40849.5737962963</v>
      </c>
      <c r="M5272" s="12" t="s">
        <v>72</v>
      </c>
      <c r="N5272" s="12" t="s">
        <v>12326</v>
      </c>
      <c r="O5272" s="9" t="str">
        <f aca="false">HYPERLINK("https://pbs.twimg.com/profile_images/705285891959336960/lT4LKQyH_normal.jpg","View")</f>
        <v>View</v>
      </c>
      <c r="P5272" s="10"/>
    </row>
    <row r="5273" customFormat="false" ht="15.75" hidden="false" customHeight="false" outlineLevel="0" collapsed="false">
      <c r="A5273" s="6" t="n">
        <v>43030.9000925926</v>
      </c>
      <c r="B5273" s="7" t="str">
        <f aca="false">HYPERLINK("https://twitter.com/FinanzLinksAsia","@FinanzLinksAsia")</f>
        <v>@FinanzLinksAsia</v>
      </c>
      <c r="C5273" s="8" t="s">
        <v>12231</v>
      </c>
      <c r="D5273" s="8" t="s">
        <v>12327</v>
      </c>
      <c r="E5273" s="9" t="str">
        <f aca="false">HYPERLINK("https://twitter.com/FinanzLinksAsia/status/922320713893036032","922320713893036032")</f>
        <v>922320713893036032</v>
      </c>
      <c r="F5273" s="9" t="s">
        <v>1147</v>
      </c>
      <c r="G5273" s="10" t="n">
        <v>706</v>
      </c>
      <c r="H5273" s="10" t="n">
        <v>46</v>
      </c>
      <c r="I5273" s="10" t="n">
        <v>0</v>
      </c>
      <c r="J5273" s="10" t="n">
        <v>0</v>
      </c>
      <c r="K5273" s="10" t="s">
        <v>20</v>
      </c>
      <c r="L5273" s="11" t="n">
        <v>41327.4011342593</v>
      </c>
      <c r="M5273" s="12"/>
      <c r="N5273" s="12" t="s">
        <v>12233</v>
      </c>
      <c r="O5273" s="9" t="str">
        <f aca="false">HYPERLINK("https://pbs.twimg.com/profile_images/3292714860/542dc32aa555a2c7b6316aca2f091f87_normal.png","View")</f>
        <v>View</v>
      </c>
      <c r="P5273" s="10"/>
    </row>
    <row r="5274" customFormat="false" ht="15.75" hidden="false" customHeight="false" outlineLevel="0" collapsed="false">
      <c r="A5274" s="6" t="n">
        <v>43030.9001967593</v>
      </c>
      <c r="B5274" s="7" t="str">
        <f aca="false">HYPERLINK("https://twitter.com/srijai","@srijai")</f>
        <v>@srijai</v>
      </c>
      <c r="C5274" s="8" t="s">
        <v>12328</v>
      </c>
      <c r="D5274" s="8" t="s">
        <v>8538</v>
      </c>
      <c r="E5274" s="9" t="str">
        <f aca="false">HYPERLINK("https://twitter.com/srijai/status/922320752459759616","922320752459759616")</f>
        <v>922320752459759616</v>
      </c>
      <c r="F5274" s="10" t="s">
        <v>25</v>
      </c>
      <c r="G5274" s="10" t="n">
        <v>553</v>
      </c>
      <c r="H5274" s="10" t="n">
        <v>1316</v>
      </c>
      <c r="I5274" s="10" t="n">
        <v>1015</v>
      </c>
      <c r="J5274" s="10" t="n">
        <v>0</v>
      </c>
      <c r="K5274" s="10" t="s">
        <v>20</v>
      </c>
      <c r="L5274" s="11" t="n">
        <v>40060.4326157407</v>
      </c>
      <c r="M5274" s="12" t="s">
        <v>3588</v>
      </c>
      <c r="N5274" s="12" t="s">
        <v>12329</v>
      </c>
      <c r="O5274" s="9" t="str">
        <f aca="false">HYPERLINK("https://pbs.twimg.com/profile_images/2633312733/fbd6cc9e25e7b71e6ec4b859e2d8f1d5_normal.jpeg","View")</f>
        <v>View</v>
      </c>
      <c r="P5274" s="10"/>
    </row>
    <row r="5275" customFormat="false" ht="15.75" hidden="false" customHeight="false" outlineLevel="0" collapsed="false">
      <c r="A5275" s="6" t="n">
        <v>43030.9003587963</v>
      </c>
      <c r="B5275" s="7" t="str">
        <f aca="false">HYPERLINK("https://twitter.com/kapildsharma","@kapildsharma")</f>
        <v>@kapildsharma</v>
      </c>
      <c r="C5275" s="8" t="s">
        <v>12330</v>
      </c>
      <c r="D5275" s="8" t="s">
        <v>8538</v>
      </c>
      <c r="E5275" s="9" t="str">
        <f aca="false">HYPERLINK("https://twitter.com/kapildsharma/status/922320807740678145","922320807740678145")</f>
        <v>922320807740678145</v>
      </c>
      <c r="F5275" s="10" t="s">
        <v>25</v>
      </c>
      <c r="G5275" s="10" t="n">
        <v>618</v>
      </c>
      <c r="H5275" s="10" t="n">
        <v>667</v>
      </c>
      <c r="I5275" s="10" t="n">
        <v>1015</v>
      </c>
      <c r="J5275" s="10" t="n">
        <v>0</v>
      </c>
      <c r="K5275" s="10" t="s">
        <v>20</v>
      </c>
      <c r="L5275" s="11" t="n">
        <v>40374.054537037</v>
      </c>
      <c r="M5275" s="12" t="s">
        <v>12331</v>
      </c>
      <c r="N5275" s="12" t="s">
        <v>12332</v>
      </c>
      <c r="O5275" s="9" t="str">
        <f aca="false">HYPERLINK("https://pbs.twimg.com/profile_images/511752388013608960/T99m8nPs_normal.png","View")</f>
        <v>View</v>
      </c>
      <c r="P5275" s="10"/>
    </row>
    <row r="5276" customFormat="false" ht="15.75" hidden="false" customHeight="false" outlineLevel="0" collapsed="false">
      <c r="A5276" s="6" t="n">
        <v>43030.9006712963</v>
      </c>
      <c r="B5276" s="7" t="str">
        <f aca="false">HYPERLINK("https://twitter.com/1mpeople","@1mpeople")</f>
        <v>@1mpeople</v>
      </c>
      <c r="C5276" s="8" t="s">
        <v>12333</v>
      </c>
      <c r="D5276" s="8" t="s">
        <v>12334</v>
      </c>
      <c r="E5276" s="9" t="str">
        <f aca="false">HYPERLINK("https://twitter.com/1mpeople/status/922320924531027968","922320924531027968")</f>
        <v>922320924531027968</v>
      </c>
      <c r="F5276" s="10" t="s">
        <v>12335</v>
      </c>
      <c r="G5276" s="10" t="n">
        <v>432</v>
      </c>
      <c r="H5276" s="10" t="n">
        <v>75</v>
      </c>
      <c r="I5276" s="10" t="n">
        <v>0</v>
      </c>
      <c r="J5276" s="10" t="n">
        <v>0</v>
      </c>
      <c r="K5276" s="10" t="s">
        <v>20</v>
      </c>
      <c r="L5276" s="11" t="n">
        <v>40963.7422800926</v>
      </c>
      <c r="M5276" s="12" t="s">
        <v>4425</v>
      </c>
      <c r="N5276" s="12" t="s">
        <v>12336</v>
      </c>
      <c r="O5276" s="9" t="str">
        <f aca="false">HYPERLINK("https://pbs.twimg.com/profile_images/751306967222595588/QR17H4xP_normal.jpg","View")</f>
        <v>View</v>
      </c>
      <c r="P5276" s="10"/>
    </row>
    <row r="5277" customFormat="false" ht="15.75" hidden="false" customHeight="false" outlineLevel="0" collapsed="false">
      <c r="A5277" s="6" t="n">
        <v>43030.9010532407</v>
      </c>
      <c r="B5277" s="7" t="str">
        <f aca="false">HYPERLINK("https://twitter.com/yourbcagent","@yourbcagent")</f>
        <v>@yourbcagent</v>
      </c>
      <c r="C5277" s="8" t="s">
        <v>12337</v>
      </c>
      <c r="D5277" s="8" t="s">
        <v>12163</v>
      </c>
      <c r="E5277" s="9" t="str">
        <f aca="false">HYPERLINK("https://twitter.com/yourbcagent/status/922321061613465600","922321061613465600")</f>
        <v>922321061613465600</v>
      </c>
      <c r="F5277" s="10" t="s">
        <v>51</v>
      </c>
      <c r="G5277" s="10" t="n">
        <v>254</v>
      </c>
      <c r="H5277" s="10" t="n">
        <v>302</v>
      </c>
      <c r="I5277" s="10" t="n">
        <v>9</v>
      </c>
      <c r="J5277" s="10" t="n">
        <v>0</v>
      </c>
      <c r="K5277" s="10" t="s">
        <v>20</v>
      </c>
      <c r="L5277" s="11" t="n">
        <v>42073.9268055556</v>
      </c>
      <c r="M5277" s="12"/>
      <c r="N5277" s="12" t="s">
        <v>12338</v>
      </c>
      <c r="O5277" s="9" t="str">
        <f aca="false">HYPERLINK("https://pbs.twimg.com/profile_images/763172228267728897/xDvCcBTY_normal.jpg","View")</f>
        <v>View</v>
      </c>
      <c r="P5277" s="10"/>
    </row>
    <row r="5278" customFormat="false" ht="15.75" hidden="false" customHeight="false" outlineLevel="0" collapsed="false">
      <c r="A5278" s="6" t="n">
        <v>43030.9013425926</v>
      </c>
      <c r="B5278" s="7" t="str">
        <f aca="false">HYPERLINK("https://twitter.com/GeoffBent","@GeoffBent")</f>
        <v>@GeoffBent</v>
      </c>
      <c r="C5278" s="8" t="s">
        <v>12339</v>
      </c>
      <c r="D5278" s="8" t="s">
        <v>12340</v>
      </c>
      <c r="E5278" s="9" t="str">
        <f aca="false">HYPERLINK("https://twitter.com/GeoffBent/status/922321166634704896","922321166634704896")</f>
        <v>922321166634704896</v>
      </c>
      <c r="F5278" s="10" t="s">
        <v>39</v>
      </c>
      <c r="G5278" s="10" t="n">
        <v>189</v>
      </c>
      <c r="H5278" s="10" t="n">
        <v>740</v>
      </c>
      <c r="I5278" s="10" t="n">
        <v>0</v>
      </c>
      <c r="J5278" s="10" t="n">
        <v>0</v>
      </c>
      <c r="K5278" s="10" t="s">
        <v>20</v>
      </c>
      <c r="L5278" s="11" t="n">
        <v>39875.6085532407</v>
      </c>
      <c r="M5278" s="12" t="s">
        <v>2468</v>
      </c>
      <c r="N5278" s="12" t="s">
        <v>12341</v>
      </c>
      <c r="O5278" s="9" t="str">
        <f aca="false">HYPERLINK("https://pbs.twimg.com/profile_images/650235680367509504/iwmkAL-P_normal.jpg","View")</f>
        <v>View</v>
      </c>
      <c r="P5278" s="10"/>
    </row>
    <row r="5279" customFormat="false" ht="15.75" hidden="false" customHeight="false" outlineLevel="0" collapsed="false">
      <c r="A5279" s="6" t="n">
        <v>43030.9015856482</v>
      </c>
      <c r="B5279" s="7" t="str">
        <f aca="false">HYPERLINK("https://twitter.com/Deutschefinanzl","@Deutschefinanzl")</f>
        <v>@Deutschefinanzl</v>
      </c>
      <c r="C5279" s="8" t="s">
        <v>12342</v>
      </c>
      <c r="D5279" s="8" t="s">
        <v>12343</v>
      </c>
      <c r="E5279" s="9" t="str">
        <f aca="false">HYPERLINK("https://twitter.com/Deutschefinanzl/status/922321255147212800","922321255147212800")</f>
        <v>922321255147212800</v>
      </c>
      <c r="F5279" s="9" t="s">
        <v>979</v>
      </c>
      <c r="G5279" s="10" t="n">
        <v>20</v>
      </c>
      <c r="H5279" s="10" t="n">
        <v>168</v>
      </c>
      <c r="I5279" s="10" t="n">
        <v>0</v>
      </c>
      <c r="J5279" s="10" t="n">
        <v>0</v>
      </c>
      <c r="K5279" s="10" t="s">
        <v>20</v>
      </c>
      <c r="L5279" s="11" t="n">
        <v>42861.4285648148</v>
      </c>
      <c r="M5279" s="12" t="s">
        <v>12344</v>
      </c>
      <c r="N5279" s="12" t="s">
        <v>12345</v>
      </c>
      <c r="O5279" s="9" t="str">
        <f aca="false">HYPERLINK("https://pbs.twimg.com/profile_images/863706280451559424/Nht5NHJA_normal.jpg","View")</f>
        <v>View</v>
      </c>
      <c r="P5279" s="10"/>
    </row>
    <row r="5280" customFormat="false" ht="15.75" hidden="false" customHeight="false" outlineLevel="0" collapsed="false">
      <c r="A5280" s="6" t="n">
        <v>43030.9017013889</v>
      </c>
      <c r="B5280" s="7" t="str">
        <f aca="false">HYPERLINK("https://twitter.com/AutomobilN","@AutomobilN")</f>
        <v>@AutomobilN</v>
      </c>
      <c r="C5280" s="8" t="s">
        <v>12346</v>
      </c>
      <c r="D5280" s="8" t="s">
        <v>12347</v>
      </c>
      <c r="E5280" s="9" t="str">
        <f aca="false">HYPERLINK("https://twitter.com/AutomobilN/status/922321295928430592","922321295928430592")</f>
        <v>922321295928430592</v>
      </c>
      <c r="F5280" s="9" t="s">
        <v>979</v>
      </c>
      <c r="G5280" s="10" t="n">
        <v>257</v>
      </c>
      <c r="H5280" s="10" t="n">
        <v>785</v>
      </c>
      <c r="I5280" s="10" t="n">
        <v>0</v>
      </c>
      <c r="J5280" s="10" t="n">
        <v>0</v>
      </c>
      <c r="K5280" s="10" t="s">
        <v>20</v>
      </c>
      <c r="L5280" s="11" t="n">
        <v>42767.3383101852</v>
      </c>
      <c r="M5280" s="12" t="s">
        <v>12344</v>
      </c>
      <c r="N5280" s="12" t="s">
        <v>12348</v>
      </c>
      <c r="O5280" s="9" t="str">
        <f aca="false">HYPERLINK("https://pbs.twimg.com/profile_images/827181212389240832/Ud8Bp8Vo_normal.jpg","View")</f>
        <v>View</v>
      </c>
      <c r="P5280" s="10"/>
    </row>
    <row r="5281" customFormat="false" ht="15.75" hidden="false" customHeight="false" outlineLevel="0" collapsed="false">
      <c r="A5281" s="6" t="n">
        <v>43030.9017361111</v>
      </c>
      <c r="B5281" s="7" t="str">
        <f aca="false">HYPERLINK("https://twitter.com/ketsuaru","@ketsuaru")</f>
        <v>@ketsuaru</v>
      </c>
      <c r="C5281" s="14" t="s">
        <v>1162</v>
      </c>
      <c r="D5281" s="8" t="s">
        <v>12349</v>
      </c>
      <c r="E5281" s="9" t="str">
        <f aca="false">HYPERLINK("https://twitter.com/ketsuaru/status/922321307693453312","922321307693453312")</f>
        <v>922321307693453312</v>
      </c>
      <c r="F5281" s="10" t="s">
        <v>60</v>
      </c>
      <c r="G5281" s="10" t="n">
        <v>4526</v>
      </c>
      <c r="H5281" s="10" t="n">
        <v>5001</v>
      </c>
      <c r="I5281" s="10" t="n">
        <v>0</v>
      </c>
      <c r="J5281" s="10" t="n">
        <v>0</v>
      </c>
      <c r="K5281" s="10" t="s">
        <v>20</v>
      </c>
      <c r="L5281" s="11" t="n">
        <v>40859.9072569445</v>
      </c>
      <c r="M5281" s="12"/>
      <c r="N5281" s="13" t="s">
        <v>12350</v>
      </c>
      <c r="O5281" s="9" t="str">
        <f aca="false">HYPERLINK("https://pbs.twimg.com/profile_images/596930542978797568/DER8Yztf_normal.jpg","View")</f>
        <v>View</v>
      </c>
      <c r="P5281" s="10"/>
    </row>
    <row r="5282" customFormat="false" ht="15.75" hidden="false" customHeight="false" outlineLevel="0" collapsed="false">
      <c r="A5282" s="6" t="n">
        <v>43030.9018634259</v>
      </c>
      <c r="B5282" s="7" t="str">
        <f aca="false">HYPERLINK("https://twitter.com/kamlesh2710","@kamlesh2710")</f>
        <v>@kamlesh2710</v>
      </c>
      <c r="C5282" s="8" t="s">
        <v>12351</v>
      </c>
      <c r="D5282" s="8" t="s">
        <v>8538</v>
      </c>
      <c r="E5282" s="9" t="str">
        <f aca="false">HYPERLINK("https://twitter.com/kamlesh2710/status/922321355822940161","922321355822940161")</f>
        <v>922321355822940161</v>
      </c>
      <c r="F5282" s="10" t="s">
        <v>25</v>
      </c>
      <c r="G5282" s="10" t="n">
        <v>1294</v>
      </c>
      <c r="H5282" s="10" t="n">
        <v>3074</v>
      </c>
      <c r="I5282" s="10" t="n">
        <v>1015</v>
      </c>
      <c r="J5282" s="10" t="n">
        <v>0</v>
      </c>
      <c r="K5282" s="10" t="s">
        <v>20</v>
      </c>
      <c r="L5282" s="11" t="n">
        <v>40625.9619097222</v>
      </c>
      <c r="M5282" s="12" t="s">
        <v>72</v>
      </c>
      <c r="N5282" s="12" t="s">
        <v>12352</v>
      </c>
      <c r="O5282" s="9" t="str">
        <f aca="false">HYPERLINK("https://pbs.twimg.com/profile_images/914447114016514048/qs95PmQN_normal.jpg","View")</f>
        <v>View</v>
      </c>
      <c r="P5282" s="10"/>
    </row>
    <row r="5283" customFormat="false" ht="15.75" hidden="false" customHeight="false" outlineLevel="0" collapsed="false">
      <c r="A5283" s="6" t="n">
        <v>43030.9020601852</v>
      </c>
      <c r="B5283" s="7" t="str">
        <f aca="false">HYPERLINK("https://twitter.com/hrishabhchourey","@hrishabhchourey")</f>
        <v>@hrishabhchourey</v>
      </c>
      <c r="C5283" s="8" t="s">
        <v>12353</v>
      </c>
      <c r="D5283" s="8" t="s">
        <v>4984</v>
      </c>
      <c r="E5283" s="9" t="str">
        <f aca="false">HYPERLINK("https://twitter.com/hrishabhchourey/status/922321427469963264","922321427469963264")</f>
        <v>922321427469963264</v>
      </c>
      <c r="F5283" s="10" t="s">
        <v>25</v>
      </c>
      <c r="G5283" s="10" t="n">
        <v>64</v>
      </c>
      <c r="H5283" s="10" t="n">
        <v>52</v>
      </c>
      <c r="I5283" s="10" t="n">
        <v>187</v>
      </c>
      <c r="J5283" s="10" t="n">
        <v>0</v>
      </c>
      <c r="K5283" s="10" t="s">
        <v>20</v>
      </c>
      <c r="L5283" s="11" t="n">
        <v>42306.3562268519</v>
      </c>
      <c r="M5283" s="12" t="s">
        <v>12354</v>
      </c>
      <c r="N5283" s="12" t="s">
        <v>12355</v>
      </c>
      <c r="O5283" s="9" t="str">
        <f aca="false">HYPERLINK("https://pbs.twimg.com/profile_images/817036789227589632/XbIWsAPc_normal.jpg","View")</f>
        <v>View</v>
      </c>
      <c r="P5283" s="10"/>
    </row>
    <row r="5284" customFormat="false" ht="15.75" hidden="false" customHeight="false" outlineLevel="0" collapsed="false">
      <c r="A5284" s="6" t="n">
        <v>43030.9022916667</v>
      </c>
      <c r="B5284" s="7" t="str">
        <f aca="false">HYPERLINK("https://twitter.com/Spiros209","@Spiros209")</f>
        <v>@Spiros209</v>
      </c>
      <c r="C5284" s="8" t="s">
        <v>12356</v>
      </c>
      <c r="D5284" s="8" t="s">
        <v>12357</v>
      </c>
      <c r="E5284" s="9" t="str">
        <f aca="false">HYPERLINK("https://twitter.com/Spiros209/status/922321511859539969","922321511859539969")</f>
        <v>922321511859539969</v>
      </c>
      <c r="F5284" s="10" t="s">
        <v>51</v>
      </c>
      <c r="G5284" s="10" t="n">
        <v>1708</v>
      </c>
      <c r="H5284" s="10" t="n">
        <v>1439</v>
      </c>
      <c r="I5284" s="10" t="n">
        <v>0</v>
      </c>
      <c r="J5284" s="10" t="n">
        <v>0</v>
      </c>
      <c r="K5284" s="10" t="s">
        <v>20</v>
      </c>
      <c r="L5284" s="11" t="n">
        <v>42177.2398726852</v>
      </c>
      <c r="M5284" s="12" t="s">
        <v>12358</v>
      </c>
      <c r="N5284" s="12" t="s">
        <v>12359</v>
      </c>
      <c r="O5284" s="9" t="str">
        <f aca="false">HYPERLINK("https://pbs.twimg.com/profile_images/696240645917253632/9EE-CQ-M_normal.png","View")</f>
        <v>View</v>
      </c>
      <c r="P5284" s="10"/>
    </row>
    <row r="5285" customFormat="false" ht="15.75" hidden="false" customHeight="false" outlineLevel="0" collapsed="false">
      <c r="A5285" s="6" t="n">
        <v>43030.9024537037</v>
      </c>
      <c r="B5285" s="7" t="str">
        <f aca="false">HYPERLINK("https://twitter.com/isumitksinha","@isumitksinha")</f>
        <v>@isumitksinha</v>
      </c>
      <c r="C5285" s="8" t="s">
        <v>855</v>
      </c>
      <c r="D5285" s="8" t="s">
        <v>12360</v>
      </c>
      <c r="E5285" s="9" t="str">
        <f aca="false">HYPERLINK("https://twitter.com/isumitksinha/status/922321566796566528","922321566796566528")</f>
        <v>922321566796566528</v>
      </c>
      <c r="F5285" s="10" t="s">
        <v>55</v>
      </c>
      <c r="G5285" s="10" t="n">
        <v>821</v>
      </c>
      <c r="H5285" s="10" t="n">
        <v>110</v>
      </c>
      <c r="I5285" s="10" t="n">
        <v>0</v>
      </c>
      <c r="J5285" s="10" t="n">
        <v>0</v>
      </c>
      <c r="K5285" s="10" t="s">
        <v>20</v>
      </c>
      <c r="L5285" s="11" t="n">
        <v>40211.2578125</v>
      </c>
      <c r="M5285" s="12" t="s">
        <v>857</v>
      </c>
      <c r="N5285" s="12" t="s">
        <v>858</v>
      </c>
      <c r="O5285" s="9" t="str">
        <f aca="false">HYPERLINK("https://pbs.twimg.com/profile_images/662292972654870528/N3kLvWAZ_normal.jpg","View")</f>
        <v>View</v>
      </c>
      <c r="P5285" s="10"/>
    </row>
    <row r="5286" customFormat="false" ht="15.75" hidden="false" customHeight="false" outlineLevel="0" collapsed="false">
      <c r="A5286" s="6" t="n">
        <v>43030.9025578704</v>
      </c>
      <c r="B5286" s="7" t="str">
        <f aca="false">HYPERLINK("https://twitter.com/Forex_warrior","@Forex_warrior")</f>
        <v>@Forex_warrior</v>
      </c>
      <c r="C5286" s="8" t="s">
        <v>12361</v>
      </c>
      <c r="D5286" s="8" t="s">
        <v>12362</v>
      </c>
      <c r="E5286" s="9" t="str">
        <f aca="false">HYPERLINK("https://twitter.com/Forex_warrior/status/922321606365630465","922321606365630465")</f>
        <v>922321606365630465</v>
      </c>
      <c r="F5286" s="10" t="s">
        <v>55</v>
      </c>
      <c r="G5286" s="10" t="n">
        <v>1725</v>
      </c>
      <c r="H5286" s="10" t="n">
        <v>26</v>
      </c>
      <c r="I5286" s="10" t="n">
        <v>0</v>
      </c>
      <c r="J5286" s="10" t="n">
        <v>0</v>
      </c>
      <c r="K5286" s="10" t="s">
        <v>20</v>
      </c>
      <c r="L5286" s="11" t="n">
        <v>41051.2822800926</v>
      </c>
      <c r="M5286" s="12" t="s">
        <v>12363</v>
      </c>
      <c r="N5286" s="12" t="s">
        <v>12364</v>
      </c>
      <c r="O5286" s="9" t="str">
        <f aca="false">HYPERLINK("https://pbs.twimg.com/profile_images/591477445829660673/csEYEomk_normal.png","View")</f>
        <v>View</v>
      </c>
      <c r="P5286" s="10"/>
    </row>
    <row r="5287" customFormat="false" ht="15.75" hidden="false" customHeight="false" outlineLevel="0" collapsed="false">
      <c r="A5287" s="6" t="n">
        <v>43030.9027662037</v>
      </c>
      <c r="B5287" s="7" t="str">
        <f aca="false">HYPERLINK("https://twitter.com/vxtandon","@vxtandon")</f>
        <v>@vxtandon</v>
      </c>
      <c r="C5287" s="8" t="s">
        <v>12365</v>
      </c>
      <c r="D5287" s="8" t="s">
        <v>8538</v>
      </c>
      <c r="E5287" s="9" t="str">
        <f aca="false">HYPERLINK("https://twitter.com/vxtandon/status/922321681552510976","922321681552510976")</f>
        <v>922321681552510976</v>
      </c>
      <c r="F5287" s="10" t="s">
        <v>39</v>
      </c>
      <c r="G5287" s="10" t="n">
        <v>1156</v>
      </c>
      <c r="H5287" s="10" t="n">
        <v>1928</v>
      </c>
      <c r="I5287" s="10" t="n">
        <v>1015</v>
      </c>
      <c r="J5287" s="10" t="n">
        <v>0</v>
      </c>
      <c r="K5287" s="10" t="s">
        <v>20</v>
      </c>
      <c r="L5287" s="11" t="n">
        <v>41646.1104861111</v>
      </c>
      <c r="M5287" s="12" t="s">
        <v>72</v>
      </c>
      <c r="N5287" s="12" t="s">
        <v>12366</v>
      </c>
      <c r="O5287" s="9" t="str">
        <f aca="false">HYPERLINK("https://pbs.twimg.com/profile_images/832598452391473153/rTAyXLu__normal.jpg","View")</f>
        <v>View</v>
      </c>
      <c r="P5287" s="10"/>
    </row>
    <row r="5288" customFormat="false" ht="15.75" hidden="false" customHeight="false" outlineLevel="0" collapsed="false">
      <c r="A5288" s="6" t="n">
        <v>43030.902962963</v>
      </c>
      <c r="B5288" s="7" t="str">
        <f aca="false">HYPERLINK("https://twitter.com/giviswa","@giviswa")</f>
        <v>@giviswa</v>
      </c>
      <c r="C5288" s="8" t="s">
        <v>12367</v>
      </c>
      <c r="D5288" s="8" t="s">
        <v>8538</v>
      </c>
      <c r="E5288" s="9" t="str">
        <f aca="false">HYPERLINK("https://twitter.com/giviswa/status/922321752830631936","922321752830631936")</f>
        <v>922321752830631936</v>
      </c>
      <c r="F5288" s="10" t="s">
        <v>39</v>
      </c>
      <c r="G5288" s="10" t="n">
        <v>148</v>
      </c>
      <c r="H5288" s="10" t="n">
        <v>57</v>
      </c>
      <c r="I5288" s="10" t="n">
        <v>1015</v>
      </c>
      <c r="J5288" s="10" t="n">
        <v>0</v>
      </c>
      <c r="K5288" s="10" t="s">
        <v>20</v>
      </c>
      <c r="L5288" s="11" t="n">
        <v>40840.0642708333</v>
      </c>
      <c r="M5288" s="12" t="s">
        <v>5883</v>
      </c>
      <c r="N5288" s="12"/>
      <c r="O5288" s="9" t="str">
        <f aca="false">HYPERLINK("https://pbs.twimg.com/profile_images/831439043539922944/OtP241Ay_normal.jpg","View")</f>
        <v>View</v>
      </c>
      <c r="P5288" s="10"/>
    </row>
    <row r="5289" customFormat="false" ht="15.75" hidden="false" customHeight="false" outlineLevel="0" collapsed="false">
      <c r="A5289" s="6" t="n">
        <v>43030.9032291667</v>
      </c>
      <c r="B5289" s="7" t="str">
        <f aca="false">HYPERLINK("https://twitter.com/Chisako331","@Chisako331")</f>
        <v>@Chisako331</v>
      </c>
      <c r="C5289" s="8" t="s">
        <v>3216</v>
      </c>
      <c r="D5289" s="8" t="s">
        <v>11418</v>
      </c>
      <c r="E5289" s="9" t="str">
        <f aca="false">HYPERLINK("https://twitter.com/Chisako331/status/922321848011931648","922321848011931648")</f>
        <v>922321848011931648</v>
      </c>
      <c r="F5289" s="10" t="s">
        <v>25</v>
      </c>
      <c r="G5289" s="10" t="n">
        <v>1183</v>
      </c>
      <c r="H5289" s="10" t="n">
        <v>921</v>
      </c>
      <c r="I5289" s="10" t="n">
        <v>38</v>
      </c>
      <c r="J5289" s="10" t="n">
        <v>0</v>
      </c>
      <c r="K5289" s="10" t="s">
        <v>20</v>
      </c>
      <c r="L5289" s="11" t="n">
        <v>41469.2274768519</v>
      </c>
      <c r="M5289" s="12" t="s">
        <v>574</v>
      </c>
      <c r="N5289" s="12" t="s">
        <v>3217</v>
      </c>
      <c r="O5289" s="9" t="str">
        <f aca="false">HYPERLINK("https://pbs.twimg.com/profile_images/860478805982367745/vpXP8SZ2_normal.jpg","View")</f>
        <v>View</v>
      </c>
      <c r="P5289" s="10"/>
    </row>
    <row r="5290" customFormat="false" ht="15.75" hidden="false" customHeight="false" outlineLevel="0" collapsed="false">
      <c r="A5290" s="6" t="n">
        <v>43030.9032638889</v>
      </c>
      <c r="B5290" s="7" t="str">
        <f aca="false">HYPERLINK("https://twitter.com/SpecGemini","@SpecGemini")</f>
        <v>@SpecGemini</v>
      </c>
      <c r="C5290" s="8" t="s">
        <v>12368</v>
      </c>
      <c r="D5290" s="8" t="s">
        <v>11418</v>
      </c>
      <c r="E5290" s="9" t="str">
        <f aca="false">HYPERLINK("https://twitter.com/SpecGemini/status/922321861937156096","922321861937156096")</f>
        <v>922321861937156096</v>
      </c>
      <c r="F5290" s="16" t="s">
        <v>12369</v>
      </c>
      <c r="G5290" s="10" t="n">
        <v>286</v>
      </c>
      <c r="H5290" s="10" t="n">
        <v>51</v>
      </c>
      <c r="I5290" s="10" t="n">
        <v>38</v>
      </c>
      <c r="J5290" s="10" t="n">
        <v>0</v>
      </c>
      <c r="K5290" s="10" t="s">
        <v>20</v>
      </c>
      <c r="L5290" s="11" t="n">
        <v>40292.8439930556</v>
      </c>
      <c r="M5290" s="12" t="s">
        <v>12370</v>
      </c>
      <c r="N5290" s="12" t="s">
        <v>12371</v>
      </c>
      <c r="O5290" s="9" t="str">
        <f aca="false">HYPERLINK("https://pbs.twimg.com/profile_images/1115231903/gemini-zodiac_normal.jpg","View")</f>
        <v>View</v>
      </c>
      <c r="P5290" s="10"/>
    </row>
    <row r="5291" customFormat="false" ht="15.75" hidden="false" customHeight="false" outlineLevel="0" collapsed="false">
      <c r="A5291" s="6" t="n">
        <v>43030.9045949074</v>
      </c>
      <c r="B5291" s="7" t="str">
        <f aca="false">HYPERLINK("https://twitter.com/Tanasho1122","@Tanasho1122")</f>
        <v>@Tanasho1122</v>
      </c>
      <c r="C5291" s="8" t="s">
        <v>11372</v>
      </c>
      <c r="D5291" s="8" t="s">
        <v>12372</v>
      </c>
      <c r="E5291" s="9" t="str">
        <f aca="false">HYPERLINK("https://twitter.com/Tanasho1122/status/922322345569673216","922322345569673216")</f>
        <v>922322345569673216</v>
      </c>
      <c r="F5291" s="10" t="s">
        <v>39</v>
      </c>
      <c r="G5291" s="10" t="n">
        <v>2247</v>
      </c>
      <c r="H5291" s="10" t="n">
        <v>1860</v>
      </c>
      <c r="I5291" s="10" t="n">
        <v>0</v>
      </c>
      <c r="J5291" s="10" t="n">
        <v>0</v>
      </c>
      <c r="K5291" s="10" t="s">
        <v>20</v>
      </c>
      <c r="L5291" s="11" t="n">
        <v>40278.5751967593</v>
      </c>
      <c r="M5291" s="12" t="s">
        <v>11373</v>
      </c>
      <c r="N5291" s="13" t="s">
        <v>11374</v>
      </c>
      <c r="O5291" s="9" t="str">
        <f aca="false">HYPERLINK("https://pbs.twimg.com/profile_images/416087461362548736/TCrja5Dk_normal.jpeg","View")</f>
        <v>View</v>
      </c>
      <c r="P5291" s="10"/>
    </row>
    <row r="5292" customFormat="false" ht="15.75" hidden="false" customHeight="false" outlineLevel="0" collapsed="false">
      <c r="A5292" s="6" t="n">
        <v>43030.904849537</v>
      </c>
      <c r="B5292" s="7" t="str">
        <f aca="false">HYPERLINK("https://twitter.com/APierianSpring","@APierianSpring")</f>
        <v>@APierianSpring</v>
      </c>
      <c r="C5292" s="8" t="s">
        <v>12373</v>
      </c>
      <c r="D5292" s="8" t="s">
        <v>12319</v>
      </c>
      <c r="E5292" s="9" t="str">
        <f aca="false">HYPERLINK("https://twitter.com/APierianSpring/status/922322436602949632","922322436602949632")</f>
        <v>922322436602949632</v>
      </c>
      <c r="F5292" s="10" t="s">
        <v>51</v>
      </c>
      <c r="G5292" s="10" t="n">
        <v>304</v>
      </c>
      <c r="H5292" s="10" t="n">
        <v>670</v>
      </c>
      <c r="I5292" s="10" t="n">
        <v>2</v>
      </c>
      <c r="J5292" s="10" t="n">
        <v>0</v>
      </c>
      <c r="K5292" s="10" t="s">
        <v>20</v>
      </c>
      <c r="L5292" s="11" t="n">
        <v>40622.9493981482</v>
      </c>
      <c r="M5292" s="12" t="s">
        <v>893</v>
      </c>
      <c r="N5292" s="12" t="s">
        <v>12374</v>
      </c>
      <c r="O5292" s="9" t="str">
        <f aca="false">HYPERLINK("https://pbs.twimg.com/profile_images/829967846042120192/1UqJRMjP_normal.jpg","View")</f>
        <v>View</v>
      </c>
      <c r="P5292" s="10"/>
    </row>
    <row r="5293" customFormat="false" ht="15.75" hidden="false" customHeight="false" outlineLevel="0" collapsed="false">
      <c r="A5293" s="6" t="n">
        <v>43030.9051041667</v>
      </c>
      <c r="B5293" s="7" t="str">
        <f aca="false">HYPERLINK("https://twitter.com/paragdamle7","@paragdamle7")</f>
        <v>@paragdamle7</v>
      </c>
      <c r="C5293" s="8" t="s">
        <v>12375</v>
      </c>
      <c r="D5293" s="8" t="s">
        <v>8538</v>
      </c>
      <c r="E5293" s="9" t="str">
        <f aca="false">HYPERLINK("https://twitter.com/paragdamle7/status/922322530735595520","922322530735595520")</f>
        <v>922322530735595520</v>
      </c>
      <c r="F5293" s="10" t="s">
        <v>25</v>
      </c>
      <c r="G5293" s="10" t="n">
        <v>120</v>
      </c>
      <c r="H5293" s="10" t="n">
        <v>445</v>
      </c>
      <c r="I5293" s="10" t="n">
        <v>1015</v>
      </c>
      <c r="J5293" s="10" t="n">
        <v>0</v>
      </c>
      <c r="K5293" s="10" t="s">
        <v>20</v>
      </c>
      <c r="L5293" s="11" t="n">
        <v>41471.3950347222</v>
      </c>
      <c r="M5293" s="12" t="s">
        <v>72</v>
      </c>
      <c r="N5293" s="12"/>
      <c r="O5293" s="9" t="str">
        <f aca="false">HYPERLINK("https://pbs.twimg.com/profile_images/378800000169758884/1e7c884f8840aa2c60cca59b3d37bc58_normal.jpeg","View")</f>
        <v>View</v>
      </c>
      <c r="P5293" s="10"/>
    </row>
    <row r="5294" customFormat="false" ht="15.75" hidden="false" customHeight="false" outlineLevel="0" collapsed="false">
      <c r="A5294" s="6" t="n">
        <v>43030.9054050926</v>
      </c>
      <c r="B5294" s="7" t="str">
        <f aca="false">HYPERLINK("https://twitter.com/Sunchartist","@Sunchartist")</f>
        <v>@Sunchartist</v>
      </c>
      <c r="C5294" s="8" t="s">
        <v>12376</v>
      </c>
      <c r="D5294" s="8" t="s">
        <v>12377</v>
      </c>
      <c r="E5294" s="9" t="str">
        <f aca="false">HYPERLINK("https://twitter.com/Sunchartist/status/922322638499753984","922322638499753984")</f>
        <v>922322638499753984</v>
      </c>
      <c r="F5294" s="10" t="s">
        <v>51</v>
      </c>
      <c r="G5294" s="10" t="n">
        <v>3900</v>
      </c>
      <c r="H5294" s="10" t="n">
        <v>543</v>
      </c>
      <c r="I5294" s="10" t="n">
        <v>2</v>
      </c>
      <c r="J5294" s="10" t="n">
        <v>3</v>
      </c>
      <c r="K5294" s="10" t="s">
        <v>20</v>
      </c>
      <c r="L5294" s="11" t="n">
        <v>39970.4483217593</v>
      </c>
      <c r="M5294" s="12" t="s">
        <v>68</v>
      </c>
      <c r="N5294" s="12" t="s">
        <v>12378</v>
      </c>
      <c r="O5294" s="9" t="str">
        <f aca="false">HYPERLINK("https://pbs.twimg.com/profile_images/911001029172387840/hYTxwsCf_normal.jpg","View")</f>
        <v>View</v>
      </c>
      <c r="P5294" s="10"/>
    </row>
    <row r="5295" customFormat="false" ht="15.75" hidden="false" customHeight="false" outlineLevel="0" collapsed="false">
      <c r="A5295" s="6" t="n">
        <v>43030.9056828704</v>
      </c>
      <c r="B5295" s="7" t="str">
        <f aca="false">HYPERLINK("https://twitter.com/pergamon69","@pergamon69")</f>
        <v>@pergamon69</v>
      </c>
      <c r="C5295" s="8" t="s">
        <v>12379</v>
      </c>
      <c r="D5295" s="8" t="s">
        <v>10414</v>
      </c>
      <c r="E5295" s="9" t="str">
        <f aca="false">HYPERLINK("https://twitter.com/pergamon69/status/922322738102128640","922322738102128640")</f>
        <v>922322738102128640</v>
      </c>
      <c r="F5295" s="10" t="s">
        <v>51</v>
      </c>
      <c r="G5295" s="10" t="n">
        <v>18</v>
      </c>
      <c r="H5295" s="10" t="n">
        <v>31</v>
      </c>
      <c r="I5295" s="10" t="n">
        <v>14</v>
      </c>
      <c r="J5295" s="10" t="n">
        <v>0</v>
      </c>
      <c r="K5295" s="10" t="s">
        <v>20</v>
      </c>
      <c r="L5295" s="11" t="n">
        <v>41320.377337963</v>
      </c>
      <c r="M5295" s="12" t="s">
        <v>12380</v>
      </c>
      <c r="N5295" s="12"/>
      <c r="O5295" s="9" t="str">
        <f aca="false">HYPERLINK("https://pbs.twimg.com/profile_images/840183047194570752/j6MuJdki_normal.jpg","View")</f>
        <v>View</v>
      </c>
      <c r="P5295" s="10"/>
    </row>
    <row r="5296" customFormat="false" ht="15.75" hidden="false" customHeight="false" outlineLevel="0" collapsed="false">
      <c r="A5296" s="6" t="n">
        <v>43030.9059259259</v>
      </c>
      <c r="B5296" s="7" t="str">
        <f aca="false">HYPERLINK("https://twitter.com/TopNyt","@TopNyt")</f>
        <v>@TopNyt</v>
      </c>
      <c r="C5296" s="8" t="s">
        <v>12381</v>
      </c>
      <c r="D5296" s="8" t="s">
        <v>12382</v>
      </c>
      <c r="E5296" s="9" t="str">
        <f aca="false">HYPERLINK("https://twitter.com/TopNyt/status/922322827432419329","922322827432419329")</f>
        <v>922322827432419329</v>
      </c>
      <c r="F5296" s="10" t="s">
        <v>60</v>
      </c>
      <c r="G5296" s="10" t="n">
        <v>85</v>
      </c>
      <c r="H5296" s="10" t="n">
        <v>18</v>
      </c>
      <c r="I5296" s="10" t="n">
        <v>0</v>
      </c>
      <c r="J5296" s="10" t="n">
        <v>0</v>
      </c>
      <c r="K5296" s="10" t="s">
        <v>20</v>
      </c>
      <c r="L5296" s="11" t="n">
        <v>41913.2266435185</v>
      </c>
      <c r="M5296" s="12" t="s">
        <v>12383</v>
      </c>
      <c r="N5296" s="12" t="s">
        <v>12384</v>
      </c>
      <c r="O5296" s="9" t="str">
        <f aca="false">HYPERLINK("https://pbs.twimg.com/profile_images/517316825961357312/ApgK9wz-_normal.jpeg","View")</f>
        <v>View</v>
      </c>
      <c r="P5296" s="10"/>
    </row>
    <row r="5297" customFormat="false" ht="15.75" hidden="false" customHeight="false" outlineLevel="0" collapsed="false">
      <c r="A5297" s="6" t="n">
        <v>43030.9062615741</v>
      </c>
      <c r="B5297" s="7" t="str">
        <f aca="false">HYPERLINK("https://twitter.com/ZeeNews","@ZeeNews")</f>
        <v>@ZeeNews</v>
      </c>
      <c r="C5297" s="8" t="s">
        <v>12385</v>
      </c>
      <c r="D5297" s="8" t="s">
        <v>12386</v>
      </c>
      <c r="E5297" s="9" t="str">
        <f aca="false">HYPERLINK("https://twitter.com/ZeeNews/status/922322949113372673","922322949113372673")</f>
        <v>922322949113372673</v>
      </c>
      <c r="F5297" s="10" t="s">
        <v>276</v>
      </c>
      <c r="G5297" s="10" t="n">
        <v>3676971</v>
      </c>
      <c r="H5297" s="10" t="n">
        <v>108</v>
      </c>
      <c r="I5297" s="10" t="n">
        <v>25</v>
      </c>
      <c r="J5297" s="10" t="n">
        <v>156</v>
      </c>
      <c r="K5297" s="10" t="s">
        <v>20</v>
      </c>
      <c r="L5297" s="11" t="n">
        <v>39793.9179976852</v>
      </c>
      <c r="M5297" s="12" t="s">
        <v>72</v>
      </c>
      <c r="N5297" s="12" t="s">
        <v>12387</v>
      </c>
      <c r="O5297" s="9" t="str">
        <f aca="false">HYPERLINK("https://pbs.twimg.com/profile_images/919586326067912704/_4LsQA6a_normal.jpg","View")</f>
        <v>View</v>
      </c>
      <c r="P5297" s="10"/>
    </row>
    <row r="5298" customFormat="false" ht="15.75" hidden="false" customHeight="false" outlineLevel="0" collapsed="false">
      <c r="A5298" s="6" t="n">
        <v>43030.9063888889</v>
      </c>
      <c r="B5298" s="7" t="str">
        <f aca="false">HYPERLINK("https://twitter.com/Sakpol_SE","@Sakpol_SE")</f>
        <v>@Sakpol_SE</v>
      </c>
      <c r="C5298" s="8" t="s">
        <v>12388</v>
      </c>
      <c r="D5298" s="8" t="s">
        <v>10414</v>
      </c>
      <c r="E5298" s="9" t="str">
        <f aca="false">HYPERLINK("https://twitter.com/Sakpol_SE/status/922322994571173888","922322994571173888")</f>
        <v>922322994571173888</v>
      </c>
      <c r="F5298" s="10" t="s">
        <v>12389</v>
      </c>
      <c r="G5298" s="10" t="n">
        <v>4395</v>
      </c>
      <c r="H5298" s="10" t="n">
        <v>0</v>
      </c>
      <c r="I5298" s="10" t="n">
        <v>14</v>
      </c>
      <c r="J5298" s="10" t="n">
        <v>0</v>
      </c>
      <c r="K5298" s="10" t="s">
        <v>20</v>
      </c>
      <c r="L5298" s="11" t="n">
        <v>41983.562962963</v>
      </c>
      <c r="M5298" s="12"/>
      <c r="N5298" s="12" t="s">
        <v>12390</v>
      </c>
      <c r="O5298" s="9" t="str">
        <f aca="false">HYPERLINK("https://pbs.twimg.com/profile_images/542794451618242560/Zr0QW-TQ_normal.jpeg","View")</f>
        <v>View</v>
      </c>
      <c r="P5298" s="10"/>
    </row>
    <row r="5299" customFormat="false" ht="15.75" hidden="false" customHeight="false" outlineLevel="0" collapsed="false">
      <c r="A5299" s="6" t="n">
        <v>43030.9065046296</v>
      </c>
      <c r="B5299" s="7" t="str">
        <f aca="false">HYPERLINK("https://twitter.com/AshishJaiin","@AshishJaiin")</f>
        <v>@AshishJaiin</v>
      </c>
      <c r="C5299" s="8" t="s">
        <v>12391</v>
      </c>
      <c r="D5299" s="8" t="s">
        <v>6558</v>
      </c>
      <c r="E5299" s="9" t="str">
        <f aca="false">HYPERLINK("https://twitter.com/AshishJaiin/status/922323037684359168","922323037684359168")</f>
        <v>922323037684359168</v>
      </c>
      <c r="F5299" s="10" t="s">
        <v>51</v>
      </c>
      <c r="G5299" s="10" t="n">
        <v>31</v>
      </c>
      <c r="H5299" s="10" t="n">
        <v>25</v>
      </c>
      <c r="I5299" s="10" t="n">
        <v>65</v>
      </c>
      <c r="J5299" s="10" t="n">
        <v>0</v>
      </c>
      <c r="K5299" s="10" t="s">
        <v>20</v>
      </c>
      <c r="L5299" s="11" t="n">
        <v>40759.4058449074</v>
      </c>
      <c r="M5299" s="12" t="s">
        <v>72</v>
      </c>
      <c r="N5299" s="12" t="s">
        <v>12392</v>
      </c>
      <c r="O5299" s="9" t="str">
        <f aca="false">HYPERLINK("https://abs.twimg.com/sticky/default_profile_images/default_profile_normal.png","View")</f>
        <v>View</v>
      </c>
      <c r="P5299" s="10"/>
    </row>
    <row r="5300" customFormat="false" ht="15.75" hidden="false" customHeight="false" outlineLevel="0" collapsed="false">
      <c r="A5300" s="6" t="n">
        <v>43030.9065856481</v>
      </c>
      <c r="B5300" s="7" t="str">
        <f aca="false">HYPERLINK("https://twitter.com/venkat_200910","@venkat_200910")</f>
        <v>@venkat_200910</v>
      </c>
      <c r="C5300" s="8" t="s">
        <v>12393</v>
      </c>
      <c r="D5300" s="8" t="s">
        <v>12394</v>
      </c>
      <c r="E5300" s="9" t="str">
        <f aca="false">HYPERLINK("https://twitter.com/venkat_200910/status/922323067900125184","922323067900125184")</f>
        <v>922323067900125184</v>
      </c>
      <c r="F5300" s="10" t="s">
        <v>39</v>
      </c>
      <c r="G5300" s="10" t="n">
        <v>142</v>
      </c>
      <c r="H5300" s="10" t="n">
        <v>247</v>
      </c>
      <c r="I5300" s="10" t="n">
        <v>0</v>
      </c>
      <c r="J5300" s="10" t="n">
        <v>0</v>
      </c>
      <c r="K5300" s="10" t="s">
        <v>20</v>
      </c>
      <c r="L5300" s="11" t="n">
        <v>40110.3981481482</v>
      </c>
      <c r="M5300" s="12" t="s">
        <v>5883</v>
      </c>
      <c r="N5300" s="12" t="s">
        <v>12395</v>
      </c>
      <c r="O5300" s="9" t="str">
        <f aca="false">HYPERLINK("https://pbs.twimg.com/profile_images/680226645660176384/o24kiKOj_normal.jpg","View")</f>
        <v>View</v>
      </c>
      <c r="P5300" s="10"/>
    </row>
    <row r="5301" customFormat="false" ht="15.75" hidden="false" customHeight="false" outlineLevel="0" collapsed="false">
      <c r="A5301" s="6" t="n">
        <v>43030.9068171296</v>
      </c>
      <c r="B5301" s="7" t="str">
        <f aca="false">HYPERLINK("https://twitter.com/cramas_ramasamy","@cramas_ramasamy")</f>
        <v>@cramas_ramasamy</v>
      </c>
      <c r="C5301" s="8" t="s">
        <v>12396</v>
      </c>
      <c r="D5301" s="8" t="s">
        <v>8538</v>
      </c>
      <c r="E5301" s="9" t="str">
        <f aca="false">HYPERLINK("https://twitter.com/cramas_ramasamy/status/922323149164773376","922323149164773376")</f>
        <v>922323149164773376</v>
      </c>
      <c r="F5301" s="10" t="s">
        <v>25</v>
      </c>
      <c r="G5301" s="10" t="n">
        <v>177</v>
      </c>
      <c r="H5301" s="10" t="n">
        <v>511</v>
      </c>
      <c r="I5301" s="10" t="n">
        <v>1015</v>
      </c>
      <c r="J5301" s="10" t="n">
        <v>0</v>
      </c>
      <c r="K5301" s="10" t="s">
        <v>20</v>
      </c>
      <c r="L5301" s="11" t="n">
        <v>42190.0969675926</v>
      </c>
      <c r="M5301" s="12" t="s">
        <v>72</v>
      </c>
      <c r="N5301" s="12"/>
      <c r="O5301" s="9" t="str">
        <f aca="false">HYPERLINK("https://abs.twimg.com/sticky/default_profile_images/default_profile_normal.png","View")</f>
        <v>View</v>
      </c>
      <c r="P5301" s="10"/>
    </row>
    <row r="5302" customFormat="false" ht="15.75" hidden="false" customHeight="false" outlineLevel="0" collapsed="false">
      <c r="A5302" s="6" t="n">
        <v>43030.906875</v>
      </c>
      <c r="B5302" s="7" t="str">
        <f aca="false">HYPERLINK("https://twitter.com/chenigaram","@chenigaram")</f>
        <v>@chenigaram</v>
      </c>
      <c r="C5302" s="8" t="s">
        <v>12397</v>
      </c>
      <c r="D5302" s="8" t="s">
        <v>12398</v>
      </c>
      <c r="E5302" s="9" t="str">
        <f aca="false">HYPERLINK("https://twitter.com/chenigaram/status/922323169792405504","922323169792405504")</f>
        <v>922323169792405504</v>
      </c>
      <c r="F5302" s="10" t="s">
        <v>25</v>
      </c>
      <c r="G5302" s="10" t="n">
        <v>27</v>
      </c>
      <c r="H5302" s="10" t="n">
        <v>488</v>
      </c>
      <c r="I5302" s="10" t="n">
        <v>25</v>
      </c>
      <c r="J5302" s="10" t="n">
        <v>0</v>
      </c>
      <c r="K5302" s="10" t="s">
        <v>20</v>
      </c>
      <c r="L5302" s="11" t="n">
        <v>42975.9047800926</v>
      </c>
      <c r="M5302" s="12" t="s">
        <v>12399</v>
      </c>
      <c r="N5302" s="12" t="s">
        <v>12400</v>
      </c>
      <c r="O5302" s="9" t="str">
        <f aca="false">HYPERLINK("https://pbs.twimg.com/profile_images/902729063063855106/zxNIeJlk_normal.jpg","View")</f>
        <v>View</v>
      </c>
      <c r="P5302" s="10"/>
    </row>
    <row r="5303" customFormat="false" ht="15.75" hidden="false" customHeight="false" outlineLevel="0" collapsed="false">
      <c r="A5303" s="6" t="n">
        <v>43030.9069212963</v>
      </c>
      <c r="B5303" s="7" t="str">
        <f aca="false">HYPERLINK("https://twitter.com/ImS_Ashok","@ImS_Ashok")</f>
        <v>@ImS_Ashok</v>
      </c>
      <c r="C5303" s="8" t="s">
        <v>12401</v>
      </c>
      <c r="D5303" s="8" t="s">
        <v>8538</v>
      </c>
      <c r="E5303" s="9" t="str">
        <f aca="false">HYPERLINK("https://twitter.com/ImS_Ashok/status/922323188540850177","922323188540850177")</f>
        <v>922323188540850177</v>
      </c>
      <c r="F5303" s="10" t="s">
        <v>25</v>
      </c>
      <c r="G5303" s="10" t="n">
        <v>47</v>
      </c>
      <c r="H5303" s="10" t="n">
        <v>82</v>
      </c>
      <c r="I5303" s="10" t="n">
        <v>1015</v>
      </c>
      <c r="J5303" s="10" t="n">
        <v>0</v>
      </c>
      <c r="K5303" s="10" t="s">
        <v>20</v>
      </c>
      <c r="L5303" s="11" t="n">
        <v>41652.9826967593</v>
      </c>
      <c r="M5303" s="12" t="s">
        <v>3588</v>
      </c>
      <c r="N5303" s="12" t="s">
        <v>12402</v>
      </c>
      <c r="O5303" s="9" t="str">
        <f aca="false">HYPERLINK("https://pbs.twimg.com/profile_images/920612766880108545/pbuEV8V4_normal.jpg","View")</f>
        <v>View</v>
      </c>
      <c r="P5303" s="10"/>
    </row>
    <row r="5304" customFormat="false" ht="15.75" hidden="false" customHeight="false" outlineLevel="0" collapsed="false">
      <c r="A5304" s="6" t="n">
        <v>43030.9070138889</v>
      </c>
      <c r="B5304" s="7" t="str">
        <f aca="false">HYPERLINK("https://twitter.com/Rudraputr","@Rudraputr")</f>
        <v>@Rudraputr</v>
      </c>
      <c r="C5304" s="8" t="s">
        <v>12403</v>
      </c>
      <c r="D5304" s="8" t="s">
        <v>12200</v>
      </c>
      <c r="E5304" s="9" t="str">
        <f aca="false">HYPERLINK("https://twitter.com/Rudraputr/status/922323219830280193","922323219830280193")</f>
        <v>922323219830280193</v>
      </c>
      <c r="F5304" s="10" t="s">
        <v>25</v>
      </c>
      <c r="G5304" s="10" t="n">
        <v>2783</v>
      </c>
      <c r="H5304" s="10" t="n">
        <v>4812</v>
      </c>
      <c r="I5304" s="10" t="n">
        <v>4</v>
      </c>
      <c r="J5304" s="10" t="n">
        <v>0</v>
      </c>
      <c r="K5304" s="10" t="s">
        <v>20</v>
      </c>
      <c r="L5304" s="11" t="n">
        <v>40938.1508333333</v>
      </c>
      <c r="M5304" s="12" t="s">
        <v>12404</v>
      </c>
      <c r="N5304" s="12" t="s">
        <v>12405</v>
      </c>
      <c r="O5304" s="9" t="str">
        <f aca="false">HYPERLINK("https://pbs.twimg.com/profile_images/3584313615/b34242c7bdefeb86c8e6ded698cfabda_normal.jpeg","View")</f>
        <v>View</v>
      </c>
      <c r="P5304" s="10"/>
    </row>
    <row r="5305" customFormat="false" ht="15.75" hidden="false" customHeight="false" outlineLevel="0" collapsed="false">
      <c r="A5305" s="6" t="n">
        <v>43030.9072685185</v>
      </c>
      <c r="B5305" s="7" t="str">
        <f aca="false">HYPERLINK("https://twitter.com/officialtweetAJ","@officialtweetAJ")</f>
        <v>@officialtweetAJ</v>
      </c>
      <c r="C5305" s="8" t="s">
        <v>12406</v>
      </c>
      <c r="D5305" s="8" t="s">
        <v>12398</v>
      </c>
      <c r="E5305" s="9" t="str">
        <f aca="false">HYPERLINK("https://twitter.com/officialtweetAJ/status/922323311354290176","922323311354290176")</f>
        <v>922323311354290176</v>
      </c>
      <c r="F5305" s="10" t="s">
        <v>25</v>
      </c>
      <c r="G5305" s="10" t="n">
        <v>1024</v>
      </c>
      <c r="H5305" s="10" t="n">
        <v>292</v>
      </c>
      <c r="I5305" s="10" t="n">
        <v>25</v>
      </c>
      <c r="J5305" s="10" t="n">
        <v>0</v>
      </c>
      <c r="K5305" s="10" t="s">
        <v>20</v>
      </c>
      <c r="L5305" s="11" t="n">
        <v>42985.3025347222</v>
      </c>
      <c r="M5305" s="12" t="s">
        <v>72</v>
      </c>
      <c r="N5305" s="12" t="s">
        <v>12407</v>
      </c>
      <c r="O5305" s="9" t="str">
        <f aca="false">HYPERLINK("https://pbs.twimg.com/profile_images/923509407811375105/9WWGK28k_normal.jpg","View")</f>
        <v>View</v>
      </c>
      <c r="P5305" s="10"/>
    </row>
    <row r="5306" customFormat="false" ht="15.75" hidden="false" customHeight="false" outlineLevel="0" collapsed="false">
      <c r="A5306" s="6" t="n">
        <v>43030.907349537</v>
      </c>
      <c r="B5306" s="7" t="str">
        <f aca="false">HYPERLINK("https://twitter.com/niluashok8","@niluashok8")</f>
        <v>@niluashok8</v>
      </c>
      <c r="C5306" s="8" t="s">
        <v>12408</v>
      </c>
      <c r="D5306" s="8" t="s">
        <v>8538</v>
      </c>
      <c r="E5306" s="9" t="str">
        <f aca="false">HYPERLINK("https://twitter.com/niluashok8/status/922323340949315585","922323340949315585")</f>
        <v>922323340949315585</v>
      </c>
      <c r="F5306" s="10" t="s">
        <v>25</v>
      </c>
      <c r="G5306" s="10" t="n">
        <v>181</v>
      </c>
      <c r="H5306" s="10" t="n">
        <v>409</v>
      </c>
      <c r="I5306" s="10" t="n">
        <v>1015</v>
      </c>
      <c r="J5306" s="10" t="n">
        <v>0</v>
      </c>
      <c r="K5306" s="10" t="s">
        <v>20</v>
      </c>
      <c r="L5306" s="11" t="n">
        <v>41815.2628472222</v>
      </c>
      <c r="M5306" s="12" t="s">
        <v>12409</v>
      </c>
      <c r="N5306" s="12" t="s">
        <v>8320</v>
      </c>
      <c r="O5306" s="9" t="str">
        <f aca="false">HYPERLINK("https://pbs.twimg.com/profile_images/882961949243224064/qoscM-Oj_normal.jpg","View")</f>
        <v>View</v>
      </c>
      <c r="P5306" s="10"/>
    </row>
    <row r="5307" customFormat="false" ht="15.75" hidden="false" customHeight="false" outlineLevel="0" collapsed="false">
      <c r="A5307" s="6" t="n">
        <v>43030.9074421296</v>
      </c>
      <c r="B5307" s="7" t="str">
        <f aca="false">HYPERLINK("https://twitter.com/santosh_kul","@santosh_kul")</f>
        <v>@santosh_kul</v>
      </c>
      <c r="C5307" s="8" t="s">
        <v>12410</v>
      </c>
      <c r="D5307" s="8" t="s">
        <v>8538</v>
      </c>
      <c r="E5307" s="9" t="str">
        <f aca="false">HYPERLINK("https://twitter.com/santosh_kul/status/922323375959130112","922323375959130112")</f>
        <v>922323375959130112</v>
      </c>
      <c r="F5307" s="10" t="s">
        <v>25</v>
      </c>
      <c r="G5307" s="10" t="n">
        <v>352</v>
      </c>
      <c r="H5307" s="10" t="n">
        <v>415</v>
      </c>
      <c r="I5307" s="10" t="n">
        <v>1015</v>
      </c>
      <c r="J5307" s="10" t="n">
        <v>0</v>
      </c>
      <c r="K5307" s="10" t="s">
        <v>20</v>
      </c>
      <c r="L5307" s="11" t="n">
        <v>41375.1602546296</v>
      </c>
      <c r="M5307" s="12" t="s">
        <v>87</v>
      </c>
      <c r="N5307" s="12" t="s">
        <v>12411</v>
      </c>
      <c r="O5307" s="9" t="str">
        <f aca="false">HYPERLINK("https://pbs.twimg.com/profile_images/843536900719874054/bIGrv0Eb_normal.jpg","View")</f>
        <v>View</v>
      </c>
      <c r="P5307" s="10"/>
    </row>
    <row r="5308" customFormat="false" ht="15.75" hidden="false" customHeight="false" outlineLevel="0" collapsed="false">
      <c r="A5308" s="6" t="n">
        <v>43030.9074537037</v>
      </c>
      <c r="B5308" s="7" t="str">
        <f aca="false">HYPERLINK("https://twitter.com/rameshagrawal95","@rameshagrawal95")</f>
        <v>@rameshagrawal95</v>
      </c>
      <c r="C5308" s="8" t="s">
        <v>12412</v>
      </c>
      <c r="D5308" s="8" t="s">
        <v>12398</v>
      </c>
      <c r="E5308" s="9" t="str">
        <f aca="false">HYPERLINK("https://twitter.com/rameshagrawal95/status/922323379205455872","922323379205455872")</f>
        <v>922323379205455872</v>
      </c>
      <c r="F5308" s="10" t="s">
        <v>25</v>
      </c>
      <c r="G5308" s="10" t="n">
        <v>8223</v>
      </c>
      <c r="H5308" s="10" t="n">
        <v>648</v>
      </c>
      <c r="I5308" s="10" t="n">
        <v>25</v>
      </c>
      <c r="J5308" s="10" t="n">
        <v>0</v>
      </c>
      <c r="K5308" s="10" t="s">
        <v>20</v>
      </c>
      <c r="L5308" s="11" t="n">
        <v>41653.8269328704</v>
      </c>
      <c r="M5308" s="12" t="s">
        <v>7908</v>
      </c>
      <c r="N5308" s="12" t="s">
        <v>12413</v>
      </c>
      <c r="O5308" s="9" t="str">
        <f aca="false">HYPERLINK("https://pbs.twimg.com/profile_images/900249706843873280/DFSUf3Vm_normal.jpg","View")</f>
        <v>View</v>
      </c>
      <c r="P5308" s="10"/>
    </row>
    <row r="5309" customFormat="false" ht="15.75" hidden="false" customHeight="false" outlineLevel="0" collapsed="false">
      <c r="A5309" s="6" t="n">
        <v>43030.9076388889</v>
      </c>
      <c r="B5309" s="7" t="str">
        <f aca="false">HYPERLINK("https://twitter.com/JndMahesh","@JndMahesh")</f>
        <v>@JndMahesh</v>
      </c>
      <c r="C5309" s="8" t="s">
        <v>12414</v>
      </c>
      <c r="D5309" s="8" t="s">
        <v>12398</v>
      </c>
      <c r="E5309" s="9" t="str">
        <f aca="false">HYPERLINK("https://twitter.com/JndMahesh/status/922323448189280261","922323448189280261")</f>
        <v>922323448189280261</v>
      </c>
      <c r="F5309" s="10" t="s">
        <v>25</v>
      </c>
      <c r="G5309" s="10" t="n">
        <v>389</v>
      </c>
      <c r="H5309" s="10" t="n">
        <v>258</v>
      </c>
      <c r="I5309" s="10" t="n">
        <v>25</v>
      </c>
      <c r="J5309" s="10" t="n">
        <v>0</v>
      </c>
      <c r="K5309" s="10" t="s">
        <v>20</v>
      </c>
      <c r="L5309" s="11" t="n">
        <v>41742.4174537037</v>
      </c>
      <c r="M5309" s="12"/>
      <c r="N5309" s="12"/>
      <c r="O5309" s="9" t="str">
        <f aca="false">HYPERLINK("https://pbs.twimg.com/profile_images/868388026300252160/trgi3C8b_normal.jpg","View")</f>
        <v>View</v>
      </c>
      <c r="P5309" s="10"/>
    </row>
    <row r="5310" customFormat="false" ht="15.75" hidden="false" customHeight="false" outlineLevel="0" collapsed="false">
      <c r="A5310" s="6" t="n">
        <v>43030.9079050926</v>
      </c>
      <c r="B5310" s="7" t="str">
        <f aca="false">HYPERLINK("https://twitter.com/Periya_Annan","@Periya_Annan")</f>
        <v>@Periya_Annan</v>
      </c>
      <c r="C5310" s="8" t="s">
        <v>12415</v>
      </c>
      <c r="D5310" s="8" t="s">
        <v>8538</v>
      </c>
      <c r="E5310" s="9" t="str">
        <f aca="false">HYPERLINK("https://twitter.com/Periya_Annan/status/922323545413132288","922323545413132288")</f>
        <v>922323545413132288</v>
      </c>
      <c r="F5310" s="10" t="s">
        <v>39</v>
      </c>
      <c r="G5310" s="10" t="n">
        <v>56</v>
      </c>
      <c r="H5310" s="10" t="n">
        <v>119</v>
      </c>
      <c r="I5310" s="10" t="n">
        <v>1015</v>
      </c>
      <c r="J5310" s="10" t="n">
        <v>0</v>
      </c>
      <c r="K5310" s="10" t="s">
        <v>20</v>
      </c>
      <c r="L5310" s="11" t="n">
        <v>42675.223275463</v>
      </c>
      <c r="M5310" s="12" t="s">
        <v>12416</v>
      </c>
      <c r="N5310" s="12" t="s">
        <v>12417</v>
      </c>
      <c r="O5310" s="9" t="str">
        <f aca="false">HYPERLINK("https://pbs.twimg.com/profile_images/810233825234063360/-gC76bLs_normal.jpg","View")</f>
        <v>View</v>
      </c>
      <c r="P5310" s="10"/>
    </row>
    <row r="5311" customFormat="false" ht="15.75" hidden="false" customHeight="false" outlineLevel="0" collapsed="false">
      <c r="A5311" s="6" t="n">
        <v>43030.9081944445</v>
      </c>
      <c r="B5311" s="7" t="str">
        <f aca="false">HYPERLINK("https://twitter.com/mbwManzoni","@mbwManzoni")</f>
        <v>@mbwManzoni</v>
      </c>
      <c r="C5311" s="8" t="s">
        <v>45</v>
      </c>
      <c r="D5311" s="8" t="s">
        <v>12418</v>
      </c>
      <c r="E5311" s="9" t="str">
        <f aca="false">HYPERLINK("https://twitter.com/mbwManzoni/status/922323648664481792","922323648664481792")</f>
        <v>922323648664481792</v>
      </c>
      <c r="F5311" s="10" t="s">
        <v>47</v>
      </c>
      <c r="G5311" s="10" t="n">
        <v>503</v>
      </c>
      <c r="H5311" s="10" t="n">
        <v>1161</v>
      </c>
      <c r="I5311" s="10" t="n">
        <v>0</v>
      </c>
      <c r="J5311" s="10" t="n">
        <v>0</v>
      </c>
      <c r="K5311" s="10" t="s">
        <v>20</v>
      </c>
      <c r="L5311" s="11" t="n">
        <v>40440.4984259259</v>
      </c>
      <c r="M5311" s="12" t="s">
        <v>48</v>
      </c>
      <c r="N5311" s="12" t="s">
        <v>49</v>
      </c>
      <c r="O5311" s="9" t="str">
        <f aca="false">HYPERLINK("https://pbs.twimg.com/profile_images/876267141082861569/P5HrOcEH_normal.jpg","View")</f>
        <v>View</v>
      </c>
      <c r="P5311" s="10"/>
    </row>
    <row r="5312" customFormat="false" ht="15.75" hidden="false" customHeight="false" outlineLevel="0" collapsed="false">
      <c r="A5312" s="6" t="n">
        <v>43030.9082175926</v>
      </c>
      <c r="B5312" s="7" t="str">
        <f aca="false">HYPERLINK("https://twitter.com/AfzalArshed","@AfzalArshed")</f>
        <v>@AfzalArshed</v>
      </c>
      <c r="C5312" s="8" t="s">
        <v>12419</v>
      </c>
      <c r="D5312" s="8" t="s">
        <v>4124</v>
      </c>
      <c r="E5312" s="9" t="str">
        <f aca="false">HYPERLINK("https://twitter.com/AfzalArshed/status/922323656067334144","922323656067334144")</f>
        <v>922323656067334144</v>
      </c>
      <c r="F5312" s="10" t="s">
        <v>177</v>
      </c>
      <c r="G5312" s="10" t="n">
        <v>917</v>
      </c>
      <c r="H5312" s="10" t="n">
        <v>4653</v>
      </c>
      <c r="I5312" s="10" t="n">
        <v>111</v>
      </c>
      <c r="J5312" s="10" t="n">
        <v>0</v>
      </c>
      <c r="K5312" s="10" t="s">
        <v>20</v>
      </c>
      <c r="L5312" s="11" t="n">
        <v>41299.8677083333</v>
      </c>
      <c r="M5312" s="12" t="s">
        <v>12420</v>
      </c>
      <c r="N5312" s="12" t="s">
        <v>12421</v>
      </c>
      <c r="O5312" s="9" t="str">
        <f aca="false">HYPERLINK("https://pbs.twimg.com/profile_images/569476612710604800/WSpuiQe4_normal.jpeg","View")</f>
        <v>View</v>
      </c>
      <c r="P5312" s="10"/>
    </row>
    <row r="5313" customFormat="false" ht="15.75" hidden="false" customHeight="false" outlineLevel="0" collapsed="false">
      <c r="A5313" s="6" t="n">
        <v>43030.9082523148</v>
      </c>
      <c r="B5313" s="7" t="str">
        <f aca="false">HYPERLINK("https://twitter.com/hindinewspost","@hindinewspost")</f>
        <v>@hindinewspost</v>
      </c>
      <c r="C5313" s="8" t="s">
        <v>12422</v>
      </c>
      <c r="D5313" s="8" t="s">
        <v>12423</v>
      </c>
      <c r="E5313" s="9" t="str">
        <f aca="false">HYPERLINK("https://twitter.com/hindinewspost/status/922323668457357312","922323668457357312")</f>
        <v>922323668457357312</v>
      </c>
      <c r="F5313" s="9" t="s">
        <v>979</v>
      </c>
      <c r="G5313" s="10" t="n">
        <v>551</v>
      </c>
      <c r="H5313" s="10" t="n">
        <v>2</v>
      </c>
      <c r="I5313" s="10" t="n">
        <v>0</v>
      </c>
      <c r="J5313" s="10" t="n">
        <v>0</v>
      </c>
      <c r="K5313" s="10" t="s">
        <v>20</v>
      </c>
      <c r="L5313" s="11" t="n">
        <v>42255.5338425926</v>
      </c>
      <c r="M5313" s="12" t="s">
        <v>72</v>
      </c>
      <c r="N5313" s="12" t="s">
        <v>12424</v>
      </c>
      <c r="O5313" s="9" t="str">
        <f aca="false">HYPERLINK("https://pbs.twimg.com/profile_images/804702091382030337/OBRudARz_normal.jpg","View")</f>
        <v>View</v>
      </c>
      <c r="P5313" s="10"/>
    </row>
    <row r="5314" customFormat="false" ht="15.75" hidden="false" customHeight="false" outlineLevel="0" collapsed="false">
      <c r="A5314" s="6" t="n">
        <v>43030.9084722222</v>
      </c>
      <c r="B5314" s="7" t="str">
        <f aca="false">HYPERLINK("https://twitter.com/Prakash75832262","@Prakash75832262")</f>
        <v>@Prakash75832262</v>
      </c>
      <c r="C5314" s="8" t="s">
        <v>12425</v>
      </c>
      <c r="D5314" s="8" t="s">
        <v>12398</v>
      </c>
      <c r="E5314" s="9" t="str">
        <f aca="false">HYPERLINK("https://twitter.com/Prakash75832262/status/922323748870647808","922323748870647808")</f>
        <v>922323748870647808</v>
      </c>
      <c r="F5314" s="10" t="s">
        <v>25</v>
      </c>
      <c r="G5314" s="10" t="n">
        <v>4</v>
      </c>
      <c r="H5314" s="10" t="n">
        <v>33</v>
      </c>
      <c r="I5314" s="10" t="n">
        <v>25</v>
      </c>
      <c r="J5314" s="10" t="n">
        <v>0</v>
      </c>
      <c r="K5314" s="10" t="s">
        <v>20</v>
      </c>
      <c r="L5314" s="11" t="n">
        <v>43030.3478472222</v>
      </c>
      <c r="M5314" s="12" t="s">
        <v>12426</v>
      </c>
      <c r="N5314" s="12" t="s">
        <v>12427</v>
      </c>
      <c r="O5314" s="9" t="str">
        <f aca="false">HYPERLINK("https://pbs.twimg.com/profile_images/922125673719844864/gPoFPO1__normal.jpg","View")</f>
        <v>View</v>
      </c>
      <c r="P5314" s="10"/>
    </row>
    <row r="5315" customFormat="false" ht="15.75" hidden="false" customHeight="false" outlineLevel="0" collapsed="false">
      <c r="A5315" s="6" t="n">
        <v>43030.9085416667</v>
      </c>
      <c r="B5315" s="7" t="str">
        <f aca="false">HYPERLINK("https://twitter.com/NewsUpdate24Int","@NewsUpdate24Int")</f>
        <v>@NewsUpdate24Int</v>
      </c>
      <c r="C5315" s="8" t="s">
        <v>5444</v>
      </c>
      <c r="D5315" s="8" t="s">
        <v>12428</v>
      </c>
      <c r="E5315" s="9" t="str">
        <f aca="false">HYPERLINK("https://twitter.com/NewsUpdate24Int/status/922323776804737025","922323776804737025")</f>
        <v>922323776804737025</v>
      </c>
      <c r="F5315" s="10" t="s">
        <v>60</v>
      </c>
      <c r="G5315" s="10" t="n">
        <v>1289</v>
      </c>
      <c r="H5315" s="10" t="n">
        <v>54</v>
      </c>
      <c r="I5315" s="10" t="n">
        <v>0</v>
      </c>
      <c r="J5315" s="10" t="n">
        <v>0</v>
      </c>
      <c r="K5315" s="10" t="s">
        <v>20</v>
      </c>
      <c r="L5315" s="11" t="n">
        <v>42142.5818171296</v>
      </c>
      <c r="M5315" s="12" t="s">
        <v>4866</v>
      </c>
      <c r="N5315" s="12" t="s">
        <v>5446</v>
      </c>
      <c r="O5315" s="9" t="str">
        <f aca="false">HYPERLINK("https://pbs.twimg.com/profile_images/858443073717764096/OPmPGIMa_normal.jpg","View")</f>
        <v>View</v>
      </c>
      <c r="P5315" s="10"/>
    </row>
    <row r="5316" customFormat="false" ht="15.75" hidden="false" customHeight="false" outlineLevel="0" collapsed="false">
      <c r="A5316" s="6" t="n">
        <v>43030.9086805556</v>
      </c>
      <c r="B5316" s="7" t="str">
        <f aca="false">HYPERLINK("https://twitter.com/Manesha76","@Manesha76")</f>
        <v>@Manesha76</v>
      </c>
      <c r="C5316" s="8" t="s">
        <v>12429</v>
      </c>
      <c r="D5316" s="8" t="s">
        <v>8538</v>
      </c>
      <c r="E5316" s="9" t="str">
        <f aca="false">HYPERLINK("https://twitter.com/Manesha76/status/922323826486124545","922323826486124545")</f>
        <v>922323826486124545</v>
      </c>
      <c r="F5316" s="10" t="s">
        <v>25</v>
      </c>
      <c r="G5316" s="10" t="n">
        <v>7722</v>
      </c>
      <c r="H5316" s="10" t="n">
        <v>884</v>
      </c>
      <c r="I5316" s="10" t="n">
        <v>1015</v>
      </c>
      <c r="J5316" s="10" t="n">
        <v>0</v>
      </c>
      <c r="K5316" s="10" t="s">
        <v>20</v>
      </c>
      <c r="L5316" s="11" t="n">
        <v>41233.4781481481</v>
      </c>
      <c r="M5316" s="12"/>
      <c r="N5316" s="12" t="s">
        <v>12430</v>
      </c>
      <c r="O5316" s="9" t="str">
        <f aca="false">HYPERLINK("https://pbs.twimg.com/profile_images/897886157622525952/dFKKPt6g_normal.jpg","View")</f>
        <v>View</v>
      </c>
      <c r="P5316" s="10"/>
    </row>
    <row r="5317" customFormat="false" ht="15.75" hidden="false" customHeight="false" outlineLevel="0" collapsed="false">
      <c r="A5317" s="6" t="n">
        <v>43030.9087268518</v>
      </c>
      <c r="B5317" s="7" t="str">
        <f aca="false">HYPERLINK("https://twitter.com/therananikhil","@therananikhil")</f>
        <v>@therananikhil</v>
      </c>
      <c r="C5317" s="8" t="s">
        <v>12431</v>
      </c>
      <c r="D5317" s="8" t="s">
        <v>12398</v>
      </c>
      <c r="E5317" s="9" t="str">
        <f aca="false">HYPERLINK("https://twitter.com/therananikhil/status/922323842726367233","922323842726367233")</f>
        <v>922323842726367233</v>
      </c>
      <c r="F5317" s="10" t="s">
        <v>25</v>
      </c>
      <c r="G5317" s="10" t="n">
        <v>686</v>
      </c>
      <c r="H5317" s="10" t="n">
        <v>2177</v>
      </c>
      <c r="I5317" s="10" t="n">
        <v>25</v>
      </c>
      <c r="J5317" s="10" t="n">
        <v>0</v>
      </c>
      <c r="K5317" s="10" t="s">
        <v>20</v>
      </c>
      <c r="L5317" s="11" t="n">
        <v>42294.7686574074</v>
      </c>
      <c r="M5317" s="12" t="s">
        <v>12432</v>
      </c>
      <c r="N5317" s="12" t="s">
        <v>12433</v>
      </c>
      <c r="O5317" s="9" t="str">
        <f aca="false">HYPERLINK("https://pbs.twimg.com/profile_images/907847954920349696/FMOyK5vg_normal.jpg","View")</f>
        <v>View</v>
      </c>
      <c r="P5317" s="10"/>
    </row>
    <row r="5318" customFormat="false" ht="15.75" hidden="false" customHeight="false" outlineLevel="0" collapsed="false">
      <c r="A5318" s="6" t="n">
        <v>43030.909212963</v>
      </c>
      <c r="B5318" s="7" t="str">
        <f aca="false">HYPERLINK("https://twitter.com/globalxmagzine","@globalxmagzine")</f>
        <v>@globalxmagzine</v>
      </c>
      <c r="C5318" s="8" t="s">
        <v>12434</v>
      </c>
      <c r="D5318" s="8" t="s">
        <v>12435</v>
      </c>
      <c r="E5318" s="9" t="str">
        <f aca="false">HYPERLINK("https://twitter.com/globalxmagzine/status/922324019168403456","922324019168403456")</f>
        <v>922324019168403456</v>
      </c>
      <c r="F5318" s="10" t="s">
        <v>60</v>
      </c>
      <c r="G5318" s="10" t="n">
        <v>220</v>
      </c>
      <c r="H5318" s="10" t="n">
        <v>28</v>
      </c>
      <c r="I5318" s="10" t="n">
        <v>0</v>
      </c>
      <c r="J5318" s="10" t="n">
        <v>0</v>
      </c>
      <c r="K5318" s="10" t="s">
        <v>20</v>
      </c>
      <c r="L5318" s="11" t="n">
        <v>41731.4516435185</v>
      </c>
      <c r="M5318" s="12" t="s">
        <v>72</v>
      </c>
      <c r="N5318" s="12" t="s">
        <v>12436</v>
      </c>
      <c r="O5318" s="9" t="str">
        <f aca="false">HYPERLINK("https://pbs.twimg.com/profile_images/906941703436849152/BmQjsCeY_normal.jpg","View")</f>
        <v>View</v>
      </c>
      <c r="P5318" s="10"/>
    </row>
    <row r="5319" customFormat="false" ht="15.75" hidden="false" customHeight="false" outlineLevel="0" collapsed="false">
      <c r="A5319" s="6" t="n">
        <v>43030.9093865741</v>
      </c>
      <c r="B5319" s="7" t="str">
        <f aca="false">HYPERLINK("https://twitter.com/_thinking_human","@_thinking_human")</f>
        <v>@_thinking_human</v>
      </c>
      <c r="C5319" s="8" t="s">
        <v>12437</v>
      </c>
      <c r="D5319" s="8" t="s">
        <v>12438</v>
      </c>
      <c r="E5319" s="9" t="str">
        <f aca="false">HYPERLINK("https://twitter.com/_thinking_human/status/922324081885827072","922324081885827072")</f>
        <v>922324081885827072</v>
      </c>
      <c r="F5319" s="10" t="s">
        <v>51</v>
      </c>
      <c r="G5319" s="10" t="n">
        <v>1079</v>
      </c>
      <c r="H5319" s="10" t="n">
        <v>2943</v>
      </c>
      <c r="I5319" s="10" t="n">
        <v>2</v>
      </c>
      <c r="J5319" s="10" t="n">
        <v>0</v>
      </c>
      <c r="K5319" s="10" t="s">
        <v>20</v>
      </c>
      <c r="L5319" s="11" t="n">
        <v>39905.6692013889</v>
      </c>
      <c r="M5319" s="12" t="s">
        <v>230</v>
      </c>
      <c r="N5319" s="12" t="s">
        <v>12439</v>
      </c>
      <c r="O5319" s="9" t="str">
        <f aca="false">HYPERLINK("https://pbs.twimg.com/profile_images/817528572394901504/lELnJUxi_normal.jpg","View")</f>
        <v>View</v>
      </c>
      <c r="P5319" s="10"/>
    </row>
    <row r="5320" customFormat="false" ht="15.75" hidden="false" customHeight="false" outlineLevel="0" collapsed="false">
      <c r="A5320" s="6" t="n">
        <v>43030.9094675926</v>
      </c>
      <c r="B5320" s="7" t="str">
        <f aca="false">HYPERLINK("https://twitter.com/themssuhag","@themssuhag")</f>
        <v>@themssuhag</v>
      </c>
      <c r="C5320" s="8" t="s">
        <v>12440</v>
      </c>
      <c r="D5320" s="8" t="s">
        <v>8538</v>
      </c>
      <c r="E5320" s="9" t="str">
        <f aca="false">HYPERLINK("https://twitter.com/themssuhag/status/922324111795265536","922324111795265536")</f>
        <v>922324111795265536</v>
      </c>
      <c r="F5320" s="10" t="s">
        <v>25</v>
      </c>
      <c r="G5320" s="10" t="n">
        <v>86</v>
      </c>
      <c r="H5320" s="10" t="n">
        <v>599</v>
      </c>
      <c r="I5320" s="10" t="n">
        <v>1015</v>
      </c>
      <c r="J5320" s="10" t="n">
        <v>0</v>
      </c>
      <c r="K5320" s="10" t="s">
        <v>20</v>
      </c>
      <c r="L5320" s="11" t="n">
        <v>42295.8577546296</v>
      </c>
      <c r="M5320" s="12" t="s">
        <v>12441</v>
      </c>
      <c r="N5320" s="12"/>
      <c r="O5320" s="9" t="str">
        <f aca="false">HYPERLINK("https://abs.twimg.com/sticky/default_profile_images/default_profile_normal.png","View")</f>
        <v>View</v>
      </c>
      <c r="P5320" s="10"/>
    </row>
    <row r="5321" customFormat="false" ht="15.75" hidden="false" customHeight="false" outlineLevel="0" collapsed="false">
      <c r="A5321" s="6" t="n">
        <v>43030.9096990741</v>
      </c>
      <c r="B5321" s="7" t="str">
        <f aca="false">HYPERLINK("https://twitter.com/NIDAHASAnews","@NIDAHASAnews")</f>
        <v>@NIDAHASAnews</v>
      </c>
      <c r="C5321" s="8" t="s">
        <v>12442</v>
      </c>
      <c r="D5321" s="8" t="s">
        <v>12443</v>
      </c>
      <c r="E5321" s="9" t="str">
        <f aca="false">HYPERLINK("https://twitter.com/NIDAHASAnews/status/922324194469167105","922324194469167105")</f>
        <v>922324194469167105</v>
      </c>
      <c r="F5321" s="10" t="s">
        <v>12444</v>
      </c>
      <c r="G5321" s="10" t="n">
        <v>798</v>
      </c>
      <c r="H5321" s="10" t="n">
        <v>0</v>
      </c>
      <c r="I5321" s="10" t="n">
        <v>0</v>
      </c>
      <c r="J5321" s="10" t="n">
        <v>0</v>
      </c>
      <c r="K5321" s="10" t="s">
        <v>20</v>
      </c>
      <c r="L5321" s="11" t="n">
        <v>40435.1739699074</v>
      </c>
      <c r="M5321" s="12" t="s">
        <v>12445</v>
      </c>
      <c r="N5321" s="12" t="s">
        <v>12446</v>
      </c>
      <c r="O5321" s="9" t="str">
        <f aca="false">HYPERLINK("https://pbs.twimg.com/profile_images/467902440411365376/hZqjzFf1_normal.png","View")</f>
        <v>View</v>
      </c>
      <c r="P5321" s="10"/>
    </row>
    <row r="5322" customFormat="false" ht="15.75" hidden="false" customHeight="false" outlineLevel="0" collapsed="false">
      <c r="A5322" s="6" t="n">
        <v>43030.9098148148</v>
      </c>
      <c r="B5322" s="7" t="str">
        <f aca="false">HYPERLINK("https://twitter.com/Vikrampurohit12","@Vikrampurohit12")</f>
        <v>@Vikrampurohit12</v>
      </c>
      <c r="C5322" s="8" t="s">
        <v>12447</v>
      </c>
      <c r="D5322" s="8" t="s">
        <v>12398</v>
      </c>
      <c r="E5322" s="9" t="str">
        <f aca="false">HYPERLINK("https://twitter.com/Vikrampurohit12/status/922324235632234496","922324235632234496")</f>
        <v>922324235632234496</v>
      </c>
      <c r="F5322" s="10" t="s">
        <v>25</v>
      </c>
      <c r="G5322" s="10" t="n">
        <v>186</v>
      </c>
      <c r="H5322" s="10" t="n">
        <v>472</v>
      </c>
      <c r="I5322" s="10" t="n">
        <v>25</v>
      </c>
      <c r="J5322" s="10" t="n">
        <v>0</v>
      </c>
      <c r="K5322" s="10" t="s">
        <v>20</v>
      </c>
      <c r="L5322" s="11" t="n">
        <v>41359.8702314815</v>
      </c>
      <c r="M5322" s="12" t="s">
        <v>12448</v>
      </c>
      <c r="N5322" s="12" t="s">
        <v>12449</v>
      </c>
      <c r="O5322" s="9" t="str">
        <f aca="false">HYPERLINK("https://pbs.twimg.com/profile_images/918079521680654336/IpBaCpMp_normal.jpg","View")</f>
        <v>View</v>
      </c>
      <c r="P5322" s="10"/>
    </row>
    <row r="5323" customFormat="false" ht="15.75" hidden="false" customHeight="false" outlineLevel="0" collapsed="false">
      <c r="A5323" s="6" t="n">
        <v>43030.9101157407</v>
      </c>
      <c r="B5323" s="7" t="str">
        <f aca="false">HYPERLINK("https://twitter.com/mehulbadshah","@mehulbadshah")</f>
        <v>@mehulbadshah</v>
      </c>
      <c r="C5323" s="8" t="s">
        <v>12450</v>
      </c>
      <c r="D5323" s="8" t="s">
        <v>12145</v>
      </c>
      <c r="E5323" s="9" t="str">
        <f aca="false">HYPERLINK("https://twitter.com/mehulbadshah/status/922324343769698304","922324343769698304")</f>
        <v>922324343769698304</v>
      </c>
      <c r="F5323" s="10" t="s">
        <v>25</v>
      </c>
      <c r="G5323" s="10" t="n">
        <v>205</v>
      </c>
      <c r="H5323" s="10" t="n">
        <v>303</v>
      </c>
      <c r="I5323" s="10" t="n">
        <v>4</v>
      </c>
      <c r="J5323" s="10" t="n">
        <v>0</v>
      </c>
      <c r="K5323" s="10" t="s">
        <v>20</v>
      </c>
      <c r="L5323" s="11" t="n">
        <v>42445.4038425926</v>
      </c>
      <c r="M5323" s="12" t="s">
        <v>203</v>
      </c>
      <c r="N5323" s="12" t="s">
        <v>12451</v>
      </c>
      <c r="O5323" s="9" t="str">
        <f aca="false">HYPERLINK("https://pbs.twimg.com/profile_images/902955580184244227/XPE74fDa_normal.jpg","View")</f>
        <v>View</v>
      </c>
      <c r="P5323" s="10"/>
    </row>
    <row r="5324" customFormat="false" ht="15.75" hidden="false" customHeight="false" outlineLevel="0" collapsed="false">
      <c r="A5324" s="6" t="n">
        <v>43030.9102314815</v>
      </c>
      <c r="B5324" s="7" t="str">
        <f aca="false">HYPERLINK("https://twitter.com/BeyondOurDiff","@BeyondOurDiff")</f>
        <v>@BeyondOurDiff</v>
      </c>
      <c r="C5324" s="8" t="s">
        <v>12452</v>
      </c>
      <c r="D5324" s="8" t="s">
        <v>12453</v>
      </c>
      <c r="E5324" s="9" t="str">
        <f aca="false">HYPERLINK("https://twitter.com/BeyondOurDiff/status/922324388501790721","922324388501790721")</f>
        <v>922324388501790721</v>
      </c>
      <c r="F5324" s="9" t="s">
        <v>1147</v>
      </c>
      <c r="G5324" s="10" t="n">
        <v>243</v>
      </c>
      <c r="H5324" s="10" t="n">
        <v>368</v>
      </c>
      <c r="I5324" s="10" t="n">
        <v>0</v>
      </c>
      <c r="J5324" s="10" t="n">
        <v>0</v>
      </c>
      <c r="K5324" s="10" t="s">
        <v>20</v>
      </c>
      <c r="L5324" s="11" t="n">
        <v>42044.2477314815</v>
      </c>
      <c r="M5324" s="12"/>
      <c r="N5324" s="12" t="s">
        <v>12454</v>
      </c>
      <c r="O5324" s="9" t="str">
        <f aca="false">HYPERLINK("https://pbs.twimg.com/profile_images/897012985222152193/2whLlVo7_normal.jpg","View")</f>
        <v>View</v>
      </c>
      <c r="P5324" s="10"/>
    </row>
    <row r="5325" customFormat="false" ht="15.75" hidden="false" customHeight="false" outlineLevel="0" collapsed="false">
      <c r="A5325" s="6" t="n">
        <v>43030.9107638889</v>
      </c>
      <c r="B5325" s="7" t="str">
        <f aca="false">HYPERLINK("https://twitter.com/proudpseudo","@proudpseudo")</f>
        <v>@proudpseudo</v>
      </c>
      <c r="C5325" s="8" t="s">
        <v>12455</v>
      </c>
      <c r="D5325" s="8" t="s">
        <v>8538</v>
      </c>
      <c r="E5325" s="9" t="str">
        <f aca="false">HYPERLINK("https://twitter.com/proudpseudo/status/922324581041422337","922324581041422337")</f>
        <v>922324581041422337</v>
      </c>
      <c r="F5325" s="10" t="s">
        <v>25</v>
      </c>
      <c r="G5325" s="10" t="n">
        <v>134</v>
      </c>
      <c r="H5325" s="10" t="n">
        <v>215</v>
      </c>
      <c r="I5325" s="10" t="n">
        <v>1015</v>
      </c>
      <c r="J5325" s="10" t="n">
        <v>0</v>
      </c>
      <c r="K5325" s="10" t="s">
        <v>20</v>
      </c>
      <c r="L5325" s="11" t="n">
        <v>42920.4425231481</v>
      </c>
      <c r="M5325" s="12"/>
      <c r="N5325" s="12" t="s">
        <v>12456</v>
      </c>
      <c r="O5325" s="9" t="str">
        <f aca="false">HYPERLINK("https://pbs.twimg.com/profile_images/901802013016506369/B7MJxKHY_normal.jpg","View")</f>
        <v>View</v>
      </c>
      <c r="P5325" s="10"/>
    </row>
    <row r="5326" customFormat="false" ht="15.75" hidden="false" customHeight="false" outlineLevel="0" collapsed="false">
      <c r="A5326" s="6" t="n">
        <v>43030.9110185185</v>
      </c>
      <c r="B5326" s="7" t="str">
        <f aca="false">HYPERLINK("https://twitter.com/Asianbiznett","@Asianbiznett")</f>
        <v>@Asianbiznett</v>
      </c>
      <c r="C5326" s="8" t="s">
        <v>12457</v>
      </c>
      <c r="D5326" s="8" t="s">
        <v>12458</v>
      </c>
      <c r="E5326" s="9" t="str">
        <f aca="false">HYPERLINK("https://twitter.com/Asianbiznett/status/922324671843926016","922324671843926016")</f>
        <v>922324671843926016</v>
      </c>
      <c r="F5326" s="10" t="s">
        <v>12459</v>
      </c>
      <c r="G5326" s="10" t="n">
        <v>5184</v>
      </c>
      <c r="H5326" s="10" t="n">
        <v>3606</v>
      </c>
      <c r="I5326" s="10" t="n">
        <v>0</v>
      </c>
      <c r="J5326" s="10" t="n">
        <v>0</v>
      </c>
      <c r="K5326" s="10" t="s">
        <v>20</v>
      </c>
      <c r="L5326" s="11" t="n">
        <v>41199.5199537037</v>
      </c>
      <c r="M5326" s="12" t="s">
        <v>2333</v>
      </c>
      <c r="N5326" s="12" t="s">
        <v>12460</v>
      </c>
      <c r="O5326" s="9" t="str">
        <f aca="false">HYPERLINK("https://pbs.twimg.com/profile_images/889510079753580544/8tSQR68f_normal.jpg","View")</f>
        <v>View</v>
      </c>
      <c r="P5326" s="10"/>
    </row>
    <row r="5327" customFormat="false" ht="15.75" hidden="false" customHeight="false" outlineLevel="0" collapsed="false">
      <c r="A5327" s="6" t="n">
        <v>43030.9110648148</v>
      </c>
      <c r="B5327" s="7" t="str">
        <f aca="false">HYPERLINK("https://twitter.com/adiscover","@adiscover")</f>
        <v>@adiscover</v>
      </c>
      <c r="C5327" s="8" t="s">
        <v>12461</v>
      </c>
      <c r="D5327" s="8" t="s">
        <v>8538</v>
      </c>
      <c r="E5327" s="9" t="str">
        <f aca="false">HYPERLINK("https://twitter.com/adiscover/status/922324689304805377","922324689304805377")</f>
        <v>922324689304805377</v>
      </c>
      <c r="F5327" s="10" t="s">
        <v>39</v>
      </c>
      <c r="G5327" s="10" t="n">
        <v>645</v>
      </c>
      <c r="H5327" s="10" t="n">
        <v>1135</v>
      </c>
      <c r="I5327" s="10" t="n">
        <v>1015</v>
      </c>
      <c r="J5327" s="10" t="n">
        <v>0</v>
      </c>
      <c r="K5327" s="10" t="s">
        <v>20</v>
      </c>
      <c r="L5327" s="11" t="n">
        <v>40237.9483680556</v>
      </c>
      <c r="M5327" s="12"/>
      <c r="N5327" s="12"/>
      <c r="O5327" s="9" t="str">
        <f aca="false">HYPERLINK("https://pbs.twimg.com/profile_images/2548691273/f5d543grdrjhnqg9slfs_normal.jpeg","View")</f>
        <v>View</v>
      </c>
      <c r="P5327" s="10"/>
    </row>
    <row r="5328" customFormat="false" ht="15.75" hidden="false" customHeight="false" outlineLevel="0" collapsed="false">
      <c r="A5328" s="6" t="n">
        <v>43030.9112615741</v>
      </c>
      <c r="B5328" s="7" t="str">
        <f aca="false">HYPERLINK("https://twitter.com/Pankaj_NaMo","@Pankaj_NaMo")</f>
        <v>@Pankaj_NaMo</v>
      </c>
      <c r="C5328" s="8" t="s">
        <v>11554</v>
      </c>
      <c r="D5328" s="8" t="s">
        <v>12398</v>
      </c>
      <c r="E5328" s="9" t="str">
        <f aca="false">HYPERLINK("https://twitter.com/Pankaj_NaMo/status/922324760767246336","922324760767246336")</f>
        <v>922324760767246336</v>
      </c>
      <c r="F5328" s="10" t="s">
        <v>25</v>
      </c>
      <c r="G5328" s="10" t="n">
        <v>4791</v>
      </c>
      <c r="H5328" s="10" t="n">
        <v>3254</v>
      </c>
      <c r="I5328" s="10" t="n">
        <v>25</v>
      </c>
      <c r="J5328" s="10" t="n">
        <v>0</v>
      </c>
      <c r="K5328" s="10" t="s">
        <v>20</v>
      </c>
      <c r="L5328" s="11" t="n">
        <v>39954.1767939815</v>
      </c>
      <c r="M5328" s="12" t="s">
        <v>11555</v>
      </c>
      <c r="N5328" s="12" t="s">
        <v>11556</v>
      </c>
      <c r="O5328" s="9" t="str">
        <f aca="false">HYPERLINK("https://pbs.twimg.com/profile_images/706749745591488512/Y4McqKz2_normal.jpg","View")</f>
        <v>View</v>
      </c>
      <c r="P5328" s="10"/>
    </row>
    <row r="5329" customFormat="false" ht="15.75" hidden="false" customHeight="false" outlineLevel="0" collapsed="false">
      <c r="A5329" s="6" t="n">
        <v>43030.9113425926</v>
      </c>
      <c r="B5329" s="7" t="str">
        <f aca="false">HYPERLINK("https://twitter.com/whencutwit","@whencutwit")</f>
        <v>@whencutwit</v>
      </c>
      <c r="C5329" s="8" t="s">
        <v>12462</v>
      </c>
      <c r="D5329" s="8" t="s">
        <v>8538</v>
      </c>
      <c r="E5329" s="9" t="str">
        <f aca="false">HYPERLINK("https://twitter.com/whencutwit/status/922324788659580928","922324788659580928")</f>
        <v>922324788659580928</v>
      </c>
      <c r="F5329" s="10" t="s">
        <v>25</v>
      </c>
      <c r="G5329" s="10" t="n">
        <v>314</v>
      </c>
      <c r="H5329" s="10" t="n">
        <v>309</v>
      </c>
      <c r="I5329" s="10" t="n">
        <v>1015</v>
      </c>
      <c r="J5329" s="10" t="n">
        <v>0</v>
      </c>
      <c r="K5329" s="10" t="s">
        <v>20</v>
      </c>
      <c r="L5329" s="11" t="n">
        <v>40072.500775463</v>
      </c>
      <c r="M5329" s="12" t="s">
        <v>3588</v>
      </c>
      <c r="N5329" s="12" t="s">
        <v>12463</v>
      </c>
      <c r="O5329" s="9" t="str">
        <f aca="false">HYPERLINK("https://pbs.twimg.com/profile_images/914808013462020096/aokhIGL2_normal.jpg","View")</f>
        <v>View</v>
      </c>
      <c r="P5329" s="10"/>
    </row>
    <row r="5330" customFormat="false" ht="15.75" hidden="false" customHeight="false" outlineLevel="0" collapsed="false">
      <c r="A5330" s="6" t="n">
        <v>43030.911412037</v>
      </c>
      <c r="B5330" s="7" t="str">
        <f aca="false">HYPERLINK("https://twitter.com/Arudhsufi","@Arudhsufi")</f>
        <v>@Arudhsufi</v>
      </c>
      <c r="C5330" s="8" t="s">
        <v>12464</v>
      </c>
      <c r="D5330" s="8" t="s">
        <v>12398</v>
      </c>
      <c r="E5330" s="9" t="str">
        <f aca="false">HYPERLINK("https://twitter.com/Arudhsufi/status/922324815381278720","922324815381278720")</f>
        <v>922324815381278720</v>
      </c>
      <c r="F5330" s="10" t="s">
        <v>1017</v>
      </c>
      <c r="G5330" s="10" t="n">
        <v>114</v>
      </c>
      <c r="H5330" s="10" t="n">
        <v>123</v>
      </c>
      <c r="I5330" s="10" t="n">
        <v>25</v>
      </c>
      <c r="J5330" s="10" t="n">
        <v>0</v>
      </c>
      <c r="K5330" s="10" t="s">
        <v>20</v>
      </c>
      <c r="L5330" s="11" t="n">
        <v>40870.8437847222</v>
      </c>
      <c r="M5330" s="12" t="s">
        <v>12465</v>
      </c>
      <c r="N5330" s="12"/>
      <c r="O5330" s="9" t="str">
        <f aca="false">HYPERLINK("https://pbs.twimg.com/profile_images/923160998797701120/ArhXAqOM_normal.jpg","View")</f>
        <v>View</v>
      </c>
      <c r="P5330" s="10"/>
    </row>
    <row r="5331" customFormat="false" ht="15.75" hidden="false" customHeight="false" outlineLevel="0" collapsed="false">
      <c r="A5331" s="6" t="n">
        <v>43030.9122222222</v>
      </c>
      <c r="B5331" s="7" t="str">
        <f aca="false">HYPERLINK("https://twitter.com/pickooo","@pickooo")</f>
        <v>@pickooo</v>
      </c>
      <c r="C5331" s="8" t="s">
        <v>12466</v>
      </c>
      <c r="D5331" s="8" t="s">
        <v>12398</v>
      </c>
      <c r="E5331" s="9" t="str">
        <f aca="false">HYPERLINK("https://twitter.com/pickooo/status/922325108345118720","922325108345118720")</f>
        <v>922325108345118720</v>
      </c>
      <c r="F5331" s="10" t="s">
        <v>25</v>
      </c>
      <c r="G5331" s="10" t="n">
        <v>4588</v>
      </c>
      <c r="H5331" s="10" t="n">
        <v>395</v>
      </c>
      <c r="I5331" s="10" t="n">
        <v>25</v>
      </c>
      <c r="J5331" s="10" t="n">
        <v>0</v>
      </c>
      <c r="K5331" s="10" t="s">
        <v>20</v>
      </c>
      <c r="L5331" s="11" t="n">
        <v>40153.1281365741</v>
      </c>
      <c r="M5331" s="12" t="s">
        <v>64</v>
      </c>
      <c r="N5331" s="12" t="s">
        <v>12467</v>
      </c>
      <c r="O5331" s="9" t="str">
        <f aca="false">HYPERLINK("https://pbs.twimg.com/profile_images/923711395077558272/8O2ROwwk_normal.jpg","View")</f>
        <v>View</v>
      </c>
      <c r="P5331" s="10"/>
    </row>
    <row r="5332" customFormat="false" ht="15.75" hidden="false" customHeight="false" outlineLevel="0" collapsed="false">
      <c r="A5332" s="6" t="n">
        <v>43030.9126967593</v>
      </c>
      <c r="B5332" s="7" t="str">
        <f aca="false">HYPERLINK("https://twitter.com/miro_bey","@miro_bey")</f>
        <v>@miro_bey</v>
      </c>
      <c r="C5332" s="8" t="s">
        <v>12468</v>
      </c>
      <c r="D5332" s="8" t="s">
        <v>12046</v>
      </c>
      <c r="E5332" s="9" t="str">
        <f aca="false">HYPERLINK("https://twitter.com/miro_bey/status/922325281574137857","922325281574137857")</f>
        <v>922325281574137857</v>
      </c>
      <c r="F5332" s="10" t="s">
        <v>51</v>
      </c>
      <c r="G5332" s="10" t="n">
        <v>1099</v>
      </c>
      <c r="H5332" s="10" t="n">
        <v>457</v>
      </c>
      <c r="I5332" s="10" t="n">
        <v>7</v>
      </c>
      <c r="J5332" s="10" t="n">
        <v>0</v>
      </c>
      <c r="K5332" s="10" t="s">
        <v>20</v>
      </c>
      <c r="L5332" s="11" t="n">
        <v>41634.7252546296</v>
      </c>
      <c r="M5332" s="12"/>
      <c r="N5332" s="12" t="s">
        <v>12469</v>
      </c>
      <c r="O5332" s="9" t="str">
        <f aca="false">HYPERLINK("https://pbs.twimg.com/profile_images/912392692470083584/OQf6pA1F_normal.jpg","View")</f>
        <v>View</v>
      </c>
      <c r="P5332" s="10"/>
    </row>
    <row r="5333" customFormat="false" ht="15.75" hidden="false" customHeight="false" outlineLevel="0" collapsed="false">
      <c r="A5333" s="6" t="n">
        <v>43030.9127199074</v>
      </c>
      <c r="B5333" s="7" t="str">
        <f aca="false">HYPERLINK("https://twitter.com/BiedexTrading","@BiedexTrading")</f>
        <v>@BiedexTrading</v>
      </c>
      <c r="C5333" s="8" t="s">
        <v>12470</v>
      </c>
      <c r="D5333" s="8" t="s">
        <v>12471</v>
      </c>
      <c r="E5333" s="9" t="str">
        <f aca="false">HYPERLINK("https://twitter.com/BiedexTrading/status/922325287496536064","922325287496536064")</f>
        <v>922325287496536064</v>
      </c>
      <c r="F5333" s="10" t="s">
        <v>12472</v>
      </c>
      <c r="G5333" s="10" t="n">
        <v>3325</v>
      </c>
      <c r="H5333" s="10" t="n">
        <v>4982</v>
      </c>
      <c r="I5333" s="10" t="n">
        <v>0</v>
      </c>
      <c r="J5333" s="10" t="n">
        <v>0</v>
      </c>
      <c r="K5333" s="10" t="s">
        <v>20</v>
      </c>
      <c r="L5333" s="11" t="n">
        <v>39857.3349305556</v>
      </c>
      <c r="M5333" s="12" t="s">
        <v>4246</v>
      </c>
      <c r="N5333" s="12" t="s">
        <v>12473</v>
      </c>
      <c r="O5333" s="9" t="str">
        <f aca="false">HYPERLINK("https://pbs.twimg.com/profile_images/440566971260604416/FG_EX0Zc_normal.png","View")</f>
        <v>View</v>
      </c>
      <c r="P5333" s="10"/>
    </row>
    <row r="5334" customFormat="false" ht="15.75" hidden="false" customHeight="false" outlineLevel="0" collapsed="false">
      <c r="A5334" s="6" t="n">
        <v>43030.9127893519</v>
      </c>
      <c r="B5334" s="7" t="str">
        <f aca="false">HYPERLINK("https://twitter.com/sparevivebiz","@sparevivebiz")</f>
        <v>@sparevivebiz</v>
      </c>
      <c r="C5334" s="8" t="s">
        <v>12474</v>
      </c>
      <c r="D5334" s="8" t="s">
        <v>12216</v>
      </c>
      <c r="E5334" s="9" t="str">
        <f aca="false">HYPERLINK("https://twitter.com/sparevivebiz/status/922325312364601344","922325312364601344")</f>
        <v>922325312364601344</v>
      </c>
      <c r="F5334" s="10" t="s">
        <v>25</v>
      </c>
      <c r="G5334" s="10" t="n">
        <v>112</v>
      </c>
      <c r="H5334" s="10" t="n">
        <v>187</v>
      </c>
      <c r="I5334" s="10" t="n">
        <v>16</v>
      </c>
      <c r="J5334" s="10" t="n">
        <v>0</v>
      </c>
      <c r="K5334" s="10" t="s">
        <v>20</v>
      </c>
      <c r="L5334" s="11" t="n">
        <v>41902.4413541667</v>
      </c>
      <c r="M5334" s="12"/>
      <c r="N5334" s="12" t="s">
        <v>12475</v>
      </c>
      <c r="O5334" s="9" t="str">
        <f aca="false">HYPERLINK("https://pbs.twimg.com/profile_images/916700111094370304/is3_uPpv_normal.jpg","View")</f>
        <v>View</v>
      </c>
      <c r="P5334" s="10"/>
    </row>
    <row r="5335" customFormat="false" ht="15.75" hidden="false" customHeight="false" outlineLevel="0" collapsed="false">
      <c r="A5335" s="6" t="n">
        <v>43030.9129282407</v>
      </c>
      <c r="B5335" s="7" t="str">
        <f aca="false">HYPERLINK("https://twitter.com/kuttusenator","@kuttusenator")</f>
        <v>@kuttusenator</v>
      </c>
      <c r="C5335" s="8" t="s">
        <v>12476</v>
      </c>
      <c r="D5335" s="8" t="s">
        <v>8538</v>
      </c>
      <c r="E5335" s="9" t="str">
        <f aca="false">HYPERLINK("https://twitter.com/kuttusenator/status/922325364625600512","922325364625600512")</f>
        <v>922325364625600512</v>
      </c>
      <c r="F5335" s="10" t="s">
        <v>25</v>
      </c>
      <c r="G5335" s="10" t="n">
        <v>74</v>
      </c>
      <c r="H5335" s="10" t="n">
        <v>611</v>
      </c>
      <c r="I5335" s="10" t="n">
        <v>1015</v>
      </c>
      <c r="J5335" s="10" t="n">
        <v>0</v>
      </c>
      <c r="K5335" s="10" t="s">
        <v>20</v>
      </c>
      <c r="L5335" s="11" t="n">
        <v>41559.6608912037</v>
      </c>
      <c r="M5335" s="12"/>
      <c r="N5335" s="12" t="s">
        <v>12477</v>
      </c>
      <c r="O5335" s="9" t="str">
        <f aca="false">HYPERLINK("https://pbs.twimg.com/profile_images/378800000587070617/0dbc403946f38122b2fffe9cc3d88941_normal.jpeg","View")</f>
        <v>View</v>
      </c>
      <c r="P5335" s="10"/>
    </row>
    <row r="5336" customFormat="false" ht="15.75" hidden="false" customHeight="false" outlineLevel="0" collapsed="false">
      <c r="A5336" s="6" t="n">
        <v>43030.9136111111</v>
      </c>
      <c r="B5336" s="7" t="str">
        <f aca="false">HYPERLINK("https://twitter.com/manjul64","@manjul64")</f>
        <v>@manjul64</v>
      </c>
      <c r="C5336" s="8" t="s">
        <v>12478</v>
      </c>
      <c r="D5336" s="8" t="s">
        <v>8538</v>
      </c>
      <c r="E5336" s="9" t="str">
        <f aca="false">HYPERLINK("https://twitter.com/manjul64/status/922325610323615744","922325610323615744")</f>
        <v>922325610323615744</v>
      </c>
      <c r="F5336" s="10" t="s">
        <v>25</v>
      </c>
      <c r="G5336" s="10" t="n">
        <v>96</v>
      </c>
      <c r="H5336" s="10" t="n">
        <v>346</v>
      </c>
      <c r="I5336" s="10" t="n">
        <v>1015</v>
      </c>
      <c r="J5336" s="10" t="n">
        <v>0</v>
      </c>
      <c r="K5336" s="10" t="s">
        <v>20</v>
      </c>
      <c r="L5336" s="11" t="n">
        <v>40101.9997685185</v>
      </c>
      <c r="M5336" s="12"/>
      <c r="N5336" s="12" t="s">
        <v>12479</v>
      </c>
      <c r="O5336" s="9" t="str">
        <f aca="false">HYPERLINK("https://pbs.twimg.com/profile_images/920685589954936837/wN0Igj7d_normal.jpg","View")</f>
        <v>View</v>
      </c>
      <c r="P5336" s="10"/>
    </row>
    <row r="5337" customFormat="false" ht="15.75" hidden="false" customHeight="false" outlineLevel="0" collapsed="false">
      <c r="A5337" s="6" t="n">
        <v>43030.9137268519</v>
      </c>
      <c r="B5337" s="7" t="str">
        <f aca="false">HYPERLINK("https://twitter.com/Sampatkanand","@Sampatkanand")</f>
        <v>@Sampatkanand</v>
      </c>
      <c r="C5337" s="8" t="s">
        <v>12480</v>
      </c>
      <c r="D5337" s="8" t="s">
        <v>8538</v>
      </c>
      <c r="E5337" s="9" t="str">
        <f aca="false">HYPERLINK("https://twitter.com/Sampatkanand/status/922325652476272640","922325652476272640")</f>
        <v>922325652476272640</v>
      </c>
      <c r="F5337" s="10" t="s">
        <v>25</v>
      </c>
      <c r="G5337" s="10" t="n">
        <v>538</v>
      </c>
      <c r="H5337" s="10" t="n">
        <v>761</v>
      </c>
      <c r="I5337" s="10" t="n">
        <v>1015</v>
      </c>
      <c r="J5337" s="10" t="n">
        <v>0</v>
      </c>
      <c r="K5337" s="10" t="s">
        <v>20</v>
      </c>
      <c r="L5337" s="11" t="n">
        <v>41479.4497106482</v>
      </c>
      <c r="M5337" s="12" t="s">
        <v>72</v>
      </c>
      <c r="N5337" s="12" t="s">
        <v>12481</v>
      </c>
      <c r="O5337" s="9" t="str">
        <f aca="false">HYPERLINK("https://pbs.twimg.com/profile_images/787132546609876992/MiCvZZ62_normal.jpg","View")</f>
        <v>View</v>
      </c>
      <c r="P5337" s="10"/>
    </row>
    <row r="5338" customFormat="false" ht="15.75" hidden="false" customHeight="false" outlineLevel="0" collapsed="false">
      <c r="A5338" s="6" t="n">
        <v>43030.9138773148</v>
      </c>
      <c r="B5338" s="7" t="str">
        <f aca="false">HYPERLINK("https://twitter.com/harishbakshi30","@harishbakshi30")</f>
        <v>@harishbakshi30</v>
      </c>
      <c r="C5338" s="8" t="s">
        <v>12482</v>
      </c>
      <c r="D5338" s="8" t="s">
        <v>8538</v>
      </c>
      <c r="E5338" s="9" t="str">
        <f aca="false">HYPERLINK("https://twitter.com/harishbakshi30/status/922325707165802497","922325707165802497")</f>
        <v>922325707165802497</v>
      </c>
      <c r="F5338" s="10" t="s">
        <v>25</v>
      </c>
      <c r="G5338" s="10" t="n">
        <v>1354</v>
      </c>
      <c r="H5338" s="10" t="n">
        <v>1374</v>
      </c>
      <c r="I5338" s="10" t="n">
        <v>1015</v>
      </c>
      <c r="J5338" s="10" t="n">
        <v>0</v>
      </c>
      <c r="K5338" s="10" t="s">
        <v>20</v>
      </c>
      <c r="L5338" s="11" t="n">
        <v>40244.1206712963</v>
      </c>
      <c r="M5338" s="12" t="s">
        <v>72</v>
      </c>
      <c r="N5338" s="12" t="s">
        <v>12483</v>
      </c>
      <c r="O5338" s="9" t="str">
        <f aca="false">HYPERLINK("https://pbs.twimg.com/profile_images/701083148952563712/bBbOShsC_normal.jpg","View")</f>
        <v>View</v>
      </c>
      <c r="P5338" s="10"/>
    </row>
    <row r="5339" customFormat="false" ht="15.75" hidden="false" customHeight="false" outlineLevel="0" collapsed="false">
      <c r="A5339" s="6" t="n">
        <v>43030.9146064815</v>
      </c>
      <c r="B5339" s="7" t="str">
        <f aca="false">HYPERLINK("https://twitter.com/DaleF3","@DaleF3")</f>
        <v>@DaleF3</v>
      </c>
      <c r="C5339" s="8" t="s">
        <v>12484</v>
      </c>
      <c r="D5339" s="8" t="s">
        <v>12216</v>
      </c>
      <c r="E5339" s="9" t="str">
        <f aca="false">HYPERLINK("https://twitter.com/DaleF3/status/922325974628184064","922325974628184064")</f>
        <v>922325974628184064</v>
      </c>
      <c r="F5339" s="10" t="s">
        <v>98</v>
      </c>
      <c r="G5339" s="10" t="n">
        <v>7262</v>
      </c>
      <c r="H5339" s="10" t="n">
        <v>6906</v>
      </c>
      <c r="I5339" s="10" t="n">
        <v>16</v>
      </c>
      <c r="J5339" s="10" t="n">
        <v>0</v>
      </c>
      <c r="K5339" s="10" t="s">
        <v>20</v>
      </c>
      <c r="L5339" s="11" t="n">
        <v>39917.5795717593</v>
      </c>
      <c r="M5339" s="12" t="s">
        <v>12485</v>
      </c>
      <c r="N5339" s="12" t="s">
        <v>12486</v>
      </c>
      <c r="O5339" s="9" t="str">
        <f aca="false">HYPERLINK("https://pbs.twimg.com/profile_images/801903216745062400/lNDHDBAq_normal.jpg","View")</f>
        <v>View</v>
      </c>
      <c r="P5339" s="10"/>
    </row>
    <row r="5340" customFormat="false" ht="15.75" hidden="false" customHeight="false" outlineLevel="0" collapsed="false">
      <c r="A5340" s="6" t="n">
        <v>43030.9149768519</v>
      </c>
      <c r="B5340" s="7" t="str">
        <f aca="false">HYPERLINK("https://twitter.com/clara111","@clara111")</f>
        <v>@clara111</v>
      </c>
      <c r="C5340" s="8" t="s">
        <v>12487</v>
      </c>
      <c r="D5340" s="8" t="s">
        <v>12488</v>
      </c>
      <c r="E5340" s="9" t="str">
        <f aca="false">HYPERLINK("https://twitter.com/clara111/status/922326108816723968","922326108816723968")</f>
        <v>922326108816723968</v>
      </c>
      <c r="F5340" s="10" t="s">
        <v>39</v>
      </c>
      <c r="G5340" s="10" t="n">
        <v>8407</v>
      </c>
      <c r="H5340" s="10" t="n">
        <v>5590</v>
      </c>
      <c r="I5340" s="10" t="n">
        <v>63</v>
      </c>
      <c r="J5340" s="10" t="n">
        <v>164</v>
      </c>
      <c r="K5340" s="10" t="s">
        <v>20</v>
      </c>
      <c r="L5340" s="11" t="n">
        <v>40233.2248148148</v>
      </c>
      <c r="M5340" s="12"/>
      <c r="N5340" s="12" t="s">
        <v>12489</v>
      </c>
      <c r="O5340" s="9" t="str">
        <f aca="false">HYPERLINK("https://pbs.twimg.com/profile_images/870158636219236352/Di-Vel_D_normal.jpg","View")</f>
        <v>View</v>
      </c>
      <c r="P5340" s="10"/>
    </row>
    <row r="5341" customFormat="false" ht="15.75" hidden="false" customHeight="false" outlineLevel="0" collapsed="false">
      <c r="A5341" s="6" t="n">
        <v>43030.9150694444</v>
      </c>
      <c r="B5341" s="7" t="str">
        <f aca="false">HYPERLINK("https://twitter.com/martinkumbidy","@martinkumbidy")</f>
        <v>@martinkumbidy</v>
      </c>
      <c r="C5341" s="8" t="s">
        <v>12490</v>
      </c>
      <c r="D5341" s="8" t="s">
        <v>12398</v>
      </c>
      <c r="E5341" s="9" t="str">
        <f aca="false">HYPERLINK("https://twitter.com/martinkumbidy/status/922326141125480448","922326141125480448")</f>
        <v>922326141125480448</v>
      </c>
      <c r="F5341" s="10" t="s">
        <v>39</v>
      </c>
      <c r="G5341" s="10" t="n">
        <v>209</v>
      </c>
      <c r="H5341" s="10" t="n">
        <v>2757</v>
      </c>
      <c r="I5341" s="10" t="n">
        <v>25</v>
      </c>
      <c r="J5341" s="10" t="n">
        <v>0</v>
      </c>
      <c r="K5341" s="10" t="s">
        <v>20</v>
      </c>
      <c r="L5341" s="11" t="n">
        <v>40286.9562615741</v>
      </c>
      <c r="M5341" s="12" t="s">
        <v>72</v>
      </c>
      <c r="N5341" s="12" t="s">
        <v>12491</v>
      </c>
      <c r="O5341" s="9" t="str">
        <f aca="false">HYPERLINK("https://pbs.twimg.com/profile_images/834779841/Martin_normal.jpg","View")</f>
        <v>View</v>
      </c>
      <c r="P5341" s="10"/>
    </row>
    <row r="5342" customFormat="false" ht="15.75" hidden="false" customHeight="false" outlineLevel="0" collapsed="false">
      <c r="A5342" s="6" t="n">
        <v>43030.915787037</v>
      </c>
      <c r="B5342" s="7" t="str">
        <f aca="false">HYPERLINK("https://twitter.com/USB55700200","@USB55700200")</f>
        <v>@USB55700200</v>
      </c>
      <c r="C5342" s="14" t="s">
        <v>9973</v>
      </c>
      <c r="D5342" s="8" t="s">
        <v>11418</v>
      </c>
      <c r="E5342" s="9" t="str">
        <f aca="false">HYPERLINK("https://twitter.com/USB55700200/status/922326399871959041","922326399871959041")</f>
        <v>922326399871959041</v>
      </c>
      <c r="F5342" s="10" t="s">
        <v>51</v>
      </c>
      <c r="G5342" s="10" t="n">
        <v>129</v>
      </c>
      <c r="H5342" s="10" t="n">
        <v>25</v>
      </c>
      <c r="I5342" s="10" t="n">
        <v>38</v>
      </c>
      <c r="J5342" s="10" t="n">
        <v>0</v>
      </c>
      <c r="K5342" s="10" t="s">
        <v>20</v>
      </c>
      <c r="L5342" s="11" t="n">
        <v>42545.454837963</v>
      </c>
      <c r="M5342" s="12"/>
      <c r="N5342" s="12" t="s">
        <v>9974</v>
      </c>
      <c r="O5342" s="9" t="str">
        <f aca="false">HYPERLINK("https://pbs.twimg.com/profile_images/757094560216428544/4DWjQD_O_normal.jpg","View")</f>
        <v>View</v>
      </c>
      <c r="P5342" s="10"/>
    </row>
    <row r="5343" customFormat="false" ht="15.75" hidden="false" customHeight="false" outlineLevel="0" collapsed="false">
      <c r="A5343" s="6" t="n">
        <v>43030.9163194444</v>
      </c>
      <c r="B5343" s="7" t="str">
        <f aca="false">HYPERLINK("https://twitter.com/kiyomihash1","@kiyomihash1")</f>
        <v>@kiyomihash1</v>
      </c>
      <c r="C5343" s="8" t="s">
        <v>12492</v>
      </c>
      <c r="D5343" s="8" t="s">
        <v>12493</v>
      </c>
      <c r="E5343" s="9" t="str">
        <f aca="false">HYPERLINK("https://twitter.com/kiyomihash1/status/922326592147394560","922326592147394560")</f>
        <v>922326592147394560</v>
      </c>
      <c r="F5343" s="10" t="s">
        <v>51</v>
      </c>
      <c r="G5343" s="10" t="n">
        <v>875</v>
      </c>
      <c r="H5343" s="10" t="n">
        <v>175</v>
      </c>
      <c r="I5343" s="10" t="n">
        <v>63</v>
      </c>
      <c r="J5343" s="10" t="n">
        <v>0</v>
      </c>
      <c r="K5343" s="10" t="s">
        <v>20</v>
      </c>
      <c r="L5343" s="11" t="n">
        <v>42063.3742708333</v>
      </c>
      <c r="M5343" s="12"/>
      <c r="N5343" s="13" t="s">
        <v>12494</v>
      </c>
      <c r="O5343" s="9" t="str">
        <f aca="false">HYPERLINK("https://pbs.twimg.com/profile_images/860727790966124544/lCZMR7Ll_normal.jpg","View")</f>
        <v>View</v>
      </c>
      <c r="P5343" s="10"/>
    </row>
    <row r="5344" customFormat="false" ht="15.75" hidden="false" customHeight="false" outlineLevel="0" collapsed="false">
      <c r="A5344" s="6" t="n">
        <v>43030.9167708333</v>
      </c>
      <c r="B5344" s="7" t="str">
        <f aca="false">HYPERLINK("https://twitter.com/tranhieuz24281","@tranhieuz24281")</f>
        <v>@tranhieuz24281</v>
      </c>
      <c r="C5344" s="8" t="s">
        <v>12495</v>
      </c>
      <c r="D5344" s="8" t="s">
        <v>12496</v>
      </c>
      <c r="E5344" s="9" t="str">
        <f aca="false">HYPERLINK("https://twitter.com/tranhieuz24281/status/922326758027939840","922326758027939840")</f>
        <v>922326758027939840</v>
      </c>
      <c r="F5344" s="10" t="s">
        <v>55</v>
      </c>
      <c r="G5344" s="10" t="n">
        <v>539</v>
      </c>
      <c r="H5344" s="10" t="n">
        <v>4784</v>
      </c>
      <c r="I5344" s="10" t="n">
        <v>0</v>
      </c>
      <c r="J5344" s="10" t="n">
        <v>0</v>
      </c>
      <c r="K5344" s="10" t="s">
        <v>20</v>
      </c>
      <c r="L5344" s="11" t="n">
        <v>42603.3258564815</v>
      </c>
      <c r="M5344" s="12"/>
      <c r="N5344" s="12"/>
      <c r="O5344" s="9" t="str">
        <f aca="false">HYPERLINK("https://pbs.twimg.com/profile_images/782528412304838657/kuTJTdA1_normal.jpg","View")</f>
        <v>View</v>
      </c>
      <c r="P5344" s="10"/>
    </row>
    <row r="5345" customFormat="false" ht="15.75" hidden="false" customHeight="false" outlineLevel="0" collapsed="false">
      <c r="A5345" s="6" t="n">
        <v>43030.9172916667</v>
      </c>
      <c r="B5345" s="7" t="str">
        <f aca="false">HYPERLINK("https://twitter.com/YourAnonRevolt","@YourAnonRevolt")</f>
        <v>@YourAnonRevolt</v>
      </c>
      <c r="C5345" s="8" t="s">
        <v>2284</v>
      </c>
      <c r="D5345" s="8" t="s">
        <v>9205</v>
      </c>
      <c r="E5345" s="9" t="str">
        <f aca="false">HYPERLINK("https://twitter.com/YourAnonRevolt/status/922326945416622080","922326945416622080")</f>
        <v>922326945416622080</v>
      </c>
      <c r="F5345" s="10" t="s">
        <v>39</v>
      </c>
      <c r="G5345" s="10" t="n">
        <v>11181</v>
      </c>
      <c r="H5345" s="10" t="n">
        <v>4106</v>
      </c>
      <c r="I5345" s="10" t="n">
        <v>6</v>
      </c>
      <c r="J5345" s="10" t="n">
        <v>0</v>
      </c>
      <c r="K5345" s="10" t="s">
        <v>20</v>
      </c>
      <c r="L5345" s="11" t="n">
        <v>42478.1002199074</v>
      </c>
      <c r="M5345" s="12" t="s">
        <v>2285</v>
      </c>
      <c r="N5345" s="12" t="s">
        <v>2286</v>
      </c>
      <c r="O5345" s="9" t="str">
        <f aca="false">HYPERLINK("https://pbs.twimg.com/profile_images/881398153030713344/FN9uhI_M_normal.jpg","View")</f>
        <v>View</v>
      </c>
      <c r="P5345" s="10"/>
    </row>
    <row r="5346" customFormat="false" ht="15.75" hidden="false" customHeight="false" outlineLevel="0" collapsed="false">
      <c r="A5346" s="6" t="n">
        <v>43030.9174652778</v>
      </c>
      <c r="B5346" s="7" t="str">
        <f aca="false">HYPERLINK("https://twitter.com/vedulasimham","@vedulasimham")</f>
        <v>@vedulasimham</v>
      </c>
      <c r="C5346" s="8" t="s">
        <v>12497</v>
      </c>
      <c r="D5346" s="8" t="s">
        <v>12498</v>
      </c>
      <c r="E5346" s="9" t="str">
        <f aca="false">HYPERLINK("https://twitter.com/vedulasimham/status/922327007677108225","922327007677108225")</f>
        <v>922327007677108225</v>
      </c>
      <c r="F5346" s="10" t="s">
        <v>47</v>
      </c>
      <c r="G5346" s="10" t="n">
        <v>78</v>
      </c>
      <c r="H5346" s="10" t="n">
        <v>138</v>
      </c>
      <c r="I5346" s="10" t="n">
        <v>0</v>
      </c>
      <c r="J5346" s="10" t="n">
        <v>0</v>
      </c>
      <c r="K5346" s="10" t="s">
        <v>20</v>
      </c>
      <c r="L5346" s="11" t="n">
        <v>42086.4326388889</v>
      </c>
      <c r="M5346" s="12" t="s">
        <v>12499</v>
      </c>
      <c r="N5346" s="12" t="s">
        <v>12500</v>
      </c>
      <c r="O5346" s="9" t="str">
        <f aca="false">HYPERLINK("https://pbs.twimg.com/profile_images/819221796436242433/txfxn7nL_normal.jpg","View")</f>
        <v>View</v>
      </c>
      <c r="P5346" s="10"/>
    </row>
    <row r="5347" customFormat="false" ht="15.75" hidden="false" customHeight="false" outlineLevel="0" collapsed="false">
      <c r="A5347" s="6" t="n">
        <v>43030.9174884259</v>
      </c>
      <c r="B5347" s="7" t="str">
        <f aca="false">HYPERLINK("https://twitter.com/Kuralin222","@Kuralin222")</f>
        <v>@Kuralin222</v>
      </c>
      <c r="C5347" s="8" t="s">
        <v>12501</v>
      </c>
      <c r="D5347" s="8" t="s">
        <v>12493</v>
      </c>
      <c r="E5347" s="9" t="str">
        <f aca="false">HYPERLINK("https://twitter.com/Kuralin222/status/922327015021088768","922327015021088768")</f>
        <v>922327015021088768</v>
      </c>
      <c r="F5347" s="10" t="s">
        <v>25</v>
      </c>
      <c r="G5347" s="10" t="n">
        <v>64</v>
      </c>
      <c r="H5347" s="10" t="n">
        <v>235</v>
      </c>
      <c r="I5347" s="10" t="n">
        <v>63</v>
      </c>
      <c r="J5347" s="10" t="n">
        <v>0</v>
      </c>
      <c r="K5347" s="10" t="s">
        <v>20</v>
      </c>
      <c r="L5347" s="11" t="n">
        <v>42805.0285300926</v>
      </c>
      <c r="M5347" s="12"/>
      <c r="N5347" s="13" t="s">
        <v>12502</v>
      </c>
      <c r="O5347" s="9" t="str">
        <f aca="false">HYPERLINK("https://pbs.twimg.com/profile_images/840487521578450944/l3fny_VU_normal.jpg","View")</f>
        <v>View</v>
      </c>
      <c r="P5347" s="10"/>
    </row>
    <row r="5348" customFormat="false" ht="15.75" hidden="false" customHeight="false" outlineLevel="0" collapsed="false">
      <c r="A5348" s="6" t="n">
        <v>43030.9186342593</v>
      </c>
      <c r="B5348" s="7" t="str">
        <f aca="false">HYPERLINK("https://twitter.com/mehtamai486","@mehtamai486")</f>
        <v>@mehtamai486</v>
      </c>
      <c r="C5348" s="8" t="s">
        <v>12503</v>
      </c>
      <c r="D5348" s="8" t="s">
        <v>8538</v>
      </c>
      <c r="E5348" s="9" t="str">
        <f aca="false">HYPERLINK("https://twitter.com/mehtamai486/status/922327432652259328","922327432652259328")</f>
        <v>922327432652259328</v>
      </c>
      <c r="F5348" s="10" t="s">
        <v>25</v>
      </c>
      <c r="G5348" s="10" t="n">
        <v>217</v>
      </c>
      <c r="H5348" s="10" t="n">
        <v>124</v>
      </c>
      <c r="I5348" s="10" t="n">
        <v>1015</v>
      </c>
      <c r="J5348" s="10" t="n">
        <v>0</v>
      </c>
      <c r="K5348" s="10" t="s">
        <v>20</v>
      </c>
      <c r="L5348" s="11" t="n">
        <v>41714.1281597222</v>
      </c>
      <c r="M5348" s="12"/>
      <c r="N5348" s="12" t="s">
        <v>12504</v>
      </c>
      <c r="O5348" s="9" t="str">
        <f aca="false">HYPERLINK("https://pbs.twimg.com/profile_images/700573259658448897/-7xb8wMS_normal.jpg","View")</f>
        <v>View</v>
      </c>
      <c r="P5348" s="10"/>
    </row>
    <row r="5349" customFormat="false" ht="15.75" hidden="false" customHeight="false" outlineLevel="0" collapsed="false">
      <c r="A5349" s="6" t="n">
        <v>43030.91875</v>
      </c>
      <c r="B5349" s="7" t="str">
        <f aca="false">HYPERLINK("https://twitter.com/mr62n","@mr62n")</f>
        <v>@mr62n</v>
      </c>
      <c r="C5349" s="14" t="s">
        <v>12505</v>
      </c>
      <c r="D5349" s="8" t="s">
        <v>9783</v>
      </c>
      <c r="E5349" s="9" t="str">
        <f aca="false">HYPERLINK("https://twitter.com/mr62n/status/922327475660529664","922327475660529664")</f>
        <v>922327475660529664</v>
      </c>
      <c r="F5349" s="10" t="s">
        <v>25</v>
      </c>
      <c r="G5349" s="10" t="n">
        <v>288</v>
      </c>
      <c r="H5349" s="10" t="n">
        <v>460</v>
      </c>
      <c r="I5349" s="10" t="n">
        <v>17</v>
      </c>
      <c r="J5349" s="10" t="n">
        <v>0</v>
      </c>
      <c r="K5349" s="10" t="s">
        <v>20</v>
      </c>
      <c r="L5349" s="11" t="n">
        <v>41061.0043402778</v>
      </c>
      <c r="M5349" s="12" t="s">
        <v>12506</v>
      </c>
      <c r="N5349" s="12" t="s">
        <v>12507</v>
      </c>
      <c r="O5349" s="9" t="str">
        <f aca="false">HYPERLINK("https://pbs.twimg.com/profile_images/2300271262/x0wd0168llq20bdxlwyi_normal.jpeg","View")</f>
        <v>View</v>
      </c>
      <c r="P5349" s="10"/>
    </row>
    <row r="5350" customFormat="false" ht="15.75" hidden="false" customHeight="false" outlineLevel="0" collapsed="false">
      <c r="A5350" s="6" t="n">
        <v>43030.9188888889</v>
      </c>
      <c r="B5350" s="7" t="str">
        <f aca="false">HYPERLINK("https://twitter.com/Teamster160","@Teamster160")</f>
        <v>@Teamster160</v>
      </c>
      <c r="C5350" s="8" t="s">
        <v>12508</v>
      </c>
      <c r="D5350" s="8" t="s">
        <v>12216</v>
      </c>
      <c r="E5350" s="9" t="str">
        <f aca="false">HYPERLINK("https://twitter.com/Teamster160/status/922327522636857344","922327522636857344")</f>
        <v>922327522636857344</v>
      </c>
      <c r="F5350" s="10" t="s">
        <v>25</v>
      </c>
      <c r="G5350" s="10" t="n">
        <v>1579</v>
      </c>
      <c r="H5350" s="10" t="n">
        <v>2554</v>
      </c>
      <c r="I5350" s="10" t="n">
        <v>16</v>
      </c>
      <c r="J5350" s="10" t="n">
        <v>0</v>
      </c>
      <c r="K5350" s="10" t="s">
        <v>20</v>
      </c>
      <c r="L5350" s="11" t="n">
        <v>40564.1965972222</v>
      </c>
      <c r="M5350" s="12" t="s">
        <v>12509</v>
      </c>
      <c r="N5350" s="12" t="s">
        <v>12510</v>
      </c>
      <c r="O5350" s="9" t="str">
        <f aca="false">HYPERLINK("https://pbs.twimg.com/profile_images/776747258121490432/QSrXXky-_normal.jpg","View")</f>
        <v>View</v>
      </c>
      <c r="P5350" s="10"/>
    </row>
    <row r="5351" customFormat="false" ht="15.75" hidden="false" customHeight="false" outlineLevel="0" collapsed="false">
      <c r="A5351" s="6" t="n">
        <v>43030.9189814815</v>
      </c>
      <c r="B5351" s="7" t="str">
        <f aca="false">HYPERLINK("https://twitter.com/CraigWeissenbe1","@CraigWeissenbe1")</f>
        <v>@CraigWeissenbe1</v>
      </c>
      <c r="C5351" s="8" t="s">
        <v>12511</v>
      </c>
      <c r="D5351" s="8" t="s">
        <v>12512</v>
      </c>
      <c r="E5351" s="9" t="str">
        <f aca="false">HYPERLINK("https://twitter.com/CraigWeissenbe1/status/922327557990748160","922327557990748160")</f>
        <v>922327557990748160</v>
      </c>
      <c r="F5351" s="10" t="s">
        <v>60</v>
      </c>
      <c r="G5351" s="10" t="n">
        <v>106</v>
      </c>
      <c r="H5351" s="10" t="n">
        <v>195</v>
      </c>
      <c r="I5351" s="10" t="n">
        <v>0</v>
      </c>
      <c r="J5351" s="10" t="n">
        <v>0</v>
      </c>
      <c r="K5351" s="10" t="s">
        <v>20</v>
      </c>
      <c r="L5351" s="11" t="n">
        <v>42222.2915740741</v>
      </c>
      <c r="M5351" s="12" t="s">
        <v>12513</v>
      </c>
      <c r="N5351" s="12" t="s">
        <v>12514</v>
      </c>
      <c r="O5351" s="9" t="str">
        <f aca="false">HYPERLINK("https://pbs.twimg.com/profile_images/629291224130830336/F_tgpUNK_normal.jpg","View")</f>
        <v>View</v>
      </c>
      <c r="P5351" s="10"/>
    </row>
    <row r="5352" customFormat="false" ht="15.75" hidden="false" customHeight="false" outlineLevel="0" collapsed="false">
      <c r="A5352" s="6" t="n">
        <v>43030.9190046296</v>
      </c>
      <c r="B5352" s="7" t="str">
        <f aca="false">HYPERLINK("https://twitter.com/kanswekri","@kanswekri")</f>
        <v>@kanswekri</v>
      </c>
      <c r="C5352" s="8" t="s">
        <v>12515</v>
      </c>
      <c r="D5352" s="8" t="s">
        <v>8538</v>
      </c>
      <c r="E5352" s="9" t="str">
        <f aca="false">HYPERLINK("https://twitter.com/kanswekri/status/922327564621774848","922327564621774848")</f>
        <v>922327564621774848</v>
      </c>
      <c r="F5352" s="10" t="s">
        <v>25</v>
      </c>
      <c r="G5352" s="10" t="n">
        <v>191</v>
      </c>
      <c r="H5352" s="10" t="n">
        <v>73</v>
      </c>
      <c r="I5352" s="10" t="n">
        <v>1015</v>
      </c>
      <c r="J5352" s="10" t="n">
        <v>0</v>
      </c>
      <c r="K5352" s="10" t="s">
        <v>20</v>
      </c>
      <c r="L5352" s="11" t="n">
        <v>41759.1509143518</v>
      </c>
      <c r="M5352" s="12" t="s">
        <v>3588</v>
      </c>
      <c r="N5352" s="12" t="s">
        <v>12516</v>
      </c>
      <c r="O5352" s="9" t="str">
        <f aca="false">HYPERLINK("https://pbs.twimg.com/profile_images/897833839350882305/pjyoqyZf_normal.jpg","View")</f>
        <v>View</v>
      </c>
      <c r="P5352" s="10"/>
    </row>
    <row r="5353" customFormat="false" ht="15.75" hidden="false" customHeight="false" outlineLevel="0" collapsed="false">
      <c r="A5353" s="6" t="n">
        <v>43030.9191319445</v>
      </c>
      <c r="B5353" s="7" t="str">
        <f aca="false">HYPERLINK("https://twitter.com/Viveksh99072939","@Viveksh99072939")</f>
        <v>@Viveksh99072939</v>
      </c>
      <c r="C5353" s="8" t="s">
        <v>12517</v>
      </c>
      <c r="D5353" s="8" t="s">
        <v>12398</v>
      </c>
      <c r="E5353" s="9" t="str">
        <f aca="false">HYPERLINK("https://twitter.com/Viveksh99072939/status/922327613145677824","922327613145677824")</f>
        <v>922327613145677824</v>
      </c>
      <c r="F5353" s="10" t="s">
        <v>25</v>
      </c>
      <c r="G5353" s="10" t="n">
        <v>308</v>
      </c>
      <c r="H5353" s="10" t="n">
        <v>621</v>
      </c>
      <c r="I5353" s="10" t="n">
        <v>25</v>
      </c>
      <c r="J5353" s="10" t="n">
        <v>0</v>
      </c>
      <c r="K5353" s="10" t="s">
        <v>20</v>
      </c>
      <c r="L5353" s="11" t="n">
        <v>42976.3417013889</v>
      </c>
      <c r="M5353" s="12" t="s">
        <v>12518</v>
      </c>
      <c r="N5353" s="12" t="s">
        <v>12519</v>
      </c>
      <c r="O5353" s="9" t="str">
        <f aca="false">HYPERLINK("https://pbs.twimg.com/profile_images/923865707015651330/GbuEf4s9_normal.jpg","View")</f>
        <v>View</v>
      </c>
      <c r="P5353" s="10"/>
    </row>
    <row r="5354" customFormat="false" ht="15.75" hidden="false" customHeight="false" outlineLevel="0" collapsed="false">
      <c r="A5354" s="6" t="n">
        <v>43030.9200347222</v>
      </c>
      <c r="B5354" s="7" t="str">
        <f aca="false">HYPERLINK("https://twitter.com/morris0731","@morris0731")</f>
        <v>@morris0731</v>
      </c>
      <c r="C5354" s="8" t="s">
        <v>7314</v>
      </c>
      <c r="D5354" s="8" t="s">
        <v>12493</v>
      </c>
      <c r="E5354" s="9" t="str">
        <f aca="false">HYPERLINK("https://twitter.com/morris0731/status/922327938615320578","922327938615320578")</f>
        <v>922327938615320578</v>
      </c>
      <c r="F5354" s="10" t="s">
        <v>25</v>
      </c>
      <c r="G5354" s="10" t="n">
        <v>1019</v>
      </c>
      <c r="H5354" s="10" t="n">
        <v>1164</v>
      </c>
      <c r="I5354" s="10" t="n">
        <v>63</v>
      </c>
      <c r="J5354" s="10" t="n">
        <v>0</v>
      </c>
      <c r="K5354" s="10" t="s">
        <v>20</v>
      </c>
      <c r="L5354" s="11" t="n">
        <v>42883.8446875</v>
      </c>
      <c r="M5354" s="12"/>
      <c r="N5354" s="12" t="s">
        <v>7315</v>
      </c>
      <c r="O5354" s="9" t="str">
        <f aca="false">HYPERLINK("https://pbs.twimg.com/profile_images/869031307296219137/gBU1l-q7_normal.jpg","View")</f>
        <v>View</v>
      </c>
      <c r="P5354" s="10"/>
    </row>
    <row r="5355" customFormat="false" ht="15.75" hidden="false" customHeight="false" outlineLevel="0" collapsed="false">
      <c r="A5355" s="6" t="n">
        <v>43030.9200694444</v>
      </c>
      <c r="B5355" s="7" t="str">
        <f aca="false">HYPERLINK("https://twitter.com/hemant_great","@hemant_great")</f>
        <v>@hemant_great</v>
      </c>
      <c r="C5355" s="8" t="s">
        <v>12520</v>
      </c>
      <c r="D5355" s="8" t="s">
        <v>12398</v>
      </c>
      <c r="E5355" s="9" t="str">
        <f aca="false">HYPERLINK("https://twitter.com/hemant_great/status/922327950355152896","922327950355152896")</f>
        <v>922327950355152896</v>
      </c>
      <c r="F5355" s="10" t="s">
        <v>98</v>
      </c>
      <c r="G5355" s="10" t="n">
        <v>730</v>
      </c>
      <c r="H5355" s="10" t="n">
        <v>1131</v>
      </c>
      <c r="I5355" s="10" t="n">
        <v>25</v>
      </c>
      <c r="J5355" s="10" t="n">
        <v>0</v>
      </c>
      <c r="K5355" s="10" t="s">
        <v>20</v>
      </c>
      <c r="L5355" s="11" t="n">
        <v>42735.8729861111</v>
      </c>
      <c r="M5355" s="12" t="s">
        <v>12521</v>
      </c>
      <c r="N5355" s="12" t="s">
        <v>12522</v>
      </c>
      <c r="O5355" s="9" t="str">
        <f aca="false">HYPERLINK("https://pbs.twimg.com/profile_images/900335254371565569/oRraK3dP_normal.jpg","View")</f>
        <v>View</v>
      </c>
      <c r="P5355" s="10"/>
    </row>
    <row r="5356" customFormat="false" ht="15.75" hidden="false" customHeight="false" outlineLevel="0" collapsed="false">
      <c r="A5356" s="6" t="n">
        <v>43030.9201851852</v>
      </c>
      <c r="B5356" s="7" t="str">
        <f aca="false">HYPERLINK("https://twitter.com/AV_AMITJAIN","@AV_AMITJAIN")</f>
        <v>@AV_AMITJAIN</v>
      </c>
      <c r="C5356" s="8" t="s">
        <v>12523</v>
      </c>
      <c r="D5356" s="8" t="s">
        <v>8538</v>
      </c>
      <c r="E5356" s="9" t="str">
        <f aca="false">HYPERLINK("https://twitter.com/AV_AMITJAIN/status/922327994076504064","922327994076504064")</f>
        <v>922327994076504064</v>
      </c>
      <c r="F5356" s="10" t="s">
        <v>25</v>
      </c>
      <c r="G5356" s="10" t="n">
        <v>255</v>
      </c>
      <c r="H5356" s="10" t="n">
        <v>302</v>
      </c>
      <c r="I5356" s="10" t="n">
        <v>1015</v>
      </c>
      <c r="J5356" s="10" t="n">
        <v>0</v>
      </c>
      <c r="K5356" s="10" t="s">
        <v>20</v>
      </c>
      <c r="L5356" s="11" t="n">
        <v>40304.4204861111</v>
      </c>
      <c r="M5356" s="12" t="s">
        <v>64</v>
      </c>
      <c r="N5356" s="12" t="s">
        <v>12524</v>
      </c>
      <c r="O5356" s="9" t="str">
        <f aca="false">HYPERLINK("https://pbs.twimg.com/profile_images/828166514633093120/KjNyzwBq_normal.jpg","View")</f>
        <v>View</v>
      </c>
      <c r="P5356" s="10"/>
    </row>
    <row r="5357" customFormat="false" ht="15.75" hidden="false" customHeight="false" outlineLevel="0" collapsed="false">
      <c r="A5357" s="6" t="n">
        <v>43030.9204166667</v>
      </c>
      <c r="B5357" s="7" t="str">
        <f aca="false">HYPERLINK("https://twitter.com/newslivenetwork","@newslivenetwork")</f>
        <v>@newslivenetwork</v>
      </c>
      <c r="C5357" s="8" t="s">
        <v>1668</v>
      </c>
      <c r="D5357" s="8" t="s">
        <v>12525</v>
      </c>
      <c r="E5357" s="9" t="str">
        <f aca="false">HYPERLINK("https://twitter.com/newslivenetwork/status/922328077237194752","922328077237194752")</f>
        <v>922328077237194752</v>
      </c>
      <c r="F5357" s="10" t="s">
        <v>55</v>
      </c>
      <c r="G5357" s="10" t="n">
        <v>272</v>
      </c>
      <c r="H5357" s="10" t="n">
        <v>87</v>
      </c>
      <c r="I5357" s="10" t="n">
        <v>0</v>
      </c>
      <c r="J5357" s="10" t="n">
        <v>0</v>
      </c>
      <c r="K5357" s="10" t="s">
        <v>20</v>
      </c>
      <c r="L5357" s="11" t="n">
        <v>42741.4719675926</v>
      </c>
      <c r="M5357" s="12" t="s">
        <v>1670</v>
      </c>
      <c r="N5357" s="12" t="s">
        <v>1671</v>
      </c>
      <c r="O5357" s="9" t="str">
        <f aca="false">HYPERLINK("https://pbs.twimg.com/profile_images/877414144424660992/scfhocj3_normal.jpg","View")</f>
        <v>View</v>
      </c>
      <c r="P5357" s="10"/>
    </row>
    <row r="5358" customFormat="false" ht="15.75" hidden="false" customHeight="false" outlineLevel="0" collapsed="false">
      <c r="A5358" s="6" t="n">
        <v>43030.9206134259</v>
      </c>
      <c r="B5358" s="7" t="str">
        <f aca="false">HYPERLINK("https://twitter.com/bondsatyam","@bondsatyam")</f>
        <v>@bondsatyam</v>
      </c>
      <c r="C5358" s="8" t="s">
        <v>12526</v>
      </c>
      <c r="D5358" s="8" t="s">
        <v>8538</v>
      </c>
      <c r="E5358" s="9" t="str">
        <f aca="false">HYPERLINK("https://twitter.com/bondsatyam/status/922328151048437760","922328151048437760")</f>
        <v>922328151048437760</v>
      </c>
      <c r="F5358" s="10" t="s">
        <v>51</v>
      </c>
      <c r="G5358" s="10" t="n">
        <v>169</v>
      </c>
      <c r="H5358" s="10" t="n">
        <v>285</v>
      </c>
      <c r="I5358" s="10" t="n">
        <v>1015</v>
      </c>
      <c r="J5358" s="10" t="n">
        <v>0</v>
      </c>
      <c r="K5358" s="10" t="s">
        <v>20</v>
      </c>
      <c r="L5358" s="11" t="n">
        <v>41950.1025115741</v>
      </c>
      <c r="M5358" s="12" t="s">
        <v>4532</v>
      </c>
      <c r="N5358" s="12"/>
      <c r="O5358" s="9" t="str">
        <f aca="false">HYPERLINK("https://pbs.twimg.com/profile_images/685800043668992000/I0Jxl-PT_normal.jpg","View")</f>
        <v>View</v>
      </c>
      <c r="P5358" s="10"/>
    </row>
    <row r="5359" customFormat="false" ht="15.75" hidden="false" customHeight="false" outlineLevel="0" collapsed="false">
      <c r="A5359" s="6" t="n">
        <v>43030.9210069444</v>
      </c>
      <c r="B5359" s="7" t="str">
        <f aca="false">HYPERLINK("https://twitter.com/ssleong99","@ssleong99")</f>
        <v>@ssleong99</v>
      </c>
      <c r="C5359" s="8" t="s">
        <v>12527</v>
      </c>
      <c r="D5359" s="8" t="s">
        <v>7371</v>
      </c>
      <c r="E5359" s="9" t="str">
        <f aca="false">HYPERLINK("https://twitter.com/ssleong99/status/922328294078291970","922328294078291970")</f>
        <v>922328294078291970</v>
      </c>
      <c r="F5359" s="10" t="s">
        <v>51</v>
      </c>
      <c r="G5359" s="10" t="n">
        <v>77</v>
      </c>
      <c r="H5359" s="10" t="n">
        <v>517</v>
      </c>
      <c r="I5359" s="10" t="n">
        <v>16</v>
      </c>
      <c r="J5359" s="10" t="n">
        <v>0</v>
      </c>
      <c r="K5359" s="10" t="s">
        <v>20</v>
      </c>
      <c r="L5359" s="11" t="n">
        <v>40285.0448958333</v>
      </c>
      <c r="M5359" s="12"/>
      <c r="N5359" s="12" t="s">
        <v>12528</v>
      </c>
      <c r="O5359" s="9" t="str">
        <f aca="false">HYPERLINK("https://pbs.twimg.com/profile_images/1594100409/IMG00193-20110930-1758_normal.jpg","View")</f>
        <v>View</v>
      </c>
      <c r="P5359" s="10"/>
    </row>
    <row r="5360" customFormat="false" ht="15.75" hidden="false" customHeight="false" outlineLevel="0" collapsed="false">
      <c r="A5360" s="6" t="n">
        <v>43030.9214351852</v>
      </c>
      <c r="B5360" s="7" t="str">
        <f aca="false">HYPERLINK("https://twitter.com/salu_purwar","@salu_purwar")</f>
        <v>@salu_purwar</v>
      </c>
      <c r="C5360" s="8" t="s">
        <v>12529</v>
      </c>
      <c r="D5360" s="8" t="s">
        <v>12398</v>
      </c>
      <c r="E5360" s="9" t="str">
        <f aca="false">HYPERLINK("https://twitter.com/salu_purwar/status/922328446864326656","922328446864326656")</f>
        <v>922328446864326656</v>
      </c>
      <c r="F5360" s="10" t="s">
        <v>25</v>
      </c>
      <c r="G5360" s="10" t="n">
        <v>0</v>
      </c>
      <c r="H5360" s="10" t="n">
        <v>16</v>
      </c>
      <c r="I5360" s="10" t="n">
        <v>25</v>
      </c>
      <c r="J5360" s="10" t="n">
        <v>0</v>
      </c>
      <c r="K5360" s="10" t="s">
        <v>20</v>
      </c>
      <c r="L5360" s="11" t="n">
        <v>43030.0724884259</v>
      </c>
      <c r="M5360" s="12" t="s">
        <v>12530</v>
      </c>
      <c r="N5360" s="12" t="s">
        <v>12531</v>
      </c>
      <c r="O5360" s="9" t="str">
        <f aca="false">HYPERLINK("https://pbs.twimg.com/profile_images/923215134218178561/jbAKSoOf_normal.jpg","View")</f>
        <v>View</v>
      </c>
      <c r="P5360" s="10"/>
    </row>
    <row r="5361" customFormat="false" ht="15.75" hidden="false" customHeight="false" outlineLevel="0" collapsed="false">
      <c r="A5361" s="6" t="n">
        <v>43030.9216550926</v>
      </c>
      <c r="B5361" s="7" t="str">
        <f aca="false">HYPERLINK("https://twitter.com/npsshetty","@npsshetty")</f>
        <v>@npsshetty</v>
      </c>
      <c r="C5361" s="8" t="s">
        <v>12532</v>
      </c>
      <c r="D5361" s="8" t="s">
        <v>8538</v>
      </c>
      <c r="E5361" s="9" t="str">
        <f aca="false">HYPERLINK("https://twitter.com/npsshetty/status/922328526790868992","922328526790868992")</f>
        <v>922328526790868992</v>
      </c>
      <c r="F5361" s="10" t="s">
        <v>39</v>
      </c>
      <c r="G5361" s="10" t="n">
        <v>283</v>
      </c>
      <c r="H5361" s="10" t="n">
        <v>221</v>
      </c>
      <c r="I5361" s="10" t="n">
        <v>1015</v>
      </c>
      <c r="J5361" s="10" t="n">
        <v>0</v>
      </c>
      <c r="K5361" s="10" t="s">
        <v>20</v>
      </c>
      <c r="L5361" s="11" t="n">
        <v>41718.2002662037</v>
      </c>
      <c r="M5361" s="12" t="s">
        <v>6635</v>
      </c>
      <c r="N5361" s="12" t="s">
        <v>12533</v>
      </c>
      <c r="O5361" s="9" t="str">
        <f aca="false">HYPERLINK("https://pbs.twimg.com/profile_images/710675436288626689/TSOFea7b_normal.jpg","View")</f>
        <v>View</v>
      </c>
      <c r="P5361" s="10"/>
    </row>
    <row r="5362" customFormat="false" ht="15.75" hidden="false" customHeight="false" outlineLevel="0" collapsed="false">
      <c r="A5362" s="6" t="n">
        <v>43030.9221875</v>
      </c>
      <c r="B5362" s="7" t="str">
        <f aca="false">HYPERLINK("https://twitter.com/love_vaswani","@love_vaswani")</f>
        <v>@love_vaswani</v>
      </c>
      <c r="C5362" s="8" t="s">
        <v>12534</v>
      </c>
      <c r="D5362" s="8" t="s">
        <v>12398</v>
      </c>
      <c r="E5362" s="9" t="str">
        <f aca="false">HYPERLINK("https://twitter.com/love_vaswani/status/922328719355650048","922328719355650048")</f>
        <v>922328719355650048</v>
      </c>
      <c r="F5362" s="10" t="s">
        <v>25</v>
      </c>
      <c r="G5362" s="10" t="n">
        <v>184</v>
      </c>
      <c r="H5362" s="10" t="n">
        <v>462</v>
      </c>
      <c r="I5362" s="10" t="n">
        <v>25</v>
      </c>
      <c r="J5362" s="10" t="n">
        <v>0</v>
      </c>
      <c r="K5362" s="10" t="s">
        <v>20</v>
      </c>
      <c r="L5362" s="11" t="n">
        <v>40491.4862962963</v>
      </c>
      <c r="M5362" s="12" t="s">
        <v>12535</v>
      </c>
      <c r="N5362" s="12" t="s">
        <v>12536</v>
      </c>
      <c r="O5362" s="9" t="str">
        <f aca="false">HYPERLINK("https://pbs.twimg.com/profile_images/662341792277266432/KwgL0VVn_normal.jpg","View")</f>
        <v>View</v>
      </c>
      <c r="P5362" s="10"/>
    </row>
    <row r="5363" customFormat="false" ht="15.75" hidden="false" customHeight="false" outlineLevel="0" collapsed="false">
      <c r="A5363" s="6" t="n">
        <v>43030.9222569444</v>
      </c>
      <c r="B5363" s="7" t="str">
        <f aca="false">HYPERLINK("https://twitter.com/nytimesworld","@nytimesworld")</f>
        <v>@nytimesworld</v>
      </c>
      <c r="C5363" s="8" t="s">
        <v>621</v>
      </c>
      <c r="D5363" s="8" t="s">
        <v>10225</v>
      </c>
      <c r="E5363" s="9" t="str">
        <f aca="false">HYPERLINK("https://twitter.com/nytimesworld/status/922328745167466497","922328745167466497")</f>
        <v>922328745167466497</v>
      </c>
      <c r="F5363" s="10" t="s">
        <v>268</v>
      </c>
      <c r="G5363" s="10" t="n">
        <v>1873869</v>
      </c>
      <c r="H5363" s="10" t="n">
        <v>465</v>
      </c>
      <c r="I5363" s="10" t="n">
        <v>16</v>
      </c>
      <c r="J5363" s="10" t="n">
        <v>0</v>
      </c>
      <c r="K5363" s="10" t="s">
        <v>20</v>
      </c>
      <c r="L5363" s="11" t="n">
        <v>39163.2915393518</v>
      </c>
      <c r="M5363" s="12" t="s">
        <v>491</v>
      </c>
      <c r="N5363" s="12" t="s">
        <v>623</v>
      </c>
      <c r="O5363" s="9" t="str">
        <f aca="false">HYPERLINK("https://pbs.twimg.com/profile_images/2045337639/NYT_Twitter_world_normal.png","View")</f>
        <v>View</v>
      </c>
      <c r="P5363" s="10"/>
    </row>
    <row r="5364" customFormat="false" ht="15.75" hidden="false" customHeight="false" outlineLevel="0" collapsed="false">
      <c r="A5364" s="6" t="n">
        <v>43030.9223032407</v>
      </c>
      <c r="B5364" s="7" t="str">
        <f aca="false">HYPERLINK("https://twitter.com/Mr_AlVil","@Mr_AlVil")</f>
        <v>@Mr_AlVil</v>
      </c>
      <c r="C5364" s="8" t="s">
        <v>392</v>
      </c>
      <c r="D5364" s="8" t="s">
        <v>12537</v>
      </c>
      <c r="E5364" s="9" t="str">
        <f aca="false">HYPERLINK("https://twitter.com/Mr_AlVil/status/922328762653528064","922328762653528064")</f>
        <v>922328762653528064</v>
      </c>
      <c r="F5364" s="10" t="s">
        <v>60</v>
      </c>
      <c r="G5364" s="10" t="n">
        <v>353</v>
      </c>
      <c r="H5364" s="10" t="n">
        <v>51</v>
      </c>
      <c r="I5364" s="10" t="n">
        <v>0</v>
      </c>
      <c r="J5364" s="10" t="n">
        <v>0</v>
      </c>
      <c r="K5364" s="10" t="s">
        <v>20</v>
      </c>
      <c r="L5364" s="11" t="n">
        <v>40205.5345486111</v>
      </c>
      <c r="M5364" s="12" t="s">
        <v>394</v>
      </c>
      <c r="N5364" s="12" t="s">
        <v>395</v>
      </c>
      <c r="O5364" s="9" t="str">
        <f aca="false">HYPERLINK("https://pbs.twimg.com/profile_images/857577668967108609/KAXMKfpy_normal.jpg","View")</f>
        <v>View</v>
      </c>
      <c r="P5364" s="10"/>
    </row>
    <row r="5365" customFormat="false" ht="15.75" hidden="false" customHeight="false" outlineLevel="0" collapsed="false">
      <c r="A5365" s="6" t="n">
        <v>43030.922662037</v>
      </c>
      <c r="B5365" s="7" t="str">
        <f aca="false">HYPERLINK("https://twitter.com/RenishaChainani","@RenishaChainani")</f>
        <v>@RenishaChainani</v>
      </c>
      <c r="C5365" s="8" t="s">
        <v>12538</v>
      </c>
      <c r="D5365" s="8" t="s">
        <v>10997</v>
      </c>
      <c r="E5365" s="9" t="str">
        <f aca="false">HYPERLINK("https://twitter.com/RenishaChainani/status/922328893016637442","922328893016637442")</f>
        <v>922328893016637442</v>
      </c>
      <c r="F5365" s="10" t="s">
        <v>25</v>
      </c>
      <c r="G5365" s="10" t="n">
        <v>99</v>
      </c>
      <c r="H5365" s="10" t="n">
        <v>94</v>
      </c>
      <c r="I5365" s="10" t="n">
        <v>27</v>
      </c>
      <c r="J5365" s="10" t="n">
        <v>0</v>
      </c>
      <c r="K5365" s="10" t="s">
        <v>20</v>
      </c>
      <c r="L5365" s="11" t="n">
        <v>40331.1362962963</v>
      </c>
      <c r="M5365" s="12" t="s">
        <v>12539</v>
      </c>
      <c r="N5365" s="12" t="s">
        <v>12540</v>
      </c>
      <c r="O5365" s="9" t="str">
        <f aca="false">HYPERLINK("https://pbs.twimg.com/profile_images/601389494483357697/e5zXD7PE_normal.jpg","View")</f>
        <v>View</v>
      </c>
      <c r="P5365" s="10"/>
    </row>
    <row r="5366" customFormat="false" ht="15.75" hidden="false" customHeight="false" outlineLevel="0" collapsed="false">
      <c r="A5366" s="6" t="n">
        <v>43030.9228587963</v>
      </c>
      <c r="B5366" s="7" t="str">
        <f aca="false">HYPERLINK("https://twitter.com/Tahseen_Hussain","@Tahseen_Hussain")</f>
        <v>@Tahseen_Hussain</v>
      </c>
      <c r="C5366" s="8" t="s">
        <v>12541</v>
      </c>
      <c r="D5366" s="8" t="s">
        <v>11815</v>
      </c>
      <c r="E5366" s="9" t="str">
        <f aca="false">HYPERLINK("https://twitter.com/Tahseen_Hussain/status/922328963292135424","922328963292135424")</f>
        <v>922328963292135424</v>
      </c>
      <c r="F5366" s="10" t="s">
        <v>25</v>
      </c>
      <c r="G5366" s="10" t="n">
        <v>9</v>
      </c>
      <c r="H5366" s="10" t="n">
        <v>51</v>
      </c>
      <c r="I5366" s="10" t="n">
        <v>8</v>
      </c>
      <c r="J5366" s="10" t="n">
        <v>0</v>
      </c>
      <c r="K5366" s="10" t="s">
        <v>20</v>
      </c>
      <c r="L5366" s="11" t="n">
        <v>41310.9735300926</v>
      </c>
      <c r="M5366" s="12" t="s">
        <v>1877</v>
      </c>
      <c r="N5366" s="12"/>
      <c r="O5366" s="9" t="str">
        <f aca="false">HYPERLINK("https://pbs.twimg.com/profile_images/919442836260454400/4vFj9IdS_normal.jpg","View")</f>
        <v>View</v>
      </c>
      <c r="P5366" s="10"/>
    </row>
    <row r="5367" customFormat="false" ht="15.75" hidden="false" customHeight="false" outlineLevel="0" collapsed="false">
      <c r="A5367" s="6" t="n">
        <v>43030.9237152778</v>
      </c>
      <c r="B5367" s="7" t="str">
        <f aca="false">HYPERLINK("https://twitter.com/shaels","@shaels")</f>
        <v>@shaels</v>
      </c>
      <c r="C5367" s="8" t="s">
        <v>12542</v>
      </c>
      <c r="D5367" s="8" t="s">
        <v>8538</v>
      </c>
      <c r="E5367" s="9" t="str">
        <f aca="false">HYPERLINK("https://twitter.com/shaels/status/922329274790457344","922329274790457344")</f>
        <v>922329274790457344</v>
      </c>
      <c r="F5367" s="10" t="s">
        <v>25</v>
      </c>
      <c r="G5367" s="10" t="n">
        <v>2481</v>
      </c>
      <c r="H5367" s="10" t="n">
        <v>3966</v>
      </c>
      <c r="I5367" s="10" t="n">
        <v>1015</v>
      </c>
      <c r="J5367" s="10" t="n">
        <v>0</v>
      </c>
      <c r="K5367" s="10" t="s">
        <v>20</v>
      </c>
      <c r="L5367" s="11" t="n">
        <v>39489.4606944444</v>
      </c>
      <c r="M5367" s="12"/>
      <c r="N5367" s="12" t="s">
        <v>12543</v>
      </c>
      <c r="O5367" s="9" t="str">
        <f aca="false">HYPERLINK("https://pbs.twimg.com/profile_images/906732012073095168/-xe6FGN-_normal.jpg","View")</f>
        <v>View</v>
      </c>
      <c r="P5367" s="10"/>
    </row>
    <row r="5368" customFormat="false" ht="15.75" hidden="false" customHeight="false" outlineLevel="0" collapsed="false">
      <c r="A5368" s="6" t="n">
        <v>43030.9243171296</v>
      </c>
      <c r="B5368" s="7" t="str">
        <f aca="false">HYPERLINK("https://twitter.com/shaels","@shaels")</f>
        <v>@shaels</v>
      </c>
      <c r="C5368" s="8" t="s">
        <v>12542</v>
      </c>
      <c r="D5368" s="8" t="s">
        <v>11033</v>
      </c>
      <c r="E5368" s="9" t="str">
        <f aca="false">HYPERLINK("https://twitter.com/shaels/status/922329489828233217","922329489828233217")</f>
        <v>922329489828233217</v>
      </c>
      <c r="F5368" s="10" t="s">
        <v>25</v>
      </c>
      <c r="G5368" s="10" t="n">
        <v>2481</v>
      </c>
      <c r="H5368" s="10" t="n">
        <v>3966</v>
      </c>
      <c r="I5368" s="10" t="n">
        <v>60</v>
      </c>
      <c r="J5368" s="10" t="n">
        <v>0</v>
      </c>
      <c r="K5368" s="10" t="s">
        <v>20</v>
      </c>
      <c r="L5368" s="11" t="n">
        <v>39489.4606944444</v>
      </c>
      <c r="M5368" s="12"/>
      <c r="N5368" s="12" t="s">
        <v>12543</v>
      </c>
      <c r="O5368" s="9" t="str">
        <f aca="false">HYPERLINK("https://pbs.twimg.com/profile_images/906732012073095168/-xe6FGN-_normal.jpg","View")</f>
        <v>View</v>
      </c>
      <c r="P5368" s="10"/>
    </row>
    <row r="5369" customFormat="false" ht="15.75" hidden="false" customHeight="false" outlineLevel="0" collapsed="false">
      <c r="A5369" s="6" t="n">
        <v>43030.9246990741</v>
      </c>
      <c r="B5369" s="7" t="str">
        <f aca="false">HYPERLINK("https://twitter.com/katsuyatakasu","@katsuyatakasu")</f>
        <v>@katsuyatakasu</v>
      </c>
      <c r="C5369" s="14" t="s">
        <v>3131</v>
      </c>
      <c r="D5369" s="8" t="s">
        <v>12493</v>
      </c>
      <c r="E5369" s="9" t="str">
        <f aca="false">HYPERLINK("https://twitter.com/katsuyatakasu/status/922329628483641344","922329628483641344")</f>
        <v>922329628483641344</v>
      </c>
      <c r="F5369" s="10" t="s">
        <v>25</v>
      </c>
      <c r="G5369" s="10" t="n">
        <v>292082</v>
      </c>
      <c r="H5369" s="10" t="n">
        <v>262</v>
      </c>
      <c r="I5369" s="10" t="n">
        <v>63</v>
      </c>
      <c r="J5369" s="10" t="n">
        <v>0</v>
      </c>
      <c r="K5369" s="10" t="s">
        <v>20</v>
      </c>
      <c r="L5369" s="11" t="n">
        <v>40781.1352083333</v>
      </c>
      <c r="M5369" s="12"/>
      <c r="N5369" s="12"/>
      <c r="O5369" s="9" t="str">
        <f aca="false">HYPERLINK("https://pbs.twimg.com/profile_images/798320119411658753/gkPbBajq_normal.jpg","View")</f>
        <v>View</v>
      </c>
      <c r="P5369" s="10"/>
    </row>
    <row r="5370" customFormat="false" ht="15.75" hidden="false" customHeight="false" outlineLevel="0" collapsed="false">
      <c r="A5370" s="6" t="n">
        <v>43030.9249768519</v>
      </c>
      <c r="B5370" s="7" t="str">
        <f aca="false">HYPERLINK("https://twitter.com/RaisinaSeries","@RaisinaSeries")</f>
        <v>@RaisinaSeries</v>
      </c>
      <c r="C5370" s="8" t="s">
        <v>5007</v>
      </c>
      <c r="D5370" s="8" t="s">
        <v>10225</v>
      </c>
      <c r="E5370" s="9" t="str">
        <f aca="false">HYPERLINK("https://twitter.com/RaisinaSeries/status/922329729826304000","922329729826304000")</f>
        <v>922329729826304000</v>
      </c>
      <c r="F5370" s="10" t="s">
        <v>51</v>
      </c>
      <c r="G5370" s="10" t="n">
        <v>24201</v>
      </c>
      <c r="H5370" s="10" t="n">
        <v>229</v>
      </c>
      <c r="I5370" s="10" t="n">
        <v>16</v>
      </c>
      <c r="J5370" s="10" t="n">
        <v>0</v>
      </c>
      <c r="K5370" s="10" t="s">
        <v>20</v>
      </c>
      <c r="L5370" s="11" t="n">
        <v>41291.4987384259</v>
      </c>
      <c r="M5370" s="12" t="s">
        <v>5008</v>
      </c>
      <c r="N5370" s="12" t="s">
        <v>5009</v>
      </c>
      <c r="O5370" s="9" t="str">
        <f aca="false">HYPERLINK("https://pbs.twimg.com/profile_images/835127600716525568/SKkzaFgh_normal.jpg","View")</f>
        <v>View</v>
      </c>
      <c r="P5370" s="10"/>
    </row>
    <row r="5371" customFormat="false" ht="15.75" hidden="false" customHeight="false" outlineLevel="0" collapsed="false">
      <c r="A5371" s="6" t="n">
        <v>43030.9252430556</v>
      </c>
      <c r="B5371" s="7" t="str">
        <f aca="false">HYPERLINK("https://twitter.com/MaoTunq","@MaoTunq")</f>
        <v>@MaoTunq</v>
      </c>
      <c r="C5371" s="8" t="s">
        <v>12544</v>
      </c>
      <c r="D5371" s="8" t="s">
        <v>11284</v>
      </c>
      <c r="E5371" s="9" t="str">
        <f aca="false">HYPERLINK("https://twitter.com/MaoTunq/status/922329827515887616","922329827515887616")</f>
        <v>922329827515887616</v>
      </c>
      <c r="F5371" s="10" t="s">
        <v>39</v>
      </c>
      <c r="G5371" s="10" t="n">
        <v>678</v>
      </c>
      <c r="H5371" s="10" t="n">
        <v>1079</v>
      </c>
      <c r="I5371" s="10" t="n">
        <v>41</v>
      </c>
      <c r="J5371" s="10" t="n">
        <v>0</v>
      </c>
      <c r="K5371" s="10" t="s">
        <v>20</v>
      </c>
      <c r="L5371" s="11" t="n">
        <v>41881.2173842593</v>
      </c>
      <c r="M5371" s="12" t="s">
        <v>12545</v>
      </c>
      <c r="N5371" s="12" t="s">
        <v>12546</v>
      </c>
      <c r="O5371" s="9" t="str">
        <f aca="false">HYPERLINK("https://pbs.twimg.com/profile_images/836312693082501120/DJ3imtK__normal.jpg","View")</f>
        <v>View</v>
      </c>
      <c r="P5371" s="10"/>
    </row>
    <row r="5372" customFormat="false" ht="15.75" hidden="false" customHeight="false" outlineLevel="0" collapsed="false">
      <c r="A5372" s="6" t="n">
        <v>43030.9253009259</v>
      </c>
      <c r="B5372" s="7" t="str">
        <f aca="false">HYPERLINK("https://twitter.com/TeeKay118","@TeeKay118")</f>
        <v>@TeeKay118</v>
      </c>
      <c r="C5372" s="8" t="s">
        <v>12547</v>
      </c>
      <c r="D5372" s="8" t="s">
        <v>6707</v>
      </c>
      <c r="E5372" s="9" t="str">
        <f aca="false">HYPERLINK("https://twitter.com/TeeKay118/status/922329849183666176","922329849183666176")</f>
        <v>922329849183666176</v>
      </c>
      <c r="F5372" s="10" t="s">
        <v>51</v>
      </c>
      <c r="G5372" s="10" t="n">
        <v>2259</v>
      </c>
      <c r="H5372" s="10" t="n">
        <v>3028</v>
      </c>
      <c r="I5372" s="10" t="n">
        <v>97</v>
      </c>
      <c r="J5372" s="10" t="n">
        <v>0</v>
      </c>
      <c r="K5372" s="10" t="s">
        <v>20</v>
      </c>
      <c r="L5372" s="11" t="n">
        <v>39931.778587963</v>
      </c>
      <c r="M5372" s="12" t="s">
        <v>12548</v>
      </c>
      <c r="N5372" s="12" t="s">
        <v>12549</v>
      </c>
      <c r="O5372" s="9" t="str">
        <f aca="false">HYPERLINK("https://pbs.twimg.com/profile_images/797953344778051586/gC2nA4YE_normal.jpg","View")</f>
        <v>View</v>
      </c>
      <c r="P5372" s="10"/>
    </row>
    <row r="5373" customFormat="false" ht="15.75" hidden="false" customHeight="false" outlineLevel="0" collapsed="false">
      <c r="A5373" s="6" t="n">
        <v>43030.9253935185</v>
      </c>
      <c r="B5373" s="7" t="str">
        <f aca="false">HYPERLINK("https://twitter.com/Ken3ore","@Ken3ore")</f>
        <v>@Ken3ore</v>
      </c>
      <c r="C5373" s="8" t="s">
        <v>12550</v>
      </c>
      <c r="D5373" s="8" t="s">
        <v>8538</v>
      </c>
      <c r="E5373" s="9" t="str">
        <f aca="false">HYPERLINK("https://twitter.com/Ken3ore/status/922329881286807554","922329881286807554")</f>
        <v>922329881286807554</v>
      </c>
      <c r="F5373" s="10" t="s">
        <v>1576</v>
      </c>
      <c r="G5373" s="10" t="n">
        <v>266</v>
      </c>
      <c r="H5373" s="10" t="n">
        <v>21</v>
      </c>
      <c r="I5373" s="10" t="n">
        <v>1015</v>
      </c>
      <c r="J5373" s="10" t="n">
        <v>0</v>
      </c>
      <c r="K5373" s="10" t="s">
        <v>20</v>
      </c>
      <c r="L5373" s="11" t="n">
        <v>41161.9261111111</v>
      </c>
      <c r="M5373" s="12"/>
      <c r="N5373" s="12" t="s">
        <v>12551</v>
      </c>
      <c r="O5373" s="9" t="str">
        <f aca="false">HYPERLINK("https://pbs.twimg.com/profile_images/683280903179603968/2qxpSrfM_normal.jpg","View")</f>
        <v>View</v>
      </c>
      <c r="P5373" s="10"/>
    </row>
    <row r="5374" customFormat="false" ht="15.75" hidden="false" customHeight="false" outlineLevel="0" collapsed="false">
      <c r="A5374" s="6" t="n">
        <v>43030.925474537</v>
      </c>
      <c r="B5374" s="7" t="str">
        <f aca="false">HYPERLINK("https://twitter.com/TeeKay118","@TeeKay118")</f>
        <v>@TeeKay118</v>
      </c>
      <c r="C5374" s="8" t="s">
        <v>12547</v>
      </c>
      <c r="D5374" s="8" t="s">
        <v>7344</v>
      </c>
      <c r="E5374" s="9" t="str">
        <f aca="false">HYPERLINK("https://twitter.com/TeeKay118/status/922329910730825728","922329910730825728")</f>
        <v>922329910730825728</v>
      </c>
      <c r="F5374" s="10" t="s">
        <v>51</v>
      </c>
      <c r="G5374" s="10" t="n">
        <v>2259</v>
      </c>
      <c r="H5374" s="10" t="n">
        <v>3028</v>
      </c>
      <c r="I5374" s="10" t="n">
        <v>4</v>
      </c>
      <c r="J5374" s="10" t="n">
        <v>0</v>
      </c>
      <c r="K5374" s="10" t="s">
        <v>20</v>
      </c>
      <c r="L5374" s="11" t="n">
        <v>39931.778587963</v>
      </c>
      <c r="M5374" s="12" t="s">
        <v>12548</v>
      </c>
      <c r="N5374" s="12" t="s">
        <v>12549</v>
      </c>
      <c r="O5374" s="9" t="str">
        <f aca="false">HYPERLINK("https://pbs.twimg.com/profile_images/797953344778051586/gC2nA4YE_normal.jpg","View")</f>
        <v>View</v>
      </c>
      <c r="P5374" s="10"/>
    </row>
    <row r="5375" customFormat="false" ht="15.75" hidden="false" customHeight="false" outlineLevel="0" collapsed="false">
      <c r="A5375" s="6" t="n">
        <v>43030.9257060185</v>
      </c>
      <c r="B5375" s="7" t="str">
        <f aca="false">HYPERLINK("https://twitter.com/JMagsCNN","@JMagsCNN")</f>
        <v>@JMagsCNN</v>
      </c>
      <c r="C5375" s="8" t="s">
        <v>12552</v>
      </c>
      <c r="D5375" s="8" t="s">
        <v>12553</v>
      </c>
      <c r="E5375" s="9" t="str">
        <f aca="false">HYPERLINK("https://twitter.com/JMagsCNN/status/922329993623097345","922329993623097345")</f>
        <v>922329993623097345</v>
      </c>
      <c r="F5375" s="10" t="s">
        <v>39</v>
      </c>
      <c r="G5375" s="10" t="n">
        <v>1139</v>
      </c>
      <c r="H5375" s="10" t="n">
        <v>1244</v>
      </c>
      <c r="I5375" s="10" t="n">
        <v>3</v>
      </c>
      <c r="J5375" s="10" t="n">
        <v>4</v>
      </c>
      <c r="K5375" s="10" t="s">
        <v>20</v>
      </c>
      <c r="L5375" s="11" t="n">
        <v>40304.5307407407</v>
      </c>
      <c r="M5375" s="12" t="s">
        <v>230</v>
      </c>
      <c r="N5375" s="12" t="s">
        <v>12554</v>
      </c>
      <c r="O5375" s="9" t="str">
        <f aca="false">HYPERLINK("https://pbs.twimg.com/profile_images/895259862724091905/0lAxS8_-_normal.jpg","View")</f>
        <v>View</v>
      </c>
      <c r="P5375" s="10"/>
    </row>
    <row r="5376" customFormat="false" ht="15.75" hidden="false" customHeight="false" outlineLevel="0" collapsed="false">
      <c r="A5376" s="6" t="n">
        <v>43030.9257986111</v>
      </c>
      <c r="B5376" s="7" t="str">
        <f aca="false">HYPERLINK("https://twitter.com/truthtableJCT","@truthtableJCT")</f>
        <v>@truthtableJCT</v>
      </c>
      <c r="C5376" s="8" t="s">
        <v>6981</v>
      </c>
      <c r="D5376" s="8" t="s">
        <v>12555</v>
      </c>
      <c r="E5376" s="9" t="str">
        <f aca="false">HYPERLINK("https://twitter.com/truthtableJCT/status/922330027705876480","922330027705876480")</f>
        <v>922330027705876480</v>
      </c>
      <c r="F5376" s="10" t="s">
        <v>51</v>
      </c>
      <c r="G5376" s="10" t="n">
        <v>3354</v>
      </c>
      <c r="H5376" s="10" t="n">
        <v>4995</v>
      </c>
      <c r="I5376" s="10" t="n">
        <v>2</v>
      </c>
      <c r="J5376" s="10" t="n">
        <v>0</v>
      </c>
      <c r="K5376" s="10" t="s">
        <v>20</v>
      </c>
      <c r="L5376" s="11" t="n">
        <v>42215.3264699074</v>
      </c>
      <c r="M5376" s="12" t="s">
        <v>6983</v>
      </c>
      <c r="N5376" s="12" t="s">
        <v>6984</v>
      </c>
      <c r="O5376" s="9" t="str">
        <f aca="false">HYPERLINK("https://pbs.twimg.com/profile_images/626942569340141568/UfUK7zXc_normal.jpg","View")</f>
        <v>View</v>
      </c>
      <c r="P5376" s="10"/>
    </row>
    <row r="5377" customFormat="false" ht="15.75" hidden="false" customHeight="false" outlineLevel="0" collapsed="false">
      <c r="A5377" s="6" t="n">
        <v>43030.9259375</v>
      </c>
      <c r="B5377" s="7" t="str">
        <f aca="false">HYPERLINK("https://twitter.com/TeeKay118","@TeeKay118")</f>
        <v>@TeeKay118</v>
      </c>
      <c r="C5377" s="8" t="s">
        <v>12547</v>
      </c>
      <c r="D5377" s="8" t="s">
        <v>12493</v>
      </c>
      <c r="E5377" s="9" t="str">
        <f aca="false">HYPERLINK("https://twitter.com/TeeKay118/status/922330076959588352","922330076959588352")</f>
        <v>922330076959588352</v>
      </c>
      <c r="F5377" s="10" t="s">
        <v>51</v>
      </c>
      <c r="G5377" s="10" t="n">
        <v>2259</v>
      </c>
      <c r="H5377" s="10" t="n">
        <v>3028</v>
      </c>
      <c r="I5377" s="10" t="n">
        <v>63</v>
      </c>
      <c r="J5377" s="10" t="n">
        <v>0</v>
      </c>
      <c r="K5377" s="10" t="s">
        <v>20</v>
      </c>
      <c r="L5377" s="11" t="n">
        <v>39931.778587963</v>
      </c>
      <c r="M5377" s="12" t="s">
        <v>12548</v>
      </c>
      <c r="N5377" s="12" t="s">
        <v>12549</v>
      </c>
      <c r="O5377" s="9" t="str">
        <f aca="false">HYPERLINK("https://pbs.twimg.com/profile_images/797953344778051586/gC2nA4YE_normal.jpg","View")</f>
        <v>View</v>
      </c>
      <c r="P5377" s="10"/>
    </row>
    <row r="5378" customFormat="false" ht="15.75" hidden="false" customHeight="false" outlineLevel="0" collapsed="false">
      <c r="A5378" s="6" t="n">
        <v>43030.9260416667</v>
      </c>
      <c r="B5378" s="7" t="str">
        <f aca="false">HYPERLINK("https://twitter.com/cyto48","@cyto48")</f>
        <v>@cyto48</v>
      </c>
      <c r="C5378" s="8" t="s">
        <v>12556</v>
      </c>
      <c r="D5378" s="8" t="s">
        <v>12555</v>
      </c>
      <c r="E5378" s="9" t="str">
        <f aca="false">HYPERLINK("https://twitter.com/cyto48/status/922330116172189701","922330116172189701")</f>
        <v>922330116172189701</v>
      </c>
      <c r="F5378" s="10" t="s">
        <v>12556</v>
      </c>
      <c r="G5378" s="10" t="n">
        <v>456</v>
      </c>
      <c r="H5378" s="10" t="n">
        <v>3143</v>
      </c>
      <c r="I5378" s="10" t="n">
        <v>2</v>
      </c>
      <c r="J5378" s="10" t="n">
        <v>0</v>
      </c>
      <c r="K5378" s="10" t="s">
        <v>20</v>
      </c>
      <c r="L5378" s="11" t="n">
        <v>41621.6261921296</v>
      </c>
      <c r="M5378" s="12"/>
      <c r="N5378" s="12"/>
      <c r="O5378" s="9" t="str">
        <f aca="false">HYPERLINK("https://pbs.twimg.com/profile_images/914435541906722817/EvmsHZz3_normal.jpg","View")</f>
        <v>View</v>
      </c>
      <c r="P5378" s="10"/>
    </row>
    <row r="5379" customFormat="false" ht="15.75" hidden="false" customHeight="false" outlineLevel="0" collapsed="false">
      <c r="A5379" s="6" t="n">
        <v>43030.9261111111</v>
      </c>
      <c r="B5379" s="7" t="str">
        <f aca="false">HYPERLINK("https://twitter.com/abhayinsearch","@abhayinsearch")</f>
        <v>@abhayinsearch</v>
      </c>
      <c r="C5379" s="8" t="s">
        <v>12557</v>
      </c>
      <c r="D5379" s="8" t="s">
        <v>8538</v>
      </c>
      <c r="E5379" s="9" t="str">
        <f aca="false">HYPERLINK("https://twitter.com/abhayinsearch/status/922330141656625152","922330141656625152")</f>
        <v>922330141656625152</v>
      </c>
      <c r="F5379" s="10" t="s">
        <v>25</v>
      </c>
      <c r="G5379" s="10" t="n">
        <v>122</v>
      </c>
      <c r="H5379" s="10" t="n">
        <v>244</v>
      </c>
      <c r="I5379" s="10" t="n">
        <v>1015</v>
      </c>
      <c r="J5379" s="10" t="n">
        <v>0</v>
      </c>
      <c r="K5379" s="10" t="s">
        <v>20</v>
      </c>
      <c r="L5379" s="11" t="n">
        <v>40093.3468402778</v>
      </c>
      <c r="M5379" s="12" t="s">
        <v>12558</v>
      </c>
      <c r="N5379" s="12"/>
      <c r="O5379" s="9" t="str">
        <f aca="false">HYPERLINK("https://pbs.twimg.com/profile_images/709966275116720128/14ry4tBK_normal.jpg","View")</f>
        <v>View</v>
      </c>
      <c r="P5379" s="10"/>
    </row>
    <row r="5380" customFormat="false" ht="15.75" hidden="false" customHeight="false" outlineLevel="0" collapsed="false">
      <c r="A5380" s="6" t="n">
        <v>43030.9264351852</v>
      </c>
      <c r="B5380" s="7" t="str">
        <f aca="false">HYPERLINK("https://twitter.com/mritunjay2106","@mritunjay2106")</f>
        <v>@mritunjay2106</v>
      </c>
      <c r="C5380" s="8" t="s">
        <v>12559</v>
      </c>
      <c r="D5380" s="8" t="s">
        <v>8538</v>
      </c>
      <c r="E5380" s="9" t="str">
        <f aca="false">HYPERLINK("https://twitter.com/mritunjay2106/status/922330259957211136","922330259957211136")</f>
        <v>922330259957211136</v>
      </c>
      <c r="F5380" s="10" t="s">
        <v>25</v>
      </c>
      <c r="G5380" s="10" t="n">
        <v>434</v>
      </c>
      <c r="H5380" s="10" t="n">
        <v>1026</v>
      </c>
      <c r="I5380" s="10" t="n">
        <v>1015</v>
      </c>
      <c r="J5380" s="10" t="n">
        <v>0</v>
      </c>
      <c r="K5380" s="10" t="s">
        <v>20</v>
      </c>
      <c r="L5380" s="11" t="n">
        <v>40229.7715625</v>
      </c>
      <c r="M5380" s="12" t="s">
        <v>1359</v>
      </c>
      <c r="N5380" s="12" t="s">
        <v>12560</v>
      </c>
      <c r="O5380" s="9" t="str">
        <f aca="false">HYPERLINK("https://pbs.twimg.com/profile_images/745879085973446656/ANBkDt8l_normal.jpg","View")</f>
        <v>View</v>
      </c>
      <c r="P5380" s="10"/>
    </row>
    <row r="5381" customFormat="false" ht="15.75" hidden="false" customHeight="false" outlineLevel="0" collapsed="false">
      <c r="A5381" s="6" t="n">
        <v>43030.9265393519</v>
      </c>
      <c r="B5381" s="7" t="str">
        <f aca="false">HYPERLINK("https://twitter.com/dhruvalp3","@dhruvalp3")</f>
        <v>@dhruvalp3</v>
      </c>
      <c r="C5381" s="8" t="s">
        <v>12561</v>
      </c>
      <c r="D5381" s="8" t="s">
        <v>8538</v>
      </c>
      <c r="E5381" s="9" t="str">
        <f aca="false">HYPERLINK("https://twitter.com/dhruvalp3/status/922330297986818049","922330297986818049")</f>
        <v>922330297986818049</v>
      </c>
      <c r="F5381" s="10" t="s">
        <v>51</v>
      </c>
      <c r="G5381" s="10" t="n">
        <v>418</v>
      </c>
      <c r="H5381" s="10" t="n">
        <v>500</v>
      </c>
      <c r="I5381" s="10" t="n">
        <v>1015</v>
      </c>
      <c r="J5381" s="10" t="n">
        <v>0</v>
      </c>
      <c r="K5381" s="10" t="s">
        <v>20</v>
      </c>
      <c r="L5381" s="11" t="n">
        <v>41169.4332175926</v>
      </c>
      <c r="M5381" s="12" t="s">
        <v>12562</v>
      </c>
      <c r="N5381" s="12" t="s">
        <v>12563</v>
      </c>
      <c r="O5381" s="9" t="str">
        <f aca="false">HYPERLINK("https://pbs.twimg.com/profile_images/913090858072678400/Cnqirt6t_normal.jpg","View")</f>
        <v>View</v>
      </c>
      <c r="P5381" s="10"/>
    </row>
    <row r="5382" customFormat="false" ht="15.75" hidden="false" customHeight="false" outlineLevel="0" collapsed="false">
      <c r="A5382" s="6" t="n">
        <v>43030.9266435185</v>
      </c>
      <c r="B5382" s="7" t="str">
        <f aca="false">HYPERLINK("https://twitter.com/itliof1","@itliof1")</f>
        <v>@itliof1</v>
      </c>
      <c r="C5382" s="8" t="s">
        <v>12564</v>
      </c>
      <c r="D5382" s="8" t="s">
        <v>12493</v>
      </c>
      <c r="E5382" s="9" t="str">
        <f aca="false">HYPERLINK("https://twitter.com/itliof1/status/922330336670892032","922330336670892032")</f>
        <v>922330336670892032</v>
      </c>
      <c r="F5382" s="10" t="s">
        <v>51</v>
      </c>
      <c r="G5382" s="10" t="n">
        <v>36</v>
      </c>
      <c r="H5382" s="10" t="n">
        <v>105</v>
      </c>
      <c r="I5382" s="10" t="n">
        <v>63</v>
      </c>
      <c r="J5382" s="10" t="n">
        <v>0</v>
      </c>
      <c r="K5382" s="10" t="s">
        <v>20</v>
      </c>
      <c r="L5382" s="11" t="n">
        <v>42905.3226736111</v>
      </c>
      <c r="M5382" s="12"/>
      <c r="N5382" s="12"/>
      <c r="O5382" s="9" t="str">
        <f aca="false">HYPERLINK("https://abs.twimg.com/sticky/default_profile_images/default_profile_normal.png","View")</f>
        <v>View</v>
      </c>
      <c r="P5382" s="10"/>
    </row>
    <row r="5383" customFormat="false" ht="15.75" hidden="false" customHeight="false" outlineLevel="0" collapsed="false">
      <c r="A5383" s="6" t="n">
        <v>43030.9270833333</v>
      </c>
      <c r="B5383" s="7" t="str">
        <f aca="false">HYPERLINK("https://twitter.com/FinancialReview","@FinancialReview")</f>
        <v>@FinancialReview</v>
      </c>
      <c r="C5383" s="8" t="s">
        <v>2308</v>
      </c>
      <c r="D5383" s="8" t="s">
        <v>12565</v>
      </c>
      <c r="E5383" s="9" t="str">
        <f aca="false">HYPERLINK("https://twitter.com/FinancialReview/status/922330495509323777","922330495509323777")</f>
        <v>922330495509323777</v>
      </c>
      <c r="F5383" s="10" t="s">
        <v>276</v>
      </c>
      <c r="G5383" s="10" t="n">
        <v>258212</v>
      </c>
      <c r="H5383" s="10" t="n">
        <v>257</v>
      </c>
      <c r="I5383" s="10" t="n">
        <v>1</v>
      </c>
      <c r="J5383" s="10" t="n">
        <v>1</v>
      </c>
      <c r="K5383" s="10" t="s">
        <v>20</v>
      </c>
      <c r="L5383" s="11" t="n">
        <v>39828.7477893518</v>
      </c>
      <c r="M5383" s="12" t="s">
        <v>1199</v>
      </c>
      <c r="N5383" s="12" t="s">
        <v>2310</v>
      </c>
      <c r="O5383" s="9" t="str">
        <f aca="false">HYPERLINK("https://pbs.twimg.com/profile_images/818701236086018050/SlypZOjt_normal.jpg","View")</f>
        <v>View</v>
      </c>
      <c r="P5383" s="10"/>
    </row>
    <row r="5384" customFormat="false" ht="15.75" hidden="false" customHeight="false" outlineLevel="0" collapsed="false">
      <c r="A5384" s="6" t="n">
        <v>43030.9271643519</v>
      </c>
      <c r="B5384" s="7" t="str">
        <f aca="false">HYPERLINK("https://twitter.com/OverTheMoonbat","@OverTheMoonbat")</f>
        <v>@OverTheMoonbat</v>
      </c>
      <c r="C5384" s="8" t="s">
        <v>12566</v>
      </c>
      <c r="D5384" s="8" t="s">
        <v>12567</v>
      </c>
      <c r="E5384" s="9" t="str">
        <f aca="false">HYPERLINK("https://twitter.com/OverTheMoonbat/status/922330521958416384","922330521958416384")</f>
        <v>922330521958416384</v>
      </c>
      <c r="F5384" s="10" t="s">
        <v>39</v>
      </c>
      <c r="G5384" s="10" t="n">
        <v>11033</v>
      </c>
      <c r="H5384" s="10" t="n">
        <v>11981</v>
      </c>
      <c r="I5384" s="10" t="n">
        <v>0</v>
      </c>
      <c r="J5384" s="10" t="n">
        <v>0</v>
      </c>
      <c r="K5384" s="10" t="s">
        <v>20</v>
      </c>
      <c r="L5384" s="11" t="n">
        <v>40896.5938310185</v>
      </c>
      <c r="M5384" s="12"/>
      <c r="N5384" s="12" t="s">
        <v>12568</v>
      </c>
      <c r="O5384" s="9" t="str">
        <f aca="false">HYPERLINK("https://pbs.twimg.com/profile_images/823236506932236288/SlElOA6Z_normal.jpg","View")</f>
        <v>View</v>
      </c>
      <c r="P5384" s="10"/>
    </row>
    <row r="5385" customFormat="false" ht="15.75" hidden="false" customHeight="false" outlineLevel="0" collapsed="false">
      <c r="A5385" s="6" t="n">
        <v>43030.9272685185</v>
      </c>
      <c r="B5385" s="7" t="str">
        <f aca="false">HYPERLINK("https://twitter.com/Rahulku26027578","@Rahulku26027578")</f>
        <v>@Rahulku26027578</v>
      </c>
      <c r="C5385" s="8" t="s">
        <v>12569</v>
      </c>
      <c r="D5385" s="8" t="s">
        <v>11033</v>
      </c>
      <c r="E5385" s="9" t="str">
        <f aca="false">HYPERLINK("https://twitter.com/Rahulku26027578/status/922330561019908099","922330561019908099")</f>
        <v>922330561019908099</v>
      </c>
      <c r="F5385" s="10" t="s">
        <v>98</v>
      </c>
      <c r="G5385" s="10" t="n">
        <v>200</v>
      </c>
      <c r="H5385" s="10" t="n">
        <v>1601</v>
      </c>
      <c r="I5385" s="10" t="n">
        <v>60</v>
      </c>
      <c r="J5385" s="10" t="n">
        <v>0</v>
      </c>
      <c r="K5385" s="10" t="s">
        <v>20</v>
      </c>
      <c r="L5385" s="11" t="n">
        <v>42087.3184953704</v>
      </c>
      <c r="M5385" s="12" t="s">
        <v>12570</v>
      </c>
      <c r="N5385" s="12" t="s">
        <v>12571</v>
      </c>
      <c r="O5385" s="9" t="str">
        <f aca="false">HYPERLINK("https://pbs.twimg.com/profile_images/921371022145679361/nj_cO09U_normal.jpg","View")</f>
        <v>View</v>
      </c>
      <c r="P5385" s="10"/>
    </row>
    <row r="5386" customFormat="false" ht="15.75" hidden="false" customHeight="false" outlineLevel="0" collapsed="false">
      <c r="A5386" s="6" t="n">
        <v>43030.927349537</v>
      </c>
      <c r="B5386" s="7" t="str">
        <f aca="false">HYPERLINK("https://twitter.com/newslivenetwork","@newslivenetwork")</f>
        <v>@newslivenetwork</v>
      </c>
      <c r="C5386" s="8" t="s">
        <v>1668</v>
      </c>
      <c r="D5386" s="8" t="s">
        <v>12572</v>
      </c>
      <c r="E5386" s="9" t="str">
        <f aca="false">HYPERLINK("https://twitter.com/newslivenetwork/status/922330588954152961","922330588954152961")</f>
        <v>922330588954152961</v>
      </c>
      <c r="F5386" s="10" t="s">
        <v>55</v>
      </c>
      <c r="G5386" s="10" t="n">
        <v>272</v>
      </c>
      <c r="H5386" s="10" t="n">
        <v>87</v>
      </c>
      <c r="I5386" s="10" t="n">
        <v>0</v>
      </c>
      <c r="J5386" s="10" t="n">
        <v>0</v>
      </c>
      <c r="K5386" s="10" t="s">
        <v>20</v>
      </c>
      <c r="L5386" s="11" t="n">
        <v>42741.4719675926</v>
      </c>
      <c r="M5386" s="12" t="s">
        <v>1670</v>
      </c>
      <c r="N5386" s="12" t="s">
        <v>1671</v>
      </c>
      <c r="O5386" s="9" t="str">
        <f aca="false">HYPERLINK("https://pbs.twimg.com/profile_images/877414144424660992/scfhocj3_normal.jpg","View")</f>
        <v>View</v>
      </c>
      <c r="P5386" s="10"/>
    </row>
    <row r="5387" customFormat="false" ht="15.75" hidden="false" customHeight="false" outlineLevel="0" collapsed="false">
      <c r="A5387" s="6" t="n">
        <v>43030.9273611111</v>
      </c>
      <c r="B5387" s="7" t="str">
        <f aca="false">HYPERLINK("https://twitter.com/Rahulku26027578","@Rahulku26027578")</f>
        <v>@Rahulku26027578</v>
      </c>
      <c r="C5387" s="8" t="s">
        <v>12569</v>
      </c>
      <c r="D5387" s="8" t="s">
        <v>10997</v>
      </c>
      <c r="E5387" s="9" t="str">
        <f aca="false">HYPERLINK("https://twitter.com/Rahulku26027578/status/922330596344393728","922330596344393728")</f>
        <v>922330596344393728</v>
      </c>
      <c r="F5387" s="10" t="s">
        <v>98</v>
      </c>
      <c r="G5387" s="10" t="n">
        <v>200</v>
      </c>
      <c r="H5387" s="10" t="n">
        <v>1601</v>
      </c>
      <c r="I5387" s="10" t="n">
        <v>27</v>
      </c>
      <c r="J5387" s="10" t="n">
        <v>0</v>
      </c>
      <c r="K5387" s="10" t="s">
        <v>20</v>
      </c>
      <c r="L5387" s="11" t="n">
        <v>42087.3184953704</v>
      </c>
      <c r="M5387" s="12" t="s">
        <v>12570</v>
      </c>
      <c r="N5387" s="12" t="s">
        <v>12571</v>
      </c>
      <c r="O5387" s="9" t="str">
        <f aca="false">HYPERLINK("https://pbs.twimg.com/profile_images/921371022145679361/nj_cO09U_normal.jpg","View")</f>
        <v>View</v>
      </c>
      <c r="P5387" s="10"/>
    </row>
    <row r="5388" customFormat="false" ht="15.75" hidden="false" customHeight="false" outlineLevel="0" collapsed="false">
      <c r="A5388" s="6" t="n">
        <v>43030.9275347222</v>
      </c>
      <c r="B5388" s="7" t="str">
        <f aca="false">HYPERLINK("https://twitter.com/kristoferkawas","@kristoferkawas")</f>
        <v>@kristoferkawas</v>
      </c>
      <c r="C5388" s="8" t="s">
        <v>2132</v>
      </c>
      <c r="D5388" s="8" t="s">
        <v>12573</v>
      </c>
      <c r="E5388" s="9" t="str">
        <f aca="false">HYPERLINK("https://twitter.com/kristoferkawas/status/922330659384909824","922330659384909824")</f>
        <v>922330659384909824</v>
      </c>
      <c r="F5388" s="10" t="s">
        <v>60</v>
      </c>
      <c r="G5388" s="10" t="n">
        <v>3074</v>
      </c>
      <c r="H5388" s="10" t="n">
        <v>14</v>
      </c>
      <c r="I5388" s="10" t="n">
        <v>0</v>
      </c>
      <c r="J5388" s="10" t="n">
        <v>0</v>
      </c>
      <c r="K5388" s="10" t="s">
        <v>20</v>
      </c>
      <c r="L5388" s="11" t="n">
        <v>40432.4156828704</v>
      </c>
      <c r="M5388" s="12" t="s">
        <v>2134</v>
      </c>
      <c r="N5388" s="12" t="s">
        <v>2135</v>
      </c>
      <c r="O5388" s="9" t="str">
        <f aca="false">HYPERLINK("https://pbs.twimg.com/profile_images/662564447542636544/LvMoxlK3_normal.jpg","View")</f>
        <v>View</v>
      </c>
      <c r="P5388" s="10"/>
    </row>
    <row r="5389" customFormat="false" ht="15.75" hidden="false" customHeight="false" outlineLevel="0" collapsed="false">
      <c r="A5389" s="6" t="n">
        <v>43030.9275578704</v>
      </c>
      <c r="B5389" s="7" t="str">
        <f aca="false">HYPERLINK("https://twitter.com/NewsStoryIndia","@NewsStoryIndia")</f>
        <v>@NewsStoryIndia</v>
      </c>
      <c r="C5389" s="8" t="s">
        <v>2842</v>
      </c>
      <c r="D5389" s="8" t="s">
        <v>12574</v>
      </c>
      <c r="E5389" s="9" t="str">
        <f aca="false">HYPERLINK("https://twitter.com/NewsStoryIndia/status/922330665793843200","922330665793843200")</f>
        <v>922330665793843200</v>
      </c>
      <c r="F5389" s="10" t="s">
        <v>60</v>
      </c>
      <c r="G5389" s="10" t="n">
        <v>4574</v>
      </c>
      <c r="H5389" s="10" t="n">
        <v>28</v>
      </c>
      <c r="I5389" s="10" t="n">
        <v>0</v>
      </c>
      <c r="J5389" s="10" t="n">
        <v>0</v>
      </c>
      <c r="K5389" s="10" t="s">
        <v>20</v>
      </c>
      <c r="L5389" s="11" t="n">
        <v>40404.7906944444</v>
      </c>
      <c r="M5389" s="12" t="s">
        <v>72</v>
      </c>
      <c r="N5389" s="12" t="s">
        <v>2844</v>
      </c>
      <c r="O5389" s="9" t="str">
        <f aca="false">HYPERLINK("https://pbs.twimg.com/profile_images/829323773769818113/0Z6sbzum_normal.jpg","View")</f>
        <v>View</v>
      </c>
      <c r="P5389" s="10"/>
    </row>
    <row r="5390" customFormat="false" ht="15.75" hidden="false" customHeight="false" outlineLevel="0" collapsed="false">
      <c r="A5390" s="6" t="n">
        <v>43030.9275810185</v>
      </c>
      <c r="B5390" s="7" t="str">
        <f aca="false">HYPERLINK("https://twitter.com/shankscule","@shankscule")</f>
        <v>@shankscule</v>
      </c>
      <c r="C5390" s="8" t="s">
        <v>12575</v>
      </c>
      <c r="D5390" s="8" t="s">
        <v>8538</v>
      </c>
      <c r="E5390" s="9" t="str">
        <f aca="false">HYPERLINK("https://twitter.com/shankscule/status/922330674329088000","922330674329088000")</f>
        <v>922330674329088000</v>
      </c>
      <c r="F5390" s="10" t="s">
        <v>25</v>
      </c>
      <c r="G5390" s="10" t="n">
        <v>12</v>
      </c>
      <c r="H5390" s="10" t="n">
        <v>120</v>
      </c>
      <c r="I5390" s="10" t="n">
        <v>1015</v>
      </c>
      <c r="J5390" s="10" t="n">
        <v>0</v>
      </c>
      <c r="K5390" s="10" t="s">
        <v>20</v>
      </c>
      <c r="L5390" s="11" t="n">
        <v>42833.1135648148</v>
      </c>
      <c r="M5390" s="12" t="s">
        <v>6635</v>
      </c>
      <c r="N5390" s="12"/>
      <c r="O5390" s="9" t="str">
        <f aca="false">HYPERLINK("https://abs.twimg.com/sticky/default_profile_images/default_profile_normal.png","View")</f>
        <v>View</v>
      </c>
      <c r="P5390" s="10"/>
    </row>
    <row r="5391" customFormat="false" ht="15.75" hidden="false" customHeight="false" outlineLevel="0" collapsed="false">
      <c r="A5391" s="6" t="n">
        <v>43030.9277777778</v>
      </c>
      <c r="B5391" s="7" t="str">
        <f aca="false">HYPERLINK("https://twitter.com/TimesofNews","@TimesofNews")</f>
        <v>@TimesofNews</v>
      </c>
      <c r="C5391" s="8" t="s">
        <v>2896</v>
      </c>
      <c r="D5391" s="8" t="s">
        <v>12576</v>
      </c>
      <c r="E5391" s="9" t="str">
        <f aca="false">HYPERLINK("https://twitter.com/TimesofNews/status/922330746471272448","922330746471272448")</f>
        <v>922330746471272448</v>
      </c>
      <c r="F5391" s="10" t="s">
        <v>5248</v>
      </c>
      <c r="G5391" s="10" t="n">
        <v>1145</v>
      </c>
      <c r="H5391" s="10" t="n">
        <v>129</v>
      </c>
      <c r="I5391" s="10" t="n">
        <v>0</v>
      </c>
      <c r="J5391" s="10" t="n">
        <v>0</v>
      </c>
      <c r="K5391" s="10" t="s">
        <v>20</v>
      </c>
      <c r="L5391" s="11" t="n">
        <v>40978.118287037</v>
      </c>
      <c r="M5391" s="12"/>
      <c r="N5391" s="12" t="s">
        <v>2899</v>
      </c>
      <c r="O5391" s="9" t="str">
        <f aca="false">HYPERLINK("https://pbs.twimg.com/profile_images/458022872024223744/GKx5zsNw_normal.png","View")</f>
        <v>View</v>
      </c>
      <c r="P5391" s="10"/>
    </row>
    <row r="5392" customFormat="false" ht="15.75" hidden="false" customHeight="false" outlineLevel="0" collapsed="false">
      <c r="A5392" s="6" t="n">
        <v>43030.9278125</v>
      </c>
      <c r="B5392" s="7" t="str">
        <f aca="false">HYPERLINK("https://twitter.com/NewsInnOfficial","@NewsInnOfficial")</f>
        <v>@NewsInnOfficial</v>
      </c>
      <c r="C5392" s="8" t="s">
        <v>1978</v>
      </c>
      <c r="D5392" s="8" t="s">
        <v>12577</v>
      </c>
      <c r="E5392" s="9" t="str">
        <f aca="false">HYPERLINK("https://twitter.com/NewsInnOfficial/status/922330759465259013","922330759465259013")</f>
        <v>922330759465259013</v>
      </c>
      <c r="F5392" s="9" t="s">
        <v>1980</v>
      </c>
      <c r="G5392" s="10" t="n">
        <v>3184</v>
      </c>
      <c r="H5392" s="10" t="n">
        <v>423</v>
      </c>
      <c r="I5392" s="10" t="n">
        <v>0</v>
      </c>
      <c r="J5392" s="10" t="n">
        <v>0</v>
      </c>
      <c r="K5392" s="10" t="s">
        <v>20</v>
      </c>
      <c r="L5392" s="11" t="n">
        <v>42261.0373032407</v>
      </c>
      <c r="M5392" s="12"/>
      <c r="N5392" s="12" t="s">
        <v>1981</v>
      </c>
      <c r="O5392" s="9" t="str">
        <f aca="false">HYPERLINK("https://pbs.twimg.com/profile_images/643332184808357888/iflwS-R9_normal.png","View")</f>
        <v>View</v>
      </c>
      <c r="P5392" s="10"/>
    </row>
    <row r="5393" customFormat="false" ht="15.75" hidden="false" customHeight="false" outlineLevel="0" collapsed="false">
      <c r="A5393" s="6" t="n">
        <v>43030.9280208333</v>
      </c>
      <c r="B5393" s="7" t="str">
        <f aca="false">HYPERLINK("https://twitter.com/globalissuesweb","@globalissuesweb")</f>
        <v>@globalissuesweb</v>
      </c>
      <c r="C5393" s="8" t="s">
        <v>2136</v>
      </c>
      <c r="D5393" s="8" t="s">
        <v>12578</v>
      </c>
      <c r="E5393" s="9" t="str">
        <f aca="false">HYPERLINK("https://twitter.com/globalissuesweb/status/922330833683402752","922330833683402752")</f>
        <v>922330833683402752</v>
      </c>
      <c r="F5393" s="9" t="s">
        <v>2138</v>
      </c>
      <c r="G5393" s="10" t="n">
        <v>155654</v>
      </c>
      <c r="H5393" s="10" t="n">
        <v>2419</v>
      </c>
      <c r="I5393" s="10" t="n">
        <v>1</v>
      </c>
      <c r="J5393" s="10" t="n">
        <v>0</v>
      </c>
      <c r="K5393" s="10" t="s">
        <v>20</v>
      </c>
      <c r="L5393" s="11" t="n">
        <v>40037.4634143518</v>
      </c>
      <c r="M5393" s="12" t="s">
        <v>2139</v>
      </c>
      <c r="N5393" s="12" t="s">
        <v>2140</v>
      </c>
      <c r="O5393" s="9" t="str">
        <f aca="false">HYPERLINK("https://pbs.twimg.com/profile_images/2634696934/fbbd02b9e0ac76801b12e7fdecdf68be_normal.jpeg","View")</f>
        <v>View</v>
      </c>
      <c r="P5393" s="10"/>
    </row>
    <row r="5394" customFormat="false" ht="15.75" hidden="false" customHeight="false" outlineLevel="0" collapsed="false">
      <c r="A5394" s="6" t="n">
        <v>43030.9280324074</v>
      </c>
      <c r="B5394" s="7" t="str">
        <f aca="false">HYPERLINK("https://twitter.com/uyu_47go","@uyu_47go")</f>
        <v>@uyu_47go</v>
      </c>
      <c r="C5394" s="14" t="s">
        <v>12579</v>
      </c>
      <c r="D5394" s="8" t="s">
        <v>12493</v>
      </c>
      <c r="E5394" s="9" t="str">
        <f aca="false">HYPERLINK("https://twitter.com/uyu_47go/status/922330836086558720","922330836086558720")</f>
        <v>922330836086558720</v>
      </c>
      <c r="F5394" s="10" t="s">
        <v>39</v>
      </c>
      <c r="G5394" s="10" t="n">
        <v>124</v>
      </c>
      <c r="H5394" s="10" t="n">
        <v>279</v>
      </c>
      <c r="I5394" s="10" t="n">
        <v>63</v>
      </c>
      <c r="J5394" s="10" t="n">
        <v>0</v>
      </c>
      <c r="K5394" s="10" t="s">
        <v>20</v>
      </c>
      <c r="L5394" s="11" t="n">
        <v>42215.0823726852</v>
      </c>
      <c r="M5394" s="13" t="s">
        <v>152</v>
      </c>
      <c r="N5394" s="13" t="s">
        <v>12580</v>
      </c>
      <c r="O5394" s="9" t="str">
        <f aca="false">HYPERLINK("https://pbs.twimg.com/profile_images/859191266290135040/kkplw2x4_normal.jpg","View")</f>
        <v>View</v>
      </c>
      <c r="P5394" s="10"/>
    </row>
    <row r="5395" customFormat="false" ht="15.75" hidden="false" customHeight="false" outlineLevel="0" collapsed="false">
      <c r="A5395" s="6" t="n">
        <v>43030.928125</v>
      </c>
      <c r="B5395" s="7" t="str">
        <f aca="false">HYPERLINK("https://twitter.com/mithlm88","@mithlm88")</f>
        <v>@mithlm88</v>
      </c>
      <c r="C5395" s="8" t="s">
        <v>12581</v>
      </c>
      <c r="D5395" s="8" t="s">
        <v>8538</v>
      </c>
      <c r="E5395" s="9" t="str">
        <f aca="false">HYPERLINK("https://twitter.com/mithlm88/status/922330872497369088","922330872497369088")</f>
        <v>922330872497369088</v>
      </c>
      <c r="F5395" s="10" t="s">
        <v>25</v>
      </c>
      <c r="G5395" s="10" t="n">
        <v>338</v>
      </c>
      <c r="H5395" s="10" t="n">
        <v>397</v>
      </c>
      <c r="I5395" s="10" t="n">
        <v>1015</v>
      </c>
      <c r="J5395" s="10" t="n">
        <v>0</v>
      </c>
      <c r="K5395" s="10" t="s">
        <v>20</v>
      </c>
      <c r="L5395" s="11" t="n">
        <v>40682.8229861111</v>
      </c>
      <c r="M5395" s="12" t="s">
        <v>12582</v>
      </c>
      <c r="N5395" s="12" t="s">
        <v>12583</v>
      </c>
      <c r="O5395" s="9" t="str">
        <f aca="false">HYPERLINK("https://pbs.twimg.com/profile_images/848763510205157377/LNZkyt6-_normal.jpg","View")</f>
        <v>View</v>
      </c>
      <c r="P5395" s="10"/>
    </row>
    <row r="5396" customFormat="false" ht="15.75" hidden="false" customHeight="false" outlineLevel="0" collapsed="false">
      <c r="A5396" s="6" t="n">
        <v>43030.9281944444</v>
      </c>
      <c r="B5396" s="7" t="str">
        <f aca="false">HYPERLINK("https://twitter.com/MexicoNewsBot","@MexicoNewsBot")</f>
        <v>@MexicoNewsBot</v>
      </c>
      <c r="C5396" s="8" t="s">
        <v>53</v>
      </c>
      <c r="D5396" s="8" t="s">
        <v>12584</v>
      </c>
      <c r="E5396" s="9" t="str">
        <f aca="false">HYPERLINK("https://twitter.com/MexicoNewsBot/status/922330896828641280","922330896828641280")</f>
        <v>922330896828641280</v>
      </c>
      <c r="F5396" s="10" t="s">
        <v>55</v>
      </c>
      <c r="G5396" s="10" t="n">
        <v>474</v>
      </c>
      <c r="H5396" s="10" t="n">
        <v>183</v>
      </c>
      <c r="I5396" s="10" t="n">
        <v>0</v>
      </c>
      <c r="J5396" s="10" t="n">
        <v>0</v>
      </c>
      <c r="K5396" s="10" t="s">
        <v>20</v>
      </c>
      <c r="L5396" s="11" t="n">
        <v>41845.7457523148</v>
      </c>
      <c r="M5396" s="12"/>
      <c r="N5396" s="12"/>
      <c r="O5396" s="9" t="str">
        <f aca="false">HYPERLINK("https://pbs.twimg.com/profile_images/492864938445000704/QxvpQrRZ_normal.jpeg","View")</f>
        <v>View</v>
      </c>
      <c r="P5396" s="10"/>
    </row>
    <row r="5397" customFormat="false" ht="15.75" hidden="false" customHeight="false" outlineLevel="0" collapsed="false">
      <c r="A5397" s="6" t="n">
        <v>43030.9285300926</v>
      </c>
      <c r="B5397" s="7" t="str">
        <f aca="false">HYPERLINK("https://twitter.com/JapanTiming","@JapanTiming")</f>
        <v>@JapanTiming</v>
      </c>
      <c r="C5397" s="8" t="s">
        <v>12585</v>
      </c>
      <c r="D5397" s="8" t="s">
        <v>12586</v>
      </c>
      <c r="E5397" s="9" t="str">
        <f aca="false">HYPERLINK("https://twitter.com/JapanTiming/status/922331016546496512","922331016546496512")</f>
        <v>922331016546496512</v>
      </c>
      <c r="F5397" s="9" t="s">
        <v>1147</v>
      </c>
      <c r="G5397" s="10" t="n">
        <v>1819</v>
      </c>
      <c r="H5397" s="10" t="n">
        <v>2083</v>
      </c>
      <c r="I5397" s="10" t="n">
        <v>0</v>
      </c>
      <c r="J5397" s="10" t="n">
        <v>0</v>
      </c>
      <c r="K5397" s="10" t="s">
        <v>20</v>
      </c>
      <c r="L5397" s="11" t="n">
        <v>41088.511412037</v>
      </c>
      <c r="M5397" s="12"/>
      <c r="N5397" s="12" t="s">
        <v>12587</v>
      </c>
      <c r="O5397" s="9" t="str">
        <f aca="false">HYPERLINK("https://pbs.twimg.com/profile_images/2391418117/hacj9a03shfow5r1a27m_normal.jpeg","View")</f>
        <v>View</v>
      </c>
      <c r="P5397" s="10"/>
    </row>
    <row r="5398" customFormat="false" ht="15.75" hidden="false" customHeight="false" outlineLevel="0" collapsed="false">
      <c r="A5398" s="6" t="n">
        <v>43030.9285416667</v>
      </c>
      <c r="B5398" s="7" t="str">
        <f aca="false">HYPERLINK("https://twitter.com/the_realmotive","@the_realmotive")</f>
        <v>@the_realmotive</v>
      </c>
      <c r="C5398" s="8" t="s">
        <v>12588</v>
      </c>
      <c r="D5398" s="8" t="s">
        <v>12589</v>
      </c>
      <c r="E5398" s="9" t="str">
        <f aca="false">HYPERLINK("https://twitter.com/the_realmotive/status/922331021588152320","922331021588152320")</f>
        <v>922331021588152320</v>
      </c>
      <c r="F5398" s="9" t="s">
        <v>1147</v>
      </c>
      <c r="G5398" s="10" t="n">
        <v>46146</v>
      </c>
      <c r="H5398" s="10" t="n">
        <v>19860</v>
      </c>
      <c r="I5398" s="10" t="n">
        <v>0</v>
      </c>
      <c r="J5398" s="10" t="n">
        <v>0</v>
      </c>
      <c r="K5398" s="10" t="s">
        <v>20</v>
      </c>
      <c r="L5398" s="11" t="n">
        <v>40880.0537731482</v>
      </c>
      <c r="M5398" s="12" t="s">
        <v>370</v>
      </c>
      <c r="N5398" s="12" t="s">
        <v>12590</v>
      </c>
      <c r="O5398" s="9" t="str">
        <f aca="false">HYPERLINK("https://pbs.twimg.com/profile_images/378800000729212231/fff3d29e00ec4de505d6f2c6ebe691e5_normal.jpeg","View")</f>
        <v>View</v>
      </c>
      <c r="P5398" s="10"/>
    </row>
    <row r="5399" customFormat="false" ht="15.75" hidden="false" customHeight="false" outlineLevel="0" collapsed="false">
      <c r="A5399" s="6" t="n">
        <v>43030.9289814815</v>
      </c>
      <c r="B5399" s="7" t="str">
        <f aca="false">HYPERLINK("https://twitter.com/kokusizu2","@kokusizu2")</f>
        <v>@kokusizu2</v>
      </c>
      <c r="C5399" s="14" t="s">
        <v>12591</v>
      </c>
      <c r="D5399" s="8" t="s">
        <v>12493</v>
      </c>
      <c r="E5399" s="9" t="str">
        <f aca="false">HYPERLINK("https://twitter.com/kokusizu2/status/922331180686491649","922331180686491649")</f>
        <v>922331180686491649</v>
      </c>
      <c r="F5399" s="10" t="s">
        <v>25</v>
      </c>
      <c r="G5399" s="10" t="n">
        <v>234</v>
      </c>
      <c r="H5399" s="10" t="n">
        <v>336</v>
      </c>
      <c r="I5399" s="10" t="n">
        <v>63</v>
      </c>
      <c r="J5399" s="10" t="n">
        <v>0</v>
      </c>
      <c r="K5399" s="10" t="s">
        <v>20</v>
      </c>
      <c r="L5399" s="11" t="n">
        <v>42851.4713194445</v>
      </c>
      <c r="M5399" s="13" t="s">
        <v>12592</v>
      </c>
      <c r="N5399" s="13" t="s">
        <v>12593</v>
      </c>
      <c r="O5399" s="9" t="str">
        <f aca="false">HYPERLINK("https://pbs.twimg.com/profile_images/857303093347721216/1Ef39t_B_normal.jpg","View")</f>
        <v>View</v>
      </c>
      <c r="P5399" s="10"/>
    </row>
    <row r="5400" customFormat="false" ht="15.75" hidden="false" customHeight="false" outlineLevel="0" collapsed="false">
      <c r="A5400" s="6" t="n">
        <v>43030.9291898148</v>
      </c>
      <c r="B5400" s="7" t="str">
        <f aca="false">HYPERLINK("https://twitter.com/twisuzuhumot","@twisuzuhumot")</f>
        <v>@twisuzuhumot</v>
      </c>
      <c r="C5400" s="14" t="s">
        <v>12594</v>
      </c>
      <c r="D5400" s="8" t="s">
        <v>6707</v>
      </c>
      <c r="E5400" s="9" t="str">
        <f aca="false">HYPERLINK("https://twitter.com/twisuzuhumot/status/922331258788573185","922331258788573185")</f>
        <v>922331258788573185</v>
      </c>
      <c r="F5400" s="10" t="s">
        <v>39</v>
      </c>
      <c r="G5400" s="10" t="n">
        <v>1903</v>
      </c>
      <c r="H5400" s="10" t="n">
        <v>1676</v>
      </c>
      <c r="I5400" s="10" t="n">
        <v>97</v>
      </c>
      <c r="J5400" s="10" t="n">
        <v>0</v>
      </c>
      <c r="K5400" s="10" t="s">
        <v>20</v>
      </c>
      <c r="L5400" s="11" t="n">
        <v>41692.8459027778</v>
      </c>
      <c r="M5400" s="13" t="s">
        <v>12595</v>
      </c>
      <c r="N5400" s="12" t="s">
        <v>12596</v>
      </c>
      <c r="O5400" s="9" t="str">
        <f aca="false">HYPERLINK("https://pbs.twimg.com/profile_images/728586499894075392/Mc-rBGVa_normal.jpg","View")</f>
        <v>View</v>
      </c>
      <c r="P5400" s="10"/>
    </row>
    <row r="5401" customFormat="false" ht="15.75" hidden="false" customHeight="false" outlineLevel="0" collapsed="false">
      <c r="A5401" s="6" t="n">
        <v>43030.9293402778</v>
      </c>
      <c r="B5401" s="7" t="str">
        <f aca="false">HYPERLINK("https://twitter.com/MamiAmano","@MamiAmano")</f>
        <v>@MamiAmano</v>
      </c>
      <c r="C5401" s="14" t="s">
        <v>12597</v>
      </c>
      <c r="D5401" s="8" t="s">
        <v>12493</v>
      </c>
      <c r="E5401" s="9" t="str">
        <f aca="false">HYPERLINK("https://twitter.com/MamiAmano/status/922331312261709824","922331312261709824")</f>
        <v>922331312261709824</v>
      </c>
      <c r="F5401" s="10" t="s">
        <v>25</v>
      </c>
      <c r="G5401" s="10" t="n">
        <v>4280</v>
      </c>
      <c r="H5401" s="10" t="n">
        <v>4361</v>
      </c>
      <c r="I5401" s="10" t="n">
        <v>63</v>
      </c>
      <c r="J5401" s="10" t="n">
        <v>0</v>
      </c>
      <c r="K5401" s="10" t="s">
        <v>20</v>
      </c>
      <c r="L5401" s="11" t="n">
        <v>41086.9456712963</v>
      </c>
      <c r="M5401" s="13" t="s">
        <v>12598</v>
      </c>
      <c r="N5401" s="13" t="s">
        <v>12599</v>
      </c>
      <c r="O5401" s="9" t="str">
        <f aca="false">HYPERLINK("https://pbs.twimg.com/profile_images/2685585006/666970261cd24f3796375800753e5fc8_normal.jpeg","View")</f>
        <v>View</v>
      </c>
      <c r="P5401" s="10"/>
    </row>
    <row r="5402" customFormat="false" ht="15.75" hidden="false" customHeight="false" outlineLevel="0" collapsed="false">
      <c r="A5402" s="6" t="n">
        <v>43030.9293634259</v>
      </c>
      <c r="B5402" s="7" t="str">
        <f aca="false">HYPERLINK("https://twitter.com/NaMoin543","@NaMoin543")</f>
        <v>@NaMoin543</v>
      </c>
      <c r="C5402" s="8" t="s">
        <v>12600</v>
      </c>
      <c r="D5402" s="8" t="s">
        <v>8538</v>
      </c>
      <c r="E5402" s="9" t="str">
        <f aca="false">HYPERLINK("https://twitter.com/NaMoin543/status/922331319325007872","922331319325007872")</f>
        <v>922331319325007872</v>
      </c>
      <c r="F5402" s="10" t="s">
        <v>25</v>
      </c>
      <c r="G5402" s="10" t="n">
        <v>434</v>
      </c>
      <c r="H5402" s="10" t="n">
        <v>261</v>
      </c>
      <c r="I5402" s="10" t="n">
        <v>1015</v>
      </c>
      <c r="J5402" s="10" t="n">
        <v>0</v>
      </c>
      <c r="K5402" s="10" t="s">
        <v>20</v>
      </c>
      <c r="L5402" s="11" t="n">
        <v>41580.2245833333</v>
      </c>
      <c r="M5402" s="12" t="s">
        <v>12601</v>
      </c>
      <c r="N5402" s="12" t="s">
        <v>12602</v>
      </c>
      <c r="O5402" s="9" t="str">
        <f aca="false">HYPERLINK("https://pbs.twimg.com/profile_images/677060454343159809/xsrmYJCn_normal.jpg","View")</f>
        <v>View</v>
      </c>
      <c r="P5402" s="10"/>
    </row>
    <row r="5403" customFormat="false" ht="15.75" hidden="false" customHeight="false" outlineLevel="0" collapsed="false">
      <c r="A5403" s="6" t="n">
        <v>43030.9297453704</v>
      </c>
      <c r="B5403" s="7" t="str">
        <f aca="false">HYPERLINK("https://twitter.com/bol2bolna","@bol2bolna")</f>
        <v>@bol2bolna</v>
      </c>
      <c r="C5403" s="8" t="s">
        <v>12603</v>
      </c>
      <c r="D5403" s="8" t="s">
        <v>8538</v>
      </c>
      <c r="E5403" s="9" t="str">
        <f aca="false">HYPERLINK("https://twitter.com/bol2bolna/status/922331459582603264","922331459582603264")</f>
        <v>922331459582603264</v>
      </c>
      <c r="F5403" s="10" t="s">
        <v>25</v>
      </c>
      <c r="G5403" s="10" t="n">
        <v>78</v>
      </c>
      <c r="H5403" s="10" t="n">
        <v>206</v>
      </c>
      <c r="I5403" s="10" t="n">
        <v>1015</v>
      </c>
      <c r="J5403" s="10" t="n">
        <v>0</v>
      </c>
      <c r="K5403" s="10" t="s">
        <v>20</v>
      </c>
      <c r="L5403" s="11" t="n">
        <v>42105.4729398148</v>
      </c>
      <c r="M5403" s="12" t="s">
        <v>12604</v>
      </c>
      <c r="N5403" s="12" t="s">
        <v>12605</v>
      </c>
      <c r="O5403" s="9" t="str">
        <f aca="false">HYPERLINK("https://pbs.twimg.com/profile_images/808577512171139072/CgYtsq8F_normal.jpg","View")</f>
        <v>View</v>
      </c>
      <c r="P5403" s="10"/>
    </row>
    <row r="5404" customFormat="false" ht="15.75" hidden="false" customHeight="false" outlineLevel="0" collapsed="false">
      <c r="A5404" s="6" t="n">
        <v>43030.9300347222</v>
      </c>
      <c r="B5404" s="7" t="str">
        <f aca="false">HYPERLINK("https://twitter.com/TheBaseerKakar","@TheBaseerKakar")</f>
        <v>@TheBaseerKakar</v>
      </c>
      <c r="C5404" s="8" t="s">
        <v>12606</v>
      </c>
      <c r="D5404" s="8" t="s">
        <v>10225</v>
      </c>
      <c r="E5404" s="9" t="str">
        <f aca="false">HYPERLINK("https://twitter.com/TheBaseerKakar/status/922331564784066560","922331564784066560")</f>
        <v>922331564784066560</v>
      </c>
      <c r="F5404" s="10" t="s">
        <v>1024</v>
      </c>
      <c r="G5404" s="10" t="n">
        <v>1948</v>
      </c>
      <c r="H5404" s="10" t="n">
        <v>100</v>
      </c>
      <c r="I5404" s="10" t="n">
        <v>16</v>
      </c>
      <c r="J5404" s="10" t="n">
        <v>0</v>
      </c>
      <c r="K5404" s="10" t="s">
        <v>20</v>
      </c>
      <c r="L5404" s="11" t="n">
        <v>41740.2272453704</v>
      </c>
      <c r="M5404" s="12" t="s">
        <v>12607</v>
      </c>
      <c r="N5404" s="12" t="s">
        <v>12608</v>
      </c>
      <c r="O5404" s="9" t="str">
        <f aca="false">HYPERLINK("https://pbs.twimg.com/profile_images/921122993295806466/GMHfr4FK_normal.jpg","View")</f>
        <v>View</v>
      </c>
      <c r="P5404" s="10"/>
    </row>
    <row r="5405" customFormat="false" ht="15.75" hidden="false" customHeight="false" outlineLevel="0" collapsed="false">
      <c r="A5405" s="6" t="n">
        <v>43030.9303935185</v>
      </c>
      <c r="B5405" s="7" t="str">
        <f aca="false">HYPERLINK("https://twitter.com/manish_nadir","@manish_nadir")</f>
        <v>@manish_nadir</v>
      </c>
      <c r="C5405" s="8" t="s">
        <v>12609</v>
      </c>
      <c r="D5405" s="8" t="s">
        <v>8538</v>
      </c>
      <c r="E5405" s="9" t="str">
        <f aca="false">HYPERLINK("https://twitter.com/manish_nadir/status/922331695604363264","922331695604363264")</f>
        <v>922331695604363264</v>
      </c>
      <c r="F5405" s="10" t="s">
        <v>51</v>
      </c>
      <c r="G5405" s="10" t="n">
        <v>647</v>
      </c>
      <c r="H5405" s="10" t="n">
        <v>1153</v>
      </c>
      <c r="I5405" s="10" t="n">
        <v>1015</v>
      </c>
      <c r="J5405" s="10" t="n">
        <v>0</v>
      </c>
      <c r="K5405" s="10" t="s">
        <v>20</v>
      </c>
      <c r="L5405" s="11" t="n">
        <v>39889.3924189815</v>
      </c>
      <c r="M5405" s="12" t="s">
        <v>1104</v>
      </c>
      <c r="N5405" s="12" t="s">
        <v>12610</v>
      </c>
      <c r="O5405" s="9" t="str">
        <f aca="false">HYPERLINK("https://pbs.twimg.com/profile_images/484921963387707392/GwkiKvx2_normal.jpeg","View")</f>
        <v>View</v>
      </c>
      <c r="P5405" s="10"/>
    </row>
    <row r="5406" customFormat="false" ht="15.75" hidden="false" customHeight="false" outlineLevel="0" collapsed="false">
      <c r="A5406" s="6" t="n">
        <v>43030.9304050926</v>
      </c>
      <c r="B5406" s="7" t="str">
        <f aca="false">HYPERLINK("https://twitter.com/YashKVerm","@YashKVerm")</f>
        <v>@YashKVerm</v>
      </c>
      <c r="C5406" s="8" t="s">
        <v>1066</v>
      </c>
      <c r="D5406" s="8" t="s">
        <v>12611</v>
      </c>
      <c r="E5406" s="9" t="str">
        <f aca="false">HYPERLINK("https://twitter.com/YashKVerm/status/922331699660206085","922331699660206085")</f>
        <v>922331699660206085</v>
      </c>
      <c r="F5406" s="10" t="s">
        <v>98</v>
      </c>
      <c r="G5406" s="10" t="n">
        <v>1872</v>
      </c>
      <c r="H5406" s="10" t="n">
        <v>4311</v>
      </c>
      <c r="I5406" s="10" t="n">
        <v>1</v>
      </c>
      <c r="J5406" s="10" t="n">
        <v>0</v>
      </c>
      <c r="K5406" s="10" t="s">
        <v>20</v>
      </c>
      <c r="L5406" s="11" t="n">
        <v>41244.3866782407</v>
      </c>
      <c r="M5406" s="12"/>
      <c r="N5406" s="12"/>
      <c r="O5406" s="9" t="str">
        <f aca="false">HYPERLINK("https://pbs.twimg.com/profile_images/461229918366339072/pa6jfXz9_normal.jpeg","View")</f>
        <v>View</v>
      </c>
      <c r="P5406" s="10"/>
    </row>
    <row r="5407" customFormat="false" ht="15.75" hidden="false" customHeight="false" outlineLevel="0" collapsed="false">
      <c r="A5407" s="6" t="n">
        <v>43030.9304166667</v>
      </c>
      <c r="B5407" s="7" t="str">
        <f aca="false">HYPERLINK("https://twitter.com/RajuRajusalla","@RajuRajusalla")</f>
        <v>@RajuRajusalla</v>
      </c>
      <c r="C5407" s="8" t="s">
        <v>12612</v>
      </c>
      <c r="D5407" s="8" t="s">
        <v>8538</v>
      </c>
      <c r="E5407" s="9" t="str">
        <f aca="false">HYPERLINK("https://twitter.com/RajuRajusalla/status/922331702248312833","922331702248312833")</f>
        <v>922331702248312833</v>
      </c>
      <c r="F5407" s="10" t="s">
        <v>51</v>
      </c>
      <c r="G5407" s="10" t="n">
        <v>223</v>
      </c>
      <c r="H5407" s="10" t="n">
        <v>228</v>
      </c>
      <c r="I5407" s="10" t="n">
        <v>1015</v>
      </c>
      <c r="J5407" s="10" t="n">
        <v>0</v>
      </c>
      <c r="K5407" s="10" t="s">
        <v>20</v>
      </c>
      <c r="L5407" s="11" t="n">
        <v>41806.1987847222</v>
      </c>
      <c r="M5407" s="12"/>
      <c r="N5407" s="12" t="s">
        <v>12613</v>
      </c>
      <c r="O5407" s="9" t="str">
        <f aca="false">HYPERLINK("https://pbs.twimg.com/profile_images/583220566305288192/w8325yXE_normal.jpg","View")</f>
        <v>View</v>
      </c>
      <c r="P5407" s="10"/>
    </row>
    <row r="5408" customFormat="false" ht="15.75" hidden="false" customHeight="false" outlineLevel="0" collapsed="false">
      <c r="A5408" s="6" t="n">
        <v>43030.9307175926</v>
      </c>
      <c r="B5408" s="7" t="str">
        <f aca="false">HYPERLINK("https://twitter.com/pramodg0501","@pramodg0501")</f>
        <v>@pramodg0501</v>
      </c>
      <c r="C5408" s="8" t="s">
        <v>12614</v>
      </c>
      <c r="D5408" s="8" t="s">
        <v>8538</v>
      </c>
      <c r="E5408" s="9" t="str">
        <f aca="false">HYPERLINK("https://twitter.com/pramodg0501/status/922331811979522048","922331811979522048")</f>
        <v>922331811979522048</v>
      </c>
      <c r="F5408" s="10" t="s">
        <v>51</v>
      </c>
      <c r="G5408" s="10" t="n">
        <v>122</v>
      </c>
      <c r="H5408" s="10" t="n">
        <v>74</v>
      </c>
      <c r="I5408" s="10" t="n">
        <v>1015</v>
      </c>
      <c r="J5408" s="10" t="n">
        <v>0</v>
      </c>
      <c r="K5408" s="10" t="s">
        <v>20</v>
      </c>
      <c r="L5408" s="11" t="n">
        <v>41449.1166203704</v>
      </c>
      <c r="M5408" s="12" t="s">
        <v>12615</v>
      </c>
      <c r="N5408" s="12" t="s">
        <v>12616</v>
      </c>
      <c r="O5408" s="9" t="str">
        <f aca="false">HYPERLINK("https://pbs.twimg.com/profile_images/378800000038526614/96542ba18b480c6a7e27eb71a4f06312_normal.png","View")</f>
        <v>View</v>
      </c>
      <c r="P5408" s="10"/>
    </row>
    <row r="5409" customFormat="false" ht="15.75" hidden="false" customHeight="false" outlineLevel="0" collapsed="false">
      <c r="A5409" s="6" t="n">
        <v>43030.9307986111</v>
      </c>
      <c r="B5409" s="7" t="str">
        <f aca="false">HYPERLINK("https://twitter.com/randhano","@randhano")</f>
        <v>@randhano</v>
      </c>
      <c r="C5409" s="8" t="s">
        <v>3316</v>
      </c>
      <c r="D5409" s="8" t="s">
        <v>6707</v>
      </c>
      <c r="E5409" s="9" t="str">
        <f aca="false">HYPERLINK("https://twitter.com/randhano/status/922331838814683137","922331838814683137")</f>
        <v>922331838814683137</v>
      </c>
      <c r="F5409" s="10" t="s">
        <v>39</v>
      </c>
      <c r="G5409" s="10" t="n">
        <v>51</v>
      </c>
      <c r="H5409" s="10" t="n">
        <v>323</v>
      </c>
      <c r="I5409" s="10" t="n">
        <v>97</v>
      </c>
      <c r="J5409" s="10" t="n">
        <v>0</v>
      </c>
      <c r="K5409" s="10" t="s">
        <v>20</v>
      </c>
      <c r="L5409" s="11" t="n">
        <v>42854.1311111111</v>
      </c>
      <c r="M5409" s="12"/>
      <c r="N5409" s="12"/>
      <c r="O5409" s="9" t="str">
        <f aca="false">HYPERLINK("https://pbs.twimg.com/profile_images/858266700818644992/LhaAgND7_normal.jpg","View")</f>
        <v>View</v>
      </c>
      <c r="P5409" s="10"/>
    </row>
    <row r="5410" customFormat="false" ht="15.75" hidden="false" customHeight="false" outlineLevel="0" collapsed="false">
      <c r="A5410" s="6" t="n">
        <v>43030.9312615741</v>
      </c>
      <c r="B5410" s="7" t="str">
        <f aca="false">HYPERLINK("https://twitter.com/yosiyosi28071","@yosiyosi28071")</f>
        <v>@yosiyosi28071</v>
      </c>
      <c r="C5410" s="14" t="s">
        <v>12617</v>
      </c>
      <c r="D5410" s="8" t="s">
        <v>12493</v>
      </c>
      <c r="E5410" s="9" t="str">
        <f aca="false">HYPERLINK("https://twitter.com/yosiyosi28071/status/922332007836688384","922332007836688384")</f>
        <v>922332007836688384</v>
      </c>
      <c r="F5410" s="10" t="s">
        <v>177</v>
      </c>
      <c r="G5410" s="10" t="n">
        <v>741</v>
      </c>
      <c r="H5410" s="10" t="n">
        <v>391</v>
      </c>
      <c r="I5410" s="10" t="n">
        <v>63</v>
      </c>
      <c r="J5410" s="10" t="n">
        <v>0</v>
      </c>
      <c r="K5410" s="10" t="s">
        <v>20</v>
      </c>
      <c r="L5410" s="11" t="n">
        <v>42575.0764930556</v>
      </c>
      <c r="M5410" s="12"/>
      <c r="N5410" s="13" t="s">
        <v>12618</v>
      </c>
      <c r="O5410" s="9" t="str">
        <f aca="false">HYPERLINK("https://pbs.twimg.com/profile_images/849263514564706305/VxOCnE-6_normal.jpg","View")</f>
        <v>View</v>
      </c>
      <c r="P5410" s="10"/>
    </row>
    <row r="5411" customFormat="false" ht="15.75" hidden="false" customHeight="false" outlineLevel="0" collapsed="false">
      <c r="A5411" s="6" t="n">
        <v>43030.9314351852</v>
      </c>
      <c r="B5411" s="7" t="str">
        <f aca="false">HYPERLINK("https://twitter.com/PS641600","@PS641600")</f>
        <v>@PS641600</v>
      </c>
      <c r="C5411" s="8" t="s">
        <v>2146</v>
      </c>
      <c r="D5411" s="8" t="s">
        <v>12619</v>
      </c>
      <c r="E5411" s="9" t="str">
        <f aca="false">HYPERLINK("https://twitter.com/PS641600/status/922332072383041536","922332072383041536")</f>
        <v>922332072383041536</v>
      </c>
      <c r="F5411" s="10" t="s">
        <v>159</v>
      </c>
      <c r="G5411" s="10" t="n">
        <v>3978</v>
      </c>
      <c r="H5411" s="10" t="n">
        <v>4083</v>
      </c>
      <c r="I5411" s="10" t="n">
        <v>0</v>
      </c>
      <c r="J5411" s="10" t="n">
        <v>0</v>
      </c>
      <c r="K5411" s="10" t="s">
        <v>20</v>
      </c>
      <c r="L5411" s="11" t="n">
        <v>40521.6192361111</v>
      </c>
      <c r="M5411" s="12" t="s">
        <v>2148</v>
      </c>
      <c r="N5411" s="12" t="s">
        <v>2149</v>
      </c>
      <c r="O5411" s="9" t="str">
        <f aca="false">HYPERLINK("https://pbs.twimg.com/profile_images/907275579438850048/mAQAJ-Qp_normal.jpg","View")</f>
        <v>View</v>
      </c>
      <c r="P5411" s="10"/>
    </row>
    <row r="5412" customFormat="false" ht="15.75" hidden="false" customHeight="false" outlineLevel="0" collapsed="false">
      <c r="A5412" s="6" t="n">
        <v>43030.9315509259</v>
      </c>
      <c r="B5412" s="7" t="str">
        <f aca="false">HYPERLINK("https://twitter.com/AIMopm","@AIMopm")</f>
        <v>@AIMopm</v>
      </c>
      <c r="C5412" s="8" t="s">
        <v>12620</v>
      </c>
      <c r="D5412" s="8" t="s">
        <v>12621</v>
      </c>
      <c r="E5412" s="9" t="str">
        <f aca="false">HYPERLINK("https://twitter.com/AIMopm/status/922332112132419584","922332112132419584")</f>
        <v>922332112132419584</v>
      </c>
      <c r="F5412" s="10" t="s">
        <v>39</v>
      </c>
      <c r="G5412" s="10" t="n">
        <v>19</v>
      </c>
      <c r="H5412" s="10" t="n">
        <v>1285</v>
      </c>
      <c r="I5412" s="10" t="n">
        <v>1</v>
      </c>
      <c r="J5412" s="10" t="n">
        <v>0</v>
      </c>
      <c r="K5412" s="10" t="s">
        <v>20</v>
      </c>
      <c r="L5412" s="11" t="n">
        <v>41797.6278703704</v>
      </c>
      <c r="M5412" s="12" t="s">
        <v>12622</v>
      </c>
      <c r="N5412" s="12" t="s">
        <v>12623</v>
      </c>
      <c r="O5412" s="9" t="str">
        <f aca="false">HYPERLINK("https://pbs.twimg.com/profile_images/612928861794385920/uMNCwB3Z_normal.jpg","View")</f>
        <v>View</v>
      </c>
      <c r="P5412" s="10"/>
    </row>
    <row r="5413" customFormat="false" ht="15.75" hidden="false" customHeight="false" outlineLevel="0" collapsed="false">
      <c r="A5413" s="6" t="n">
        <v>43030.9316666667</v>
      </c>
      <c r="B5413" s="7" t="str">
        <f aca="false">HYPERLINK("https://twitter.com/reach_anuradha","@reach_anuradha")</f>
        <v>@reach_anuradha</v>
      </c>
      <c r="C5413" s="8" t="s">
        <v>12624</v>
      </c>
      <c r="D5413" s="8" t="s">
        <v>8538</v>
      </c>
      <c r="E5413" s="9" t="str">
        <f aca="false">HYPERLINK("https://twitter.com/reach_anuradha/status/922332153148354560","922332153148354560")</f>
        <v>922332153148354560</v>
      </c>
      <c r="F5413" s="10" t="s">
        <v>98</v>
      </c>
      <c r="G5413" s="10" t="n">
        <v>458</v>
      </c>
      <c r="H5413" s="10" t="n">
        <v>802</v>
      </c>
      <c r="I5413" s="10" t="n">
        <v>1015</v>
      </c>
      <c r="J5413" s="10" t="n">
        <v>0</v>
      </c>
      <c r="K5413" s="10" t="s">
        <v>20</v>
      </c>
      <c r="L5413" s="11" t="n">
        <v>41567.3190393519</v>
      </c>
      <c r="M5413" s="12"/>
      <c r="N5413" s="12" t="s">
        <v>12625</v>
      </c>
      <c r="O5413" s="9" t="str">
        <f aca="false">HYPERLINK("https://pbs.twimg.com/profile_images/378800000623687558/cca6e365132cf82fbb24e5275b6733ab_normal.jpeg","View")</f>
        <v>View</v>
      </c>
      <c r="P5413" s="10"/>
    </row>
    <row r="5414" customFormat="false" ht="15.75" hidden="false" customHeight="false" outlineLevel="0" collapsed="false">
      <c r="A5414" s="6" t="n">
        <v>43030.932037037</v>
      </c>
      <c r="B5414" s="7" t="str">
        <f aca="false">HYPERLINK("https://twitter.com/hstapanghosh","@hstapanghosh")</f>
        <v>@hstapanghosh</v>
      </c>
      <c r="C5414" s="8" t="s">
        <v>12626</v>
      </c>
      <c r="D5414" s="8" t="s">
        <v>8538</v>
      </c>
      <c r="E5414" s="9" t="str">
        <f aca="false">HYPERLINK("https://twitter.com/hstapanghosh/status/922332289866108928","922332289866108928")</f>
        <v>922332289866108928</v>
      </c>
      <c r="F5414" s="10" t="s">
        <v>25</v>
      </c>
      <c r="G5414" s="10" t="n">
        <v>43414</v>
      </c>
      <c r="H5414" s="10" t="n">
        <v>146</v>
      </c>
      <c r="I5414" s="10" t="n">
        <v>1015</v>
      </c>
      <c r="J5414" s="10" t="n">
        <v>0</v>
      </c>
      <c r="K5414" s="10" t="s">
        <v>20</v>
      </c>
      <c r="L5414" s="11" t="n">
        <v>41290.8740972222</v>
      </c>
      <c r="M5414" s="12"/>
      <c r="N5414" s="12" t="s">
        <v>12627</v>
      </c>
      <c r="O5414" s="9" t="str">
        <f aca="false">HYPERLINK("https://pbs.twimg.com/profile_images/648358452830474240/0u9l4tUO_normal.jpg","View")</f>
        <v>View</v>
      </c>
      <c r="P5414" s="10"/>
    </row>
    <row r="5415" customFormat="false" ht="15.75" hidden="false" customHeight="false" outlineLevel="0" collapsed="false">
      <c r="A5415" s="6" t="n">
        <v>43030.9325810185</v>
      </c>
      <c r="B5415" s="7" t="str">
        <f aca="false">HYPERLINK("https://twitter.com/ModiFansClub","@ModiFansClub")</f>
        <v>@ModiFansClub</v>
      </c>
      <c r="C5415" s="8" t="s">
        <v>12628</v>
      </c>
      <c r="D5415" s="8" t="s">
        <v>8538</v>
      </c>
      <c r="E5415" s="9" t="str">
        <f aca="false">HYPERLINK("https://twitter.com/ModiFansClub/status/922332485693747200","922332485693747200")</f>
        <v>922332485693747200</v>
      </c>
      <c r="F5415" s="10" t="s">
        <v>39</v>
      </c>
      <c r="G5415" s="10" t="n">
        <v>5206</v>
      </c>
      <c r="H5415" s="10" t="n">
        <v>1909</v>
      </c>
      <c r="I5415" s="10" t="n">
        <v>1015</v>
      </c>
      <c r="J5415" s="10" t="n">
        <v>0</v>
      </c>
      <c r="K5415" s="10" t="s">
        <v>20</v>
      </c>
      <c r="L5415" s="11" t="n">
        <v>41108.3172106482</v>
      </c>
      <c r="M5415" s="12" t="s">
        <v>87</v>
      </c>
      <c r="N5415" s="12" t="s">
        <v>12629</v>
      </c>
      <c r="O5415" s="9" t="str">
        <f aca="false">HYPERLINK("https://pbs.twimg.com/profile_images/761068087068065796/8uvY2nVg_normal.jpg","View")</f>
        <v>View</v>
      </c>
      <c r="P5415" s="10"/>
    </row>
    <row r="5416" customFormat="false" ht="15.75" hidden="false" customHeight="false" outlineLevel="0" collapsed="false">
      <c r="A5416" s="6" t="n">
        <v>43030.933275463</v>
      </c>
      <c r="B5416" s="7" t="str">
        <f aca="false">HYPERLINK("https://twitter.com/diya09","@diya09")</f>
        <v>@diya09</v>
      </c>
      <c r="C5416" s="8" t="s">
        <v>12630</v>
      </c>
      <c r="D5416" s="8" t="s">
        <v>8538</v>
      </c>
      <c r="E5416" s="9" t="str">
        <f aca="false">HYPERLINK("https://twitter.com/diya09/status/922332737737973760","922332737737973760")</f>
        <v>922332737737973760</v>
      </c>
      <c r="F5416" s="10" t="s">
        <v>25</v>
      </c>
      <c r="G5416" s="10" t="n">
        <v>230</v>
      </c>
      <c r="H5416" s="10" t="n">
        <v>1373</v>
      </c>
      <c r="I5416" s="10" t="n">
        <v>1015</v>
      </c>
      <c r="J5416" s="10" t="n">
        <v>0</v>
      </c>
      <c r="K5416" s="10" t="s">
        <v>20</v>
      </c>
      <c r="L5416" s="11" t="n">
        <v>39860.1019907407</v>
      </c>
      <c r="M5416" s="12" t="s">
        <v>12631</v>
      </c>
      <c r="N5416" s="12" t="s">
        <v>12632</v>
      </c>
      <c r="O5416" s="9" t="str">
        <f aca="false">HYPERLINK("https://pbs.twimg.com/profile_images/873862928398565376/s7GThMVs_normal.jpg","View")</f>
        <v>View</v>
      </c>
      <c r="P5416" s="10"/>
    </row>
    <row r="5417" customFormat="false" ht="15.75" hidden="false" customHeight="false" outlineLevel="0" collapsed="false">
      <c r="A5417" s="6" t="n">
        <v>43030.933287037</v>
      </c>
      <c r="B5417" s="7" t="str">
        <f aca="false">HYPERLINK("https://twitter.com/lpuerto","@lpuerto")</f>
        <v>@lpuerto</v>
      </c>
      <c r="C5417" s="8" t="s">
        <v>12633</v>
      </c>
      <c r="D5417" s="8" t="s">
        <v>12634</v>
      </c>
      <c r="E5417" s="9" t="str">
        <f aca="false">HYPERLINK("https://twitter.com/lpuerto/status/922332743605850112","922332743605850112")</f>
        <v>922332743605850112</v>
      </c>
      <c r="F5417" s="10" t="s">
        <v>51</v>
      </c>
      <c r="G5417" s="10" t="n">
        <v>331</v>
      </c>
      <c r="H5417" s="10" t="n">
        <v>886</v>
      </c>
      <c r="I5417" s="10" t="n">
        <v>0</v>
      </c>
      <c r="J5417" s="10" t="n">
        <v>1</v>
      </c>
      <c r="K5417" s="10" t="s">
        <v>20</v>
      </c>
      <c r="L5417" s="11" t="n">
        <v>39162.740775463</v>
      </c>
      <c r="M5417" s="12" t="s">
        <v>12635</v>
      </c>
      <c r="N5417" s="12" t="s">
        <v>12636</v>
      </c>
      <c r="O5417" s="9" t="str">
        <f aca="false">HYPERLINK("https://pbs.twimg.com/profile_images/857416886564208640/z42O7Nb2_normal.jpg","View")</f>
        <v>View</v>
      </c>
      <c r="P5417" s="10"/>
    </row>
    <row r="5418" customFormat="false" ht="15.75" hidden="false" customHeight="false" outlineLevel="0" collapsed="false">
      <c r="A5418" s="6" t="n">
        <v>43030.9333796296</v>
      </c>
      <c r="B5418" s="7" t="str">
        <f aca="false">HYPERLINK("https://twitter.com/InsdataInter","@InsdataInter")</f>
        <v>@InsdataInter</v>
      </c>
      <c r="C5418" s="8" t="s">
        <v>1860</v>
      </c>
      <c r="D5418" s="8" t="s">
        <v>11284</v>
      </c>
      <c r="E5418" s="9" t="str">
        <f aca="false">HYPERLINK("https://twitter.com/InsdataInter/status/922332774496919552","922332774496919552")</f>
        <v>922332774496919552</v>
      </c>
      <c r="F5418" s="10" t="s">
        <v>51</v>
      </c>
      <c r="G5418" s="10" t="n">
        <v>1729</v>
      </c>
      <c r="H5418" s="10" t="n">
        <v>2947</v>
      </c>
      <c r="I5418" s="10" t="n">
        <v>41</v>
      </c>
      <c r="J5418" s="10" t="n">
        <v>0</v>
      </c>
      <c r="K5418" s="10" t="s">
        <v>20</v>
      </c>
      <c r="L5418" s="11" t="n">
        <v>41533.3899768519</v>
      </c>
      <c r="M5418" s="12" t="s">
        <v>1861</v>
      </c>
      <c r="N5418" s="12"/>
      <c r="O5418" s="9" t="str">
        <f aca="false">HYPERLINK("https://pbs.twimg.com/profile_images/378800000501893520/b4582cd3ce52a7c47133d606b639176e_normal.jpeg","View")</f>
        <v>View</v>
      </c>
      <c r="P5418" s="10"/>
    </row>
    <row r="5419" customFormat="false" ht="15.75" hidden="false" customHeight="false" outlineLevel="0" collapsed="false">
      <c r="A5419" s="6" t="n">
        <v>43030.9335648148</v>
      </c>
      <c r="B5419" s="7" t="str">
        <f aca="false">HYPERLINK("https://twitter.com/InsdataInter","@InsdataInter")</f>
        <v>@InsdataInter</v>
      </c>
      <c r="C5419" s="8" t="s">
        <v>1860</v>
      </c>
      <c r="D5419" s="8" t="s">
        <v>11033</v>
      </c>
      <c r="E5419" s="9" t="str">
        <f aca="false">HYPERLINK("https://twitter.com/InsdataInter/status/922332843761643521","922332843761643521")</f>
        <v>922332843761643521</v>
      </c>
      <c r="F5419" s="10" t="s">
        <v>51</v>
      </c>
      <c r="G5419" s="10" t="n">
        <v>1729</v>
      </c>
      <c r="H5419" s="10" t="n">
        <v>2947</v>
      </c>
      <c r="I5419" s="10" t="n">
        <v>60</v>
      </c>
      <c r="J5419" s="10" t="n">
        <v>0</v>
      </c>
      <c r="K5419" s="10" t="s">
        <v>20</v>
      </c>
      <c r="L5419" s="11" t="n">
        <v>41533.3899768519</v>
      </c>
      <c r="M5419" s="12" t="s">
        <v>1861</v>
      </c>
      <c r="N5419" s="12"/>
      <c r="O5419" s="9" t="str">
        <f aca="false">HYPERLINK("https://pbs.twimg.com/profile_images/378800000501893520/b4582cd3ce52a7c47133d606b639176e_normal.jpeg","View")</f>
        <v>View</v>
      </c>
      <c r="P5419" s="10"/>
    </row>
    <row r="5420" customFormat="false" ht="15.75" hidden="false" customHeight="false" outlineLevel="0" collapsed="false">
      <c r="A5420" s="6" t="n">
        <v>43030.9336342593</v>
      </c>
      <c r="B5420" s="7" t="str">
        <f aca="false">HYPERLINK("https://twitter.com/arvindmerwade","@arvindmerwade")</f>
        <v>@arvindmerwade</v>
      </c>
      <c r="C5420" s="8" t="s">
        <v>12637</v>
      </c>
      <c r="D5420" s="8" t="s">
        <v>8538</v>
      </c>
      <c r="E5420" s="9" t="str">
        <f aca="false">HYPERLINK("https://twitter.com/arvindmerwade/status/922332869208313857","922332869208313857")</f>
        <v>922332869208313857</v>
      </c>
      <c r="F5420" s="10" t="s">
        <v>25</v>
      </c>
      <c r="G5420" s="10" t="n">
        <v>238</v>
      </c>
      <c r="H5420" s="10" t="n">
        <v>521</v>
      </c>
      <c r="I5420" s="10" t="n">
        <v>1015</v>
      </c>
      <c r="J5420" s="10" t="n">
        <v>0</v>
      </c>
      <c r="K5420" s="10" t="s">
        <v>20</v>
      </c>
      <c r="L5420" s="11" t="n">
        <v>40920.4406712963</v>
      </c>
      <c r="M5420" s="12" t="s">
        <v>8994</v>
      </c>
      <c r="N5420" s="12" t="s">
        <v>12638</v>
      </c>
      <c r="O5420" s="9" t="str">
        <f aca="false">HYPERLINK("https://pbs.twimg.com/profile_images/896810940858998784/s8Yn4eCo_normal.jpg","View")</f>
        <v>View</v>
      </c>
      <c r="P5420" s="10"/>
    </row>
    <row r="5421" customFormat="false" ht="15.75" hidden="false" customHeight="false" outlineLevel="0" collapsed="false">
      <c r="A5421" s="6" t="n">
        <v>43030.9337962963</v>
      </c>
      <c r="B5421" s="7" t="str">
        <f aca="false">HYPERLINK("https://twitter.com/ideas4thefuture","@ideas4thefuture")</f>
        <v>@ideas4thefuture</v>
      </c>
      <c r="C5421" s="8" t="s">
        <v>2544</v>
      </c>
      <c r="D5421" s="8" t="s">
        <v>12639</v>
      </c>
      <c r="E5421" s="9" t="str">
        <f aca="false">HYPERLINK("https://twitter.com/ideas4thefuture/status/922332928356573184","922332928356573184")</f>
        <v>922332928356573184</v>
      </c>
      <c r="F5421" s="10" t="s">
        <v>39</v>
      </c>
      <c r="G5421" s="10" t="n">
        <v>5859</v>
      </c>
      <c r="H5421" s="10" t="n">
        <v>2795</v>
      </c>
      <c r="I5421" s="10" t="n">
        <v>0</v>
      </c>
      <c r="J5421" s="10" t="n">
        <v>0</v>
      </c>
      <c r="K5421" s="10" t="s">
        <v>20</v>
      </c>
      <c r="L5421" s="11" t="n">
        <v>40603.115787037</v>
      </c>
      <c r="M5421" s="12" t="s">
        <v>2546</v>
      </c>
      <c r="N5421" s="12" t="s">
        <v>2547</v>
      </c>
      <c r="O5421" s="9" t="str">
        <f aca="false">HYPERLINK("https://pbs.twimg.com/profile_images/480338234699173889/IUZBg5H0_normal.jpeg","View")</f>
        <v>View</v>
      </c>
      <c r="P5421" s="10"/>
    </row>
    <row r="5422" customFormat="false" ht="15.75" hidden="false" customHeight="false" outlineLevel="0" collapsed="false">
      <c r="A5422" s="6" t="n">
        <v>43030.9338657407</v>
      </c>
      <c r="B5422" s="7" t="str">
        <f aca="false">HYPERLINK("https://twitter.com/Ketul1Indian","@Ketul1Indian")</f>
        <v>@Ketul1Indian</v>
      </c>
      <c r="C5422" s="8" t="s">
        <v>7574</v>
      </c>
      <c r="D5422" s="8" t="s">
        <v>8538</v>
      </c>
      <c r="E5422" s="9" t="str">
        <f aca="false">HYPERLINK("https://twitter.com/Ketul1Indian/status/922332951928434689","922332951928434689")</f>
        <v>922332951928434689</v>
      </c>
      <c r="F5422" s="10" t="s">
        <v>25</v>
      </c>
      <c r="G5422" s="10" t="n">
        <v>433</v>
      </c>
      <c r="H5422" s="10" t="n">
        <v>766</v>
      </c>
      <c r="I5422" s="10" t="n">
        <v>1015</v>
      </c>
      <c r="J5422" s="10" t="n">
        <v>0</v>
      </c>
      <c r="K5422" s="10" t="s">
        <v>20</v>
      </c>
      <c r="L5422" s="11" t="n">
        <v>42572.2850347222</v>
      </c>
      <c r="M5422" s="12"/>
      <c r="N5422" s="12" t="s">
        <v>7576</v>
      </c>
      <c r="O5422" s="9" t="str">
        <f aca="false">HYPERLINK("https://pbs.twimg.com/profile_images/864159255225610240/_A7uwK2n_normal.jpg","View")</f>
        <v>View</v>
      </c>
      <c r="P5422" s="10"/>
    </row>
    <row r="5423" customFormat="false" ht="15.75" hidden="false" customHeight="false" outlineLevel="0" collapsed="false">
      <c r="A5423" s="6" t="n">
        <v>43030.9346064815</v>
      </c>
      <c r="B5423" s="7" t="str">
        <f aca="false">HYPERLINK("https://twitter.com/GloriatibiTri","@GloriatibiTri")</f>
        <v>@GloriatibiTri</v>
      </c>
      <c r="C5423" s="14" t="s">
        <v>6245</v>
      </c>
      <c r="D5423" s="8" t="s">
        <v>11084</v>
      </c>
      <c r="E5423" s="9" t="str">
        <f aca="false">HYPERLINK("https://twitter.com/GloriatibiTri/status/922333221982953472","922333221982953472")</f>
        <v>922333221982953472</v>
      </c>
      <c r="F5423" s="10" t="s">
        <v>51</v>
      </c>
      <c r="G5423" s="10" t="n">
        <v>1641</v>
      </c>
      <c r="H5423" s="10" t="n">
        <v>2197</v>
      </c>
      <c r="I5423" s="10" t="n">
        <v>13</v>
      </c>
      <c r="J5423" s="10" t="n">
        <v>0</v>
      </c>
      <c r="K5423" s="10" t="s">
        <v>20</v>
      </c>
      <c r="L5423" s="11" t="n">
        <v>40745.028587963</v>
      </c>
      <c r="M5423" s="12" t="s">
        <v>6246</v>
      </c>
      <c r="N5423" s="13" t="s">
        <v>6247</v>
      </c>
      <c r="O5423" s="9" t="str">
        <f aca="false">HYPERLINK("https://pbs.twimg.com/profile_images/906910757622706177/z8Ecdhuf_normal.jpg","View")</f>
        <v>View</v>
      </c>
      <c r="P5423" s="10"/>
    </row>
    <row r="5424" customFormat="false" ht="15.75" hidden="false" customHeight="false" outlineLevel="0" collapsed="false">
      <c r="A5424" s="6" t="n">
        <v>43030.9351851852</v>
      </c>
      <c r="B5424" s="7" t="str">
        <f aca="false">HYPERLINK("https://twitter.com/namittiwari30","@namittiwari30")</f>
        <v>@namittiwari30</v>
      </c>
      <c r="C5424" s="8" t="s">
        <v>12640</v>
      </c>
      <c r="D5424" s="8" t="s">
        <v>8538</v>
      </c>
      <c r="E5424" s="9" t="str">
        <f aca="false">HYPERLINK("https://twitter.com/namittiwari30/status/922333432046264320","922333432046264320")</f>
        <v>922333432046264320</v>
      </c>
      <c r="F5424" s="10" t="s">
        <v>51</v>
      </c>
      <c r="G5424" s="10" t="n">
        <v>1646</v>
      </c>
      <c r="H5424" s="10" t="n">
        <v>1136</v>
      </c>
      <c r="I5424" s="10" t="n">
        <v>1015</v>
      </c>
      <c r="J5424" s="10" t="n">
        <v>0</v>
      </c>
      <c r="K5424" s="10" t="s">
        <v>20</v>
      </c>
      <c r="L5424" s="11" t="n">
        <v>42665.2818287037</v>
      </c>
      <c r="M5424" s="12" t="s">
        <v>72</v>
      </c>
      <c r="N5424" s="12" t="s">
        <v>12641</v>
      </c>
      <c r="O5424" s="9" t="str">
        <f aca="false">HYPERLINK("https://pbs.twimg.com/profile_images/916663940712562688/yBbu3etQ_normal.jpg","View")</f>
        <v>View</v>
      </c>
      <c r="P5424" s="10"/>
    </row>
    <row r="5425" customFormat="false" ht="15.75" hidden="false" customHeight="false" outlineLevel="0" collapsed="false">
      <c r="A5425" s="6" t="n">
        <v>43030.9352199074</v>
      </c>
      <c r="B5425" s="7" t="str">
        <f aca="false">HYPERLINK("https://twitter.com/shyamprasad127","@shyamprasad127")</f>
        <v>@shyamprasad127</v>
      </c>
      <c r="C5425" s="8" t="s">
        <v>12642</v>
      </c>
      <c r="D5425" s="8" t="s">
        <v>8538</v>
      </c>
      <c r="E5425" s="9" t="str">
        <f aca="false">HYPERLINK("https://twitter.com/shyamprasad127/status/922333443878293504","922333443878293504")</f>
        <v>922333443878293504</v>
      </c>
      <c r="F5425" s="10" t="s">
        <v>25</v>
      </c>
      <c r="G5425" s="10" t="n">
        <v>8</v>
      </c>
      <c r="H5425" s="10" t="n">
        <v>23</v>
      </c>
      <c r="I5425" s="10" t="n">
        <v>1015</v>
      </c>
      <c r="J5425" s="10" t="n">
        <v>0</v>
      </c>
      <c r="K5425" s="10" t="s">
        <v>20</v>
      </c>
      <c r="L5425" s="11" t="n">
        <v>42430.8092939815</v>
      </c>
      <c r="M5425" s="12"/>
      <c r="N5425" s="12"/>
      <c r="O5425" s="9" t="str">
        <f aca="false">HYPERLINK("https://abs.twimg.com/sticky/default_profile_images/default_profile_normal.png","View")</f>
        <v>View</v>
      </c>
      <c r="P5425" s="10"/>
    </row>
    <row r="5426" customFormat="false" ht="15.75" hidden="false" customHeight="false" outlineLevel="0" collapsed="false">
      <c r="A5426" s="6" t="n">
        <v>43030.9352546296</v>
      </c>
      <c r="B5426" s="7" t="str">
        <f aca="false">HYPERLINK("https://twitter.com/PrabhatTw","@PrabhatTw")</f>
        <v>@PrabhatTw</v>
      </c>
      <c r="C5426" s="8" t="s">
        <v>12643</v>
      </c>
      <c r="D5426" s="8" t="s">
        <v>8538</v>
      </c>
      <c r="E5426" s="9" t="str">
        <f aca="false">HYPERLINK("https://twitter.com/PrabhatTw/status/922333453374300160","922333453374300160")</f>
        <v>922333453374300160</v>
      </c>
      <c r="F5426" s="10" t="s">
        <v>25</v>
      </c>
      <c r="G5426" s="10" t="n">
        <v>603</v>
      </c>
      <c r="H5426" s="10" t="n">
        <v>1126</v>
      </c>
      <c r="I5426" s="10" t="n">
        <v>1015</v>
      </c>
      <c r="J5426" s="10" t="n">
        <v>0</v>
      </c>
      <c r="K5426" s="10" t="s">
        <v>20</v>
      </c>
      <c r="L5426" s="11" t="n">
        <v>40130.6009606481</v>
      </c>
      <c r="M5426" s="12" t="s">
        <v>4400</v>
      </c>
      <c r="N5426" s="12" t="s">
        <v>12644</v>
      </c>
      <c r="O5426" s="9" t="str">
        <f aca="false">HYPERLINK("https://pbs.twimg.com/profile_images/909138707478855680/m_g8mGyE_normal.jpg","View")</f>
        <v>View</v>
      </c>
      <c r="P5426" s="10"/>
    </row>
    <row r="5427" customFormat="false" ht="15.75" hidden="false" customHeight="false" outlineLevel="0" collapsed="false">
      <c r="A5427" s="6" t="n">
        <v>43030.9354166667</v>
      </c>
      <c r="B5427" s="7" t="str">
        <f aca="false">HYPERLINK("https://twitter.com/ErLuthra","@ErLuthra")</f>
        <v>@ErLuthra</v>
      </c>
      <c r="C5427" s="8" t="s">
        <v>12645</v>
      </c>
      <c r="D5427" s="8" t="s">
        <v>12398</v>
      </c>
      <c r="E5427" s="9" t="str">
        <f aca="false">HYPERLINK("https://twitter.com/ErLuthra/status/922333515277991937","922333515277991937")</f>
        <v>922333515277991937</v>
      </c>
      <c r="F5427" s="10" t="s">
        <v>25</v>
      </c>
      <c r="G5427" s="10" t="n">
        <v>62</v>
      </c>
      <c r="H5427" s="10" t="n">
        <v>656</v>
      </c>
      <c r="I5427" s="10" t="n">
        <v>25</v>
      </c>
      <c r="J5427" s="10" t="n">
        <v>0</v>
      </c>
      <c r="K5427" s="10" t="s">
        <v>20</v>
      </c>
      <c r="L5427" s="11" t="n">
        <v>42895.4404513889</v>
      </c>
      <c r="M5427" s="12" t="s">
        <v>12646</v>
      </c>
      <c r="N5427" s="12" t="s">
        <v>12647</v>
      </c>
      <c r="O5427" s="9" t="str">
        <f aca="false">HYPERLINK("https://pbs.twimg.com/profile_images/876707741523464193/lMIGuZK4_normal.jpg","View")</f>
        <v>View</v>
      </c>
      <c r="P5427" s="10"/>
    </row>
    <row r="5428" customFormat="false" ht="15.75" hidden="false" customHeight="false" outlineLevel="0" collapsed="false">
      <c r="A5428" s="6" t="n">
        <v>43030.9354398148</v>
      </c>
      <c r="B5428" s="7" t="str">
        <f aca="false">HYPERLINK("https://twitter.com/rosemaryCNN","@rosemaryCNN")</f>
        <v>@rosemaryCNN</v>
      </c>
      <c r="C5428" s="8" t="s">
        <v>12648</v>
      </c>
      <c r="D5428" s="8" t="s">
        <v>12649</v>
      </c>
      <c r="E5428" s="9" t="str">
        <f aca="false">HYPERLINK("https://twitter.com/rosemaryCNN/status/922333520344711168","922333520344711168")</f>
        <v>922333520344711168</v>
      </c>
      <c r="F5428" s="10" t="s">
        <v>39</v>
      </c>
      <c r="G5428" s="10" t="n">
        <v>43677</v>
      </c>
      <c r="H5428" s="10" t="n">
        <v>4164</v>
      </c>
      <c r="I5428" s="10" t="n">
        <v>3</v>
      </c>
      <c r="J5428" s="10" t="n">
        <v>0</v>
      </c>
      <c r="K5428" s="10" t="s">
        <v>20</v>
      </c>
      <c r="L5428" s="11" t="n">
        <v>39901.3584027778</v>
      </c>
      <c r="M5428" s="12" t="s">
        <v>12650</v>
      </c>
      <c r="N5428" s="12" t="s">
        <v>12651</v>
      </c>
      <c r="O5428" s="9" t="str">
        <f aca="false">HYPERLINK("https://pbs.twimg.com/profile_images/780973054063177729/9pL6jA8K_normal.jpg","View")</f>
        <v>View</v>
      </c>
      <c r="P5428" s="10"/>
    </row>
    <row r="5429" customFormat="false" ht="15.75" hidden="false" customHeight="false" outlineLevel="0" collapsed="false">
      <c r="A5429" s="6" t="n">
        <v>43030.9358796296</v>
      </c>
      <c r="B5429" s="7" t="str">
        <f aca="false">HYPERLINK("https://twitter.com/NYTTweetsNow","@NYTTweetsNow")</f>
        <v>@NYTTweetsNow</v>
      </c>
      <c r="C5429" s="8" t="s">
        <v>12652</v>
      </c>
      <c r="D5429" s="8" t="s">
        <v>10225</v>
      </c>
      <c r="E5429" s="9" t="str">
        <f aca="false">HYPERLINK("https://twitter.com/NYTTweetsNow/status/922333683255775232","922333683255775232")</f>
        <v>922333683255775232</v>
      </c>
      <c r="F5429" s="10" t="s">
        <v>25</v>
      </c>
      <c r="G5429" s="10" t="n">
        <v>11</v>
      </c>
      <c r="H5429" s="10" t="n">
        <v>1</v>
      </c>
      <c r="I5429" s="10" t="n">
        <v>16</v>
      </c>
      <c r="J5429" s="10" t="n">
        <v>0</v>
      </c>
      <c r="K5429" s="10" t="s">
        <v>20</v>
      </c>
      <c r="L5429" s="11" t="n">
        <v>42631.2515740741</v>
      </c>
      <c r="M5429" s="12" t="s">
        <v>8966</v>
      </c>
      <c r="N5429" s="12" t="s">
        <v>12653</v>
      </c>
      <c r="O5429" s="9" t="str">
        <f aca="false">HYPERLINK("https://pbs.twimg.com/profile_images/922567606942535680/886xWKqs_normal.jpg","View")</f>
        <v>View</v>
      </c>
      <c r="P5429" s="10"/>
    </row>
    <row r="5430" customFormat="false" ht="15.75" hidden="false" customHeight="false" outlineLevel="0" collapsed="false">
      <c r="A5430" s="6" t="n">
        <v>43030.9362268519</v>
      </c>
      <c r="B5430" s="7" t="str">
        <f aca="false">HYPERLINK("https://twitter.com/fuzzyguest","@fuzzyguest")</f>
        <v>@fuzzyguest</v>
      </c>
      <c r="C5430" s="8" t="s">
        <v>6258</v>
      </c>
      <c r="D5430" s="8" t="s">
        <v>12649</v>
      </c>
      <c r="E5430" s="9" t="str">
        <f aca="false">HYPERLINK("https://twitter.com/fuzzyguest/status/922333806333345793","922333806333345793")</f>
        <v>922333806333345793</v>
      </c>
      <c r="F5430" s="10" t="s">
        <v>39</v>
      </c>
      <c r="G5430" s="10" t="n">
        <v>56</v>
      </c>
      <c r="H5430" s="10" t="n">
        <v>815</v>
      </c>
      <c r="I5430" s="10" t="n">
        <v>3</v>
      </c>
      <c r="J5430" s="10" t="n">
        <v>0</v>
      </c>
      <c r="K5430" s="10" t="s">
        <v>20</v>
      </c>
      <c r="L5430" s="11" t="n">
        <v>41335.8183333333</v>
      </c>
      <c r="M5430" s="12" t="s">
        <v>574</v>
      </c>
      <c r="N5430" s="12"/>
      <c r="O5430" s="9" t="str">
        <f aca="false">HYPERLINK("https://pbs.twimg.com/profile_images/378800000310251208/39e3ef268e83d4457361db41b199ea80_normal.jpeg","View")</f>
        <v>View</v>
      </c>
      <c r="P5430" s="10"/>
    </row>
    <row r="5431" customFormat="false" ht="15.75" hidden="false" customHeight="false" outlineLevel="0" collapsed="false">
      <c r="A5431" s="6" t="n">
        <v>43030.9364351852</v>
      </c>
      <c r="B5431" s="7" t="str">
        <f aca="false">HYPERLINK("https://twitter.com/boosbazaar","@boosbazaar")</f>
        <v>@boosbazaar</v>
      </c>
      <c r="C5431" s="8" t="s">
        <v>12654</v>
      </c>
      <c r="D5431" s="8" t="s">
        <v>12655</v>
      </c>
      <c r="E5431" s="9" t="str">
        <f aca="false">HYPERLINK("https://twitter.com/boosbazaar/status/922333885039509504","922333885039509504")</f>
        <v>922333885039509504</v>
      </c>
      <c r="F5431" s="10" t="s">
        <v>39</v>
      </c>
      <c r="G5431" s="10" t="n">
        <v>793</v>
      </c>
      <c r="H5431" s="10" t="n">
        <v>738</v>
      </c>
      <c r="I5431" s="10" t="n">
        <v>0</v>
      </c>
      <c r="J5431" s="10" t="n">
        <v>0</v>
      </c>
      <c r="K5431" s="10" t="s">
        <v>20</v>
      </c>
      <c r="L5431" s="11" t="n">
        <v>40792.4697685185</v>
      </c>
      <c r="M5431" s="12" t="s">
        <v>12656</v>
      </c>
      <c r="N5431" s="12" t="s">
        <v>12657</v>
      </c>
      <c r="O5431" s="9" t="str">
        <f aca="false">HYPERLINK("https://abs.twimg.com/sticky/default_profile_images/default_profile_normal.png","View")</f>
        <v>View</v>
      </c>
      <c r="P5431" s="10"/>
    </row>
    <row r="5432" customFormat="false" ht="15.75" hidden="false" customHeight="false" outlineLevel="0" collapsed="false">
      <c r="A5432" s="6" t="n">
        <v>43030.9364583333</v>
      </c>
      <c r="B5432" s="7" t="str">
        <f aca="false">HYPERLINK("https://twitter.com/IndianExpress","@IndianExpress")</f>
        <v>@IndianExpress</v>
      </c>
      <c r="C5432" s="8" t="s">
        <v>12658</v>
      </c>
      <c r="D5432" s="8" t="s">
        <v>12659</v>
      </c>
      <c r="E5432" s="9" t="str">
        <f aca="false">HYPERLINK("https://twitter.com/IndianExpress/status/922333889929940992","922333889929940992")</f>
        <v>922333889929940992</v>
      </c>
      <c r="F5432" s="10" t="s">
        <v>276</v>
      </c>
      <c r="G5432" s="10" t="n">
        <v>2654816</v>
      </c>
      <c r="H5432" s="10" t="n">
        <v>662</v>
      </c>
      <c r="I5432" s="10" t="n">
        <v>8</v>
      </c>
      <c r="J5432" s="10" t="n">
        <v>33</v>
      </c>
      <c r="K5432" s="10" t="s">
        <v>20</v>
      </c>
      <c r="L5432" s="11" t="n">
        <v>39941.1869791667</v>
      </c>
      <c r="M5432" s="12" t="s">
        <v>72</v>
      </c>
      <c r="N5432" s="12" t="s">
        <v>12660</v>
      </c>
      <c r="O5432" s="9" t="str">
        <f aca="false">HYPERLINK("https://pbs.twimg.com/profile_images/1850193578/IE_Square_Logo_normal.png","View")</f>
        <v>View</v>
      </c>
      <c r="P5432" s="10"/>
    </row>
    <row r="5433" customFormat="false" ht="15.75" hidden="false" customHeight="false" outlineLevel="0" collapsed="false">
      <c r="A5433" s="6" t="n">
        <v>43030.9366550926</v>
      </c>
      <c r="B5433" s="7" t="str">
        <f aca="false">HYPERLINK("https://twitter.com/Anilsin55251049","@Anilsin55251049")</f>
        <v>@Anilsin55251049</v>
      </c>
      <c r="C5433" s="8" t="s">
        <v>12661</v>
      </c>
      <c r="D5433" s="8" t="s">
        <v>12662</v>
      </c>
      <c r="E5433" s="9" t="str">
        <f aca="false">HYPERLINK("https://twitter.com/Anilsin55251049/status/922333961166118912","922333961166118912")</f>
        <v>922333961166118912</v>
      </c>
      <c r="F5433" s="10" t="s">
        <v>25</v>
      </c>
      <c r="G5433" s="10" t="n">
        <v>3</v>
      </c>
      <c r="H5433" s="10" t="n">
        <v>245</v>
      </c>
      <c r="I5433" s="10" t="n">
        <v>8</v>
      </c>
      <c r="J5433" s="10" t="n">
        <v>0</v>
      </c>
      <c r="K5433" s="10" t="s">
        <v>20</v>
      </c>
      <c r="L5433" s="11" t="n">
        <v>43006.091712963</v>
      </c>
      <c r="M5433" s="12" t="s">
        <v>8612</v>
      </c>
      <c r="N5433" s="12" t="s">
        <v>12663</v>
      </c>
      <c r="O5433" s="9" t="str">
        <f aca="false">HYPERLINK("https://pbs.twimg.com/profile_images/913334481880203264/DZP65p4b_normal.jpg","View")</f>
        <v>View</v>
      </c>
      <c r="P5433" s="10"/>
    </row>
    <row r="5434" customFormat="false" ht="15.75" hidden="false" customHeight="false" outlineLevel="0" collapsed="false">
      <c r="A5434" s="6" t="n">
        <v>43030.9366898148</v>
      </c>
      <c r="B5434" s="7" t="str">
        <f aca="false">HYPERLINK("https://twitter.com/starbrightjp","@starbrightjp")</f>
        <v>@starbrightjp</v>
      </c>
      <c r="C5434" s="14" t="s">
        <v>8160</v>
      </c>
      <c r="D5434" s="8" t="s">
        <v>12493</v>
      </c>
      <c r="E5434" s="9" t="str">
        <f aca="false">HYPERLINK("https://twitter.com/starbrightjp/status/922333976194203648","922333976194203648")</f>
        <v>922333976194203648</v>
      </c>
      <c r="F5434" s="10" t="s">
        <v>39</v>
      </c>
      <c r="G5434" s="10" t="n">
        <v>602</v>
      </c>
      <c r="H5434" s="10" t="n">
        <v>552</v>
      </c>
      <c r="I5434" s="10" t="n">
        <v>63</v>
      </c>
      <c r="J5434" s="10" t="n">
        <v>0</v>
      </c>
      <c r="K5434" s="10" t="s">
        <v>20</v>
      </c>
      <c r="L5434" s="11" t="n">
        <v>40264.2514236111</v>
      </c>
      <c r="M5434" s="13" t="s">
        <v>4178</v>
      </c>
      <c r="N5434" s="13" t="s">
        <v>8161</v>
      </c>
      <c r="O5434" s="9" t="str">
        <f aca="false">HYPERLINK("https://pbs.twimg.com/profile_images/1615754317/SH360265_normal.JPG","View")</f>
        <v>View</v>
      </c>
      <c r="P5434" s="10"/>
    </row>
    <row r="5435" customFormat="false" ht="15.75" hidden="false" customHeight="false" outlineLevel="0" collapsed="false">
      <c r="A5435" s="6" t="n">
        <v>43030.936724537</v>
      </c>
      <c r="B5435" s="7" t="str">
        <f aca="false">HYPERLINK("https://twitter.com/VibhashKr","@VibhashKr")</f>
        <v>@VibhashKr</v>
      </c>
      <c r="C5435" s="8" t="s">
        <v>12664</v>
      </c>
      <c r="D5435" s="8" t="s">
        <v>8538</v>
      </c>
      <c r="E5435" s="9" t="str">
        <f aca="false">HYPERLINK("https://twitter.com/VibhashKr/status/922333987791560704","922333987791560704")</f>
        <v>922333987791560704</v>
      </c>
      <c r="F5435" s="10" t="s">
        <v>98</v>
      </c>
      <c r="G5435" s="10" t="n">
        <v>2480</v>
      </c>
      <c r="H5435" s="10" t="n">
        <v>2369</v>
      </c>
      <c r="I5435" s="10" t="n">
        <v>1015</v>
      </c>
      <c r="J5435" s="10" t="n">
        <v>0</v>
      </c>
      <c r="K5435" s="10" t="s">
        <v>20</v>
      </c>
      <c r="L5435" s="11" t="n">
        <v>39652.7312847222</v>
      </c>
      <c r="M5435" s="12" t="s">
        <v>72</v>
      </c>
      <c r="N5435" s="12" t="s">
        <v>12665</v>
      </c>
      <c r="O5435" s="9" t="str">
        <f aca="false">HYPERLINK("https://pbs.twimg.com/profile_images/523718133354213376/qKEaQxMB_normal.jpeg","View")</f>
        <v>View</v>
      </c>
      <c r="P5435" s="10"/>
    </row>
    <row r="5436" customFormat="false" ht="15.75" hidden="false" customHeight="false" outlineLevel="0" collapsed="false">
      <c r="A5436" s="6" t="n">
        <v>43030.9368634259</v>
      </c>
      <c r="B5436" s="7" t="str">
        <f aca="false">HYPERLINK("https://twitter.com/sona2905","@sona2905")</f>
        <v>@sona2905</v>
      </c>
      <c r="C5436" s="8" t="s">
        <v>12666</v>
      </c>
      <c r="D5436" s="8" t="s">
        <v>12667</v>
      </c>
      <c r="E5436" s="9" t="str">
        <f aca="false">HYPERLINK("https://twitter.com/sona2905/status/922334039326912512","922334039326912512")</f>
        <v>922334039326912512</v>
      </c>
      <c r="F5436" s="10" t="s">
        <v>9853</v>
      </c>
      <c r="G5436" s="10" t="n">
        <v>21776</v>
      </c>
      <c r="H5436" s="10" t="n">
        <v>296</v>
      </c>
      <c r="I5436" s="10" t="n">
        <v>1</v>
      </c>
      <c r="J5436" s="10" t="n">
        <v>5</v>
      </c>
      <c r="K5436" s="10" t="s">
        <v>20</v>
      </c>
      <c r="L5436" s="11" t="n">
        <v>41740.9398263889</v>
      </c>
      <c r="M5436" s="12" t="s">
        <v>5360</v>
      </c>
      <c r="N5436" s="12" t="s">
        <v>12668</v>
      </c>
      <c r="O5436" s="9" t="str">
        <f aca="false">HYPERLINK("https://pbs.twimg.com/profile_images/922813347652759552/-7iI_LCQ_normal.jpg","View")</f>
        <v>View</v>
      </c>
      <c r="P5436" s="10"/>
    </row>
    <row r="5437" customFormat="false" ht="15.75" hidden="false" customHeight="false" outlineLevel="0" collapsed="false">
      <c r="A5437" s="6" t="n">
        <v>43030.9370023148</v>
      </c>
      <c r="B5437" s="7" t="str">
        <f aca="false">HYPERLINK("https://twitter.com/JackKaBaap","@JackKaBaap")</f>
        <v>@JackKaBaap</v>
      </c>
      <c r="C5437" s="8" t="s">
        <v>12669</v>
      </c>
      <c r="D5437" s="8" t="s">
        <v>8538</v>
      </c>
      <c r="E5437" s="9" t="str">
        <f aca="false">HYPERLINK("https://twitter.com/JackKaBaap/status/922334089096568832","922334089096568832")</f>
        <v>922334089096568832</v>
      </c>
      <c r="F5437" s="10" t="s">
        <v>51</v>
      </c>
      <c r="G5437" s="10" t="n">
        <v>1126</v>
      </c>
      <c r="H5437" s="10" t="n">
        <v>595</v>
      </c>
      <c r="I5437" s="10" t="n">
        <v>1015</v>
      </c>
      <c r="J5437" s="10" t="n">
        <v>0</v>
      </c>
      <c r="K5437" s="10" t="s">
        <v>20</v>
      </c>
      <c r="L5437" s="11" t="n">
        <v>42870.9915856482</v>
      </c>
      <c r="M5437" s="12" t="s">
        <v>12670</v>
      </c>
      <c r="N5437" s="12" t="s">
        <v>12671</v>
      </c>
      <c r="O5437" s="9" t="str">
        <f aca="false">HYPERLINK("https://pbs.twimg.com/profile_images/919940657354981377/vOq1Xix1_normal.jpg","View")</f>
        <v>View</v>
      </c>
      <c r="P5437" s="10"/>
    </row>
    <row r="5438" customFormat="false" ht="15.75" hidden="false" customHeight="false" outlineLevel="0" collapsed="false">
      <c r="A5438" s="6" t="n">
        <v>43030.9370833333</v>
      </c>
      <c r="B5438" s="7" t="str">
        <f aca="false">HYPERLINK("https://twitter.com/periodicalw","@periodicalw")</f>
        <v>@periodicalw</v>
      </c>
      <c r="C5438" s="8" t="s">
        <v>1941</v>
      </c>
      <c r="D5438" s="8" t="s">
        <v>12672</v>
      </c>
      <c r="E5438" s="9" t="str">
        <f aca="false">HYPERLINK("https://twitter.com/periodicalw/status/922334116577718272","922334116577718272")</f>
        <v>922334116577718272</v>
      </c>
      <c r="F5438" s="10" t="s">
        <v>60</v>
      </c>
      <c r="G5438" s="10" t="n">
        <v>12</v>
      </c>
      <c r="H5438" s="10" t="n">
        <v>0</v>
      </c>
      <c r="I5438" s="10" t="n">
        <v>0</v>
      </c>
      <c r="J5438" s="10" t="n">
        <v>0</v>
      </c>
      <c r="K5438" s="10" t="s">
        <v>20</v>
      </c>
      <c r="L5438" s="11" t="n">
        <v>42054.98625</v>
      </c>
      <c r="M5438" s="12"/>
      <c r="N5438" s="12" t="s">
        <v>1943</v>
      </c>
      <c r="O5438" s="9" t="str">
        <f aca="false">HYPERLINK("https://pbs.twimg.com/profile_images/919747762345906181/R3fj25Fb_normal.jpg","View")</f>
        <v>View</v>
      </c>
      <c r="P5438" s="10"/>
    </row>
    <row r="5439" customFormat="false" ht="15.75" hidden="false" customHeight="false" outlineLevel="0" collapsed="false">
      <c r="A5439" s="6" t="n">
        <v>43030.9370949074</v>
      </c>
      <c r="B5439" s="7" t="str">
        <f aca="false">HYPERLINK("https://twitter.com/ColumnistWorld","@ColumnistWorld")</f>
        <v>@ColumnistWorld</v>
      </c>
      <c r="C5439" s="8" t="s">
        <v>1948</v>
      </c>
      <c r="D5439" s="8" t="s">
        <v>12673</v>
      </c>
      <c r="E5439" s="9" t="str">
        <f aca="false">HYPERLINK("https://twitter.com/ColumnistWorld/status/922334120277135361","922334120277135361")</f>
        <v>922334120277135361</v>
      </c>
      <c r="F5439" s="10" t="s">
        <v>60</v>
      </c>
      <c r="G5439" s="10" t="n">
        <v>26</v>
      </c>
      <c r="H5439" s="10" t="n">
        <v>0</v>
      </c>
      <c r="I5439" s="10" t="n">
        <v>0</v>
      </c>
      <c r="J5439" s="10" t="n">
        <v>0</v>
      </c>
      <c r="K5439" s="10" t="s">
        <v>20</v>
      </c>
      <c r="L5439" s="11" t="n">
        <v>42370.4836805556</v>
      </c>
      <c r="M5439" s="12"/>
      <c r="N5439" s="12" t="s">
        <v>1950</v>
      </c>
      <c r="O5439" s="9" t="str">
        <f aca="false">HYPERLINK("https://pbs.twimg.com/profile_images/918677245367111680/nbvPzXP0_normal.jpg","View")</f>
        <v>View</v>
      </c>
      <c r="P5439" s="10"/>
    </row>
    <row r="5440" customFormat="false" ht="15.75" hidden="false" customHeight="false" outlineLevel="0" collapsed="false">
      <c r="A5440" s="6" t="n">
        <v>43030.9371180556</v>
      </c>
      <c r="B5440" s="7" t="str">
        <f aca="false">HYPERLINK("https://twitter.com/Alluri_Divakar","@Alluri_Divakar")</f>
        <v>@Alluri_Divakar</v>
      </c>
      <c r="C5440" s="8" t="s">
        <v>12674</v>
      </c>
      <c r="D5440" s="8" t="s">
        <v>12662</v>
      </c>
      <c r="E5440" s="9" t="str">
        <f aca="false">HYPERLINK("https://twitter.com/Alluri_Divakar/status/922334130427248640","922334130427248640")</f>
        <v>922334130427248640</v>
      </c>
      <c r="F5440" s="10" t="s">
        <v>51</v>
      </c>
      <c r="G5440" s="10" t="n">
        <v>240</v>
      </c>
      <c r="H5440" s="10" t="n">
        <v>233</v>
      </c>
      <c r="I5440" s="10" t="n">
        <v>8</v>
      </c>
      <c r="J5440" s="10" t="n">
        <v>0</v>
      </c>
      <c r="K5440" s="10" t="s">
        <v>20</v>
      </c>
      <c r="L5440" s="11" t="n">
        <v>41607.2029282407</v>
      </c>
      <c r="M5440" s="12" t="s">
        <v>72</v>
      </c>
      <c r="N5440" s="12" t="s">
        <v>12675</v>
      </c>
      <c r="O5440" s="9" t="str">
        <f aca="false">HYPERLINK("https://pbs.twimg.com/profile_images/904745073040007168/USo-0UW7_normal.jpg","View")</f>
        <v>View</v>
      </c>
      <c r="P5440" s="10"/>
    </row>
    <row r="5441" customFormat="false" ht="15.75" hidden="false" customHeight="false" outlineLevel="0" collapsed="false">
      <c r="A5441" s="6" t="n">
        <v>43030.9372916667</v>
      </c>
      <c r="B5441" s="7" t="str">
        <f aca="false">HYPERLINK("https://twitter.com/DeutschSprechen","@DeutschSprechen")</f>
        <v>@DeutschSprechen</v>
      </c>
      <c r="C5441" s="8" t="s">
        <v>12676</v>
      </c>
      <c r="D5441" s="8" t="s">
        <v>12677</v>
      </c>
      <c r="E5441" s="9" t="str">
        <f aca="false">HYPERLINK("https://twitter.com/DeutschSprechen/status/922334193207644160","922334193207644160")</f>
        <v>922334193207644160</v>
      </c>
      <c r="F5441" s="10" t="s">
        <v>55</v>
      </c>
      <c r="G5441" s="10" t="n">
        <v>1053</v>
      </c>
      <c r="H5441" s="10" t="n">
        <v>152</v>
      </c>
      <c r="I5441" s="10" t="n">
        <v>0</v>
      </c>
      <c r="J5441" s="10" t="n">
        <v>0</v>
      </c>
      <c r="K5441" s="10" t="s">
        <v>20</v>
      </c>
      <c r="L5441" s="11" t="n">
        <v>40470.6639236111</v>
      </c>
      <c r="M5441" s="12" t="s">
        <v>12678</v>
      </c>
      <c r="N5441" s="12" t="s">
        <v>12679</v>
      </c>
      <c r="O5441" s="9" t="str">
        <f aca="false">HYPERLINK("https://pbs.twimg.com/profile_images/1148535999/sprechensieAvatar_normal.jpg","View")</f>
        <v>View</v>
      </c>
      <c r="P5441" s="10"/>
    </row>
    <row r="5442" customFormat="false" ht="15.75" hidden="false" customHeight="false" outlineLevel="0" collapsed="false">
      <c r="A5442" s="6" t="n">
        <v>43030.9378703704</v>
      </c>
      <c r="B5442" s="7" t="str">
        <f aca="false">HYPERLINK("https://twitter.com/ZyiteGadgets","@ZyiteGadgets")</f>
        <v>@ZyiteGadgets</v>
      </c>
      <c r="C5442" s="8" t="s">
        <v>171</v>
      </c>
      <c r="D5442" s="8" t="s">
        <v>12680</v>
      </c>
      <c r="E5442" s="9" t="str">
        <f aca="false">HYPERLINK("https://twitter.com/ZyiteGadgets/status/922334403136839680","922334403136839680")</f>
        <v>922334403136839680</v>
      </c>
      <c r="F5442" s="10" t="s">
        <v>110</v>
      </c>
      <c r="G5442" s="10" t="n">
        <v>3542</v>
      </c>
      <c r="H5442" s="10" t="n">
        <v>4844</v>
      </c>
      <c r="I5442" s="10" t="n">
        <v>0</v>
      </c>
      <c r="J5442" s="10" t="n">
        <v>0</v>
      </c>
      <c r="K5442" s="10" t="s">
        <v>20</v>
      </c>
      <c r="L5442" s="11" t="n">
        <v>41470.6147800926</v>
      </c>
      <c r="M5442" s="15" t="s">
        <v>173</v>
      </c>
      <c r="N5442" s="12" t="s">
        <v>174</v>
      </c>
      <c r="O5442" s="9" t="str">
        <f aca="false">HYPERLINK("https://pbs.twimg.com/profile_images/487701633489313793/pIxJHFt5_normal.jpeg","View")</f>
        <v>View</v>
      </c>
      <c r="P5442" s="10"/>
    </row>
    <row r="5443" customFormat="false" ht="15.75" hidden="false" customHeight="false" outlineLevel="0" collapsed="false">
      <c r="A5443" s="6" t="n">
        <v>43030.9378819444</v>
      </c>
      <c r="B5443" s="7" t="str">
        <f aca="false">HYPERLINK("https://twitter.com/MDRBrown","@MDRBrown")</f>
        <v>@MDRBrown</v>
      </c>
      <c r="C5443" s="8" t="s">
        <v>12681</v>
      </c>
      <c r="D5443" s="8" t="s">
        <v>12682</v>
      </c>
      <c r="E5443" s="9" t="str">
        <f aca="false">HYPERLINK("https://twitter.com/MDRBrown/status/922334408354430976","922334408354430976")</f>
        <v>922334408354430976</v>
      </c>
      <c r="F5443" s="10" t="s">
        <v>39</v>
      </c>
      <c r="G5443" s="10" t="n">
        <v>1533</v>
      </c>
      <c r="H5443" s="10" t="n">
        <v>1589</v>
      </c>
      <c r="I5443" s="10" t="n">
        <v>0</v>
      </c>
      <c r="J5443" s="10" t="n">
        <v>1</v>
      </c>
      <c r="K5443" s="10" t="s">
        <v>20</v>
      </c>
      <c r="L5443" s="11" t="n">
        <v>40331.5476967593</v>
      </c>
      <c r="M5443" s="12" t="s">
        <v>12683</v>
      </c>
      <c r="N5443" s="12" t="s">
        <v>12684</v>
      </c>
      <c r="O5443" s="9" t="str">
        <f aca="false">HYPERLINK("https://pbs.twimg.com/profile_images/889334336423698434/uWWVu_GV_normal.jpg","View")</f>
        <v>View</v>
      </c>
      <c r="P5443" s="10"/>
    </row>
    <row r="5444" customFormat="false" ht="15.75" hidden="false" customHeight="false" outlineLevel="0" collapsed="false">
      <c r="A5444" s="6" t="n">
        <v>43030.938287037</v>
      </c>
      <c r="B5444" s="7" t="str">
        <f aca="false">HYPERLINK("https://twitter.com/vijsharma76","@vijsharma76")</f>
        <v>@vijsharma76</v>
      </c>
      <c r="C5444" s="8" t="s">
        <v>12685</v>
      </c>
      <c r="D5444" s="8" t="s">
        <v>8538</v>
      </c>
      <c r="E5444" s="9" t="str">
        <f aca="false">HYPERLINK("https://twitter.com/vijsharma76/status/922334552558915584","922334552558915584")</f>
        <v>922334552558915584</v>
      </c>
      <c r="F5444" s="10" t="s">
        <v>51</v>
      </c>
      <c r="G5444" s="10" t="n">
        <v>280</v>
      </c>
      <c r="H5444" s="10" t="n">
        <v>373</v>
      </c>
      <c r="I5444" s="10" t="n">
        <v>1015</v>
      </c>
      <c r="J5444" s="10" t="n">
        <v>0</v>
      </c>
      <c r="K5444" s="10" t="s">
        <v>20</v>
      </c>
      <c r="L5444" s="11" t="n">
        <v>41190.4272569444</v>
      </c>
      <c r="M5444" s="12" t="s">
        <v>3531</v>
      </c>
      <c r="N5444" s="12" t="s">
        <v>12686</v>
      </c>
      <c r="O5444" s="9" t="str">
        <f aca="false">HYPERLINK("https://pbs.twimg.com/profile_images/864066141307719680/0VsZ-y5z_normal.jpg","View")</f>
        <v>View</v>
      </c>
      <c r="P5444" s="10"/>
    </row>
    <row r="5445" customFormat="false" ht="15.75" hidden="false" customHeight="false" outlineLevel="0" collapsed="false">
      <c r="A5445" s="6" t="n">
        <v>43030.9382986111</v>
      </c>
      <c r="B5445" s="7" t="str">
        <f aca="false">HYPERLINK("https://twitter.com/DoyleGlobal","@DoyleGlobal")</f>
        <v>@DoyleGlobal</v>
      </c>
      <c r="C5445" s="8" t="s">
        <v>12687</v>
      </c>
      <c r="D5445" s="8" t="s">
        <v>12688</v>
      </c>
      <c r="E5445" s="9" t="str">
        <f aca="false">HYPERLINK("https://twitter.com/DoyleGlobal/status/922334557235376129","922334557235376129")</f>
        <v>922334557235376129</v>
      </c>
      <c r="F5445" s="9" t="s">
        <v>1147</v>
      </c>
      <c r="G5445" s="10" t="n">
        <v>1218</v>
      </c>
      <c r="H5445" s="10" t="n">
        <v>1178</v>
      </c>
      <c r="I5445" s="10" t="n">
        <v>0</v>
      </c>
      <c r="J5445" s="10" t="n">
        <v>0</v>
      </c>
      <c r="K5445" s="10" t="s">
        <v>20</v>
      </c>
      <c r="L5445" s="11" t="n">
        <v>41181.1719675926</v>
      </c>
      <c r="M5445" s="12" t="s">
        <v>12689</v>
      </c>
      <c r="N5445" s="12" t="s">
        <v>12690</v>
      </c>
      <c r="O5445" s="9" t="str">
        <f aca="false">HYPERLINK("https://pbs.twimg.com/profile_images/920593704863260672/e1CYlHnn_normal.jpg","View")</f>
        <v>View</v>
      </c>
      <c r="P5445" s="10"/>
    </row>
    <row r="5446" customFormat="false" ht="15.75" hidden="false" customHeight="false" outlineLevel="0" collapsed="false">
      <c r="A5446" s="6" t="n">
        <v>43030.9383217593</v>
      </c>
      <c r="B5446" s="7" t="str">
        <f aca="false">HYPERLINK("https://twitter.com/nochebur","@nochebur")</f>
        <v>@nochebur</v>
      </c>
      <c r="C5446" s="8" t="s">
        <v>3569</v>
      </c>
      <c r="D5446" s="8" t="s">
        <v>12691</v>
      </c>
      <c r="E5446" s="9" t="str">
        <f aca="false">HYPERLINK("https://twitter.com/nochebur/status/922334565993144320","922334565993144320")</f>
        <v>922334565993144320</v>
      </c>
      <c r="F5446" s="10" t="s">
        <v>3571</v>
      </c>
      <c r="G5446" s="10" t="n">
        <v>142</v>
      </c>
      <c r="H5446" s="10" t="n">
        <v>368</v>
      </c>
      <c r="I5446" s="10" t="n">
        <v>0</v>
      </c>
      <c r="J5446" s="10" t="n">
        <v>0</v>
      </c>
      <c r="K5446" s="10" t="s">
        <v>20</v>
      </c>
      <c r="L5446" s="11" t="n">
        <v>40029.5442708333</v>
      </c>
      <c r="M5446" s="12" t="s">
        <v>1436</v>
      </c>
      <c r="N5446" s="12" t="s">
        <v>3572</v>
      </c>
      <c r="O5446" s="9" t="str">
        <f aca="false">HYPERLINK("https://pbs.twimg.com/profile_images/834538403706314752/YVVqcKjW_normal.jpg","View")</f>
        <v>View</v>
      </c>
      <c r="P5446" s="10"/>
    </row>
    <row r="5447" customFormat="false" ht="15.75" hidden="false" customHeight="false" outlineLevel="0" collapsed="false">
      <c r="A5447" s="6" t="n">
        <v>43030.9385416667</v>
      </c>
      <c r="B5447" s="7" t="str">
        <f aca="false">HYPERLINK("https://twitter.com/ItalianBahu","@ItalianBahu")</f>
        <v>@ItalianBahu</v>
      </c>
      <c r="C5447" s="8" t="s">
        <v>12692</v>
      </c>
      <c r="D5447" s="8" t="s">
        <v>8538</v>
      </c>
      <c r="E5447" s="9" t="str">
        <f aca="false">HYPERLINK("https://twitter.com/ItalianBahu/status/922334647039569920","922334647039569920")</f>
        <v>922334647039569920</v>
      </c>
      <c r="F5447" s="10" t="s">
        <v>51</v>
      </c>
      <c r="G5447" s="10" t="n">
        <v>80</v>
      </c>
      <c r="H5447" s="10" t="n">
        <v>2</v>
      </c>
      <c r="I5447" s="10" t="n">
        <v>1015</v>
      </c>
      <c r="J5447" s="10" t="n">
        <v>0</v>
      </c>
      <c r="K5447" s="10" t="s">
        <v>20</v>
      </c>
      <c r="L5447" s="11" t="n">
        <v>42934.0427777778</v>
      </c>
      <c r="M5447" s="12" t="s">
        <v>64</v>
      </c>
      <c r="N5447" s="12" t="s">
        <v>12693</v>
      </c>
      <c r="O5447" s="9" t="str">
        <f aca="false">HYPERLINK("https://pbs.twimg.com/profile_images/889774986763812864/mDujml4s_normal.jpg","View")</f>
        <v>View</v>
      </c>
      <c r="P5447" s="10"/>
    </row>
    <row r="5448" customFormat="false" ht="15.75" hidden="false" customHeight="false" outlineLevel="0" collapsed="false">
      <c r="A5448" s="6" t="n">
        <v>43030.9385648148</v>
      </c>
      <c r="B5448" s="7" t="str">
        <f aca="false">HYPERLINK("https://twitter.com/ichigo_opanchu","@ichigo_opanchu")</f>
        <v>@ichigo_opanchu</v>
      </c>
      <c r="C5448" s="14" t="s">
        <v>12694</v>
      </c>
      <c r="D5448" s="8" t="s">
        <v>12695</v>
      </c>
      <c r="E5448" s="9" t="str">
        <f aca="false">HYPERLINK("https://twitter.com/ichigo_opanchu/status/922334655835029504","922334655835029504")</f>
        <v>922334655835029504</v>
      </c>
      <c r="F5448" s="9" t="s">
        <v>1340</v>
      </c>
      <c r="G5448" s="10" t="n">
        <v>1174</v>
      </c>
      <c r="H5448" s="10" t="n">
        <v>1629</v>
      </c>
      <c r="I5448" s="10" t="n">
        <v>0</v>
      </c>
      <c r="J5448" s="10" t="n">
        <v>0</v>
      </c>
      <c r="K5448" s="10" t="s">
        <v>20</v>
      </c>
      <c r="L5448" s="11" t="n">
        <v>41584.515787037</v>
      </c>
      <c r="M5448" s="12"/>
      <c r="N5448" s="12"/>
      <c r="O5448" s="9" t="str">
        <f aca="false">HYPERLINK("https://pbs.twimg.com/profile_images/378800000706122038/8717500dd70ef1765108669059e3f9b0_normal.jpeg","View")</f>
        <v>View</v>
      </c>
      <c r="P5448" s="10"/>
    </row>
    <row r="5449" customFormat="false" ht="15.75" hidden="false" customHeight="false" outlineLevel="0" collapsed="false">
      <c r="A5449" s="6" t="n">
        <v>43030.9386805556</v>
      </c>
      <c r="B5449" s="7" t="str">
        <f aca="false">HYPERLINK("https://twitter.com/stearnsseattle","@stearnsseattle")</f>
        <v>@stearnsseattle</v>
      </c>
      <c r="C5449" s="8" t="s">
        <v>12696</v>
      </c>
      <c r="D5449" s="8" t="s">
        <v>12697</v>
      </c>
      <c r="E5449" s="9" t="str">
        <f aca="false">HYPERLINK("https://twitter.com/stearnsseattle/status/922334697174077440","922334697174077440")</f>
        <v>922334697174077440</v>
      </c>
      <c r="F5449" s="10" t="s">
        <v>51</v>
      </c>
      <c r="G5449" s="10" t="n">
        <v>1727</v>
      </c>
      <c r="H5449" s="10" t="n">
        <v>2253</v>
      </c>
      <c r="I5449" s="10" t="n">
        <v>1</v>
      </c>
      <c r="J5449" s="10" t="n">
        <v>0</v>
      </c>
      <c r="K5449" s="10" t="s">
        <v>20</v>
      </c>
      <c r="L5449" s="11" t="n">
        <v>39938.6318055555</v>
      </c>
      <c r="M5449" s="12" t="s">
        <v>12698</v>
      </c>
      <c r="N5449" s="12" t="s">
        <v>12699</v>
      </c>
      <c r="O5449" s="9" t="str">
        <f aca="false">HYPERLINK("https://pbs.twimg.com/profile_images/805633006069125120/dCipiAe4_normal.jpg","View")</f>
        <v>View</v>
      </c>
      <c r="P5449" s="10"/>
    </row>
    <row r="5450" customFormat="false" ht="15.75" hidden="false" customHeight="false" outlineLevel="0" collapsed="false">
      <c r="A5450" s="6" t="n">
        <v>43030.9395601852</v>
      </c>
      <c r="B5450" s="7" t="str">
        <f aca="false">HYPERLINK("https://twitter.com/hundericocco","@hundericocco")</f>
        <v>@hundericocco</v>
      </c>
      <c r="C5450" s="14" t="s">
        <v>7268</v>
      </c>
      <c r="D5450" s="8" t="s">
        <v>12493</v>
      </c>
      <c r="E5450" s="9" t="str">
        <f aca="false">HYPERLINK("https://twitter.com/hundericocco/status/922335015702114304","922335015702114304")</f>
        <v>922335015702114304</v>
      </c>
      <c r="F5450" s="10" t="s">
        <v>51</v>
      </c>
      <c r="G5450" s="10" t="n">
        <v>6536</v>
      </c>
      <c r="H5450" s="10" t="n">
        <v>6845</v>
      </c>
      <c r="I5450" s="10" t="n">
        <v>63</v>
      </c>
      <c r="J5450" s="10" t="n">
        <v>0</v>
      </c>
      <c r="K5450" s="10" t="s">
        <v>20</v>
      </c>
      <c r="L5450" s="11" t="n">
        <v>41151.4322106482</v>
      </c>
      <c r="M5450" s="12"/>
      <c r="N5450" s="12" t="s">
        <v>7269</v>
      </c>
      <c r="O5450" s="9" t="str">
        <f aca="false">HYPERLINK("https://pbs.twimg.com/profile_images/611939205090906112/ssdbyUu4_normal.jpg","View")</f>
        <v>View</v>
      </c>
      <c r="P5450" s="10"/>
    </row>
    <row r="5451" customFormat="false" ht="15.75" hidden="false" customHeight="false" outlineLevel="0" collapsed="false">
      <c r="A5451" s="6" t="n">
        <v>43030.9397222222</v>
      </c>
      <c r="B5451" s="7" t="str">
        <f aca="false">HYPERLINK("https://twitter.com/AllNewsNetWorld","@AllNewsNetWorld")</f>
        <v>@AllNewsNetWorld</v>
      </c>
      <c r="C5451" s="8" t="s">
        <v>1957</v>
      </c>
      <c r="D5451" s="8" t="s">
        <v>12700</v>
      </c>
      <c r="E5451" s="9" t="str">
        <f aca="false">HYPERLINK("https://twitter.com/AllNewsNetWorld/status/922335075651420160","922335075651420160")</f>
        <v>922335075651420160</v>
      </c>
      <c r="F5451" s="10" t="s">
        <v>60</v>
      </c>
      <c r="G5451" s="10" t="n">
        <v>32</v>
      </c>
      <c r="H5451" s="10" t="n">
        <v>19</v>
      </c>
      <c r="I5451" s="10" t="n">
        <v>0</v>
      </c>
      <c r="J5451" s="10" t="n">
        <v>1</v>
      </c>
      <c r="K5451" s="10" t="s">
        <v>20</v>
      </c>
      <c r="L5451" s="11" t="n">
        <v>41463.4961458333</v>
      </c>
      <c r="M5451" s="12"/>
      <c r="N5451" s="12"/>
      <c r="O5451" s="9" t="str">
        <f aca="false">HYPERLINK("https://abs.twimg.com/sticky/default_profile_images/default_profile_normal.png","View")</f>
        <v>View</v>
      </c>
      <c r="P5451" s="10"/>
    </row>
    <row r="5452" customFormat="false" ht="15.75" hidden="false" customHeight="false" outlineLevel="0" collapsed="false">
      <c r="A5452" s="6" t="n">
        <v>43030.9398842593</v>
      </c>
      <c r="B5452" s="7" t="str">
        <f aca="false">HYPERLINK("https://twitter.com/dw_indonesia","@dw_indonesia")</f>
        <v>@dw_indonesia</v>
      </c>
      <c r="C5452" s="8" t="s">
        <v>12701</v>
      </c>
      <c r="D5452" s="8" t="s">
        <v>7754</v>
      </c>
      <c r="E5452" s="9" t="str">
        <f aca="false">HYPERLINK("https://twitter.com/dw_indonesia/status/922335133197324289","922335133197324289")</f>
        <v>922335133197324289</v>
      </c>
      <c r="F5452" s="10" t="s">
        <v>51</v>
      </c>
      <c r="G5452" s="10" t="n">
        <v>21229</v>
      </c>
      <c r="H5452" s="10" t="n">
        <v>1147</v>
      </c>
      <c r="I5452" s="10" t="n">
        <v>20</v>
      </c>
      <c r="J5452" s="10" t="n">
        <v>0</v>
      </c>
      <c r="K5452" s="10" t="s">
        <v>20</v>
      </c>
      <c r="L5452" s="11" t="n">
        <v>40330.0709027778</v>
      </c>
      <c r="M5452" s="12" t="s">
        <v>12702</v>
      </c>
      <c r="N5452" s="12" t="s">
        <v>12703</v>
      </c>
      <c r="O5452" s="9" t="str">
        <f aca="false">HYPERLINK("https://pbs.twimg.com/profile_images/900625925485809664/IVQ25Pd7_normal.jpg","View")</f>
        <v>View</v>
      </c>
      <c r="P5452" s="10"/>
    </row>
    <row r="5453" customFormat="false" ht="15.75" hidden="false" customHeight="false" outlineLevel="0" collapsed="false">
      <c r="A5453" s="6" t="n">
        <v>43030.9399074074</v>
      </c>
      <c r="B5453" s="7" t="str">
        <f aca="false">HYPERLINK("https://twitter.com/appmaster2015","@appmaster2015")</f>
        <v>@appmaster2015</v>
      </c>
      <c r="C5453" s="8" t="s">
        <v>5467</v>
      </c>
      <c r="D5453" s="8" t="s">
        <v>12704</v>
      </c>
      <c r="E5453" s="9" t="str">
        <f aca="false">HYPERLINK("https://twitter.com/appmaster2015/status/922335142395473920","922335142395473920")</f>
        <v>922335142395473920</v>
      </c>
      <c r="F5453" s="10" t="s">
        <v>60</v>
      </c>
      <c r="G5453" s="10" t="n">
        <v>1386</v>
      </c>
      <c r="H5453" s="10" t="n">
        <v>303</v>
      </c>
      <c r="I5453" s="10" t="n">
        <v>0</v>
      </c>
      <c r="J5453" s="10" t="n">
        <v>0</v>
      </c>
      <c r="K5453" s="10" t="s">
        <v>20</v>
      </c>
      <c r="L5453" s="11" t="n">
        <v>42018.0216550926</v>
      </c>
      <c r="M5453" s="12" t="s">
        <v>72</v>
      </c>
      <c r="N5453" s="12"/>
      <c r="O5453" s="9" t="str">
        <f aca="false">HYPERLINK("https://pbs.twimg.com/profile_images/555281744044113921/uoOjQNhd_normal.jpeg","View")</f>
        <v>View</v>
      </c>
      <c r="P5453" s="10"/>
    </row>
    <row r="5454" customFormat="false" ht="15.75" hidden="false" customHeight="false" outlineLevel="0" collapsed="false">
      <c r="A5454" s="6" t="n">
        <v>43030.9399189815</v>
      </c>
      <c r="B5454" s="7" t="str">
        <f aca="false">HYPERLINK("https://twitter.com/bonhomy","@bonhomy")</f>
        <v>@bonhomy</v>
      </c>
      <c r="C5454" s="8" t="s">
        <v>12705</v>
      </c>
      <c r="D5454" s="8" t="s">
        <v>8538</v>
      </c>
      <c r="E5454" s="9" t="str">
        <f aca="false">HYPERLINK("https://twitter.com/bonhomy/status/922335146971316224","922335146971316224")</f>
        <v>922335146971316224</v>
      </c>
      <c r="F5454" s="10" t="s">
        <v>39</v>
      </c>
      <c r="G5454" s="10" t="n">
        <v>412</v>
      </c>
      <c r="H5454" s="10" t="n">
        <v>1137</v>
      </c>
      <c r="I5454" s="10" t="n">
        <v>1015</v>
      </c>
      <c r="J5454" s="10" t="n">
        <v>0</v>
      </c>
      <c r="K5454" s="10" t="s">
        <v>20</v>
      </c>
      <c r="L5454" s="11" t="n">
        <v>40283.119525463</v>
      </c>
      <c r="M5454" s="12" t="s">
        <v>87</v>
      </c>
      <c r="N5454" s="12" t="s">
        <v>12706</v>
      </c>
      <c r="O5454" s="9" t="str">
        <f aca="false">HYPERLINK("https://pbs.twimg.com/profile_images/923404591512805376/HEt64RJo_normal.jpg","View")</f>
        <v>View</v>
      </c>
      <c r="P5454" s="10"/>
    </row>
    <row r="5455" customFormat="false" ht="15.75" hidden="false" customHeight="false" outlineLevel="0" collapsed="false">
      <c r="A5455" s="6" t="n">
        <v>43030.9402546296</v>
      </c>
      <c r="B5455" s="7" t="str">
        <f aca="false">HYPERLINK("https://twitter.com/V_Joselevy","@V_Joselevy")</f>
        <v>@V_Joselevy</v>
      </c>
      <c r="C5455" s="8" t="s">
        <v>12707</v>
      </c>
      <c r="D5455" s="8" t="s">
        <v>10225</v>
      </c>
      <c r="E5455" s="9" t="str">
        <f aca="false">HYPERLINK("https://twitter.com/V_Joselevy/status/922335265905168384","922335265905168384")</f>
        <v>922335265905168384</v>
      </c>
      <c r="F5455" s="10" t="s">
        <v>25</v>
      </c>
      <c r="G5455" s="10" t="n">
        <v>79</v>
      </c>
      <c r="H5455" s="10" t="n">
        <v>163</v>
      </c>
      <c r="I5455" s="10" t="n">
        <v>16</v>
      </c>
      <c r="J5455" s="10" t="n">
        <v>0</v>
      </c>
      <c r="K5455" s="10" t="s">
        <v>20</v>
      </c>
      <c r="L5455" s="11" t="n">
        <v>41569.3598958333</v>
      </c>
      <c r="M5455" s="12" t="s">
        <v>3934</v>
      </c>
      <c r="N5455" s="12" t="s">
        <v>12708</v>
      </c>
      <c r="O5455" s="9" t="str">
        <f aca="false">HYPERLINK("https://pbs.twimg.com/profile_images/679975796887269376/B4yuZB4o_normal.jpg","View")</f>
        <v>View</v>
      </c>
      <c r="P5455" s="10"/>
    </row>
    <row r="5456" customFormat="false" ht="15.75" hidden="false" customHeight="false" outlineLevel="0" collapsed="false">
      <c r="A5456" s="6" t="n">
        <v>43030.9402662037</v>
      </c>
      <c r="B5456" s="7" t="str">
        <f aca="false">HYPERLINK("https://twitter.com/Andre_Dragosch","@Andre_Dragosch")</f>
        <v>@Andre_Dragosch</v>
      </c>
      <c r="C5456" s="8" t="s">
        <v>12709</v>
      </c>
      <c r="D5456" s="8" t="s">
        <v>12710</v>
      </c>
      <c r="E5456" s="9" t="str">
        <f aca="false">HYPERLINK("https://twitter.com/Andre_Dragosch/status/922335271399706624","922335271399706624")</f>
        <v>922335271399706624</v>
      </c>
      <c r="F5456" s="10" t="s">
        <v>25</v>
      </c>
      <c r="G5456" s="10" t="n">
        <v>442</v>
      </c>
      <c r="H5456" s="10" t="n">
        <v>635</v>
      </c>
      <c r="I5456" s="10" t="n">
        <v>0</v>
      </c>
      <c r="J5456" s="10" t="n">
        <v>0</v>
      </c>
      <c r="K5456" s="10" t="s">
        <v>20</v>
      </c>
      <c r="L5456" s="11" t="n">
        <v>42576.2107986111</v>
      </c>
      <c r="M5456" s="12" t="s">
        <v>12711</v>
      </c>
      <c r="N5456" s="12" t="s">
        <v>12712</v>
      </c>
      <c r="O5456" s="9" t="str">
        <f aca="false">HYPERLINK("https://pbs.twimg.com/profile_images/799261072901423105/m0DG33OS_normal.jpg","View")</f>
        <v>View</v>
      </c>
      <c r="P5456" s="10"/>
    </row>
    <row r="5457" customFormat="false" ht="15.75" hidden="false" customHeight="false" outlineLevel="0" collapsed="false">
      <c r="A5457" s="6" t="n">
        <v>43030.9403009259</v>
      </c>
      <c r="B5457" s="7" t="str">
        <f aca="false">HYPERLINK("https://twitter.com/indian24news","@indian24news")</f>
        <v>@indian24news</v>
      </c>
      <c r="C5457" s="8" t="s">
        <v>8520</v>
      </c>
      <c r="D5457" s="8" t="s">
        <v>12713</v>
      </c>
      <c r="E5457" s="9" t="str">
        <f aca="false">HYPERLINK("https://twitter.com/indian24news/status/922335282694905856","922335282694905856")</f>
        <v>922335282694905856</v>
      </c>
      <c r="F5457" s="10" t="s">
        <v>8522</v>
      </c>
      <c r="G5457" s="10" t="n">
        <v>51546</v>
      </c>
      <c r="H5457" s="10" t="n">
        <v>50097</v>
      </c>
      <c r="I5457" s="10" t="n">
        <v>1</v>
      </c>
      <c r="J5457" s="10" t="n">
        <v>2</v>
      </c>
      <c r="K5457" s="10" t="s">
        <v>20</v>
      </c>
      <c r="L5457" s="11" t="n">
        <v>42053.546400463</v>
      </c>
      <c r="M5457" s="12" t="s">
        <v>72</v>
      </c>
      <c r="N5457" s="12" t="s">
        <v>8523</v>
      </c>
      <c r="O5457" s="9" t="str">
        <f aca="false">HYPERLINK("https://pbs.twimg.com/profile_images/812759050601504768/ND4RvJf0_normal.jpg","View")</f>
        <v>View</v>
      </c>
      <c r="P5457" s="10"/>
    </row>
    <row r="5458" customFormat="false" ht="15.75" hidden="false" customHeight="false" outlineLevel="0" collapsed="false">
      <c r="A5458" s="6" t="n">
        <v>43030.9405787037</v>
      </c>
      <c r="B5458" s="7" t="str">
        <f aca="false">HYPERLINK("https://twitter.com/Mr_Junes","@Mr_Junes")</f>
        <v>@Mr_Junes</v>
      </c>
      <c r="C5458" s="8" t="s">
        <v>12016</v>
      </c>
      <c r="D5458" s="8" t="s">
        <v>10225</v>
      </c>
      <c r="E5458" s="9" t="str">
        <f aca="false">HYPERLINK("https://twitter.com/Mr_Junes/status/922335386529021952","922335386529021952")</f>
        <v>922335386529021952</v>
      </c>
      <c r="F5458" s="10" t="s">
        <v>12017</v>
      </c>
      <c r="G5458" s="10" t="n">
        <v>267</v>
      </c>
      <c r="H5458" s="10" t="n">
        <v>177</v>
      </c>
      <c r="I5458" s="10" t="n">
        <v>16</v>
      </c>
      <c r="J5458" s="10" t="n">
        <v>0</v>
      </c>
      <c r="K5458" s="10" t="s">
        <v>20</v>
      </c>
      <c r="L5458" s="11" t="n">
        <v>41435.214537037</v>
      </c>
      <c r="M5458" s="12" t="s">
        <v>12018</v>
      </c>
      <c r="N5458" s="12" t="s">
        <v>12019</v>
      </c>
      <c r="O5458" s="9" t="str">
        <f aca="false">HYPERLINK("https://pbs.twimg.com/profile_images/815659981147996161/LiD3Xfj6_normal.jpg","View")</f>
        <v>View</v>
      </c>
      <c r="P5458" s="10"/>
    </row>
    <row r="5459" customFormat="false" ht="15.75" hidden="false" customHeight="false" outlineLevel="0" collapsed="false">
      <c r="A5459" s="6" t="n">
        <v>43030.940775463</v>
      </c>
      <c r="B5459" s="7" t="str">
        <f aca="false">HYPERLINK("https://twitter.com/kumarshivang7","@kumarshivang7")</f>
        <v>@kumarshivang7</v>
      </c>
      <c r="C5459" s="8" t="s">
        <v>12714</v>
      </c>
      <c r="D5459" s="8" t="s">
        <v>12715</v>
      </c>
      <c r="E5459" s="9" t="str">
        <f aca="false">HYPERLINK("https://twitter.com/kumarshivang7/status/922335454317379585","922335454317379585")</f>
        <v>922335454317379585</v>
      </c>
      <c r="F5459" s="10" t="s">
        <v>60</v>
      </c>
      <c r="G5459" s="10" t="n">
        <v>36</v>
      </c>
      <c r="H5459" s="10" t="n">
        <v>20</v>
      </c>
      <c r="I5459" s="10" t="n">
        <v>0</v>
      </c>
      <c r="J5459" s="10" t="n">
        <v>0</v>
      </c>
      <c r="K5459" s="10" t="s">
        <v>20</v>
      </c>
      <c r="L5459" s="11" t="n">
        <v>42305.6202777778</v>
      </c>
      <c r="M5459" s="12" t="s">
        <v>12716</v>
      </c>
      <c r="N5459" s="12" t="s">
        <v>12717</v>
      </c>
      <c r="O5459" s="9" t="str">
        <f aca="false">HYPERLINK("https://pbs.twimg.com/profile_images/885038967363706881/_7sy_VPg_normal.jpg","View")</f>
        <v>View</v>
      </c>
      <c r="P5459" s="10"/>
    </row>
    <row r="5460" customFormat="false" ht="15.75" hidden="false" customHeight="false" outlineLevel="0" collapsed="false">
      <c r="A5460" s="6" t="n">
        <v>43030.9407986111</v>
      </c>
      <c r="B5460" s="7" t="str">
        <f aca="false">HYPERLINK("https://twitter.com/goldgod11","@goldgod11")</f>
        <v>@goldgod11</v>
      </c>
      <c r="C5460" s="8" t="s">
        <v>12718</v>
      </c>
      <c r="D5460" s="8" t="s">
        <v>12719</v>
      </c>
      <c r="E5460" s="9" t="str">
        <f aca="false">HYPERLINK("https://twitter.com/goldgod11/status/922335465461596161","922335465461596161")</f>
        <v>922335465461596161</v>
      </c>
      <c r="F5460" s="10" t="s">
        <v>39</v>
      </c>
      <c r="G5460" s="10" t="n">
        <v>1287</v>
      </c>
      <c r="H5460" s="10" t="n">
        <v>274</v>
      </c>
      <c r="I5460" s="10" t="n">
        <v>0</v>
      </c>
      <c r="J5460" s="10" t="n">
        <v>0</v>
      </c>
      <c r="K5460" s="10" t="s">
        <v>20</v>
      </c>
      <c r="L5460" s="11" t="n">
        <v>41898.3334606482</v>
      </c>
      <c r="M5460" s="12" t="s">
        <v>12720</v>
      </c>
      <c r="N5460" s="12" t="s">
        <v>12721</v>
      </c>
      <c r="O5460" s="9" t="str">
        <f aca="false">HYPERLINK("https://pbs.twimg.com/profile_images/920335526539935744/_hA7Xa2z_normal.jpg","View")</f>
        <v>View</v>
      </c>
      <c r="P5460" s="10"/>
    </row>
    <row r="5461" customFormat="false" ht="15.75" hidden="false" customHeight="false" outlineLevel="0" collapsed="false">
      <c r="A5461" s="6" t="n">
        <v>43030.9409143519</v>
      </c>
      <c r="B5461" s="7" t="str">
        <f aca="false">HYPERLINK("https://twitter.com/TribuneWorld","@TribuneWorld")</f>
        <v>@TribuneWorld</v>
      </c>
      <c r="C5461" s="8" t="s">
        <v>1951</v>
      </c>
      <c r="D5461" s="8" t="s">
        <v>12722</v>
      </c>
      <c r="E5461" s="9" t="str">
        <f aca="false">HYPERLINK("https://twitter.com/TribuneWorld/status/922335505152401408","922335505152401408")</f>
        <v>922335505152401408</v>
      </c>
      <c r="F5461" s="10" t="s">
        <v>60</v>
      </c>
      <c r="G5461" s="10" t="n">
        <v>95</v>
      </c>
      <c r="H5461" s="10" t="n">
        <v>0</v>
      </c>
      <c r="I5461" s="10" t="n">
        <v>0</v>
      </c>
      <c r="J5461" s="10" t="n">
        <v>0</v>
      </c>
      <c r="K5461" s="10" t="s">
        <v>20</v>
      </c>
      <c r="L5461" s="11" t="n">
        <v>42502.3521990741</v>
      </c>
      <c r="M5461" s="12" t="s">
        <v>357</v>
      </c>
      <c r="N5461" s="12" t="s">
        <v>1953</v>
      </c>
      <c r="O5461" s="9" t="str">
        <f aca="false">HYPERLINK("https://pbs.twimg.com/profile_images/884044391823712256/EmtohZxH_normal.jpg","View")</f>
        <v>View</v>
      </c>
      <c r="P5461" s="10"/>
    </row>
    <row r="5462" customFormat="false" ht="15.75" hidden="false" customHeight="false" outlineLevel="0" collapsed="false">
      <c r="A5462" s="6" t="n">
        <v>43030.9409953704</v>
      </c>
      <c r="B5462" s="7" t="str">
        <f aca="false">HYPERLINK("https://twitter.com/bharatmatakijai","@bharatmatakijai")</f>
        <v>@bharatmatakijai</v>
      </c>
      <c r="C5462" s="8" t="s">
        <v>12723</v>
      </c>
      <c r="D5462" s="8" t="s">
        <v>8538</v>
      </c>
      <c r="E5462" s="9" t="str">
        <f aca="false">HYPERLINK("https://twitter.com/bharatmatakijai/status/922335536152379392","922335536152379392")</f>
        <v>922335536152379392</v>
      </c>
      <c r="F5462" s="10" t="s">
        <v>98</v>
      </c>
      <c r="G5462" s="10" t="n">
        <v>1329</v>
      </c>
      <c r="H5462" s="10" t="n">
        <v>1124</v>
      </c>
      <c r="I5462" s="10" t="n">
        <v>1015</v>
      </c>
      <c r="J5462" s="10" t="n">
        <v>0</v>
      </c>
      <c r="K5462" s="10" t="s">
        <v>20</v>
      </c>
      <c r="L5462" s="11" t="n">
        <v>40222.4312268519</v>
      </c>
      <c r="M5462" s="12" t="s">
        <v>5883</v>
      </c>
      <c r="N5462" s="12" t="s">
        <v>12724</v>
      </c>
      <c r="O5462" s="9" t="str">
        <f aca="false">HYPERLINK("https://pbs.twimg.com/profile_images/843874777077108739/9IjxyRx8_normal.jpg","View")</f>
        <v>View</v>
      </c>
      <c r="P5462" s="10"/>
    </row>
    <row r="5463" customFormat="false" ht="15.75" hidden="false" customHeight="false" outlineLevel="0" collapsed="false">
      <c r="A5463" s="6" t="n">
        <v>43030.9411458333</v>
      </c>
      <c r="B5463" s="7" t="str">
        <f aca="false">HYPERLINK("https://twitter.com/Luca_Piluso","@Luca_Piluso")</f>
        <v>@Luca_Piluso</v>
      </c>
      <c r="C5463" s="8" t="s">
        <v>12725</v>
      </c>
      <c r="D5463" s="8" t="s">
        <v>12726</v>
      </c>
      <c r="E5463" s="9" t="str">
        <f aca="false">HYPERLINK("https://twitter.com/Luca_Piluso/status/922335589952868352","922335589952868352")</f>
        <v>922335589952868352</v>
      </c>
      <c r="F5463" s="10" t="s">
        <v>25</v>
      </c>
      <c r="G5463" s="10" t="n">
        <v>7</v>
      </c>
      <c r="H5463" s="10" t="n">
        <v>85</v>
      </c>
      <c r="I5463" s="10" t="n">
        <v>0</v>
      </c>
      <c r="J5463" s="10" t="n">
        <v>0</v>
      </c>
      <c r="K5463" s="10" t="s">
        <v>20</v>
      </c>
      <c r="L5463" s="11" t="n">
        <v>41277.1015393519</v>
      </c>
      <c r="M5463" s="12"/>
      <c r="N5463" s="12"/>
      <c r="O5463" s="9" t="str">
        <f aca="false">HYPERLINK("https://pbs.twimg.com/profile_images/914912600990867456/Jg9d9wkR_normal.jpg","View")</f>
        <v>View</v>
      </c>
      <c r="P5463" s="10"/>
    </row>
    <row r="5464" customFormat="false" ht="15.75" hidden="false" customHeight="false" outlineLevel="0" collapsed="false">
      <c r="A5464" s="6" t="n">
        <v>43030.94125</v>
      </c>
      <c r="B5464" s="7" t="str">
        <f aca="false">HYPERLINK("https://twitter.com/jhasushant","@jhasushant")</f>
        <v>@jhasushant</v>
      </c>
      <c r="C5464" s="8" t="s">
        <v>12727</v>
      </c>
      <c r="D5464" s="8" t="s">
        <v>12662</v>
      </c>
      <c r="E5464" s="9" t="str">
        <f aca="false">HYPERLINK("https://twitter.com/jhasushant/status/922335627865026560","922335627865026560")</f>
        <v>922335627865026560</v>
      </c>
      <c r="F5464" s="10" t="s">
        <v>25</v>
      </c>
      <c r="G5464" s="10" t="n">
        <v>1688</v>
      </c>
      <c r="H5464" s="10" t="n">
        <v>834</v>
      </c>
      <c r="I5464" s="10" t="n">
        <v>8</v>
      </c>
      <c r="J5464" s="10" t="n">
        <v>0</v>
      </c>
      <c r="K5464" s="10" t="s">
        <v>20</v>
      </c>
      <c r="L5464" s="11" t="n">
        <v>39960.2185185185</v>
      </c>
      <c r="M5464" s="12" t="s">
        <v>12728</v>
      </c>
      <c r="N5464" s="12" t="s">
        <v>12729</v>
      </c>
      <c r="O5464" s="9" t="str">
        <f aca="false">HYPERLINK("https://pbs.twimg.com/profile_images/567677837272809472/fhQJ0iMR_normal.jpeg","View")</f>
        <v>View</v>
      </c>
      <c r="P5464" s="10"/>
    </row>
    <row r="5465" customFormat="false" ht="15.75" hidden="false" customHeight="false" outlineLevel="0" collapsed="false">
      <c r="A5465" s="6" t="n">
        <v>43030.9414351852</v>
      </c>
      <c r="B5465" s="7" t="str">
        <f aca="false">HYPERLINK("https://twitter.com/siyasubarigon","@siyasubarigon")</f>
        <v>@siyasubarigon</v>
      </c>
      <c r="C5465" s="14" t="s">
        <v>12730</v>
      </c>
      <c r="D5465" s="8" t="s">
        <v>12493</v>
      </c>
      <c r="E5465" s="9" t="str">
        <f aca="false">HYPERLINK("https://twitter.com/siyasubarigon/status/922335696790028288","922335696790028288")</f>
        <v>922335696790028288</v>
      </c>
      <c r="F5465" s="10" t="s">
        <v>51</v>
      </c>
      <c r="G5465" s="10" t="n">
        <v>273</v>
      </c>
      <c r="H5465" s="10" t="n">
        <v>49</v>
      </c>
      <c r="I5465" s="10" t="n">
        <v>63</v>
      </c>
      <c r="J5465" s="10" t="n">
        <v>0</v>
      </c>
      <c r="K5465" s="10" t="s">
        <v>20</v>
      </c>
      <c r="L5465" s="11" t="n">
        <v>40924.6560763889</v>
      </c>
      <c r="M5465" s="12"/>
      <c r="N5465" s="13" t="s">
        <v>12731</v>
      </c>
      <c r="O5465" s="9" t="str">
        <f aca="false">HYPERLINK("https://pbs.twimg.com/profile_images/911907163500560385/LCotZPVH_normal.jpg","View")</f>
        <v>View</v>
      </c>
      <c r="P5465" s="10"/>
    </row>
    <row r="5466" customFormat="false" ht="15.75" hidden="false" customHeight="false" outlineLevel="0" collapsed="false">
      <c r="A5466" s="6" t="n">
        <v>43030.9415856482</v>
      </c>
      <c r="B5466" s="7" t="str">
        <f aca="false">HYPERLINK("https://twitter.com/MilikTailor","@MilikTailor")</f>
        <v>@MilikTailor</v>
      </c>
      <c r="C5466" s="8" t="s">
        <v>12732</v>
      </c>
      <c r="D5466" s="8" t="s">
        <v>12733</v>
      </c>
      <c r="E5466" s="9" t="str">
        <f aca="false">HYPERLINK("https://twitter.com/MilikTailor/status/922335751118848000","922335751118848000")</f>
        <v>922335751118848000</v>
      </c>
      <c r="F5466" s="10" t="s">
        <v>25</v>
      </c>
      <c r="G5466" s="10" t="n">
        <v>1159</v>
      </c>
      <c r="H5466" s="10" t="n">
        <v>4994</v>
      </c>
      <c r="I5466" s="10" t="n">
        <v>1</v>
      </c>
      <c r="J5466" s="10" t="n">
        <v>0</v>
      </c>
      <c r="K5466" s="10" t="s">
        <v>20</v>
      </c>
      <c r="L5466" s="11" t="n">
        <v>42477.8210648148</v>
      </c>
      <c r="M5466" s="12"/>
      <c r="N5466" s="12" t="s">
        <v>12734</v>
      </c>
      <c r="O5466" s="9" t="str">
        <f aca="false">HYPERLINK("https://pbs.twimg.com/profile_images/734003031604264960/9R3RiBjl_normal.jpg","View")</f>
        <v>View</v>
      </c>
      <c r="P5466" s="10"/>
    </row>
    <row r="5467" customFormat="false" ht="15.75" hidden="false" customHeight="false" outlineLevel="0" collapsed="false">
      <c r="A5467" s="6" t="n">
        <v>43030.9417824074</v>
      </c>
      <c r="B5467" s="7" t="str">
        <f aca="false">HYPERLINK("https://twitter.com/alokshukla118","@alokshukla118")</f>
        <v>@alokshukla118</v>
      </c>
      <c r="C5467" s="8" t="s">
        <v>12735</v>
      </c>
      <c r="D5467" s="8" t="s">
        <v>12662</v>
      </c>
      <c r="E5467" s="9" t="str">
        <f aca="false">HYPERLINK("https://twitter.com/alokshukla118/status/922335820589146114","922335820589146114")</f>
        <v>922335820589146114</v>
      </c>
      <c r="F5467" s="10" t="s">
        <v>51</v>
      </c>
      <c r="G5467" s="10" t="n">
        <v>503</v>
      </c>
      <c r="H5467" s="10" t="n">
        <v>180</v>
      </c>
      <c r="I5467" s="10" t="n">
        <v>8</v>
      </c>
      <c r="J5467" s="10" t="n">
        <v>0</v>
      </c>
      <c r="K5467" s="10" t="s">
        <v>20</v>
      </c>
      <c r="L5467" s="11" t="n">
        <v>41779.7969560185</v>
      </c>
      <c r="M5467" s="12" t="s">
        <v>12736</v>
      </c>
      <c r="N5467" s="12" t="s">
        <v>12737</v>
      </c>
      <c r="O5467" s="9" t="str">
        <f aca="false">HYPERLINK("https://pbs.twimg.com/profile_images/917214785850155008/reHvea-9_normal.jpg","View")</f>
        <v>View</v>
      </c>
      <c r="P5467" s="10"/>
    </row>
    <row r="5468" customFormat="false" ht="15.75" hidden="false" customHeight="false" outlineLevel="0" collapsed="false">
      <c r="A5468" s="6" t="n">
        <v>43030.9420717593</v>
      </c>
      <c r="B5468" s="7" t="str">
        <f aca="false">HYPERLINK("https://twitter.com/bose_economy","@bose_economy")</f>
        <v>@bose_economy</v>
      </c>
      <c r="C5468" s="8" t="s">
        <v>12738</v>
      </c>
      <c r="D5468" s="8" t="s">
        <v>12662</v>
      </c>
      <c r="E5468" s="9" t="str">
        <f aca="false">HYPERLINK("https://twitter.com/bose_economy/status/922335926512001025","922335926512001025")</f>
        <v>922335926512001025</v>
      </c>
      <c r="F5468" s="10" t="s">
        <v>51</v>
      </c>
      <c r="G5468" s="10" t="n">
        <v>103</v>
      </c>
      <c r="H5468" s="10" t="n">
        <v>131</v>
      </c>
      <c r="I5468" s="10" t="n">
        <v>8</v>
      </c>
      <c r="J5468" s="10" t="n">
        <v>0</v>
      </c>
      <c r="K5468" s="10" t="s">
        <v>20</v>
      </c>
      <c r="L5468" s="11" t="n">
        <v>42308.3512268519</v>
      </c>
      <c r="M5468" s="12"/>
      <c r="N5468" s="13" t="s">
        <v>12739</v>
      </c>
      <c r="O5468" s="9" t="str">
        <f aca="false">HYPERLINK("https://pbs.twimg.com/profile_images/684963123434926080/wa4g8CLG_normal.jpg","View")</f>
        <v>View</v>
      </c>
      <c r="P5468" s="10"/>
    </row>
    <row r="5469" customFormat="false" ht="15.75" hidden="false" customHeight="false" outlineLevel="0" collapsed="false">
      <c r="A5469" s="6" t="n">
        <v>43030.9422106482</v>
      </c>
      <c r="B5469" s="7" t="str">
        <f aca="false">HYPERLINK("https://twitter.com/NewsBossIndia","@NewsBossIndia")</f>
        <v>@NewsBossIndia</v>
      </c>
      <c r="C5469" s="7" t="s">
        <v>2911</v>
      </c>
      <c r="D5469" s="8" t="s">
        <v>12740</v>
      </c>
      <c r="E5469" s="9" t="str">
        <f aca="false">HYPERLINK("https://twitter.com/NewsBossIndia/status/922335976671756288","922335976671756288")</f>
        <v>922335976671756288</v>
      </c>
      <c r="F5469" s="9" t="s">
        <v>2911</v>
      </c>
      <c r="G5469" s="10" t="n">
        <v>996</v>
      </c>
      <c r="H5469" s="10" t="n">
        <v>1</v>
      </c>
      <c r="I5469" s="10" t="n">
        <v>0</v>
      </c>
      <c r="J5469" s="10" t="n">
        <v>0</v>
      </c>
      <c r="K5469" s="10" t="s">
        <v>20</v>
      </c>
      <c r="L5469" s="11" t="n">
        <v>42564.3806134259</v>
      </c>
      <c r="M5469" s="12"/>
      <c r="N5469" s="12" t="s">
        <v>2913</v>
      </c>
      <c r="O5469" s="9" t="str">
        <f aca="false">HYPERLINK("https://pbs.twimg.com/profile_images/753260679692333057/AS4Xiw4q_normal.jpg","View")</f>
        <v>View</v>
      </c>
      <c r="P5469" s="10"/>
    </row>
    <row r="5470" customFormat="false" ht="15.75" hidden="false" customHeight="false" outlineLevel="0" collapsed="false">
      <c r="A5470" s="6" t="n">
        <v>43030.9423958333</v>
      </c>
      <c r="B5470" s="7" t="str">
        <f aca="false">HYPERLINK("https://twitter.com/JPowell2015","@JPowell2015")</f>
        <v>@JPowell2015</v>
      </c>
      <c r="C5470" s="8" t="s">
        <v>12741</v>
      </c>
      <c r="D5470" s="8" t="s">
        <v>12742</v>
      </c>
      <c r="E5470" s="9" t="str">
        <f aca="false">HYPERLINK("https://twitter.com/JPowell2015/status/922336042879012865","922336042879012865")</f>
        <v>922336042879012865</v>
      </c>
      <c r="F5470" s="10" t="s">
        <v>55</v>
      </c>
      <c r="G5470" s="10" t="n">
        <v>303</v>
      </c>
      <c r="H5470" s="10" t="n">
        <v>216</v>
      </c>
      <c r="I5470" s="10" t="n">
        <v>0</v>
      </c>
      <c r="J5470" s="10" t="n">
        <v>0</v>
      </c>
      <c r="K5470" s="10" t="s">
        <v>20</v>
      </c>
      <c r="L5470" s="11" t="n">
        <v>42334.1811921296</v>
      </c>
      <c r="M5470" s="12"/>
      <c r="N5470" s="12"/>
      <c r="O5470" s="9" t="str">
        <f aca="false">HYPERLINK("https://pbs.twimg.com/profile_images/669854347895803905/TnvMlIdU_normal.png","View")</f>
        <v>View</v>
      </c>
      <c r="P5470" s="10"/>
    </row>
    <row r="5471" customFormat="false" ht="15.75" hidden="false" customHeight="false" outlineLevel="0" collapsed="false">
      <c r="A5471" s="6" t="n">
        <v>43030.9425462963</v>
      </c>
      <c r="B5471" s="7" t="str">
        <f aca="false">HYPERLINK("https://twitter.com/GboruM","@GboruM")</f>
        <v>@GboruM</v>
      </c>
      <c r="C5471" s="8" t="s">
        <v>2206</v>
      </c>
      <c r="D5471" s="8" t="s">
        <v>12743</v>
      </c>
      <c r="E5471" s="9" t="str">
        <f aca="false">HYPERLINK("https://twitter.com/GboruM/status/922336096310255617","922336096310255617")</f>
        <v>922336096310255617</v>
      </c>
      <c r="F5471" s="10" t="s">
        <v>55</v>
      </c>
      <c r="G5471" s="10" t="n">
        <v>12129</v>
      </c>
      <c r="H5471" s="10" t="n">
        <v>287</v>
      </c>
      <c r="I5471" s="10" t="n">
        <v>0</v>
      </c>
      <c r="J5471" s="10" t="n">
        <v>0</v>
      </c>
      <c r="K5471" s="10" t="s">
        <v>20</v>
      </c>
      <c r="L5471" s="11" t="n">
        <v>41246.9268518519</v>
      </c>
      <c r="M5471" s="12" t="s">
        <v>1670</v>
      </c>
      <c r="N5471" s="12" t="s">
        <v>2208</v>
      </c>
      <c r="O5471" s="9" t="str">
        <f aca="false">HYPERLINK("https://pbs.twimg.com/profile_images/923809863121166336/FPYIgixr_normal.jpg","View")</f>
        <v>View</v>
      </c>
      <c r="P5471" s="10"/>
    </row>
    <row r="5472" customFormat="false" ht="15.75" hidden="false" customHeight="false" outlineLevel="0" collapsed="false">
      <c r="A5472" s="6" t="n">
        <v>43030.9427546296</v>
      </c>
      <c r="B5472" s="7" t="str">
        <f aca="false">HYPERLINK("https://twitter.com/joemaya164","@joemaya164")</f>
        <v>@joemaya164</v>
      </c>
      <c r="C5472" s="8" t="s">
        <v>1717</v>
      </c>
      <c r="D5472" s="8" t="s">
        <v>12744</v>
      </c>
      <c r="E5472" s="9" t="str">
        <f aca="false">HYPERLINK("https://twitter.com/joemaya164/status/922336174508855301","922336174508855301")</f>
        <v>922336174508855301</v>
      </c>
      <c r="F5472" s="9" t="s">
        <v>979</v>
      </c>
      <c r="G5472" s="10" t="n">
        <v>411</v>
      </c>
      <c r="H5472" s="10" t="n">
        <v>993</v>
      </c>
      <c r="I5472" s="10" t="n">
        <v>0</v>
      </c>
      <c r="J5472" s="10" t="n">
        <v>0</v>
      </c>
      <c r="K5472" s="10" t="s">
        <v>20</v>
      </c>
      <c r="L5472" s="11" t="n">
        <v>42550.4024305556</v>
      </c>
      <c r="M5472" s="12" t="s">
        <v>526</v>
      </c>
      <c r="N5472" s="12" t="s">
        <v>1719</v>
      </c>
      <c r="O5472" s="9" t="str">
        <f aca="false">HYPERLINK("https://pbs.twimg.com/profile_images/884050860480835584/F1xYkB9H_normal.jpg","View")</f>
        <v>View</v>
      </c>
      <c r="P5472" s="10"/>
    </row>
    <row r="5473" customFormat="false" ht="15.75" hidden="false" customHeight="false" outlineLevel="0" collapsed="false">
      <c r="A5473" s="6" t="n">
        <v>43030.9427777778</v>
      </c>
      <c r="B5473" s="7" t="str">
        <f aca="false">HYPERLINK("https://twitter.com/AnointingLawal","@AnointingLawal")</f>
        <v>@AnointingLawal</v>
      </c>
      <c r="C5473" s="8" t="s">
        <v>1720</v>
      </c>
      <c r="D5473" s="8" t="s">
        <v>12745</v>
      </c>
      <c r="E5473" s="9" t="str">
        <f aca="false">HYPERLINK("https://twitter.com/AnointingLawal/status/922336182234681344","922336182234681344")</f>
        <v>922336182234681344</v>
      </c>
      <c r="F5473" s="9" t="s">
        <v>979</v>
      </c>
      <c r="G5473" s="10" t="n">
        <v>35</v>
      </c>
      <c r="H5473" s="10" t="n">
        <v>165</v>
      </c>
      <c r="I5473" s="10" t="n">
        <v>0</v>
      </c>
      <c r="J5473" s="10" t="n">
        <v>0</v>
      </c>
      <c r="K5473" s="10" t="s">
        <v>20</v>
      </c>
      <c r="L5473" s="11" t="n">
        <v>42984.7547916667</v>
      </c>
      <c r="M5473" s="12" t="s">
        <v>526</v>
      </c>
      <c r="N5473" s="12" t="s">
        <v>1722</v>
      </c>
      <c r="O5473" s="9" t="str">
        <f aca="false">HYPERLINK("https://pbs.twimg.com/profile_images/907291839874641920/JjBgrCXj_normal.jpg","View")</f>
        <v>View</v>
      </c>
      <c r="P5473" s="10"/>
    </row>
    <row r="5474" customFormat="false" ht="15.75" hidden="false" customHeight="false" outlineLevel="0" collapsed="false">
      <c r="A5474" s="6" t="n">
        <v>43030.9433680556</v>
      </c>
      <c r="B5474" s="7" t="str">
        <f aca="false">HYPERLINK("https://twitter.com/Prashkb83","@Prashkb83")</f>
        <v>@Prashkb83</v>
      </c>
      <c r="C5474" s="8" t="s">
        <v>12746</v>
      </c>
      <c r="D5474" s="8" t="s">
        <v>8538</v>
      </c>
      <c r="E5474" s="9" t="str">
        <f aca="false">HYPERLINK("https://twitter.com/Prashkb83/status/922336394223157248","922336394223157248")</f>
        <v>922336394223157248</v>
      </c>
      <c r="F5474" s="10" t="s">
        <v>51</v>
      </c>
      <c r="G5474" s="10" t="n">
        <v>98</v>
      </c>
      <c r="H5474" s="10" t="n">
        <v>101</v>
      </c>
      <c r="I5474" s="10" t="n">
        <v>1015</v>
      </c>
      <c r="J5474" s="10" t="n">
        <v>0</v>
      </c>
      <c r="K5474" s="10" t="s">
        <v>20</v>
      </c>
      <c r="L5474" s="11" t="n">
        <v>41707.5725</v>
      </c>
      <c r="M5474" s="12" t="s">
        <v>12747</v>
      </c>
      <c r="N5474" s="12" t="s">
        <v>12748</v>
      </c>
      <c r="O5474" s="9" t="str">
        <f aca="false">HYPERLINK("https://pbs.twimg.com/profile_images/758910575036338177/llIyy5PZ_normal.jpg","View")</f>
        <v>View</v>
      </c>
      <c r="P5474" s="10"/>
    </row>
    <row r="5475" customFormat="false" ht="15.75" hidden="false" customHeight="false" outlineLevel="0" collapsed="false">
      <c r="A5475" s="6" t="n">
        <v>43030.9434375</v>
      </c>
      <c r="B5475" s="7" t="str">
        <f aca="false">HYPERLINK("https://twitter.com/mammeri14828362","@mammeri14828362")</f>
        <v>@mammeri14828362</v>
      </c>
      <c r="C5475" s="8" t="s">
        <v>8222</v>
      </c>
      <c r="D5475" s="8" t="s">
        <v>10225</v>
      </c>
      <c r="E5475" s="9" t="str">
        <f aca="false">HYPERLINK("https://twitter.com/mammeri14828362/status/922336418751500288","922336418751500288")</f>
        <v>922336418751500288</v>
      </c>
      <c r="F5475" s="10" t="s">
        <v>25</v>
      </c>
      <c r="G5475" s="10" t="n">
        <v>1828</v>
      </c>
      <c r="H5475" s="10" t="n">
        <v>5004</v>
      </c>
      <c r="I5475" s="10" t="n">
        <v>16</v>
      </c>
      <c r="J5475" s="10" t="n">
        <v>0</v>
      </c>
      <c r="K5475" s="10" t="s">
        <v>20</v>
      </c>
      <c r="L5475" s="11" t="n">
        <v>42792.4388425926</v>
      </c>
      <c r="M5475" s="12"/>
      <c r="N5475" s="12"/>
      <c r="O5475" s="9" t="str">
        <f aca="false">HYPERLINK("https://pbs.twimg.com/profile_images/835971152182927362/KoDgkXxy_normal.jpg","View")</f>
        <v>View</v>
      </c>
      <c r="P5475" s="10"/>
    </row>
    <row r="5476" customFormat="false" ht="15.75" hidden="false" customHeight="false" outlineLevel="0" collapsed="false">
      <c r="A5476" s="6" t="n">
        <v>43030.9436458333</v>
      </c>
      <c r="B5476" s="7" t="str">
        <f aca="false">HYPERLINK("https://twitter.com/GjptaK","@GjptaK")</f>
        <v>@GjptaK</v>
      </c>
      <c r="C5476" s="8" t="s">
        <v>12749</v>
      </c>
      <c r="D5476" s="8" t="s">
        <v>8538</v>
      </c>
      <c r="E5476" s="9" t="str">
        <f aca="false">HYPERLINK("https://twitter.com/GjptaK/status/922336497813954560","922336497813954560")</f>
        <v>922336497813954560</v>
      </c>
      <c r="F5476" s="10" t="s">
        <v>25</v>
      </c>
      <c r="G5476" s="10" t="n">
        <v>116</v>
      </c>
      <c r="H5476" s="10" t="n">
        <v>288</v>
      </c>
      <c r="I5476" s="10" t="n">
        <v>1015</v>
      </c>
      <c r="J5476" s="10" t="n">
        <v>0</v>
      </c>
      <c r="K5476" s="10" t="s">
        <v>20</v>
      </c>
      <c r="L5476" s="11" t="n">
        <v>41526.1681018519</v>
      </c>
      <c r="M5476" s="12"/>
      <c r="N5476" s="12" t="s">
        <v>12750</v>
      </c>
      <c r="O5476" s="9" t="str">
        <f aca="false">HYPERLINK("https://abs.twimg.com/sticky/default_profile_images/default_profile_normal.png","View")</f>
        <v>View</v>
      </c>
      <c r="P5476" s="10"/>
    </row>
    <row r="5477" customFormat="false" ht="15.75" hidden="false" customHeight="false" outlineLevel="0" collapsed="false">
      <c r="A5477" s="6" t="n">
        <v>43030.9436921296</v>
      </c>
      <c r="B5477" s="7" t="str">
        <f aca="false">HYPERLINK("https://twitter.com/VictoriaVenega7","@VictoriaVenega7")</f>
        <v>@VictoriaVenega7</v>
      </c>
      <c r="C5477" s="8" t="s">
        <v>12751</v>
      </c>
      <c r="D5477" s="8" t="s">
        <v>11284</v>
      </c>
      <c r="E5477" s="9" t="str">
        <f aca="false">HYPERLINK("https://twitter.com/VictoriaVenega7/status/922336513123262464","922336513123262464")</f>
        <v>922336513123262464</v>
      </c>
      <c r="F5477" s="10" t="s">
        <v>25</v>
      </c>
      <c r="G5477" s="10" t="n">
        <v>395</v>
      </c>
      <c r="H5477" s="10" t="n">
        <v>263</v>
      </c>
      <c r="I5477" s="10" t="n">
        <v>41</v>
      </c>
      <c r="J5477" s="10" t="n">
        <v>0</v>
      </c>
      <c r="K5477" s="10" t="s">
        <v>20</v>
      </c>
      <c r="L5477" s="11" t="n">
        <v>41493.6513888889</v>
      </c>
      <c r="M5477" s="12"/>
      <c r="N5477" s="12"/>
      <c r="O5477" s="9" t="str">
        <f aca="false">HYPERLINK("https://pbs.twimg.com/profile_images/378800000257280041/9bbef49e273a235b7ccb9f02465f27e8_normal.jpeg","View")</f>
        <v>View</v>
      </c>
      <c r="P5477" s="10"/>
    </row>
    <row r="5478" customFormat="false" ht="15.75" hidden="false" customHeight="false" outlineLevel="0" collapsed="false">
      <c r="A5478" s="6" t="n">
        <v>43030.9440509259</v>
      </c>
      <c r="B5478" s="7" t="str">
        <f aca="false">HYPERLINK("https://twitter.com/Riskobe","@Riskobe")</f>
        <v>@Riskobe</v>
      </c>
      <c r="C5478" s="8" t="s">
        <v>12752</v>
      </c>
      <c r="D5478" s="8" t="s">
        <v>12753</v>
      </c>
      <c r="E5478" s="9" t="str">
        <f aca="false">HYPERLINK("https://twitter.com/Riskobe/status/922336644392419329","922336644392419329")</f>
        <v>922336644392419329</v>
      </c>
      <c r="F5478" s="10" t="s">
        <v>55</v>
      </c>
      <c r="G5478" s="10" t="n">
        <v>1964</v>
      </c>
      <c r="H5478" s="10" t="n">
        <v>1901</v>
      </c>
      <c r="I5478" s="10" t="n">
        <v>0</v>
      </c>
      <c r="J5478" s="10" t="n">
        <v>0</v>
      </c>
      <c r="K5478" s="10" t="s">
        <v>20</v>
      </c>
      <c r="L5478" s="11" t="n">
        <v>41541.4949189815</v>
      </c>
      <c r="M5478" s="12" t="s">
        <v>12754</v>
      </c>
      <c r="N5478" s="12" t="s">
        <v>12755</v>
      </c>
      <c r="O5478" s="9" t="str">
        <f aca="false">HYPERLINK("https://pbs.twimg.com/profile_images/882670739555594240/zBUg9yYA_normal.jpg","View")</f>
        <v>View</v>
      </c>
      <c r="P5478" s="10"/>
    </row>
    <row r="5479" customFormat="false" ht="15.75" hidden="false" customHeight="false" outlineLevel="0" collapsed="false">
      <c r="A5479" s="6" t="n">
        <v>43030.9442708333</v>
      </c>
      <c r="B5479" s="7" t="str">
        <f aca="false">HYPERLINK("https://twitter.com/Ashutos35915988","@Ashutos35915988")</f>
        <v>@Ashutos35915988</v>
      </c>
      <c r="C5479" s="8" t="s">
        <v>9147</v>
      </c>
      <c r="D5479" s="8" t="s">
        <v>12662</v>
      </c>
      <c r="E5479" s="9" t="str">
        <f aca="false">HYPERLINK("https://twitter.com/Ashutos35915988/status/922336722792386561","922336722792386561")</f>
        <v>922336722792386561</v>
      </c>
      <c r="F5479" s="10" t="s">
        <v>25</v>
      </c>
      <c r="G5479" s="10" t="n">
        <v>305</v>
      </c>
      <c r="H5479" s="10" t="n">
        <v>385</v>
      </c>
      <c r="I5479" s="10" t="n">
        <v>8</v>
      </c>
      <c r="J5479" s="10" t="n">
        <v>0</v>
      </c>
      <c r="K5479" s="10" t="s">
        <v>20</v>
      </c>
      <c r="L5479" s="11" t="n">
        <v>42349.2173958333</v>
      </c>
      <c r="M5479" s="12" t="s">
        <v>5360</v>
      </c>
      <c r="N5479" s="12"/>
      <c r="O5479" s="9" t="str">
        <f aca="false">HYPERLINK("https://pbs.twimg.com/profile_images/804587830609584128/Lp0hcJ9K_normal.jpg","View")</f>
        <v>View</v>
      </c>
      <c r="P5479" s="10"/>
    </row>
    <row r="5480" customFormat="false" ht="15.75" hidden="false" customHeight="false" outlineLevel="0" collapsed="false">
      <c r="A5480" s="6" t="n">
        <v>43030.9443055556</v>
      </c>
      <c r="B5480" s="7" t="str">
        <f aca="false">HYPERLINK("https://twitter.com/suolangbadeng","@suolangbadeng")</f>
        <v>@suolangbadeng</v>
      </c>
      <c r="C5480" s="8" t="s">
        <v>12756</v>
      </c>
      <c r="D5480" s="8" t="s">
        <v>12493</v>
      </c>
      <c r="E5480" s="9" t="str">
        <f aca="false">HYPERLINK("https://twitter.com/suolangbadeng/status/922336734993616897","922336734993616897")</f>
        <v>922336734993616897</v>
      </c>
      <c r="F5480" s="10" t="s">
        <v>177</v>
      </c>
      <c r="G5480" s="10" t="n">
        <v>220</v>
      </c>
      <c r="H5480" s="10" t="n">
        <v>284</v>
      </c>
      <c r="I5480" s="10" t="n">
        <v>63</v>
      </c>
      <c r="J5480" s="10" t="n">
        <v>0</v>
      </c>
      <c r="K5480" s="10" t="s">
        <v>20</v>
      </c>
      <c r="L5480" s="11" t="n">
        <v>41446.1734606481</v>
      </c>
      <c r="M5480" s="12"/>
      <c r="N5480" s="12" t="s">
        <v>12757</v>
      </c>
      <c r="O5480" s="9" t="str">
        <f aca="false">HYPERLINK("https://pbs.twimg.com/profile_images/477971783690104832/tj-iRmzY_normal.jpeg","View")</f>
        <v>View</v>
      </c>
      <c r="P5480" s="10"/>
    </row>
    <row r="5481" customFormat="false" ht="15.75" hidden="false" customHeight="false" outlineLevel="0" collapsed="false">
      <c r="A5481" s="6" t="n">
        <v>43030.9443171296</v>
      </c>
      <c r="B5481" s="7" t="str">
        <f aca="false">HYPERLINK("https://twitter.com/Corona47Gary","@Corona47Gary")</f>
        <v>@Corona47Gary</v>
      </c>
      <c r="C5481" s="8" t="s">
        <v>12758</v>
      </c>
      <c r="D5481" s="8" t="s">
        <v>12216</v>
      </c>
      <c r="E5481" s="9" t="str">
        <f aca="false">HYPERLINK("https://twitter.com/Corona47Gary/status/922336741159141376","922336741159141376")</f>
        <v>922336741159141376</v>
      </c>
      <c r="F5481" s="10" t="s">
        <v>51</v>
      </c>
      <c r="G5481" s="10" t="n">
        <v>508</v>
      </c>
      <c r="H5481" s="10" t="n">
        <v>680</v>
      </c>
      <c r="I5481" s="10" t="n">
        <v>16</v>
      </c>
      <c r="J5481" s="10" t="n">
        <v>0</v>
      </c>
      <c r="K5481" s="10" t="s">
        <v>20</v>
      </c>
      <c r="L5481" s="11" t="n">
        <v>41068.8817824074</v>
      </c>
      <c r="M5481" s="12"/>
      <c r="N5481" s="12"/>
      <c r="O5481" s="9" t="str">
        <f aca="false">HYPERLINK("https://pbs.twimg.com/profile_images/583411394285932544/bWONRB2D_normal.jpg","View")</f>
        <v>View</v>
      </c>
      <c r="P5481" s="10"/>
    </row>
    <row r="5482" customFormat="false" ht="15.75" hidden="false" customHeight="false" outlineLevel="0" collapsed="false">
      <c r="A5482" s="6" t="n">
        <v>43030.9445138889</v>
      </c>
      <c r="B5482" s="7" t="str">
        <f aca="false">HYPERLINK("https://twitter.com/nytimes","@nytimes")</f>
        <v>@nytimes</v>
      </c>
      <c r="C5482" s="8" t="s">
        <v>695</v>
      </c>
      <c r="D5482" s="8" t="s">
        <v>12759</v>
      </c>
      <c r="E5482" s="9" t="str">
        <f aca="false">HYPERLINK("https://twitter.com/nytimes/status/922336812584128512","922336812584128512")</f>
        <v>922336812584128512</v>
      </c>
      <c r="F5482" s="10" t="s">
        <v>268</v>
      </c>
      <c r="G5482" s="10" t="n">
        <v>39933702</v>
      </c>
      <c r="H5482" s="10" t="n">
        <v>884</v>
      </c>
      <c r="I5482" s="10" t="n">
        <v>170</v>
      </c>
      <c r="J5482" s="10" t="n">
        <v>227</v>
      </c>
      <c r="K5482" s="10" t="s">
        <v>20</v>
      </c>
      <c r="L5482" s="11" t="n">
        <v>39143.5289583333</v>
      </c>
      <c r="M5482" s="12" t="s">
        <v>697</v>
      </c>
      <c r="N5482" s="12" t="s">
        <v>698</v>
      </c>
      <c r="O5482" s="9" t="str">
        <f aca="false">HYPERLINK("https://pbs.twimg.com/profile_images/905479981459013637/a6BbKh4k_normal.jpg","View")</f>
        <v>View</v>
      </c>
      <c r="P5482" s="10"/>
    </row>
    <row r="5483" customFormat="false" ht="15.75" hidden="false" customHeight="false" outlineLevel="0" collapsed="false">
      <c r="A5483" s="6" t="n">
        <v>43030.9447106482</v>
      </c>
      <c r="B5483" s="7" t="str">
        <f aca="false">HYPERLINK("https://twitter.com/kickdown2010","@kickdown2010")</f>
        <v>@kickdown2010</v>
      </c>
      <c r="C5483" s="8" t="s">
        <v>12760</v>
      </c>
      <c r="D5483" s="8" t="s">
        <v>12761</v>
      </c>
      <c r="E5483" s="9" t="str">
        <f aca="false">HYPERLINK("https://twitter.com/kickdown2010/status/922336880590512128","922336880590512128")</f>
        <v>922336880590512128</v>
      </c>
      <c r="F5483" s="10" t="s">
        <v>55</v>
      </c>
      <c r="G5483" s="10" t="n">
        <v>1123</v>
      </c>
      <c r="H5483" s="10" t="n">
        <v>828</v>
      </c>
      <c r="I5483" s="10" t="n">
        <v>0</v>
      </c>
      <c r="J5483" s="10" t="n">
        <v>0</v>
      </c>
      <c r="K5483" s="10" t="s">
        <v>20</v>
      </c>
      <c r="L5483" s="11" t="n">
        <v>40249.5366203704</v>
      </c>
      <c r="M5483" s="12" t="s">
        <v>9351</v>
      </c>
      <c r="N5483" s="12" t="s">
        <v>12762</v>
      </c>
      <c r="O5483" s="9" t="str">
        <f aca="false">HYPERLINK("https://pbs.twimg.com/profile_images/681335720687104000/IRtfg1i-_normal.jpg","View")</f>
        <v>View</v>
      </c>
      <c r="P5483" s="10"/>
    </row>
    <row r="5484" customFormat="false" ht="15.75" hidden="false" customHeight="false" outlineLevel="0" collapsed="false">
      <c r="A5484" s="6" t="n">
        <v>43030.9447916667</v>
      </c>
      <c r="B5484" s="7" t="str">
        <f aca="false">HYPERLINK("https://twitter.com/VIJAYraghavSING","@VIJAYraghavSING")</f>
        <v>@VIJAYraghavSING</v>
      </c>
      <c r="C5484" s="8" t="s">
        <v>12763</v>
      </c>
      <c r="D5484" s="8" t="s">
        <v>12764</v>
      </c>
      <c r="E5484" s="9" t="str">
        <f aca="false">HYPERLINK("https://twitter.com/VIJAYraghavSING/status/922336909371719680","922336909371719680")</f>
        <v>922336909371719680</v>
      </c>
      <c r="F5484" s="10" t="s">
        <v>25</v>
      </c>
      <c r="G5484" s="10" t="n">
        <v>279</v>
      </c>
      <c r="H5484" s="10" t="n">
        <v>305</v>
      </c>
      <c r="I5484" s="10" t="n">
        <v>170</v>
      </c>
      <c r="J5484" s="10" t="n">
        <v>0</v>
      </c>
      <c r="K5484" s="10" t="s">
        <v>20</v>
      </c>
      <c r="L5484" s="11" t="n">
        <v>40551.1875694444</v>
      </c>
      <c r="M5484" s="12"/>
      <c r="N5484" s="12"/>
      <c r="O5484" s="9" t="str">
        <f aca="false">HYPERLINK("https://pbs.twimg.com/profile_images/1210043003/VIJAY_normal.jpg","View")</f>
        <v>View</v>
      </c>
      <c r="P5484" s="10"/>
    </row>
    <row r="5485" customFormat="false" ht="15.75" hidden="false" customHeight="false" outlineLevel="0" collapsed="false">
      <c r="A5485" s="6" t="n">
        <v>43030.9448263889</v>
      </c>
      <c r="B5485" s="7" t="str">
        <f aca="false">HYPERLINK("https://twitter.com/Sandra_Sully","@Sandra_Sully")</f>
        <v>@Sandra_Sully</v>
      </c>
      <c r="C5485" s="8" t="s">
        <v>12765</v>
      </c>
      <c r="D5485" s="8" t="s">
        <v>12766</v>
      </c>
      <c r="E5485" s="9" t="str">
        <f aca="false">HYPERLINK("https://twitter.com/Sandra_Sully/status/922336923087077376","922336923087077376")</f>
        <v>922336923087077376</v>
      </c>
      <c r="F5485" s="10" t="s">
        <v>51</v>
      </c>
      <c r="G5485" s="10" t="n">
        <v>127815</v>
      </c>
      <c r="H5485" s="10" t="n">
        <v>6913</v>
      </c>
      <c r="I5485" s="10" t="n">
        <v>0</v>
      </c>
      <c r="J5485" s="10" t="n">
        <v>1</v>
      </c>
      <c r="K5485" s="10" t="s">
        <v>20</v>
      </c>
      <c r="L5485" s="11" t="n">
        <v>40309.9474305556</v>
      </c>
      <c r="M5485" s="12" t="s">
        <v>1199</v>
      </c>
      <c r="N5485" s="12" t="s">
        <v>12767</v>
      </c>
      <c r="O5485" s="9" t="str">
        <f aca="false">HYPERLINK("https://pbs.twimg.com/profile_images/729806082583896064/9UdkGx4O_normal.jpg","View")</f>
        <v>View</v>
      </c>
      <c r="P5485" s="10"/>
    </row>
    <row r="5486" customFormat="false" ht="15.75" hidden="false" customHeight="false" outlineLevel="0" collapsed="false">
      <c r="A5486" s="6" t="n">
        <v>43030.944837963</v>
      </c>
      <c r="B5486" s="7" t="str">
        <f aca="false">HYPERLINK("https://twitter.com/neia_the_libra","@neia_the_libra")</f>
        <v>@neia_the_libra</v>
      </c>
      <c r="C5486" s="8" t="s">
        <v>12768</v>
      </c>
      <c r="D5486" s="8" t="s">
        <v>12764</v>
      </c>
      <c r="E5486" s="9" t="str">
        <f aca="false">HYPERLINK("https://twitter.com/neia_the_libra/status/922336929370296320","922336929370296320")</f>
        <v>922336929370296320</v>
      </c>
      <c r="F5486" s="10" t="s">
        <v>51</v>
      </c>
      <c r="G5486" s="10" t="n">
        <v>726</v>
      </c>
      <c r="H5486" s="10" t="n">
        <v>309</v>
      </c>
      <c r="I5486" s="10" t="n">
        <v>170</v>
      </c>
      <c r="J5486" s="10" t="n">
        <v>0</v>
      </c>
      <c r="K5486" s="10" t="s">
        <v>20</v>
      </c>
      <c r="L5486" s="11" t="n">
        <v>39994.3682407407</v>
      </c>
      <c r="M5486" s="12" t="s">
        <v>12769</v>
      </c>
      <c r="N5486" s="12" t="s">
        <v>12770</v>
      </c>
      <c r="O5486" s="9" t="str">
        <f aca="false">HYPERLINK("https://pbs.twimg.com/profile_images/923713637122011136/4aBxIPiR_normal.jpg","View")</f>
        <v>View</v>
      </c>
      <c r="P5486" s="10"/>
    </row>
    <row r="5487" customFormat="false" ht="15.75" hidden="false" customHeight="false" outlineLevel="0" collapsed="false">
      <c r="A5487" s="6" t="n">
        <v>43030.9448958333</v>
      </c>
      <c r="B5487" s="7" t="str">
        <f aca="false">HYPERLINK("https://twitter.com/jsvirdi_1954","@jsvirdi_1954")</f>
        <v>@jsvirdi_1954</v>
      </c>
      <c r="C5487" s="8" t="s">
        <v>5099</v>
      </c>
      <c r="D5487" s="8" t="s">
        <v>8538</v>
      </c>
      <c r="E5487" s="9" t="str">
        <f aca="false">HYPERLINK("https://twitter.com/jsvirdi_1954/status/922336950345924608","922336950345924608")</f>
        <v>922336950345924608</v>
      </c>
      <c r="F5487" s="10" t="s">
        <v>51</v>
      </c>
      <c r="G5487" s="10" t="n">
        <v>113</v>
      </c>
      <c r="H5487" s="10" t="n">
        <v>287</v>
      </c>
      <c r="I5487" s="10" t="n">
        <v>1015</v>
      </c>
      <c r="J5487" s="10" t="n">
        <v>0</v>
      </c>
      <c r="K5487" s="10" t="s">
        <v>20</v>
      </c>
      <c r="L5487" s="11" t="n">
        <v>41578.0411689815</v>
      </c>
      <c r="M5487" s="12" t="s">
        <v>72</v>
      </c>
      <c r="N5487" s="12" t="s">
        <v>12771</v>
      </c>
      <c r="O5487" s="9" t="str">
        <f aca="false">HYPERLINK("https://pbs.twimg.com/profile_images/766251406512812032/8CeGMI-8_normal.jpg","View")</f>
        <v>View</v>
      </c>
      <c r="P5487" s="10"/>
    </row>
    <row r="5488" customFormat="false" ht="15.75" hidden="false" customHeight="false" outlineLevel="0" collapsed="false">
      <c r="A5488" s="6" t="n">
        <v>43030.9449421296</v>
      </c>
      <c r="B5488" s="7" t="str">
        <f aca="false">HYPERLINK("https://twitter.com/SonuYad45951143","@SonuYad45951143")</f>
        <v>@SonuYad45951143</v>
      </c>
      <c r="C5488" s="8" t="s">
        <v>12772</v>
      </c>
      <c r="D5488" s="8" t="s">
        <v>12398</v>
      </c>
      <c r="E5488" s="9" t="str">
        <f aca="false">HYPERLINK("https://twitter.com/SonuYad45951143/status/922336965437083648","922336965437083648")</f>
        <v>922336965437083648</v>
      </c>
      <c r="F5488" s="10" t="s">
        <v>25</v>
      </c>
      <c r="G5488" s="10" t="n">
        <v>76</v>
      </c>
      <c r="H5488" s="10" t="n">
        <v>108</v>
      </c>
      <c r="I5488" s="10" t="n">
        <v>25</v>
      </c>
      <c r="J5488" s="10" t="n">
        <v>0</v>
      </c>
      <c r="K5488" s="10" t="s">
        <v>20</v>
      </c>
      <c r="L5488" s="11" t="n">
        <v>43009.1444097222</v>
      </c>
      <c r="M5488" s="12" t="s">
        <v>12773</v>
      </c>
      <c r="N5488" s="12" t="s">
        <v>12774</v>
      </c>
      <c r="O5488" s="9" t="str">
        <f aca="false">HYPERLINK("https://pbs.twimg.com/profile_images/921731003529412614/K-oeYV55_normal.jpg","View")</f>
        <v>View</v>
      </c>
      <c r="P5488" s="10"/>
    </row>
    <row r="5489" customFormat="false" ht="15.75" hidden="false" customHeight="false" outlineLevel="0" collapsed="false">
      <c r="A5489" s="6" t="n">
        <v>43030.9449652778</v>
      </c>
      <c r="B5489" s="7" t="str">
        <f aca="false">HYPERLINK("https://twitter.com/okbc99","@okbc99")</f>
        <v>@okbc99</v>
      </c>
      <c r="C5489" s="8" t="s">
        <v>708</v>
      </c>
      <c r="D5489" s="8" t="s">
        <v>12764</v>
      </c>
      <c r="E5489" s="9" t="str">
        <f aca="false">HYPERLINK("https://twitter.com/okbc99/status/922336975813623808","922336975813623808")</f>
        <v>922336975813623808</v>
      </c>
      <c r="F5489" s="10" t="s">
        <v>39</v>
      </c>
      <c r="G5489" s="10" t="n">
        <v>936</v>
      </c>
      <c r="H5489" s="10" t="n">
        <v>512</v>
      </c>
      <c r="I5489" s="10" t="n">
        <v>170</v>
      </c>
      <c r="J5489" s="10" t="n">
        <v>0</v>
      </c>
      <c r="K5489" s="10" t="s">
        <v>20</v>
      </c>
      <c r="L5489" s="11" t="n">
        <v>40087.3157060185</v>
      </c>
      <c r="M5489" s="13" t="s">
        <v>709</v>
      </c>
      <c r="N5489" s="13" t="s">
        <v>710</v>
      </c>
      <c r="O5489" s="9" t="str">
        <f aca="false">HYPERLINK("https://pbs.twimg.com/profile_images/481960353664737280/6hiT3vPp_normal.jpeg","View")</f>
        <v>View</v>
      </c>
      <c r="P5489" s="10"/>
    </row>
    <row r="5490" customFormat="false" ht="15.75" hidden="false" customHeight="false" outlineLevel="0" collapsed="false">
      <c r="A5490" s="6" t="n">
        <v>43030.9449884259</v>
      </c>
      <c r="B5490" s="7" t="str">
        <f aca="false">HYPERLINK("https://twitter.com/Hamdhy_Affandi","@Hamdhy_Affandi")</f>
        <v>@Hamdhy_Affandi</v>
      </c>
      <c r="C5490" s="8" t="s">
        <v>12775</v>
      </c>
      <c r="D5490" s="8" t="s">
        <v>7754</v>
      </c>
      <c r="E5490" s="9" t="str">
        <f aca="false">HYPERLINK("https://twitter.com/Hamdhy_Affandi/status/922336984592347136","922336984592347136")</f>
        <v>922336984592347136</v>
      </c>
      <c r="F5490" s="10" t="s">
        <v>25</v>
      </c>
      <c r="G5490" s="10" t="n">
        <v>252</v>
      </c>
      <c r="H5490" s="10" t="n">
        <v>481</v>
      </c>
      <c r="I5490" s="10" t="n">
        <v>20</v>
      </c>
      <c r="J5490" s="10" t="n">
        <v>0</v>
      </c>
      <c r="K5490" s="10" t="s">
        <v>20</v>
      </c>
      <c r="L5490" s="11" t="n">
        <v>40630.8199074074</v>
      </c>
      <c r="M5490" s="12"/>
      <c r="N5490" s="12" t="s">
        <v>12776</v>
      </c>
      <c r="O5490" s="9" t="str">
        <f aca="false">HYPERLINK("https://pbs.twimg.com/profile_images/911260801293459456/iftTbwNC_normal.jpg","View")</f>
        <v>View</v>
      </c>
      <c r="P5490" s="10"/>
    </row>
    <row r="5491" customFormat="false" ht="15.75" hidden="false" customHeight="false" outlineLevel="0" collapsed="false">
      <c r="A5491" s="6" t="n">
        <v>43030.9450231481</v>
      </c>
      <c r="B5491" s="7" t="str">
        <f aca="false">HYPERLINK("https://twitter.com/aashokiyer","@aashokiyer")</f>
        <v>@aashokiyer</v>
      </c>
      <c r="C5491" s="8" t="s">
        <v>10338</v>
      </c>
      <c r="D5491" s="8" t="s">
        <v>8538</v>
      </c>
      <c r="E5491" s="9" t="str">
        <f aca="false">HYPERLINK("https://twitter.com/aashokiyer/status/922336996911079424","922336996911079424")</f>
        <v>922336996911079424</v>
      </c>
      <c r="F5491" s="10" t="s">
        <v>25</v>
      </c>
      <c r="G5491" s="10" t="n">
        <v>44</v>
      </c>
      <c r="H5491" s="10" t="n">
        <v>182</v>
      </c>
      <c r="I5491" s="10" t="n">
        <v>1015</v>
      </c>
      <c r="J5491" s="10" t="n">
        <v>0</v>
      </c>
      <c r="K5491" s="10" t="s">
        <v>20</v>
      </c>
      <c r="L5491" s="11" t="n">
        <v>41497.3853935185</v>
      </c>
      <c r="M5491" s="12"/>
      <c r="N5491" s="12" t="s">
        <v>12777</v>
      </c>
      <c r="O5491" s="9" t="str">
        <f aca="false">HYPERLINK("https://abs.twimg.com/sticky/default_profile_images/default_profile_normal.png","View")</f>
        <v>View</v>
      </c>
      <c r="P5491" s="10"/>
    </row>
    <row r="5492" customFormat="false" ht="15.75" hidden="false" customHeight="false" outlineLevel="0" collapsed="false">
      <c r="A5492" s="6" t="n">
        <v>43030.945162037</v>
      </c>
      <c r="B5492" s="7" t="str">
        <f aca="false">HYPERLINK("https://twitter.com/xxhal7xx","@xxhal7xx")</f>
        <v>@xxhal7xx</v>
      </c>
      <c r="C5492" s="14" t="s">
        <v>12778</v>
      </c>
      <c r="D5492" s="8" t="s">
        <v>12493</v>
      </c>
      <c r="E5492" s="9" t="str">
        <f aca="false">HYPERLINK("https://twitter.com/xxhal7xx/status/922337045166489600","922337045166489600")</f>
        <v>922337045166489600</v>
      </c>
      <c r="F5492" s="10" t="s">
        <v>25</v>
      </c>
      <c r="G5492" s="10" t="n">
        <v>133</v>
      </c>
      <c r="H5492" s="10" t="n">
        <v>191</v>
      </c>
      <c r="I5492" s="10" t="n">
        <v>63</v>
      </c>
      <c r="J5492" s="10" t="n">
        <v>0</v>
      </c>
      <c r="K5492" s="10" t="s">
        <v>20</v>
      </c>
      <c r="L5492" s="11" t="n">
        <v>41448.2031018519</v>
      </c>
      <c r="M5492" s="12"/>
      <c r="N5492" s="12" t="s">
        <v>12779</v>
      </c>
      <c r="O5492" s="9" t="str">
        <f aca="false">HYPERLINK("https://pbs.twimg.com/profile_images/754933682247389184/2M_CPmOO_normal.jpg","View")</f>
        <v>View</v>
      </c>
      <c r="P5492" s="10"/>
    </row>
    <row r="5493" customFormat="false" ht="15.75" hidden="false" customHeight="false" outlineLevel="0" collapsed="false">
      <c r="A5493" s="6" t="n">
        <v>43030.9451736111</v>
      </c>
      <c r="B5493" s="7" t="str">
        <f aca="false">HYPERLINK("https://twitter.com/deduped_nytimes","@deduped_nytimes")</f>
        <v>@deduped_nytimes</v>
      </c>
      <c r="C5493" s="8" t="s">
        <v>711</v>
      </c>
      <c r="D5493" s="8" t="s">
        <v>12764</v>
      </c>
      <c r="E5493" s="9" t="str">
        <f aca="false">HYPERLINK("https://twitter.com/deduped_nytimes/status/922337049163710464","922337049163710464")</f>
        <v>922337049163710464</v>
      </c>
      <c r="F5493" s="10" t="s">
        <v>711</v>
      </c>
      <c r="G5493" s="10" t="n">
        <v>367</v>
      </c>
      <c r="H5493" s="10" t="n">
        <v>2</v>
      </c>
      <c r="I5493" s="10" t="n">
        <v>170</v>
      </c>
      <c r="J5493" s="10" t="n">
        <v>0</v>
      </c>
      <c r="K5493" s="10" t="s">
        <v>20</v>
      </c>
      <c r="L5493" s="11" t="n">
        <v>42219.335474537</v>
      </c>
      <c r="M5493" s="12"/>
      <c r="N5493" s="12"/>
      <c r="O5493" s="9" t="str">
        <f aca="false">HYPERLINK("https://abs.twimg.com/sticky/default_profile_images/default_profile_normal.png","View")</f>
        <v>View</v>
      </c>
      <c r="P5493" s="10"/>
    </row>
    <row r="5494" customFormat="false" ht="15.75" hidden="false" customHeight="false" outlineLevel="0" collapsed="false">
      <c r="A5494" s="6" t="n">
        <v>43030.9452430556</v>
      </c>
      <c r="B5494" s="7" t="str">
        <f aca="false">HYPERLINK("https://twitter.com/hap_santos","@hap_santos")</f>
        <v>@hap_santos</v>
      </c>
      <c r="C5494" s="8" t="s">
        <v>765</v>
      </c>
      <c r="D5494" s="8" t="s">
        <v>12780</v>
      </c>
      <c r="E5494" s="9" t="str">
        <f aca="false">HYPERLINK("https://twitter.com/hap_santos/status/922337075382444032","922337075382444032")</f>
        <v>922337075382444032</v>
      </c>
      <c r="F5494" s="10" t="s">
        <v>60</v>
      </c>
      <c r="G5494" s="10" t="n">
        <v>41</v>
      </c>
      <c r="H5494" s="10" t="n">
        <v>22</v>
      </c>
      <c r="I5494" s="10" t="n">
        <v>0</v>
      </c>
      <c r="J5494" s="10" t="n">
        <v>0</v>
      </c>
      <c r="K5494" s="10" t="s">
        <v>20</v>
      </c>
      <c r="L5494" s="11" t="n">
        <v>40300.4350231482</v>
      </c>
      <c r="M5494" s="12" t="s">
        <v>767</v>
      </c>
      <c r="N5494" s="12"/>
      <c r="O5494" s="9" t="str">
        <f aca="false">HYPERLINK("https://pbs.twimg.com/profile_images/867658947/DSC04779_normal.JPG","View")</f>
        <v>View</v>
      </c>
      <c r="P5494" s="10"/>
    </row>
    <row r="5495" customFormat="false" ht="15.75" hidden="false" customHeight="false" outlineLevel="0" collapsed="false">
      <c r="A5495" s="6" t="n">
        <v>43030.9452893518</v>
      </c>
      <c r="B5495" s="7" t="str">
        <f aca="false">HYPERLINK("https://twitter.com/sarathykousik","@sarathykousik")</f>
        <v>@sarathykousik</v>
      </c>
      <c r="C5495" s="8" t="s">
        <v>12781</v>
      </c>
      <c r="D5495" s="8" t="s">
        <v>8538</v>
      </c>
      <c r="E5495" s="9" t="str">
        <f aca="false">HYPERLINK("https://twitter.com/sarathykousik/status/922337090330697728","922337090330697728")</f>
        <v>922337090330697728</v>
      </c>
      <c r="F5495" s="10" t="s">
        <v>25</v>
      </c>
      <c r="G5495" s="10" t="n">
        <v>208</v>
      </c>
      <c r="H5495" s="10" t="n">
        <v>231</v>
      </c>
      <c r="I5495" s="10" t="n">
        <v>1015</v>
      </c>
      <c r="J5495" s="10" t="n">
        <v>0</v>
      </c>
      <c r="K5495" s="10" t="s">
        <v>20</v>
      </c>
      <c r="L5495" s="11" t="n">
        <v>39989.427025463</v>
      </c>
      <c r="M5495" s="12" t="s">
        <v>843</v>
      </c>
      <c r="N5495" s="12" t="s">
        <v>12782</v>
      </c>
      <c r="O5495" s="9" t="str">
        <f aca="false">HYPERLINK("https://pbs.twimg.com/profile_images/569481365066756096/4K_rHSuU_normal.jpeg","View")</f>
        <v>View</v>
      </c>
      <c r="P5495" s="10"/>
    </row>
    <row r="5496" customFormat="false" ht="15.75" hidden="false" customHeight="false" outlineLevel="0" collapsed="false">
      <c r="A5496" s="6" t="n">
        <v>43030.9453703704</v>
      </c>
      <c r="B5496" s="7" t="str">
        <f aca="false">HYPERLINK("https://twitter.com/destiny4396","@destiny4396")</f>
        <v>@destiny4396</v>
      </c>
      <c r="C5496" s="8" t="s">
        <v>12783</v>
      </c>
      <c r="D5496" s="8" t="s">
        <v>12764</v>
      </c>
      <c r="E5496" s="9" t="str">
        <f aca="false">HYPERLINK("https://twitter.com/destiny4396/status/922337119066054657","922337119066054657")</f>
        <v>922337119066054657</v>
      </c>
      <c r="F5496" s="10" t="s">
        <v>25</v>
      </c>
      <c r="G5496" s="10" t="n">
        <v>65</v>
      </c>
      <c r="H5496" s="10" t="n">
        <v>373</v>
      </c>
      <c r="I5496" s="10" t="n">
        <v>170</v>
      </c>
      <c r="J5496" s="10" t="n">
        <v>0</v>
      </c>
      <c r="K5496" s="10" t="s">
        <v>20</v>
      </c>
      <c r="L5496" s="11" t="n">
        <v>40530.2527199074</v>
      </c>
      <c r="M5496" s="12" t="s">
        <v>7908</v>
      </c>
      <c r="N5496" s="12" t="s">
        <v>12784</v>
      </c>
      <c r="O5496" s="9" t="str">
        <f aca="false">HYPERLINK("https://pbs.twimg.com/profile_images/806050181674369024/p1aSVa95_normal.jpg","View")</f>
        <v>View</v>
      </c>
      <c r="P5496" s="10"/>
    </row>
    <row r="5497" customFormat="false" ht="15.75" hidden="false" customHeight="false" outlineLevel="0" collapsed="false">
      <c r="A5497" s="6" t="n">
        <v>43030.9454976852</v>
      </c>
      <c r="B5497" s="7" t="str">
        <f aca="false">HYPERLINK("https://twitter.com/alltid_leende","@alltid_leende")</f>
        <v>@alltid_leende</v>
      </c>
      <c r="C5497" s="8" t="s">
        <v>12785</v>
      </c>
      <c r="D5497" s="8" t="s">
        <v>12764</v>
      </c>
      <c r="E5497" s="9" t="str">
        <f aca="false">HYPERLINK("https://twitter.com/alltid_leende/status/922337166012772353","922337166012772353")</f>
        <v>922337166012772353</v>
      </c>
      <c r="F5497" s="10" t="s">
        <v>25</v>
      </c>
      <c r="G5497" s="10" t="n">
        <v>47</v>
      </c>
      <c r="H5497" s="10" t="n">
        <v>119</v>
      </c>
      <c r="I5497" s="10" t="n">
        <v>170</v>
      </c>
      <c r="J5497" s="10" t="n">
        <v>0</v>
      </c>
      <c r="K5497" s="10" t="s">
        <v>20</v>
      </c>
      <c r="L5497" s="11" t="n">
        <v>40098.7213194445</v>
      </c>
      <c r="M5497" s="12"/>
      <c r="N5497" s="12"/>
      <c r="O5497" s="9" t="str">
        <f aca="false">HYPERLINK("https://pbs.twimg.com/profile_images/693818690249199616/lq9gRT2Z_normal.jpg","View")</f>
        <v>View</v>
      </c>
      <c r="P5497" s="10"/>
    </row>
    <row r="5498" customFormat="false" ht="15.75" hidden="false" customHeight="false" outlineLevel="0" collapsed="false">
      <c r="A5498" s="6" t="n">
        <v>43030.9455208333</v>
      </c>
      <c r="B5498" s="7" t="str">
        <f aca="false">HYPERLINK("https://twitter.com/electro_edward","@electro_edward")</f>
        <v>@electro_edward</v>
      </c>
      <c r="C5498" s="8" t="s">
        <v>447</v>
      </c>
      <c r="D5498" s="8" t="s">
        <v>12786</v>
      </c>
      <c r="E5498" s="9" t="str">
        <f aca="false">HYPERLINK("https://twitter.com/electro_edward/status/922337173482999808","922337173482999808")</f>
        <v>922337173482999808</v>
      </c>
      <c r="F5498" s="10" t="s">
        <v>60</v>
      </c>
      <c r="G5498" s="10" t="n">
        <v>73</v>
      </c>
      <c r="H5498" s="10" t="n">
        <v>205</v>
      </c>
      <c r="I5498" s="10" t="n">
        <v>0</v>
      </c>
      <c r="J5498" s="10" t="n">
        <v>0</v>
      </c>
      <c r="K5498" s="10" t="s">
        <v>20</v>
      </c>
      <c r="L5498" s="11" t="n">
        <v>42798.5793981482</v>
      </c>
      <c r="M5498" s="12" t="s">
        <v>449</v>
      </c>
      <c r="N5498" s="12" t="s">
        <v>450</v>
      </c>
      <c r="O5498" s="9" t="str">
        <f aca="false">HYPERLINK("https://pbs.twimg.com/profile_images/838145976976228352/5Plqe1bE_normal.jpg","View")</f>
        <v>View</v>
      </c>
      <c r="P5498" s="10"/>
    </row>
    <row r="5499" customFormat="false" ht="15.75" hidden="false" customHeight="false" outlineLevel="0" collapsed="false">
      <c r="A5499" s="6" t="n">
        <v>43030.9455671296</v>
      </c>
      <c r="B5499" s="7" t="str">
        <f aca="false">HYPERLINK("https://twitter.com/DapoSuperS","@DapoSuperS")</f>
        <v>@DapoSuperS</v>
      </c>
      <c r="C5499" s="8" t="s">
        <v>12787</v>
      </c>
      <c r="D5499" s="8" t="s">
        <v>12764</v>
      </c>
      <c r="E5499" s="9" t="str">
        <f aca="false">HYPERLINK("https://twitter.com/DapoSuperS/status/922337192063758336","922337192063758336")</f>
        <v>922337192063758336</v>
      </c>
      <c r="F5499" s="10" t="s">
        <v>51</v>
      </c>
      <c r="G5499" s="10" t="n">
        <v>167</v>
      </c>
      <c r="H5499" s="10" t="n">
        <v>1311</v>
      </c>
      <c r="I5499" s="10" t="n">
        <v>170</v>
      </c>
      <c r="J5499" s="10" t="n">
        <v>0</v>
      </c>
      <c r="K5499" s="10" t="s">
        <v>20</v>
      </c>
      <c r="L5499" s="11" t="n">
        <v>42512.7810648148</v>
      </c>
      <c r="M5499" s="12" t="s">
        <v>230</v>
      </c>
      <c r="N5499" s="12" t="s">
        <v>12788</v>
      </c>
      <c r="O5499" s="9" t="str">
        <f aca="false">HYPERLINK("https://pbs.twimg.com/profile_images/846544130922696705/IuPgncV9_normal.jpg","View")</f>
        <v>View</v>
      </c>
      <c r="P5499" s="10"/>
    </row>
    <row r="5500" customFormat="false" ht="15.75" hidden="false" customHeight="false" outlineLevel="0" collapsed="false">
      <c r="A5500" s="6" t="n">
        <v>43030.945625</v>
      </c>
      <c r="B5500" s="7" t="str">
        <f aca="false">HYPERLINK("https://twitter.com/Craigstern14","@Craigstern14")</f>
        <v>@Craigstern14</v>
      </c>
      <c r="C5500" s="8" t="s">
        <v>12789</v>
      </c>
      <c r="D5500" s="8" t="s">
        <v>12764</v>
      </c>
      <c r="E5500" s="9" t="str">
        <f aca="false">HYPERLINK("https://twitter.com/Craigstern14/status/922337213698002944","922337213698002944")</f>
        <v>922337213698002944</v>
      </c>
      <c r="F5500" s="10" t="s">
        <v>51</v>
      </c>
      <c r="G5500" s="10" t="n">
        <v>41</v>
      </c>
      <c r="H5500" s="10" t="n">
        <v>137</v>
      </c>
      <c r="I5500" s="10" t="n">
        <v>170</v>
      </c>
      <c r="J5500" s="10" t="n">
        <v>0</v>
      </c>
      <c r="K5500" s="10" t="s">
        <v>20</v>
      </c>
      <c r="L5500" s="11" t="n">
        <v>42754.7510185185</v>
      </c>
      <c r="M5500" s="12" t="s">
        <v>230</v>
      </c>
      <c r="N5500" s="12" t="s">
        <v>12790</v>
      </c>
      <c r="O5500" s="9" t="str">
        <f aca="false">HYPERLINK("https://pbs.twimg.com/profile_images/868995395728396290/tPd5mBt7_normal.jpg","View")</f>
        <v>View</v>
      </c>
      <c r="P5500" s="10"/>
    </row>
    <row r="5501" customFormat="false" ht="15.75" hidden="false" customHeight="false" outlineLevel="0" collapsed="false">
      <c r="A5501" s="6" t="n">
        <v>43030.9456365741</v>
      </c>
      <c r="B5501" s="7" t="str">
        <f aca="false">HYPERLINK("https://twitter.com/Elantara","@Elantara")</f>
        <v>@Elantara</v>
      </c>
      <c r="C5501" s="8" t="s">
        <v>12791</v>
      </c>
      <c r="D5501" s="8" t="s">
        <v>12764</v>
      </c>
      <c r="E5501" s="9" t="str">
        <f aca="false">HYPERLINK("https://twitter.com/Elantara/status/922337218760400896","922337218760400896")</f>
        <v>922337218760400896</v>
      </c>
      <c r="F5501" s="10" t="s">
        <v>39</v>
      </c>
      <c r="G5501" s="10" t="n">
        <v>1180</v>
      </c>
      <c r="H5501" s="10" t="n">
        <v>1314</v>
      </c>
      <c r="I5501" s="10" t="n">
        <v>170</v>
      </c>
      <c r="J5501" s="10" t="n">
        <v>0</v>
      </c>
      <c r="K5501" s="10" t="s">
        <v>20</v>
      </c>
      <c r="L5501" s="11" t="n">
        <v>40070.7838657407</v>
      </c>
      <c r="M5501" s="12"/>
      <c r="N5501" s="12" t="s">
        <v>12792</v>
      </c>
      <c r="O5501" s="9" t="str">
        <f aca="false">HYPERLINK("https://pbs.twimg.com/profile_images/695664248362504193/PuVSZcL__normal.jpg","View")</f>
        <v>View</v>
      </c>
      <c r="P5501" s="10"/>
    </row>
    <row r="5502" customFormat="false" ht="15.75" hidden="false" customHeight="false" outlineLevel="0" collapsed="false">
      <c r="A5502" s="6" t="n">
        <v>43030.9457291667</v>
      </c>
      <c r="B5502" s="7" t="str">
        <f aca="false">HYPERLINK("https://twitter.com/MolemanusRex","@MolemanusRex")</f>
        <v>@MolemanusRex</v>
      </c>
      <c r="C5502" s="8" t="s">
        <v>12793</v>
      </c>
      <c r="D5502" s="8" t="s">
        <v>12764</v>
      </c>
      <c r="E5502" s="9" t="str">
        <f aca="false">HYPERLINK("https://twitter.com/MolemanusRex/status/922337253095104512","922337253095104512")</f>
        <v>922337253095104512</v>
      </c>
      <c r="F5502" s="10" t="s">
        <v>51</v>
      </c>
      <c r="G5502" s="10" t="n">
        <v>420</v>
      </c>
      <c r="H5502" s="10" t="n">
        <v>628</v>
      </c>
      <c r="I5502" s="10" t="n">
        <v>170</v>
      </c>
      <c r="J5502" s="10" t="n">
        <v>0</v>
      </c>
      <c r="K5502" s="10" t="s">
        <v>20</v>
      </c>
      <c r="L5502" s="11" t="n">
        <v>41706.8765625</v>
      </c>
      <c r="M5502" s="12" t="s">
        <v>12794</v>
      </c>
      <c r="N5502" s="12" t="s">
        <v>12795</v>
      </c>
      <c r="O5502" s="9" t="str">
        <f aca="false">HYPERLINK("https://pbs.twimg.com/profile_images/877730074916769792/SS1XVr_n_normal.jpg","View")</f>
        <v>View</v>
      </c>
      <c r="P5502" s="10"/>
    </row>
    <row r="5503" customFormat="false" ht="15.75" hidden="false" customHeight="false" outlineLevel="0" collapsed="false">
      <c r="A5503" s="6" t="n">
        <v>43030.9458217593</v>
      </c>
      <c r="B5503" s="7" t="str">
        <f aca="false">HYPERLINK("https://twitter.com/yaneayao","@yaneayao")</f>
        <v>@yaneayao</v>
      </c>
      <c r="C5503" s="8" t="s">
        <v>12796</v>
      </c>
      <c r="D5503" s="8" t="s">
        <v>12764</v>
      </c>
      <c r="E5503" s="9" t="str">
        <f aca="false">HYPERLINK("https://twitter.com/yaneayao/status/922337285105995776","922337285105995776")</f>
        <v>922337285105995776</v>
      </c>
      <c r="F5503" s="10" t="s">
        <v>25</v>
      </c>
      <c r="G5503" s="10" t="n">
        <v>121</v>
      </c>
      <c r="H5503" s="10" t="n">
        <v>677</v>
      </c>
      <c r="I5503" s="10" t="n">
        <v>170</v>
      </c>
      <c r="J5503" s="10" t="n">
        <v>0</v>
      </c>
      <c r="K5503" s="10" t="s">
        <v>20</v>
      </c>
      <c r="L5503" s="11" t="n">
        <v>42098.581400463</v>
      </c>
      <c r="M5503" s="12"/>
      <c r="N5503" s="12" t="s">
        <v>12797</v>
      </c>
      <c r="O5503" s="9" t="str">
        <f aca="false">HYPERLINK("https://pbs.twimg.com/profile_images/921984545578274822/7UlZqPw3_normal.jpg","View")</f>
        <v>View</v>
      </c>
      <c r="P5503" s="10"/>
    </row>
    <row r="5504" customFormat="false" ht="15.75" hidden="false" customHeight="false" outlineLevel="0" collapsed="false">
      <c r="A5504" s="6" t="n">
        <v>43030.9458796296</v>
      </c>
      <c r="B5504" s="7" t="str">
        <f aca="false">HYPERLINK("https://twitter.com/soy_carter","@soy_carter")</f>
        <v>@soy_carter</v>
      </c>
      <c r="C5504" s="8" t="s">
        <v>12798</v>
      </c>
      <c r="D5504" s="8" t="s">
        <v>12764</v>
      </c>
      <c r="E5504" s="9" t="str">
        <f aca="false">HYPERLINK("https://twitter.com/soy_carter/status/922337305293029377","922337305293029377")</f>
        <v>922337305293029377</v>
      </c>
      <c r="F5504" s="10" t="s">
        <v>51</v>
      </c>
      <c r="G5504" s="10" t="n">
        <v>91</v>
      </c>
      <c r="H5504" s="10" t="n">
        <v>290</v>
      </c>
      <c r="I5504" s="10" t="n">
        <v>170</v>
      </c>
      <c r="J5504" s="10" t="n">
        <v>0</v>
      </c>
      <c r="K5504" s="10" t="s">
        <v>20</v>
      </c>
      <c r="L5504" s="11" t="n">
        <v>41680.5259953704</v>
      </c>
      <c r="M5504" s="12" t="s">
        <v>12799</v>
      </c>
      <c r="N5504" s="12" t="s">
        <v>12800</v>
      </c>
      <c r="O5504" s="9" t="str">
        <f aca="false">HYPERLINK("https://pbs.twimg.com/profile_images/917643312563023872/9f4JxzXU_normal.jpg","View")</f>
        <v>View</v>
      </c>
      <c r="P5504" s="10"/>
    </row>
    <row r="5505" customFormat="false" ht="15.75" hidden="false" customHeight="false" outlineLevel="0" collapsed="false">
      <c r="A5505" s="6" t="n">
        <v>43030.9459259259</v>
      </c>
      <c r="B5505" s="7" t="str">
        <f aca="false">HYPERLINK("https://twitter.com/Jackie_Blue_CA","@Jackie_Blue_CA")</f>
        <v>@Jackie_Blue_CA</v>
      </c>
      <c r="C5505" s="8" t="s">
        <v>12801</v>
      </c>
      <c r="D5505" s="8" t="s">
        <v>12764</v>
      </c>
      <c r="E5505" s="9" t="str">
        <f aca="false">HYPERLINK("https://twitter.com/Jackie_Blue_CA/status/922337321541763074","922337321541763074")</f>
        <v>922337321541763074</v>
      </c>
      <c r="F5505" s="10" t="s">
        <v>51</v>
      </c>
      <c r="G5505" s="10" t="n">
        <v>3970</v>
      </c>
      <c r="H5505" s="10" t="n">
        <v>4355</v>
      </c>
      <c r="I5505" s="10" t="n">
        <v>170</v>
      </c>
      <c r="J5505" s="10" t="n">
        <v>0</v>
      </c>
      <c r="K5505" s="10" t="s">
        <v>20</v>
      </c>
      <c r="L5505" s="11" t="n">
        <v>41216.682962963</v>
      </c>
      <c r="M5505" s="12" t="s">
        <v>588</v>
      </c>
      <c r="N5505" s="12" t="s">
        <v>12802</v>
      </c>
      <c r="O5505" s="9" t="str">
        <f aca="false">HYPERLINK("https://pbs.twimg.com/profile_images/898466707525607424/mp-Ul-DM_normal.jpg","View")</f>
        <v>View</v>
      </c>
      <c r="P5505" s="10"/>
    </row>
    <row r="5506" customFormat="false" ht="15.75" hidden="false" customHeight="false" outlineLevel="0" collapsed="false">
      <c r="A5506" s="6" t="n">
        <v>43030.9459490741</v>
      </c>
      <c r="B5506" s="7" t="str">
        <f aca="false">HYPERLINK("https://twitter.com/MidwestMMaven","@MidwestMMaven")</f>
        <v>@MidwestMMaven</v>
      </c>
      <c r="C5506" s="8" t="s">
        <v>12803</v>
      </c>
      <c r="D5506" s="8" t="s">
        <v>12764</v>
      </c>
      <c r="E5506" s="9" t="str">
        <f aca="false">HYPERLINK("https://twitter.com/MidwestMMaven/status/922337328865185792","922337328865185792")</f>
        <v>922337328865185792</v>
      </c>
      <c r="F5506" s="10" t="s">
        <v>25</v>
      </c>
      <c r="G5506" s="10" t="n">
        <v>695</v>
      </c>
      <c r="H5506" s="10" t="n">
        <v>1529</v>
      </c>
      <c r="I5506" s="10" t="n">
        <v>170</v>
      </c>
      <c r="J5506" s="10" t="n">
        <v>0</v>
      </c>
      <c r="K5506" s="10" t="s">
        <v>20</v>
      </c>
      <c r="L5506" s="11" t="n">
        <v>41367.3841319445</v>
      </c>
      <c r="M5506" s="12" t="s">
        <v>12804</v>
      </c>
      <c r="N5506" s="12" t="s">
        <v>12805</v>
      </c>
      <c r="O5506" s="9" t="str">
        <f aca="false">HYPERLINK("https://pbs.twimg.com/profile_images/922132205266198529/D7NCYbTV_normal.jpg","View")</f>
        <v>View</v>
      </c>
      <c r="P5506" s="10"/>
    </row>
    <row r="5507" customFormat="false" ht="15.75" hidden="false" customHeight="false" outlineLevel="0" collapsed="false">
      <c r="A5507" s="6" t="n">
        <v>43030.9460763889</v>
      </c>
      <c r="B5507" s="7" t="str">
        <f aca="false">HYPERLINK("https://twitter.com/garychun","@garychun")</f>
        <v>@garychun</v>
      </c>
      <c r="C5507" s="8" t="s">
        <v>12806</v>
      </c>
      <c r="D5507" s="8" t="s">
        <v>12764</v>
      </c>
      <c r="E5507" s="9" t="str">
        <f aca="false">HYPERLINK("https://twitter.com/garychun/status/922337375375671296","922337375375671296")</f>
        <v>922337375375671296</v>
      </c>
      <c r="F5507" s="10" t="s">
        <v>39</v>
      </c>
      <c r="G5507" s="10" t="n">
        <v>2432</v>
      </c>
      <c r="H5507" s="10" t="n">
        <v>2844</v>
      </c>
      <c r="I5507" s="10" t="n">
        <v>170</v>
      </c>
      <c r="J5507" s="10" t="n">
        <v>0</v>
      </c>
      <c r="K5507" s="10" t="s">
        <v>20</v>
      </c>
      <c r="L5507" s="11" t="n">
        <v>40333.7801273148</v>
      </c>
      <c r="M5507" s="12" t="s">
        <v>12807</v>
      </c>
      <c r="N5507" s="12" t="s">
        <v>12808</v>
      </c>
      <c r="O5507" s="9" t="str">
        <f aca="false">HYPERLINK("https://pbs.twimg.com/profile_images/493987681592811522/73XohDqX_normal.jpeg","View")</f>
        <v>View</v>
      </c>
      <c r="P5507" s="10"/>
    </row>
    <row r="5508" customFormat="false" ht="15.75" hidden="false" customHeight="false" outlineLevel="0" collapsed="false">
      <c r="A5508" s="6" t="n">
        <v>43030.9461226852</v>
      </c>
      <c r="B5508" s="7" t="str">
        <f aca="false">HYPERLINK("https://twitter.com/ichigo_opanchu","@ichigo_opanchu")</f>
        <v>@ichigo_opanchu</v>
      </c>
      <c r="C5508" s="14" t="s">
        <v>12694</v>
      </c>
      <c r="D5508" s="8" t="s">
        <v>12809</v>
      </c>
      <c r="E5508" s="9" t="str">
        <f aca="false">HYPERLINK("https://twitter.com/ichigo_opanchu/status/922337392433889280","922337392433889280")</f>
        <v>922337392433889280</v>
      </c>
      <c r="F5508" s="9" t="s">
        <v>1340</v>
      </c>
      <c r="G5508" s="10" t="n">
        <v>1174</v>
      </c>
      <c r="H5508" s="10" t="n">
        <v>1629</v>
      </c>
      <c r="I5508" s="10" t="n">
        <v>0</v>
      </c>
      <c r="J5508" s="10" t="n">
        <v>0</v>
      </c>
      <c r="K5508" s="10" t="s">
        <v>20</v>
      </c>
      <c r="L5508" s="11" t="n">
        <v>41584.515787037</v>
      </c>
      <c r="M5508" s="12"/>
      <c r="N5508" s="12"/>
      <c r="O5508" s="9" t="str">
        <f aca="false">HYPERLINK("https://pbs.twimg.com/profile_images/378800000706122038/8717500dd70ef1765108669059e3f9b0_normal.jpeg","View")</f>
        <v>View</v>
      </c>
      <c r="P5508" s="10"/>
    </row>
    <row r="5509" customFormat="false" ht="15.75" hidden="false" customHeight="false" outlineLevel="0" collapsed="false">
      <c r="A5509" s="6" t="n">
        <v>43030.9461805556</v>
      </c>
      <c r="B5509" s="7" t="str">
        <f aca="false">HYPERLINK("https://twitter.com/rleuty","@rleuty")</f>
        <v>@rleuty</v>
      </c>
      <c r="C5509" s="8" t="s">
        <v>12810</v>
      </c>
      <c r="D5509" s="8" t="s">
        <v>12764</v>
      </c>
      <c r="E5509" s="9" t="str">
        <f aca="false">HYPERLINK("https://twitter.com/rleuty/status/922337415246708736","922337415246708736")</f>
        <v>922337415246708736</v>
      </c>
      <c r="F5509" s="10" t="s">
        <v>25</v>
      </c>
      <c r="G5509" s="10" t="n">
        <v>215</v>
      </c>
      <c r="H5509" s="10" t="n">
        <v>625</v>
      </c>
      <c r="I5509" s="10" t="n">
        <v>170</v>
      </c>
      <c r="J5509" s="10" t="n">
        <v>0</v>
      </c>
      <c r="K5509" s="10" t="s">
        <v>20</v>
      </c>
      <c r="L5509" s="11" t="n">
        <v>39709.5341087963</v>
      </c>
      <c r="M5509" s="12" t="s">
        <v>10007</v>
      </c>
      <c r="N5509" s="12" t="s">
        <v>12811</v>
      </c>
      <c r="O5509" s="9" t="str">
        <f aca="false">HYPERLINK("https://pbs.twimg.com/profile_images/830977338242265088/XoG0D717_normal.jpg","View")</f>
        <v>View</v>
      </c>
      <c r="P5509" s="10"/>
    </row>
    <row r="5510" customFormat="false" ht="15.75" hidden="false" customHeight="false" outlineLevel="0" collapsed="false">
      <c r="A5510" s="6" t="n">
        <v>43030.9461921296</v>
      </c>
      <c r="B5510" s="7" t="str">
        <f aca="false">HYPERLINK("https://twitter.com/GrasslandDesign","@GrasslandDesign")</f>
        <v>@GrasslandDesign</v>
      </c>
      <c r="C5510" s="8" t="s">
        <v>5238</v>
      </c>
      <c r="D5510" s="8" t="s">
        <v>12812</v>
      </c>
      <c r="E5510" s="9" t="str">
        <f aca="false">HYPERLINK("https://twitter.com/GrasslandDesign/status/922337420523327488","922337420523327488")</f>
        <v>922337420523327488</v>
      </c>
      <c r="F5510" s="10" t="s">
        <v>60</v>
      </c>
      <c r="G5510" s="10" t="n">
        <v>2075</v>
      </c>
      <c r="H5510" s="10" t="n">
        <v>3399</v>
      </c>
      <c r="I5510" s="10" t="n">
        <v>0</v>
      </c>
      <c r="J5510" s="10" t="n">
        <v>0</v>
      </c>
      <c r="K5510" s="10" t="s">
        <v>20</v>
      </c>
      <c r="L5510" s="11" t="n">
        <v>42094.7069675926</v>
      </c>
      <c r="M5510" s="12" t="s">
        <v>798</v>
      </c>
      <c r="N5510" s="12" t="s">
        <v>5240</v>
      </c>
      <c r="O5510" s="9" t="str">
        <f aca="false">HYPERLINK("https://pbs.twimg.com/profile_images/604730705390784512/m_VCeaoP_normal.png","View")</f>
        <v>View</v>
      </c>
      <c r="P5510" s="10"/>
    </row>
    <row r="5511" customFormat="false" ht="15.75" hidden="false" customHeight="false" outlineLevel="0" collapsed="false">
      <c r="A5511" s="6" t="n">
        <v>43030.9462037037</v>
      </c>
      <c r="B5511" s="7" t="str">
        <f aca="false">HYPERLINK("https://twitter.com/realmaciej","@realmaciej")</f>
        <v>@realmaciej</v>
      </c>
      <c r="C5511" s="8" t="s">
        <v>12813</v>
      </c>
      <c r="D5511" s="8" t="s">
        <v>7669</v>
      </c>
      <c r="E5511" s="9" t="str">
        <f aca="false">HYPERLINK("https://twitter.com/realmaciej/status/922337421806702592","922337421806702592")</f>
        <v>922337421806702592</v>
      </c>
      <c r="F5511" s="10" t="s">
        <v>51</v>
      </c>
      <c r="G5511" s="10" t="n">
        <v>400</v>
      </c>
      <c r="H5511" s="10" t="n">
        <v>1628</v>
      </c>
      <c r="I5511" s="10" t="n">
        <v>5</v>
      </c>
      <c r="J5511" s="10" t="n">
        <v>0</v>
      </c>
      <c r="K5511" s="10" t="s">
        <v>20</v>
      </c>
      <c r="L5511" s="11" t="n">
        <v>42244.6692013889</v>
      </c>
      <c r="M5511" s="12" t="s">
        <v>4425</v>
      </c>
      <c r="N5511" s="12" t="s">
        <v>12814</v>
      </c>
      <c r="O5511" s="9" t="str">
        <f aca="false">HYPERLINK("https://pbs.twimg.com/profile_images/657860020047073280/rsgGDMok_normal.jpg","View")</f>
        <v>View</v>
      </c>
      <c r="P5511" s="10"/>
    </row>
    <row r="5512" customFormat="false" ht="15.75" hidden="false" customHeight="false" outlineLevel="0" collapsed="false">
      <c r="A5512" s="6" t="n">
        <v>43030.9462037037</v>
      </c>
      <c r="B5512" s="7" t="str">
        <f aca="false">HYPERLINK("https://twitter.com/MrChew3131","@MrChew3131")</f>
        <v>@MrChew3131</v>
      </c>
      <c r="C5512" s="8" t="s">
        <v>12815</v>
      </c>
      <c r="D5512" s="8" t="s">
        <v>12764</v>
      </c>
      <c r="E5512" s="9" t="str">
        <f aca="false">HYPERLINK("https://twitter.com/MrChew3131/status/922337423949991937","922337423949991937")</f>
        <v>922337423949991937</v>
      </c>
      <c r="F5512" s="10" t="s">
        <v>51</v>
      </c>
      <c r="G5512" s="10" t="n">
        <v>578</v>
      </c>
      <c r="H5512" s="10" t="n">
        <v>713</v>
      </c>
      <c r="I5512" s="10" t="n">
        <v>170</v>
      </c>
      <c r="J5512" s="10" t="n">
        <v>0</v>
      </c>
      <c r="K5512" s="10" t="s">
        <v>20</v>
      </c>
      <c r="L5512" s="11" t="n">
        <v>41330.5902314815</v>
      </c>
      <c r="M5512" s="12" t="s">
        <v>12816</v>
      </c>
      <c r="N5512" s="12" t="s">
        <v>12817</v>
      </c>
      <c r="O5512" s="9" t="str">
        <f aca="false">HYPERLINK("https://pbs.twimg.com/profile_images/898258691136172032/gKNPfrHT_normal.jpg","View")</f>
        <v>View</v>
      </c>
      <c r="P5512" s="10"/>
    </row>
    <row r="5513" customFormat="false" ht="15.75" hidden="false" customHeight="false" outlineLevel="0" collapsed="false">
      <c r="A5513" s="6" t="n">
        <v>43030.9462615741</v>
      </c>
      <c r="B5513" s="7" t="str">
        <f aca="false">HYPERLINK("https://twitter.com/itabakazuo","@itabakazuo")</f>
        <v>@itabakazuo</v>
      </c>
      <c r="C5513" s="8" t="s">
        <v>12818</v>
      </c>
      <c r="D5513" s="8" t="s">
        <v>12493</v>
      </c>
      <c r="E5513" s="9" t="str">
        <f aca="false">HYPERLINK("https://twitter.com/itabakazuo/status/922337443847684097","922337443847684097")</f>
        <v>922337443847684097</v>
      </c>
      <c r="F5513" s="10" t="s">
        <v>51</v>
      </c>
      <c r="G5513" s="10" t="n">
        <v>196</v>
      </c>
      <c r="H5513" s="10" t="n">
        <v>223</v>
      </c>
      <c r="I5513" s="10" t="n">
        <v>63</v>
      </c>
      <c r="J5513" s="10" t="n">
        <v>0</v>
      </c>
      <c r="K5513" s="10" t="s">
        <v>20</v>
      </c>
      <c r="L5513" s="11" t="n">
        <v>40459.8414467593</v>
      </c>
      <c r="M5513" s="12"/>
      <c r="N5513" s="13" t="s">
        <v>12819</v>
      </c>
      <c r="O5513" s="9" t="str">
        <f aca="false">HYPERLINK("https://pbs.twimg.com/profile_images/707247237156352000/KKjlcgMW_normal.jpg","View")</f>
        <v>View</v>
      </c>
      <c r="P5513" s="10"/>
    </row>
    <row r="5514" customFormat="false" ht="15.75" hidden="false" customHeight="false" outlineLevel="0" collapsed="false">
      <c r="A5514" s="6" t="n">
        <v>43030.9463310185</v>
      </c>
      <c r="B5514" s="7" t="str">
        <f aca="false">HYPERLINK("https://twitter.com/AlbertoAguayo19","@AlbertoAguayo19")</f>
        <v>@AlbertoAguayo19</v>
      </c>
      <c r="C5514" s="8" t="s">
        <v>12820</v>
      </c>
      <c r="D5514" s="8" t="s">
        <v>12764</v>
      </c>
      <c r="E5514" s="9" t="str">
        <f aca="false">HYPERLINK("https://twitter.com/AlbertoAguayo19/status/922337469139271680","922337469139271680")</f>
        <v>922337469139271680</v>
      </c>
      <c r="F5514" s="10" t="s">
        <v>25</v>
      </c>
      <c r="G5514" s="10" t="n">
        <v>68</v>
      </c>
      <c r="H5514" s="10" t="n">
        <v>130</v>
      </c>
      <c r="I5514" s="10" t="n">
        <v>170</v>
      </c>
      <c r="J5514" s="10" t="n">
        <v>0</v>
      </c>
      <c r="K5514" s="10" t="s">
        <v>20</v>
      </c>
      <c r="L5514" s="11" t="n">
        <v>42618.6915856482</v>
      </c>
      <c r="M5514" s="12" t="s">
        <v>12821</v>
      </c>
      <c r="N5514" s="12"/>
      <c r="O5514" s="9" t="str">
        <f aca="false">HYPERLINK("https://pbs.twimg.com/profile_images/773045673516150784/CsHWpHJE_normal.jpg","View")</f>
        <v>View</v>
      </c>
      <c r="P5514" s="10"/>
    </row>
    <row r="5515" customFormat="false" ht="15.75" hidden="false" customHeight="false" outlineLevel="0" collapsed="false">
      <c r="A5515" s="6" t="n">
        <v>43030.9463773148</v>
      </c>
      <c r="B5515" s="7" t="str">
        <f aca="false">HYPERLINK("https://twitter.com/TacticalFM","@TacticalFM")</f>
        <v>@TacticalFM</v>
      </c>
      <c r="C5515" s="8" t="s">
        <v>12822</v>
      </c>
      <c r="D5515" s="8" t="s">
        <v>12823</v>
      </c>
      <c r="E5515" s="9" t="str">
        <f aca="false">HYPERLINK("https://twitter.com/TacticalFM/status/922337487468478465","922337487468478465")</f>
        <v>922337487468478465</v>
      </c>
      <c r="F5515" s="10" t="s">
        <v>12822</v>
      </c>
      <c r="G5515" s="10" t="n">
        <v>308</v>
      </c>
      <c r="H5515" s="10" t="n">
        <v>2</v>
      </c>
      <c r="I5515" s="10" t="n">
        <v>0</v>
      </c>
      <c r="J5515" s="10" t="n">
        <v>0</v>
      </c>
      <c r="K5515" s="10" t="s">
        <v>20</v>
      </c>
      <c r="L5515" s="11" t="n">
        <v>40080.2013194445</v>
      </c>
      <c r="M5515" s="12" t="s">
        <v>4050</v>
      </c>
      <c r="N5515" s="12" t="s">
        <v>12824</v>
      </c>
      <c r="O5515" s="9" t="str">
        <f aca="false">HYPERLINK("https://pbs.twimg.com/profile_images/761676631605936128/UAqa9tXK_normal.jpg","View")</f>
        <v>View</v>
      </c>
      <c r="P5515" s="10"/>
    </row>
    <row r="5516" customFormat="false" ht="15.75" hidden="false" customHeight="false" outlineLevel="0" collapsed="false">
      <c r="A5516" s="6" t="n">
        <v>43030.9464699074</v>
      </c>
      <c r="B5516" s="7" t="str">
        <f aca="false">HYPERLINK("https://twitter.com/jesuslazos","@jesuslazos")</f>
        <v>@jesuslazos</v>
      </c>
      <c r="C5516" s="8" t="s">
        <v>12825</v>
      </c>
      <c r="D5516" s="8" t="s">
        <v>12764</v>
      </c>
      <c r="E5516" s="9" t="str">
        <f aca="false">HYPERLINK("https://twitter.com/jesuslazos/status/922337519542272000","922337519542272000")</f>
        <v>922337519542272000</v>
      </c>
      <c r="F5516" s="10" t="s">
        <v>51</v>
      </c>
      <c r="G5516" s="10" t="n">
        <v>812</v>
      </c>
      <c r="H5516" s="10" t="n">
        <v>749</v>
      </c>
      <c r="I5516" s="10" t="n">
        <v>170</v>
      </c>
      <c r="J5516" s="10" t="n">
        <v>0</v>
      </c>
      <c r="K5516" s="10" t="s">
        <v>20</v>
      </c>
      <c r="L5516" s="11" t="n">
        <v>39928.9664699074</v>
      </c>
      <c r="M5516" s="12" t="s">
        <v>12826</v>
      </c>
      <c r="N5516" s="12" t="s">
        <v>12827</v>
      </c>
      <c r="O5516" s="9" t="str">
        <f aca="false">HYPERLINK("https://pbs.twimg.com/profile_images/914717686449319941/_1UtQ1D7_normal.jpg","View")</f>
        <v>View</v>
      </c>
      <c r="P5516" s="10"/>
    </row>
    <row r="5517" customFormat="false" ht="15.75" hidden="false" customHeight="false" outlineLevel="0" collapsed="false">
      <c r="A5517" s="6" t="n">
        <v>43030.9465277778</v>
      </c>
      <c r="B5517" s="7" t="str">
        <f aca="false">HYPERLINK("https://twitter.com/CarolinCNBC","@CarolinCNBC")</f>
        <v>@CarolinCNBC</v>
      </c>
      <c r="C5517" s="8" t="s">
        <v>12828</v>
      </c>
      <c r="D5517" s="8" t="s">
        <v>12829</v>
      </c>
      <c r="E5517" s="9" t="str">
        <f aca="false">HYPERLINK("https://twitter.com/CarolinCNBC/status/922337541008785409","922337541008785409")</f>
        <v>922337541008785409</v>
      </c>
      <c r="F5517" s="10" t="s">
        <v>39</v>
      </c>
      <c r="G5517" s="10" t="n">
        <v>8143</v>
      </c>
      <c r="H5517" s="10" t="n">
        <v>680</v>
      </c>
      <c r="I5517" s="10" t="n">
        <v>1</v>
      </c>
      <c r="J5517" s="10" t="n">
        <v>5</v>
      </c>
      <c r="K5517" s="10" t="s">
        <v>20</v>
      </c>
      <c r="L5517" s="11" t="n">
        <v>40900.0394791667</v>
      </c>
      <c r="M5517" s="12" t="s">
        <v>893</v>
      </c>
      <c r="N5517" s="12" t="s">
        <v>12830</v>
      </c>
      <c r="O5517" s="9" t="str">
        <f aca="false">HYPERLINK("https://pbs.twimg.com/profile_images/862253980520501248/dr4lWc-q_normal.jpg","View")</f>
        <v>View</v>
      </c>
      <c r="P5517" s="10"/>
    </row>
    <row r="5518" customFormat="false" ht="15.75" hidden="false" customHeight="false" outlineLevel="0" collapsed="false">
      <c r="A5518" s="6" t="n">
        <v>43030.9466087963</v>
      </c>
      <c r="B5518" s="7" t="str">
        <f aca="false">HYPERLINK("https://twitter.com/G7Newz","@G7Newz")</f>
        <v>@G7Newz</v>
      </c>
      <c r="C5518" s="8" t="s">
        <v>12831</v>
      </c>
      <c r="D5518" s="8" t="s">
        <v>12764</v>
      </c>
      <c r="E5518" s="9" t="str">
        <f aca="false">HYPERLINK("https://twitter.com/G7Newz/status/922337569542721536","922337569542721536")</f>
        <v>922337569542721536</v>
      </c>
      <c r="F5518" s="10" t="s">
        <v>39</v>
      </c>
      <c r="G5518" s="10" t="n">
        <v>51</v>
      </c>
      <c r="H5518" s="10" t="n">
        <v>1191</v>
      </c>
      <c r="I5518" s="10" t="n">
        <v>170</v>
      </c>
      <c r="J5518" s="10" t="n">
        <v>0</v>
      </c>
      <c r="K5518" s="10" t="s">
        <v>20</v>
      </c>
      <c r="L5518" s="11" t="n">
        <v>42553.4254398148</v>
      </c>
      <c r="M5518" s="12" t="s">
        <v>12832</v>
      </c>
      <c r="N5518" s="15" t="s">
        <v>12833</v>
      </c>
      <c r="O5518" s="9" t="str">
        <f aca="false">HYPERLINK("https://pbs.twimg.com/profile_images/923202457815126016/HvwcSKsm_normal.jpg","View")</f>
        <v>View</v>
      </c>
      <c r="P5518" s="10"/>
    </row>
    <row r="5519" customFormat="false" ht="15.75" hidden="false" customHeight="false" outlineLevel="0" collapsed="false">
      <c r="A5519" s="6" t="n">
        <v>43030.9466666667</v>
      </c>
      <c r="B5519" s="7" t="str">
        <f aca="false">HYPERLINK("https://twitter.com/ZeldaWynn","@ZeldaWynn")</f>
        <v>@ZeldaWynn</v>
      </c>
      <c r="C5519" s="8" t="s">
        <v>12834</v>
      </c>
      <c r="D5519" s="8" t="s">
        <v>12764</v>
      </c>
      <c r="E5519" s="9" t="str">
        <f aca="false">HYPERLINK("https://twitter.com/ZeldaWynn/status/922337591042514944","922337591042514944")</f>
        <v>922337591042514944</v>
      </c>
      <c r="F5519" s="10" t="s">
        <v>39</v>
      </c>
      <c r="G5519" s="10" t="n">
        <v>2008</v>
      </c>
      <c r="H5519" s="10" t="n">
        <v>1617</v>
      </c>
      <c r="I5519" s="10" t="n">
        <v>170</v>
      </c>
      <c r="J5519" s="10" t="n">
        <v>0</v>
      </c>
      <c r="K5519" s="10" t="s">
        <v>20</v>
      </c>
      <c r="L5519" s="11" t="n">
        <v>40689.8297106481</v>
      </c>
      <c r="M5519" s="12" t="s">
        <v>4015</v>
      </c>
      <c r="N5519" s="12" t="s">
        <v>12835</v>
      </c>
      <c r="O5519" s="9" t="str">
        <f aca="false">HYPERLINK("https://pbs.twimg.com/profile_images/900695475988291584/soXicnZo_normal.jpg","View")</f>
        <v>View</v>
      </c>
      <c r="P5519" s="10"/>
    </row>
    <row r="5520" customFormat="false" ht="15.75" hidden="false" customHeight="false" outlineLevel="0" collapsed="false">
      <c r="A5520" s="6" t="n">
        <v>43030.9466898148</v>
      </c>
      <c r="B5520" s="7" t="str">
        <f aca="false">HYPERLINK("https://twitter.com/BUSHADEMOCRAT","@BUSHADEMOCRAT")</f>
        <v>@BUSHADEMOCRAT</v>
      </c>
      <c r="C5520" s="8" t="s">
        <v>12836</v>
      </c>
      <c r="D5520" s="8" t="s">
        <v>12764</v>
      </c>
      <c r="E5520" s="9" t="str">
        <f aca="false">HYPERLINK("https://twitter.com/BUSHADEMOCRAT/status/922337597367529472","922337597367529472")</f>
        <v>922337597367529472</v>
      </c>
      <c r="F5520" s="10" t="s">
        <v>25</v>
      </c>
      <c r="G5520" s="10" t="n">
        <v>3104</v>
      </c>
      <c r="H5520" s="10" t="n">
        <v>5001</v>
      </c>
      <c r="I5520" s="10" t="n">
        <v>170</v>
      </c>
      <c r="J5520" s="10" t="n">
        <v>0</v>
      </c>
      <c r="K5520" s="10" t="s">
        <v>20</v>
      </c>
      <c r="L5520" s="11" t="n">
        <v>40811.5759837963</v>
      </c>
      <c r="M5520" s="12" t="s">
        <v>12837</v>
      </c>
      <c r="N5520" s="12" t="s">
        <v>12838</v>
      </c>
      <c r="O5520" s="9" t="str">
        <f aca="false">HYPERLINK("https://pbs.twimg.com/profile_images/846034744743673857/_7gc8K-d_normal.jpg","View")</f>
        <v>View</v>
      </c>
      <c r="P5520" s="10"/>
    </row>
    <row r="5521" customFormat="false" ht="15.75" hidden="false" customHeight="false" outlineLevel="0" collapsed="false">
      <c r="A5521" s="6" t="n">
        <v>43030.946712963</v>
      </c>
      <c r="B5521" s="7" t="str">
        <f aca="false">HYPERLINK("https://twitter.com/yeshua1304","@yeshua1304")</f>
        <v>@yeshua1304</v>
      </c>
      <c r="C5521" s="8" t="s">
        <v>12839</v>
      </c>
      <c r="D5521" s="8" t="s">
        <v>12764</v>
      </c>
      <c r="E5521" s="9" t="str">
        <f aca="false">HYPERLINK("https://twitter.com/yeshua1304/status/922337606674845699","922337606674845699")</f>
        <v>922337606674845699</v>
      </c>
      <c r="F5521" s="10" t="s">
        <v>25</v>
      </c>
      <c r="G5521" s="10" t="n">
        <v>3154</v>
      </c>
      <c r="H5521" s="10" t="n">
        <v>3185</v>
      </c>
      <c r="I5521" s="10" t="n">
        <v>170</v>
      </c>
      <c r="J5521" s="10" t="n">
        <v>0</v>
      </c>
      <c r="K5521" s="10" t="s">
        <v>20</v>
      </c>
      <c r="L5521" s="11" t="n">
        <v>40224.6829976852</v>
      </c>
      <c r="M5521" s="12" t="s">
        <v>12840</v>
      </c>
      <c r="N5521" s="12" t="s">
        <v>12841</v>
      </c>
      <c r="O5521" s="9" t="str">
        <f aca="false">HYPERLINK("https://pbs.twimg.com/profile_images/917788219650998272/YW5rnrcd_normal.jpg","View")</f>
        <v>View</v>
      </c>
      <c r="P5521" s="10"/>
    </row>
    <row r="5522" customFormat="false" ht="15.75" hidden="false" customHeight="false" outlineLevel="0" collapsed="false">
      <c r="A5522" s="6" t="n">
        <v>43030.9467824074</v>
      </c>
      <c r="B5522" s="7" t="str">
        <f aca="false">HYPERLINK("https://twitter.com/alexgen0359","@alexgen0359")</f>
        <v>@alexgen0359</v>
      </c>
      <c r="C5522" s="8" t="s">
        <v>12842</v>
      </c>
      <c r="D5522" s="8" t="s">
        <v>12764</v>
      </c>
      <c r="E5522" s="9" t="str">
        <f aca="false">HYPERLINK("https://twitter.com/alexgen0359/status/922337631828103168","922337631828103168")</f>
        <v>922337631828103168</v>
      </c>
      <c r="F5522" s="10" t="s">
        <v>25</v>
      </c>
      <c r="G5522" s="10" t="n">
        <v>5817</v>
      </c>
      <c r="H5522" s="10" t="n">
        <v>6327</v>
      </c>
      <c r="I5522" s="10" t="n">
        <v>170</v>
      </c>
      <c r="J5522" s="10" t="n">
        <v>0</v>
      </c>
      <c r="K5522" s="10" t="s">
        <v>20</v>
      </c>
      <c r="L5522" s="11" t="n">
        <v>41379.4534490741</v>
      </c>
      <c r="M5522" s="12" t="s">
        <v>12843</v>
      </c>
      <c r="N5522" s="12" t="s">
        <v>12844</v>
      </c>
      <c r="O5522" s="9" t="str">
        <f aca="false">HYPERLINK("https://pbs.twimg.com/profile_images/712634716801933312/sABFiFQX_normal.jpg","View")</f>
        <v>View</v>
      </c>
      <c r="P5522" s="10"/>
    </row>
    <row r="5523" customFormat="false" ht="15.75" hidden="false" customHeight="false" outlineLevel="0" collapsed="false">
      <c r="A5523" s="6" t="n">
        <v>43030.9467824074</v>
      </c>
      <c r="B5523" s="7" t="str">
        <f aca="false">HYPERLINK("https://twitter.com/Sorgitzak","@Sorgitzak")</f>
        <v>@Sorgitzak</v>
      </c>
      <c r="C5523" s="8" t="s">
        <v>421</v>
      </c>
      <c r="D5523" s="8" t="s">
        <v>12845</v>
      </c>
      <c r="E5523" s="9" t="str">
        <f aca="false">HYPERLINK("https://twitter.com/Sorgitzak/status/922337632738271232","922337632738271232")</f>
        <v>922337632738271232</v>
      </c>
      <c r="F5523" s="10" t="s">
        <v>60</v>
      </c>
      <c r="G5523" s="10" t="n">
        <v>719</v>
      </c>
      <c r="H5523" s="10" t="n">
        <v>1309</v>
      </c>
      <c r="I5523" s="10" t="n">
        <v>0</v>
      </c>
      <c r="J5523" s="10" t="n">
        <v>0</v>
      </c>
      <c r="K5523" s="10" t="s">
        <v>20</v>
      </c>
      <c r="L5523" s="11" t="n">
        <v>39990.5521527778</v>
      </c>
      <c r="M5523" s="12" t="s">
        <v>423</v>
      </c>
      <c r="N5523" s="12"/>
      <c r="O5523" s="9" t="str">
        <f aca="false">HYPERLINK("https://pbs.twimg.com/profile_images/284404970/sorgitzak_normal.JPG","View")</f>
        <v>View</v>
      </c>
      <c r="P5523" s="10"/>
    </row>
    <row r="5524" customFormat="false" ht="15.75" hidden="false" customHeight="false" outlineLevel="0" collapsed="false">
      <c r="A5524" s="6" t="n">
        <v>43030.9468287037</v>
      </c>
      <c r="B5524" s="7" t="str">
        <f aca="false">HYPERLINK("https://twitter.com/vrai777","@vrai777")</f>
        <v>@vrai777</v>
      </c>
      <c r="C5524" s="8" t="s">
        <v>335</v>
      </c>
      <c r="D5524" s="8" t="s">
        <v>12846</v>
      </c>
      <c r="E5524" s="9" t="str">
        <f aca="false">HYPERLINK("https://twitter.com/vrai777/status/922337649305772032","922337649305772032")</f>
        <v>922337649305772032</v>
      </c>
      <c r="F5524" s="10" t="s">
        <v>55</v>
      </c>
      <c r="G5524" s="10" t="n">
        <v>7959</v>
      </c>
      <c r="H5524" s="10" t="n">
        <v>71</v>
      </c>
      <c r="I5524" s="10" t="n">
        <v>0</v>
      </c>
      <c r="J5524" s="10" t="n">
        <v>0</v>
      </c>
      <c r="K5524" s="10" t="s">
        <v>20</v>
      </c>
      <c r="L5524" s="11" t="n">
        <v>39878.7593287037</v>
      </c>
      <c r="M5524" s="12" t="s">
        <v>295</v>
      </c>
      <c r="N5524" s="12" t="s">
        <v>337</v>
      </c>
      <c r="O5524" s="9" t="str">
        <f aca="false">HYPERLINK("https://pbs.twimg.com/profile_images/688775800284266496/qhWTo08H_normal.png","View")</f>
        <v>View</v>
      </c>
      <c r="P5524" s="10"/>
    </row>
    <row r="5525" customFormat="false" ht="15.75" hidden="false" customHeight="false" outlineLevel="0" collapsed="false">
      <c r="A5525" s="6" t="n">
        <v>43030.9468518519</v>
      </c>
      <c r="B5525" s="7" t="str">
        <f aca="false">HYPERLINK("https://twitter.com/SocialLifeLA","@SocialLifeLA")</f>
        <v>@SocialLifeLA</v>
      </c>
      <c r="C5525" s="8" t="s">
        <v>750</v>
      </c>
      <c r="D5525" s="8" t="s">
        <v>12847</v>
      </c>
      <c r="E5525" s="9" t="str">
        <f aca="false">HYPERLINK("https://twitter.com/SocialLifeLA/status/922337659049168896","922337659049168896")</f>
        <v>922337659049168896</v>
      </c>
      <c r="F5525" s="10" t="s">
        <v>60</v>
      </c>
      <c r="G5525" s="10" t="n">
        <v>200</v>
      </c>
      <c r="H5525" s="10" t="n">
        <v>60</v>
      </c>
      <c r="I5525" s="10" t="n">
        <v>0</v>
      </c>
      <c r="J5525" s="10" t="n">
        <v>0</v>
      </c>
      <c r="K5525" s="10" t="s">
        <v>20</v>
      </c>
      <c r="L5525" s="11" t="n">
        <v>42604.7538078704</v>
      </c>
      <c r="M5525" s="12" t="s">
        <v>752</v>
      </c>
      <c r="N5525" s="12" t="s">
        <v>753</v>
      </c>
      <c r="O5525" s="9" t="str">
        <f aca="false">HYPERLINK("https://pbs.twimg.com/profile_images/767891928948023296/dUdnMBLO_normal.jpg","View")</f>
        <v>View</v>
      </c>
      <c r="P5525" s="10"/>
    </row>
    <row r="5526" customFormat="false" ht="15.75" hidden="false" customHeight="false" outlineLevel="0" collapsed="false">
      <c r="A5526" s="6" t="n">
        <v>43030.9468981482</v>
      </c>
      <c r="B5526" s="7" t="str">
        <f aca="false">HYPERLINK("https://twitter.com/ShibainuJapan","@ShibainuJapan")</f>
        <v>@ShibainuJapan</v>
      </c>
      <c r="C5526" s="8" t="s">
        <v>12848</v>
      </c>
      <c r="D5526" s="8" t="s">
        <v>12493</v>
      </c>
      <c r="E5526" s="9" t="str">
        <f aca="false">HYPERLINK("https://twitter.com/ShibainuJapan/status/922337676606312448","922337676606312448")</f>
        <v>922337676606312448</v>
      </c>
      <c r="F5526" s="10" t="s">
        <v>51</v>
      </c>
      <c r="G5526" s="10" t="n">
        <v>133</v>
      </c>
      <c r="H5526" s="10" t="n">
        <v>58</v>
      </c>
      <c r="I5526" s="10" t="n">
        <v>63</v>
      </c>
      <c r="J5526" s="10" t="n">
        <v>0</v>
      </c>
      <c r="K5526" s="10" t="s">
        <v>20</v>
      </c>
      <c r="L5526" s="11" t="n">
        <v>42598.8440277778</v>
      </c>
      <c r="M5526" s="12"/>
      <c r="N5526" s="12"/>
      <c r="O5526" s="9" t="str">
        <f aca="false">HYPERLINK("https://pbs.twimg.com/profile_images/765755603302158336/5bxPLEW7_normal.jpg","View")</f>
        <v>View</v>
      </c>
      <c r="P5526" s="10"/>
    </row>
    <row r="5527" customFormat="false" ht="15.75" hidden="false" customHeight="false" outlineLevel="0" collapsed="false">
      <c r="A5527" s="6" t="n">
        <v>43030.9469212963</v>
      </c>
      <c r="B5527" s="7" t="str">
        <f aca="false">HYPERLINK("https://twitter.com/AshaGomez_","@AshaGomez_")</f>
        <v>@AshaGomez_</v>
      </c>
      <c r="C5527" s="8" t="s">
        <v>2371</v>
      </c>
      <c r="D5527" s="8" t="s">
        <v>12764</v>
      </c>
      <c r="E5527" s="9" t="str">
        <f aca="false">HYPERLINK("https://twitter.com/AshaGomez_/status/922337683757772800","922337683757772800")</f>
        <v>922337683757772800</v>
      </c>
      <c r="F5527" s="10" t="s">
        <v>98</v>
      </c>
      <c r="G5527" s="10" t="n">
        <v>296</v>
      </c>
      <c r="H5527" s="10" t="n">
        <v>1402</v>
      </c>
      <c r="I5527" s="10" t="n">
        <v>170</v>
      </c>
      <c r="J5527" s="10" t="n">
        <v>0</v>
      </c>
      <c r="K5527" s="10" t="s">
        <v>20</v>
      </c>
      <c r="L5527" s="11" t="n">
        <v>42878.5163888889</v>
      </c>
      <c r="M5527" s="12"/>
      <c r="N5527" s="12" t="s">
        <v>2372</v>
      </c>
      <c r="O5527" s="9" t="str">
        <f aca="false">HYPERLINK("https://pbs.twimg.com/profile_images/904418035250974721/dgFnJxyX_normal.jpg","View")</f>
        <v>View</v>
      </c>
      <c r="P5527" s="10"/>
    </row>
    <row r="5528" customFormat="false" ht="15.75" hidden="false" customHeight="false" outlineLevel="0" collapsed="false">
      <c r="A5528" s="6" t="n">
        <v>43030.9469444444</v>
      </c>
      <c r="B5528" s="7" t="str">
        <f aca="false">HYPERLINK("https://twitter.com/KaushikSonar","@KaushikSonar")</f>
        <v>@KaushikSonar</v>
      </c>
      <c r="C5528" s="8" t="s">
        <v>12849</v>
      </c>
      <c r="D5528" s="8" t="s">
        <v>12398</v>
      </c>
      <c r="E5528" s="9" t="str">
        <f aca="false">HYPERLINK("https://twitter.com/KaushikSonar/status/922337691315855360","922337691315855360")</f>
        <v>922337691315855360</v>
      </c>
      <c r="F5528" s="10" t="s">
        <v>25</v>
      </c>
      <c r="G5528" s="10" t="n">
        <v>14</v>
      </c>
      <c r="H5528" s="10" t="n">
        <v>253</v>
      </c>
      <c r="I5528" s="10" t="n">
        <v>25</v>
      </c>
      <c r="J5528" s="10" t="n">
        <v>0</v>
      </c>
      <c r="K5528" s="10" t="s">
        <v>20</v>
      </c>
      <c r="L5528" s="11" t="n">
        <v>43029.0891782407</v>
      </c>
      <c r="M5528" s="12"/>
      <c r="N5528" s="12"/>
      <c r="O5528" s="9" t="str">
        <f aca="false">HYPERLINK("https://pbs.twimg.com/profile_images/922335510416076805/r9UujisH_normal.jpg","View")</f>
        <v>View</v>
      </c>
      <c r="P5528" s="10"/>
    </row>
    <row r="5529" customFormat="false" ht="15.75" hidden="false" customHeight="false" outlineLevel="0" collapsed="false">
      <c r="A5529" s="6" t="n">
        <v>43030.9469791667</v>
      </c>
      <c r="B5529" s="7" t="str">
        <f aca="false">HYPERLINK("https://twitter.com/masumekko","@masumekko")</f>
        <v>@masumekko</v>
      </c>
      <c r="C5529" s="8" t="s">
        <v>12850</v>
      </c>
      <c r="D5529" s="8" t="s">
        <v>12764</v>
      </c>
      <c r="E5529" s="9" t="str">
        <f aca="false">HYPERLINK("https://twitter.com/masumekko/status/922337703399530496","922337703399530496")</f>
        <v>922337703399530496</v>
      </c>
      <c r="F5529" s="10" t="s">
        <v>51</v>
      </c>
      <c r="G5529" s="10" t="n">
        <v>214</v>
      </c>
      <c r="H5529" s="10" t="n">
        <v>154</v>
      </c>
      <c r="I5529" s="10" t="n">
        <v>170</v>
      </c>
      <c r="J5529" s="10" t="n">
        <v>0</v>
      </c>
      <c r="K5529" s="10" t="s">
        <v>20</v>
      </c>
      <c r="L5529" s="11" t="n">
        <v>40271.3264467593</v>
      </c>
      <c r="M5529" s="12" t="s">
        <v>12851</v>
      </c>
      <c r="N5529" s="13" t="s">
        <v>12852</v>
      </c>
      <c r="O5529" s="9" t="str">
        <f aca="false">HYPERLINK("https://pbs.twimg.com/profile_images/640420979680739328/XXlFA9Me_normal.png","View")</f>
        <v>View</v>
      </c>
      <c r="P5529" s="10"/>
    </row>
    <row r="5530" customFormat="false" ht="15.75" hidden="false" customHeight="false" outlineLevel="0" collapsed="false">
      <c r="A5530" s="6" t="n">
        <v>43030.9469907407</v>
      </c>
      <c r="B5530" s="7" t="str">
        <f aca="false">HYPERLINK("https://twitter.com/Burnt246","@Burnt246")</f>
        <v>@Burnt246</v>
      </c>
      <c r="C5530" s="8" t="s">
        <v>12853</v>
      </c>
      <c r="D5530" s="8" t="s">
        <v>12764</v>
      </c>
      <c r="E5530" s="9" t="str">
        <f aca="false">HYPERLINK("https://twitter.com/Burnt246/status/922337707975733248","922337707975733248")</f>
        <v>922337707975733248</v>
      </c>
      <c r="F5530" s="10" t="s">
        <v>39</v>
      </c>
      <c r="G5530" s="10" t="n">
        <v>195</v>
      </c>
      <c r="H5530" s="10" t="n">
        <v>442</v>
      </c>
      <c r="I5530" s="10" t="n">
        <v>170</v>
      </c>
      <c r="J5530" s="10" t="n">
        <v>0</v>
      </c>
      <c r="K5530" s="10" t="s">
        <v>20</v>
      </c>
      <c r="L5530" s="11" t="n">
        <v>43012.9809722222</v>
      </c>
      <c r="M5530" s="12" t="s">
        <v>12854</v>
      </c>
      <c r="N5530" s="12" t="s">
        <v>12855</v>
      </c>
      <c r="O5530" s="9" t="str">
        <f aca="false">HYPERLINK("https://pbs.twimg.com/profile_images/921978886195474433/dkwrCHqU_normal.jpg","View")</f>
        <v>View</v>
      </c>
      <c r="P5530" s="10"/>
    </row>
    <row r="5531" customFormat="false" ht="15.75" hidden="false" customHeight="false" outlineLevel="0" collapsed="false">
      <c r="A5531" s="6" t="n">
        <v>43030.9470138889</v>
      </c>
      <c r="B5531" s="7" t="str">
        <f aca="false">HYPERLINK("https://twitter.com/NarrendraM","@NarrendraM")</f>
        <v>@NarrendraM</v>
      </c>
      <c r="C5531" s="8" t="s">
        <v>468</v>
      </c>
      <c r="D5531" s="8" t="s">
        <v>12856</v>
      </c>
      <c r="E5531" s="9" t="str">
        <f aca="false">HYPERLINK("https://twitter.com/NarrendraM/status/922337715445747712","922337715445747712")</f>
        <v>922337715445747712</v>
      </c>
      <c r="F5531" s="10" t="s">
        <v>60</v>
      </c>
      <c r="G5531" s="10" t="n">
        <v>1999</v>
      </c>
      <c r="H5531" s="10" t="n">
        <v>252</v>
      </c>
      <c r="I5531" s="10" t="n">
        <v>0</v>
      </c>
      <c r="J5531" s="10" t="n">
        <v>0</v>
      </c>
      <c r="K5531" s="10" t="s">
        <v>20</v>
      </c>
      <c r="L5531" s="11" t="n">
        <v>42471.0737037037</v>
      </c>
      <c r="M5531" s="12" t="s">
        <v>253</v>
      </c>
      <c r="N5531" s="12" t="s">
        <v>470</v>
      </c>
      <c r="O5531" s="9" t="str">
        <f aca="false">HYPERLINK("https://pbs.twimg.com/profile_images/743939643738034176/WkGloI0u_normal.jpg","View")</f>
        <v>View</v>
      </c>
      <c r="P5531" s="10"/>
    </row>
    <row r="5532" customFormat="false" ht="15.75" hidden="false" customHeight="false" outlineLevel="0" collapsed="false">
      <c r="A5532" s="6" t="n">
        <v>43030.947025463</v>
      </c>
      <c r="B5532" s="7" t="str">
        <f aca="false">HYPERLINK("https://twitter.com/appaige","@appaige")</f>
        <v>@appaige</v>
      </c>
      <c r="C5532" s="8" t="s">
        <v>12857</v>
      </c>
      <c r="D5532" s="8" t="s">
        <v>12764</v>
      </c>
      <c r="E5532" s="9" t="str">
        <f aca="false">HYPERLINK("https://twitter.com/appaige/status/922337720600612864","922337720600612864")</f>
        <v>922337720600612864</v>
      </c>
      <c r="F5532" s="10" t="s">
        <v>25</v>
      </c>
      <c r="G5532" s="10" t="n">
        <v>119</v>
      </c>
      <c r="H5532" s="10" t="n">
        <v>437</v>
      </c>
      <c r="I5532" s="10" t="n">
        <v>170</v>
      </c>
      <c r="J5532" s="10" t="n">
        <v>0</v>
      </c>
      <c r="K5532" s="10" t="s">
        <v>20</v>
      </c>
      <c r="L5532" s="11" t="n">
        <v>39901.5365625</v>
      </c>
      <c r="M5532" s="12" t="s">
        <v>380</v>
      </c>
      <c r="N5532" s="12" t="s">
        <v>12858</v>
      </c>
      <c r="O5532" s="9" t="str">
        <f aca="false">HYPERLINK("https://pbs.twimg.com/profile_images/1889025325/gotta_run_normal.jpg","View")</f>
        <v>View</v>
      </c>
      <c r="P5532" s="10"/>
    </row>
    <row r="5533" customFormat="false" ht="15.75" hidden="false" customHeight="false" outlineLevel="0" collapsed="false">
      <c r="A5533" s="6" t="n">
        <v>43030.9470601852</v>
      </c>
      <c r="B5533" s="7" t="str">
        <f aca="false">HYPERLINK("https://twitter.com/Ashwini8025","@Ashwini8025")</f>
        <v>@Ashwini8025</v>
      </c>
      <c r="C5533" s="8" t="s">
        <v>12859</v>
      </c>
      <c r="D5533" s="8" t="s">
        <v>12860</v>
      </c>
      <c r="E5533" s="9" t="str">
        <f aca="false">HYPERLINK("https://twitter.com/Ashwini8025/status/922337732545806336","922337732545806336")</f>
        <v>922337732545806336</v>
      </c>
      <c r="F5533" s="10" t="s">
        <v>25</v>
      </c>
      <c r="G5533" s="10" t="n">
        <v>29</v>
      </c>
      <c r="H5533" s="10" t="n">
        <v>127</v>
      </c>
      <c r="I5533" s="10" t="n">
        <v>7</v>
      </c>
      <c r="J5533" s="10" t="n">
        <v>0</v>
      </c>
      <c r="K5533" s="10" t="s">
        <v>20</v>
      </c>
      <c r="L5533" s="11" t="n">
        <v>42738.9356134259</v>
      </c>
      <c r="M5533" s="12" t="s">
        <v>6635</v>
      </c>
      <c r="N5533" s="12"/>
      <c r="O5533" s="9" t="str">
        <f aca="false">HYPERLINK("https://pbs.twimg.com/profile_images/856821714860355584/xoGdpiXA_normal.jpg","View")</f>
        <v>View</v>
      </c>
      <c r="P5533" s="10"/>
    </row>
    <row r="5534" customFormat="false" ht="15.75" hidden="false" customHeight="false" outlineLevel="0" collapsed="false">
      <c r="A5534" s="6" t="n">
        <v>43030.9472453704</v>
      </c>
      <c r="B5534" s="7" t="str">
        <f aca="false">HYPERLINK("https://twitter.com/AlexWitzleben","@AlexWitzleben")</f>
        <v>@AlexWitzleben</v>
      </c>
      <c r="C5534" s="8" t="s">
        <v>12861</v>
      </c>
      <c r="D5534" s="8" t="s">
        <v>12862</v>
      </c>
      <c r="E5534" s="9" t="str">
        <f aca="false">HYPERLINK("https://twitter.com/AlexWitzleben/status/922337799944237059","922337799944237059")</f>
        <v>922337799944237059</v>
      </c>
      <c r="F5534" s="10" t="s">
        <v>39</v>
      </c>
      <c r="G5534" s="10" t="n">
        <v>4685</v>
      </c>
      <c r="H5534" s="10" t="n">
        <v>4205</v>
      </c>
      <c r="I5534" s="10" t="n">
        <v>0</v>
      </c>
      <c r="J5534" s="10" t="n">
        <v>0</v>
      </c>
      <c r="K5534" s="10" t="s">
        <v>20</v>
      </c>
      <c r="L5534" s="11" t="n">
        <v>40591.347962963</v>
      </c>
      <c r="M5534" s="12" t="s">
        <v>6264</v>
      </c>
      <c r="N5534" s="12" t="s">
        <v>12863</v>
      </c>
      <c r="O5534" s="9" t="str">
        <f aca="false">HYPERLINK("https://pbs.twimg.com/profile_images/920595412238589953/JOeHmoDt_normal.jpg","View")</f>
        <v>View</v>
      </c>
      <c r="P5534" s="10"/>
    </row>
    <row r="5535" customFormat="false" ht="15.75" hidden="false" customHeight="false" outlineLevel="0" collapsed="false">
      <c r="A5535" s="6" t="n">
        <v>43030.9472685185</v>
      </c>
      <c r="B5535" s="7" t="str">
        <f aca="false">HYPERLINK("https://twitter.com/MontserratCovad","@MontserratCovad")</f>
        <v>@MontserratCovad</v>
      </c>
      <c r="C5535" s="8" t="s">
        <v>12864</v>
      </c>
      <c r="D5535" s="8" t="s">
        <v>12764</v>
      </c>
      <c r="E5535" s="9" t="str">
        <f aca="false">HYPERLINK("https://twitter.com/MontserratCovad/status/922337808487993344","922337808487993344")</f>
        <v>922337808487993344</v>
      </c>
      <c r="F5535" s="10" t="s">
        <v>25</v>
      </c>
      <c r="G5535" s="10" t="n">
        <v>9408</v>
      </c>
      <c r="H5535" s="10" t="n">
        <v>8210</v>
      </c>
      <c r="I5535" s="10" t="n">
        <v>170</v>
      </c>
      <c r="J5535" s="10" t="n">
        <v>0</v>
      </c>
      <c r="K5535" s="10" t="s">
        <v>20</v>
      </c>
      <c r="L5535" s="11" t="n">
        <v>41043.495775463</v>
      </c>
      <c r="M5535" s="12" t="s">
        <v>12865</v>
      </c>
      <c r="N5535" s="12" t="s">
        <v>12866</v>
      </c>
      <c r="O5535" s="9" t="str">
        <f aca="false">HYPERLINK("https://pbs.twimg.com/profile_images/891446788544245762/h8a58C0M_normal.jpg","View")</f>
        <v>View</v>
      </c>
      <c r="P5535" s="10"/>
    </row>
    <row r="5536" customFormat="false" ht="15.75" hidden="false" customHeight="false" outlineLevel="0" collapsed="false">
      <c r="A5536" s="6" t="n">
        <v>43030.9473611111</v>
      </c>
      <c r="B5536" s="7" t="str">
        <f aca="false">HYPERLINK("https://twitter.com/civicmongolia","@civicmongolia")</f>
        <v>@civicmongolia</v>
      </c>
      <c r="C5536" s="8" t="s">
        <v>12867</v>
      </c>
      <c r="D5536" s="8" t="s">
        <v>12764</v>
      </c>
      <c r="E5536" s="9" t="str">
        <f aca="false">HYPERLINK("https://twitter.com/civicmongolia/status/922337844441387008","922337844441387008")</f>
        <v>922337844441387008</v>
      </c>
      <c r="F5536" s="10" t="s">
        <v>51</v>
      </c>
      <c r="G5536" s="10" t="n">
        <v>319</v>
      </c>
      <c r="H5536" s="10" t="n">
        <v>366</v>
      </c>
      <c r="I5536" s="10" t="n">
        <v>170</v>
      </c>
      <c r="J5536" s="10" t="n">
        <v>0</v>
      </c>
      <c r="K5536" s="10" t="s">
        <v>20</v>
      </c>
      <c r="L5536" s="11" t="n">
        <v>41437.0308217593</v>
      </c>
      <c r="M5536" s="12" t="s">
        <v>12868</v>
      </c>
      <c r="N5536" s="12" t="s">
        <v>12869</v>
      </c>
      <c r="O5536" s="9" t="str">
        <f aca="false">HYPERLINK("https://pbs.twimg.com/profile_images/378800000824212790/6d556065fcd8e062e44745987be32a74_normal.jpeg","View")</f>
        <v>View</v>
      </c>
      <c r="P5536" s="10"/>
    </row>
    <row r="5537" customFormat="false" ht="15.75" hidden="false" customHeight="false" outlineLevel="0" collapsed="false">
      <c r="A5537" s="6" t="n">
        <v>43030.9473842593</v>
      </c>
      <c r="B5537" s="7" t="str">
        <f aca="false">HYPERLINK("https://twitter.com/NarotamaPande","@NarotamaPande")</f>
        <v>@NarotamaPande</v>
      </c>
      <c r="C5537" s="8" t="s">
        <v>12870</v>
      </c>
      <c r="D5537" s="8" t="s">
        <v>12764</v>
      </c>
      <c r="E5537" s="9" t="str">
        <f aca="false">HYPERLINK("https://twitter.com/NarotamaPande/status/922337850929979392","922337850929979392")</f>
        <v>922337850929979392</v>
      </c>
      <c r="F5537" s="10" t="s">
        <v>51</v>
      </c>
      <c r="G5537" s="10" t="n">
        <v>52</v>
      </c>
      <c r="H5537" s="10" t="n">
        <v>197</v>
      </c>
      <c r="I5537" s="10" t="n">
        <v>170</v>
      </c>
      <c r="J5537" s="10" t="n">
        <v>0</v>
      </c>
      <c r="K5537" s="10" t="s">
        <v>20</v>
      </c>
      <c r="L5537" s="11" t="n">
        <v>41943.5189930556</v>
      </c>
      <c r="M5537" s="12" t="s">
        <v>12871</v>
      </c>
      <c r="N5537" s="12" t="s">
        <v>12872</v>
      </c>
      <c r="O5537" s="9" t="str">
        <f aca="false">HYPERLINK("https://pbs.twimg.com/profile_images/915051753455755265/tJO9TbxA_normal.jpg","View")</f>
        <v>View</v>
      </c>
      <c r="P5537" s="10"/>
    </row>
    <row r="5538" customFormat="false" ht="15.75" hidden="false" customHeight="false" outlineLevel="0" collapsed="false">
      <c r="A5538" s="6" t="n">
        <v>43030.9474768519</v>
      </c>
      <c r="B5538" s="7" t="str">
        <f aca="false">HYPERLINK("https://twitter.com/RiGuy5s","@RiGuy5s")</f>
        <v>@RiGuy5s</v>
      </c>
      <c r="C5538" s="8" t="s">
        <v>12873</v>
      </c>
      <c r="D5538" s="8" t="s">
        <v>12764</v>
      </c>
      <c r="E5538" s="9" t="str">
        <f aca="false">HYPERLINK("https://twitter.com/RiGuy5s/status/922337884010569729","922337884010569729")</f>
        <v>922337884010569729</v>
      </c>
      <c r="F5538" s="10" t="s">
        <v>39</v>
      </c>
      <c r="G5538" s="10" t="n">
        <v>57</v>
      </c>
      <c r="H5538" s="10" t="n">
        <v>89</v>
      </c>
      <c r="I5538" s="10" t="n">
        <v>170</v>
      </c>
      <c r="J5538" s="10" t="n">
        <v>0</v>
      </c>
      <c r="K5538" s="10" t="s">
        <v>20</v>
      </c>
      <c r="L5538" s="11" t="n">
        <v>42986.4426736111</v>
      </c>
      <c r="M5538" s="12" t="s">
        <v>12874</v>
      </c>
      <c r="N5538" s="12" t="s">
        <v>12875</v>
      </c>
      <c r="O5538" s="9" t="str">
        <f aca="false">HYPERLINK("https://pbs.twimg.com/profile_images/906214143719378944/4WpDISvr_normal.jpg","View")</f>
        <v>View</v>
      </c>
      <c r="P5538" s="10"/>
    </row>
    <row r="5539" customFormat="false" ht="15.75" hidden="false" customHeight="false" outlineLevel="0" collapsed="false">
      <c r="A5539" s="6" t="n">
        <v>43030.9475231481</v>
      </c>
      <c r="B5539" s="7" t="str">
        <f aca="false">HYPERLINK("https://twitter.com/RadioNightwatch","@RadioNightwatch")</f>
        <v>@RadioNightwatch</v>
      </c>
      <c r="C5539" s="8" t="s">
        <v>12876</v>
      </c>
      <c r="D5539" s="8" t="s">
        <v>12877</v>
      </c>
      <c r="E5539" s="9" t="str">
        <f aca="false">HYPERLINK("https://twitter.com/RadioNightwatch/status/922337899550519296","922337899550519296")</f>
        <v>922337899550519296</v>
      </c>
      <c r="F5539" s="10" t="s">
        <v>39</v>
      </c>
      <c r="G5539" s="10" t="n">
        <v>1010</v>
      </c>
      <c r="H5539" s="10" t="n">
        <v>1481</v>
      </c>
      <c r="I5539" s="10" t="n">
        <v>0</v>
      </c>
      <c r="J5539" s="10" t="n">
        <v>0</v>
      </c>
      <c r="K5539" s="10" t="s">
        <v>20</v>
      </c>
      <c r="L5539" s="11" t="n">
        <v>41359.2838425926</v>
      </c>
      <c r="M5539" s="12" t="s">
        <v>12878</v>
      </c>
      <c r="N5539" s="12"/>
      <c r="O5539" s="9" t="str">
        <f aca="false">HYPERLINK("https://pbs.twimg.com/profile_images/827458706514272256/qiBdABqE_normal.jpg","View")</f>
        <v>View</v>
      </c>
      <c r="P5539" s="10"/>
    </row>
    <row r="5540" customFormat="false" ht="15.75" hidden="false" customHeight="false" outlineLevel="0" collapsed="false">
      <c r="A5540" s="6" t="n">
        <v>43030.9475347222</v>
      </c>
      <c r="B5540" s="7" t="str">
        <f aca="false">HYPERLINK("https://twitter.com/thenewsstreet","@thenewsstreet")</f>
        <v>@thenewsstreet</v>
      </c>
      <c r="C5540" s="8" t="s">
        <v>12879</v>
      </c>
      <c r="D5540" s="8" t="s">
        <v>12764</v>
      </c>
      <c r="E5540" s="9" t="str">
        <f aca="false">HYPERLINK("https://twitter.com/thenewsstreet/status/922337904839376896","922337904839376896")</f>
        <v>922337904839376896</v>
      </c>
      <c r="F5540" s="10" t="s">
        <v>25</v>
      </c>
      <c r="G5540" s="10" t="n">
        <v>1481</v>
      </c>
      <c r="H5540" s="10" t="n">
        <v>5</v>
      </c>
      <c r="I5540" s="10" t="n">
        <v>170</v>
      </c>
      <c r="J5540" s="10" t="n">
        <v>0</v>
      </c>
      <c r="K5540" s="10" t="s">
        <v>20</v>
      </c>
      <c r="L5540" s="11" t="n">
        <v>43023.4164699074</v>
      </c>
      <c r="M5540" s="12" t="s">
        <v>4830</v>
      </c>
      <c r="N5540" s="12" t="s">
        <v>12880</v>
      </c>
      <c r="O5540" s="9" t="str">
        <f aca="false">HYPERLINK("https://pbs.twimg.com/profile_images/920972558299574273/lXW6xEnR_normal.jpg","View")</f>
        <v>View</v>
      </c>
      <c r="P5540" s="10"/>
    </row>
    <row r="5541" customFormat="false" ht="15.75" hidden="false" customHeight="false" outlineLevel="0" collapsed="false">
      <c r="A5541" s="6" t="n">
        <v>43030.9475462963</v>
      </c>
      <c r="B5541" s="7" t="str">
        <f aca="false">HYPERLINK("https://twitter.com/EnterateLine","@EnterateLine")</f>
        <v>@EnterateLine</v>
      </c>
      <c r="C5541" s="8" t="s">
        <v>386</v>
      </c>
      <c r="D5541" s="8" t="s">
        <v>12881</v>
      </c>
      <c r="E5541" s="9" t="str">
        <f aca="false">HYPERLINK("https://twitter.com/EnterateLine/status/922337911462391808","922337911462391808")</f>
        <v>922337911462391808</v>
      </c>
      <c r="F5541" s="10" t="s">
        <v>60</v>
      </c>
      <c r="G5541" s="10" t="n">
        <v>91</v>
      </c>
      <c r="H5541" s="10" t="n">
        <v>287</v>
      </c>
      <c r="I5541" s="10" t="n">
        <v>0</v>
      </c>
      <c r="J5541" s="10" t="n">
        <v>0</v>
      </c>
      <c r="K5541" s="10" t="s">
        <v>20</v>
      </c>
      <c r="L5541" s="11" t="n">
        <v>42359.3627893519</v>
      </c>
      <c r="M5541" s="12"/>
      <c r="N5541" s="12" t="s">
        <v>388</v>
      </c>
      <c r="O5541" s="9" t="str">
        <f aca="false">HYPERLINK("https://pbs.twimg.com/profile_images/678983367065473025/cUEB_npM_normal.png","View")</f>
        <v>View</v>
      </c>
      <c r="P5541" s="10"/>
    </row>
    <row r="5542" customFormat="false" ht="15.75" hidden="false" customHeight="false" outlineLevel="0" collapsed="false">
      <c r="A5542" s="6" t="n">
        <v>43030.9476736111</v>
      </c>
      <c r="B5542" s="7" t="str">
        <f aca="false">HYPERLINK("https://twitter.com/benvele32","@benvele32")</f>
        <v>@benvele32</v>
      </c>
      <c r="C5542" s="8" t="s">
        <v>12882</v>
      </c>
      <c r="D5542" s="8" t="s">
        <v>12764</v>
      </c>
      <c r="E5542" s="9" t="str">
        <f aca="false">HYPERLINK("https://twitter.com/benvele32/status/922337954688839681","922337954688839681")</f>
        <v>922337954688839681</v>
      </c>
      <c r="F5542" s="10" t="s">
        <v>39</v>
      </c>
      <c r="G5542" s="10" t="n">
        <v>647</v>
      </c>
      <c r="H5542" s="10" t="n">
        <v>418</v>
      </c>
      <c r="I5542" s="10" t="n">
        <v>170</v>
      </c>
      <c r="J5542" s="10" t="n">
        <v>0</v>
      </c>
      <c r="K5542" s="10" t="s">
        <v>20</v>
      </c>
      <c r="L5542" s="11" t="n">
        <v>41418.402337963</v>
      </c>
      <c r="M5542" s="12"/>
      <c r="N5542" s="12"/>
      <c r="O5542" s="9" t="str">
        <f aca="false">HYPERLINK("https://pbs.twimg.com/profile_images/744886926918942720/efTFVuL0_normal.jpg","View")</f>
        <v>View</v>
      </c>
      <c r="P5542" s="10"/>
    </row>
    <row r="5543" customFormat="false" ht="15.75" hidden="false" customHeight="false" outlineLevel="0" collapsed="false">
      <c r="A5543" s="6" t="n">
        <v>43030.9477199074</v>
      </c>
      <c r="B5543" s="7" t="str">
        <f aca="false">HYPERLINK("https://twitter.com/ThinkTechSoapBx","@ThinkTechSoapBx")</f>
        <v>@ThinkTechSoapBx</v>
      </c>
      <c r="C5543" s="8" t="s">
        <v>12883</v>
      </c>
      <c r="D5543" s="8" t="s">
        <v>12764</v>
      </c>
      <c r="E5543" s="9" t="str">
        <f aca="false">HYPERLINK("https://twitter.com/ThinkTechSoapBx/status/922337971583332352","922337971583332352")</f>
        <v>922337971583332352</v>
      </c>
      <c r="F5543" s="10" t="s">
        <v>39</v>
      </c>
      <c r="G5543" s="10" t="n">
        <v>434</v>
      </c>
      <c r="H5543" s="10" t="n">
        <v>1447</v>
      </c>
      <c r="I5543" s="10" t="n">
        <v>170</v>
      </c>
      <c r="J5543" s="10" t="n">
        <v>0</v>
      </c>
      <c r="K5543" s="10" t="s">
        <v>20</v>
      </c>
      <c r="L5543" s="11" t="n">
        <v>42538.850625</v>
      </c>
      <c r="M5543" s="12" t="s">
        <v>295</v>
      </c>
      <c r="N5543" s="12" t="s">
        <v>12884</v>
      </c>
      <c r="O5543" s="9" t="str">
        <f aca="false">HYPERLINK("https://pbs.twimg.com/profile_images/873351357901676544/o5DqvSDB_normal.jpg","View")</f>
        <v>View</v>
      </c>
      <c r="P5543" s="10"/>
    </row>
    <row r="5544" customFormat="false" ht="15.75" hidden="false" customHeight="false" outlineLevel="0" collapsed="false">
      <c r="A5544" s="6" t="n">
        <v>43030.9477430556</v>
      </c>
      <c r="B5544" s="7" t="str">
        <f aca="false">HYPERLINK("https://twitter.com/aqui_ak","@aqui_ak")</f>
        <v>@aqui_ak</v>
      </c>
      <c r="C5544" s="8" t="s">
        <v>12885</v>
      </c>
      <c r="D5544" s="8" t="s">
        <v>12764</v>
      </c>
      <c r="E5544" s="9" t="str">
        <f aca="false">HYPERLINK("https://twitter.com/aqui_ak/status/922337981842599941","922337981842599941")</f>
        <v>922337981842599941</v>
      </c>
      <c r="F5544" s="10" t="s">
        <v>51</v>
      </c>
      <c r="G5544" s="10" t="n">
        <v>29</v>
      </c>
      <c r="H5544" s="10" t="n">
        <v>99</v>
      </c>
      <c r="I5544" s="10" t="n">
        <v>170</v>
      </c>
      <c r="J5544" s="10" t="n">
        <v>0</v>
      </c>
      <c r="K5544" s="10" t="s">
        <v>20</v>
      </c>
      <c r="L5544" s="11" t="n">
        <v>42635.0549537037</v>
      </c>
      <c r="M5544" s="12" t="s">
        <v>588</v>
      </c>
      <c r="N5544" s="12" t="s">
        <v>12886</v>
      </c>
      <c r="O5544" s="9" t="str">
        <f aca="false">HYPERLINK("https://pbs.twimg.com/profile_images/778877652711026688/k7xbK1KF_normal.jpg","View")</f>
        <v>View</v>
      </c>
      <c r="P5544" s="10"/>
    </row>
    <row r="5545" customFormat="false" ht="15.75" hidden="false" customHeight="false" outlineLevel="0" collapsed="false">
      <c r="A5545" s="6" t="n">
        <v>43030.9477546296</v>
      </c>
      <c r="B5545" s="7" t="str">
        <f aca="false">HYPERLINK("https://twitter.com/509ShawnG","@509ShawnG")</f>
        <v>@509ShawnG</v>
      </c>
      <c r="C5545" s="8" t="s">
        <v>12887</v>
      </c>
      <c r="D5545" s="8" t="s">
        <v>12764</v>
      </c>
      <c r="E5545" s="9" t="str">
        <f aca="false">HYPERLINK("https://twitter.com/509ShawnG/status/922337985277739008","922337985277739008")</f>
        <v>922337985277739008</v>
      </c>
      <c r="F5545" s="10" t="s">
        <v>25</v>
      </c>
      <c r="G5545" s="10" t="n">
        <v>240</v>
      </c>
      <c r="H5545" s="10" t="n">
        <v>1118</v>
      </c>
      <c r="I5545" s="10" t="n">
        <v>170</v>
      </c>
      <c r="J5545" s="10" t="n">
        <v>0</v>
      </c>
      <c r="K5545" s="10" t="s">
        <v>20</v>
      </c>
      <c r="L5545" s="11" t="n">
        <v>42675.8587037037</v>
      </c>
      <c r="M5545" s="12" t="s">
        <v>12888</v>
      </c>
      <c r="N5545" s="12" t="s">
        <v>12889</v>
      </c>
      <c r="O5545" s="9" t="str">
        <f aca="false">HYPERLINK("https://pbs.twimg.com/profile_images/878912427923984384/ZmVfeRAI_normal.jpg","View")</f>
        <v>View</v>
      </c>
      <c r="P5545" s="10"/>
    </row>
    <row r="5546" customFormat="false" ht="15.75" hidden="false" customHeight="false" outlineLevel="0" collapsed="false">
      <c r="A5546" s="6" t="n">
        <v>43030.9477546296</v>
      </c>
      <c r="B5546" s="7" t="str">
        <f aca="false">HYPERLINK("https://twitter.com/CaliKsitigarbha","@CaliKsitigarbha")</f>
        <v>@CaliKsitigarbha</v>
      </c>
      <c r="C5546" s="8" t="s">
        <v>12890</v>
      </c>
      <c r="D5546" s="8" t="s">
        <v>12764</v>
      </c>
      <c r="E5546" s="9" t="str">
        <f aca="false">HYPERLINK("https://twitter.com/CaliKsitigarbha/status/922337985760129025","922337985760129025")</f>
        <v>922337985760129025</v>
      </c>
      <c r="F5546" s="10" t="s">
        <v>177</v>
      </c>
      <c r="G5546" s="10" t="n">
        <v>27</v>
      </c>
      <c r="H5546" s="10" t="n">
        <v>124</v>
      </c>
      <c r="I5546" s="10" t="n">
        <v>170</v>
      </c>
      <c r="J5546" s="10" t="n">
        <v>0</v>
      </c>
      <c r="K5546" s="10" t="s">
        <v>20</v>
      </c>
      <c r="L5546" s="11" t="n">
        <v>42842.3668287037</v>
      </c>
      <c r="M5546" s="12" t="s">
        <v>12891</v>
      </c>
      <c r="N5546" s="12"/>
      <c r="O5546" s="9" t="str">
        <f aca="false">HYPERLINK("https://pbs.twimg.com/profile_images/915010186607181824/Pb9H8_3U_normal.jpg","View")</f>
        <v>View</v>
      </c>
      <c r="P5546" s="10"/>
    </row>
    <row r="5547" customFormat="false" ht="15.75" hidden="false" customHeight="false" outlineLevel="0" collapsed="false">
      <c r="A5547" s="6" t="n">
        <v>43030.9477662037</v>
      </c>
      <c r="B5547" s="7" t="str">
        <f aca="false">HYPERLINK("https://twitter.com/bgsharpy","@bgsharpy")</f>
        <v>@bgsharpy</v>
      </c>
      <c r="C5547" s="8" t="s">
        <v>12892</v>
      </c>
      <c r="D5547" s="8" t="s">
        <v>12764</v>
      </c>
      <c r="E5547" s="9" t="str">
        <f aca="false">HYPERLINK("https://twitter.com/bgsharpy/status/922337989614858240","922337989614858240")</f>
        <v>922337989614858240</v>
      </c>
      <c r="F5547" s="10" t="s">
        <v>51</v>
      </c>
      <c r="G5547" s="10" t="n">
        <v>1411</v>
      </c>
      <c r="H5547" s="10" t="n">
        <v>2076</v>
      </c>
      <c r="I5547" s="10" t="n">
        <v>170</v>
      </c>
      <c r="J5547" s="10" t="n">
        <v>0</v>
      </c>
      <c r="K5547" s="10" t="s">
        <v>20</v>
      </c>
      <c r="L5547" s="11" t="n">
        <v>40006.2633101852</v>
      </c>
      <c r="M5547" s="12" t="s">
        <v>8508</v>
      </c>
      <c r="N5547" s="12" t="s">
        <v>12893</v>
      </c>
      <c r="O5547" s="9" t="str">
        <f aca="false">HYPERLINK("https://pbs.twimg.com/profile_images/824978400712466432/cdz2xBpB_normal.jpg","View")</f>
        <v>View</v>
      </c>
      <c r="P5547" s="10"/>
    </row>
    <row r="5548" customFormat="false" ht="15.75" hidden="false" customHeight="false" outlineLevel="0" collapsed="false">
      <c r="A5548" s="6" t="n">
        <v>43030.9478819444</v>
      </c>
      <c r="B5548" s="7" t="str">
        <f aca="false">HYPERLINK("https://twitter.com/Aubriee_P","@Aubriee_P")</f>
        <v>@Aubriee_P</v>
      </c>
      <c r="C5548" s="8" t="s">
        <v>12894</v>
      </c>
      <c r="D5548" s="8" t="s">
        <v>12860</v>
      </c>
      <c r="E5548" s="9" t="str">
        <f aca="false">HYPERLINK("https://twitter.com/Aubriee_P/status/922338030760771584","922338030760771584")</f>
        <v>922338030760771584</v>
      </c>
      <c r="F5548" s="10" t="s">
        <v>25</v>
      </c>
      <c r="G5548" s="10" t="n">
        <v>32</v>
      </c>
      <c r="H5548" s="10" t="n">
        <v>110</v>
      </c>
      <c r="I5548" s="10" t="n">
        <v>7</v>
      </c>
      <c r="J5548" s="10" t="n">
        <v>0</v>
      </c>
      <c r="K5548" s="10" t="s">
        <v>20</v>
      </c>
      <c r="L5548" s="11" t="n">
        <v>42153.0550231481</v>
      </c>
      <c r="M5548" s="12" t="s">
        <v>7434</v>
      </c>
      <c r="N5548" s="12"/>
      <c r="O5548" s="9" t="str">
        <f aca="false">HYPERLINK("https://pbs.twimg.com/profile_images/871977760683573252/oCLPwGXl_normal.jpg","View")</f>
        <v>View</v>
      </c>
      <c r="P5548" s="10"/>
    </row>
    <row r="5549" customFormat="false" ht="15.75" hidden="false" customHeight="false" outlineLevel="0" collapsed="false">
      <c r="A5549" s="6" t="n">
        <v>43030.9478819444</v>
      </c>
      <c r="B5549" s="7" t="str">
        <f aca="false">HYPERLINK("https://twitter.com/PenguinDev_","@PenguinDev_")</f>
        <v>@PenguinDev_</v>
      </c>
      <c r="C5549" s="8" t="s">
        <v>12895</v>
      </c>
      <c r="D5549" s="8" t="s">
        <v>12896</v>
      </c>
      <c r="E5549" s="9" t="str">
        <f aca="false">HYPERLINK("https://twitter.com/PenguinDev_/status/922338033160003584","922338033160003584")</f>
        <v>922338033160003584</v>
      </c>
      <c r="F5549" s="10" t="s">
        <v>12895</v>
      </c>
      <c r="G5549" s="10" t="n">
        <v>11</v>
      </c>
      <c r="H5549" s="10" t="n">
        <v>0</v>
      </c>
      <c r="I5549" s="10" t="n">
        <v>0</v>
      </c>
      <c r="J5549" s="10" t="n">
        <v>0</v>
      </c>
      <c r="K5549" s="10" t="s">
        <v>20</v>
      </c>
      <c r="L5549" s="11" t="n">
        <v>42705.5123032408</v>
      </c>
      <c r="M5549" s="12"/>
      <c r="N5549" s="12" t="s">
        <v>12897</v>
      </c>
      <c r="O5549" s="9" t="str">
        <f aca="false">HYPERLINK("https://pbs.twimg.com/profile_images/836319509891907584/ZsfMh7-h_normal.jpg","View")</f>
        <v>View</v>
      </c>
      <c r="P5549" s="10"/>
    </row>
    <row r="5550" customFormat="false" ht="15.75" hidden="false" customHeight="false" outlineLevel="0" collapsed="false">
      <c r="A5550" s="6" t="n">
        <v>43030.9479050926</v>
      </c>
      <c r="B5550" s="7" t="str">
        <f aca="false">HYPERLINK("https://twitter.com/ProfNikhilCelly","@ProfNikhilCelly")</f>
        <v>@ProfNikhilCelly</v>
      </c>
      <c r="C5550" s="8" t="s">
        <v>12898</v>
      </c>
      <c r="D5550" s="8" t="s">
        <v>11418</v>
      </c>
      <c r="E5550" s="9" t="str">
        <f aca="false">HYPERLINK("https://twitter.com/ProfNikhilCelly/status/922338040730800128","922338040730800128")</f>
        <v>922338040730800128</v>
      </c>
      <c r="F5550" s="10" t="s">
        <v>51</v>
      </c>
      <c r="G5550" s="10" t="n">
        <v>26</v>
      </c>
      <c r="H5550" s="10" t="n">
        <v>84</v>
      </c>
      <c r="I5550" s="10" t="n">
        <v>38</v>
      </c>
      <c r="J5550" s="10" t="n">
        <v>0</v>
      </c>
      <c r="K5550" s="10" t="s">
        <v>20</v>
      </c>
      <c r="L5550" s="11" t="n">
        <v>42691.5480787037</v>
      </c>
      <c r="M5550" s="12" t="s">
        <v>8508</v>
      </c>
      <c r="N5550" s="12" t="s">
        <v>12899</v>
      </c>
      <c r="O5550" s="9" t="str">
        <f aca="false">HYPERLINK("https://pbs.twimg.com/profile_images/803871540743847936/RnmFBNxc_normal.jpg","View")</f>
        <v>View</v>
      </c>
      <c r="P5550" s="10"/>
    </row>
    <row r="5551" customFormat="false" ht="15.75" hidden="false" customHeight="false" outlineLevel="0" collapsed="false">
      <c r="A5551" s="6" t="n">
        <v>43030.9479398148</v>
      </c>
      <c r="B5551" s="7" t="str">
        <f aca="false">HYPERLINK("https://twitter.com/jimmyhoshi","@jimmyhoshi")</f>
        <v>@jimmyhoshi</v>
      </c>
      <c r="C5551" s="8" t="s">
        <v>1651</v>
      </c>
      <c r="D5551" s="8" t="s">
        <v>12900</v>
      </c>
      <c r="E5551" s="9" t="str">
        <f aca="false">HYPERLINK("https://twitter.com/jimmyhoshi/status/922338053254889472","922338053254889472")</f>
        <v>922338053254889472</v>
      </c>
      <c r="F5551" s="10" t="s">
        <v>1653</v>
      </c>
      <c r="G5551" s="10" t="n">
        <v>8715</v>
      </c>
      <c r="H5551" s="10" t="n">
        <v>8482</v>
      </c>
      <c r="I5551" s="10" t="n">
        <v>0</v>
      </c>
      <c r="J5551" s="10" t="n">
        <v>0</v>
      </c>
      <c r="K5551" s="10" t="s">
        <v>20</v>
      </c>
      <c r="L5551" s="11" t="n">
        <v>41922.7041087963</v>
      </c>
      <c r="M5551" s="12" t="s">
        <v>1654</v>
      </c>
      <c r="N5551" s="12" t="s">
        <v>1655</v>
      </c>
      <c r="O5551" s="9" t="str">
        <f aca="false">HYPERLINK("https://pbs.twimg.com/profile_images/525551979565555712/q1hl0v2W_normal.png","View")</f>
        <v>View</v>
      </c>
      <c r="P5551" s="10"/>
    </row>
    <row r="5552" customFormat="false" ht="15.75" hidden="false" customHeight="false" outlineLevel="0" collapsed="false">
      <c r="A5552" s="6" t="n">
        <v>43030.9482291667</v>
      </c>
      <c r="B5552" s="7" t="str">
        <f aca="false">HYPERLINK("https://twitter.com/LouisDeLuque","@LouisDeLuque")</f>
        <v>@LouisDeLuque</v>
      </c>
      <c r="C5552" s="8" t="s">
        <v>12901</v>
      </c>
      <c r="D5552" s="8" t="s">
        <v>12764</v>
      </c>
      <c r="E5552" s="9" t="str">
        <f aca="false">HYPERLINK("https://twitter.com/LouisDeLuque/status/922338155591880704","922338155591880704")</f>
        <v>922338155591880704</v>
      </c>
      <c r="F5552" s="10" t="s">
        <v>39</v>
      </c>
      <c r="G5552" s="10" t="n">
        <v>309</v>
      </c>
      <c r="H5552" s="10" t="n">
        <v>858</v>
      </c>
      <c r="I5552" s="10" t="n">
        <v>170</v>
      </c>
      <c r="J5552" s="10" t="n">
        <v>0</v>
      </c>
      <c r="K5552" s="10" t="s">
        <v>20</v>
      </c>
      <c r="L5552" s="11" t="n">
        <v>42574.3649537037</v>
      </c>
      <c r="M5552" s="12" t="s">
        <v>12902</v>
      </c>
      <c r="N5552" s="12" t="s">
        <v>12903</v>
      </c>
      <c r="O5552" s="9" t="str">
        <f aca="false">HYPERLINK("https://pbs.twimg.com/profile_images/920122795144679424/uyVEnPk__normal.jpg","View")</f>
        <v>View</v>
      </c>
      <c r="P5552" s="10"/>
    </row>
    <row r="5553" customFormat="false" ht="15.75" hidden="false" customHeight="false" outlineLevel="0" collapsed="false">
      <c r="A5553" s="6" t="n">
        <v>43030.948275463</v>
      </c>
      <c r="B5553" s="7" t="str">
        <f aca="false">HYPERLINK("https://twitter.com/music4lifeintl","@music4lifeintl")</f>
        <v>@music4lifeintl</v>
      </c>
      <c r="C5553" s="8" t="s">
        <v>12904</v>
      </c>
      <c r="D5553" s="8" t="s">
        <v>12764</v>
      </c>
      <c r="E5553" s="9" t="str">
        <f aca="false">HYPERLINK("https://twitter.com/music4lifeintl/status/922338173908389888","922338173908389888")</f>
        <v>922338173908389888</v>
      </c>
      <c r="F5553" s="10" t="s">
        <v>51</v>
      </c>
      <c r="G5553" s="10" t="n">
        <v>1191</v>
      </c>
      <c r="H5553" s="10" t="n">
        <v>2009</v>
      </c>
      <c r="I5553" s="10" t="n">
        <v>170</v>
      </c>
      <c r="J5553" s="10" t="n">
        <v>0</v>
      </c>
      <c r="K5553" s="10" t="s">
        <v>20</v>
      </c>
      <c r="L5553" s="11" t="n">
        <v>40535.3423842593</v>
      </c>
      <c r="M5553" s="12" t="s">
        <v>491</v>
      </c>
      <c r="N5553" s="12" t="s">
        <v>12905</v>
      </c>
      <c r="O5553" s="9" t="str">
        <f aca="false">HYPERLINK("https://pbs.twimg.com/profile_images/814114023230894080/_PUt7ROh_normal.jpg","View")</f>
        <v>View</v>
      </c>
      <c r="P5553" s="10"/>
    </row>
    <row r="5554" customFormat="false" ht="15.75" hidden="false" customHeight="false" outlineLevel="0" collapsed="false">
      <c r="A5554" s="6" t="n">
        <v>43030.9483333333</v>
      </c>
      <c r="B5554" s="7" t="str">
        <f aca="false">HYPERLINK("https://twitter.com/yukokato1701","@yukokato1701")</f>
        <v>@yukokato1701</v>
      </c>
      <c r="C5554" s="8" t="s">
        <v>12906</v>
      </c>
      <c r="D5554" s="8" t="s">
        <v>12764</v>
      </c>
      <c r="E5554" s="9" t="str">
        <f aca="false">HYPERLINK("https://twitter.com/yukokato1701/status/922338195940941824","922338195940941824")</f>
        <v>922338195940941824</v>
      </c>
      <c r="F5554" s="10" t="s">
        <v>177</v>
      </c>
      <c r="G5554" s="10" t="n">
        <v>8698</v>
      </c>
      <c r="H5554" s="10" t="n">
        <v>2806</v>
      </c>
      <c r="I5554" s="10" t="n">
        <v>170</v>
      </c>
      <c r="J5554" s="10" t="n">
        <v>0</v>
      </c>
      <c r="K5554" s="10" t="s">
        <v>20</v>
      </c>
      <c r="L5554" s="11" t="n">
        <v>40284.9576388889</v>
      </c>
      <c r="M5554" s="12" t="s">
        <v>12907</v>
      </c>
      <c r="N5554" s="13" t="s">
        <v>12908</v>
      </c>
      <c r="O5554" s="9" t="str">
        <f aca="false">HYPERLINK("https://pbs.twimg.com/profile_images/875569349020442626/etCSQOya_normal.jpg","View")</f>
        <v>View</v>
      </c>
      <c r="P5554" s="10"/>
    </row>
    <row r="5555" customFormat="false" ht="15.75" hidden="false" customHeight="false" outlineLevel="0" collapsed="false">
      <c r="A5555" s="6" t="n">
        <v>43030.9483680556</v>
      </c>
      <c r="B5555" s="7" t="str">
        <f aca="false">HYPERLINK("https://twitter.com/TheBFRoom","@TheBFRoom")</f>
        <v>@TheBFRoom</v>
      </c>
      <c r="C5555" s="8" t="s">
        <v>674</v>
      </c>
      <c r="D5555" s="8" t="s">
        <v>12909</v>
      </c>
      <c r="E5555" s="9" t="str">
        <f aca="false">HYPERLINK("https://twitter.com/TheBFRoom/status/922338205944467456","922338205944467456")</f>
        <v>922338205944467456</v>
      </c>
      <c r="F5555" s="10" t="s">
        <v>60</v>
      </c>
      <c r="G5555" s="10" t="n">
        <v>3259</v>
      </c>
      <c r="H5555" s="10" t="n">
        <v>3958</v>
      </c>
      <c r="I5555" s="10" t="n">
        <v>0</v>
      </c>
      <c r="J5555" s="10" t="n">
        <v>0</v>
      </c>
      <c r="K5555" s="10" t="s">
        <v>20</v>
      </c>
      <c r="L5555" s="11" t="n">
        <v>42761.325162037</v>
      </c>
      <c r="M5555" s="12" t="s">
        <v>230</v>
      </c>
      <c r="N5555" s="12" t="s">
        <v>676</v>
      </c>
      <c r="O5555" s="9" t="str">
        <f aca="false">HYPERLINK("https://pbs.twimg.com/profile_images/898379268778020864/0u1zlj_B_normal.jpg","View")</f>
        <v>View</v>
      </c>
      <c r="P5555" s="10"/>
    </row>
    <row r="5556" customFormat="false" ht="15.75" hidden="false" customHeight="false" outlineLevel="0" collapsed="false">
      <c r="A5556" s="6" t="n">
        <v>43030.9485648148</v>
      </c>
      <c r="B5556" s="7" t="str">
        <f aca="false">HYPERLINK("https://twitter.com/GlobeWatchers","@GlobeWatchers")</f>
        <v>@GlobeWatchers</v>
      </c>
      <c r="C5556" s="8" t="s">
        <v>12910</v>
      </c>
      <c r="D5556" s="8" t="s">
        <v>12764</v>
      </c>
      <c r="E5556" s="9" t="str">
        <f aca="false">HYPERLINK("https://twitter.com/GlobeWatchers/status/922338279990669312","922338279990669312")</f>
        <v>922338279990669312</v>
      </c>
      <c r="F5556" s="10" t="s">
        <v>39</v>
      </c>
      <c r="G5556" s="10" t="n">
        <v>6</v>
      </c>
      <c r="H5556" s="10" t="n">
        <v>43</v>
      </c>
      <c r="I5556" s="10" t="n">
        <v>170</v>
      </c>
      <c r="J5556" s="10" t="n">
        <v>0</v>
      </c>
      <c r="K5556" s="10" t="s">
        <v>20</v>
      </c>
      <c r="L5556" s="11" t="n">
        <v>42936.4879513889</v>
      </c>
      <c r="M5556" s="12" t="s">
        <v>203</v>
      </c>
      <c r="N5556" s="12" t="s">
        <v>12911</v>
      </c>
      <c r="O5556" s="9" t="str">
        <f aca="false">HYPERLINK("https://pbs.twimg.com/profile_images/888117575845937158/j5kOw3gw_normal.jpg","View")</f>
        <v>View</v>
      </c>
      <c r="P5556" s="10"/>
    </row>
    <row r="5557" customFormat="false" ht="15.75" hidden="false" customHeight="false" outlineLevel="0" collapsed="false">
      <c r="A5557" s="6" t="n">
        <v>43030.948599537</v>
      </c>
      <c r="B5557" s="7" t="str">
        <f aca="false">HYPERLINK("https://twitter.com/Ales_IC","@Ales_IC")</f>
        <v>@Ales_IC</v>
      </c>
      <c r="C5557" s="8" t="s">
        <v>12912</v>
      </c>
      <c r="D5557" s="8" t="s">
        <v>12764</v>
      </c>
      <c r="E5557" s="9" t="str">
        <f aca="false">HYPERLINK("https://twitter.com/Ales_IC/status/922338291390787584","922338291390787584")</f>
        <v>922338291390787584</v>
      </c>
      <c r="F5557" s="10" t="s">
        <v>25</v>
      </c>
      <c r="G5557" s="10" t="n">
        <v>113</v>
      </c>
      <c r="H5557" s="10" t="n">
        <v>883</v>
      </c>
      <c r="I5557" s="10" t="n">
        <v>170</v>
      </c>
      <c r="J5557" s="10" t="n">
        <v>0</v>
      </c>
      <c r="K5557" s="10" t="s">
        <v>20</v>
      </c>
      <c r="L5557" s="11" t="n">
        <v>42401.4796527778</v>
      </c>
      <c r="M5557" s="12" t="s">
        <v>12913</v>
      </c>
      <c r="N5557" s="12" t="s">
        <v>12914</v>
      </c>
      <c r="O5557" s="9" t="str">
        <f aca="false">HYPERLINK("https://pbs.twimg.com/profile_images/859555853501964292/V4nOeHWf_normal.jpg","View")</f>
        <v>View</v>
      </c>
      <c r="P5557" s="10"/>
    </row>
    <row r="5558" customFormat="false" ht="15.75" hidden="false" customHeight="false" outlineLevel="0" collapsed="false">
      <c r="A5558" s="6" t="n">
        <v>43030.9486111111</v>
      </c>
      <c r="B5558" s="7" t="str">
        <f aca="false">HYPERLINK("https://twitter.com/MillmanWill","@MillmanWill")</f>
        <v>@MillmanWill</v>
      </c>
      <c r="C5558" s="8" t="s">
        <v>12915</v>
      </c>
      <c r="D5558" s="8" t="s">
        <v>12916</v>
      </c>
      <c r="E5558" s="9" t="str">
        <f aca="false">HYPERLINK("https://twitter.com/MillmanWill/status/922338295622795264","922338295622795264")</f>
        <v>922338295622795264</v>
      </c>
      <c r="F5558" s="10" t="s">
        <v>55</v>
      </c>
      <c r="G5558" s="10" t="n">
        <v>327</v>
      </c>
      <c r="H5558" s="10" t="n">
        <v>230</v>
      </c>
      <c r="I5558" s="10" t="n">
        <v>0</v>
      </c>
      <c r="J5558" s="10" t="n">
        <v>0</v>
      </c>
      <c r="K5558" s="10" t="s">
        <v>20</v>
      </c>
      <c r="L5558" s="11" t="n">
        <v>42359.2002546296</v>
      </c>
      <c r="M5558" s="12"/>
      <c r="N5558" s="12"/>
      <c r="O5558" s="9" t="str">
        <f aca="false">HYPERLINK("https://pbs.twimg.com/profile_images/678920614523084800/9NOXafXh_normal.jpg","View")</f>
        <v>View</v>
      </c>
      <c r="P5558" s="10"/>
    </row>
    <row r="5559" customFormat="false" ht="15.75" hidden="false" customHeight="false" outlineLevel="0" collapsed="false">
      <c r="A5559" s="6" t="n">
        <v>43030.9487847222</v>
      </c>
      <c r="B5559" s="7" t="str">
        <f aca="false">HYPERLINK("https://twitter.com/DanielCoulomb","@DanielCoulomb")</f>
        <v>@DanielCoulomb</v>
      </c>
      <c r="C5559" s="8" t="s">
        <v>12917</v>
      </c>
      <c r="D5559" s="8" t="s">
        <v>12918</v>
      </c>
      <c r="E5559" s="9" t="str">
        <f aca="false">HYPERLINK("https://twitter.com/DanielCoulomb/status/922338357413339136","922338357413339136")</f>
        <v>922338357413339136</v>
      </c>
      <c r="F5559" s="10" t="s">
        <v>51</v>
      </c>
      <c r="G5559" s="10" t="n">
        <v>634</v>
      </c>
      <c r="H5559" s="10" t="n">
        <v>572</v>
      </c>
      <c r="I5559" s="10" t="n">
        <v>1</v>
      </c>
      <c r="J5559" s="10" t="n">
        <v>0</v>
      </c>
      <c r="K5559" s="10" t="s">
        <v>20</v>
      </c>
      <c r="L5559" s="11" t="n">
        <v>40674.3058333333</v>
      </c>
      <c r="M5559" s="12"/>
      <c r="N5559" s="12" t="s">
        <v>12919</v>
      </c>
      <c r="O5559" s="9" t="str">
        <f aca="false">HYPERLINK("https://pbs.twimg.com/profile_images/822175177052065792/A4zgCNOP_normal.jpg","View")</f>
        <v>View</v>
      </c>
      <c r="P5559" s="10"/>
    </row>
    <row r="5560" customFormat="false" ht="15.75" hidden="false" customHeight="false" outlineLevel="0" collapsed="false">
      <c r="A5560" s="6" t="n">
        <v>43030.9487847222</v>
      </c>
      <c r="B5560" s="7" t="str">
        <f aca="false">HYPERLINK("https://twitter.com/KavyaShree55","@KavyaShree55")</f>
        <v>@KavyaShree55</v>
      </c>
      <c r="C5560" s="8" t="s">
        <v>12920</v>
      </c>
      <c r="D5560" s="8" t="s">
        <v>12860</v>
      </c>
      <c r="E5560" s="9" t="str">
        <f aca="false">HYPERLINK("https://twitter.com/KavyaShree55/status/922338358205935616","922338358205935616")</f>
        <v>922338358205935616</v>
      </c>
      <c r="F5560" s="10" t="s">
        <v>25</v>
      </c>
      <c r="G5560" s="10" t="n">
        <v>15</v>
      </c>
      <c r="H5560" s="10" t="n">
        <v>22</v>
      </c>
      <c r="I5560" s="10" t="n">
        <v>7</v>
      </c>
      <c r="J5560" s="10" t="n">
        <v>0</v>
      </c>
      <c r="K5560" s="10" t="s">
        <v>20</v>
      </c>
      <c r="L5560" s="11" t="n">
        <v>42891.9933796296</v>
      </c>
      <c r="M5560" s="12" t="s">
        <v>6635</v>
      </c>
      <c r="N5560" s="12"/>
      <c r="O5560" s="9" t="str">
        <f aca="false">HYPERLINK("https://pbs.twimg.com/profile_images/871985790686863360/Ws2N55cm_normal.jpg","View")</f>
        <v>View</v>
      </c>
      <c r="P5560" s="10"/>
    </row>
    <row r="5561" customFormat="false" ht="15.75" hidden="false" customHeight="false" outlineLevel="0" collapsed="false">
      <c r="A5561" s="6" t="n">
        <v>43030.9488657407</v>
      </c>
      <c r="B5561" s="7" t="str">
        <f aca="false">HYPERLINK("https://twitter.com/ethicalman3","@ethicalman3")</f>
        <v>@ethicalman3</v>
      </c>
      <c r="C5561" s="8" t="s">
        <v>12921</v>
      </c>
      <c r="D5561" s="8" t="s">
        <v>8538</v>
      </c>
      <c r="E5561" s="9" t="str">
        <f aca="false">HYPERLINK("https://twitter.com/ethicalman3/status/922338386844598272","922338386844598272")</f>
        <v>922338386844598272</v>
      </c>
      <c r="F5561" s="10" t="s">
        <v>39</v>
      </c>
      <c r="G5561" s="10" t="n">
        <v>660</v>
      </c>
      <c r="H5561" s="10" t="n">
        <v>75</v>
      </c>
      <c r="I5561" s="10" t="n">
        <v>1015</v>
      </c>
      <c r="J5561" s="10" t="n">
        <v>0</v>
      </c>
      <c r="K5561" s="10" t="s">
        <v>20</v>
      </c>
      <c r="L5561" s="11" t="n">
        <v>40204.3021759259</v>
      </c>
      <c r="M5561" s="12" t="s">
        <v>12922</v>
      </c>
      <c r="N5561" s="12" t="s">
        <v>12923</v>
      </c>
      <c r="O5561" s="9" t="str">
        <f aca="false">HYPERLINK("https://pbs.twimg.com/profile_images/2960463258/d0f0f1201c3ec36a9c6f94a97fa010a9_normal.jpeg","View")</f>
        <v>View</v>
      </c>
      <c r="P5561" s="10"/>
    </row>
    <row r="5562" customFormat="false" ht="15.75" hidden="false" customHeight="false" outlineLevel="0" collapsed="false">
      <c r="A5562" s="6" t="n">
        <v>43030.9489351852</v>
      </c>
      <c r="B5562" s="7" t="str">
        <f aca="false">HYPERLINK("https://twitter.com/knedge","@knedge")</f>
        <v>@knedge</v>
      </c>
      <c r="C5562" s="8" t="s">
        <v>12924</v>
      </c>
      <c r="D5562" s="8" t="s">
        <v>8538</v>
      </c>
      <c r="E5562" s="9" t="str">
        <f aca="false">HYPERLINK("https://twitter.com/knedge/status/922338412711079936","922338412711079936")</f>
        <v>922338412711079936</v>
      </c>
      <c r="F5562" s="10" t="s">
        <v>25</v>
      </c>
      <c r="G5562" s="10" t="n">
        <v>1578</v>
      </c>
      <c r="H5562" s="10" t="n">
        <v>1698</v>
      </c>
      <c r="I5562" s="10" t="n">
        <v>1015</v>
      </c>
      <c r="J5562" s="10" t="n">
        <v>0</v>
      </c>
      <c r="K5562" s="10" t="s">
        <v>20</v>
      </c>
      <c r="L5562" s="11" t="n">
        <v>40219.175</v>
      </c>
      <c r="M5562" s="12" t="s">
        <v>860</v>
      </c>
      <c r="N5562" s="12" t="s">
        <v>12925</v>
      </c>
      <c r="O5562" s="9" t="str">
        <f aca="false">HYPERLINK("https://pbs.twimg.com/profile_images/740253976025669633/wdHAI_Qi_normal.jpg","View")</f>
        <v>View</v>
      </c>
      <c r="P5562" s="10"/>
    </row>
    <row r="5563" customFormat="false" ht="15.75" hidden="false" customHeight="false" outlineLevel="0" collapsed="false">
      <c r="A5563" s="6" t="n">
        <v>43030.9489583333</v>
      </c>
      <c r="B5563" s="7" t="str">
        <f aca="false">HYPERLINK("https://twitter.com/BlackMercy","@BlackMercy")</f>
        <v>@BlackMercy</v>
      </c>
      <c r="C5563" s="8" t="s">
        <v>12926</v>
      </c>
      <c r="D5563" s="8" t="s">
        <v>12764</v>
      </c>
      <c r="E5563" s="9" t="str">
        <f aca="false">HYPERLINK("https://twitter.com/BlackMercy/status/922338422500368384","922338422500368384")</f>
        <v>922338422500368384</v>
      </c>
      <c r="F5563" s="10" t="s">
        <v>39</v>
      </c>
      <c r="G5563" s="10" t="n">
        <v>473</v>
      </c>
      <c r="H5563" s="10" t="n">
        <v>161</v>
      </c>
      <c r="I5563" s="10" t="n">
        <v>170</v>
      </c>
      <c r="J5563" s="10" t="n">
        <v>0</v>
      </c>
      <c r="K5563" s="10" t="s">
        <v>20</v>
      </c>
      <c r="L5563" s="11" t="n">
        <v>40001.9265856482</v>
      </c>
      <c r="M5563" s="12" t="s">
        <v>12927</v>
      </c>
      <c r="N5563" s="12" t="s">
        <v>12928</v>
      </c>
      <c r="O5563" s="9" t="str">
        <f aca="false">HYPERLINK("https://pbs.twimg.com/profile_images/790486062254530560/WPVw8UZp_normal.jpg","View")</f>
        <v>View</v>
      </c>
      <c r="P5563" s="10"/>
    </row>
    <row r="5564" customFormat="false" ht="15.75" hidden="false" customHeight="false" outlineLevel="0" collapsed="false">
      <c r="A5564" s="6" t="n">
        <v>43030.9491087963</v>
      </c>
      <c r="B5564" s="7" t="str">
        <f aca="false">HYPERLINK("https://twitter.com/StavrosLazarou","@StavrosLazarou")</f>
        <v>@StavrosLazarou</v>
      </c>
      <c r="C5564" s="8" t="s">
        <v>12929</v>
      </c>
      <c r="D5564" s="8" t="s">
        <v>12930</v>
      </c>
      <c r="E5564" s="9" t="str">
        <f aca="false">HYPERLINK("https://twitter.com/StavrosLazarou/status/922338474627387392","922338474627387392")</f>
        <v>922338474627387392</v>
      </c>
      <c r="F5564" s="10" t="s">
        <v>39</v>
      </c>
      <c r="G5564" s="10" t="n">
        <v>237</v>
      </c>
      <c r="H5564" s="10" t="n">
        <v>95</v>
      </c>
      <c r="I5564" s="10" t="n">
        <v>0</v>
      </c>
      <c r="J5564" s="10" t="n">
        <v>0</v>
      </c>
      <c r="K5564" s="10" t="s">
        <v>20</v>
      </c>
      <c r="L5564" s="11" t="n">
        <v>41948.9908449074</v>
      </c>
      <c r="M5564" s="12" t="s">
        <v>2521</v>
      </c>
      <c r="N5564" s="12" t="s">
        <v>12931</v>
      </c>
      <c r="O5564" s="9" t="str">
        <f aca="false">HYPERLINK("https://pbs.twimg.com/profile_images/881410096877719552/axY9W1C5_normal.jpg","View")</f>
        <v>View</v>
      </c>
      <c r="P5564" s="10"/>
    </row>
    <row r="5565" customFormat="false" ht="15.75" hidden="false" customHeight="false" outlineLevel="0" collapsed="false">
      <c r="A5565" s="6" t="n">
        <v>43030.949212963</v>
      </c>
      <c r="B5565" s="7" t="str">
        <f aca="false">HYPERLINK("https://twitter.com/LoveSunshine125","@LoveSunshine125")</f>
        <v>@LoveSunshine125</v>
      </c>
      <c r="C5565" s="8" t="s">
        <v>12932</v>
      </c>
      <c r="D5565" s="8" t="s">
        <v>12764</v>
      </c>
      <c r="E5565" s="9" t="str">
        <f aca="false">HYPERLINK("https://twitter.com/LoveSunshine125/status/922338514083164160","922338514083164160")</f>
        <v>922338514083164160</v>
      </c>
      <c r="F5565" s="10" t="s">
        <v>51</v>
      </c>
      <c r="G5565" s="10" t="n">
        <v>6</v>
      </c>
      <c r="H5565" s="10" t="n">
        <v>20</v>
      </c>
      <c r="I5565" s="10" t="n">
        <v>170</v>
      </c>
      <c r="J5565" s="10" t="n">
        <v>0</v>
      </c>
      <c r="K5565" s="10" t="s">
        <v>20</v>
      </c>
      <c r="L5565" s="11" t="n">
        <v>42949.8086574074</v>
      </c>
      <c r="M5565" s="12" t="s">
        <v>12933</v>
      </c>
      <c r="N5565" s="12" t="s">
        <v>12934</v>
      </c>
      <c r="O5565" s="9" t="str">
        <f aca="false">HYPERLINK("https://pbs.twimg.com/profile_images/920054209327828992/PhmT3GJk_normal.jpg","View")</f>
        <v>View</v>
      </c>
      <c r="P5565" s="10"/>
    </row>
    <row r="5566" customFormat="false" ht="15.75" hidden="false" customHeight="false" outlineLevel="0" collapsed="false">
      <c r="A5566" s="6" t="n">
        <v>43030.9492592593</v>
      </c>
      <c r="B5566" s="7" t="str">
        <f aca="false">HYPERLINK("https://twitter.com/TSM979","@TSM979")</f>
        <v>@TSM979</v>
      </c>
      <c r="C5566" s="8" t="s">
        <v>12935</v>
      </c>
      <c r="D5566" s="8" t="s">
        <v>8538</v>
      </c>
      <c r="E5566" s="9" t="str">
        <f aca="false">HYPERLINK("https://twitter.com/TSM979/status/922338529648111617","922338529648111617")</f>
        <v>922338529648111617</v>
      </c>
      <c r="F5566" s="10" t="s">
        <v>39</v>
      </c>
      <c r="G5566" s="10" t="n">
        <v>132</v>
      </c>
      <c r="H5566" s="10" t="n">
        <v>201</v>
      </c>
      <c r="I5566" s="10" t="n">
        <v>1015</v>
      </c>
      <c r="J5566" s="10" t="n">
        <v>0</v>
      </c>
      <c r="K5566" s="10" t="s">
        <v>20</v>
      </c>
      <c r="L5566" s="11" t="n">
        <v>42053.2082060185</v>
      </c>
      <c r="M5566" s="12"/>
      <c r="N5566" s="12" t="s">
        <v>12936</v>
      </c>
      <c r="O5566" s="9" t="str">
        <f aca="false">HYPERLINK("https://pbs.twimg.com/profile_images/885003806521655296/cX-RjWTk_normal.jpg","View")</f>
        <v>View</v>
      </c>
      <c r="P5566" s="10"/>
    </row>
    <row r="5567" customFormat="false" ht="15.75" hidden="false" customHeight="false" outlineLevel="0" collapsed="false">
      <c r="A5567" s="6" t="n">
        <v>43030.9492824074</v>
      </c>
      <c r="B5567" s="7" t="str">
        <f aca="false">HYPERLINK("https://twitter.com/raji143","@raji143")</f>
        <v>@raji143</v>
      </c>
      <c r="C5567" s="8" t="s">
        <v>12937</v>
      </c>
      <c r="D5567" s="8" t="s">
        <v>12764</v>
      </c>
      <c r="E5567" s="9" t="str">
        <f aca="false">HYPERLINK("https://twitter.com/raji143/status/922338540268089344","922338540268089344")</f>
        <v>922338540268089344</v>
      </c>
      <c r="F5567" s="10" t="s">
        <v>51</v>
      </c>
      <c r="G5567" s="10" t="n">
        <v>2306</v>
      </c>
      <c r="H5567" s="10" t="n">
        <v>1367</v>
      </c>
      <c r="I5567" s="10" t="n">
        <v>170</v>
      </c>
      <c r="J5567" s="10" t="n">
        <v>0</v>
      </c>
      <c r="K5567" s="10" t="s">
        <v>20</v>
      </c>
      <c r="L5567" s="11" t="n">
        <v>40019.1646296296</v>
      </c>
      <c r="M5567" s="12" t="s">
        <v>1684</v>
      </c>
      <c r="N5567" s="12" t="s">
        <v>12938</v>
      </c>
      <c r="O5567" s="9" t="str">
        <f aca="false">HYPERLINK("https://pbs.twimg.com/profile_images/882639538530562050/5fTwaULk_normal.jpg","View")</f>
        <v>View</v>
      </c>
      <c r="P5567" s="10"/>
    </row>
    <row r="5568" customFormat="false" ht="15.75" hidden="false" customHeight="false" outlineLevel="0" collapsed="false">
      <c r="A5568" s="6" t="n">
        <v>43030.9493287037</v>
      </c>
      <c r="B5568" s="7" t="str">
        <f aca="false">HYPERLINK("https://twitter.com/yusufledesma","@yusufledesma")</f>
        <v>@yusufledesma</v>
      </c>
      <c r="C5568" s="8" t="s">
        <v>12939</v>
      </c>
      <c r="D5568" s="8" t="s">
        <v>12764</v>
      </c>
      <c r="E5568" s="9" t="str">
        <f aca="false">HYPERLINK("https://twitter.com/yusufledesma/status/922338556911038464","922338556911038464")</f>
        <v>922338556911038464</v>
      </c>
      <c r="F5568" s="10" t="s">
        <v>1017</v>
      </c>
      <c r="G5568" s="10" t="n">
        <v>3038</v>
      </c>
      <c r="H5568" s="10" t="n">
        <v>2312</v>
      </c>
      <c r="I5568" s="10" t="n">
        <v>170</v>
      </c>
      <c r="J5568" s="10" t="n">
        <v>0</v>
      </c>
      <c r="K5568" s="10" t="s">
        <v>20</v>
      </c>
      <c r="L5568" s="11" t="n">
        <v>41260.1856712963</v>
      </c>
      <c r="M5568" s="12" t="s">
        <v>12940</v>
      </c>
      <c r="N5568" s="12" t="s">
        <v>12941</v>
      </c>
      <c r="O5568" s="9" t="str">
        <f aca="false">HYPERLINK("https://pbs.twimg.com/profile_images/2986711475/451e16fc1dfa4f95d9cfaf0b4da788a0_normal.jpeg","View")</f>
        <v>View</v>
      </c>
      <c r="P5568" s="10"/>
    </row>
    <row r="5569" customFormat="false" ht="15.75" hidden="false" customHeight="false" outlineLevel="0" collapsed="false">
      <c r="A5569" s="6" t="n">
        <v>43030.949375</v>
      </c>
      <c r="B5569" s="7" t="str">
        <f aca="false">HYPERLINK("https://twitter.com/GillesKLEIN","@GillesKLEIN")</f>
        <v>@GillesKLEIN</v>
      </c>
      <c r="C5569" s="8" t="s">
        <v>12942</v>
      </c>
      <c r="D5569" s="8" t="s">
        <v>12943</v>
      </c>
      <c r="E5569" s="9" t="str">
        <f aca="false">HYPERLINK("https://twitter.com/GillesKLEIN/status/922338571893256192","922338571893256192")</f>
        <v>922338571893256192</v>
      </c>
      <c r="F5569" s="10" t="s">
        <v>276</v>
      </c>
      <c r="G5569" s="10" t="n">
        <v>31500</v>
      </c>
      <c r="H5569" s="10" t="n">
        <v>1251</v>
      </c>
      <c r="I5569" s="10" t="n">
        <v>0</v>
      </c>
      <c r="J5569" s="10" t="n">
        <v>0</v>
      </c>
      <c r="K5569" s="10" t="s">
        <v>20</v>
      </c>
      <c r="L5569" s="11" t="n">
        <v>39203.7034259259</v>
      </c>
      <c r="M5569" s="12" t="s">
        <v>12944</v>
      </c>
      <c r="N5569" s="12" t="s">
        <v>12945</v>
      </c>
      <c r="O5569" s="9" t="str">
        <f aca="false">HYPERLINK("https://pbs.twimg.com/profile_images/25196012/GillesKleinTWT_normal.jpg","View")</f>
        <v>View</v>
      </c>
      <c r="P5569" s="10"/>
    </row>
    <row r="5570" customFormat="false" ht="15.75" hidden="false" customHeight="false" outlineLevel="0" collapsed="false">
      <c r="A5570" s="6" t="n">
        <v>43030.9494328704</v>
      </c>
      <c r="B5570" s="7" t="str">
        <f aca="false">HYPERLINK("https://twitter.com/PriyaaSingh005","@PriyaaSingh005")</f>
        <v>@PriyaaSingh005</v>
      </c>
      <c r="C5570" s="8" t="s">
        <v>12946</v>
      </c>
      <c r="D5570" s="8" t="s">
        <v>12860</v>
      </c>
      <c r="E5570" s="9" t="str">
        <f aca="false">HYPERLINK("https://twitter.com/PriyaaSingh005/status/922338594135539712","922338594135539712")</f>
        <v>922338594135539712</v>
      </c>
      <c r="F5570" s="10" t="s">
        <v>25</v>
      </c>
      <c r="G5570" s="10" t="n">
        <v>9</v>
      </c>
      <c r="H5570" s="10" t="n">
        <v>20</v>
      </c>
      <c r="I5570" s="10" t="n">
        <v>7</v>
      </c>
      <c r="J5570" s="10" t="n">
        <v>0</v>
      </c>
      <c r="K5570" s="10" t="s">
        <v>20</v>
      </c>
      <c r="L5570" s="11" t="n">
        <v>42892.0045138889</v>
      </c>
      <c r="M5570" s="12" t="s">
        <v>6635</v>
      </c>
      <c r="N5570" s="12"/>
      <c r="O5570" s="9" t="str">
        <f aca="false">HYPERLINK("https://pbs.twimg.com/profile_images/872058591745724416/-HrJW-a-_normal.jpg","View")</f>
        <v>View</v>
      </c>
      <c r="P5570" s="10"/>
    </row>
    <row r="5571" customFormat="false" ht="15.75" hidden="false" customHeight="false" outlineLevel="0" collapsed="false">
      <c r="A5571" s="6" t="n">
        <v>43030.9500231482</v>
      </c>
      <c r="B5571" s="7" t="str">
        <f aca="false">HYPERLINK("https://twitter.com/Rajesh56478554","@Rajesh56478554")</f>
        <v>@Rajesh56478554</v>
      </c>
      <c r="C5571" s="8" t="s">
        <v>12947</v>
      </c>
      <c r="D5571" s="8" t="s">
        <v>12860</v>
      </c>
      <c r="E5571" s="9" t="str">
        <f aca="false">HYPERLINK("https://twitter.com/Rajesh56478554/status/922338808112103424","922338808112103424")</f>
        <v>922338808112103424</v>
      </c>
      <c r="F5571" s="10" t="s">
        <v>25</v>
      </c>
      <c r="G5571" s="10" t="n">
        <v>13</v>
      </c>
      <c r="H5571" s="10" t="n">
        <v>21</v>
      </c>
      <c r="I5571" s="10" t="n">
        <v>7</v>
      </c>
      <c r="J5571" s="10" t="n">
        <v>0</v>
      </c>
      <c r="K5571" s="10" t="s">
        <v>20</v>
      </c>
      <c r="L5571" s="11" t="n">
        <v>42892.0119328704</v>
      </c>
      <c r="M5571" s="12" t="s">
        <v>6635</v>
      </c>
      <c r="N5571" s="12"/>
      <c r="O5571" s="9" t="str">
        <f aca="false">HYPERLINK("https://pbs.twimg.com/profile_images/872057686963085312/-eautHwa_normal.jpg","View")</f>
        <v>View</v>
      </c>
      <c r="P5571" s="10"/>
    </row>
    <row r="5572" customFormat="false" ht="15.75" hidden="false" customHeight="false" outlineLevel="0" collapsed="false">
      <c r="A5572" s="6" t="n">
        <v>43030.9501041667</v>
      </c>
      <c r="B5572" s="7" t="str">
        <f aca="false">HYPERLINK("https://twitter.com/jfmusy","@jfmusy")</f>
        <v>@jfmusy</v>
      </c>
      <c r="C5572" s="8" t="s">
        <v>783</v>
      </c>
      <c r="D5572" s="8" t="s">
        <v>12948</v>
      </c>
      <c r="E5572" s="9" t="str">
        <f aca="false">HYPERLINK("https://twitter.com/jfmusy/status/922338835815641090","922338835815641090")</f>
        <v>922338835815641090</v>
      </c>
      <c r="F5572" s="10" t="s">
        <v>60</v>
      </c>
      <c r="G5572" s="10" t="n">
        <v>591</v>
      </c>
      <c r="H5572" s="10" t="n">
        <v>94</v>
      </c>
      <c r="I5572" s="10" t="n">
        <v>0</v>
      </c>
      <c r="J5572" s="10" t="n">
        <v>0</v>
      </c>
      <c r="K5572" s="10" t="s">
        <v>20</v>
      </c>
      <c r="L5572" s="11" t="n">
        <v>40829.6274074074</v>
      </c>
      <c r="M5572" s="12" t="s">
        <v>785</v>
      </c>
      <c r="N5572" s="12" t="s">
        <v>786</v>
      </c>
      <c r="O5572" s="9" t="str">
        <f aca="false">HYPERLINK("https://pbs.twimg.com/profile_images/617712701670846464/JnWhbF5-_normal.jpg","View")</f>
        <v>View</v>
      </c>
      <c r="P5572" s="10"/>
    </row>
    <row r="5573" customFormat="false" ht="15.75" hidden="false" customHeight="false" outlineLevel="0" collapsed="false">
      <c r="A5573" s="6" t="n">
        <v>43030.9501157407</v>
      </c>
      <c r="B5573" s="7" t="str">
        <f aca="false">HYPERLINK("https://twitter.com/the__himanish","@the__himanish")</f>
        <v>@the__himanish</v>
      </c>
      <c r="C5573" s="8" t="s">
        <v>382</v>
      </c>
      <c r="D5573" s="8" t="s">
        <v>12949</v>
      </c>
      <c r="E5573" s="9" t="str">
        <f aca="false">HYPERLINK("https://twitter.com/the__himanish/status/922338841574428675","922338841574428675")</f>
        <v>922338841574428675</v>
      </c>
      <c r="F5573" s="10" t="s">
        <v>60</v>
      </c>
      <c r="G5573" s="10" t="n">
        <v>1811</v>
      </c>
      <c r="H5573" s="10" t="n">
        <v>1625</v>
      </c>
      <c r="I5573" s="10" t="n">
        <v>0</v>
      </c>
      <c r="J5573" s="10" t="n">
        <v>0</v>
      </c>
      <c r="K5573" s="10" t="s">
        <v>20</v>
      </c>
      <c r="L5573" s="11" t="n">
        <v>40222.1517824074</v>
      </c>
      <c r="M5573" s="12" t="s">
        <v>87</v>
      </c>
      <c r="N5573" s="12" t="s">
        <v>384</v>
      </c>
      <c r="O5573" s="9" t="str">
        <f aca="false">HYPERLINK("https://pbs.twimg.com/profile_images/914165533918015489/A6iR_gz2_normal.jpg","View")</f>
        <v>View</v>
      </c>
      <c r="P5573" s="10"/>
    </row>
    <row r="5574" customFormat="false" ht="15.75" hidden="false" customHeight="false" outlineLevel="0" collapsed="false">
      <c r="A5574" s="6" t="n">
        <v>43030.9501736111</v>
      </c>
      <c r="B5574" s="7" t="str">
        <f aca="false">HYPERLINK("https://twitter.com/xiaotangfeidao","@xiaotangfeidao")</f>
        <v>@xiaotangfeidao</v>
      </c>
      <c r="C5574" s="8" t="s">
        <v>12950</v>
      </c>
      <c r="D5574" s="8" t="s">
        <v>12764</v>
      </c>
      <c r="E5574" s="9" t="str">
        <f aca="false">HYPERLINK("https://twitter.com/xiaotangfeidao/status/922338861501558784","922338861501558784")</f>
        <v>922338861501558784</v>
      </c>
      <c r="F5574" s="10" t="s">
        <v>25</v>
      </c>
      <c r="G5574" s="10" t="n">
        <v>167</v>
      </c>
      <c r="H5574" s="10" t="n">
        <v>1067</v>
      </c>
      <c r="I5574" s="10" t="n">
        <v>170</v>
      </c>
      <c r="J5574" s="10" t="n">
        <v>0</v>
      </c>
      <c r="K5574" s="10" t="s">
        <v>20</v>
      </c>
      <c r="L5574" s="11" t="n">
        <v>42649.5980324074</v>
      </c>
      <c r="M5574" s="12" t="s">
        <v>9313</v>
      </c>
      <c r="N5574" s="12"/>
      <c r="O5574" s="9" t="str">
        <f aca="false">HYPERLINK("https://pbs.twimg.com/profile_images/904166047800053761/eqPn0Y8g_normal.jpg","View")</f>
        <v>View</v>
      </c>
      <c r="P5574" s="10"/>
    </row>
    <row r="5575" customFormat="false" ht="15.75" hidden="false" customHeight="false" outlineLevel="0" collapsed="false">
      <c r="A5575" s="6" t="n">
        <v>43030.950462963</v>
      </c>
      <c r="B5575" s="7" t="str">
        <f aca="false">HYPERLINK("https://twitter.com/hareee10","@hareee10")</f>
        <v>@hareee10</v>
      </c>
      <c r="C5575" s="8" t="s">
        <v>12951</v>
      </c>
      <c r="D5575" s="8" t="s">
        <v>8538</v>
      </c>
      <c r="E5575" s="9" t="str">
        <f aca="false">HYPERLINK("https://twitter.com/hareee10/status/922338966837239808","922338966837239808")</f>
        <v>922338966837239808</v>
      </c>
      <c r="F5575" s="10" t="s">
        <v>25</v>
      </c>
      <c r="G5575" s="10" t="n">
        <v>381</v>
      </c>
      <c r="H5575" s="10" t="n">
        <v>2746</v>
      </c>
      <c r="I5575" s="10" t="n">
        <v>1015</v>
      </c>
      <c r="J5575" s="10" t="n">
        <v>0</v>
      </c>
      <c r="K5575" s="10" t="s">
        <v>20</v>
      </c>
      <c r="L5575" s="11" t="n">
        <v>40321.2628125</v>
      </c>
      <c r="M5575" s="12" t="s">
        <v>3588</v>
      </c>
      <c r="N5575" s="12" t="s">
        <v>12952</v>
      </c>
      <c r="O5575" s="9" t="str">
        <f aca="false">HYPERLINK("https://pbs.twimg.com/profile_images/923791767517798401/Vf1gP1y7_normal.jpg","View")</f>
        <v>View</v>
      </c>
      <c r="P5575" s="10"/>
    </row>
    <row r="5576" customFormat="false" ht="15.75" hidden="false" customHeight="false" outlineLevel="0" collapsed="false">
      <c r="A5576" s="6" t="n">
        <v>43030.9504861111</v>
      </c>
      <c r="B5576" s="7" t="str">
        <f aca="false">HYPERLINK("https://twitter.com/EdwardGerwer","@EdwardGerwer")</f>
        <v>@EdwardGerwer</v>
      </c>
      <c r="C5576" s="8" t="s">
        <v>12953</v>
      </c>
      <c r="D5576" s="8" t="s">
        <v>12764</v>
      </c>
      <c r="E5576" s="9" t="str">
        <f aca="false">HYPERLINK("https://twitter.com/EdwardGerwer/status/922338974131277826","922338974131277826")</f>
        <v>922338974131277826</v>
      </c>
      <c r="F5576" s="10" t="s">
        <v>39</v>
      </c>
      <c r="G5576" s="10" t="n">
        <v>83</v>
      </c>
      <c r="H5576" s="10" t="n">
        <v>133</v>
      </c>
      <c r="I5576" s="10" t="n">
        <v>170</v>
      </c>
      <c r="J5576" s="10" t="n">
        <v>0</v>
      </c>
      <c r="K5576" s="10" t="s">
        <v>20</v>
      </c>
      <c r="L5576" s="11" t="n">
        <v>41292.998599537</v>
      </c>
      <c r="M5576" s="12"/>
      <c r="N5576" s="12" t="s">
        <v>12954</v>
      </c>
      <c r="O5576" s="9" t="str">
        <f aca="false">HYPERLINK("https://pbs.twimg.com/profile_images/665792825133371392/RvwxMgm__normal.jpg","View")</f>
        <v>View</v>
      </c>
      <c r="P5576" s="10"/>
    </row>
    <row r="5577" customFormat="false" ht="15.75" hidden="false" customHeight="false" outlineLevel="0" collapsed="false">
      <c r="A5577" s="6" t="n">
        <v>43030.9506481482</v>
      </c>
      <c r="B5577" s="7" t="str">
        <f aca="false">HYPERLINK("https://twitter.com/bitter_ninja","@bitter_ninja")</f>
        <v>@bitter_ninja</v>
      </c>
      <c r="C5577" s="8" t="s">
        <v>12955</v>
      </c>
      <c r="D5577" s="8" t="s">
        <v>12764</v>
      </c>
      <c r="E5577" s="9" t="str">
        <f aca="false">HYPERLINK("https://twitter.com/bitter_ninja/status/922339033925091328","922339033925091328")</f>
        <v>922339033925091328</v>
      </c>
      <c r="F5577" s="10" t="s">
        <v>25</v>
      </c>
      <c r="G5577" s="10" t="n">
        <v>116</v>
      </c>
      <c r="H5577" s="10" t="n">
        <v>112</v>
      </c>
      <c r="I5577" s="10" t="n">
        <v>170</v>
      </c>
      <c r="J5577" s="10" t="n">
        <v>0</v>
      </c>
      <c r="K5577" s="10" t="s">
        <v>20</v>
      </c>
      <c r="L5577" s="11" t="n">
        <v>41771.3144791667</v>
      </c>
      <c r="M5577" s="12" t="s">
        <v>574</v>
      </c>
      <c r="N5577" s="12" t="s">
        <v>12956</v>
      </c>
      <c r="O5577" s="9" t="str">
        <f aca="false">HYPERLINK("https://pbs.twimg.com/profile_images/482889173322305536/KigsEbk9_normal.jpeg","View")</f>
        <v>View</v>
      </c>
      <c r="P5577" s="10"/>
    </row>
    <row r="5578" customFormat="false" ht="15.75" hidden="false" customHeight="false" outlineLevel="0" collapsed="false">
      <c r="A5578" s="6" t="n">
        <v>43030.9507175926</v>
      </c>
      <c r="B5578" s="7" t="str">
        <f aca="false">HYPERLINK("https://twitter.com/FinancialXpress","@FinancialXpress")</f>
        <v>@FinancialXpress</v>
      </c>
      <c r="C5578" s="8" t="s">
        <v>2320</v>
      </c>
      <c r="D5578" s="8" t="s">
        <v>12957</v>
      </c>
      <c r="E5578" s="9" t="str">
        <f aca="false">HYPERLINK("https://twitter.com/FinancialXpress/status/922339058109394944","922339058109394944")</f>
        <v>922339058109394944</v>
      </c>
      <c r="F5578" s="10" t="s">
        <v>39</v>
      </c>
      <c r="G5578" s="10" t="n">
        <v>385176</v>
      </c>
      <c r="H5578" s="10" t="n">
        <v>70</v>
      </c>
      <c r="I5578" s="10" t="n">
        <v>2</v>
      </c>
      <c r="J5578" s="10" t="n">
        <v>8</v>
      </c>
      <c r="K5578" s="10" t="s">
        <v>20</v>
      </c>
      <c r="L5578" s="11" t="n">
        <v>39988.187025463</v>
      </c>
      <c r="M5578" s="12" t="s">
        <v>64</v>
      </c>
      <c r="N5578" s="12" t="s">
        <v>2322</v>
      </c>
      <c r="O5578" s="9" t="str">
        <f aca="false">HYPERLINK("https://pbs.twimg.com/profile_images/1195554309/FE-for-Facebook_normal.jpg","View")</f>
        <v>View</v>
      </c>
      <c r="P5578" s="10"/>
    </row>
    <row r="5579" customFormat="false" ht="15.75" hidden="false" customHeight="false" outlineLevel="0" collapsed="false">
      <c r="A5579" s="6" t="n">
        <v>43030.9507175926</v>
      </c>
      <c r="B5579" s="7" t="str">
        <f aca="false">HYPERLINK("https://twitter.com/Christianaa_A","@Christianaa_A")</f>
        <v>@Christianaa_A</v>
      </c>
      <c r="C5579" s="8" t="s">
        <v>12958</v>
      </c>
      <c r="D5579" s="8" t="s">
        <v>12860</v>
      </c>
      <c r="E5579" s="9" t="str">
        <f aca="false">HYPERLINK("https://twitter.com/Christianaa_A/status/922339059896172544","922339059896172544")</f>
        <v>922339059896172544</v>
      </c>
      <c r="F5579" s="10" t="s">
        <v>25</v>
      </c>
      <c r="G5579" s="10" t="n">
        <v>10</v>
      </c>
      <c r="H5579" s="10" t="n">
        <v>95</v>
      </c>
      <c r="I5579" s="10" t="n">
        <v>7</v>
      </c>
      <c r="J5579" s="10" t="n">
        <v>0</v>
      </c>
      <c r="K5579" s="10" t="s">
        <v>20</v>
      </c>
      <c r="L5579" s="11" t="n">
        <v>42892.0150578704</v>
      </c>
      <c r="M5579" s="12" t="s">
        <v>6635</v>
      </c>
      <c r="N5579" s="12"/>
      <c r="O5579" s="9" t="str">
        <f aca="false">HYPERLINK("https://pbs.twimg.com/profile_images/872060768518258690/_7nQl0Wm_normal.jpg","View")</f>
        <v>View</v>
      </c>
      <c r="P5579" s="10"/>
    </row>
    <row r="5580" customFormat="false" ht="15.75" hidden="false" customHeight="false" outlineLevel="0" collapsed="false">
      <c r="A5580" s="6" t="n">
        <v>43030.9508796296</v>
      </c>
      <c r="B5580" s="7" t="str">
        <f aca="false">HYPERLINK("https://twitter.com/ThanTun53272680","@ThanTun53272680")</f>
        <v>@ThanTun53272680</v>
      </c>
      <c r="C5580" s="8" t="s">
        <v>12959</v>
      </c>
      <c r="D5580" s="8" t="s">
        <v>12764</v>
      </c>
      <c r="E5580" s="9" t="str">
        <f aca="false">HYPERLINK("https://twitter.com/ThanTun53272680/status/922339117559459840","922339117559459840")</f>
        <v>922339117559459840</v>
      </c>
      <c r="F5580" s="10" t="s">
        <v>98</v>
      </c>
      <c r="G5580" s="10" t="n">
        <v>9</v>
      </c>
      <c r="H5580" s="10" t="n">
        <v>51</v>
      </c>
      <c r="I5580" s="10" t="n">
        <v>170</v>
      </c>
      <c r="J5580" s="10" t="n">
        <v>0</v>
      </c>
      <c r="K5580" s="10" t="s">
        <v>20</v>
      </c>
      <c r="L5580" s="11" t="n">
        <v>43014.0608564815</v>
      </c>
      <c r="M5580" s="12"/>
      <c r="N5580" s="12"/>
      <c r="O5580" s="9" t="str">
        <f aca="false">HYPERLINK("https://abs.twimg.com/sticky/default_profile_images/default_profile_normal.png","View")</f>
        <v>View</v>
      </c>
      <c r="P5580" s="10"/>
    </row>
    <row r="5581" customFormat="false" ht="15.75" hidden="false" customHeight="false" outlineLevel="0" collapsed="false">
      <c r="A5581" s="6" t="n">
        <v>43030.9508796296</v>
      </c>
      <c r="B5581" s="7" t="str">
        <f aca="false">HYPERLINK("https://twitter.com/mangeshdamre","@mangeshdamre")</f>
        <v>@mangeshdamre</v>
      </c>
      <c r="C5581" s="8" t="s">
        <v>2195</v>
      </c>
      <c r="D5581" s="8" t="s">
        <v>12960</v>
      </c>
      <c r="E5581" s="9" t="str">
        <f aca="false">HYPERLINK("https://twitter.com/mangeshdamre/status/922339118885081088","922339118885081088")</f>
        <v>922339118885081088</v>
      </c>
      <c r="F5581" s="10" t="s">
        <v>55</v>
      </c>
      <c r="G5581" s="10" t="n">
        <v>72</v>
      </c>
      <c r="H5581" s="10" t="n">
        <v>33</v>
      </c>
      <c r="I5581" s="10" t="n">
        <v>0</v>
      </c>
      <c r="J5581" s="10" t="n">
        <v>0</v>
      </c>
      <c r="K5581" s="10" t="s">
        <v>20</v>
      </c>
      <c r="L5581" s="11" t="n">
        <v>40468.9849305556</v>
      </c>
      <c r="M5581" s="12" t="s">
        <v>2197</v>
      </c>
      <c r="N5581" s="12" t="s">
        <v>2198</v>
      </c>
      <c r="O5581" s="9" t="str">
        <f aca="false">HYPERLINK("https://pbs.twimg.com/profile_images/879399779314397184/0pyy35jd_normal.jpg","View")</f>
        <v>View</v>
      </c>
      <c r="P5581" s="10"/>
    </row>
    <row r="5582" customFormat="false" ht="15.75" hidden="false" customHeight="false" outlineLevel="0" collapsed="false">
      <c r="A5582" s="6" t="n">
        <v>43030.9514814815</v>
      </c>
      <c r="B5582" s="7" t="str">
        <f aca="false">HYPERLINK("https://twitter.com/chaudhry_pankaj","@chaudhry_pankaj")</f>
        <v>@chaudhry_pankaj</v>
      </c>
      <c r="C5582" s="8" t="s">
        <v>12961</v>
      </c>
      <c r="D5582" s="8" t="s">
        <v>8538</v>
      </c>
      <c r="E5582" s="9" t="str">
        <f aca="false">HYPERLINK("https://twitter.com/chaudhry_pankaj/status/922339336925863936","922339336925863936")</f>
        <v>922339336925863936</v>
      </c>
      <c r="F5582" s="10" t="s">
        <v>25</v>
      </c>
      <c r="G5582" s="10" t="n">
        <v>381</v>
      </c>
      <c r="H5582" s="10" t="n">
        <v>394</v>
      </c>
      <c r="I5582" s="10" t="n">
        <v>1015</v>
      </c>
      <c r="J5582" s="10" t="n">
        <v>0</v>
      </c>
      <c r="K5582" s="10" t="s">
        <v>20</v>
      </c>
      <c r="L5582" s="11" t="n">
        <v>41554.4344791667</v>
      </c>
      <c r="M5582" s="12" t="s">
        <v>12962</v>
      </c>
      <c r="N5582" s="12" t="s">
        <v>12963</v>
      </c>
      <c r="O5582" s="9" t="str">
        <f aca="false">HYPERLINK("https://pbs.twimg.com/profile_images/878207076509466626/l_QhyqS0_normal.jpg","View")</f>
        <v>View</v>
      </c>
      <c r="P5582" s="10"/>
    </row>
    <row r="5583" customFormat="false" ht="15.75" hidden="false" customHeight="false" outlineLevel="0" collapsed="false">
      <c r="A5583" s="6" t="n">
        <v>43030.9515509259</v>
      </c>
      <c r="B5583" s="7" t="str">
        <f aca="false">HYPERLINK("https://twitter.com/JayromeRobinet","@JayromeRobinet")</f>
        <v>@JayromeRobinet</v>
      </c>
      <c r="C5583" s="8" t="s">
        <v>12964</v>
      </c>
      <c r="D5583" s="8" t="s">
        <v>12764</v>
      </c>
      <c r="E5583" s="9" t="str">
        <f aca="false">HYPERLINK("https://twitter.com/JayromeRobinet/status/922339359977869312","922339359977869312")</f>
        <v>922339359977869312</v>
      </c>
      <c r="F5583" s="10" t="s">
        <v>177</v>
      </c>
      <c r="G5583" s="10" t="n">
        <v>546</v>
      </c>
      <c r="H5583" s="10" t="n">
        <v>1296</v>
      </c>
      <c r="I5583" s="10" t="n">
        <v>170</v>
      </c>
      <c r="J5583" s="10" t="n">
        <v>0</v>
      </c>
      <c r="K5583" s="10" t="s">
        <v>20</v>
      </c>
      <c r="L5583" s="11" t="n">
        <v>41624.7663078704</v>
      </c>
      <c r="M5583" s="12" t="s">
        <v>7716</v>
      </c>
      <c r="N5583" s="12" t="s">
        <v>12965</v>
      </c>
      <c r="O5583" s="9" t="str">
        <f aca="false">HYPERLINK("https://pbs.twimg.com/profile_images/910927260135378945/2yuyxUOG_normal.jpg","View")</f>
        <v>View</v>
      </c>
      <c r="P5583" s="10"/>
    </row>
    <row r="5584" customFormat="false" ht="15.75" hidden="false" customHeight="false" outlineLevel="0" collapsed="false">
      <c r="A5584" s="6" t="n">
        <v>43030.9519097222</v>
      </c>
      <c r="B5584" s="7" t="str">
        <f aca="false">HYPERLINK("https://twitter.com/RhondaL03228227","@RhondaL03228227")</f>
        <v>@RhondaL03228227</v>
      </c>
      <c r="C5584" s="8" t="s">
        <v>12966</v>
      </c>
      <c r="D5584" s="8" t="s">
        <v>12764</v>
      </c>
      <c r="E5584" s="9" t="str">
        <f aca="false">HYPERLINK("https://twitter.com/RhondaL03228227/status/922339489946640384","922339489946640384")</f>
        <v>922339489946640384</v>
      </c>
      <c r="F5584" s="10" t="s">
        <v>25</v>
      </c>
      <c r="G5584" s="10" t="n">
        <v>410</v>
      </c>
      <c r="H5584" s="10" t="n">
        <v>775</v>
      </c>
      <c r="I5584" s="10" t="n">
        <v>170</v>
      </c>
      <c r="J5584" s="10" t="n">
        <v>0</v>
      </c>
      <c r="K5584" s="10" t="s">
        <v>20</v>
      </c>
      <c r="L5584" s="11" t="n">
        <v>42871.0469560185</v>
      </c>
      <c r="M5584" s="12" t="s">
        <v>12967</v>
      </c>
      <c r="N5584" s="12" t="s">
        <v>12968</v>
      </c>
      <c r="O5584" s="9" t="str">
        <f aca="false">HYPERLINK("https://pbs.twimg.com/profile_images/890494791905026048/oP1wwwUq_normal.jpg","View")</f>
        <v>View</v>
      </c>
      <c r="P5584" s="10"/>
    </row>
    <row r="5585" customFormat="false" ht="15.75" hidden="false" customHeight="false" outlineLevel="0" collapsed="false">
      <c r="A5585" s="6" t="n">
        <v>43030.9519675926</v>
      </c>
      <c r="B5585" s="7" t="str">
        <f aca="false">HYPERLINK("https://twitter.com/PraddyumnaK","@PraddyumnaK")</f>
        <v>@PraddyumnaK</v>
      </c>
      <c r="C5585" s="8" t="s">
        <v>12969</v>
      </c>
      <c r="D5585" s="8" t="s">
        <v>8538</v>
      </c>
      <c r="E5585" s="9" t="str">
        <f aca="false">HYPERLINK("https://twitter.com/PraddyumnaK/status/922339512008757248","922339512008757248")</f>
        <v>922339512008757248</v>
      </c>
      <c r="F5585" s="10" t="s">
        <v>25</v>
      </c>
      <c r="G5585" s="10" t="n">
        <v>111</v>
      </c>
      <c r="H5585" s="10" t="n">
        <v>248</v>
      </c>
      <c r="I5585" s="10" t="n">
        <v>1015</v>
      </c>
      <c r="J5585" s="10" t="n">
        <v>0</v>
      </c>
      <c r="K5585" s="10" t="s">
        <v>20</v>
      </c>
      <c r="L5585" s="11" t="n">
        <v>40778.3927199074</v>
      </c>
      <c r="M5585" s="12" t="s">
        <v>12970</v>
      </c>
      <c r="N5585" s="12" t="s">
        <v>12971</v>
      </c>
      <c r="O5585" s="9" t="str">
        <f aca="false">HYPERLINK("https://pbs.twimg.com/profile_images/886239942149414916/lRGygz7s_normal.jpg","View")</f>
        <v>View</v>
      </c>
      <c r="P5585" s="10"/>
    </row>
    <row r="5586" customFormat="false" ht="15.75" hidden="false" customHeight="false" outlineLevel="0" collapsed="false">
      <c r="A5586" s="6" t="n">
        <v>43030.9519907407</v>
      </c>
      <c r="B5586" s="7" t="str">
        <f aca="false">HYPERLINK("https://twitter.com/user_hernandez","@user_hernandez")</f>
        <v>@user_hernandez</v>
      </c>
      <c r="C5586" s="8" t="s">
        <v>12972</v>
      </c>
      <c r="D5586" s="8" t="s">
        <v>12764</v>
      </c>
      <c r="E5586" s="9" t="str">
        <f aca="false">HYPERLINK("https://twitter.com/user_hernandez/status/922339521081102336","922339521081102336")</f>
        <v>922339521081102336</v>
      </c>
      <c r="F5586" s="10" t="s">
        <v>1024</v>
      </c>
      <c r="G5586" s="10" t="n">
        <v>139</v>
      </c>
      <c r="H5586" s="10" t="n">
        <v>63</v>
      </c>
      <c r="I5586" s="10" t="n">
        <v>170</v>
      </c>
      <c r="J5586" s="10" t="n">
        <v>0</v>
      </c>
      <c r="K5586" s="10" t="s">
        <v>20</v>
      </c>
      <c r="L5586" s="11" t="n">
        <v>42131.6712731482</v>
      </c>
      <c r="M5586" s="12" t="s">
        <v>8508</v>
      </c>
      <c r="N5586" s="12" t="s">
        <v>12973</v>
      </c>
      <c r="O5586" s="9" t="str">
        <f aca="false">HYPERLINK("https://pbs.twimg.com/profile_images/867231096332840960/HtJu9QGy_normal.jpg","View")</f>
        <v>View</v>
      </c>
      <c r="P5586" s="10"/>
    </row>
    <row r="5587" customFormat="false" ht="15.75" hidden="false" customHeight="false" outlineLevel="0" collapsed="false">
      <c r="A5587" s="6" t="n">
        <v>43030.9523148148</v>
      </c>
      <c r="B5587" s="7" t="str">
        <f aca="false">HYPERLINK("https://twitter.com/Brivibas36","@Brivibas36")</f>
        <v>@Brivibas36</v>
      </c>
      <c r="C5587" s="8" t="s">
        <v>12974</v>
      </c>
      <c r="D5587" s="8" t="s">
        <v>11986</v>
      </c>
      <c r="E5587" s="9" t="str">
        <f aca="false">HYPERLINK("https://twitter.com/Brivibas36/status/922339638236319744","922339638236319744")</f>
        <v>922339638236319744</v>
      </c>
      <c r="F5587" s="10" t="s">
        <v>39</v>
      </c>
      <c r="G5587" s="10" t="n">
        <v>14321</v>
      </c>
      <c r="H5587" s="10" t="n">
        <v>1463</v>
      </c>
      <c r="I5587" s="10" t="n">
        <v>3</v>
      </c>
      <c r="J5587" s="10" t="n">
        <v>0</v>
      </c>
      <c r="K5587" s="10" t="s">
        <v>20</v>
      </c>
      <c r="L5587" s="11" t="n">
        <v>39972.0338888889</v>
      </c>
      <c r="M5587" s="12" t="s">
        <v>12975</v>
      </c>
      <c r="N5587" s="12" t="s">
        <v>12976</v>
      </c>
      <c r="O5587" s="9" t="str">
        <f aca="false">HYPERLINK("https://pbs.twimg.com/profile_images/845211189735051264/iD3CweiK_normal.jpg","View")</f>
        <v>View</v>
      </c>
      <c r="P5587" s="10"/>
    </row>
    <row r="5588" customFormat="false" ht="15.75" hidden="false" customHeight="false" outlineLevel="0" collapsed="false">
      <c r="A5588" s="6" t="n">
        <v>43030.9524074074</v>
      </c>
      <c r="B5588" s="7" t="str">
        <f aca="false">HYPERLINK("https://twitter.com/ichigo_opanchu","@ichigo_opanchu")</f>
        <v>@ichigo_opanchu</v>
      </c>
      <c r="C5588" s="14" t="s">
        <v>12694</v>
      </c>
      <c r="D5588" s="8" t="s">
        <v>12977</v>
      </c>
      <c r="E5588" s="9" t="str">
        <f aca="false">HYPERLINK("https://twitter.com/ichigo_opanchu/status/922339672893767680","922339672893767680")</f>
        <v>922339672893767680</v>
      </c>
      <c r="F5588" s="9" t="s">
        <v>1340</v>
      </c>
      <c r="G5588" s="10" t="n">
        <v>1174</v>
      </c>
      <c r="H5588" s="10" t="n">
        <v>1629</v>
      </c>
      <c r="I5588" s="10" t="n">
        <v>0</v>
      </c>
      <c r="J5588" s="10" t="n">
        <v>0</v>
      </c>
      <c r="K5588" s="10" t="s">
        <v>20</v>
      </c>
      <c r="L5588" s="11" t="n">
        <v>41584.515787037</v>
      </c>
      <c r="M5588" s="12"/>
      <c r="N5588" s="12"/>
      <c r="O5588" s="9" t="str">
        <f aca="false">HYPERLINK("https://pbs.twimg.com/profile_images/378800000706122038/8717500dd70ef1765108669059e3f9b0_normal.jpeg","View")</f>
        <v>View</v>
      </c>
      <c r="P5588" s="10"/>
    </row>
    <row r="5589" customFormat="false" ht="15.75" hidden="false" customHeight="false" outlineLevel="0" collapsed="false">
      <c r="A5589" s="6" t="n">
        <v>43030.9529976852</v>
      </c>
      <c r="B5589" s="7" t="str">
        <f aca="false">HYPERLINK("https://twitter.com/richorlantina","@richorlantina")</f>
        <v>@richorlantina</v>
      </c>
      <c r="C5589" s="8" t="s">
        <v>12978</v>
      </c>
      <c r="D5589" s="8" t="s">
        <v>12764</v>
      </c>
      <c r="E5589" s="9" t="str">
        <f aca="false">HYPERLINK("https://twitter.com/richorlantina/status/922339884391698432","922339884391698432")</f>
        <v>922339884391698432</v>
      </c>
      <c r="F5589" s="10" t="s">
        <v>25</v>
      </c>
      <c r="G5589" s="10" t="n">
        <v>29</v>
      </c>
      <c r="H5589" s="10" t="n">
        <v>271</v>
      </c>
      <c r="I5589" s="10" t="n">
        <v>170</v>
      </c>
      <c r="J5589" s="10" t="n">
        <v>0</v>
      </c>
      <c r="K5589" s="10" t="s">
        <v>20</v>
      </c>
      <c r="L5589" s="11" t="n">
        <v>42790.0471875</v>
      </c>
      <c r="M5589" s="12"/>
      <c r="N5589" s="12"/>
      <c r="O5589" s="9" t="str">
        <f aca="false">HYPERLINK("https://pbs.twimg.com/profile_images/835055136674361345/vP8qkayT_normal.jpg","View")</f>
        <v>View</v>
      </c>
      <c r="P5589" s="10"/>
    </row>
    <row r="5590" customFormat="false" ht="15.75" hidden="false" customHeight="false" outlineLevel="0" collapsed="false">
      <c r="A5590" s="6" t="n">
        <v>43030.9530208333</v>
      </c>
      <c r="B5590" s="7" t="str">
        <f aca="false">HYPERLINK("https://twitter.com/RitaRitaedward","@RitaRitaedward")</f>
        <v>@RitaRitaedward</v>
      </c>
      <c r="C5590" s="8" t="s">
        <v>12979</v>
      </c>
      <c r="D5590" s="8" t="s">
        <v>12764</v>
      </c>
      <c r="E5590" s="9" t="str">
        <f aca="false">HYPERLINK("https://twitter.com/RitaRitaedward/status/922339893073850368","922339893073850368")</f>
        <v>922339893073850368</v>
      </c>
      <c r="F5590" s="10" t="s">
        <v>39</v>
      </c>
      <c r="G5590" s="10" t="n">
        <v>400</v>
      </c>
      <c r="H5590" s="10" t="n">
        <v>848</v>
      </c>
      <c r="I5590" s="10" t="n">
        <v>170</v>
      </c>
      <c r="J5590" s="10" t="n">
        <v>0</v>
      </c>
      <c r="K5590" s="10" t="s">
        <v>20</v>
      </c>
      <c r="L5590" s="11" t="n">
        <v>42149.1303472222</v>
      </c>
      <c r="M5590" s="12"/>
      <c r="N5590" s="12"/>
      <c r="O5590" s="9" t="str">
        <f aca="false">HYPERLINK("https://pbs.twimg.com/profile_images/602788314156904450/cDMtETFg_normal.jpg","View")</f>
        <v>View</v>
      </c>
      <c r="P5590" s="10"/>
    </row>
    <row r="5591" customFormat="false" ht="15.75" hidden="false" customHeight="false" outlineLevel="0" collapsed="false">
      <c r="A5591" s="6" t="n">
        <v>43030.9532638889</v>
      </c>
      <c r="B5591" s="7" t="str">
        <f aca="false">HYPERLINK("https://twitter.com/jessiesrbukovic","@jessiesrbukovic")</f>
        <v>@jessiesrbukovic</v>
      </c>
      <c r="C5591" s="8" t="s">
        <v>12980</v>
      </c>
      <c r="D5591" s="8" t="s">
        <v>12981</v>
      </c>
      <c r="E5591" s="9" t="str">
        <f aca="false">HYPERLINK("https://twitter.com/jessiesrbukovic/status/922339983423393792","922339983423393792")</f>
        <v>922339983423393792</v>
      </c>
      <c r="F5591" s="10" t="s">
        <v>55</v>
      </c>
      <c r="G5591" s="10" t="n">
        <v>669</v>
      </c>
      <c r="H5591" s="10" t="n">
        <v>2416</v>
      </c>
      <c r="I5591" s="10" t="n">
        <v>0</v>
      </c>
      <c r="J5591" s="10" t="n">
        <v>0</v>
      </c>
      <c r="K5591" s="10" t="s">
        <v>20</v>
      </c>
      <c r="L5591" s="11" t="n">
        <v>40066.7896990741</v>
      </c>
      <c r="M5591" s="12" t="s">
        <v>12888</v>
      </c>
      <c r="N5591" s="12"/>
      <c r="O5591" s="9" t="str">
        <f aca="false">HYPERLINK("https://pbs.twimg.com/profile_images/912283538615087104/oWiZjA8V_normal.jpg","View")</f>
        <v>View</v>
      </c>
      <c r="P5591" s="10"/>
    </row>
    <row r="5592" customFormat="false" ht="15.75" hidden="false" customHeight="false" outlineLevel="0" collapsed="false">
      <c r="A5592" s="6" t="n">
        <v>43030.9532986111</v>
      </c>
      <c r="B5592" s="7" t="str">
        <f aca="false">HYPERLINK("https://twitter.com/TomFlowers","@TomFlowers")</f>
        <v>@TomFlowers</v>
      </c>
      <c r="C5592" s="8" t="s">
        <v>10718</v>
      </c>
      <c r="D5592" s="8" t="s">
        <v>12982</v>
      </c>
      <c r="E5592" s="9" t="str">
        <f aca="false">HYPERLINK("https://twitter.com/TomFlowers/status/922339993095417856","922339993095417856")</f>
        <v>922339993095417856</v>
      </c>
      <c r="F5592" s="10" t="s">
        <v>55</v>
      </c>
      <c r="G5592" s="10" t="n">
        <v>42812</v>
      </c>
      <c r="H5592" s="10" t="n">
        <v>45346</v>
      </c>
      <c r="I5592" s="10" t="n">
        <v>0</v>
      </c>
      <c r="J5592" s="10" t="n">
        <v>0</v>
      </c>
      <c r="K5592" s="10" t="s">
        <v>20</v>
      </c>
      <c r="L5592" s="11" t="n">
        <v>40668.673587963</v>
      </c>
      <c r="M5592" s="12" t="s">
        <v>10720</v>
      </c>
      <c r="N5592" s="12" t="s">
        <v>10721</v>
      </c>
      <c r="O5592" s="9" t="str">
        <f aca="false">HYPERLINK("https://pbs.twimg.com/profile_images/915215547331002368/pgREb2gQ_normal.jpg","View")</f>
        <v>View</v>
      </c>
      <c r="P5592" s="10"/>
    </row>
    <row r="5593" customFormat="false" ht="15.75" hidden="false" customHeight="false" outlineLevel="0" collapsed="false">
      <c r="A5593" s="6" t="n">
        <v>43030.9533912037</v>
      </c>
      <c r="B5593" s="7" t="str">
        <f aca="false">HYPERLINK("https://twitter.com/MissTwice","@MissTwice")</f>
        <v>@MissTwice</v>
      </c>
      <c r="C5593" s="8" t="s">
        <v>12983</v>
      </c>
      <c r="D5593" s="8" t="s">
        <v>12764</v>
      </c>
      <c r="E5593" s="9" t="str">
        <f aca="false">HYPERLINK("https://twitter.com/MissTwice/status/922340026171772928","922340026171772928")</f>
        <v>922340026171772928</v>
      </c>
      <c r="F5593" s="10" t="s">
        <v>51</v>
      </c>
      <c r="G5593" s="10" t="n">
        <v>1641</v>
      </c>
      <c r="H5593" s="10" t="n">
        <v>999</v>
      </c>
      <c r="I5593" s="10" t="n">
        <v>170</v>
      </c>
      <c r="J5593" s="10" t="n">
        <v>0</v>
      </c>
      <c r="K5593" s="10" t="s">
        <v>20</v>
      </c>
      <c r="L5593" s="11" t="n">
        <v>40100.4950578704</v>
      </c>
      <c r="M5593" s="12" t="s">
        <v>12984</v>
      </c>
      <c r="N5593" s="12" t="s">
        <v>12985</v>
      </c>
      <c r="O5593" s="9" t="str">
        <f aca="false">HYPERLINK("https://pbs.twimg.com/profile_images/920389336490758146/Isd1o0qS_normal.jpg","View")</f>
        <v>View</v>
      </c>
      <c r="P5593" s="10"/>
    </row>
    <row r="5594" customFormat="false" ht="15.75" hidden="false" customHeight="false" outlineLevel="0" collapsed="false">
      <c r="A5594" s="6" t="n">
        <v>43030.9535532407</v>
      </c>
      <c r="B5594" s="7" t="str">
        <f aca="false">HYPERLINK("https://twitter.com/debabrato1","@debabrato1")</f>
        <v>@debabrato1</v>
      </c>
      <c r="C5594" s="8" t="s">
        <v>12986</v>
      </c>
      <c r="D5594" s="8" t="s">
        <v>12987</v>
      </c>
      <c r="E5594" s="9" t="str">
        <f aca="false">HYPERLINK("https://twitter.com/debabrato1/status/922340086179446784","922340086179446784")</f>
        <v>922340086179446784</v>
      </c>
      <c r="F5594" s="9" t="s">
        <v>1147</v>
      </c>
      <c r="G5594" s="10" t="n">
        <v>327</v>
      </c>
      <c r="H5594" s="10" t="n">
        <v>437</v>
      </c>
      <c r="I5594" s="10" t="n">
        <v>0</v>
      </c>
      <c r="J5594" s="10" t="n">
        <v>0</v>
      </c>
      <c r="K5594" s="10" t="s">
        <v>20</v>
      </c>
      <c r="L5594" s="11" t="n">
        <v>41000.9516898148</v>
      </c>
      <c r="M5594" s="12" t="s">
        <v>12988</v>
      </c>
      <c r="N5594" s="12" t="s">
        <v>12989</v>
      </c>
      <c r="O5594" s="9" t="str">
        <f aca="false">HYPERLINK("https://pbs.twimg.com/profile_images/595930027700555776/Lz0x62cT_normal.jpg","View")</f>
        <v>View</v>
      </c>
      <c r="P5594" s="10"/>
    </row>
    <row r="5595" customFormat="false" ht="15.75" hidden="false" customHeight="false" outlineLevel="0" collapsed="false">
      <c r="A5595" s="6" t="n">
        <v>43030.9535763889</v>
      </c>
      <c r="B5595" s="7" t="str">
        <f aca="false">HYPERLINK("https://twitter.com/cdeka678","@cdeka678")</f>
        <v>@cdeka678</v>
      </c>
      <c r="C5595" s="8" t="s">
        <v>12990</v>
      </c>
      <c r="D5595" s="8" t="s">
        <v>12991</v>
      </c>
      <c r="E5595" s="9" t="str">
        <f aca="false">HYPERLINK("https://twitter.com/cdeka678/status/922340092986970112","922340092986970112")</f>
        <v>922340092986970112</v>
      </c>
      <c r="F5595" s="10" t="s">
        <v>39</v>
      </c>
      <c r="G5595" s="10" t="n">
        <v>3535</v>
      </c>
      <c r="H5595" s="10" t="n">
        <v>3425</v>
      </c>
      <c r="I5595" s="10" t="n">
        <v>1</v>
      </c>
      <c r="J5595" s="10" t="n">
        <v>0</v>
      </c>
      <c r="K5595" s="10" t="s">
        <v>20</v>
      </c>
      <c r="L5595" s="11" t="n">
        <v>42208.8880902778</v>
      </c>
      <c r="M5595" s="12" t="s">
        <v>12992</v>
      </c>
      <c r="N5595" s="12" t="s">
        <v>12993</v>
      </c>
      <c r="O5595" s="9" t="str">
        <f aca="false">HYPERLINK("https://pbs.twimg.com/profile_images/842333707641880576/ZS2_lbZB_normal.jpg","View")</f>
        <v>View</v>
      </c>
      <c r="P5595" s="10"/>
    </row>
    <row r="5596" customFormat="false" ht="15.75" hidden="false" customHeight="false" outlineLevel="0" collapsed="false">
      <c r="A5596" s="6" t="n">
        <v>43030.953587963</v>
      </c>
      <c r="B5596" s="7" t="str">
        <f aca="false">HYPERLINK("https://twitter.com/life_bri_","@life_bri_")</f>
        <v>@life_bri_</v>
      </c>
      <c r="C5596" s="8" t="s">
        <v>12994</v>
      </c>
      <c r="D5596" s="8" t="s">
        <v>12764</v>
      </c>
      <c r="E5596" s="9" t="str">
        <f aca="false">HYPERLINK("https://twitter.com/life_bri_/status/922340099324563456","922340099324563456")</f>
        <v>922340099324563456</v>
      </c>
      <c r="F5596" s="10" t="s">
        <v>51</v>
      </c>
      <c r="G5596" s="10" t="n">
        <v>1373</v>
      </c>
      <c r="H5596" s="10" t="n">
        <v>1373</v>
      </c>
      <c r="I5596" s="10" t="n">
        <v>170</v>
      </c>
      <c r="J5596" s="10" t="n">
        <v>0</v>
      </c>
      <c r="K5596" s="10" t="s">
        <v>20</v>
      </c>
      <c r="L5596" s="11" t="n">
        <v>39837.328900463</v>
      </c>
      <c r="M5596" s="12" t="s">
        <v>4756</v>
      </c>
      <c r="N5596" s="12" t="s">
        <v>12995</v>
      </c>
      <c r="O5596" s="9" t="str">
        <f aca="false">HYPERLINK("https://pbs.twimg.com/profile_images/919173118412906496/3LwJvkQw_normal.jpg","View")</f>
        <v>View</v>
      </c>
      <c r="P5596" s="10"/>
    </row>
    <row r="5597" customFormat="false" ht="15.75" hidden="false" customHeight="false" outlineLevel="0" collapsed="false">
      <c r="A5597" s="6" t="n">
        <v>43030.9536226852</v>
      </c>
      <c r="B5597" s="7" t="str">
        <f aca="false">HYPERLINK("https://twitter.com/vishalfast007","@vishalfast007")</f>
        <v>@vishalfast007</v>
      </c>
      <c r="C5597" s="8" t="s">
        <v>12996</v>
      </c>
      <c r="D5597" s="8" t="s">
        <v>12997</v>
      </c>
      <c r="E5597" s="9" t="str">
        <f aca="false">HYPERLINK("https://twitter.com/vishalfast007/status/922340112335286272","922340112335286272")</f>
        <v>922340112335286272</v>
      </c>
      <c r="F5597" s="10" t="s">
        <v>60</v>
      </c>
      <c r="G5597" s="10" t="n">
        <v>6461</v>
      </c>
      <c r="H5597" s="10" t="n">
        <v>6149</v>
      </c>
      <c r="I5597" s="10" t="n">
        <v>0</v>
      </c>
      <c r="J5597" s="10" t="n">
        <v>0</v>
      </c>
      <c r="K5597" s="10" t="s">
        <v>20</v>
      </c>
      <c r="L5597" s="11" t="n">
        <v>40275.9858449074</v>
      </c>
      <c r="M5597" s="12"/>
      <c r="N5597" s="12" t="s">
        <v>12998</v>
      </c>
      <c r="O5597" s="9" t="str">
        <f aca="false">HYPERLINK("https://pbs.twimg.com/profile_images/560334179481571329/aGzct4Ns_normal.jpeg","View")</f>
        <v>View</v>
      </c>
      <c r="P5597" s="10"/>
    </row>
    <row r="5598" customFormat="false" ht="15.75" hidden="false" customHeight="false" outlineLevel="0" collapsed="false">
      <c r="A5598" s="6" t="n">
        <v>43030.9536458333</v>
      </c>
      <c r="B5598" s="7" t="str">
        <f aca="false">HYPERLINK("https://twitter.com/NewsStoryIndia","@NewsStoryIndia")</f>
        <v>@NewsStoryIndia</v>
      </c>
      <c r="C5598" s="8" t="s">
        <v>2842</v>
      </c>
      <c r="D5598" s="8" t="s">
        <v>12999</v>
      </c>
      <c r="E5598" s="9" t="str">
        <f aca="false">HYPERLINK("https://twitter.com/NewsStoryIndia/status/922340118542929921","922340118542929921")</f>
        <v>922340118542929921</v>
      </c>
      <c r="F5598" s="10" t="s">
        <v>60</v>
      </c>
      <c r="G5598" s="10" t="n">
        <v>4574</v>
      </c>
      <c r="H5598" s="10" t="n">
        <v>28</v>
      </c>
      <c r="I5598" s="10" t="n">
        <v>0</v>
      </c>
      <c r="J5598" s="10" t="n">
        <v>0</v>
      </c>
      <c r="K5598" s="10" t="s">
        <v>20</v>
      </c>
      <c r="L5598" s="11" t="n">
        <v>40404.7906944444</v>
      </c>
      <c r="M5598" s="12" t="s">
        <v>72</v>
      </c>
      <c r="N5598" s="12" t="s">
        <v>2844</v>
      </c>
      <c r="O5598" s="9" t="str">
        <f aca="false">HYPERLINK("https://pbs.twimg.com/profile_images/829323773769818113/0Z6sbzum_normal.jpg","View")</f>
        <v>View</v>
      </c>
      <c r="P5598" s="10"/>
    </row>
    <row r="5599" customFormat="false" ht="15.75" hidden="false" customHeight="false" outlineLevel="0" collapsed="false">
      <c r="A5599" s="6" t="n">
        <v>43030.9538194445</v>
      </c>
      <c r="B5599" s="7" t="str">
        <f aca="false">HYPERLINK("https://twitter.com/badribalaji","@badribalaji")</f>
        <v>@badribalaji</v>
      </c>
      <c r="C5599" s="8" t="s">
        <v>13000</v>
      </c>
      <c r="D5599" s="8" t="s">
        <v>8538</v>
      </c>
      <c r="E5599" s="9" t="str">
        <f aca="false">HYPERLINK("https://twitter.com/badribalaji/status/922340181432188928","922340181432188928")</f>
        <v>922340181432188928</v>
      </c>
      <c r="F5599" s="10" t="s">
        <v>25</v>
      </c>
      <c r="G5599" s="10" t="n">
        <v>54</v>
      </c>
      <c r="H5599" s="10" t="n">
        <v>149</v>
      </c>
      <c r="I5599" s="10" t="n">
        <v>1015</v>
      </c>
      <c r="J5599" s="10" t="n">
        <v>0</v>
      </c>
      <c r="K5599" s="10" t="s">
        <v>20</v>
      </c>
      <c r="L5599" s="11" t="n">
        <v>40009.9548148148</v>
      </c>
      <c r="M5599" s="12" t="s">
        <v>13001</v>
      </c>
      <c r="N5599" s="12"/>
      <c r="O5599" s="9" t="str">
        <f aca="false">HYPERLINK("https://abs.twimg.com/sticky/default_profile_images/default_profile_normal.png","View")</f>
        <v>View</v>
      </c>
      <c r="P5599" s="10"/>
    </row>
    <row r="5600" customFormat="false" ht="15.75" hidden="false" customHeight="false" outlineLevel="0" collapsed="false">
      <c r="A5600" s="6" t="n">
        <v>43030.9538310185</v>
      </c>
      <c r="B5600" s="7" t="str">
        <f aca="false">HYPERLINK("https://twitter.com/BecksUnderwear","@BecksUnderwear")</f>
        <v>@BecksUnderwear</v>
      </c>
      <c r="C5600" s="8" t="s">
        <v>13002</v>
      </c>
      <c r="D5600" s="8" t="s">
        <v>12764</v>
      </c>
      <c r="E5600" s="9" t="str">
        <f aca="false">HYPERLINK("https://twitter.com/BecksUnderwear/status/922340188843413504","922340188843413504")</f>
        <v>922340188843413504</v>
      </c>
      <c r="F5600" s="10" t="s">
        <v>276</v>
      </c>
      <c r="G5600" s="10" t="n">
        <v>351</v>
      </c>
      <c r="H5600" s="10" t="n">
        <v>142</v>
      </c>
      <c r="I5600" s="10" t="n">
        <v>170</v>
      </c>
      <c r="J5600" s="10" t="n">
        <v>0</v>
      </c>
      <c r="K5600" s="10" t="s">
        <v>20</v>
      </c>
      <c r="L5600" s="11" t="n">
        <v>39969.7547569444</v>
      </c>
      <c r="M5600" s="12"/>
      <c r="N5600" s="12"/>
      <c r="O5600" s="9" t="str">
        <f aca="false">HYPERLINK("https://pbs.twimg.com/profile_images/431172954802491392/UpUE1Yd__normal.jpeg","View")</f>
        <v>View</v>
      </c>
      <c r="P5600" s="10"/>
    </row>
    <row r="5601" customFormat="false" ht="15.75" hidden="false" customHeight="false" outlineLevel="0" collapsed="false">
      <c r="A5601" s="6" t="n">
        <v>43030.9541435185</v>
      </c>
      <c r="B5601" s="7" t="str">
        <f aca="false">HYPERLINK("https://twitter.com/JonathanAon","@JonathanAon")</f>
        <v>@JonathanAon</v>
      </c>
      <c r="C5601" s="8" t="s">
        <v>13003</v>
      </c>
      <c r="D5601" s="8" t="s">
        <v>12764</v>
      </c>
      <c r="E5601" s="9" t="str">
        <f aca="false">HYPERLINK("https://twitter.com/JonathanAon/status/922340301141766144","922340301141766144")</f>
        <v>922340301141766144</v>
      </c>
      <c r="F5601" s="10" t="s">
        <v>25</v>
      </c>
      <c r="G5601" s="10" t="n">
        <v>77</v>
      </c>
      <c r="H5601" s="10" t="n">
        <v>76</v>
      </c>
      <c r="I5601" s="10" t="n">
        <v>170</v>
      </c>
      <c r="J5601" s="10" t="n">
        <v>0</v>
      </c>
      <c r="K5601" s="10" t="s">
        <v>20</v>
      </c>
      <c r="L5601" s="11" t="n">
        <v>41952.7167939815</v>
      </c>
      <c r="M5601" s="12" t="s">
        <v>13004</v>
      </c>
      <c r="N5601" s="12" t="s">
        <v>13005</v>
      </c>
      <c r="O5601" s="9" t="str">
        <f aca="false">HYPERLINK("https://pbs.twimg.com/profile_images/922062309106753537/soTtPren_normal.jpg","View")</f>
        <v>View</v>
      </c>
      <c r="P5601" s="10"/>
    </row>
    <row r="5602" customFormat="false" ht="15.75" hidden="false" customHeight="false" outlineLevel="0" collapsed="false">
      <c r="A5602" s="6" t="n">
        <v>43030.9542824074</v>
      </c>
      <c r="B5602" s="7" t="str">
        <f aca="false">HYPERLINK("https://twitter.com/iamamenon","@iamamenon")</f>
        <v>@iamamenon</v>
      </c>
      <c r="C5602" s="8" t="s">
        <v>13006</v>
      </c>
      <c r="D5602" s="8" t="s">
        <v>8538</v>
      </c>
      <c r="E5602" s="9" t="str">
        <f aca="false">HYPERLINK("https://twitter.com/iamamenon/status/922340352345849857","922340352345849857")</f>
        <v>922340352345849857</v>
      </c>
      <c r="F5602" s="10" t="s">
        <v>25</v>
      </c>
      <c r="G5602" s="10" t="n">
        <v>43</v>
      </c>
      <c r="H5602" s="10" t="n">
        <v>189</v>
      </c>
      <c r="I5602" s="10" t="n">
        <v>1015</v>
      </c>
      <c r="J5602" s="10" t="n">
        <v>0</v>
      </c>
      <c r="K5602" s="10" t="s">
        <v>20</v>
      </c>
      <c r="L5602" s="11" t="n">
        <v>41019.1478472222</v>
      </c>
      <c r="M5602" s="12" t="s">
        <v>8662</v>
      </c>
      <c r="N5602" s="12" t="s">
        <v>13007</v>
      </c>
      <c r="O5602" s="9" t="str">
        <f aca="false">HYPERLINK("https://abs.twimg.com/sticky/default_profile_images/default_profile_normal.png","View")</f>
        <v>View</v>
      </c>
      <c r="P5602" s="10"/>
    </row>
    <row r="5603" customFormat="false" ht="15.75" hidden="false" customHeight="false" outlineLevel="0" collapsed="false">
      <c r="A5603" s="6" t="n">
        <v>43030.9543402778</v>
      </c>
      <c r="B5603" s="7" t="str">
        <f aca="false">HYPERLINK("https://twitter.com/pragmatistic","@pragmatistic")</f>
        <v>@pragmatistic</v>
      </c>
      <c r="C5603" s="8" t="s">
        <v>13008</v>
      </c>
      <c r="D5603" s="8" t="s">
        <v>12764</v>
      </c>
      <c r="E5603" s="9" t="str">
        <f aca="false">HYPERLINK("https://twitter.com/pragmatistic/status/922340370553303041","922340370553303041")</f>
        <v>922340370553303041</v>
      </c>
      <c r="F5603" s="10" t="s">
        <v>39</v>
      </c>
      <c r="G5603" s="10" t="n">
        <v>4352</v>
      </c>
      <c r="H5603" s="10" t="n">
        <v>1269</v>
      </c>
      <c r="I5603" s="10" t="n">
        <v>170</v>
      </c>
      <c r="J5603" s="10" t="n">
        <v>0</v>
      </c>
      <c r="K5603" s="10" t="s">
        <v>20</v>
      </c>
      <c r="L5603" s="11" t="n">
        <v>40392.0853356482</v>
      </c>
      <c r="M5603" s="12" t="s">
        <v>13009</v>
      </c>
      <c r="N5603" s="12" t="s">
        <v>13010</v>
      </c>
      <c r="O5603" s="9" t="str">
        <f aca="false">HYPERLINK("https://pbs.twimg.com/profile_images/848871066508423168/mdxVR3FW_normal.jpg","View")</f>
        <v>View</v>
      </c>
      <c r="P5603" s="10"/>
    </row>
    <row r="5604" customFormat="false" ht="15.75" hidden="false" customHeight="false" outlineLevel="0" collapsed="false">
      <c r="A5604" s="6" t="n">
        <v>43030.9546064815</v>
      </c>
      <c r="B5604" s="7" t="str">
        <f aca="false">HYPERLINK("https://twitter.com/abonomie","@abonomie")</f>
        <v>@abonomie</v>
      </c>
      <c r="C5604" s="8" t="s">
        <v>13011</v>
      </c>
      <c r="D5604" s="8" t="s">
        <v>12764</v>
      </c>
      <c r="E5604" s="9" t="str">
        <f aca="false">HYPERLINK("https://twitter.com/abonomie/status/922340469304049664","922340469304049664")</f>
        <v>922340469304049664</v>
      </c>
      <c r="F5604" s="10" t="s">
        <v>25</v>
      </c>
      <c r="G5604" s="10" t="n">
        <v>38</v>
      </c>
      <c r="H5604" s="10" t="n">
        <v>134</v>
      </c>
      <c r="I5604" s="10" t="n">
        <v>170</v>
      </c>
      <c r="J5604" s="10" t="n">
        <v>0</v>
      </c>
      <c r="K5604" s="10" t="s">
        <v>20</v>
      </c>
      <c r="L5604" s="11" t="n">
        <v>40467.6904282407</v>
      </c>
      <c r="M5604" s="12" t="s">
        <v>227</v>
      </c>
      <c r="N5604" s="12" t="s">
        <v>13012</v>
      </c>
      <c r="O5604" s="9" t="str">
        <f aca="false">HYPERLINK("https://pbs.twimg.com/profile_images/849455319864549377/r7-4LOaA_normal.jpg","View")</f>
        <v>View</v>
      </c>
      <c r="P5604" s="10"/>
    </row>
    <row r="5605" customFormat="false" ht="15.75" hidden="false" customHeight="false" outlineLevel="0" collapsed="false">
      <c r="A5605" s="6" t="n">
        <v>43030.9546412037</v>
      </c>
      <c r="B5605" s="7" t="str">
        <f aca="false">HYPERLINK("https://twitter.com/swrpa733124","@swrpa733124")</f>
        <v>@swrpa733124</v>
      </c>
      <c r="C5605" s="8" t="s">
        <v>13013</v>
      </c>
      <c r="D5605" s="8" t="s">
        <v>8538</v>
      </c>
      <c r="E5605" s="9" t="str">
        <f aca="false">HYPERLINK("https://twitter.com/swrpa733124/status/922340481282990081","922340481282990081")</f>
        <v>922340481282990081</v>
      </c>
      <c r="F5605" s="10" t="s">
        <v>25</v>
      </c>
      <c r="G5605" s="10" t="n">
        <v>1285</v>
      </c>
      <c r="H5605" s="10" t="n">
        <v>835</v>
      </c>
      <c r="I5605" s="10" t="n">
        <v>1015</v>
      </c>
      <c r="J5605" s="10" t="n">
        <v>0</v>
      </c>
      <c r="K5605" s="10" t="s">
        <v>20</v>
      </c>
      <c r="L5605" s="11" t="n">
        <v>42522.1020833333</v>
      </c>
      <c r="M5605" s="12" t="s">
        <v>72</v>
      </c>
      <c r="N5605" s="12" t="s">
        <v>13014</v>
      </c>
      <c r="O5605" s="9" t="str">
        <f aca="false">HYPERLINK("https://pbs.twimg.com/profile_images/899632085798797313/89vPeCAe_normal.jpg","View")</f>
        <v>View</v>
      </c>
      <c r="P5605" s="10"/>
    </row>
    <row r="5606" customFormat="false" ht="15.75" hidden="false" customHeight="false" outlineLevel="0" collapsed="false">
      <c r="A5606" s="6" t="n">
        <v>43030.9548611111</v>
      </c>
      <c r="B5606" s="7" t="str">
        <f aca="false">HYPERLINK("https://twitter.com/USPressWorld","@USPressWorld")</f>
        <v>@USPressWorld</v>
      </c>
      <c r="C5606" s="8" t="s">
        <v>13015</v>
      </c>
      <c r="D5606" s="8" t="s">
        <v>13016</v>
      </c>
      <c r="E5606" s="9" t="str">
        <f aca="false">HYPERLINK("https://twitter.com/USPressWorld/status/922340561994108928","922340561994108928")</f>
        <v>922340561994108928</v>
      </c>
      <c r="F5606" s="10" t="s">
        <v>13017</v>
      </c>
      <c r="G5606" s="10" t="n">
        <v>12273</v>
      </c>
      <c r="H5606" s="10" t="n">
        <v>12240</v>
      </c>
      <c r="I5606" s="10" t="n">
        <v>0</v>
      </c>
      <c r="J5606" s="10" t="n">
        <v>0</v>
      </c>
      <c r="K5606" s="10" t="s">
        <v>20</v>
      </c>
      <c r="L5606" s="11" t="n">
        <v>41218.8082175926</v>
      </c>
      <c r="M5606" s="12" t="s">
        <v>13018</v>
      </c>
      <c r="N5606" s="12" t="s">
        <v>13019</v>
      </c>
      <c r="O5606" s="9" t="str">
        <f aca="false">HYPERLINK("https://pbs.twimg.com/profile_images/692071485813440512/MxuoxAoC_normal.png","View")</f>
        <v>View</v>
      </c>
      <c r="P5606" s="10"/>
    </row>
    <row r="5607" customFormat="false" ht="15.75" hidden="false" customHeight="false" outlineLevel="0" collapsed="false">
      <c r="A5607" s="6" t="n">
        <v>43030.9548726852</v>
      </c>
      <c r="B5607" s="7" t="str">
        <f aca="false">HYPERLINK("https://twitter.com/Bedminstercuppa","@Bedminstercuppa")</f>
        <v>@Bedminstercuppa</v>
      </c>
      <c r="C5607" s="8" t="s">
        <v>13020</v>
      </c>
      <c r="D5607" s="8" t="s">
        <v>12764</v>
      </c>
      <c r="E5607" s="9" t="str">
        <f aca="false">HYPERLINK("https://twitter.com/Bedminstercuppa/status/922340565802401792","922340565802401792")</f>
        <v>922340565802401792</v>
      </c>
      <c r="F5607" s="10" t="s">
        <v>25</v>
      </c>
      <c r="G5607" s="10" t="n">
        <v>19</v>
      </c>
      <c r="H5607" s="10" t="n">
        <v>134</v>
      </c>
      <c r="I5607" s="10" t="n">
        <v>170</v>
      </c>
      <c r="J5607" s="10" t="n">
        <v>0</v>
      </c>
      <c r="K5607" s="10" t="s">
        <v>20</v>
      </c>
      <c r="L5607" s="11" t="n">
        <v>43020.1254513889</v>
      </c>
      <c r="M5607" s="12" t="s">
        <v>10929</v>
      </c>
      <c r="N5607" s="12" t="s">
        <v>13021</v>
      </c>
      <c r="O5607" s="9" t="str">
        <f aca="false">HYPERLINK("https://pbs.twimg.com/profile_images/918418048545046528/tbfFtLBa_normal.jpg","View")</f>
        <v>View</v>
      </c>
      <c r="P5607" s="10"/>
    </row>
    <row r="5608" customFormat="false" ht="15.75" hidden="false" customHeight="false" outlineLevel="0" collapsed="false">
      <c r="A5608" s="6" t="n">
        <v>43030.9549652778</v>
      </c>
      <c r="B5608" s="7" t="str">
        <f aca="false">HYPERLINK("https://twitter.com/buttclogs","@buttclogs")</f>
        <v>@buttclogs</v>
      </c>
      <c r="C5608" s="8" t="s">
        <v>13022</v>
      </c>
      <c r="D5608" s="8" t="s">
        <v>12764</v>
      </c>
      <c r="E5608" s="9" t="str">
        <f aca="false">HYPERLINK("https://twitter.com/buttclogs/status/922340598241095680","922340598241095680")</f>
        <v>922340598241095680</v>
      </c>
      <c r="F5608" s="10" t="s">
        <v>98</v>
      </c>
      <c r="G5608" s="10" t="n">
        <v>10</v>
      </c>
      <c r="H5608" s="10" t="n">
        <v>60</v>
      </c>
      <c r="I5608" s="10" t="n">
        <v>170</v>
      </c>
      <c r="J5608" s="10" t="n">
        <v>0</v>
      </c>
      <c r="K5608" s="10" t="s">
        <v>20</v>
      </c>
      <c r="L5608" s="11" t="n">
        <v>41001.0472337963</v>
      </c>
      <c r="M5608" s="12" t="s">
        <v>13023</v>
      </c>
      <c r="N5608" s="12"/>
      <c r="O5608" s="9" t="str">
        <f aca="false">HYPERLINK("https://pbs.twimg.com/profile_images/914366905237901312/QmTFgPqa_normal.jpg","View")</f>
        <v>View</v>
      </c>
      <c r="P5608" s="10"/>
    </row>
    <row r="5609" customFormat="false" ht="15.75" hidden="false" customHeight="false" outlineLevel="0" collapsed="false">
      <c r="A5609" s="6" t="n">
        <v>43030.9551273148</v>
      </c>
      <c r="B5609" s="7" t="str">
        <f aca="false">HYPERLINK("https://twitter.com/kristoferkawas","@kristoferkawas")</f>
        <v>@kristoferkawas</v>
      </c>
      <c r="C5609" s="8" t="s">
        <v>2132</v>
      </c>
      <c r="D5609" s="8" t="s">
        <v>13024</v>
      </c>
      <c r="E5609" s="9" t="str">
        <f aca="false">HYPERLINK("https://twitter.com/kristoferkawas/status/922340656110030848","922340656110030848")</f>
        <v>922340656110030848</v>
      </c>
      <c r="F5609" s="10" t="s">
        <v>60</v>
      </c>
      <c r="G5609" s="10" t="n">
        <v>3074</v>
      </c>
      <c r="H5609" s="10" t="n">
        <v>14</v>
      </c>
      <c r="I5609" s="10" t="n">
        <v>0</v>
      </c>
      <c r="J5609" s="10" t="n">
        <v>0</v>
      </c>
      <c r="K5609" s="10" t="s">
        <v>20</v>
      </c>
      <c r="L5609" s="11" t="n">
        <v>40432.4156828704</v>
      </c>
      <c r="M5609" s="12" t="s">
        <v>2134</v>
      </c>
      <c r="N5609" s="12" t="s">
        <v>2135</v>
      </c>
      <c r="O5609" s="9" t="str">
        <f aca="false">HYPERLINK("https://pbs.twimg.com/profile_images/662564447542636544/LvMoxlK3_normal.jpg","View")</f>
        <v>View</v>
      </c>
      <c r="P5609" s="10"/>
    </row>
    <row r="5610" customFormat="false" ht="15.75" hidden="false" customHeight="false" outlineLevel="0" collapsed="false">
      <c r="A5610" s="6" t="n">
        <v>43030.9551388889</v>
      </c>
      <c r="B5610" s="7" t="str">
        <f aca="false">HYPERLINK("https://twitter.com/mnverma19","@mnverma19")</f>
        <v>@mnverma19</v>
      </c>
      <c r="C5610" s="8" t="s">
        <v>13025</v>
      </c>
      <c r="D5610" s="8" t="s">
        <v>12764</v>
      </c>
      <c r="E5610" s="9" t="str">
        <f aca="false">HYPERLINK("https://twitter.com/mnverma19/status/922340662673936385","922340662673936385")</f>
        <v>922340662673936385</v>
      </c>
      <c r="F5610" s="10" t="s">
        <v>51</v>
      </c>
      <c r="G5610" s="10" t="n">
        <v>106</v>
      </c>
      <c r="H5610" s="10" t="n">
        <v>332</v>
      </c>
      <c r="I5610" s="10" t="n">
        <v>170</v>
      </c>
      <c r="J5610" s="10" t="n">
        <v>0</v>
      </c>
      <c r="K5610" s="10" t="s">
        <v>20</v>
      </c>
      <c r="L5610" s="11" t="n">
        <v>41134.8894444445</v>
      </c>
      <c r="M5610" s="12" t="s">
        <v>13026</v>
      </c>
      <c r="N5610" s="12" t="s">
        <v>13027</v>
      </c>
      <c r="O5610" s="9" t="str">
        <f aca="false">HYPERLINK("https://pbs.twimg.com/profile_images/878421625326194688/meSETGJm_normal.jpg","View")</f>
        <v>View</v>
      </c>
      <c r="P5610" s="10"/>
    </row>
    <row r="5611" customFormat="false" ht="15.75" hidden="false" customHeight="false" outlineLevel="0" collapsed="false">
      <c r="A5611" s="6" t="n">
        <v>43030.9555092593</v>
      </c>
      <c r="B5611" s="7" t="str">
        <f aca="false">HYPERLINK("https://twitter.com/nipponsugee","@nipponsugee")</f>
        <v>@nipponsugee</v>
      </c>
      <c r="C5611" s="14" t="s">
        <v>13028</v>
      </c>
      <c r="D5611" s="8" t="s">
        <v>12493</v>
      </c>
      <c r="E5611" s="9" t="str">
        <f aca="false">HYPERLINK("https://twitter.com/nipponsugee/status/922340793284673536","922340793284673536")</f>
        <v>922340793284673536</v>
      </c>
      <c r="F5611" s="10" t="s">
        <v>39</v>
      </c>
      <c r="G5611" s="10" t="n">
        <v>541</v>
      </c>
      <c r="H5611" s="10" t="n">
        <v>610</v>
      </c>
      <c r="I5611" s="10" t="n">
        <v>63</v>
      </c>
      <c r="J5611" s="10" t="n">
        <v>0</v>
      </c>
      <c r="K5611" s="10" t="s">
        <v>20</v>
      </c>
      <c r="L5611" s="11" t="n">
        <v>41721.0205208333</v>
      </c>
      <c r="M5611" s="12" t="s">
        <v>574</v>
      </c>
      <c r="N5611" s="13" t="s">
        <v>13029</v>
      </c>
      <c r="O5611" s="9" t="str">
        <f aca="false">HYPERLINK("https://pbs.twimg.com/profile_images/448822564215746562/-CG4KLQA_normal.jpeg","View")</f>
        <v>View</v>
      </c>
      <c r="P5611" s="10"/>
    </row>
    <row r="5612" customFormat="false" ht="15.75" hidden="false" customHeight="false" outlineLevel="0" collapsed="false">
      <c r="A5612" s="6" t="n">
        <v>43030.9555555556</v>
      </c>
      <c r="B5612" s="7" t="str">
        <f aca="false">HYPERLINK("https://twitter.com/dwnews","@dwnews")</f>
        <v>@dwnews</v>
      </c>
      <c r="C5612" s="8" t="s">
        <v>3526</v>
      </c>
      <c r="D5612" s="8" t="s">
        <v>13030</v>
      </c>
      <c r="E5612" s="9" t="str">
        <f aca="false">HYPERLINK("https://twitter.com/dwnews/status/922340813111099392","922340813111099392")</f>
        <v>922340813111099392</v>
      </c>
      <c r="F5612" s="10" t="s">
        <v>276</v>
      </c>
      <c r="G5612" s="10" t="n">
        <v>160613</v>
      </c>
      <c r="H5612" s="10" t="n">
        <v>866</v>
      </c>
      <c r="I5612" s="10" t="n">
        <v>7</v>
      </c>
      <c r="J5612" s="10" t="n">
        <v>7</v>
      </c>
      <c r="K5612" s="10" t="s">
        <v>20</v>
      </c>
      <c r="L5612" s="11" t="n">
        <v>39220.1672453704</v>
      </c>
      <c r="M5612" s="12" t="s">
        <v>3528</v>
      </c>
      <c r="N5612" s="12" t="s">
        <v>3529</v>
      </c>
      <c r="O5612" s="9" t="str">
        <f aca="false">HYPERLINK("https://pbs.twimg.com/profile_images/900261211509489666/-1Fu5hU8_normal.jpg","View")</f>
        <v>View</v>
      </c>
      <c r="P5612" s="10"/>
    </row>
    <row r="5613" customFormat="false" ht="15.75" hidden="false" customHeight="false" outlineLevel="0" collapsed="false">
      <c r="A5613" s="6" t="n">
        <v>43030.9558101852</v>
      </c>
      <c r="B5613" s="7" t="str">
        <f aca="false">HYPERLINK("https://twitter.com/prateek1013","@prateek1013")</f>
        <v>@prateek1013</v>
      </c>
      <c r="C5613" s="8" t="s">
        <v>13031</v>
      </c>
      <c r="D5613" s="8" t="s">
        <v>8538</v>
      </c>
      <c r="E5613" s="9" t="str">
        <f aca="false">HYPERLINK("https://twitter.com/prateek1013/status/922340902239997952","922340902239997952")</f>
        <v>922340902239997952</v>
      </c>
      <c r="F5613" s="10" t="s">
        <v>25</v>
      </c>
      <c r="G5613" s="10" t="n">
        <v>443</v>
      </c>
      <c r="H5613" s="10" t="n">
        <v>100</v>
      </c>
      <c r="I5613" s="10" t="n">
        <v>1015</v>
      </c>
      <c r="J5613" s="10" t="n">
        <v>0</v>
      </c>
      <c r="K5613" s="10" t="s">
        <v>20</v>
      </c>
      <c r="L5613" s="11" t="n">
        <v>40361.0867476852</v>
      </c>
      <c r="M5613" s="12" t="s">
        <v>72</v>
      </c>
      <c r="N5613" s="12"/>
      <c r="O5613" s="9" t="str">
        <f aca="false">HYPERLINK("https://pbs.twimg.com/profile_images/823392502325645313/0fUgC7fO_normal.jpg","View")</f>
        <v>View</v>
      </c>
      <c r="P5613" s="10"/>
    </row>
    <row r="5614" customFormat="false" ht="15.75" hidden="false" customHeight="false" outlineLevel="0" collapsed="false">
      <c r="A5614" s="6" t="n">
        <v>43030.9558680556</v>
      </c>
      <c r="B5614" s="7" t="str">
        <f aca="false">HYPERLINK("https://twitter.com/lilsliceofcraze","@lilsliceofcraze")</f>
        <v>@lilsliceofcraze</v>
      </c>
      <c r="C5614" s="8" t="s">
        <v>13032</v>
      </c>
      <c r="D5614" s="8" t="s">
        <v>13033</v>
      </c>
      <c r="E5614" s="9" t="str">
        <f aca="false">HYPERLINK("https://twitter.com/lilsliceofcraze/status/922340926646824960","922340926646824960")</f>
        <v>922340926646824960</v>
      </c>
      <c r="F5614" s="10" t="s">
        <v>51</v>
      </c>
      <c r="G5614" s="10" t="n">
        <v>2008</v>
      </c>
      <c r="H5614" s="10" t="n">
        <v>3241</v>
      </c>
      <c r="I5614" s="10" t="n">
        <v>7</v>
      </c>
      <c r="J5614" s="10" t="n">
        <v>0</v>
      </c>
      <c r="K5614" s="10" t="s">
        <v>20</v>
      </c>
      <c r="L5614" s="11" t="n">
        <v>39947.2723263889</v>
      </c>
      <c r="M5614" s="12" t="s">
        <v>9034</v>
      </c>
      <c r="N5614" s="12" t="s">
        <v>13034</v>
      </c>
      <c r="O5614" s="9" t="str">
        <f aca="false">HYPERLINK("https://pbs.twimg.com/profile_images/853091705649868802/s2PVp4Id_normal.jpg","View")</f>
        <v>View</v>
      </c>
      <c r="P5614" s="10"/>
    </row>
    <row r="5615" customFormat="false" ht="15.75" hidden="false" customHeight="false" outlineLevel="0" collapsed="false">
      <c r="A5615" s="6" t="n">
        <v>43030.9560416667</v>
      </c>
      <c r="B5615" s="7" t="str">
        <f aca="false">HYPERLINK("https://twitter.com/katstails","@katstails")</f>
        <v>@katstails</v>
      </c>
      <c r="C5615" s="8" t="s">
        <v>13035</v>
      </c>
      <c r="D5615" s="8" t="s">
        <v>12764</v>
      </c>
      <c r="E5615" s="9" t="str">
        <f aca="false">HYPERLINK("https://twitter.com/katstails/status/922340987946577920","922340987946577920")</f>
        <v>922340987946577920</v>
      </c>
      <c r="F5615" s="10" t="s">
        <v>25</v>
      </c>
      <c r="G5615" s="10" t="n">
        <v>472</v>
      </c>
      <c r="H5615" s="10" t="n">
        <v>235</v>
      </c>
      <c r="I5615" s="10" t="n">
        <v>170</v>
      </c>
      <c r="J5615" s="10" t="n">
        <v>0</v>
      </c>
      <c r="K5615" s="10" t="s">
        <v>20</v>
      </c>
      <c r="L5615" s="11" t="n">
        <v>42796.9588078704</v>
      </c>
      <c r="M5615" s="12" t="s">
        <v>13036</v>
      </c>
      <c r="N5615" s="12"/>
      <c r="O5615" s="9" t="str">
        <f aca="false">HYPERLINK("https://pbs.twimg.com/profile_images/860112804497502208/ctxBPIxY_normal.jpg","View")</f>
        <v>View</v>
      </c>
      <c r="P5615" s="10"/>
    </row>
    <row r="5616" customFormat="false" ht="15.75" hidden="false" customHeight="false" outlineLevel="0" collapsed="false">
      <c r="A5616" s="6" t="n">
        <v>43030.9560763889</v>
      </c>
      <c r="B5616" s="7" t="str">
        <f aca="false">HYPERLINK("https://twitter.com/Sagar4000","@Sagar4000")</f>
        <v>@Sagar4000</v>
      </c>
      <c r="C5616" s="8" t="s">
        <v>7739</v>
      </c>
      <c r="D5616" s="8" t="s">
        <v>13033</v>
      </c>
      <c r="E5616" s="9" t="str">
        <f aca="false">HYPERLINK("https://twitter.com/Sagar4000/status/922340998948069376","922340998948069376")</f>
        <v>922340998948069376</v>
      </c>
      <c r="F5616" s="10" t="s">
        <v>25</v>
      </c>
      <c r="G5616" s="10" t="n">
        <v>169</v>
      </c>
      <c r="H5616" s="10" t="n">
        <v>537</v>
      </c>
      <c r="I5616" s="10" t="n">
        <v>7</v>
      </c>
      <c r="J5616" s="10" t="n">
        <v>0</v>
      </c>
      <c r="K5616" s="10" t="s">
        <v>20</v>
      </c>
      <c r="L5616" s="11" t="n">
        <v>41275.34125</v>
      </c>
      <c r="M5616" s="12" t="s">
        <v>7740</v>
      </c>
      <c r="N5616" s="12" t="s">
        <v>7741</v>
      </c>
      <c r="O5616" s="9" t="str">
        <f aca="false">HYPERLINK("https://pbs.twimg.com/profile_images/764459969999548417/QSXQjfsF_normal.jpg","View")</f>
        <v>View</v>
      </c>
      <c r="P5616" s="10"/>
    </row>
    <row r="5617" customFormat="false" ht="15.75" hidden="false" customHeight="false" outlineLevel="0" collapsed="false">
      <c r="A5617" s="6" t="n">
        <v>43030.9561111111</v>
      </c>
      <c r="B5617" s="7" t="str">
        <f aca="false">HYPERLINK("https://twitter.com/PHTopNews","@PHTopNews")</f>
        <v>@PHTopNews</v>
      </c>
      <c r="C5617" s="8" t="s">
        <v>13037</v>
      </c>
      <c r="D5617" s="8" t="s">
        <v>13038</v>
      </c>
      <c r="E5617" s="9" t="str">
        <f aca="false">HYPERLINK("https://twitter.com/PHTopNews/status/922341014894989312","922341014894989312")</f>
        <v>922341014894989312</v>
      </c>
      <c r="F5617" s="10" t="s">
        <v>55</v>
      </c>
      <c r="G5617" s="10" t="n">
        <v>102</v>
      </c>
      <c r="H5617" s="10" t="n">
        <v>0</v>
      </c>
      <c r="I5617" s="10" t="n">
        <v>0</v>
      </c>
      <c r="J5617" s="10" t="n">
        <v>0</v>
      </c>
      <c r="K5617" s="10" t="s">
        <v>20</v>
      </c>
      <c r="L5617" s="11" t="n">
        <v>41173.314849537</v>
      </c>
      <c r="M5617" s="12" t="s">
        <v>13039</v>
      </c>
      <c r="N5617" s="12" t="s">
        <v>13040</v>
      </c>
      <c r="O5617" s="9" t="str">
        <f aca="false">HYPERLINK("https://pbs.twimg.com/profile_images/2633957309/b6c0ec7a50c8a3ce9b50bafdfca0d70c_normal.jpeg","View")</f>
        <v>View</v>
      </c>
      <c r="P5617" s="10"/>
    </row>
    <row r="5618" customFormat="false" ht="15.75" hidden="false" customHeight="false" outlineLevel="0" collapsed="false">
      <c r="A5618" s="6" t="n">
        <v>43030.9563773148</v>
      </c>
      <c r="B5618" s="7" t="str">
        <f aca="false">HYPERLINK("https://twitter.com/fuzzyguest","@fuzzyguest")</f>
        <v>@fuzzyguest</v>
      </c>
      <c r="C5618" s="8" t="s">
        <v>6258</v>
      </c>
      <c r="D5618" s="8" t="s">
        <v>12764</v>
      </c>
      <c r="E5618" s="9" t="str">
        <f aca="false">HYPERLINK("https://twitter.com/fuzzyguest/status/922341110533328897","922341110533328897")</f>
        <v>922341110533328897</v>
      </c>
      <c r="F5618" s="10" t="s">
        <v>39</v>
      </c>
      <c r="G5618" s="10" t="n">
        <v>56</v>
      </c>
      <c r="H5618" s="10" t="n">
        <v>815</v>
      </c>
      <c r="I5618" s="10" t="n">
        <v>170</v>
      </c>
      <c r="J5618" s="10" t="n">
        <v>0</v>
      </c>
      <c r="K5618" s="10" t="s">
        <v>20</v>
      </c>
      <c r="L5618" s="11" t="n">
        <v>41335.8183333333</v>
      </c>
      <c r="M5618" s="12" t="s">
        <v>574</v>
      </c>
      <c r="N5618" s="12"/>
      <c r="O5618" s="9" t="str">
        <f aca="false">HYPERLINK("https://pbs.twimg.com/profile_images/378800000310251208/39e3ef268e83d4457361db41b199ea80_normal.jpeg","View")</f>
        <v>View</v>
      </c>
      <c r="P5618" s="10"/>
    </row>
    <row r="5619" customFormat="false" ht="15.75" hidden="false" customHeight="false" outlineLevel="0" collapsed="false">
      <c r="A5619" s="6" t="n">
        <v>43030.956412037</v>
      </c>
      <c r="B5619" s="7" t="str">
        <f aca="false">HYPERLINK("https://twitter.com/foqn_roll","@foqn_roll")</f>
        <v>@foqn_roll</v>
      </c>
      <c r="C5619" s="14" t="s">
        <v>11996</v>
      </c>
      <c r="D5619" s="8" t="s">
        <v>12493</v>
      </c>
      <c r="E5619" s="9" t="str">
        <f aca="false">HYPERLINK("https://twitter.com/foqn_roll/status/922341124039090176","922341124039090176")</f>
        <v>922341124039090176</v>
      </c>
      <c r="F5619" s="10" t="s">
        <v>25</v>
      </c>
      <c r="G5619" s="10" t="n">
        <v>621</v>
      </c>
      <c r="H5619" s="10" t="n">
        <v>602</v>
      </c>
      <c r="I5619" s="10" t="n">
        <v>63</v>
      </c>
      <c r="J5619" s="10" t="n">
        <v>0</v>
      </c>
      <c r="K5619" s="10" t="s">
        <v>20</v>
      </c>
      <c r="L5619" s="11" t="n">
        <v>40004.3200231482</v>
      </c>
      <c r="M5619" s="13" t="s">
        <v>11997</v>
      </c>
      <c r="N5619" s="12" t="s">
        <v>11998</v>
      </c>
      <c r="O5619" s="9" t="str">
        <f aca="false">HYPERLINK("https://pbs.twimg.com/profile_images/867405795683700737/S8EI1W-2_normal.jpg","View")</f>
        <v>View</v>
      </c>
      <c r="P5619" s="10"/>
    </row>
    <row r="5620" customFormat="false" ht="15.75" hidden="false" customHeight="false" outlineLevel="0" collapsed="false">
      <c r="A5620" s="6" t="n">
        <v>43030.9565740741</v>
      </c>
      <c r="B5620" s="7" t="str">
        <f aca="false">HYPERLINK("https://twitter.com/PaoloTrombin","@PaoloTrombin")</f>
        <v>@PaoloTrombin</v>
      </c>
      <c r="C5620" s="8" t="s">
        <v>13041</v>
      </c>
      <c r="D5620" s="8" t="s">
        <v>13033</v>
      </c>
      <c r="E5620" s="9" t="str">
        <f aca="false">HYPERLINK("https://twitter.com/PaoloTrombin/status/922341180007952384","922341180007952384")</f>
        <v>922341180007952384</v>
      </c>
      <c r="F5620" s="10" t="s">
        <v>39</v>
      </c>
      <c r="G5620" s="10" t="n">
        <v>1528</v>
      </c>
      <c r="H5620" s="10" t="n">
        <v>1422</v>
      </c>
      <c r="I5620" s="10" t="n">
        <v>7</v>
      </c>
      <c r="J5620" s="10" t="n">
        <v>0</v>
      </c>
      <c r="K5620" s="10" t="s">
        <v>20</v>
      </c>
      <c r="L5620" s="11" t="n">
        <v>41586.259212963</v>
      </c>
      <c r="M5620" s="12" t="s">
        <v>13042</v>
      </c>
      <c r="N5620" s="12" t="s">
        <v>13043</v>
      </c>
      <c r="O5620" s="9" t="str">
        <f aca="false">HYPERLINK("https://pbs.twimg.com/profile_images/568675971042390016/Sc-bo3QY_normal.jpeg","View")</f>
        <v>View</v>
      </c>
      <c r="P5620" s="10"/>
    </row>
    <row r="5621" customFormat="false" ht="15.75" hidden="false" customHeight="false" outlineLevel="0" collapsed="false">
      <c r="A5621" s="6" t="n">
        <v>43030.9568287037</v>
      </c>
      <c r="B5621" s="7" t="str">
        <f aca="false">HYPERLINK("https://twitter.com/NYTTweetsNow","@NYTTweetsNow")</f>
        <v>@NYTTweetsNow</v>
      </c>
      <c r="C5621" s="8" t="s">
        <v>12652</v>
      </c>
      <c r="D5621" s="8" t="s">
        <v>12764</v>
      </c>
      <c r="E5621" s="9" t="str">
        <f aca="false">HYPERLINK("https://twitter.com/NYTTweetsNow/status/922341274048491520","922341274048491520")</f>
        <v>922341274048491520</v>
      </c>
      <c r="F5621" s="10" t="s">
        <v>25</v>
      </c>
      <c r="G5621" s="10" t="n">
        <v>11</v>
      </c>
      <c r="H5621" s="10" t="n">
        <v>1</v>
      </c>
      <c r="I5621" s="10" t="n">
        <v>170</v>
      </c>
      <c r="J5621" s="10" t="n">
        <v>0</v>
      </c>
      <c r="K5621" s="10" t="s">
        <v>20</v>
      </c>
      <c r="L5621" s="11" t="n">
        <v>42631.2515740741</v>
      </c>
      <c r="M5621" s="12" t="s">
        <v>8966</v>
      </c>
      <c r="N5621" s="12" t="s">
        <v>12653</v>
      </c>
      <c r="O5621" s="9" t="str">
        <f aca="false">HYPERLINK("https://pbs.twimg.com/profile_images/922567606942535680/886xWKqs_normal.jpg","View")</f>
        <v>View</v>
      </c>
      <c r="P5621" s="10"/>
    </row>
    <row r="5622" customFormat="false" ht="15.75" hidden="false" customHeight="false" outlineLevel="0" collapsed="false">
      <c r="A5622" s="6" t="n">
        <v>43030.9568402778</v>
      </c>
      <c r="B5622" s="7" t="str">
        <f aca="false">HYPERLINK("https://twitter.com/brpindia","@brpindia")</f>
        <v>@brpindia</v>
      </c>
      <c r="C5622" s="8" t="s">
        <v>13044</v>
      </c>
      <c r="D5622" s="8" t="s">
        <v>8538</v>
      </c>
      <c r="E5622" s="9" t="str">
        <f aca="false">HYPERLINK("https://twitter.com/brpindia/status/922341278121189376","922341278121189376")</f>
        <v>922341278121189376</v>
      </c>
      <c r="F5622" s="10" t="s">
        <v>25</v>
      </c>
      <c r="G5622" s="10" t="n">
        <v>45</v>
      </c>
      <c r="H5622" s="10" t="n">
        <v>46</v>
      </c>
      <c r="I5622" s="10" t="n">
        <v>1015</v>
      </c>
      <c r="J5622" s="10" t="n">
        <v>0</v>
      </c>
      <c r="K5622" s="10" t="s">
        <v>20</v>
      </c>
      <c r="L5622" s="11" t="n">
        <v>41681.0541666667</v>
      </c>
      <c r="M5622" s="12" t="s">
        <v>8603</v>
      </c>
      <c r="N5622" s="12" t="s">
        <v>13045</v>
      </c>
      <c r="O5622" s="9" t="str">
        <f aca="false">HYPERLINK("https://pbs.twimg.com/profile_images/898054445950312448/SqTtBVpJ_normal.jpg","View")</f>
        <v>View</v>
      </c>
      <c r="P5622" s="10"/>
    </row>
    <row r="5623" customFormat="false" ht="15.75" hidden="false" customHeight="false" outlineLevel="0" collapsed="false">
      <c r="A5623" s="6" t="n">
        <v>43030.9570949074</v>
      </c>
      <c r="B5623" s="7" t="str">
        <f aca="false">HYPERLINK("https://twitter.com/NarrendraM","@NarrendraM")</f>
        <v>@NarrendraM</v>
      </c>
      <c r="C5623" s="8" t="s">
        <v>468</v>
      </c>
      <c r="D5623" s="8" t="s">
        <v>13046</v>
      </c>
      <c r="E5623" s="9" t="str">
        <f aca="false">HYPERLINK("https://twitter.com/NarrendraM/status/922341370970374144","922341370970374144")</f>
        <v>922341370970374144</v>
      </c>
      <c r="F5623" s="10" t="s">
        <v>60</v>
      </c>
      <c r="G5623" s="10" t="n">
        <v>1999</v>
      </c>
      <c r="H5623" s="10" t="n">
        <v>252</v>
      </c>
      <c r="I5623" s="10" t="n">
        <v>0</v>
      </c>
      <c r="J5623" s="10" t="n">
        <v>0</v>
      </c>
      <c r="K5623" s="10" t="s">
        <v>20</v>
      </c>
      <c r="L5623" s="11" t="n">
        <v>42471.0737037037</v>
      </c>
      <c r="M5623" s="12" t="s">
        <v>253</v>
      </c>
      <c r="N5623" s="12" t="s">
        <v>470</v>
      </c>
      <c r="O5623" s="9" t="str">
        <f aca="false">HYPERLINK("https://pbs.twimg.com/profile_images/743939643738034176/WkGloI0u_normal.jpg","View")</f>
        <v>View</v>
      </c>
      <c r="P5623" s="10"/>
    </row>
    <row r="5624" customFormat="false" ht="15.75" hidden="false" customHeight="false" outlineLevel="0" collapsed="false">
      <c r="A5624" s="6" t="n">
        <v>43030.9571643519</v>
      </c>
      <c r="B5624" s="7" t="str">
        <f aca="false">HYPERLINK("https://twitter.com/Spencer2490","@Spencer2490")</f>
        <v>@Spencer2490</v>
      </c>
      <c r="C5624" s="8" t="s">
        <v>721</v>
      </c>
      <c r="D5624" s="8" t="s">
        <v>13047</v>
      </c>
      <c r="E5624" s="9" t="str">
        <f aca="false">HYPERLINK("https://twitter.com/Spencer2490/status/922341393267388416","922341393267388416")</f>
        <v>922341393267388416</v>
      </c>
      <c r="F5624" s="10" t="s">
        <v>60</v>
      </c>
      <c r="G5624" s="10" t="n">
        <v>75</v>
      </c>
      <c r="H5624" s="10" t="n">
        <v>27</v>
      </c>
      <c r="I5624" s="10" t="n">
        <v>0</v>
      </c>
      <c r="J5624" s="10" t="n">
        <v>0</v>
      </c>
      <c r="K5624" s="10" t="s">
        <v>20</v>
      </c>
      <c r="L5624" s="11" t="n">
        <v>42798.5306365741</v>
      </c>
      <c r="M5624" s="12" t="s">
        <v>723</v>
      </c>
      <c r="N5624" s="12" t="s">
        <v>724</v>
      </c>
      <c r="O5624" s="9" t="str">
        <f aca="false">HYPERLINK("https://pbs.twimg.com/profile_images/838128931844866048/Y0cWQdEl_normal.jpg","View")</f>
        <v>View</v>
      </c>
      <c r="P5624" s="10"/>
    </row>
    <row r="5625" customFormat="false" ht="15.75" hidden="false" customHeight="false" outlineLevel="0" collapsed="false">
      <c r="A5625" s="6" t="n">
        <v>43030.9571643519</v>
      </c>
      <c r="B5625" s="7" t="str">
        <f aca="false">HYPERLINK("https://twitter.com/kirkdamico","@kirkdamico")</f>
        <v>@kirkdamico</v>
      </c>
      <c r="C5625" s="8" t="s">
        <v>13048</v>
      </c>
      <c r="D5625" s="8" t="s">
        <v>12764</v>
      </c>
      <c r="E5625" s="9" t="str">
        <f aca="false">HYPERLINK("https://twitter.com/kirkdamico/status/922341394831650818","922341394831650818")</f>
        <v>922341394831650818</v>
      </c>
      <c r="F5625" s="10" t="s">
        <v>51</v>
      </c>
      <c r="G5625" s="10" t="n">
        <v>928</v>
      </c>
      <c r="H5625" s="10" t="n">
        <v>618</v>
      </c>
      <c r="I5625" s="10" t="n">
        <v>170</v>
      </c>
      <c r="J5625" s="10" t="n">
        <v>0</v>
      </c>
      <c r="K5625" s="10" t="s">
        <v>20</v>
      </c>
      <c r="L5625" s="11" t="n">
        <v>40519.4785185185</v>
      </c>
      <c r="M5625" s="12" t="s">
        <v>2468</v>
      </c>
      <c r="N5625" s="12" t="s">
        <v>13049</v>
      </c>
      <c r="O5625" s="9" t="str">
        <f aca="false">HYPERLINK("https://pbs.twimg.com/profile_images/1191619908/D_Amico_Kirk_MyriadPictures_normal.jpg","View")</f>
        <v>View</v>
      </c>
      <c r="P5625" s="10"/>
    </row>
    <row r="5626" customFormat="false" ht="15.75" hidden="false" customHeight="false" outlineLevel="0" collapsed="false">
      <c r="A5626" s="6" t="n">
        <v>43030.9573611111</v>
      </c>
      <c r="B5626" s="7" t="str">
        <f aca="false">HYPERLINK("https://twitter.com/Vibhorkedia1","@Vibhorkedia1")</f>
        <v>@Vibhorkedia1</v>
      </c>
      <c r="C5626" s="8" t="s">
        <v>3530</v>
      </c>
      <c r="D5626" s="8" t="s">
        <v>12764</v>
      </c>
      <c r="E5626" s="9" t="str">
        <f aca="false">HYPERLINK("https://twitter.com/Vibhorkedia1/status/922341466210320385","922341466210320385")</f>
        <v>922341466210320385</v>
      </c>
      <c r="F5626" s="10" t="s">
        <v>25</v>
      </c>
      <c r="G5626" s="10" t="n">
        <v>301</v>
      </c>
      <c r="H5626" s="10" t="n">
        <v>1742</v>
      </c>
      <c r="I5626" s="10" t="n">
        <v>170</v>
      </c>
      <c r="J5626" s="10" t="n">
        <v>0</v>
      </c>
      <c r="K5626" s="10" t="s">
        <v>20</v>
      </c>
      <c r="L5626" s="11" t="n">
        <v>40714.3942361111</v>
      </c>
      <c r="M5626" s="12" t="s">
        <v>3531</v>
      </c>
      <c r="N5626" s="12" t="s">
        <v>3532</v>
      </c>
      <c r="O5626" s="9" t="str">
        <f aca="false">HYPERLINK("https://pbs.twimg.com/profile_images/835065845005107200/1-HqF8nl_normal.jpg","View")</f>
        <v>View</v>
      </c>
      <c r="P5626" s="10"/>
    </row>
    <row r="5627" customFormat="false" ht="15.75" hidden="false" customHeight="false" outlineLevel="0" collapsed="false">
      <c r="A5627" s="6" t="n">
        <v>43030.9578819445</v>
      </c>
      <c r="B5627" s="7" t="str">
        <f aca="false">HYPERLINK("https://twitter.com/seoservicec","@seoservicec")</f>
        <v>@seoservicec</v>
      </c>
      <c r="C5627" s="8" t="s">
        <v>13050</v>
      </c>
      <c r="D5627" s="8" t="s">
        <v>13051</v>
      </c>
      <c r="E5627" s="9" t="str">
        <f aca="false">HYPERLINK("https://twitter.com/seoservicec/status/922341655021268992","922341655021268992")</f>
        <v>922341655021268992</v>
      </c>
      <c r="F5627" s="10" t="s">
        <v>55</v>
      </c>
      <c r="G5627" s="10" t="n">
        <v>2507</v>
      </c>
      <c r="H5627" s="10" t="n">
        <v>1806</v>
      </c>
      <c r="I5627" s="10" t="n">
        <v>0</v>
      </c>
      <c r="J5627" s="10" t="n">
        <v>0</v>
      </c>
      <c r="K5627" s="10" t="s">
        <v>20</v>
      </c>
      <c r="L5627" s="11" t="n">
        <v>40628.3582638889</v>
      </c>
      <c r="M5627" s="12" t="s">
        <v>72</v>
      </c>
      <c r="N5627" s="12" t="s">
        <v>13052</v>
      </c>
      <c r="O5627" s="9" t="str">
        <f aca="false">HYPERLINK("https://pbs.twimg.com/profile_images/3503665052/7dbff869302c9184660533c524c0daaa_normal.png","View")</f>
        <v>View</v>
      </c>
      <c r="P5627" s="10"/>
    </row>
    <row r="5628" customFormat="false" ht="15.75" hidden="false" customHeight="false" outlineLevel="0" collapsed="false">
      <c r="A5628" s="6" t="n">
        <v>43030.9579050926</v>
      </c>
      <c r="B5628" s="7" t="str">
        <f aca="false">HYPERLINK("https://twitter.com/i_sallu","@i_sallu")</f>
        <v>@i_sallu</v>
      </c>
      <c r="C5628" s="8" t="s">
        <v>13053</v>
      </c>
      <c r="D5628" s="8" t="s">
        <v>12764</v>
      </c>
      <c r="E5628" s="9" t="str">
        <f aca="false">HYPERLINK("https://twitter.com/i_sallu/status/922341663858708480","922341663858708480")</f>
        <v>922341663858708480</v>
      </c>
      <c r="F5628" s="10" t="s">
        <v>51</v>
      </c>
      <c r="G5628" s="10" t="n">
        <v>3856</v>
      </c>
      <c r="H5628" s="10" t="n">
        <v>4708</v>
      </c>
      <c r="I5628" s="10" t="n">
        <v>170</v>
      </c>
      <c r="J5628" s="10" t="n">
        <v>0</v>
      </c>
      <c r="K5628" s="10" t="s">
        <v>20</v>
      </c>
      <c r="L5628" s="11" t="n">
        <v>40978.9820833333</v>
      </c>
      <c r="M5628" s="12" t="s">
        <v>13054</v>
      </c>
      <c r="N5628" s="12"/>
      <c r="O5628" s="9" t="str">
        <f aca="false">HYPERLINK("https://pbs.twimg.com/profile_images/918275863183020033/U5hHx7gS_normal.jpg","View")</f>
        <v>View</v>
      </c>
      <c r="P5628" s="10"/>
    </row>
    <row r="5629" customFormat="false" ht="15.75" hidden="false" customHeight="false" outlineLevel="0" collapsed="false">
      <c r="A5629" s="6" t="n">
        <v>43030.9582175926</v>
      </c>
      <c r="B5629" s="7" t="str">
        <f aca="false">HYPERLINK("https://twitter.com/rashidaldosari","@rashidaldosari")</f>
        <v>@rashidaldosari</v>
      </c>
      <c r="C5629" s="8" t="s">
        <v>810</v>
      </c>
      <c r="D5629" s="8" t="s">
        <v>12764</v>
      </c>
      <c r="E5629" s="9" t="str">
        <f aca="false">HYPERLINK("https://twitter.com/rashidaldosari/status/922341777528549376","922341777528549376")</f>
        <v>922341777528549376</v>
      </c>
      <c r="F5629" s="10" t="s">
        <v>51</v>
      </c>
      <c r="G5629" s="10" t="n">
        <v>2401</v>
      </c>
      <c r="H5629" s="10" t="n">
        <v>55</v>
      </c>
      <c r="I5629" s="10" t="n">
        <v>170</v>
      </c>
      <c r="J5629" s="10" t="n">
        <v>0</v>
      </c>
      <c r="K5629" s="10" t="s">
        <v>20</v>
      </c>
      <c r="L5629" s="11" t="n">
        <v>40635.110625</v>
      </c>
      <c r="M5629" s="12"/>
      <c r="N5629" s="12" t="s">
        <v>811</v>
      </c>
      <c r="O5629" s="9" t="str">
        <f aca="false">HYPERLINK("https://pbs.twimg.com/profile_images/1389660377/image_normal.jpg","View")</f>
        <v>View</v>
      </c>
      <c r="P5629" s="10"/>
    </row>
    <row r="5630" customFormat="false" ht="15.75" hidden="false" customHeight="false" outlineLevel="0" collapsed="false">
      <c r="A5630" s="6" t="n">
        <v>43030.9583101852</v>
      </c>
      <c r="B5630" s="7" t="str">
        <f aca="false">HYPERLINK("https://twitter.com/ClassicMiguel","@ClassicMiguel")</f>
        <v>@ClassicMiguel</v>
      </c>
      <c r="C5630" s="8" t="s">
        <v>13055</v>
      </c>
      <c r="D5630" s="8" t="s">
        <v>12764</v>
      </c>
      <c r="E5630" s="9" t="str">
        <f aca="false">HYPERLINK("https://twitter.com/ClassicMiguel/status/922341808482471937","922341808482471937")</f>
        <v>922341808482471937</v>
      </c>
      <c r="F5630" s="10" t="s">
        <v>51</v>
      </c>
      <c r="G5630" s="10" t="n">
        <v>267</v>
      </c>
      <c r="H5630" s="10" t="n">
        <v>233</v>
      </c>
      <c r="I5630" s="10" t="n">
        <v>170</v>
      </c>
      <c r="J5630" s="10" t="n">
        <v>0</v>
      </c>
      <c r="K5630" s="10" t="s">
        <v>20</v>
      </c>
      <c r="L5630" s="11" t="n">
        <v>41297.6374537037</v>
      </c>
      <c r="M5630" s="12" t="s">
        <v>13056</v>
      </c>
      <c r="N5630" s="12" t="s">
        <v>13057</v>
      </c>
      <c r="O5630" s="9" t="str">
        <f aca="false">HYPERLINK("https://pbs.twimg.com/profile_images/886456480337195008/1Xb6Xh-Y_normal.jpg","View")</f>
        <v>View</v>
      </c>
      <c r="P5630" s="10"/>
    </row>
    <row r="5631" customFormat="false" ht="15.75" hidden="false" customHeight="false" outlineLevel="0" collapsed="false">
      <c r="A5631" s="6" t="n">
        <v>43030.9584490741</v>
      </c>
      <c r="B5631" s="7" t="str">
        <f aca="false">HYPERLINK("https://twitter.com/nyshkac","@nyshkac")</f>
        <v>@nyshkac</v>
      </c>
      <c r="C5631" s="8" t="s">
        <v>13058</v>
      </c>
      <c r="D5631" s="8" t="s">
        <v>13059</v>
      </c>
      <c r="E5631" s="9" t="str">
        <f aca="false">HYPERLINK("https://twitter.com/nyshkac/status/922341860105846784","922341860105846784")</f>
        <v>922341860105846784</v>
      </c>
      <c r="F5631" s="10" t="s">
        <v>39</v>
      </c>
      <c r="G5631" s="10" t="n">
        <v>1005</v>
      </c>
      <c r="H5631" s="10" t="n">
        <v>680</v>
      </c>
      <c r="I5631" s="10" t="n">
        <v>0</v>
      </c>
      <c r="J5631" s="10" t="n">
        <v>0</v>
      </c>
      <c r="K5631" s="10" t="s">
        <v>20</v>
      </c>
      <c r="L5631" s="11" t="n">
        <v>41399.8694675926</v>
      </c>
      <c r="M5631" s="12" t="s">
        <v>13060</v>
      </c>
      <c r="N5631" s="12" t="s">
        <v>13061</v>
      </c>
      <c r="O5631" s="9" t="str">
        <f aca="false">HYPERLINK("https://pbs.twimg.com/profile_images/587517384937746433/zQ3qnbog_normal.jpg","View")</f>
        <v>View</v>
      </c>
      <c r="P5631" s="10"/>
    </row>
    <row r="5632" customFormat="false" ht="15.75" hidden="false" customHeight="false" outlineLevel="0" collapsed="false">
      <c r="A5632" s="6" t="n">
        <v>43030.9585069444</v>
      </c>
      <c r="B5632" s="7" t="str">
        <f aca="false">HYPERLINK("https://twitter.com/NewsStoryIndia","@NewsStoryIndia")</f>
        <v>@NewsStoryIndia</v>
      </c>
      <c r="C5632" s="8" t="s">
        <v>2842</v>
      </c>
      <c r="D5632" s="8" t="s">
        <v>13062</v>
      </c>
      <c r="E5632" s="9" t="str">
        <f aca="false">HYPERLINK("https://twitter.com/NewsStoryIndia/status/922341883065634816","922341883065634816")</f>
        <v>922341883065634816</v>
      </c>
      <c r="F5632" s="10" t="s">
        <v>60</v>
      </c>
      <c r="G5632" s="10" t="n">
        <v>4574</v>
      </c>
      <c r="H5632" s="10" t="n">
        <v>28</v>
      </c>
      <c r="I5632" s="10" t="n">
        <v>0</v>
      </c>
      <c r="J5632" s="10" t="n">
        <v>0</v>
      </c>
      <c r="K5632" s="10" t="s">
        <v>20</v>
      </c>
      <c r="L5632" s="11" t="n">
        <v>40404.7906944444</v>
      </c>
      <c r="M5632" s="12" t="s">
        <v>72</v>
      </c>
      <c r="N5632" s="12" t="s">
        <v>2844</v>
      </c>
      <c r="O5632" s="9" t="str">
        <f aca="false">HYPERLINK("https://pbs.twimg.com/profile_images/829323773769818113/0Z6sbzum_normal.jpg","View")</f>
        <v>View</v>
      </c>
      <c r="P5632" s="10"/>
    </row>
    <row r="5633" customFormat="false" ht="15.75" hidden="false" customHeight="false" outlineLevel="0" collapsed="false">
      <c r="A5633" s="6" t="n">
        <v>43030.9586111111</v>
      </c>
      <c r="B5633" s="7" t="str">
        <f aca="false">HYPERLINK("https://twitter.com/eztango","@eztango")</f>
        <v>@eztango</v>
      </c>
      <c r="C5633" s="14" t="s">
        <v>13063</v>
      </c>
      <c r="D5633" s="8" t="s">
        <v>13064</v>
      </c>
      <c r="E5633" s="9" t="str">
        <f aca="false">HYPERLINK("https://twitter.com/eztango/status/922341918683435008","922341918683435008")</f>
        <v>922341918683435008</v>
      </c>
      <c r="F5633" s="10" t="s">
        <v>13065</v>
      </c>
      <c r="G5633" s="10" t="n">
        <v>35</v>
      </c>
      <c r="H5633" s="10" t="n">
        <v>42</v>
      </c>
      <c r="I5633" s="10" t="n">
        <v>0</v>
      </c>
      <c r="J5633" s="10" t="n">
        <v>0</v>
      </c>
      <c r="K5633" s="10" t="s">
        <v>20</v>
      </c>
      <c r="L5633" s="11" t="n">
        <v>42435.8468981482</v>
      </c>
      <c r="M5633" s="12" t="s">
        <v>502</v>
      </c>
      <c r="N5633" s="13" t="s">
        <v>13066</v>
      </c>
      <c r="O5633" s="9" t="str">
        <f aca="false">HYPERLINK("https://abs.twimg.com/sticky/default_profile_images/default_profile_normal.png","View")</f>
        <v>View</v>
      </c>
      <c r="P5633" s="10"/>
    </row>
    <row r="5634" customFormat="false" ht="15.75" hidden="false" customHeight="false" outlineLevel="0" collapsed="false">
      <c r="A5634" s="6" t="n">
        <v>43030.9586111111</v>
      </c>
      <c r="B5634" s="7" t="str">
        <f aca="false">HYPERLINK("https://twitter.com/el_mag1","@el_mag1")</f>
        <v>@el_mag1</v>
      </c>
      <c r="C5634" s="8" t="s">
        <v>13067</v>
      </c>
      <c r="D5634" s="8" t="s">
        <v>8538</v>
      </c>
      <c r="E5634" s="9" t="str">
        <f aca="false">HYPERLINK("https://twitter.com/el_mag1/status/922341920784945152","922341920784945152")</f>
        <v>922341920784945152</v>
      </c>
      <c r="F5634" s="10" t="s">
        <v>25</v>
      </c>
      <c r="G5634" s="10" t="n">
        <v>315</v>
      </c>
      <c r="H5634" s="10" t="n">
        <v>1629</v>
      </c>
      <c r="I5634" s="10" t="n">
        <v>1015</v>
      </c>
      <c r="J5634" s="10" t="n">
        <v>0</v>
      </c>
      <c r="K5634" s="10" t="s">
        <v>20</v>
      </c>
      <c r="L5634" s="11" t="n">
        <v>41269.3674305556</v>
      </c>
      <c r="M5634" s="12" t="s">
        <v>13068</v>
      </c>
      <c r="N5634" s="12" t="s">
        <v>13069</v>
      </c>
      <c r="O5634" s="9" t="str">
        <f aca="false">HYPERLINK("https://pbs.twimg.com/profile_images/472141491926614016/ExHJmPzj_normal.png","View")</f>
        <v>View</v>
      </c>
      <c r="P5634" s="10"/>
    </row>
    <row r="5635" customFormat="false" ht="15.75" hidden="false" customHeight="false" outlineLevel="0" collapsed="false">
      <c r="A5635" s="6" t="n">
        <v>43030.9586805556</v>
      </c>
      <c r="B5635" s="7" t="str">
        <f aca="false">HYPERLINK("https://twitter.com/marioricciard18","@marioricciard18")</f>
        <v>@marioricciard18</v>
      </c>
      <c r="C5635" s="8" t="s">
        <v>13070</v>
      </c>
      <c r="D5635" s="8" t="s">
        <v>12764</v>
      </c>
      <c r="E5635" s="9" t="str">
        <f aca="false">HYPERLINK("https://twitter.com/marioricciard18/status/922341946391252992","922341946391252992")</f>
        <v>922341946391252992</v>
      </c>
      <c r="F5635" s="10" t="s">
        <v>51</v>
      </c>
      <c r="G5635" s="10" t="n">
        <v>1493</v>
      </c>
      <c r="H5635" s="10" t="n">
        <v>1711</v>
      </c>
      <c r="I5635" s="10" t="n">
        <v>170</v>
      </c>
      <c r="J5635" s="10" t="n">
        <v>0</v>
      </c>
      <c r="K5635" s="10" t="s">
        <v>20</v>
      </c>
      <c r="L5635" s="11" t="n">
        <v>42405.1148842593</v>
      </c>
      <c r="M5635" s="12" t="s">
        <v>13071</v>
      </c>
      <c r="N5635" s="12" t="s">
        <v>13072</v>
      </c>
      <c r="O5635" s="9" t="str">
        <f aca="false">HYPERLINK("https://pbs.twimg.com/profile_images/850693203909120000/D77PetkU_normal.jpg","View")</f>
        <v>View</v>
      </c>
      <c r="P5635" s="10"/>
    </row>
    <row r="5636" customFormat="false" ht="15.75" hidden="false" customHeight="false" outlineLevel="0" collapsed="false">
      <c r="A5636" s="6" t="n">
        <v>43030.9587268519</v>
      </c>
      <c r="B5636" s="7" t="str">
        <f aca="false">HYPERLINK("https://twitter.com/28481k","@28481k")</f>
        <v>@28481k</v>
      </c>
      <c r="C5636" s="8" t="s">
        <v>13073</v>
      </c>
      <c r="D5636" s="8" t="s">
        <v>13033</v>
      </c>
      <c r="E5636" s="9" t="str">
        <f aca="false">HYPERLINK("https://twitter.com/28481k/status/922341962971152384","922341962971152384")</f>
        <v>922341962971152384</v>
      </c>
      <c r="F5636" s="10" t="s">
        <v>51</v>
      </c>
      <c r="G5636" s="10" t="n">
        <v>2552</v>
      </c>
      <c r="H5636" s="10" t="n">
        <v>2778</v>
      </c>
      <c r="I5636" s="10" t="n">
        <v>7</v>
      </c>
      <c r="J5636" s="10" t="n">
        <v>0</v>
      </c>
      <c r="K5636" s="10" t="s">
        <v>20</v>
      </c>
      <c r="L5636" s="11" t="n">
        <v>39250.3571296296</v>
      </c>
      <c r="M5636" s="12" t="s">
        <v>68</v>
      </c>
      <c r="N5636" s="13" t="s">
        <v>13074</v>
      </c>
      <c r="O5636" s="9" t="str">
        <f aca="false">HYPERLINK("https://pbs.twimg.com/profile_images/781320924754644992/_-75v-W-_normal.jpg","View")</f>
        <v>View</v>
      </c>
      <c r="P5636" s="10"/>
    </row>
    <row r="5637" customFormat="false" ht="15.75" hidden="false" customHeight="false" outlineLevel="0" collapsed="false">
      <c r="A5637" s="6" t="n">
        <v>43030.9587731481</v>
      </c>
      <c r="B5637" s="7" t="str">
        <f aca="false">HYPERLINK("https://twitter.com/varunk1996","@varunk1996")</f>
        <v>@varunk1996</v>
      </c>
      <c r="C5637" s="8" t="s">
        <v>13075</v>
      </c>
      <c r="D5637" s="8" t="s">
        <v>8538</v>
      </c>
      <c r="E5637" s="9" t="str">
        <f aca="false">HYPERLINK("https://twitter.com/varunk1996/status/922341979203125248","922341979203125248")</f>
        <v>922341979203125248</v>
      </c>
      <c r="F5637" s="10" t="s">
        <v>98</v>
      </c>
      <c r="G5637" s="10" t="n">
        <v>101</v>
      </c>
      <c r="H5637" s="10" t="n">
        <v>580</v>
      </c>
      <c r="I5637" s="10" t="n">
        <v>1015</v>
      </c>
      <c r="J5637" s="10" t="n">
        <v>0</v>
      </c>
      <c r="K5637" s="10" t="s">
        <v>20</v>
      </c>
      <c r="L5637" s="11" t="n">
        <v>40357.1531134259</v>
      </c>
      <c r="M5637" s="12" t="s">
        <v>253</v>
      </c>
      <c r="N5637" s="12" t="s">
        <v>13076</v>
      </c>
      <c r="O5637" s="9" t="str">
        <f aca="false">HYPERLINK("https://abs.twimg.com/sticky/default_profile_images/default_profile_normal.png","View")</f>
        <v>View</v>
      </c>
      <c r="P5637" s="10"/>
    </row>
    <row r="5638" customFormat="false" ht="15.75" hidden="false" customHeight="false" outlineLevel="0" collapsed="false">
      <c r="A5638" s="6" t="n">
        <v>43030.9588194444</v>
      </c>
      <c r="B5638" s="7" t="str">
        <f aca="false">HYPERLINK("https://twitter.com/thejournal_ie","@thejournal_ie")</f>
        <v>@thejournal_ie</v>
      </c>
      <c r="C5638" s="7" t="s">
        <v>13077</v>
      </c>
      <c r="D5638" s="8" t="s">
        <v>13078</v>
      </c>
      <c r="E5638" s="9" t="str">
        <f aca="false">HYPERLINK("https://twitter.com/thejournal_ie/status/922341993820360704","922341993820360704")</f>
        <v>922341993820360704</v>
      </c>
      <c r="F5638" s="10" t="s">
        <v>13079</v>
      </c>
      <c r="G5638" s="10" t="n">
        <v>549659</v>
      </c>
      <c r="H5638" s="10" t="n">
        <v>725</v>
      </c>
      <c r="I5638" s="10" t="n">
        <v>0</v>
      </c>
      <c r="J5638" s="10" t="n">
        <v>0</v>
      </c>
      <c r="K5638" s="10" t="s">
        <v>20</v>
      </c>
      <c r="L5638" s="11" t="n">
        <v>40329.2561574074</v>
      </c>
      <c r="M5638" s="12" t="s">
        <v>6755</v>
      </c>
      <c r="N5638" s="12" t="s">
        <v>13080</v>
      </c>
      <c r="O5638" s="9" t="str">
        <f aca="false">HYPERLINK("https://pbs.twimg.com/profile_images/816631955005571072/K_Ze_SCR_normal.jpg","View")</f>
        <v>View</v>
      </c>
      <c r="P5638" s="10"/>
    </row>
    <row r="5639" customFormat="false" ht="15.75" hidden="false" customHeight="false" outlineLevel="0" collapsed="false">
      <c r="A5639" s="6" t="n">
        <v>43030.9588425926</v>
      </c>
      <c r="B5639" s="7" t="str">
        <f aca="false">HYPERLINK("https://twitter.com/JoseValerioTN","@JoseValerioTN")</f>
        <v>@JoseValerioTN</v>
      </c>
      <c r="C5639" s="8" t="s">
        <v>13081</v>
      </c>
      <c r="D5639" s="8" t="s">
        <v>13082</v>
      </c>
      <c r="E5639" s="9" t="str">
        <f aca="false">HYPERLINK("https://twitter.com/JoseValerioTN/status/922342001173024770","922342001173024770")</f>
        <v>922342001173024770</v>
      </c>
      <c r="F5639" s="10" t="s">
        <v>110</v>
      </c>
      <c r="G5639" s="10" t="n">
        <v>51</v>
      </c>
      <c r="H5639" s="10" t="n">
        <v>128</v>
      </c>
      <c r="I5639" s="10" t="n">
        <v>0</v>
      </c>
      <c r="J5639" s="10" t="n">
        <v>0</v>
      </c>
      <c r="K5639" s="10" t="s">
        <v>20</v>
      </c>
      <c r="L5639" s="11" t="n">
        <v>42767.5335069444</v>
      </c>
      <c r="M5639" s="12" t="s">
        <v>5457</v>
      </c>
      <c r="N5639" s="12" t="s">
        <v>13083</v>
      </c>
      <c r="O5639" s="9" t="str">
        <f aca="false">HYPERLINK("https://pbs.twimg.com/profile_images/826901382787629060/1JvAZ5Zu_normal.jpg","View")</f>
        <v>View</v>
      </c>
      <c r="P5639" s="10"/>
    </row>
    <row r="5640" customFormat="false" ht="15.75" hidden="false" customHeight="false" outlineLevel="0" collapsed="false">
      <c r="A5640" s="6" t="n">
        <v>43030.9590046296</v>
      </c>
      <c r="B5640" s="7" t="str">
        <f aca="false">HYPERLINK("https://twitter.com/SriOpines","@SriOpines")</f>
        <v>@SriOpines</v>
      </c>
      <c r="C5640" s="8" t="s">
        <v>13084</v>
      </c>
      <c r="D5640" s="8" t="s">
        <v>13085</v>
      </c>
      <c r="E5640" s="9" t="str">
        <f aca="false">HYPERLINK("https://twitter.com/SriOpines/status/922342061826891776","922342061826891776")</f>
        <v>922342061826891776</v>
      </c>
      <c r="F5640" s="10" t="s">
        <v>13086</v>
      </c>
      <c r="G5640" s="10" t="n">
        <v>966</v>
      </c>
      <c r="H5640" s="10" t="n">
        <v>393</v>
      </c>
      <c r="I5640" s="10" t="n">
        <v>0</v>
      </c>
      <c r="J5640" s="10" t="n">
        <v>0</v>
      </c>
      <c r="K5640" s="10" t="s">
        <v>20</v>
      </c>
      <c r="L5640" s="11" t="n">
        <v>40905.4874768519</v>
      </c>
      <c r="M5640" s="12"/>
      <c r="N5640" s="12" t="s">
        <v>13087</v>
      </c>
      <c r="O5640" s="9" t="str">
        <f aca="false">HYPERLINK("https://pbs.twimg.com/profile_images/899286451992395776/5YOcpGsE_normal.jpg","View")</f>
        <v>View</v>
      </c>
      <c r="P5640" s="10"/>
    </row>
    <row r="5641" customFormat="false" ht="15.75" hidden="false" customHeight="false" outlineLevel="0" collapsed="false">
      <c r="A5641" s="6" t="n">
        <v>43030.9590162037</v>
      </c>
      <c r="B5641" s="7" t="str">
        <f aca="false">HYPERLINK("https://twitter.com/qzindia","@qzindia")</f>
        <v>@qzindia</v>
      </c>
      <c r="C5641" s="8" t="s">
        <v>13088</v>
      </c>
      <c r="D5641" s="8" t="s">
        <v>13089</v>
      </c>
      <c r="E5641" s="9" t="str">
        <f aca="false">HYPERLINK("https://twitter.com/qzindia/status/922342066490818560","922342066490818560")</f>
        <v>922342066490818560</v>
      </c>
      <c r="F5641" s="10" t="s">
        <v>276</v>
      </c>
      <c r="G5641" s="10" t="n">
        <v>25103</v>
      </c>
      <c r="H5641" s="10" t="n">
        <v>38</v>
      </c>
      <c r="I5641" s="10" t="n">
        <v>0</v>
      </c>
      <c r="J5641" s="10" t="n">
        <v>1</v>
      </c>
      <c r="K5641" s="10" t="s">
        <v>20</v>
      </c>
      <c r="L5641" s="11" t="n">
        <v>41718.500462963</v>
      </c>
      <c r="M5641" s="12" t="s">
        <v>72</v>
      </c>
      <c r="N5641" s="12" t="s">
        <v>13090</v>
      </c>
      <c r="O5641" s="9" t="str">
        <f aca="false">HYPERLINK("https://pbs.twimg.com/profile_images/850196913420984320/cqtjuFwn_normal.jpg","View")</f>
        <v>View</v>
      </c>
      <c r="P5641" s="10"/>
    </row>
    <row r="5642" customFormat="false" ht="15.75" hidden="false" customHeight="false" outlineLevel="0" collapsed="false">
      <c r="A5642" s="6" t="n">
        <v>43030.9591319444</v>
      </c>
      <c r="B5642" s="7" t="str">
        <f aca="false">HYPERLINK("https://twitter.com/lindayueh","@lindayueh")</f>
        <v>@lindayueh</v>
      </c>
      <c r="C5642" s="8" t="s">
        <v>13091</v>
      </c>
      <c r="D5642" s="8" t="s">
        <v>13092</v>
      </c>
      <c r="E5642" s="9" t="str">
        <f aca="false">HYPERLINK("https://twitter.com/lindayueh/status/922342108769513473","922342108769513473")</f>
        <v>922342108769513473</v>
      </c>
      <c r="F5642" s="10" t="s">
        <v>51</v>
      </c>
      <c r="G5642" s="10" t="n">
        <v>66031</v>
      </c>
      <c r="H5642" s="10" t="n">
        <v>1936</v>
      </c>
      <c r="I5642" s="10" t="n">
        <v>19</v>
      </c>
      <c r="J5642" s="10" t="n">
        <v>18</v>
      </c>
      <c r="K5642" s="10" t="s">
        <v>20</v>
      </c>
      <c r="L5642" s="11" t="n">
        <v>40763.3610763889</v>
      </c>
      <c r="M5642" s="15" t="s">
        <v>13093</v>
      </c>
      <c r="N5642" s="12" t="s">
        <v>13094</v>
      </c>
      <c r="O5642" s="9" t="str">
        <f aca="false">HYPERLINK("https://pbs.twimg.com/profile_images/3643565732/613f9dec02cf8db979917d661ef64f3a_normal.jpeg","View")</f>
        <v>View</v>
      </c>
      <c r="P5642" s="10"/>
    </row>
    <row r="5643" customFormat="false" ht="15.75" hidden="false" customHeight="false" outlineLevel="0" collapsed="false">
      <c r="A5643" s="6" t="n">
        <v>43030.9591435185</v>
      </c>
      <c r="B5643" s="7" t="str">
        <f aca="false">HYPERLINK("https://twitter.com/Ashwin_n","@Ashwin_n")</f>
        <v>@Ashwin_n</v>
      </c>
      <c r="C5643" s="8" t="s">
        <v>13095</v>
      </c>
      <c r="D5643" s="8" t="s">
        <v>8538</v>
      </c>
      <c r="E5643" s="9" t="str">
        <f aca="false">HYPERLINK("https://twitter.com/Ashwin_n/status/922342113479507968","922342113479507968")</f>
        <v>922342113479507968</v>
      </c>
      <c r="F5643" s="10" t="s">
        <v>51</v>
      </c>
      <c r="G5643" s="10" t="n">
        <v>732</v>
      </c>
      <c r="H5643" s="10" t="n">
        <v>1433</v>
      </c>
      <c r="I5643" s="10" t="n">
        <v>1015</v>
      </c>
      <c r="J5643" s="10" t="n">
        <v>0</v>
      </c>
      <c r="K5643" s="10" t="s">
        <v>20</v>
      </c>
      <c r="L5643" s="11" t="n">
        <v>40042.4967708333</v>
      </c>
      <c r="M5643" s="12" t="s">
        <v>13096</v>
      </c>
      <c r="N5643" s="12" t="s">
        <v>13097</v>
      </c>
      <c r="O5643" s="9" t="str">
        <f aca="false">HYPERLINK("https://pbs.twimg.com/profile_images/834290808639672321/DBCfmyxj_normal.jpg","View")</f>
        <v>View</v>
      </c>
      <c r="P5643" s="10"/>
    </row>
    <row r="5644" customFormat="false" ht="15.75" hidden="false" customHeight="false" outlineLevel="0" collapsed="false">
      <c r="A5644" s="6" t="n">
        <v>43030.9591898148</v>
      </c>
      <c r="B5644" s="7" t="str">
        <f aca="false">HYPERLINK("https://twitter.com/frattigiovanni","@frattigiovanni")</f>
        <v>@frattigiovanni</v>
      </c>
      <c r="C5644" s="8" t="s">
        <v>13098</v>
      </c>
      <c r="D5644" s="8" t="s">
        <v>13033</v>
      </c>
      <c r="E5644" s="9" t="str">
        <f aca="false">HYPERLINK("https://twitter.com/frattigiovanni/status/922342129875193856","922342129875193856")</f>
        <v>922342129875193856</v>
      </c>
      <c r="F5644" s="10" t="s">
        <v>51</v>
      </c>
      <c r="G5644" s="10" t="n">
        <v>10819</v>
      </c>
      <c r="H5644" s="10" t="n">
        <v>6794</v>
      </c>
      <c r="I5644" s="10" t="n">
        <v>7</v>
      </c>
      <c r="J5644" s="10" t="n">
        <v>0</v>
      </c>
      <c r="K5644" s="10" t="s">
        <v>20</v>
      </c>
      <c r="L5644" s="11" t="n">
        <v>41451.9286226852</v>
      </c>
      <c r="M5644" s="12" t="s">
        <v>13099</v>
      </c>
      <c r="N5644" s="12" t="s">
        <v>13100</v>
      </c>
      <c r="O5644" s="9" t="str">
        <f aca="false">HYPERLINK("https://pbs.twimg.com/profile_images/378800000052197752/b4f8f1c1ef3c5270d9083b84e9df1ecb_normal.jpeg","View")</f>
        <v>View</v>
      </c>
      <c r="P5644" s="10"/>
    </row>
    <row r="5645" customFormat="false" ht="15.75" hidden="false" customHeight="false" outlineLevel="0" collapsed="false">
      <c r="A5645" s="6" t="n">
        <v>43030.9592708333</v>
      </c>
      <c r="B5645" s="7" t="str">
        <f aca="false">HYPERLINK("https://twitter.com/johnnieh1951","@johnnieh1951")</f>
        <v>@johnnieh1951</v>
      </c>
      <c r="C5645" s="8" t="s">
        <v>13101</v>
      </c>
      <c r="D5645" s="8" t="s">
        <v>12764</v>
      </c>
      <c r="E5645" s="9" t="str">
        <f aca="false">HYPERLINK("https://twitter.com/johnnieh1951/status/922342156286775296","922342156286775296")</f>
        <v>922342156286775296</v>
      </c>
      <c r="F5645" s="10" t="s">
        <v>177</v>
      </c>
      <c r="G5645" s="10" t="n">
        <v>112</v>
      </c>
      <c r="H5645" s="10" t="n">
        <v>214</v>
      </c>
      <c r="I5645" s="10" t="n">
        <v>170</v>
      </c>
      <c r="J5645" s="10" t="n">
        <v>0</v>
      </c>
      <c r="K5645" s="10" t="s">
        <v>20</v>
      </c>
      <c r="L5645" s="11" t="n">
        <v>42740.3670486111</v>
      </c>
      <c r="M5645" s="12" t="s">
        <v>13102</v>
      </c>
      <c r="N5645" s="12" t="s">
        <v>13103</v>
      </c>
      <c r="O5645" s="9" t="str">
        <f aca="false">HYPERLINK("https://pbs.twimg.com/profile_images/817062421986680832/OnljFLuc_normal.jpg","View")</f>
        <v>View</v>
      </c>
      <c r="P5645" s="10"/>
    </row>
    <row r="5646" customFormat="false" ht="15.75" hidden="false" customHeight="false" outlineLevel="0" collapsed="false">
      <c r="A5646" s="6" t="n">
        <v>43030.9593865741</v>
      </c>
      <c r="B5646" s="7" t="str">
        <f aca="false">HYPERLINK("https://twitter.com/InfoEire","@InfoEire")</f>
        <v>@InfoEire</v>
      </c>
      <c r="C5646" s="8" t="s">
        <v>13104</v>
      </c>
      <c r="D5646" s="8" t="s">
        <v>13105</v>
      </c>
      <c r="E5646" s="9" t="str">
        <f aca="false">HYPERLINK("https://twitter.com/InfoEire/status/922342199500660736","922342199500660736")</f>
        <v>922342199500660736</v>
      </c>
      <c r="F5646" s="10" t="s">
        <v>60</v>
      </c>
      <c r="G5646" s="10" t="n">
        <v>1059</v>
      </c>
      <c r="H5646" s="10" t="n">
        <v>23</v>
      </c>
      <c r="I5646" s="10" t="n">
        <v>0</v>
      </c>
      <c r="J5646" s="10" t="n">
        <v>0</v>
      </c>
      <c r="K5646" s="10" t="s">
        <v>20</v>
      </c>
      <c r="L5646" s="11" t="n">
        <v>41710.8812268519</v>
      </c>
      <c r="M5646" s="12"/>
      <c r="N5646" s="12" t="s">
        <v>13106</v>
      </c>
      <c r="O5646" s="9" t="str">
        <f aca="false">HYPERLINK("https://pbs.twimg.com/profile_images/443969359166205952/jOV94A1G_normal.jpeg","View")</f>
        <v>View</v>
      </c>
      <c r="P5646" s="10"/>
    </row>
    <row r="5647" customFormat="false" ht="15.75" hidden="false" customHeight="false" outlineLevel="0" collapsed="false">
      <c r="A5647" s="6" t="n">
        <v>43030.9594444444</v>
      </c>
      <c r="B5647" s="7" t="str">
        <f aca="false">HYPERLINK("https://twitter.com/NidaPeabadly","@NidaPeabadly")</f>
        <v>@NidaPeabadly</v>
      </c>
      <c r="C5647" s="8" t="s">
        <v>13107</v>
      </c>
      <c r="D5647" s="8" t="s">
        <v>13108</v>
      </c>
      <c r="E5647" s="9" t="str">
        <f aca="false">HYPERLINK("https://twitter.com/NidaPeabadly/status/922342219910205440","922342219910205440")</f>
        <v>922342219910205440</v>
      </c>
      <c r="F5647" s="10" t="s">
        <v>563</v>
      </c>
      <c r="G5647" s="10" t="n">
        <v>18657</v>
      </c>
      <c r="H5647" s="10" t="n">
        <v>17464</v>
      </c>
      <c r="I5647" s="10" t="n">
        <v>1</v>
      </c>
      <c r="J5647" s="10" t="n">
        <v>0</v>
      </c>
      <c r="K5647" s="10" t="s">
        <v>20</v>
      </c>
      <c r="L5647" s="11" t="n">
        <v>41708.7809027778</v>
      </c>
      <c r="M5647" s="12" t="s">
        <v>4050</v>
      </c>
      <c r="N5647" s="12" t="s">
        <v>13109</v>
      </c>
      <c r="O5647" s="9" t="str">
        <f aca="false">HYPERLINK("https://pbs.twimg.com/profile_images/658318813398564864/BYo78mQb_normal.jpg","View")</f>
        <v>View</v>
      </c>
      <c r="P5647" s="10"/>
    </row>
    <row r="5648" customFormat="false" ht="15.75" hidden="false" customHeight="false" outlineLevel="0" collapsed="false">
      <c r="A5648" s="6" t="n">
        <v>43030.9594907407</v>
      </c>
      <c r="B5648" s="7" t="str">
        <f aca="false">HYPERLINK("https://twitter.com/ichigo_opanchu","@ichigo_opanchu")</f>
        <v>@ichigo_opanchu</v>
      </c>
      <c r="C5648" s="14" t="s">
        <v>12694</v>
      </c>
      <c r="D5648" s="8" t="s">
        <v>13110</v>
      </c>
      <c r="E5648" s="9" t="str">
        <f aca="false">HYPERLINK("https://twitter.com/ichigo_opanchu/status/922342237815451649","922342237815451649")</f>
        <v>922342237815451649</v>
      </c>
      <c r="F5648" s="9" t="s">
        <v>1340</v>
      </c>
      <c r="G5648" s="10" t="n">
        <v>1174</v>
      </c>
      <c r="H5648" s="10" t="n">
        <v>1629</v>
      </c>
      <c r="I5648" s="10" t="n">
        <v>0</v>
      </c>
      <c r="J5648" s="10" t="n">
        <v>0</v>
      </c>
      <c r="K5648" s="10" t="s">
        <v>20</v>
      </c>
      <c r="L5648" s="11" t="n">
        <v>41584.515787037</v>
      </c>
      <c r="M5648" s="12"/>
      <c r="N5648" s="12"/>
      <c r="O5648" s="9" t="str">
        <f aca="false">HYPERLINK("https://pbs.twimg.com/profile_images/378800000706122038/8717500dd70ef1765108669059e3f9b0_normal.jpeg","View")</f>
        <v>View</v>
      </c>
      <c r="P5648" s="10"/>
    </row>
    <row r="5649" customFormat="false" ht="15.75" hidden="false" customHeight="false" outlineLevel="0" collapsed="false">
      <c r="A5649" s="6" t="n">
        <v>43030.9595601852</v>
      </c>
      <c r="B5649" s="7" t="str">
        <f aca="false">HYPERLINK("https://twitter.com/surya_rounak","@surya_rounak")</f>
        <v>@surya_rounak</v>
      </c>
      <c r="C5649" s="8" t="s">
        <v>13111</v>
      </c>
      <c r="D5649" s="8" t="s">
        <v>12764</v>
      </c>
      <c r="E5649" s="9" t="str">
        <f aca="false">HYPERLINK("https://twitter.com/surya_rounak/status/922342261450354689","922342261450354689")</f>
        <v>922342261450354689</v>
      </c>
      <c r="F5649" s="10" t="s">
        <v>39</v>
      </c>
      <c r="G5649" s="10" t="n">
        <v>23</v>
      </c>
      <c r="H5649" s="10" t="n">
        <v>366</v>
      </c>
      <c r="I5649" s="10" t="n">
        <v>170</v>
      </c>
      <c r="J5649" s="10" t="n">
        <v>0</v>
      </c>
      <c r="K5649" s="10" t="s">
        <v>20</v>
      </c>
      <c r="L5649" s="11" t="n">
        <v>42999.033287037</v>
      </c>
      <c r="M5649" s="12" t="s">
        <v>13112</v>
      </c>
      <c r="N5649" s="12"/>
      <c r="O5649" s="9" t="str">
        <f aca="false">HYPERLINK("https://pbs.twimg.com/profile_images/910776865115168768/hjggmFIl_normal.jpg","View")</f>
        <v>View</v>
      </c>
      <c r="P5649" s="10"/>
    </row>
    <row r="5650" customFormat="false" ht="15.75" hidden="false" customHeight="false" outlineLevel="0" collapsed="false">
      <c r="A5650" s="6" t="n">
        <v>43030.9601736111</v>
      </c>
      <c r="B5650" s="7" t="str">
        <f aca="false">HYPERLINK("https://twitter.com/GinaVSanchez","@GinaVSanchez")</f>
        <v>@GinaVSanchez</v>
      </c>
      <c r="C5650" s="8" t="s">
        <v>13113</v>
      </c>
      <c r="D5650" s="8" t="s">
        <v>13114</v>
      </c>
      <c r="E5650" s="9" t="str">
        <f aca="false">HYPERLINK("https://twitter.com/GinaVSanchez/status/922342484696555520","922342484696555520")</f>
        <v>922342484696555520</v>
      </c>
      <c r="F5650" s="10" t="s">
        <v>25</v>
      </c>
      <c r="G5650" s="10" t="n">
        <v>28926</v>
      </c>
      <c r="H5650" s="10" t="n">
        <v>565</v>
      </c>
      <c r="I5650" s="10" t="n">
        <v>19</v>
      </c>
      <c r="J5650" s="10" t="n">
        <v>0</v>
      </c>
      <c r="K5650" s="10" t="s">
        <v>20</v>
      </c>
      <c r="L5650" s="11" t="n">
        <v>40761.4081018519</v>
      </c>
      <c r="M5650" s="12" t="s">
        <v>752</v>
      </c>
      <c r="N5650" s="12" t="s">
        <v>13115</v>
      </c>
      <c r="O5650" s="9" t="str">
        <f aca="false">HYPERLINK("https://pbs.twimg.com/profile_images/649390425615142912/ZPBt_I56_normal.jpg","View")</f>
        <v>View</v>
      </c>
      <c r="P5650" s="10"/>
    </row>
    <row r="5651" customFormat="false" ht="15.75" hidden="false" customHeight="false" outlineLevel="0" collapsed="false">
      <c r="A5651" s="6" t="n">
        <v>43030.9605092593</v>
      </c>
      <c r="B5651" s="7" t="str">
        <f aca="false">HYPERLINK("https://twitter.com/Sonof76","@Sonof76")</f>
        <v>@Sonof76</v>
      </c>
      <c r="C5651" s="8" t="s">
        <v>13116</v>
      </c>
      <c r="D5651" s="8" t="s">
        <v>12764</v>
      </c>
      <c r="E5651" s="9" t="str">
        <f aca="false">HYPERLINK("https://twitter.com/Sonof76/status/922342608797442048","922342608797442048")</f>
        <v>922342608797442048</v>
      </c>
      <c r="F5651" s="10" t="s">
        <v>25</v>
      </c>
      <c r="G5651" s="10" t="n">
        <v>7</v>
      </c>
      <c r="H5651" s="10" t="n">
        <v>55</v>
      </c>
      <c r="I5651" s="10" t="n">
        <v>170</v>
      </c>
      <c r="J5651" s="10" t="n">
        <v>0</v>
      </c>
      <c r="K5651" s="10" t="s">
        <v>20</v>
      </c>
      <c r="L5651" s="11" t="n">
        <v>42767.9941898148</v>
      </c>
      <c r="M5651" s="12"/>
      <c r="N5651" s="12"/>
      <c r="O5651" s="9" t="str">
        <f aca="false">HYPERLINK("https://pbs.twimg.com/profile_images/831742018149810184/SQc1PWuI_normal.jpg","View")</f>
        <v>View</v>
      </c>
      <c r="P5651" s="10"/>
    </row>
    <row r="5652" customFormat="false" ht="15.75" hidden="false" customHeight="false" outlineLevel="0" collapsed="false">
      <c r="A5652" s="6" t="n">
        <v>43030.9606597222</v>
      </c>
      <c r="B5652" s="7" t="str">
        <f aca="false">HYPERLINK("https://twitter.com/firstpost","@firstpost")</f>
        <v>@firstpost</v>
      </c>
      <c r="C5652" s="8" t="s">
        <v>2287</v>
      </c>
      <c r="D5652" s="8" t="s">
        <v>13117</v>
      </c>
      <c r="E5652" s="9" t="str">
        <f aca="false">HYPERLINK("https://twitter.com/firstpost/status/922342663222845440","922342663222845440")</f>
        <v>922342663222845440</v>
      </c>
      <c r="F5652" s="10" t="s">
        <v>39</v>
      </c>
      <c r="G5652" s="10" t="n">
        <v>1872019</v>
      </c>
      <c r="H5652" s="10" t="n">
        <v>1000</v>
      </c>
      <c r="I5652" s="10" t="n">
        <v>1</v>
      </c>
      <c r="J5652" s="10" t="n">
        <v>6</v>
      </c>
      <c r="K5652" s="10" t="s">
        <v>20</v>
      </c>
      <c r="L5652" s="11" t="n">
        <v>40597.214837963</v>
      </c>
      <c r="M5652" s="12" t="s">
        <v>253</v>
      </c>
      <c r="N5652" s="12" t="s">
        <v>2289</v>
      </c>
      <c r="O5652" s="9" t="str">
        <f aca="false">HYPERLINK("https://pbs.twimg.com/profile_images/696601463322075137/svSxRGyn_normal.jpg","View")</f>
        <v>View</v>
      </c>
      <c r="P5652" s="10"/>
    </row>
    <row r="5653" customFormat="false" ht="15.75" hidden="false" customHeight="false" outlineLevel="0" collapsed="false">
      <c r="A5653" s="6" t="n">
        <v>43030.9607523148</v>
      </c>
      <c r="B5653" s="7" t="str">
        <f aca="false">HYPERLINK("https://twitter.com/RanjanRamesh1","@RanjanRamesh1")</f>
        <v>@RanjanRamesh1</v>
      </c>
      <c r="C5653" s="8" t="s">
        <v>13118</v>
      </c>
      <c r="D5653" s="8" t="s">
        <v>8538</v>
      </c>
      <c r="E5653" s="9" t="str">
        <f aca="false">HYPERLINK("https://twitter.com/RanjanRamesh1/status/922342693996453888","922342693996453888")</f>
        <v>922342693996453888</v>
      </c>
      <c r="F5653" s="10" t="s">
        <v>25</v>
      </c>
      <c r="G5653" s="10" t="n">
        <v>249</v>
      </c>
      <c r="H5653" s="10" t="n">
        <v>194</v>
      </c>
      <c r="I5653" s="10" t="n">
        <v>1015</v>
      </c>
      <c r="J5653" s="10" t="n">
        <v>0</v>
      </c>
      <c r="K5653" s="10" t="s">
        <v>20</v>
      </c>
      <c r="L5653" s="11" t="n">
        <v>41068.2525462963</v>
      </c>
      <c r="M5653" s="12"/>
      <c r="N5653" s="12" t="s">
        <v>13119</v>
      </c>
      <c r="O5653" s="9" t="str">
        <f aca="false">HYPERLINK("https://pbs.twimg.com/profile_images/846252794373963781/gInY-SFs_normal.jpg","View")</f>
        <v>View</v>
      </c>
      <c r="P5653" s="10"/>
    </row>
    <row r="5654" customFormat="false" ht="15.75" hidden="false" customHeight="false" outlineLevel="0" collapsed="false">
      <c r="A5654" s="6" t="n">
        <v>43030.9608333333</v>
      </c>
      <c r="B5654" s="7" t="str">
        <f aca="false">HYPERLINK("https://twitter.com/sharebossindia","@sharebossindia")</f>
        <v>@sharebossindia</v>
      </c>
      <c r="C5654" s="7" t="s">
        <v>917</v>
      </c>
      <c r="D5654" s="8" t="s">
        <v>13120</v>
      </c>
      <c r="E5654" s="9" t="str">
        <f aca="false">HYPERLINK("https://twitter.com/sharebossindia/status/922342725164212224","922342725164212224")</f>
        <v>922342725164212224</v>
      </c>
      <c r="F5654" s="10" t="s">
        <v>919</v>
      </c>
      <c r="G5654" s="10" t="n">
        <v>1210</v>
      </c>
      <c r="H5654" s="10" t="n">
        <v>1</v>
      </c>
      <c r="I5654" s="10" t="n">
        <v>0</v>
      </c>
      <c r="J5654" s="10" t="n">
        <v>0</v>
      </c>
      <c r="K5654" s="10" t="s">
        <v>20</v>
      </c>
      <c r="L5654" s="11" t="n">
        <v>42262.3224305556</v>
      </c>
      <c r="M5654" s="12"/>
      <c r="N5654" s="12" t="s">
        <v>920</v>
      </c>
      <c r="O5654" s="9" t="str">
        <f aca="false">HYPERLINK("https://pbs.twimg.com/profile_images/691477939880202244/-eW65KbB_normal.jpg","View")</f>
        <v>View</v>
      </c>
      <c r="P5654" s="10"/>
    </row>
    <row r="5655" customFormat="false" ht="15.75" hidden="false" customHeight="false" outlineLevel="0" collapsed="false">
      <c r="A5655" s="6" t="n">
        <v>43030.9608449074</v>
      </c>
      <c r="B5655" s="7" t="str">
        <f aca="false">HYPERLINK("https://twitter.com/sharebossindia","@sharebossindia")</f>
        <v>@sharebossindia</v>
      </c>
      <c r="C5655" s="7" t="s">
        <v>917</v>
      </c>
      <c r="D5655" s="8" t="s">
        <v>13121</v>
      </c>
      <c r="E5655" s="9" t="str">
        <f aca="false">HYPERLINK("https://twitter.com/sharebossindia/status/922342728817451008","922342728817451008")</f>
        <v>922342728817451008</v>
      </c>
      <c r="F5655" s="10" t="s">
        <v>919</v>
      </c>
      <c r="G5655" s="10" t="n">
        <v>1210</v>
      </c>
      <c r="H5655" s="10" t="n">
        <v>1</v>
      </c>
      <c r="I5655" s="10" t="n">
        <v>0</v>
      </c>
      <c r="J5655" s="10" t="n">
        <v>0</v>
      </c>
      <c r="K5655" s="10" t="s">
        <v>20</v>
      </c>
      <c r="L5655" s="11" t="n">
        <v>42262.3224305556</v>
      </c>
      <c r="M5655" s="12"/>
      <c r="N5655" s="12" t="s">
        <v>920</v>
      </c>
      <c r="O5655" s="9" t="str">
        <f aca="false">HYPERLINK("https://pbs.twimg.com/profile_images/691477939880202244/-eW65KbB_normal.jpg","View")</f>
        <v>View</v>
      </c>
      <c r="P5655" s="10"/>
    </row>
    <row r="5656" customFormat="false" ht="15.75" hidden="false" customHeight="false" outlineLevel="0" collapsed="false">
      <c r="A5656" s="6" t="n">
        <v>43030.9608449074</v>
      </c>
      <c r="B5656" s="7" t="str">
        <f aca="false">HYPERLINK("https://twitter.com/Prajapati878","@Prajapati878")</f>
        <v>@Prajapati878</v>
      </c>
      <c r="C5656" s="8" t="s">
        <v>13122</v>
      </c>
      <c r="D5656" s="8" t="s">
        <v>8538</v>
      </c>
      <c r="E5656" s="9" t="str">
        <f aca="false">HYPERLINK("https://twitter.com/Prajapati878/status/922342729354317825","922342729354317825")</f>
        <v>922342729354317825</v>
      </c>
      <c r="F5656" s="10" t="s">
        <v>25</v>
      </c>
      <c r="G5656" s="10" t="n">
        <v>487</v>
      </c>
      <c r="H5656" s="10" t="n">
        <v>147</v>
      </c>
      <c r="I5656" s="10" t="n">
        <v>1015</v>
      </c>
      <c r="J5656" s="10" t="n">
        <v>0</v>
      </c>
      <c r="K5656" s="10" t="s">
        <v>20</v>
      </c>
      <c r="L5656" s="11" t="n">
        <v>40678.9992824074</v>
      </c>
      <c r="M5656" s="12" t="s">
        <v>13123</v>
      </c>
      <c r="N5656" s="12" t="s">
        <v>13124</v>
      </c>
      <c r="O5656" s="9" t="str">
        <f aca="false">HYPERLINK("https://pbs.twimg.com/profile_images/888369001121935361/ktEJiEKc_normal.jpg","View")</f>
        <v>View</v>
      </c>
      <c r="P5656" s="10"/>
    </row>
    <row r="5657" customFormat="false" ht="15.75" hidden="false" customHeight="false" outlineLevel="0" collapsed="false">
      <c r="A5657" s="6" t="n">
        <v>43030.9609837963</v>
      </c>
      <c r="B5657" s="7" t="str">
        <f aca="false">HYPERLINK("https://twitter.com/poisondango","@poisondango")</f>
        <v>@poisondango</v>
      </c>
      <c r="C5657" s="8" t="s">
        <v>13125</v>
      </c>
      <c r="D5657" s="8" t="s">
        <v>12493</v>
      </c>
      <c r="E5657" s="9" t="str">
        <f aca="false">HYPERLINK("https://twitter.com/poisondango/status/922342780537487361","922342780537487361")</f>
        <v>922342780537487361</v>
      </c>
      <c r="F5657" s="10" t="s">
        <v>51</v>
      </c>
      <c r="G5657" s="10" t="n">
        <v>349</v>
      </c>
      <c r="H5657" s="10" t="n">
        <v>85</v>
      </c>
      <c r="I5657" s="10" t="n">
        <v>63</v>
      </c>
      <c r="J5657" s="10" t="n">
        <v>0</v>
      </c>
      <c r="K5657" s="10" t="s">
        <v>20</v>
      </c>
      <c r="L5657" s="11" t="n">
        <v>42181.3285416667</v>
      </c>
      <c r="M5657" s="13" t="s">
        <v>13126</v>
      </c>
      <c r="N5657" s="13" t="s">
        <v>13127</v>
      </c>
      <c r="O5657" s="9" t="str">
        <f aca="false">HYPERLINK("https://pbs.twimg.com/profile_images/887586963624153088/er2JlnNM_normal.jpg","View")</f>
        <v>View</v>
      </c>
      <c r="P5657" s="10"/>
    </row>
    <row r="5658" customFormat="false" ht="15.75" hidden="false" customHeight="false" outlineLevel="0" collapsed="false">
      <c r="A5658" s="6" t="n">
        <v>43030.9613888889</v>
      </c>
      <c r="B5658" s="7" t="str">
        <f aca="false">HYPERLINK("https://twitter.com/JensWoelk","@JensWoelk")</f>
        <v>@JensWoelk</v>
      </c>
      <c r="C5658" s="8" t="s">
        <v>13128</v>
      </c>
      <c r="D5658" s="8" t="s">
        <v>13129</v>
      </c>
      <c r="E5658" s="9" t="str">
        <f aca="false">HYPERLINK("https://twitter.com/JensWoelk/status/922342925715099650","922342925715099650")</f>
        <v>922342925715099650</v>
      </c>
      <c r="F5658" s="10" t="s">
        <v>51</v>
      </c>
      <c r="G5658" s="10" t="n">
        <v>368</v>
      </c>
      <c r="H5658" s="10" t="n">
        <v>119</v>
      </c>
      <c r="I5658" s="10" t="n">
        <v>0</v>
      </c>
      <c r="J5658" s="10" t="n">
        <v>0</v>
      </c>
      <c r="K5658" s="10" t="s">
        <v>20</v>
      </c>
      <c r="L5658" s="11" t="n">
        <v>41342.2074884259</v>
      </c>
      <c r="M5658" s="12" t="s">
        <v>13130</v>
      </c>
      <c r="N5658" s="12" t="s">
        <v>13131</v>
      </c>
      <c r="O5658" s="9" t="str">
        <f aca="false">HYPERLINK("https://pbs.twimg.com/profile_images/845395886633074688/vk-U6vIl_normal.jpg","View")</f>
        <v>View</v>
      </c>
      <c r="P5658" s="10"/>
    </row>
    <row r="5659" customFormat="false" ht="15.75" hidden="false" customHeight="false" outlineLevel="0" collapsed="false">
      <c r="A5659" s="6" t="n">
        <v>43030.9614583333</v>
      </c>
      <c r="B5659" s="7" t="str">
        <f aca="false">HYPERLINK("https://twitter.com/newslivenetwork","@newslivenetwork")</f>
        <v>@newslivenetwork</v>
      </c>
      <c r="C5659" s="8" t="s">
        <v>1668</v>
      </c>
      <c r="D5659" s="8" t="s">
        <v>13132</v>
      </c>
      <c r="E5659" s="9" t="str">
        <f aca="false">HYPERLINK("https://twitter.com/newslivenetwork/status/922342950457303040","922342950457303040")</f>
        <v>922342950457303040</v>
      </c>
      <c r="F5659" s="10" t="s">
        <v>55</v>
      </c>
      <c r="G5659" s="10" t="n">
        <v>272</v>
      </c>
      <c r="H5659" s="10" t="n">
        <v>87</v>
      </c>
      <c r="I5659" s="10" t="n">
        <v>0</v>
      </c>
      <c r="J5659" s="10" t="n">
        <v>0</v>
      </c>
      <c r="K5659" s="10" t="s">
        <v>20</v>
      </c>
      <c r="L5659" s="11" t="n">
        <v>42741.4719675926</v>
      </c>
      <c r="M5659" s="12" t="s">
        <v>1670</v>
      </c>
      <c r="N5659" s="12" t="s">
        <v>1671</v>
      </c>
      <c r="O5659" s="9" t="str">
        <f aca="false">HYPERLINK("https://pbs.twimg.com/profile_images/877414144424660992/scfhocj3_normal.jpg","View")</f>
        <v>View</v>
      </c>
      <c r="P5659" s="10"/>
    </row>
    <row r="5660" customFormat="false" ht="15.75" hidden="false" customHeight="false" outlineLevel="0" collapsed="false">
      <c r="A5660" s="6" t="n">
        <v>43030.9617592593</v>
      </c>
      <c r="B5660" s="7" t="str">
        <f aca="false">HYPERLINK("https://twitter.com/chimon2m","@chimon2m")</f>
        <v>@chimon2m</v>
      </c>
      <c r="C5660" s="8" t="s">
        <v>13133</v>
      </c>
      <c r="D5660" s="8" t="s">
        <v>13033</v>
      </c>
      <c r="E5660" s="9" t="str">
        <f aca="false">HYPERLINK("https://twitter.com/chimon2m/status/922343061232926722","922343061232926722")</f>
        <v>922343061232926722</v>
      </c>
      <c r="F5660" s="10" t="s">
        <v>98</v>
      </c>
      <c r="G5660" s="10" t="n">
        <v>521</v>
      </c>
      <c r="H5660" s="10" t="n">
        <v>1167</v>
      </c>
      <c r="I5660" s="10" t="n">
        <v>7</v>
      </c>
      <c r="J5660" s="10" t="n">
        <v>0</v>
      </c>
      <c r="K5660" s="10" t="s">
        <v>20</v>
      </c>
      <c r="L5660" s="11" t="n">
        <v>42850.5661226852</v>
      </c>
      <c r="M5660" s="12" t="s">
        <v>186</v>
      </c>
      <c r="N5660" s="12" t="s">
        <v>13134</v>
      </c>
      <c r="O5660" s="9" t="str">
        <f aca="false">HYPERLINK("https://pbs.twimg.com/profile_images/871623102257664001/uOSJsept_normal.jpg","View")</f>
        <v>View</v>
      </c>
      <c r="P5660" s="10"/>
    </row>
    <row r="5661" customFormat="false" ht="15.75" hidden="false" customHeight="false" outlineLevel="0" collapsed="false">
      <c r="A5661" s="6" t="n">
        <v>43030.9618287037</v>
      </c>
      <c r="B5661" s="7" t="str">
        <f aca="false">HYPERLINK("https://twitter.com/Mi_VipulDev","@Mi_VipulDev")</f>
        <v>@Mi_VipulDev</v>
      </c>
      <c r="C5661" s="8" t="s">
        <v>13135</v>
      </c>
      <c r="D5661" s="8" t="s">
        <v>13136</v>
      </c>
      <c r="E5661" s="9" t="str">
        <f aca="false">HYPERLINK("https://twitter.com/Mi_VipulDev/status/922343085547204608","922343085547204608")</f>
        <v>922343085547204608</v>
      </c>
      <c r="F5661" s="10" t="s">
        <v>39</v>
      </c>
      <c r="G5661" s="10" t="n">
        <v>44</v>
      </c>
      <c r="H5661" s="10" t="n">
        <v>401</v>
      </c>
      <c r="I5661" s="10" t="n">
        <v>0</v>
      </c>
      <c r="J5661" s="10" t="n">
        <v>0</v>
      </c>
      <c r="K5661" s="10" t="s">
        <v>20</v>
      </c>
      <c r="L5661" s="11" t="n">
        <v>42132.2352546296</v>
      </c>
      <c r="M5661" s="12" t="s">
        <v>13137</v>
      </c>
      <c r="N5661" s="12" t="s">
        <v>13138</v>
      </c>
      <c r="O5661" s="9" t="str">
        <f aca="false">HYPERLINK("https://pbs.twimg.com/profile_images/905844746370682880/sayaQDcY_normal.jpg","View")</f>
        <v>View</v>
      </c>
      <c r="P5661" s="10"/>
    </row>
    <row r="5662" customFormat="false" ht="15.75" hidden="false" customHeight="false" outlineLevel="0" collapsed="false">
      <c r="A5662" s="6" t="n">
        <v>43030.9618981481</v>
      </c>
      <c r="B5662" s="7" t="str">
        <f aca="false">HYPERLINK("https://twitter.com/mlqdinh","@mlqdinh")</f>
        <v>@mlqdinh</v>
      </c>
      <c r="C5662" s="8" t="s">
        <v>1905</v>
      </c>
      <c r="D5662" s="8" t="s">
        <v>12764</v>
      </c>
      <c r="E5662" s="9" t="str">
        <f aca="false">HYPERLINK("https://twitter.com/mlqdinh/status/922343111652605952","922343111652605952")</f>
        <v>922343111652605952</v>
      </c>
      <c r="F5662" s="10" t="s">
        <v>98</v>
      </c>
      <c r="G5662" s="10" t="n">
        <v>35</v>
      </c>
      <c r="H5662" s="10" t="n">
        <v>220</v>
      </c>
      <c r="I5662" s="10" t="n">
        <v>170</v>
      </c>
      <c r="J5662" s="10" t="n">
        <v>0</v>
      </c>
      <c r="K5662" s="10" t="s">
        <v>20</v>
      </c>
      <c r="L5662" s="11" t="n">
        <v>40483.7477777778</v>
      </c>
      <c r="M5662" s="12" t="s">
        <v>1906</v>
      </c>
      <c r="N5662" s="12" t="s">
        <v>1907</v>
      </c>
      <c r="O5662" s="9" t="str">
        <f aca="false">HYPERLINK("https://pbs.twimg.com/profile_images/611787801974083584/457prqi2_normal.jpg","View")</f>
        <v>View</v>
      </c>
      <c r="P5662" s="10"/>
    </row>
    <row r="5663" customFormat="false" ht="15.75" hidden="false" customHeight="false" outlineLevel="0" collapsed="false">
      <c r="A5663" s="6" t="n">
        <v>43030.9619328704</v>
      </c>
      <c r="B5663" s="7" t="str">
        <f aca="false">HYPERLINK("https://twitter.com/antonpadmasiri","@antonpadmasiri")</f>
        <v>@antonpadmasiri</v>
      </c>
      <c r="C5663" s="8" t="s">
        <v>13139</v>
      </c>
      <c r="D5663" s="8" t="s">
        <v>13114</v>
      </c>
      <c r="E5663" s="9" t="str">
        <f aca="false">HYPERLINK("https://twitter.com/antonpadmasiri/status/922343125015724032","922343125015724032")</f>
        <v>922343125015724032</v>
      </c>
      <c r="F5663" s="10" t="s">
        <v>51</v>
      </c>
      <c r="G5663" s="10" t="n">
        <v>215</v>
      </c>
      <c r="H5663" s="10" t="n">
        <v>499</v>
      </c>
      <c r="I5663" s="10" t="n">
        <v>19</v>
      </c>
      <c r="J5663" s="10" t="n">
        <v>0</v>
      </c>
      <c r="K5663" s="10" t="s">
        <v>20</v>
      </c>
      <c r="L5663" s="11" t="n">
        <v>40397.0361226852</v>
      </c>
      <c r="M5663" s="12" t="s">
        <v>13140</v>
      </c>
      <c r="N5663" s="12" t="s">
        <v>13141</v>
      </c>
      <c r="O5663" s="9" t="str">
        <f aca="false">HYPERLINK("https://pbs.twimg.com/profile_images/605763630701924352/QBF3GWu5_normal.jpg","View")</f>
        <v>View</v>
      </c>
      <c r="P5663" s="10"/>
    </row>
    <row r="5664" customFormat="false" ht="15.75" hidden="false" customHeight="false" outlineLevel="0" collapsed="false">
      <c r="A5664" s="6" t="n">
        <v>43030.9619791667</v>
      </c>
      <c r="B5664" s="7" t="str">
        <f aca="false">HYPERLINK("https://twitter.com/matthewiabarre","@matthewiabarre")</f>
        <v>@matthewiabarre</v>
      </c>
      <c r="C5664" s="8" t="s">
        <v>13142</v>
      </c>
      <c r="D5664" s="8" t="s">
        <v>13114</v>
      </c>
      <c r="E5664" s="9" t="str">
        <f aca="false">HYPERLINK("https://twitter.com/matthewiabarre/status/922343140371070978","922343140371070978")</f>
        <v>922343140371070978</v>
      </c>
      <c r="F5664" s="10" t="s">
        <v>25</v>
      </c>
      <c r="G5664" s="10" t="n">
        <v>52</v>
      </c>
      <c r="H5664" s="10" t="n">
        <v>2415</v>
      </c>
      <c r="I5664" s="10" t="n">
        <v>19</v>
      </c>
      <c r="J5664" s="10" t="n">
        <v>0</v>
      </c>
      <c r="K5664" s="10" t="s">
        <v>20</v>
      </c>
      <c r="L5664" s="11" t="n">
        <v>41084.8131134259</v>
      </c>
      <c r="M5664" s="12" t="s">
        <v>13143</v>
      </c>
      <c r="N5664" s="12"/>
      <c r="O5664" s="9" t="str">
        <f aca="false">HYPERLINK("https://pbs.twimg.com/profile_images/743249678767132672/H1pRlXQ7_normal.jpg","View")</f>
        <v>View</v>
      </c>
      <c r="P5664" s="10"/>
    </row>
    <row r="5665" customFormat="false" ht="15.75" hidden="false" customHeight="false" outlineLevel="0" collapsed="false">
      <c r="A5665" s="6" t="n">
        <v>43030.9619907407</v>
      </c>
      <c r="B5665" s="7" t="str">
        <f aca="false">HYPERLINK("https://twitter.com/aeklinkASU","@aeklinkASU")</f>
        <v>@aeklinkASU</v>
      </c>
      <c r="C5665" s="8" t="s">
        <v>13144</v>
      </c>
      <c r="D5665" s="8" t="s">
        <v>12764</v>
      </c>
      <c r="E5665" s="9" t="str">
        <f aca="false">HYPERLINK("https://twitter.com/aeklinkASU/status/922343144426913793","922343144426913793")</f>
        <v>922343144426913793</v>
      </c>
      <c r="F5665" s="10" t="s">
        <v>51</v>
      </c>
      <c r="G5665" s="10" t="n">
        <v>106</v>
      </c>
      <c r="H5665" s="10" t="n">
        <v>119</v>
      </c>
      <c r="I5665" s="10" t="n">
        <v>170</v>
      </c>
      <c r="J5665" s="10" t="n">
        <v>0</v>
      </c>
      <c r="K5665" s="10" t="s">
        <v>20</v>
      </c>
      <c r="L5665" s="11" t="n">
        <v>42607.4625810185</v>
      </c>
      <c r="M5665" s="12" t="s">
        <v>230</v>
      </c>
      <c r="N5665" s="12" t="s">
        <v>13145</v>
      </c>
      <c r="O5665" s="9" t="str">
        <f aca="false">HYPERLINK("https://pbs.twimg.com/profile_images/768873793867481088/rBdHzx_n_normal.jpg","View")</f>
        <v>View</v>
      </c>
      <c r="P5665" s="10"/>
    </row>
    <row r="5666" customFormat="false" ht="15.75" hidden="false" customHeight="false" outlineLevel="0" collapsed="false">
      <c r="A5666" s="6" t="n">
        <v>43030.9620138889</v>
      </c>
      <c r="B5666" s="7" t="str">
        <f aca="false">HYPERLINK("https://twitter.com/44cstark","@44cstark")</f>
        <v>@44cstark</v>
      </c>
      <c r="C5666" s="8" t="s">
        <v>912</v>
      </c>
      <c r="D5666" s="8" t="s">
        <v>12764</v>
      </c>
      <c r="E5666" s="9" t="str">
        <f aca="false">HYPERLINK("https://twitter.com/44cstark/status/922343152777859072","922343152777859072")</f>
        <v>922343152777859072</v>
      </c>
      <c r="F5666" s="10" t="s">
        <v>25</v>
      </c>
      <c r="G5666" s="10" t="n">
        <v>1359</v>
      </c>
      <c r="H5666" s="10" t="n">
        <v>1997</v>
      </c>
      <c r="I5666" s="10" t="n">
        <v>170</v>
      </c>
      <c r="J5666" s="10" t="n">
        <v>0</v>
      </c>
      <c r="K5666" s="10" t="s">
        <v>20</v>
      </c>
      <c r="L5666" s="11" t="n">
        <v>41754.9561111111</v>
      </c>
      <c r="M5666" s="12" t="s">
        <v>913</v>
      </c>
      <c r="N5666" s="12" t="s">
        <v>914</v>
      </c>
      <c r="O5666" s="9" t="str">
        <f aca="false">HYPERLINK("https://abs.twimg.com/sticky/default_profile_images/default_profile_normal.png","View")</f>
        <v>View</v>
      </c>
      <c r="P5666" s="10"/>
    </row>
    <row r="5667" customFormat="false" ht="15.75" hidden="false" customHeight="false" outlineLevel="0" collapsed="false">
      <c r="A5667" s="6" t="n">
        <v>43030.9623032407</v>
      </c>
      <c r="B5667" s="7" t="str">
        <f aca="false">HYPERLINK("https://twitter.com/jpn_anonymous_2","@jpn_anonymous_2")</f>
        <v>@jpn_anonymous_2</v>
      </c>
      <c r="C5667" s="8" t="s">
        <v>5784</v>
      </c>
      <c r="D5667" s="8" t="s">
        <v>12764</v>
      </c>
      <c r="E5667" s="9" t="str">
        <f aca="false">HYPERLINK("https://twitter.com/jpn_anonymous_2/status/922343256100192256","922343256100192256")</f>
        <v>922343256100192256</v>
      </c>
      <c r="F5667" s="10" t="s">
        <v>51</v>
      </c>
      <c r="G5667" s="10" t="n">
        <v>102</v>
      </c>
      <c r="H5667" s="10" t="n">
        <v>151</v>
      </c>
      <c r="I5667" s="10" t="n">
        <v>170</v>
      </c>
      <c r="J5667" s="10" t="n">
        <v>0</v>
      </c>
      <c r="K5667" s="10" t="s">
        <v>20</v>
      </c>
      <c r="L5667" s="11" t="n">
        <v>42365.7217361111</v>
      </c>
      <c r="M5667" s="12"/>
      <c r="N5667" s="12" t="s">
        <v>5785</v>
      </c>
      <c r="O5667" s="9" t="str">
        <f aca="false">HYPERLINK("https://pbs.twimg.com/profile_images/889968944278151168/sw98clb1_normal.jpg","View")</f>
        <v>View</v>
      </c>
      <c r="P5667" s="10"/>
    </row>
    <row r="5668" customFormat="false" ht="15.75" hidden="false" customHeight="false" outlineLevel="0" collapsed="false">
      <c r="A5668" s="6" t="n">
        <v>43030.962337963</v>
      </c>
      <c r="B5668" s="7" t="str">
        <f aca="false">HYPERLINK("https://twitter.com/nav_nirvana","@nav_nirvana")</f>
        <v>@nav_nirvana</v>
      </c>
      <c r="C5668" s="8" t="s">
        <v>13146</v>
      </c>
      <c r="D5668" s="8" t="s">
        <v>8538</v>
      </c>
      <c r="E5668" s="9" t="str">
        <f aca="false">HYPERLINK("https://twitter.com/nav_nirvana/status/922343271770107904","922343271770107904")</f>
        <v>922343271770107904</v>
      </c>
      <c r="F5668" s="10" t="s">
        <v>25</v>
      </c>
      <c r="G5668" s="10" t="n">
        <v>1736</v>
      </c>
      <c r="H5668" s="10" t="n">
        <v>1102</v>
      </c>
      <c r="I5668" s="10" t="n">
        <v>1015</v>
      </c>
      <c r="J5668" s="10" t="n">
        <v>0</v>
      </c>
      <c r="K5668" s="10" t="s">
        <v>20</v>
      </c>
      <c r="L5668" s="11" t="n">
        <v>41136.0659143519</v>
      </c>
      <c r="M5668" s="12" t="s">
        <v>6898</v>
      </c>
      <c r="N5668" s="12" t="s">
        <v>13147</v>
      </c>
      <c r="O5668" s="9" t="str">
        <f aca="false">HYPERLINK("https://pbs.twimg.com/profile_images/713968125113446400/chwpFhZ9_normal.jpg","View")</f>
        <v>View</v>
      </c>
      <c r="P5668" s="10"/>
    </row>
    <row r="5669" customFormat="false" ht="15.75" hidden="false" customHeight="false" outlineLevel="0" collapsed="false">
      <c r="A5669" s="6" t="n">
        <v>43030.9625115741</v>
      </c>
      <c r="B5669" s="7" t="str">
        <f aca="false">HYPERLINK("https://twitter.com/knbabbar","@knbabbar")</f>
        <v>@knbabbar</v>
      </c>
      <c r="C5669" s="8" t="s">
        <v>13148</v>
      </c>
      <c r="D5669" s="8" t="s">
        <v>13149</v>
      </c>
      <c r="E5669" s="9" t="str">
        <f aca="false">HYPERLINK("https://twitter.com/knbabbar/status/922343334705631232","922343334705631232")</f>
        <v>922343334705631232</v>
      </c>
      <c r="F5669" s="10" t="s">
        <v>51</v>
      </c>
      <c r="G5669" s="10" t="n">
        <v>134</v>
      </c>
      <c r="H5669" s="10" t="n">
        <v>83</v>
      </c>
      <c r="I5669" s="10" t="n">
        <v>1</v>
      </c>
      <c r="J5669" s="10" t="n">
        <v>0</v>
      </c>
      <c r="K5669" s="10" t="s">
        <v>20</v>
      </c>
      <c r="L5669" s="11" t="n">
        <v>40561.2157291667</v>
      </c>
      <c r="M5669" s="12" t="s">
        <v>87</v>
      </c>
      <c r="N5669" s="12" t="s">
        <v>13150</v>
      </c>
      <c r="O5669" s="9" t="str">
        <f aca="false">HYPERLINK("https://pbs.twimg.com/profile_images/378800000663889312/d76b78d50e5c5d0a16c896e39dfb2dfd_normal.jpeg","View")</f>
        <v>View</v>
      </c>
      <c r="P5669" s="10"/>
    </row>
    <row r="5670" customFormat="false" ht="15.75" hidden="false" customHeight="false" outlineLevel="0" collapsed="false">
      <c r="A5670" s="6" t="n">
        <v>43030.962662037</v>
      </c>
      <c r="B5670" s="7" t="str">
        <f aca="false">HYPERLINK("https://twitter.com/AmazonLuckyBird","@AmazonLuckyBird")</f>
        <v>@AmazonLuckyBird</v>
      </c>
      <c r="C5670" s="8" t="s">
        <v>13151</v>
      </c>
      <c r="D5670" s="8" t="s">
        <v>13152</v>
      </c>
      <c r="E5670" s="9" t="str">
        <f aca="false">HYPERLINK("https://twitter.com/AmazonLuckyBird/status/922343385620414465","922343385620414465")</f>
        <v>922343385620414465</v>
      </c>
      <c r="F5670" s="10" t="s">
        <v>47</v>
      </c>
      <c r="G5670" s="10" t="n">
        <v>799</v>
      </c>
      <c r="H5670" s="10" t="n">
        <v>4957</v>
      </c>
      <c r="I5670" s="10" t="n">
        <v>0</v>
      </c>
      <c r="J5670" s="10" t="n">
        <v>0</v>
      </c>
      <c r="K5670" s="10" t="s">
        <v>20</v>
      </c>
      <c r="L5670" s="11" t="n">
        <v>42104.598125</v>
      </c>
      <c r="M5670" s="12" t="s">
        <v>13153</v>
      </c>
      <c r="N5670" s="12"/>
      <c r="O5670" s="9" t="str">
        <f aca="false">HYPERLINK("https://pbs.twimg.com/profile_images/729422676276600832/OQZSdm6G_normal.jpg","View")</f>
        <v>View</v>
      </c>
      <c r="P5670" s="10"/>
    </row>
    <row r="5671" customFormat="false" ht="15.75" hidden="false" customHeight="false" outlineLevel="0" collapsed="false">
      <c r="A5671" s="6" t="n">
        <v>43030.9626967593</v>
      </c>
      <c r="B5671" s="7" t="str">
        <f aca="false">HYPERLINK("https://twitter.com/tt2590153taro","@tt2590153taro")</f>
        <v>@tt2590153taro</v>
      </c>
      <c r="C5671" s="8" t="s">
        <v>13154</v>
      </c>
      <c r="D5671" s="8" t="s">
        <v>12764</v>
      </c>
      <c r="E5671" s="9" t="str">
        <f aca="false">HYPERLINK("https://twitter.com/tt2590153taro/status/922343399746764802","922343399746764802")</f>
        <v>922343399746764802</v>
      </c>
      <c r="F5671" s="10" t="s">
        <v>25</v>
      </c>
      <c r="G5671" s="10" t="n">
        <v>618</v>
      </c>
      <c r="H5671" s="10" t="n">
        <v>485</v>
      </c>
      <c r="I5671" s="10" t="n">
        <v>170</v>
      </c>
      <c r="J5671" s="10" t="n">
        <v>0</v>
      </c>
      <c r="K5671" s="10" t="s">
        <v>20</v>
      </c>
      <c r="L5671" s="11" t="n">
        <v>40357.1200347222</v>
      </c>
      <c r="M5671" s="12" t="s">
        <v>13155</v>
      </c>
      <c r="N5671" s="12" t="s">
        <v>13156</v>
      </c>
      <c r="O5671" s="9" t="str">
        <f aca="false">HYPERLINK("https://pbs.twimg.com/profile_images/870443279879258112/UEa_ReLA_normal.jpg","View")</f>
        <v>View</v>
      </c>
      <c r="P5671" s="10"/>
    </row>
    <row r="5672" customFormat="false" ht="15.75" hidden="false" customHeight="false" outlineLevel="0" collapsed="false">
      <c r="A5672" s="6" t="n">
        <v>43030.9627777778</v>
      </c>
      <c r="B5672" s="7" t="str">
        <f aca="false">HYPERLINK("https://twitter.com/TwinkieTk_","@TwinkieTk_")</f>
        <v>@TwinkieTk_</v>
      </c>
      <c r="C5672" s="8" t="s">
        <v>13157</v>
      </c>
      <c r="D5672" s="8" t="s">
        <v>12764</v>
      </c>
      <c r="E5672" s="9" t="str">
        <f aca="false">HYPERLINK("https://twitter.com/TwinkieTk_/status/922343428796456961","922343428796456961")</f>
        <v>922343428796456961</v>
      </c>
      <c r="F5672" s="10" t="s">
        <v>25</v>
      </c>
      <c r="G5672" s="10" t="n">
        <v>13</v>
      </c>
      <c r="H5672" s="10" t="n">
        <v>188</v>
      </c>
      <c r="I5672" s="10" t="n">
        <v>170</v>
      </c>
      <c r="J5672" s="10" t="n">
        <v>0</v>
      </c>
      <c r="K5672" s="10" t="s">
        <v>20</v>
      </c>
      <c r="L5672" s="11" t="n">
        <v>42643.8715856481</v>
      </c>
      <c r="M5672" s="12" t="s">
        <v>7806</v>
      </c>
      <c r="N5672" s="12" t="s">
        <v>13158</v>
      </c>
      <c r="O5672" s="9" t="str">
        <f aca="false">HYPERLINK("https://pbs.twimg.com/profile_images/923829276780015616/aZ0_iblz_normal.jpg","View")</f>
        <v>View</v>
      </c>
      <c r="P5672" s="10"/>
    </row>
    <row r="5673" customFormat="false" ht="15.75" hidden="false" customHeight="false" outlineLevel="0" collapsed="false">
      <c r="A5673" s="6" t="n">
        <v>43030.9627893519</v>
      </c>
      <c r="B5673" s="7" t="str">
        <f aca="false">HYPERLINK("https://twitter.com/SaintOrSinner30","@SaintOrSinner30")</f>
        <v>@SaintOrSinner30</v>
      </c>
      <c r="C5673" s="8" t="s">
        <v>13159</v>
      </c>
      <c r="D5673" s="8" t="s">
        <v>8538</v>
      </c>
      <c r="E5673" s="9" t="str">
        <f aca="false">HYPERLINK("https://twitter.com/SaintOrSinner30/status/922343435280957440","922343435280957440")</f>
        <v>922343435280957440</v>
      </c>
      <c r="F5673" s="10" t="s">
        <v>39</v>
      </c>
      <c r="G5673" s="10" t="n">
        <v>277</v>
      </c>
      <c r="H5673" s="10" t="n">
        <v>273</v>
      </c>
      <c r="I5673" s="10" t="n">
        <v>1015</v>
      </c>
      <c r="J5673" s="10" t="n">
        <v>0</v>
      </c>
      <c r="K5673" s="10" t="s">
        <v>20</v>
      </c>
      <c r="L5673" s="11" t="n">
        <v>39584.4572222222</v>
      </c>
      <c r="M5673" s="12" t="s">
        <v>8668</v>
      </c>
      <c r="N5673" s="12" t="s">
        <v>13160</v>
      </c>
      <c r="O5673" s="9" t="str">
        <f aca="false">HYPERLINK("https://pbs.twimg.com/profile_images/767015753253912577/x44VfYWi_normal.jpg","View")</f>
        <v>View</v>
      </c>
      <c r="P5673" s="10"/>
    </row>
    <row r="5674" customFormat="false" ht="15.75" hidden="false" customHeight="false" outlineLevel="0" collapsed="false">
      <c r="A5674" s="6" t="n">
        <v>43030.9630208333</v>
      </c>
      <c r="B5674" s="7" t="str">
        <f aca="false">HYPERLINK("https://twitter.com/cickonthelink","@cickonthelink")</f>
        <v>@cickonthelink</v>
      </c>
      <c r="C5674" s="8" t="s">
        <v>13161</v>
      </c>
      <c r="D5674" s="8" t="s">
        <v>13162</v>
      </c>
      <c r="E5674" s="9" t="str">
        <f aca="false">HYPERLINK("https://twitter.com/cickonthelink/status/922343515811733504","922343515811733504")</f>
        <v>922343515811733504</v>
      </c>
      <c r="F5674" s="10" t="s">
        <v>55</v>
      </c>
      <c r="G5674" s="10" t="n">
        <v>2812</v>
      </c>
      <c r="H5674" s="10" t="n">
        <v>1819</v>
      </c>
      <c r="I5674" s="10" t="n">
        <v>0</v>
      </c>
      <c r="J5674" s="10" t="n">
        <v>0</v>
      </c>
      <c r="K5674" s="10" t="s">
        <v>20</v>
      </c>
      <c r="L5674" s="11" t="n">
        <v>40967.933912037</v>
      </c>
      <c r="M5674" s="12"/>
      <c r="N5674" s="12"/>
      <c r="O5674" s="9" t="str">
        <f aca="false">HYPERLINK("https://pbs.twimg.com/profile_images/912206945863573504/YoS1K4j-_normal.jpg","View")</f>
        <v>View</v>
      </c>
      <c r="P5674" s="10"/>
    </row>
    <row r="5675" customFormat="false" ht="15.75" hidden="false" customHeight="false" outlineLevel="0" collapsed="false">
      <c r="A5675" s="6" t="n">
        <v>43030.9630671296</v>
      </c>
      <c r="B5675" s="7" t="str">
        <f aca="false">HYPERLINK("https://twitter.com/RabhaAshim","@RabhaAshim")</f>
        <v>@RabhaAshim</v>
      </c>
      <c r="C5675" s="8" t="s">
        <v>13163</v>
      </c>
      <c r="D5675" s="8" t="s">
        <v>8538</v>
      </c>
      <c r="E5675" s="9" t="str">
        <f aca="false">HYPERLINK("https://twitter.com/RabhaAshim/status/922343532806803457","922343532806803457")</f>
        <v>922343532806803457</v>
      </c>
      <c r="F5675" s="10" t="s">
        <v>25</v>
      </c>
      <c r="G5675" s="10" t="n">
        <v>344</v>
      </c>
      <c r="H5675" s="10" t="n">
        <v>613</v>
      </c>
      <c r="I5675" s="10" t="n">
        <v>1015</v>
      </c>
      <c r="J5675" s="10" t="n">
        <v>0</v>
      </c>
      <c r="K5675" s="10" t="s">
        <v>20</v>
      </c>
      <c r="L5675" s="11" t="n">
        <v>40761.9538078704</v>
      </c>
      <c r="M5675" s="12" t="s">
        <v>13164</v>
      </c>
      <c r="N5675" s="12" t="s">
        <v>13165</v>
      </c>
      <c r="O5675" s="9" t="str">
        <f aca="false">HYPERLINK("https://pbs.twimg.com/profile_images/896779777071341569/I48k3ABS_normal.jpg","View")</f>
        <v>View</v>
      </c>
      <c r="P5675" s="10"/>
    </row>
    <row r="5676" customFormat="false" ht="15.75" hidden="false" customHeight="false" outlineLevel="0" collapsed="false">
      <c r="A5676" s="6" t="n">
        <v>43030.9632407407</v>
      </c>
      <c r="B5676" s="7" t="str">
        <f aca="false">HYPERLINK("https://twitter.com/nytimesworld","@nytimesworld")</f>
        <v>@nytimesworld</v>
      </c>
      <c r="C5676" s="8" t="s">
        <v>621</v>
      </c>
      <c r="D5676" s="8" t="s">
        <v>13166</v>
      </c>
      <c r="E5676" s="9" t="str">
        <f aca="false">HYPERLINK("https://twitter.com/nytimesworld/status/922343598552768512","922343598552768512")</f>
        <v>922343598552768512</v>
      </c>
      <c r="F5676" s="10" t="s">
        <v>268</v>
      </c>
      <c r="G5676" s="10" t="n">
        <v>1873869</v>
      </c>
      <c r="H5676" s="10" t="n">
        <v>465</v>
      </c>
      <c r="I5676" s="10" t="n">
        <v>26</v>
      </c>
      <c r="J5676" s="10" t="n">
        <v>24</v>
      </c>
      <c r="K5676" s="10" t="s">
        <v>20</v>
      </c>
      <c r="L5676" s="11" t="n">
        <v>39163.2915393518</v>
      </c>
      <c r="M5676" s="12" t="s">
        <v>491</v>
      </c>
      <c r="N5676" s="12" t="s">
        <v>623</v>
      </c>
      <c r="O5676" s="9" t="str">
        <f aca="false">HYPERLINK("https://pbs.twimg.com/profile_images/2045337639/NYT_Twitter_world_normal.png","View")</f>
        <v>View</v>
      </c>
      <c r="P5676" s="10"/>
    </row>
    <row r="5677" customFormat="false" ht="15.75" hidden="false" customHeight="false" outlineLevel="0" collapsed="false">
      <c r="A5677" s="6" t="n">
        <v>43030.9632638889</v>
      </c>
      <c r="B5677" s="7" t="str">
        <f aca="false">HYPERLINK("https://twitter.com/Mr_AlVil","@Mr_AlVil")</f>
        <v>@Mr_AlVil</v>
      </c>
      <c r="C5677" s="8" t="s">
        <v>392</v>
      </c>
      <c r="D5677" s="8" t="s">
        <v>13167</v>
      </c>
      <c r="E5677" s="9" t="str">
        <f aca="false">HYPERLINK("https://twitter.com/Mr_AlVil/status/922343605137797120","922343605137797120")</f>
        <v>922343605137797120</v>
      </c>
      <c r="F5677" s="10" t="s">
        <v>60</v>
      </c>
      <c r="G5677" s="10" t="n">
        <v>353</v>
      </c>
      <c r="H5677" s="10" t="n">
        <v>51</v>
      </c>
      <c r="I5677" s="10" t="n">
        <v>0</v>
      </c>
      <c r="J5677" s="10" t="n">
        <v>0</v>
      </c>
      <c r="K5677" s="10" t="s">
        <v>20</v>
      </c>
      <c r="L5677" s="11" t="n">
        <v>40205.5345486111</v>
      </c>
      <c r="M5677" s="12" t="s">
        <v>394</v>
      </c>
      <c r="N5677" s="12" t="s">
        <v>395</v>
      </c>
      <c r="O5677" s="9" t="str">
        <f aca="false">HYPERLINK("https://pbs.twimg.com/profile_images/857577668967108609/KAXMKfpy_normal.jpg","View")</f>
        <v>View</v>
      </c>
      <c r="P5677" s="10"/>
    </row>
    <row r="5678" customFormat="false" ht="15.75" hidden="false" customHeight="false" outlineLevel="0" collapsed="false">
      <c r="A5678" s="6" t="n">
        <v>43030.9634722222</v>
      </c>
      <c r="B5678" s="7" t="str">
        <f aca="false">HYPERLINK("https://twitter.com/Kaekaiiiiii","@Kaekaiiiiii")</f>
        <v>@Kaekaiiiiii</v>
      </c>
      <c r="C5678" s="8" t="s">
        <v>13168</v>
      </c>
      <c r="D5678" s="8" t="s">
        <v>12764</v>
      </c>
      <c r="E5678" s="9" t="str">
        <f aca="false">HYPERLINK("https://twitter.com/Kaekaiiiiii/status/922343680614076416","922343680614076416")</f>
        <v>922343680614076416</v>
      </c>
      <c r="F5678" s="10" t="s">
        <v>25</v>
      </c>
      <c r="G5678" s="10" t="n">
        <v>78</v>
      </c>
      <c r="H5678" s="10" t="n">
        <v>144</v>
      </c>
      <c r="I5678" s="10" t="n">
        <v>170</v>
      </c>
      <c r="J5678" s="10" t="n">
        <v>0</v>
      </c>
      <c r="K5678" s="10" t="s">
        <v>20</v>
      </c>
      <c r="L5678" s="11" t="n">
        <v>41626.8525347222</v>
      </c>
      <c r="M5678" s="12" t="s">
        <v>13169</v>
      </c>
      <c r="N5678" s="12" t="s">
        <v>13170</v>
      </c>
      <c r="O5678" s="9" t="str">
        <f aca="false">HYPERLINK("https://pbs.twimg.com/profile_images/879272597149466624/tWJI6e70_normal.jpg","View")</f>
        <v>View</v>
      </c>
      <c r="P5678" s="10"/>
    </row>
    <row r="5679" customFormat="false" ht="15.75" hidden="false" customHeight="false" outlineLevel="0" collapsed="false">
      <c r="A5679" s="6" t="n">
        <v>43030.9634837963</v>
      </c>
      <c r="B5679" s="7" t="str">
        <f aca="false">HYPERLINK("https://twitter.com/JamieACM81","@JamieACM81")</f>
        <v>@JamieACM81</v>
      </c>
      <c r="C5679" s="8" t="s">
        <v>13171</v>
      </c>
      <c r="D5679" s="8" t="s">
        <v>13172</v>
      </c>
      <c r="E5679" s="9" t="str">
        <f aca="false">HYPERLINK("https://twitter.com/JamieACM81/status/922343683470454785","922343683470454785")</f>
        <v>922343683470454785</v>
      </c>
      <c r="F5679" s="10" t="s">
        <v>51</v>
      </c>
      <c r="G5679" s="10" t="n">
        <v>419</v>
      </c>
      <c r="H5679" s="10" t="n">
        <v>3347</v>
      </c>
      <c r="I5679" s="10" t="n">
        <v>26</v>
      </c>
      <c r="J5679" s="10" t="n">
        <v>0</v>
      </c>
      <c r="K5679" s="10" t="s">
        <v>20</v>
      </c>
      <c r="L5679" s="11" t="n">
        <v>41669.2073032407</v>
      </c>
      <c r="M5679" s="12" t="s">
        <v>1199</v>
      </c>
      <c r="N5679" s="12" t="s">
        <v>13173</v>
      </c>
      <c r="O5679" s="9" t="str">
        <f aca="false">HYPERLINK("https://pbs.twimg.com/profile_images/754540551563718657/e34i6toJ_normal.jpg","View")</f>
        <v>View</v>
      </c>
      <c r="P5679" s="10"/>
    </row>
    <row r="5680" customFormat="false" ht="15.75" hidden="false" customHeight="false" outlineLevel="0" collapsed="false">
      <c r="A5680" s="6" t="n">
        <v>43030.9635185185</v>
      </c>
      <c r="B5680" s="7" t="str">
        <f aca="false">HYPERLINK("https://twitter.com/st_h_n_","@st_h_n_")</f>
        <v>@st_h_n_</v>
      </c>
      <c r="C5680" s="14" t="s">
        <v>803</v>
      </c>
      <c r="D5680" s="8" t="s">
        <v>12764</v>
      </c>
      <c r="E5680" s="9" t="str">
        <f aca="false">HYPERLINK("https://twitter.com/st_h_n_/status/922343698641199105","922343698641199105")</f>
        <v>922343698641199105</v>
      </c>
      <c r="F5680" s="10" t="s">
        <v>51</v>
      </c>
      <c r="G5680" s="10" t="n">
        <v>278</v>
      </c>
      <c r="H5680" s="10" t="n">
        <v>76</v>
      </c>
      <c r="I5680" s="10" t="n">
        <v>170</v>
      </c>
      <c r="J5680" s="10" t="n">
        <v>0</v>
      </c>
      <c r="K5680" s="10" t="s">
        <v>20</v>
      </c>
      <c r="L5680" s="11" t="n">
        <v>41737.9937615741</v>
      </c>
      <c r="M5680" s="12"/>
      <c r="N5680" s="12"/>
      <c r="O5680" s="9" t="str">
        <f aca="false">HYPERLINK("https://pbs.twimg.com/profile_images/745051643947868160/vYSVAl4N_normal.jpg","View")</f>
        <v>View</v>
      </c>
      <c r="P5680" s="10"/>
    </row>
    <row r="5681" customFormat="false" ht="15.75" hidden="false" customHeight="false" outlineLevel="0" collapsed="false">
      <c r="A5681" s="6" t="n">
        <v>43030.9635185185</v>
      </c>
      <c r="B5681" s="7" t="str">
        <f aca="false">HYPERLINK("https://twitter.com/News3LV","@News3LV")</f>
        <v>@News3LV</v>
      </c>
      <c r="C5681" s="8" t="s">
        <v>13174</v>
      </c>
      <c r="D5681" s="8" t="s">
        <v>13175</v>
      </c>
      <c r="E5681" s="9" t="str">
        <f aca="false">HYPERLINK("https://twitter.com/News3LV/status/922343698653790208","922343698653790208")</f>
        <v>922343698653790208</v>
      </c>
      <c r="F5681" s="10" t="s">
        <v>276</v>
      </c>
      <c r="G5681" s="10" t="n">
        <v>137890</v>
      </c>
      <c r="H5681" s="10" t="n">
        <v>2158</v>
      </c>
      <c r="I5681" s="10" t="n">
        <v>1</v>
      </c>
      <c r="J5681" s="10" t="n">
        <v>3</v>
      </c>
      <c r="K5681" s="10" t="s">
        <v>20</v>
      </c>
      <c r="L5681" s="11" t="n">
        <v>39766.5185648148</v>
      </c>
      <c r="M5681" s="12" t="s">
        <v>4797</v>
      </c>
      <c r="N5681" s="12" t="s">
        <v>13176</v>
      </c>
      <c r="O5681" s="9" t="str">
        <f aca="false">HYPERLINK("https://pbs.twimg.com/profile_images/895437024504578050/A1XPWSK2_normal.jpg","View")</f>
        <v>View</v>
      </c>
      <c r="P5681" s="10"/>
    </row>
    <row r="5682" customFormat="false" ht="15.75" hidden="false" customHeight="false" outlineLevel="0" collapsed="false">
      <c r="A5682" s="6" t="n">
        <v>43030.9636805556</v>
      </c>
      <c r="B5682" s="7" t="str">
        <f aca="false">HYPERLINK("https://twitter.com/TAMarnegie","@TAMarnegie")</f>
        <v>@TAMarnegie</v>
      </c>
      <c r="C5682" s="8" t="s">
        <v>13177</v>
      </c>
      <c r="D5682" s="8" t="s">
        <v>12764</v>
      </c>
      <c r="E5682" s="9" t="str">
        <f aca="false">HYPERLINK("https://twitter.com/TAMarnegie/status/922343754987532288","922343754987532288")</f>
        <v>922343754987532288</v>
      </c>
      <c r="F5682" s="10" t="s">
        <v>177</v>
      </c>
      <c r="G5682" s="10" t="n">
        <v>123</v>
      </c>
      <c r="H5682" s="10" t="n">
        <v>312</v>
      </c>
      <c r="I5682" s="10" t="n">
        <v>170</v>
      </c>
      <c r="J5682" s="10" t="n">
        <v>0</v>
      </c>
      <c r="K5682" s="10" t="s">
        <v>20</v>
      </c>
      <c r="L5682" s="11" t="n">
        <v>42483.3540393519</v>
      </c>
      <c r="M5682" s="12" t="s">
        <v>13178</v>
      </c>
      <c r="N5682" s="12" t="s">
        <v>13179</v>
      </c>
      <c r="O5682" s="9" t="str">
        <f aca="false">HYPERLINK("https://pbs.twimg.com/profile_images/723982906763317254/k7aWdO0N_normal.jpg","View")</f>
        <v>View</v>
      </c>
      <c r="P5682" s="10"/>
    </row>
    <row r="5683" customFormat="false" ht="15.75" hidden="false" customHeight="false" outlineLevel="0" collapsed="false">
      <c r="A5683" s="6" t="n">
        <v>43030.9637384259</v>
      </c>
      <c r="B5683" s="7" t="str">
        <f aca="false">HYPERLINK("https://twitter.com/antzp37LA_USA","@antzp37LA_USA")</f>
        <v>@antzp37LA_USA</v>
      </c>
      <c r="C5683" s="8" t="s">
        <v>13180</v>
      </c>
      <c r="D5683" s="8" t="s">
        <v>10997</v>
      </c>
      <c r="E5683" s="9" t="str">
        <f aca="false">HYPERLINK("https://twitter.com/antzp37LA_USA/status/922343777359904768","922343777359904768")</f>
        <v>922343777359904768</v>
      </c>
      <c r="F5683" s="10" t="s">
        <v>51</v>
      </c>
      <c r="G5683" s="10" t="n">
        <v>1826</v>
      </c>
      <c r="H5683" s="10" t="n">
        <v>4945</v>
      </c>
      <c r="I5683" s="10" t="n">
        <v>27</v>
      </c>
      <c r="J5683" s="10" t="n">
        <v>0</v>
      </c>
      <c r="K5683" s="10" t="s">
        <v>20</v>
      </c>
      <c r="L5683" s="11" t="n">
        <v>39834.7105671296</v>
      </c>
      <c r="M5683" s="12" t="s">
        <v>13181</v>
      </c>
      <c r="N5683" s="12" t="s">
        <v>13182</v>
      </c>
      <c r="O5683" s="9" t="str">
        <f aca="false">HYPERLINK("https://pbs.twimg.com/profile_images/629525592946270209/lWb8x7GM_normal.jpg","View")</f>
        <v>View</v>
      </c>
      <c r="P5683" s="10"/>
    </row>
    <row r="5684" customFormat="false" ht="15.75" hidden="false" customHeight="false" outlineLevel="0" collapsed="false">
      <c r="A5684" s="6" t="n">
        <v>43030.9638888889</v>
      </c>
      <c r="B5684" s="7" t="str">
        <f aca="false">HYPERLINK("https://twitter.com/mohanyadavIndia","@mohanyadavIndia")</f>
        <v>@mohanyadavIndia</v>
      </c>
      <c r="C5684" s="8" t="s">
        <v>13183</v>
      </c>
      <c r="D5684" s="8" t="s">
        <v>13172</v>
      </c>
      <c r="E5684" s="9" t="str">
        <f aca="false">HYPERLINK("https://twitter.com/mohanyadavIndia/status/922343832162832384","922343832162832384")</f>
        <v>922343832162832384</v>
      </c>
      <c r="F5684" s="10" t="s">
        <v>39</v>
      </c>
      <c r="G5684" s="10" t="n">
        <v>52</v>
      </c>
      <c r="H5684" s="10" t="n">
        <v>355</v>
      </c>
      <c r="I5684" s="10" t="n">
        <v>26</v>
      </c>
      <c r="J5684" s="10" t="n">
        <v>0</v>
      </c>
      <c r="K5684" s="10" t="s">
        <v>20</v>
      </c>
      <c r="L5684" s="11" t="n">
        <v>42574.8290740741</v>
      </c>
      <c r="M5684" s="12" t="s">
        <v>8874</v>
      </c>
      <c r="N5684" s="12" t="s">
        <v>13184</v>
      </c>
      <c r="O5684" s="9" t="str">
        <f aca="false">HYPERLINK("https://pbs.twimg.com/profile_images/757847173753020416/8a0Cfsew_normal.jpg","View")</f>
        <v>View</v>
      </c>
      <c r="P5684" s="10"/>
    </row>
    <row r="5685" customFormat="false" ht="15.75" hidden="false" customHeight="false" outlineLevel="0" collapsed="false">
      <c r="A5685" s="6" t="n">
        <v>43030.9639351852</v>
      </c>
      <c r="B5685" s="7" t="str">
        <f aca="false">HYPERLINK("https://twitter.com/MaasiPanguni","@MaasiPanguni")</f>
        <v>@MaasiPanguni</v>
      </c>
      <c r="C5685" s="8" t="s">
        <v>13185</v>
      </c>
      <c r="D5685" s="8" t="s">
        <v>8538</v>
      </c>
      <c r="E5685" s="9" t="str">
        <f aca="false">HYPERLINK("https://twitter.com/MaasiPanguni/status/922343847299911681","922343847299911681")</f>
        <v>922343847299911681</v>
      </c>
      <c r="F5685" s="10" t="s">
        <v>98</v>
      </c>
      <c r="G5685" s="10" t="n">
        <v>101</v>
      </c>
      <c r="H5685" s="10" t="n">
        <v>213</v>
      </c>
      <c r="I5685" s="10" t="n">
        <v>1015</v>
      </c>
      <c r="J5685" s="10" t="n">
        <v>0</v>
      </c>
      <c r="K5685" s="10" t="s">
        <v>20</v>
      </c>
      <c r="L5685" s="11" t="n">
        <v>42545.1295023148</v>
      </c>
      <c r="M5685" s="12"/>
      <c r="N5685" s="12" t="s">
        <v>12063</v>
      </c>
      <c r="O5685" s="9" t="str">
        <f aca="false">HYPERLINK("https://pbs.twimg.com/profile_images/831439309991317504/WMbloDkU_normal.jpg","View")</f>
        <v>View</v>
      </c>
      <c r="P5685" s="10"/>
    </row>
    <row r="5686" customFormat="false" ht="15.75" hidden="false" customHeight="false" outlineLevel="0" collapsed="false">
      <c r="A5686" s="6" t="n">
        <v>43030.964212963</v>
      </c>
      <c r="B5686" s="7" t="str">
        <f aca="false">HYPERLINK("https://twitter.com/jpn_anonymous_2","@jpn_anonymous_2")</f>
        <v>@jpn_anonymous_2</v>
      </c>
      <c r="C5686" s="8" t="s">
        <v>5784</v>
      </c>
      <c r="D5686" s="8" t="s">
        <v>11033</v>
      </c>
      <c r="E5686" s="9" t="str">
        <f aca="false">HYPERLINK("https://twitter.com/jpn_anonymous_2/status/922343947501846528","922343947501846528")</f>
        <v>922343947501846528</v>
      </c>
      <c r="F5686" s="10" t="s">
        <v>51</v>
      </c>
      <c r="G5686" s="10" t="n">
        <v>102</v>
      </c>
      <c r="H5686" s="10" t="n">
        <v>151</v>
      </c>
      <c r="I5686" s="10" t="n">
        <v>60</v>
      </c>
      <c r="J5686" s="10" t="n">
        <v>0</v>
      </c>
      <c r="K5686" s="10" t="s">
        <v>20</v>
      </c>
      <c r="L5686" s="11" t="n">
        <v>42365.7217361111</v>
      </c>
      <c r="M5686" s="12"/>
      <c r="N5686" s="12" t="s">
        <v>5785</v>
      </c>
      <c r="O5686" s="9" t="str">
        <f aca="false">HYPERLINK("https://pbs.twimg.com/profile_images/889968944278151168/sw98clb1_normal.jpg","View")</f>
        <v>View</v>
      </c>
      <c r="P5686" s="10"/>
    </row>
    <row r="5687" customFormat="false" ht="15.75" hidden="false" customHeight="false" outlineLevel="0" collapsed="false">
      <c r="A5687" s="6" t="n">
        <v>43030.9642361111</v>
      </c>
      <c r="B5687" s="7" t="str">
        <f aca="false">HYPERLINK("https://twitter.com/iVoteForBest","@iVoteForBest")</f>
        <v>@iVoteForBest</v>
      </c>
      <c r="C5687" s="8" t="s">
        <v>58</v>
      </c>
      <c r="D5687" s="8" t="s">
        <v>13186</v>
      </c>
      <c r="E5687" s="9" t="str">
        <f aca="false">HYPERLINK("https://twitter.com/iVoteForBest/status/922343958730207232","922343958730207232")</f>
        <v>922343958730207232</v>
      </c>
      <c r="F5687" s="10" t="s">
        <v>60</v>
      </c>
      <c r="G5687" s="10" t="n">
        <v>4529</v>
      </c>
      <c r="H5687" s="10" t="n">
        <v>0</v>
      </c>
      <c r="I5687" s="10" t="n">
        <v>0</v>
      </c>
      <c r="J5687" s="10" t="n">
        <v>0</v>
      </c>
      <c r="K5687" s="10" t="s">
        <v>20</v>
      </c>
      <c r="L5687" s="11" t="n">
        <v>41732.0494444444</v>
      </c>
      <c r="M5687" s="12"/>
      <c r="N5687" s="12" t="s">
        <v>61</v>
      </c>
      <c r="O5687" s="9" t="str">
        <f aca="false">HYPERLINK("https://pbs.twimg.com/profile_images/858421579960639488/4Z7CW4j__normal.jpg","View")</f>
        <v>View</v>
      </c>
      <c r="P5687" s="10"/>
    </row>
    <row r="5688" customFormat="false" ht="15.75" hidden="false" customHeight="false" outlineLevel="0" collapsed="false">
      <c r="A5688" s="6" t="n">
        <v>43030.9643287037</v>
      </c>
      <c r="B5688" s="7" t="str">
        <f aca="false">HYPERLINK("https://twitter.com/iVoteForBest","@iVoteForBest")</f>
        <v>@iVoteForBest</v>
      </c>
      <c r="C5688" s="8" t="s">
        <v>58</v>
      </c>
      <c r="D5688" s="8" t="s">
        <v>13187</v>
      </c>
      <c r="E5688" s="9" t="str">
        <f aca="false">HYPERLINK("https://twitter.com/iVoteForBest/status/922343990892158977","922343990892158977")</f>
        <v>922343990892158977</v>
      </c>
      <c r="F5688" s="10" t="s">
        <v>60</v>
      </c>
      <c r="G5688" s="10" t="n">
        <v>4529</v>
      </c>
      <c r="H5688" s="10" t="n">
        <v>0</v>
      </c>
      <c r="I5688" s="10" t="n">
        <v>0</v>
      </c>
      <c r="J5688" s="10" t="n">
        <v>0</v>
      </c>
      <c r="K5688" s="10" t="s">
        <v>20</v>
      </c>
      <c r="L5688" s="11" t="n">
        <v>41732.0494444444</v>
      </c>
      <c r="M5688" s="12"/>
      <c r="N5688" s="12" t="s">
        <v>61</v>
      </c>
      <c r="O5688" s="9" t="str">
        <f aca="false">HYPERLINK("https://pbs.twimg.com/profile_images/858421579960639488/4Z7CW4j__normal.jpg","View")</f>
        <v>View</v>
      </c>
      <c r="P5688" s="10"/>
    </row>
    <row r="5689" customFormat="false" ht="15.75" hidden="false" customHeight="false" outlineLevel="0" collapsed="false">
      <c r="A5689" s="6" t="n">
        <v>43030.9644791667</v>
      </c>
      <c r="B5689" s="7" t="str">
        <f aca="false">HYPERLINK("https://twitter.com/Sharmaroyals","@Sharmaroyals")</f>
        <v>@Sharmaroyals</v>
      </c>
      <c r="C5689" s="8" t="s">
        <v>9534</v>
      </c>
      <c r="D5689" s="8" t="s">
        <v>7350</v>
      </c>
      <c r="E5689" s="9" t="str">
        <f aca="false">HYPERLINK("https://twitter.com/Sharmaroyals/status/922344046873534465","922344046873534465")</f>
        <v>922344046873534465</v>
      </c>
      <c r="F5689" s="10" t="s">
        <v>51</v>
      </c>
      <c r="G5689" s="10" t="n">
        <v>209</v>
      </c>
      <c r="H5689" s="10" t="n">
        <v>131</v>
      </c>
      <c r="I5689" s="10" t="n">
        <v>62</v>
      </c>
      <c r="J5689" s="10" t="n">
        <v>0</v>
      </c>
      <c r="K5689" s="10" t="s">
        <v>20</v>
      </c>
      <c r="L5689" s="11" t="n">
        <v>40459.4074768519</v>
      </c>
      <c r="M5689" s="12" t="s">
        <v>9535</v>
      </c>
      <c r="N5689" s="12" t="s">
        <v>9536</v>
      </c>
      <c r="O5689" s="9" t="str">
        <f aca="false">HYPERLINK("https://pbs.twimg.com/profile_images/378800000859151117/zZGmXUgr_normal.jpeg","View")</f>
        <v>View</v>
      </c>
      <c r="P5689" s="10"/>
    </row>
    <row r="5690" customFormat="false" ht="15.75" hidden="false" customHeight="false" outlineLevel="0" collapsed="false">
      <c r="A5690" s="6" t="n">
        <v>43030.9646527778</v>
      </c>
      <c r="B5690" s="7" t="str">
        <f aca="false">HYPERLINK("https://twitter.com/MonicaOP","@MonicaOP")</f>
        <v>@MonicaOP</v>
      </c>
      <c r="C5690" s="8" t="s">
        <v>13188</v>
      </c>
      <c r="D5690" s="8" t="s">
        <v>13172</v>
      </c>
      <c r="E5690" s="9" t="str">
        <f aca="false">HYPERLINK("https://twitter.com/MonicaOP/status/922344106768109568","922344106768109568")</f>
        <v>922344106768109568</v>
      </c>
      <c r="F5690" s="10" t="s">
        <v>39</v>
      </c>
      <c r="G5690" s="10" t="n">
        <v>597</v>
      </c>
      <c r="H5690" s="10" t="n">
        <v>822</v>
      </c>
      <c r="I5690" s="10" t="n">
        <v>26</v>
      </c>
      <c r="J5690" s="10" t="n">
        <v>0</v>
      </c>
      <c r="K5690" s="10" t="s">
        <v>20</v>
      </c>
      <c r="L5690" s="11" t="n">
        <v>39935.3400347222</v>
      </c>
      <c r="M5690" s="12" t="s">
        <v>13189</v>
      </c>
      <c r="N5690" s="12" t="s">
        <v>13190</v>
      </c>
      <c r="O5690" s="9" t="str">
        <f aca="false">HYPERLINK("https://pbs.twimg.com/profile_images/886456896617500674/bfMWL6gH_normal.jpg","View")</f>
        <v>View</v>
      </c>
      <c r="P5690" s="10"/>
    </row>
    <row r="5691" customFormat="false" ht="15.75" hidden="false" customHeight="false" outlineLevel="0" collapsed="false">
      <c r="A5691" s="6" t="n">
        <v>43030.9647106482</v>
      </c>
      <c r="B5691" s="7" t="str">
        <f aca="false">HYPERLINK("https://twitter.com/BhattAdesh","@BhattAdesh")</f>
        <v>@BhattAdesh</v>
      </c>
      <c r="C5691" s="8" t="s">
        <v>13191</v>
      </c>
      <c r="D5691" s="8" t="s">
        <v>13192</v>
      </c>
      <c r="E5691" s="9" t="str">
        <f aca="false">HYPERLINK("https://twitter.com/BhattAdesh/status/922344130155606016","922344130155606016")</f>
        <v>922344130155606016</v>
      </c>
      <c r="F5691" s="10" t="s">
        <v>39</v>
      </c>
      <c r="G5691" s="10" t="n">
        <v>114</v>
      </c>
      <c r="H5691" s="10" t="n">
        <v>78</v>
      </c>
      <c r="I5691" s="10" t="n">
        <v>0</v>
      </c>
      <c r="J5691" s="10" t="n">
        <v>0</v>
      </c>
      <c r="K5691" s="10" t="s">
        <v>20</v>
      </c>
      <c r="L5691" s="11" t="n">
        <v>41799.226099537</v>
      </c>
      <c r="M5691" s="12" t="s">
        <v>13193</v>
      </c>
      <c r="N5691" s="12" t="s">
        <v>13194</v>
      </c>
      <c r="O5691" s="9" t="str">
        <f aca="false">HYPERLINK("https://pbs.twimg.com/profile_images/601083847875252224/dIUN-0cf_normal.jpg","View")</f>
        <v>View</v>
      </c>
      <c r="P5691" s="10"/>
    </row>
    <row r="5692" customFormat="false" ht="15.75" hidden="false" customHeight="false" outlineLevel="0" collapsed="false">
      <c r="A5692" s="6" t="n">
        <v>43030.964837963</v>
      </c>
      <c r="B5692" s="7" t="str">
        <f aca="false">HYPERLINK("https://twitter.com/Celilkekec","@Celilkekec")</f>
        <v>@Celilkekec</v>
      </c>
      <c r="C5692" s="8" t="s">
        <v>13195</v>
      </c>
      <c r="D5692" s="8" t="s">
        <v>13172</v>
      </c>
      <c r="E5692" s="9" t="str">
        <f aca="false">HYPERLINK("https://twitter.com/Celilkekec/status/922344176490045440","922344176490045440")</f>
        <v>922344176490045440</v>
      </c>
      <c r="F5692" s="10" t="s">
        <v>39</v>
      </c>
      <c r="G5692" s="10" t="n">
        <v>969</v>
      </c>
      <c r="H5692" s="10" t="n">
        <v>2181</v>
      </c>
      <c r="I5692" s="10" t="n">
        <v>26</v>
      </c>
      <c r="J5692" s="10" t="n">
        <v>0</v>
      </c>
      <c r="K5692" s="10" t="s">
        <v>20</v>
      </c>
      <c r="L5692" s="11" t="n">
        <v>40584.0169560185</v>
      </c>
      <c r="M5692" s="12"/>
      <c r="N5692" s="12" t="s">
        <v>13196</v>
      </c>
      <c r="O5692" s="9" t="str">
        <f aca="false">HYPERLINK("https://pbs.twimg.com/profile_images/885074986842689536/GA_xIWD7_normal.jpg","View")</f>
        <v>View</v>
      </c>
      <c r="P5692" s="10"/>
    </row>
    <row r="5693" customFormat="false" ht="15.75" hidden="false" customHeight="false" outlineLevel="0" collapsed="false">
      <c r="A5693" s="6" t="n">
        <v>43030.9650694445</v>
      </c>
      <c r="B5693" s="7" t="str">
        <f aca="false">HYPERLINK("https://twitter.com/alexgen0359","@alexgen0359")</f>
        <v>@alexgen0359</v>
      </c>
      <c r="C5693" s="8" t="s">
        <v>12842</v>
      </c>
      <c r="D5693" s="8" t="s">
        <v>13172</v>
      </c>
      <c r="E5693" s="9" t="str">
        <f aca="false">HYPERLINK("https://twitter.com/alexgen0359/status/922344259138748417","922344259138748417")</f>
        <v>922344259138748417</v>
      </c>
      <c r="F5693" s="10" t="s">
        <v>25</v>
      </c>
      <c r="G5693" s="10" t="n">
        <v>5817</v>
      </c>
      <c r="H5693" s="10" t="n">
        <v>6327</v>
      </c>
      <c r="I5693" s="10" t="n">
        <v>26</v>
      </c>
      <c r="J5693" s="10" t="n">
        <v>0</v>
      </c>
      <c r="K5693" s="10" t="s">
        <v>20</v>
      </c>
      <c r="L5693" s="11" t="n">
        <v>41379.4534490741</v>
      </c>
      <c r="M5693" s="12" t="s">
        <v>12843</v>
      </c>
      <c r="N5693" s="12" t="s">
        <v>12844</v>
      </c>
      <c r="O5693" s="9" t="str">
        <f aca="false">HYPERLINK("https://pbs.twimg.com/profile_images/712634716801933312/sABFiFQX_normal.jpg","View")</f>
        <v>View</v>
      </c>
      <c r="P5693" s="10"/>
    </row>
    <row r="5694" customFormat="false" ht="15.75" hidden="false" customHeight="false" outlineLevel="0" collapsed="false">
      <c r="A5694" s="6" t="n">
        <v>43030.9654166667</v>
      </c>
      <c r="B5694" s="7" t="str">
        <f aca="false">HYPERLINK("https://twitter.com/cbs46","@cbs46")</f>
        <v>@cbs46</v>
      </c>
      <c r="C5694" s="8" t="s">
        <v>13197</v>
      </c>
      <c r="D5694" s="8" t="s">
        <v>13198</v>
      </c>
      <c r="E5694" s="9" t="str">
        <f aca="false">HYPERLINK("https://twitter.com/cbs46/status/922344387241238528","922344387241238528")</f>
        <v>922344387241238528</v>
      </c>
      <c r="F5694" s="10" t="s">
        <v>276</v>
      </c>
      <c r="G5694" s="10" t="n">
        <v>74580</v>
      </c>
      <c r="H5694" s="10" t="n">
        <v>1886</v>
      </c>
      <c r="I5694" s="10" t="n">
        <v>0</v>
      </c>
      <c r="J5694" s="10" t="n">
        <v>0</v>
      </c>
      <c r="K5694" s="10" t="s">
        <v>20</v>
      </c>
      <c r="L5694" s="11" t="n">
        <v>40144.5941319444</v>
      </c>
      <c r="M5694" s="12" t="s">
        <v>13199</v>
      </c>
      <c r="N5694" s="12" t="s">
        <v>13200</v>
      </c>
      <c r="O5694" s="9" t="str">
        <f aca="false">HYPERLINK("https://pbs.twimg.com/profile_images/723709828535848960/x5powsHT_normal.jpg","View")</f>
        <v>View</v>
      </c>
      <c r="P5694" s="10"/>
    </row>
    <row r="5695" customFormat="false" ht="15.75" hidden="false" customHeight="false" outlineLevel="0" collapsed="false">
      <c r="A5695" s="6" t="n">
        <v>43030.965462963</v>
      </c>
      <c r="B5695" s="7" t="str">
        <f aca="false">HYPERLINK("https://twitter.com/rucolagasuki","@rucolagasuki")</f>
        <v>@rucolagasuki</v>
      </c>
      <c r="C5695" s="8" t="s">
        <v>13201</v>
      </c>
      <c r="D5695" s="8" t="s">
        <v>11418</v>
      </c>
      <c r="E5695" s="9" t="str">
        <f aca="false">HYPERLINK("https://twitter.com/rucolagasuki/status/922344400843182081","922344400843182081")</f>
        <v>922344400843182081</v>
      </c>
      <c r="F5695" s="10" t="s">
        <v>98</v>
      </c>
      <c r="G5695" s="10" t="n">
        <v>21</v>
      </c>
      <c r="H5695" s="10" t="n">
        <v>81</v>
      </c>
      <c r="I5695" s="10" t="n">
        <v>38</v>
      </c>
      <c r="J5695" s="10" t="n">
        <v>0</v>
      </c>
      <c r="K5695" s="10" t="s">
        <v>20</v>
      </c>
      <c r="L5695" s="11" t="n">
        <v>42538.2640509259</v>
      </c>
      <c r="M5695" s="13" t="s">
        <v>3128</v>
      </c>
      <c r="N5695" s="12"/>
      <c r="O5695" s="9" t="str">
        <f aca="false">HYPERLINK("https://pbs.twimg.com/profile_images/743798900897701888/9o70OnYt_normal.jpg","View")</f>
        <v>View</v>
      </c>
      <c r="P5695" s="10"/>
    </row>
    <row r="5696" customFormat="false" ht="15.75" hidden="false" customHeight="false" outlineLevel="0" collapsed="false">
      <c r="A5696" s="6" t="n">
        <v>43030.9655324074</v>
      </c>
      <c r="B5696" s="7" t="str">
        <f aca="false">HYPERLINK("https://twitter.com/Razer17441735","@Razer17441735")</f>
        <v>@Razer17441735</v>
      </c>
      <c r="C5696" s="8" t="s">
        <v>13202</v>
      </c>
      <c r="D5696" s="8" t="s">
        <v>12860</v>
      </c>
      <c r="E5696" s="9" t="str">
        <f aca="false">HYPERLINK("https://twitter.com/Razer17441735/status/922344425514205184","922344425514205184")</f>
        <v>922344425514205184</v>
      </c>
      <c r="F5696" s="10" t="s">
        <v>13203</v>
      </c>
      <c r="G5696" s="10" t="n">
        <v>179</v>
      </c>
      <c r="H5696" s="10" t="n">
        <v>1854</v>
      </c>
      <c r="I5696" s="10" t="n">
        <v>7</v>
      </c>
      <c r="J5696" s="10" t="n">
        <v>0</v>
      </c>
      <c r="K5696" s="10" t="s">
        <v>20</v>
      </c>
      <c r="L5696" s="11" t="n">
        <v>42907.1482986111</v>
      </c>
      <c r="M5696" s="12" t="s">
        <v>230</v>
      </c>
      <c r="N5696" s="12" t="s">
        <v>13204</v>
      </c>
      <c r="O5696" s="9" t="str">
        <f aca="false">HYPERLINK("https://pbs.twimg.com/profile_images/877474799391571968/tHcwTsPe_normal.jpg","View")</f>
        <v>View</v>
      </c>
      <c r="P5696" s="10"/>
    </row>
    <row r="5697" customFormat="false" ht="15.75" hidden="false" customHeight="false" outlineLevel="0" collapsed="false">
      <c r="A5697" s="6" t="n">
        <v>43030.9656365741</v>
      </c>
      <c r="B5697" s="7" t="str">
        <f aca="false">HYPERLINK("https://twitter.com/tweetnewsfeeds","@tweetnewsfeeds")</f>
        <v>@tweetnewsfeeds</v>
      </c>
      <c r="C5697" s="8" t="s">
        <v>13205</v>
      </c>
      <c r="D5697" s="8" t="s">
        <v>13206</v>
      </c>
      <c r="E5697" s="9" t="str">
        <f aca="false">HYPERLINK("https://twitter.com/tweetnewsfeeds/status/922344463623688192","922344463623688192")</f>
        <v>922344463623688192</v>
      </c>
      <c r="F5697" s="10" t="s">
        <v>55</v>
      </c>
      <c r="G5697" s="10" t="n">
        <v>498</v>
      </c>
      <c r="H5697" s="10" t="n">
        <v>285</v>
      </c>
      <c r="I5697" s="10" t="n">
        <v>0</v>
      </c>
      <c r="J5697" s="10" t="n">
        <v>0</v>
      </c>
      <c r="K5697" s="10" t="s">
        <v>20</v>
      </c>
      <c r="L5697" s="11" t="n">
        <v>41344.2851967593</v>
      </c>
      <c r="M5697" s="12"/>
      <c r="N5697" s="12" t="s">
        <v>13207</v>
      </c>
      <c r="O5697" s="9" t="str">
        <f aca="false">HYPERLINK("https://pbs.twimg.com/profile_images/3366648794/d336fcda4d7e97889528c6aaf95e1866_normal.jpeg","View")</f>
        <v>View</v>
      </c>
      <c r="P5697" s="10"/>
    </row>
    <row r="5698" customFormat="false" ht="15.75" hidden="false" customHeight="false" outlineLevel="0" collapsed="false">
      <c r="A5698" s="6" t="n">
        <v>43030.9657638889</v>
      </c>
      <c r="B5698" s="7" t="str">
        <f aca="false">HYPERLINK("https://twitter.com/vickychandhok","@vickychandhok")</f>
        <v>@vickychandhok</v>
      </c>
      <c r="C5698" s="8" t="s">
        <v>13208</v>
      </c>
      <c r="D5698" s="8" t="s">
        <v>10225</v>
      </c>
      <c r="E5698" s="9" t="str">
        <f aca="false">HYPERLINK("https://twitter.com/vickychandhok/status/922344512420069376","922344512420069376")</f>
        <v>922344512420069376</v>
      </c>
      <c r="F5698" s="10" t="s">
        <v>25</v>
      </c>
      <c r="G5698" s="10" t="n">
        <v>5216</v>
      </c>
      <c r="H5698" s="10" t="n">
        <v>219</v>
      </c>
      <c r="I5698" s="10" t="n">
        <v>16</v>
      </c>
      <c r="J5698" s="10" t="n">
        <v>0</v>
      </c>
      <c r="K5698" s="10" t="s">
        <v>20</v>
      </c>
      <c r="L5698" s="11" t="n">
        <v>39999.2949652778</v>
      </c>
      <c r="M5698" s="12" t="s">
        <v>13209</v>
      </c>
      <c r="N5698" s="12" t="s">
        <v>13210</v>
      </c>
      <c r="O5698" s="9" t="str">
        <f aca="false">HYPERLINK("https://pbs.twimg.com/profile_images/508583259073040385/dfblGL9a_normal.jpeg","View")</f>
        <v>View</v>
      </c>
      <c r="P5698" s="10"/>
    </row>
    <row r="5699" customFormat="false" ht="15.75" hidden="false" customHeight="false" outlineLevel="0" collapsed="false">
      <c r="A5699" s="6" t="n">
        <v>43030.9658680556</v>
      </c>
      <c r="B5699" s="7" t="str">
        <f aca="false">HYPERLINK("https://twitter.com/sharebossindia","@sharebossindia")</f>
        <v>@sharebossindia</v>
      </c>
      <c r="C5699" s="7" t="s">
        <v>917</v>
      </c>
      <c r="D5699" s="8" t="s">
        <v>13211</v>
      </c>
      <c r="E5699" s="9" t="str">
        <f aca="false">HYPERLINK("https://twitter.com/sharebossindia/status/922344547308285952","922344547308285952")</f>
        <v>922344547308285952</v>
      </c>
      <c r="F5699" s="10" t="s">
        <v>919</v>
      </c>
      <c r="G5699" s="10" t="n">
        <v>1210</v>
      </c>
      <c r="H5699" s="10" t="n">
        <v>1</v>
      </c>
      <c r="I5699" s="10" t="n">
        <v>0</v>
      </c>
      <c r="J5699" s="10" t="n">
        <v>0</v>
      </c>
      <c r="K5699" s="10" t="s">
        <v>20</v>
      </c>
      <c r="L5699" s="11" t="n">
        <v>42262.3224305556</v>
      </c>
      <c r="M5699" s="12"/>
      <c r="N5699" s="12" t="s">
        <v>920</v>
      </c>
      <c r="O5699" s="9" t="str">
        <f aca="false">HYPERLINK("https://pbs.twimg.com/profile_images/691477939880202244/-eW65KbB_normal.jpg","View")</f>
        <v>View</v>
      </c>
      <c r="P5699" s="10"/>
    </row>
    <row r="5700" customFormat="false" ht="15.75" hidden="false" customHeight="false" outlineLevel="0" collapsed="false">
      <c r="A5700" s="6" t="n">
        <v>43030.9661458333</v>
      </c>
      <c r="B5700" s="7" t="str">
        <f aca="false">HYPERLINK("https://twitter.com/rashidaldosari","@rashidaldosari")</f>
        <v>@rashidaldosari</v>
      </c>
      <c r="C5700" s="8" t="s">
        <v>810</v>
      </c>
      <c r="D5700" s="8" t="s">
        <v>13172</v>
      </c>
      <c r="E5700" s="9" t="str">
        <f aca="false">HYPERLINK("https://twitter.com/rashidaldosari/status/922344649636896769","922344649636896769")</f>
        <v>922344649636896769</v>
      </c>
      <c r="F5700" s="10" t="s">
        <v>51</v>
      </c>
      <c r="G5700" s="10" t="n">
        <v>2401</v>
      </c>
      <c r="H5700" s="10" t="n">
        <v>55</v>
      </c>
      <c r="I5700" s="10" t="n">
        <v>26</v>
      </c>
      <c r="J5700" s="10" t="n">
        <v>0</v>
      </c>
      <c r="K5700" s="10" t="s">
        <v>20</v>
      </c>
      <c r="L5700" s="11" t="n">
        <v>40635.110625</v>
      </c>
      <c r="M5700" s="12"/>
      <c r="N5700" s="12" t="s">
        <v>811</v>
      </c>
      <c r="O5700" s="9" t="str">
        <f aca="false">HYPERLINK("https://pbs.twimg.com/profile_images/1389660377/image_normal.jpg","View")</f>
        <v>View</v>
      </c>
      <c r="P5700" s="10"/>
    </row>
    <row r="5701" customFormat="false" ht="15.75" hidden="false" customHeight="false" outlineLevel="0" collapsed="false">
      <c r="A5701" s="6" t="n">
        <v>43030.9663425926</v>
      </c>
      <c r="B5701" s="7" t="str">
        <f aca="false">HYPERLINK("https://twitter.com/channel1atlanta","@channel1atlanta")</f>
        <v>@channel1atlanta</v>
      </c>
      <c r="C5701" s="8" t="s">
        <v>13212</v>
      </c>
      <c r="D5701" s="8" t="s">
        <v>13213</v>
      </c>
      <c r="E5701" s="9" t="str">
        <f aca="false">HYPERLINK("https://twitter.com/channel1atlanta/status/922344721195917313","922344721195917313")</f>
        <v>922344721195917313</v>
      </c>
      <c r="F5701" s="10" t="s">
        <v>60</v>
      </c>
      <c r="G5701" s="10" t="n">
        <v>3374</v>
      </c>
      <c r="H5701" s="10" t="n">
        <v>4283</v>
      </c>
      <c r="I5701" s="10" t="n">
        <v>0</v>
      </c>
      <c r="J5701" s="10" t="n">
        <v>0</v>
      </c>
      <c r="K5701" s="10" t="s">
        <v>20</v>
      </c>
      <c r="L5701" s="11" t="n">
        <v>39810.5953819444</v>
      </c>
      <c r="M5701" s="12" t="s">
        <v>4756</v>
      </c>
      <c r="N5701" s="12" t="s">
        <v>13214</v>
      </c>
      <c r="O5701" s="9" t="str">
        <f aca="false">HYPERLINK("https://pbs.twimg.com/profile_images/923358131064836097/VfWBaobY_normal.jpg","View")</f>
        <v>View</v>
      </c>
      <c r="P5701" s="10"/>
    </row>
    <row r="5702" customFormat="false" ht="15.75" hidden="false" customHeight="false" outlineLevel="0" collapsed="false">
      <c r="A5702" s="6" t="n">
        <v>43030.9663888889</v>
      </c>
      <c r="B5702" s="7" t="str">
        <f aca="false">HYPERLINK("https://twitter.com/devosve","@devosve")</f>
        <v>@devosve</v>
      </c>
      <c r="C5702" s="8" t="s">
        <v>13215</v>
      </c>
      <c r="D5702" s="8" t="s">
        <v>13172</v>
      </c>
      <c r="E5702" s="9" t="str">
        <f aca="false">HYPERLINK("https://twitter.com/devosve/status/922344736802918400","922344736802918400")</f>
        <v>922344736802918400</v>
      </c>
      <c r="F5702" s="10" t="s">
        <v>51</v>
      </c>
      <c r="G5702" s="10" t="n">
        <v>880</v>
      </c>
      <c r="H5702" s="10" t="n">
        <v>801</v>
      </c>
      <c r="I5702" s="10" t="n">
        <v>26</v>
      </c>
      <c r="J5702" s="10" t="n">
        <v>0</v>
      </c>
      <c r="K5702" s="10" t="s">
        <v>20</v>
      </c>
      <c r="L5702" s="11" t="n">
        <v>40626.2674652778</v>
      </c>
      <c r="M5702" s="12"/>
      <c r="N5702" s="12" t="s">
        <v>13216</v>
      </c>
      <c r="O5702" s="9" t="str">
        <f aca="false">HYPERLINK("https://pbs.twimg.com/profile_images/708528242081308673/mXFGhmNX_normal.jpg","View")</f>
        <v>View</v>
      </c>
      <c r="P5702" s="10"/>
    </row>
    <row r="5703" customFormat="false" ht="15.75" hidden="false" customHeight="false" outlineLevel="0" collapsed="false">
      <c r="A5703" s="6" t="n">
        <v>43030.9665162037</v>
      </c>
      <c r="B5703" s="7" t="str">
        <f aca="false">HYPERLINK("https://twitter.com/swarup16","@swarup16")</f>
        <v>@swarup16</v>
      </c>
      <c r="C5703" s="8" t="s">
        <v>13217</v>
      </c>
      <c r="D5703" s="8" t="s">
        <v>8538</v>
      </c>
      <c r="E5703" s="9" t="str">
        <f aca="false">HYPERLINK("https://twitter.com/swarup16/status/922344782063529984","922344782063529984")</f>
        <v>922344782063529984</v>
      </c>
      <c r="F5703" s="10" t="s">
        <v>51</v>
      </c>
      <c r="G5703" s="10" t="n">
        <v>60</v>
      </c>
      <c r="H5703" s="10" t="n">
        <v>119</v>
      </c>
      <c r="I5703" s="10" t="n">
        <v>1015</v>
      </c>
      <c r="J5703" s="10" t="n">
        <v>0</v>
      </c>
      <c r="K5703" s="10" t="s">
        <v>20</v>
      </c>
      <c r="L5703" s="11" t="n">
        <v>40078.3101851852</v>
      </c>
      <c r="M5703" s="12" t="s">
        <v>7434</v>
      </c>
      <c r="N5703" s="12"/>
      <c r="O5703" s="9" t="str">
        <f aca="false">HYPERLINK("https://abs.twimg.com/sticky/default_profile_images/default_profile_normal.png","View")</f>
        <v>View</v>
      </c>
      <c r="P5703" s="10"/>
    </row>
    <row r="5704" customFormat="false" ht="15.75" hidden="false" customHeight="false" outlineLevel="0" collapsed="false">
      <c r="A5704" s="6" t="n">
        <v>43030.9665162037</v>
      </c>
      <c r="B5704" s="7" t="str">
        <f aca="false">HYPERLINK("https://twitter.com/pbujak","@pbujak")</f>
        <v>@pbujak</v>
      </c>
      <c r="C5704" s="8" t="s">
        <v>13218</v>
      </c>
      <c r="D5704" s="8" t="s">
        <v>13114</v>
      </c>
      <c r="E5704" s="9" t="str">
        <f aca="false">HYPERLINK("https://twitter.com/pbujak/status/922344783879790592","922344783879790592")</f>
        <v>922344783879790592</v>
      </c>
      <c r="F5704" s="10" t="s">
        <v>51</v>
      </c>
      <c r="G5704" s="10" t="n">
        <v>3495</v>
      </c>
      <c r="H5704" s="10" t="n">
        <v>593</v>
      </c>
      <c r="I5704" s="10" t="n">
        <v>19</v>
      </c>
      <c r="J5704" s="10" t="n">
        <v>0</v>
      </c>
      <c r="K5704" s="10" t="s">
        <v>20</v>
      </c>
      <c r="L5704" s="11" t="n">
        <v>40400.5067708333</v>
      </c>
      <c r="M5704" s="12" t="s">
        <v>13219</v>
      </c>
      <c r="N5704" s="12" t="s">
        <v>13220</v>
      </c>
      <c r="O5704" s="9" t="str">
        <f aca="false">HYPERLINK("https://pbs.twimg.com/profile_images/2572783391/90w05pwd01lxwl2bgd9i_normal.jpeg","View")</f>
        <v>View</v>
      </c>
      <c r="P5704" s="10"/>
    </row>
    <row r="5705" customFormat="false" ht="15.75" hidden="false" customHeight="false" outlineLevel="0" collapsed="false">
      <c r="A5705" s="6" t="n">
        <v>43030.9666666667</v>
      </c>
      <c r="B5705" s="7" t="str">
        <f aca="false">HYPERLINK("https://twitter.com/SkyNews","@SkyNews")</f>
        <v>@SkyNews</v>
      </c>
      <c r="C5705" s="8" t="s">
        <v>3311</v>
      </c>
      <c r="D5705" s="8" t="s">
        <v>13221</v>
      </c>
      <c r="E5705" s="9" t="str">
        <f aca="false">HYPERLINK("https://twitter.com/SkyNews/status/922344840423182336","922344840423182336")</f>
        <v>922344840423182336</v>
      </c>
      <c r="F5705" s="10" t="s">
        <v>268</v>
      </c>
      <c r="G5705" s="10" t="n">
        <v>4358639</v>
      </c>
      <c r="H5705" s="10" t="n">
        <v>11</v>
      </c>
      <c r="I5705" s="10" t="n">
        <v>18</v>
      </c>
      <c r="J5705" s="10" t="n">
        <v>32</v>
      </c>
      <c r="K5705" s="10" t="s">
        <v>20</v>
      </c>
      <c r="L5705" s="11" t="n">
        <v>39282.3214467593</v>
      </c>
      <c r="M5705" s="12" t="s">
        <v>1319</v>
      </c>
      <c r="N5705" s="12" t="s">
        <v>3312</v>
      </c>
      <c r="O5705" s="9" t="str">
        <f aca="false">HYPERLINK("https://pbs.twimg.com/profile_images/880366112751456257/GKkxouK6_normal.jpg","View")</f>
        <v>View</v>
      </c>
      <c r="P5705" s="10"/>
    </row>
    <row r="5706" customFormat="false" ht="15.75" hidden="false" customHeight="false" outlineLevel="0" collapsed="false">
      <c r="A5706" s="6" t="n">
        <v>43030.9669560185</v>
      </c>
      <c r="B5706" s="7" t="str">
        <f aca="false">HYPERLINK("https://twitter.com/ichigo_opanchu","@ichigo_opanchu")</f>
        <v>@ichigo_opanchu</v>
      </c>
      <c r="C5706" s="14" t="s">
        <v>12694</v>
      </c>
      <c r="D5706" s="8" t="s">
        <v>13222</v>
      </c>
      <c r="E5706" s="9" t="str">
        <f aca="false">HYPERLINK("https://twitter.com/ichigo_opanchu/status/922344945301667840","922344945301667840")</f>
        <v>922344945301667840</v>
      </c>
      <c r="F5706" s="9" t="s">
        <v>1340</v>
      </c>
      <c r="G5706" s="10" t="n">
        <v>1174</v>
      </c>
      <c r="H5706" s="10" t="n">
        <v>1629</v>
      </c>
      <c r="I5706" s="10" t="n">
        <v>0</v>
      </c>
      <c r="J5706" s="10" t="n">
        <v>0</v>
      </c>
      <c r="K5706" s="10" t="s">
        <v>20</v>
      </c>
      <c r="L5706" s="11" t="n">
        <v>41584.515787037</v>
      </c>
      <c r="M5706" s="12"/>
      <c r="N5706" s="12"/>
      <c r="O5706" s="9" t="str">
        <f aca="false">HYPERLINK("https://pbs.twimg.com/profile_images/378800000706122038/8717500dd70ef1765108669059e3f9b0_normal.jpeg","View")</f>
        <v>View</v>
      </c>
      <c r="P5706" s="10"/>
    </row>
    <row r="5707" customFormat="false" ht="15.75" hidden="false" customHeight="false" outlineLevel="0" collapsed="false">
      <c r="A5707" s="6" t="n">
        <v>43030.967025463</v>
      </c>
      <c r="B5707" s="7" t="str">
        <f aca="false">HYPERLINK("https://twitter.com/BSAFunds","@BSAFunds")</f>
        <v>@BSAFunds</v>
      </c>
      <c r="C5707" s="8" t="s">
        <v>924</v>
      </c>
      <c r="D5707" s="8" t="s">
        <v>13223</v>
      </c>
      <c r="E5707" s="9" t="str">
        <f aca="false">HYPERLINK("https://twitter.com/BSAFunds/status/922344967401541633","922344967401541633")</f>
        <v>922344967401541633</v>
      </c>
      <c r="F5707" s="10" t="s">
        <v>60</v>
      </c>
      <c r="G5707" s="10" t="n">
        <v>20871</v>
      </c>
      <c r="H5707" s="10" t="n">
        <v>8926</v>
      </c>
      <c r="I5707" s="10" t="n">
        <v>0</v>
      </c>
      <c r="J5707" s="10" t="n">
        <v>0</v>
      </c>
      <c r="K5707" s="10" t="s">
        <v>20</v>
      </c>
      <c r="L5707" s="11" t="n">
        <v>42601.9481828704</v>
      </c>
      <c r="M5707" s="12" t="s">
        <v>312</v>
      </c>
      <c r="N5707" s="12" t="s">
        <v>926</v>
      </c>
      <c r="O5707" s="9" t="str">
        <f aca="false">HYPERLINK("https://pbs.twimg.com/profile_images/912769166960033792/N4LAmrTs_normal.jpg","View")</f>
        <v>View</v>
      </c>
      <c r="P5707" s="10"/>
    </row>
    <row r="5708" customFormat="false" ht="15.75" hidden="false" customHeight="false" outlineLevel="0" collapsed="false">
      <c r="A5708" s="6" t="n">
        <v>43030.9670833333</v>
      </c>
      <c r="B5708" s="7" t="str">
        <f aca="false">HYPERLINK("https://twitter.com/Missycilious","@Missycilious")</f>
        <v>@Missycilious</v>
      </c>
      <c r="C5708" s="8" t="s">
        <v>3397</v>
      </c>
      <c r="D5708" s="8" t="s">
        <v>13224</v>
      </c>
      <c r="E5708" s="9" t="str">
        <f aca="false">HYPERLINK("https://twitter.com/Missycilious/status/922344989669064709","922344989669064709")</f>
        <v>922344989669064709</v>
      </c>
      <c r="F5708" s="10" t="s">
        <v>60</v>
      </c>
      <c r="G5708" s="10" t="n">
        <v>2912</v>
      </c>
      <c r="H5708" s="10" t="n">
        <v>2420</v>
      </c>
      <c r="I5708" s="10" t="n">
        <v>0</v>
      </c>
      <c r="J5708" s="10" t="n">
        <v>0</v>
      </c>
      <c r="K5708" s="10" t="s">
        <v>20</v>
      </c>
      <c r="L5708" s="11" t="n">
        <v>39879.5985648148</v>
      </c>
      <c r="M5708" s="12" t="s">
        <v>3398</v>
      </c>
      <c r="N5708" s="12" t="s">
        <v>3399</v>
      </c>
      <c r="O5708" s="9" t="str">
        <f aca="false">HYPERLINK("https://pbs.twimg.com/profile_images/854216224150097920/6UAQ_mRJ_normal.jpg","View")</f>
        <v>View</v>
      </c>
      <c r="P5708" s="10"/>
    </row>
    <row r="5709" customFormat="false" ht="15.75" hidden="false" customHeight="false" outlineLevel="0" collapsed="false">
      <c r="A5709" s="6" t="n">
        <v>43030.9674421296</v>
      </c>
      <c r="B5709" s="7" t="str">
        <f aca="false">HYPERLINK("https://twitter.com/tycoon_jr","@tycoon_jr")</f>
        <v>@tycoon_jr</v>
      </c>
      <c r="C5709" s="14" t="s">
        <v>13225</v>
      </c>
      <c r="D5709" s="8" t="s">
        <v>11033</v>
      </c>
      <c r="E5709" s="9" t="str">
        <f aca="false">HYPERLINK("https://twitter.com/tycoon_jr/status/922345121638531072","922345121638531072")</f>
        <v>922345121638531072</v>
      </c>
      <c r="F5709" s="10" t="s">
        <v>51</v>
      </c>
      <c r="G5709" s="10" t="n">
        <v>73</v>
      </c>
      <c r="H5709" s="10" t="n">
        <v>140</v>
      </c>
      <c r="I5709" s="10" t="n">
        <v>60</v>
      </c>
      <c r="J5709" s="10" t="n">
        <v>0</v>
      </c>
      <c r="K5709" s="10" t="s">
        <v>20</v>
      </c>
      <c r="L5709" s="11" t="n">
        <v>40073.9701273148</v>
      </c>
      <c r="M5709" s="12"/>
      <c r="N5709" s="13" t="s">
        <v>13226</v>
      </c>
      <c r="O5709" s="9" t="str">
        <f aca="false">HYPERLINK("https://pbs.twimg.com/profile_images/854685648753524736/nLiVh4Kc_normal.jpg","View")</f>
        <v>View</v>
      </c>
      <c r="P5709" s="10"/>
    </row>
    <row r="5710" customFormat="false" ht="15.75" hidden="false" customHeight="false" outlineLevel="0" collapsed="false">
      <c r="A5710" s="6" t="n">
        <v>43030.9675694445</v>
      </c>
      <c r="B5710" s="7" t="str">
        <f aca="false">HYPERLINK("https://twitter.com/hana__asis","@hana__asis")</f>
        <v>@hana__asis</v>
      </c>
      <c r="C5710" s="8" t="s">
        <v>13227</v>
      </c>
      <c r="D5710" s="8" t="s">
        <v>13114</v>
      </c>
      <c r="E5710" s="9" t="str">
        <f aca="false">HYPERLINK("https://twitter.com/hana__asis/status/922345164160483329","922345164160483329")</f>
        <v>922345164160483329</v>
      </c>
      <c r="F5710" s="10" t="s">
        <v>25</v>
      </c>
      <c r="G5710" s="10" t="n">
        <v>43</v>
      </c>
      <c r="H5710" s="10" t="n">
        <v>853</v>
      </c>
      <c r="I5710" s="10" t="n">
        <v>19</v>
      </c>
      <c r="J5710" s="10" t="n">
        <v>0</v>
      </c>
      <c r="K5710" s="10" t="s">
        <v>20</v>
      </c>
      <c r="L5710" s="11" t="n">
        <v>41746.2211805556</v>
      </c>
      <c r="M5710" s="12"/>
      <c r="N5710" s="12" t="s">
        <v>13228</v>
      </c>
      <c r="O5710" s="9" t="str">
        <f aca="false">HYPERLINK("https://pbs.twimg.com/profile_images/749739795778183168/1z25-PS0_normal.jpg","View")</f>
        <v>View</v>
      </c>
      <c r="P5710" s="10"/>
    </row>
    <row r="5711" customFormat="false" ht="15.75" hidden="false" customHeight="false" outlineLevel="0" collapsed="false">
      <c r="A5711" s="6" t="n">
        <v>43030.9676157407</v>
      </c>
      <c r="B5711" s="7" t="str">
        <f aca="false">HYPERLINK("https://twitter.com/KKagasheki","@KKagasheki")</f>
        <v>@KKagasheki</v>
      </c>
      <c r="C5711" s="8" t="s">
        <v>4359</v>
      </c>
      <c r="D5711" s="8" t="s">
        <v>13229</v>
      </c>
      <c r="E5711" s="9" t="str">
        <f aca="false">HYPERLINK("https://twitter.com/KKagasheki/status/922345180769980416","922345180769980416")</f>
        <v>922345180769980416</v>
      </c>
      <c r="F5711" s="10" t="s">
        <v>51</v>
      </c>
      <c r="G5711" s="10" t="n">
        <v>24115</v>
      </c>
      <c r="H5711" s="10" t="n">
        <v>1366</v>
      </c>
      <c r="I5711" s="10" t="n">
        <v>18</v>
      </c>
      <c r="J5711" s="10" t="n">
        <v>0</v>
      </c>
      <c r="K5711" s="10" t="s">
        <v>20</v>
      </c>
      <c r="L5711" s="11" t="n">
        <v>39903.5177893519</v>
      </c>
      <c r="M5711" s="12" t="s">
        <v>4360</v>
      </c>
      <c r="N5711" s="12" t="s">
        <v>4361</v>
      </c>
      <c r="O5711" s="9" t="str">
        <f aca="false">HYPERLINK("https://pbs.twimg.com/profile_images/851303769669341184/GPBwX6ur_normal.jpg","View")</f>
        <v>View</v>
      </c>
      <c r="P5711" s="10"/>
    </row>
    <row r="5712" customFormat="false" ht="15.75" hidden="false" customHeight="false" outlineLevel="0" collapsed="false">
      <c r="A5712" s="6" t="n">
        <v>43030.9676157407</v>
      </c>
      <c r="B5712" s="7" t="str">
        <f aca="false">HYPERLINK("https://twitter.com/atikyogi","@atikyogi")</f>
        <v>@atikyogi</v>
      </c>
      <c r="C5712" s="8" t="s">
        <v>13230</v>
      </c>
      <c r="D5712" s="8" t="s">
        <v>13172</v>
      </c>
      <c r="E5712" s="9" t="str">
        <f aca="false">HYPERLINK("https://twitter.com/atikyogi/status/922345183500419072","922345183500419072")</f>
        <v>922345183500419072</v>
      </c>
      <c r="F5712" s="10" t="s">
        <v>98</v>
      </c>
      <c r="G5712" s="10" t="n">
        <v>589</v>
      </c>
      <c r="H5712" s="10" t="n">
        <v>2513</v>
      </c>
      <c r="I5712" s="10" t="n">
        <v>26</v>
      </c>
      <c r="J5712" s="10" t="n">
        <v>0</v>
      </c>
      <c r="K5712" s="10" t="s">
        <v>20</v>
      </c>
      <c r="L5712" s="11" t="n">
        <v>39511.8077430556</v>
      </c>
      <c r="M5712" s="12" t="s">
        <v>8438</v>
      </c>
      <c r="N5712" s="12" t="s">
        <v>13231</v>
      </c>
      <c r="O5712" s="9" t="str">
        <f aca="false">HYPERLINK("https://pbs.twimg.com/profile_images/638031883/Photo_3_normal.jpg","View")</f>
        <v>View</v>
      </c>
      <c r="P5712" s="10"/>
    </row>
    <row r="5713" customFormat="false" ht="15.75" hidden="false" customHeight="false" outlineLevel="0" collapsed="false">
      <c r="A5713" s="6" t="n">
        <v>43030.9677777778</v>
      </c>
      <c r="B5713" s="7" t="str">
        <f aca="false">HYPERLINK("https://twitter.com/singh_nevin","@singh_nevin")</f>
        <v>@singh_nevin</v>
      </c>
      <c r="C5713" s="8" t="s">
        <v>13232</v>
      </c>
      <c r="D5713" s="8" t="s">
        <v>13229</v>
      </c>
      <c r="E5713" s="9" t="str">
        <f aca="false">HYPERLINK("https://twitter.com/singh_nevin/status/922345239595032576","922345239595032576")</f>
        <v>922345239595032576</v>
      </c>
      <c r="F5713" s="10" t="s">
        <v>25</v>
      </c>
      <c r="G5713" s="10" t="n">
        <v>224</v>
      </c>
      <c r="H5713" s="10" t="n">
        <v>273</v>
      </c>
      <c r="I5713" s="10" t="n">
        <v>18</v>
      </c>
      <c r="J5713" s="10" t="n">
        <v>0</v>
      </c>
      <c r="K5713" s="10" t="s">
        <v>20</v>
      </c>
      <c r="L5713" s="11" t="n">
        <v>43000.9063194444</v>
      </c>
      <c r="M5713" s="12" t="s">
        <v>12851</v>
      </c>
      <c r="N5713" s="12" t="s">
        <v>13233</v>
      </c>
      <c r="O5713" s="9" t="str">
        <f aca="false">HYPERLINK("https://pbs.twimg.com/profile_images/918032611917705216/4tRHMU37_normal.jpg","View")</f>
        <v>View</v>
      </c>
      <c r="P5713" s="10"/>
    </row>
    <row r="5714" customFormat="false" ht="15.75" hidden="false" customHeight="false" outlineLevel="0" collapsed="false">
      <c r="A5714" s="6" t="n">
        <v>43030.9678125</v>
      </c>
      <c r="B5714" s="7" t="str">
        <f aca="false">HYPERLINK("https://twitter.com/MelaniaDidIt","@MelaniaDidIt")</f>
        <v>@MelaniaDidIt</v>
      </c>
      <c r="C5714" s="8" t="s">
        <v>13234</v>
      </c>
      <c r="D5714" s="8" t="s">
        <v>13235</v>
      </c>
      <c r="E5714" s="9" t="str">
        <f aca="false">HYPERLINK("https://twitter.com/MelaniaDidIt/status/922345252911972352","922345252911972352")</f>
        <v>922345252911972352</v>
      </c>
      <c r="F5714" s="10" t="s">
        <v>51</v>
      </c>
      <c r="G5714" s="10" t="n">
        <v>257</v>
      </c>
      <c r="H5714" s="10" t="n">
        <v>566</v>
      </c>
      <c r="I5714" s="10" t="n">
        <v>1</v>
      </c>
      <c r="J5714" s="10" t="n">
        <v>0</v>
      </c>
      <c r="K5714" s="10" t="s">
        <v>20</v>
      </c>
      <c r="L5714" s="11" t="n">
        <v>42943.7389583333</v>
      </c>
      <c r="M5714" s="12" t="s">
        <v>13236</v>
      </c>
      <c r="N5714" s="12" t="s">
        <v>13237</v>
      </c>
      <c r="O5714" s="9" t="str">
        <f aca="false">HYPERLINK("https://pbs.twimg.com/profile_images/901300575492612096/cI8IZ_9v_normal.jpg","View")</f>
        <v>View</v>
      </c>
      <c r="P5714" s="10"/>
    </row>
    <row r="5715" customFormat="false" ht="15.75" hidden="false" customHeight="false" outlineLevel="0" collapsed="false">
      <c r="A5715" s="6" t="n">
        <v>43030.967962963</v>
      </c>
      <c r="B5715" s="7" t="str">
        <f aca="false">HYPERLINK("https://twitter.com/BigOnAnime","@BigOnAnime")</f>
        <v>@BigOnAnime</v>
      </c>
      <c r="C5715" s="8" t="s">
        <v>13238</v>
      </c>
      <c r="D5715" s="8" t="s">
        <v>12764</v>
      </c>
      <c r="E5715" s="9" t="str">
        <f aca="false">HYPERLINK("https://twitter.com/BigOnAnime/status/922345307664539648","922345307664539648")</f>
        <v>922345307664539648</v>
      </c>
      <c r="F5715" s="10" t="s">
        <v>39</v>
      </c>
      <c r="G5715" s="10" t="n">
        <v>2450</v>
      </c>
      <c r="H5715" s="10" t="n">
        <v>687</v>
      </c>
      <c r="I5715" s="10" t="n">
        <v>170</v>
      </c>
      <c r="J5715" s="10" t="n">
        <v>0</v>
      </c>
      <c r="K5715" s="10" t="s">
        <v>20</v>
      </c>
      <c r="L5715" s="11" t="n">
        <v>40963.8514583333</v>
      </c>
      <c r="M5715" s="12" t="s">
        <v>4553</v>
      </c>
      <c r="N5715" s="12" t="s">
        <v>13239</v>
      </c>
      <c r="O5715" s="9" t="str">
        <f aca="false">HYPERLINK("https://pbs.twimg.com/profile_images/916302494598336514/9zV31_Wv_normal.jpg","View")</f>
        <v>View</v>
      </c>
      <c r="P5715" s="10"/>
    </row>
    <row r="5716" customFormat="false" ht="15.75" hidden="false" customHeight="false" outlineLevel="0" collapsed="false">
      <c r="A5716" s="6" t="n">
        <v>43030.9680439815</v>
      </c>
      <c r="B5716" s="7" t="str">
        <f aca="false">HYPERLINK("https://twitter.com/muigaihk","@muigaihk")</f>
        <v>@muigaihk</v>
      </c>
      <c r="C5716" s="8" t="s">
        <v>13240</v>
      </c>
      <c r="D5716" s="8" t="s">
        <v>13229</v>
      </c>
      <c r="E5716" s="9" t="str">
        <f aca="false">HYPERLINK("https://twitter.com/muigaihk/status/922345337490198528","922345337490198528")</f>
        <v>922345337490198528</v>
      </c>
      <c r="F5716" s="10" t="s">
        <v>98</v>
      </c>
      <c r="G5716" s="10" t="n">
        <v>1157</v>
      </c>
      <c r="H5716" s="10" t="n">
        <v>2832</v>
      </c>
      <c r="I5716" s="10" t="n">
        <v>18</v>
      </c>
      <c r="J5716" s="10" t="n">
        <v>0</v>
      </c>
      <c r="K5716" s="10" t="s">
        <v>20</v>
      </c>
      <c r="L5716" s="11" t="n">
        <v>40213.3716435185</v>
      </c>
      <c r="M5716" s="12" t="s">
        <v>13241</v>
      </c>
      <c r="N5716" s="12" t="s">
        <v>13242</v>
      </c>
      <c r="O5716" s="9" t="str">
        <f aca="false">HYPERLINK("https://pbs.twimg.com/profile_images/914242802275434496/aeiXVI-F_normal.png","View")</f>
        <v>View</v>
      </c>
      <c r="P5716" s="10"/>
    </row>
    <row r="5717" customFormat="false" ht="15.75" hidden="false" customHeight="false" outlineLevel="0" collapsed="false">
      <c r="A5717" s="6" t="n">
        <v>43030.9682986111</v>
      </c>
      <c r="B5717" s="7" t="str">
        <f aca="false">HYPERLINK("https://twitter.com/jThiyagu","@jThiyagu")</f>
        <v>@jThiyagu</v>
      </c>
      <c r="C5717" s="8" t="s">
        <v>13243</v>
      </c>
      <c r="D5717" s="8" t="s">
        <v>8538</v>
      </c>
      <c r="E5717" s="9" t="str">
        <f aca="false">HYPERLINK("https://twitter.com/jThiyagu/status/922345431354322944","922345431354322944")</f>
        <v>922345431354322944</v>
      </c>
      <c r="F5717" s="10" t="s">
        <v>39</v>
      </c>
      <c r="G5717" s="10" t="n">
        <v>19</v>
      </c>
      <c r="H5717" s="10" t="n">
        <v>20</v>
      </c>
      <c r="I5717" s="10" t="n">
        <v>1015</v>
      </c>
      <c r="J5717" s="10" t="n">
        <v>0</v>
      </c>
      <c r="K5717" s="10" t="s">
        <v>20</v>
      </c>
      <c r="L5717" s="11" t="n">
        <v>39984.2880092593</v>
      </c>
      <c r="M5717" s="12" t="s">
        <v>5883</v>
      </c>
      <c r="N5717" s="12" t="s">
        <v>13244</v>
      </c>
      <c r="O5717" s="9" t="str">
        <f aca="false">HYPERLINK("https://pbs.twimg.com/profile_images/870676743140417539/AlYVwnRy_normal.jpg","View")</f>
        <v>View</v>
      </c>
      <c r="P5717" s="10"/>
    </row>
    <row r="5718" customFormat="false" ht="15.75" hidden="false" customHeight="false" outlineLevel="0" collapsed="false">
      <c r="A5718" s="6" t="n">
        <v>43030.9684027778</v>
      </c>
      <c r="B5718" s="7" t="str">
        <f aca="false">HYPERLINK("https://twitter.com/newslivenetwork","@newslivenetwork")</f>
        <v>@newslivenetwork</v>
      </c>
      <c r="C5718" s="8" t="s">
        <v>1668</v>
      </c>
      <c r="D5718" s="8" t="s">
        <v>13245</v>
      </c>
      <c r="E5718" s="9" t="str">
        <f aca="false">HYPERLINK("https://twitter.com/newslivenetwork/status/922345466418868224","922345466418868224")</f>
        <v>922345466418868224</v>
      </c>
      <c r="F5718" s="10" t="s">
        <v>55</v>
      </c>
      <c r="G5718" s="10" t="n">
        <v>272</v>
      </c>
      <c r="H5718" s="10" t="n">
        <v>87</v>
      </c>
      <c r="I5718" s="10" t="n">
        <v>0</v>
      </c>
      <c r="J5718" s="10" t="n">
        <v>0</v>
      </c>
      <c r="K5718" s="10" t="s">
        <v>20</v>
      </c>
      <c r="L5718" s="11" t="n">
        <v>42741.4719675926</v>
      </c>
      <c r="M5718" s="12" t="s">
        <v>1670</v>
      </c>
      <c r="N5718" s="12" t="s">
        <v>1671</v>
      </c>
      <c r="O5718" s="9" t="str">
        <f aca="false">HYPERLINK("https://pbs.twimg.com/profile_images/877414144424660992/scfhocj3_normal.jpg","View")</f>
        <v>View</v>
      </c>
      <c r="P5718" s="10"/>
    </row>
    <row r="5719" customFormat="false" ht="15.75" hidden="false" customHeight="false" outlineLevel="0" collapsed="false">
      <c r="A5719" s="6" t="n">
        <v>43030.9684143519</v>
      </c>
      <c r="B5719" s="7" t="str">
        <f aca="false">HYPERLINK("https://twitter.com/F3nws","@F3nws")</f>
        <v>@F3nws</v>
      </c>
      <c r="C5719" s="8" t="s">
        <v>13246</v>
      </c>
      <c r="D5719" s="8" t="s">
        <v>13247</v>
      </c>
      <c r="E5719" s="9" t="str">
        <f aca="false">HYPERLINK("https://twitter.com/F3nws/status/922345473528221696","922345473528221696")</f>
        <v>922345473528221696</v>
      </c>
      <c r="F5719" s="10" t="s">
        <v>60</v>
      </c>
      <c r="G5719" s="10" t="n">
        <v>1711</v>
      </c>
      <c r="H5719" s="10" t="n">
        <v>649</v>
      </c>
      <c r="I5719" s="10" t="n">
        <v>0</v>
      </c>
      <c r="J5719" s="10" t="n">
        <v>0</v>
      </c>
      <c r="K5719" s="10" t="s">
        <v>20</v>
      </c>
      <c r="L5719" s="11" t="n">
        <v>42615.4115509259</v>
      </c>
      <c r="M5719" s="12" t="s">
        <v>1670</v>
      </c>
      <c r="N5719" s="12" t="s">
        <v>13248</v>
      </c>
      <c r="O5719" s="9" t="str">
        <f aca="false">HYPERLINK("https://pbs.twimg.com/profile_images/771753003846107140/oXYmQOwV_normal.jpg","View")</f>
        <v>View</v>
      </c>
      <c r="P5719" s="10"/>
    </row>
    <row r="5720" customFormat="false" ht="15.75" hidden="false" customHeight="false" outlineLevel="0" collapsed="false">
      <c r="A5720" s="6" t="n">
        <v>43030.9684259259</v>
      </c>
      <c r="B5720" s="7" t="str">
        <f aca="false">HYPERLINK("https://twitter.com/F3nws","@F3nws")</f>
        <v>@F3nws</v>
      </c>
      <c r="C5720" s="8" t="s">
        <v>13246</v>
      </c>
      <c r="D5720" s="8" t="s">
        <v>13249</v>
      </c>
      <c r="E5720" s="9" t="str">
        <f aca="false">HYPERLINK("https://twitter.com/F3nws/status/922345476803919872","922345476803919872")</f>
        <v>922345476803919872</v>
      </c>
      <c r="F5720" s="10" t="s">
        <v>60</v>
      </c>
      <c r="G5720" s="10" t="n">
        <v>1711</v>
      </c>
      <c r="H5720" s="10" t="n">
        <v>649</v>
      </c>
      <c r="I5720" s="10" t="n">
        <v>1</v>
      </c>
      <c r="J5720" s="10" t="n">
        <v>0</v>
      </c>
      <c r="K5720" s="10" t="s">
        <v>20</v>
      </c>
      <c r="L5720" s="11" t="n">
        <v>42615.4115509259</v>
      </c>
      <c r="M5720" s="12" t="s">
        <v>1670</v>
      </c>
      <c r="N5720" s="12" t="s">
        <v>13248</v>
      </c>
      <c r="O5720" s="9" t="str">
        <f aca="false">HYPERLINK("https://pbs.twimg.com/profile_images/771753003846107140/oXYmQOwV_normal.jpg","View")</f>
        <v>View</v>
      </c>
      <c r="P5720" s="10"/>
    </row>
    <row r="5721" customFormat="false" ht="15.75" hidden="false" customHeight="false" outlineLevel="0" collapsed="false">
      <c r="A5721" s="6" t="n">
        <v>43030.9685416667</v>
      </c>
      <c r="B5721" s="7" t="str">
        <f aca="false">HYPERLINK("https://twitter.com/business","@business")</f>
        <v>@business</v>
      </c>
      <c r="C5721" s="8" t="s">
        <v>196</v>
      </c>
      <c r="D5721" s="8" t="s">
        <v>13250</v>
      </c>
      <c r="E5721" s="9" t="str">
        <f aca="false">HYPERLINK("https://twitter.com/business/status/922345519070040064","922345519070040064")</f>
        <v>922345519070040064</v>
      </c>
      <c r="F5721" s="10" t="s">
        <v>268</v>
      </c>
      <c r="G5721" s="10" t="n">
        <v>4344212</v>
      </c>
      <c r="H5721" s="10" t="n">
        <v>1088</v>
      </c>
      <c r="I5721" s="10" t="n">
        <v>22</v>
      </c>
      <c r="J5721" s="10" t="n">
        <v>23</v>
      </c>
      <c r="K5721" s="10" t="s">
        <v>20</v>
      </c>
      <c r="L5721" s="11" t="n">
        <v>39926.5453356481</v>
      </c>
      <c r="M5721" s="12" t="s">
        <v>199</v>
      </c>
      <c r="N5721" s="12" t="s">
        <v>200</v>
      </c>
      <c r="O5721" s="9" t="str">
        <f aca="false">HYPERLINK("https://pbs.twimg.com/profile_images/714946924105883648/4fgNVF4H_normal.jpg","View")</f>
        <v>View</v>
      </c>
      <c r="P5721" s="10"/>
    </row>
    <row r="5722" customFormat="false" ht="15.75" hidden="false" customHeight="false" outlineLevel="0" collapsed="false">
      <c r="A5722" s="6" t="n">
        <v>43030.9685648148</v>
      </c>
      <c r="B5722" s="7" t="str">
        <f aca="false">HYPERLINK("https://twitter.com/NarrendraM","@NarrendraM")</f>
        <v>@NarrendraM</v>
      </c>
      <c r="C5722" s="8" t="s">
        <v>468</v>
      </c>
      <c r="D5722" s="8" t="s">
        <v>13251</v>
      </c>
      <c r="E5722" s="9" t="str">
        <f aca="false">HYPERLINK("https://twitter.com/NarrendraM/status/922345526611316736","922345526611316736")</f>
        <v>922345526611316736</v>
      </c>
      <c r="F5722" s="10" t="s">
        <v>60</v>
      </c>
      <c r="G5722" s="10" t="n">
        <v>1999</v>
      </c>
      <c r="H5722" s="10" t="n">
        <v>252</v>
      </c>
      <c r="I5722" s="10" t="n">
        <v>0</v>
      </c>
      <c r="J5722" s="10" t="n">
        <v>0</v>
      </c>
      <c r="K5722" s="10" t="s">
        <v>20</v>
      </c>
      <c r="L5722" s="11" t="n">
        <v>42471.0737037037</v>
      </c>
      <c r="M5722" s="12" t="s">
        <v>253</v>
      </c>
      <c r="N5722" s="12" t="s">
        <v>470</v>
      </c>
      <c r="O5722" s="9" t="str">
        <f aca="false">HYPERLINK("https://pbs.twimg.com/profile_images/743939643738034176/WkGloI0u_normal.jpg","View")</f>
        <v>View</v>
      </c>
      <c r="P5722" s="10"/>
    </row>
    <row r="5723" customFormat="false" ht="15.75" hidden="false" customHeight="false" outlineLevel="0" collapsed="false">
      <c r="A5723" s="6" t="n">
        <v>43030.9686111111</v>
      </c>
      <c r="B5723" s="7" t="str">
        <f aca="false">HYPERLINK("https://twitter.com/SaitoYoSpiral","@SaitoYoSpiral")</f>
        <v>@SaitoYoSpiral</v>
      </c>
      <c r="C5723" s="14" t="s">
        <v>11224</v>
      </c>
      <c r="D5723" s="8" t="s">
        <v>13033</v>
      </c>
      <c r="E5723" s="9" t="str">
        <f aca="false">HYPERLINK("https://twitter.com/SaitoYoSpiral/status/922345545217089538","922345545217089538")</f>
        <v>922345545217089538</v>
      </c>
      <c r="F5723" s="10" t="s">
        <v>276</v>
      </c>
      <c r="G5723" s="10" t="n">
        <v>166</v>
      </c>
      <c r="H5723" s="10" t="n">
        <v>99</v>
      </c>
      <c r="I5723" s="10" t="n">
        <v>7</v>
      </c>
      <c r="J5723" s="10" t="n">
        <v>0</v>
      </c>
      <c r="K5723" s="10" t="s">
        <v>20</v>
      </c>
      <c r="L5723" s="11" t="n">
        <v>40783.0277430556</v>
      </c>
      <c r="M5723" s="12"/>
      <c r="N5723" s="12" t="s">
        <v>11225</v>
      </c>
      <c r="O5723" s="9" t="str">
        <f aca="false">HYPERLINK("https://pbs.twimg.com/profile_images/839299637487927296/JqGwh6ol_normal.jpg","View")</f>
        <v>View</v>
      </c>
      <c r="P5723" s="10"/>
    </row>
    <row r="5724" customFormat="false" ht="15.75" hidden="false" customHeight="false" outlineLevel="0" collapsed="false">
      <c r="A5724" s="6" t="n">
        <v>43030.9686921296</v>
      </c>
      <c r="B5724" s="7" t="str">
        <f aca="false">HYPERLINK("https://twitter.com/GloriatibiTri","@GloriatibiTri")</f>
        <v>@GloriatibiTri</v>
      </c>
      <c r="C5724" s="14" t="s">
        <v>6245</v>
      </c>
      <c r="D5724" s="8" t="s">
        <v>13172</v>
      </c>
      <c r="E5724" s="9" t="str">
        <f aca="false">HYPERLINK("https://twitter.com/GloriatibiTri/status/922345574518501376","922345574518501376")</f>
        <v>922345574518501376</v>
      </c>
      <c r="F5724" s="10" t="s">
        <v>51</v>
      </c>
      <c r="G5724" s="10" t="n">
        <v>1641</v>
      </c>
      <c r="H5724" s="10" t="n">
        <v>2197</v>
      </c>
      <c r="I5724" s="10" t="n">
        <v>26</v>
      </c>
      <c r="J5724" s="10" t="n">
        <v>0</v>
      </c>
      <c r="K5724" s="10" t="s">
        <v>20</v>
      </c>
      <c r="L5724" s="11" t="n">
        <v>40745.028587963</v>
      </c>
      <c r="M5724" s="12" t="s">
        <v>6246</v>
      </c>
      <c r="N5724" s="13" t="s">
        <v>6247</v>
      </c>
      <c r="O5724" s="9" t="str">
        <f aca="false">HYPERLINK("https://pbs.twimg.com/profile_images/906910757622706177/z8Ecdhuf_normal.jpg","View")</f>
        <v>View</v>
      </c>
      <c r="P5724" s="10"/>
    </row>
    <row r="5725" customFormat="false" ht="15.75" hidden="false" customHeight="false" outlineLevel="0" collapsed="false">
      <c r="A5725" s="6" t="n">
        <v>43030.9687037037</v>
      </c>
      <c r="B5725" s="7" t="str">
        <f aca="false">HYPERLINK("https://twitter.com/ALarigaudrieBFM","@ALarigaudrieBFM")</f>
        <v>@ALarigaudrieBFM</v>
      </c>
      <c r="C5725" s="8" t="s">
        <v>13252</v>
      </c>
      <c r="D5725" s="8" t="s">
        <v>13253</v>
      </c>
      <c r="E5725" s="9" t="str">
        <f aca="false">HYPERLINK("https://twitter.com/ALarigaudrieBFM/status/922345576552914944","922345576552914944")</f>
        <v>922345576552914944</v>
      </c>
      <c r="F5725" s="10" t="s">
        <v>39</v>
      </c>
      <c r="G5725" s="10" t="n">
        <v>17852</v>
      </c>
      <c r="H5725" s="10" t="n">
        <v>2402</v>
      </c>
      <c r="I5725" s="10" t="n">
        <v>22</v>
      </c>
      <c r="J5725" s="10" t="n">
        <v>0</v>
      </c>
      <c r="K5725" s="10" t="s">
        <v>20</v>
      </c>
      <c r="L5725" s="11" t="n">
        <v>40802.025162037</v>
      </c>
      <c r="M5725" s="12" t="s">
        <v>13254</v>
      </c>
      <c r="N5725" s="12" t="s">
        <v>13255</v>
      </c>
      <c r="O5725" s="9" t="str">
        <f aca="false">HYPERLINK("https://pbs.twimg.com/profile_images/658221805996478464/6a_OMpXe_normal.jpg","View")</f>
        <v>View</v>
      </c>
      <c r="P5725" s="10"/>
    </row>
    <row r="5726" customFormat="false" ht="15.75" hidden="false" customHeight="false" outlineLevel="0" collapsed="false">
      <c r="A5726" s="6" t="n">
        <v>43030.9687037037</v>
      </c>
      <c r="B5726" s="7" t="str">
        <f aca="false">HYPERLINK("https://twitter.com/ndtv","@ndtv")</f>
        <v>@ndtv</v>
      </c>
      <c r="C5726" s="8" t="s">
        <v>13256</v>
      </c>
      <c r="D5726" s="8" t="s">
        <v>13257</v>
      </c>
      <c r="E5726" s="9" t="str">
        <f aca="false">HYPERLINK("https://twitter.com/ndtv/status/922345577534197760","922345577534197760")</f>
        <v>922345577534197760</v>
      </c>
      <c r="F5726" s="10" t="s">
        <v>39</v>
      </c>
      <c r="G5726" s="10" t="n">
        <v>10241648</v>
      </c>
      <c r="H5726" s="10" t="n">
        <v>20</v>
      </c>
      <c r="I5726" s="10" t="n">
        <v>5</v>
      </c>
      <c r="J5726" s="10" t="n">
        <v>62</v>
      </c>
      <c r="K5726" s="10" t="s">
        <v>20</v>
      </c>
      <c r="L5726" s="11" t="n">
        <v>39934.5658333333</v>
      </c>
      <c r="M5726" s="12" t="s">
        <v>72</v>
      </c>
      <c r="N5726" s="12" t="s">
        <v>13258</v>
      </c>
      <c r="O5726" s="9" t="str">
        <f aca="false">HYPERLINK("https://pbs.twimg.com/profile_images/570440108424171520/QuGYd7jH_normal.png","View")</f>
        <v>View</v>
      </c>
      <c r="P5726" s="10"/>
    </row>
    <row r="5727" customFormat="false" ht="15.75" hidden="false" customHeight="false" outlineLevel="0" collapsed="false">
      <c r="A5727" s="6" t="n">
        <v>43030.9688078704</v>
      </c>
      <c r="B5727" s="7" t="str">
        <f aca="false">HYPERLINK("https://twitter.com/vrai777","@vrai777")</f>
        <v>@vrai777</v>
      </c>
      <c r="C5727" s="8" t="s">
        <v>335</v>
      </c>
      <c r="D5727" s="8" t="s">
        <v>13259</v>
      </c>
      <c r="E5727" s="9" t="str">
        <f aca="false">HYPERLINK("https://twitter.com/vrai777/status/922345614322601984","922345614322601984")</f>
        <v>922345614322601984</v>
      </c>
      <c r="F5727" s="10" t="s">
        <v>60</v>
      </c>
      <c r="G5727" s="10" t="n">
        <v>7959</v>
      </c>
      <c r="H5727" s="10" t="n">
        <v>71</v>
      </c>
      <c r="I5727" s="10" t="n">
        <v>0</v>
      </c>
      <c r="J5727" s="10" t="n">
        <v>0</v>
      </c>
      <c r="K5727" s="10" t="s">
        <v>20</v>
      </c>
      <c r="L5727" s="11" t="n">
        <v>39878.7593287037</v>
      </c>
      <c r="M5727" s="12" t="s">
        <v>295</v>
      </c>
      <c r="N5727" s="12" t="s">
        <v>337</v>
      </c>
      <c r="O5727" s="9" t="str">
        <f aca="false">HYPERLINK("https://pbs.twimg.com/profile_images/688775800284266496/qhWTo08H_normal.png","View")</f>
        <v>View</v>
      </c>
      <c r="P5727" s="10"/>
    </row>
    <row r="5728" customFormat="false" ht="15.75" hidden="false" customHeight="false" outlineLevel="0" collapsed="false">
      <c r="A5728" s="6" t="n">
        <v>43030.9688194444</v>
      </c>
      <c r="B5728" s="7" t="str">
        <f aca="false">HYPERLINK("https://twitter.com/RealSimpleNews","@RealSimpleNews")</f>
        <v>@RealSimpleNews</v>
      </c>
      <c r="C5728" s="8" t="s">
        <v>13260</v>
      </c>
      <c r="D5728" s="8" t="s">
        <v>13261</v>
      </c>
      <c r="E5728" s="9" t="str">
        <f aca="false">HYPERLINK("https://twitter.com/RealSimpleNews/status/922345617912926208","922345617912926208")</f>
        <v>922345617912926208</v>
      </c>
      <c r="F5728" s="10" t="s">
        <v>13262</v>
      </c>
      <c r="G5728" s="10" t="n">
        <v>800</v>
      </c>
      <c r="H5728" s="10" t="n">
        <v>638</v>
      </c>
      <c r="I5728" s="10" t="n">
        <v>0</v>
      </c>
      <c r="J5728" s="10" t="n">
        <v>0</v>
      </c>
      <c r="K5728" s="10" t="s">
        <v>20</v>
      </c>
      <c r="L5728" s="11" t="n">
        <v>42645.6427893519</v>
      </c>
      <c r="M5728" s="12"/>
      <c r="N5728" s="12" t="s">
        <v>13263</v>
      </c>
      <c r="O5728" s="9" t="str">
        <f aca="false">HYPERLINK("https://pbs.twimg.com/profile_images/901313638287495171/UJKdTAc1_normal.jpg","View")</f>
        <v>View</v>
      </c>
      <c r="P5728" s="10"/>
    </row>
    <row r="5729" customFormat="false" ht="15.75" hidden="false" customHeight="false" outlineLevel="0" collapsed="false">
      <c r="A5729" s="6" t="n">
        <v>43030.968900463</v>
      </c>
      <c r="B5729" s="7" t="str">
        <f aca="false">HYPERLINK("https://twitter.com/revolution_fr","@revolution_fr")</f>
        <v>@revolution_fr</v>
      </c>
      <c r="C5729" s="8" t="s">
        <v>1579</v>
      </c>
      <c r="D5729" s="8" t="s">
        <v>13172</v>
      </c>
      <c r="E5729" s="9" t="str">
        <f aca="false">HYPERLINK("https://twitter.com/revolution_fr/status/922345648892112897","922345648892112897")</f>
        <v>922345648892112897</v>
      </c>
      <c r="F5729" s="10" t="s">
        <v>98</v>
      </c>
      <c r="G5729" s="10" t="n">
        <v>2663</v>
      </c>
      <c r="H5729" s="10" t="n">
        <v>3625</v>
      </c>
      <c r="I5729" s="10" t="n">
        <v>26</v>
      </c>
      <c r="J5729" s="10" t="n">
        <v>0</v>
      </c>
      <c r="K5729" s="10" t="s">
        <v>20</v>
      </c>
      <c r="L5729" s="11" t="n">
        <v>42400.3124305556</v>
      </c>
      <c r="M5729" s="12" t="s">
        <v>1580</v>
      </c>
      <c r="N5729" s="12" t="s">
        <v>1581</v>
      </c>
      <c r="O5729" s="9" t="str">
        <f aca="false">HYPERLINK("https://pbs.twimg.com/profile_images/912005330749575173/gmtBFZtv_normal.jpg","View")</f>
        <v>View</v>
      </c>
      <c r="P5729" s="10"/>
    </row>
    <row r="5730" customFormat="false" ht="15.75" hidden="false" customHeight="false" outlineLevel="0" collapsed="false">
      <c r="A5730" s="6" t="n">
        <v>43030.968900463</v>
      </c>
      <c r="B5730" s="7" t="str">
        <f aca="false">HYPERLINK("https://twitter.com/erika_erika25","@erika_erika25")</f>
        <v>@erika_erika25</v>
      </c>
      <c r="C5730" s="8" t="s">
        <v>13264</v>
      </c>
      <c r="D5730" s="8" t="s">
        <v>13253</v>
      </c>
      <c r="E5730" s="9" t="str">
        <f aca="false">HYPERLINK("https://twitter.com/erika_erika25/status/922345649562992640","922345649562992640")</f>
        <v>922345649562992640</v>
      </c>
      <c r="F5730" s="10" t="s">
        <v>51</v>
      </c>
      <c r="G5730" s="10" t="n">
        <v>225</v>
      </c>
      <c r="H5730" s="10" t="n">
        <v>357</v>
      </c>
      <c r="I5730" s="10" t="n">
        <v>22</v>
      </c>
      <c r="J5730" s="10" t="n">
        <v>0</v>
      </c>
      <c r="K5730" s="10" t="s">
        <v>20</v>
      </c>
      <c r="L5730" s="11" t="n">
        <v>41089.7592708333</v>
      </c>
      <c r="M5730" s="12" t="s">
        <v>13265</v>
      </c>
      <c r="N5730" s="12" t="s">
        <v>13266</v>
      </c>
      <c r="O5730" s="9" t="str">
        <f aca="false">HYPERLINK("https://pbs.twimg.com/profile_images/676209567441666048/RsIkw9js_normal.jpg","View")</f>
        <v>View</v>
      </c>
      <c r="P5730" s="10"/>
    </row>
    <row r="5731" customFormat="false" ht="15.75" hidden="false" customHeight="false" outlineLevel="0" collapsed="false">
      <c r="A5731" s="6" t="n">
        <v>43030.9689351852</v>
      </c>
      <c r="B5731" s="7" t="str">
        <f aca="false">HYPERLINK("https://twitter.com/BaileySam","@BaileySam")</f>
        <v>@BaileySam</v>
      </c>
      <c r="C5731" s="8" t="s">
        <v>13267</v>
      </c>
      <c r="D5731" s="8" t="s">
        <v>13172</v>
      </c>
      <c r="E5731" s="9" t="str">
        <f aca="false">HYPERLINK("https://twitter.com/BaileySam/status/922345661340594176","922345661340594176")</f>
        <v>922345661340594176</v>
      </c>
      <c r="F5731" s="10" t="s">
        <v>39</v>
      </c>
      <c r="G5731" s="10" t="n">
        <v>1855</v>
      </c>
      <c r="H5731" s="10" t="n">
        <v>3016</v>
      </c>
      <c r="I5731" s="10" t="n">
        <v>26</v>
      </c>
      <c r="J5731" s="10" t="n">
        <v>0</v>
      </c>
      <c r="K5731" s="10" t="s">
        <v>20</v>
      </c>
      <c r="L5731" s="11" t="n">
        <v>39711.7004398148</v>
      </c>
      <c r="M5731" s="12" t="s">
        <v>295</v>
      </c>
      <c r="N5731" s="12" t="s">
        <v>13268</v>
      </c>
      <c r="O5731" s="9" t="str">
        <f aca="false">HYPERLINK("https://pbs.twimg.com/profile_images/902986793926107137/RjayaYdL_normal.jpg","View")</f>
        <v>View</v>
      </c>
      <c r="P5731" s="10"/>
    </row>
    <row r="5732" customFormat="false" ht="15.75" hidden="false" customHeight="false" outlineLevel="0" collapsed="false">
      <c r="A5732" s="6" t="n">
        <v>43030.9690162037</v>
      </c>
      <c r="B5732" s="7" t="str">
        <f aca="false">HYPERLINK("https://twitter.com/ArchieWSimpson2","@ArchieWSimpson2")</f>
        <v>@ArchieWSimpson2</v>
      </c>
      <c r="C5732" s="8" t="s">
        <v>13269</v>
      </c>
      <c r="D5732" s="8" t="s">
        <v>13229</v>
      </c>
      <c r="E5732" s="9" t="str">
        <f aca="false">HYPERLINK("https://twitter.com/ArchieWSimpson2/status/922345689279016960","922345689279016960")</f>
        <v>922345689279016960</v>
      </c>
      <c r="F5732" s="10" t="s">
        <v>1024</v>
      </c>
      <c r="G5732" s="10" t="n">
        <v>61</v>
      </c>
      <c r="H5732" s="10" t="n">
        <v>256</v>
      </c>
      <c r="I5732" s="10" t="n">
        <v>18</v>
      </c>
      <c r="J5732" s="10" t="n">
        <v>0</v>
      </c>
      <c r="K5732" s="10" t="s">
        <v>20</v>
      </c>
      <c r="L5732" s="11" t="n">
        <v>43011.3786805556</v>
      </c>
      <c r="M5732" s="12" t="s">
        <v>13270</v>
      </c>
      <c r="N5732" s="12" t="s">
        <v>13271</v>
      </c>
      <c r="O5732" s="9" t="str">
        <f aca="false">HYPERLINK("https://pbs.twimg.com/profile_images/915609187912159232/tb035fmR_normal.jpg","View")</f>
        <v>View</v>
      </c>
      <c r="P5732" s="10"/>
    </row>
    <row r="5733" customFormat="false" ht="15.75" hidden="false" customHeight="false" outlineLevel="0" collapsed="false">
      <c r="A5733" s="6" t="n">
        <v>43030.9690856481</v>
      </c>
      <c r="B5733" s="7" t="str">
        <f aca="false">HYPERLINK("https://twitter.com/SihabBD","@SihabBD")</f>
        <v>@SihabBD</v>
      </c>
      <c r="C5733" s="8" t="s">
        <v>10410</v>
      </c>
      <c r="D5733" s="8" t="s">
        <v>13272</v>
      </c>
      <c r="E5733" s="9" t="str">
        <f aca="false">HYPERLINK("https://twitter.com/SihabBD/status/922345713429819392","922345713429819392")</f>
        <v>922345713429819392</v>
      </c>
      <c r="F5733" s="10" t="s">
        <v>10411</v>
      </c>
      <c r="G5733" s="10" t="n">
        <v>1118</v>
      </c>
      <c r="H5733" s="10" t="n">
        <v>156</v>
      </c>
      <c r="I5733" s="10" t="n">
        <v>1</v>
      </c>
      <c r="J5733" s="10" t="n">
        <v>0</v>
      </c>
      <c r="K5733" s="10" t="s">
        <v>20</v>
      </c>
      <c r="L5733" s="11" t="n">
        <v>40275.0475925926</v>
      </c>
      <c r="M5733" s="12" t="s">
        <v>2875</v>
      </c>
      <c r="N5733" s="12" t="s">
        <v>10412</v>
      </c>
      <c r="O5733" s="9" t="str">
        <f aca="false">HYPERLINK("https://pbs.twimg.com/profile_images/866317468200968192/E_fsti2Q_normal.jpg","View")</f>
        <v>View</v>
      </c>
      <c r="P5733" s="10"/>
    </row>
    <row r="5734" customFormat="false" ht="15.75" hidden="false" customHeight="false" outlineLevel="0" collapsed="false">
      <c r="A5734" s="6" t="n">
        <v>43030.9691203704</v>
      </c>
      <c r="B5734" s="7" t="str">
        <f aca="false">HYPERLINK("https://twitter.com/RAMACHANDRANKUN","@RAMACHANDRANKUN")</f>
        <v>@RAMACHANDRANKUN</v>
      </c>
      <c r="C5734" s="8" t="s">
        <v>13273</v>
      </c>
      <c r="D5734" s="8" t="s">
        <v>8538</v>
      </c>
      <c r="E5734" s="9" t="str">
        <f aca="false">HYPERLINK("https://twitter.com/RAMACHANDRANKUN/status/922345728487276544","922345728487276544")</f>
        <v>922345728487276544</v>
      </c>
      <c r="F5734" s="10" t="s">
        <v>25</v>
      </c>
      <c r="G5734" s="10" t="n">
        <v>102</v>
      </c>
      <c r="H5734" s="10" t="n">
        <v>429</v>
      </c>
      <c r="I5734" s="10" t="n">
        <v>1015</v>
      </c>
      <c r="J5734" s="10" t="n">
        <v>0</v>
      </c>
      <c r="K5734" s="10" t="s">
        <v>20</v>
      </c>
      <c r="L5734" s="11" t="n">
        <v>40815.3734490741</v>
      </c>
      <c r="M5734" s="12" t="s">
        <v>5883</v>
      </c>
      <c r="N5734" s="12" t="s">
        <v>13274</v>
      </c>
      <c r="O5734" s="9" t="str">
        <f aca="false">HYPERLINK("https://pbs.twimg.com/profile_images/888784634439360512/qzQukLk-_normal.jpg","View")</f>
        <v>View</v>
      </c>
      <c r="P5734" s="10"/>
    </row>
    <row r="5735" customFormat="false" ht="15.75" hidden="false" customHeight="false" outlineLevel="0" collapsed="false">
      <c r="A5735" s="6" t="n">
        <v>43030.969224537</v>
      </c>
      <c r="B5735" s="7" t="str">
        <f aca="false">HYPERLINK("https://twitter.com/TenerifeTommy","@TenerifeTommy")</f>
        <v>@TenerifeTommy</v>
      </c>
      <c r="C5735" s="8" t="s">
        <v>3372</v>
      </c>
      <c r="D5735" s="8" t="s">
        <v>13275</v>
      </c>
      <c r="E5735" s="9" t="str">
        <f aca="false">HYPERLINK("https://twitter.com/TenerifeTommy/status/922345767167250433","922345767167250433")</f>
        <v>922345767167250433</v>
      </c>
      <c r="F5735" s="10" t="s">
        <v>60</v>
      </c>
      <c r="G5735" s="10" t="n">
        <v>298</v>
      </c>
      <c r="H5735" s="10" t="n">
        <v>530</v>
      </c>
      <c r="I5735" s="10" t="n">
        <v>0</v>
      </c>
      <c r="J5735" s="10" t="n">
        <v>0</v>
      </c>
      <c r="K5735" s="10" t="s">
        <v>20</v>
      </c>
      <c r="L5735" s="11" t="n">
        <v>41261.2547337963</v>
      </c>
      <c r="M5735" s="12" t="s">
        <v>3374</v>
      </c>
      <c r="N5735" s="12" t="s">
        <v>3375</v>
      </c>
      <c r="O5735" s="9" t="str">
        <f aca="false">HYPERLINK("https://pbs.twimg.com/profile_images/818036678598295552/QBJUV4OP_normal.jpg","View")</f>
        <v>View</v>
      </c>
      <c r="P5735" s="10"/>
    </row>
    <row r="5736" customFormat="false" ht="15.75" hidden="false" customHeight="false" outlineLevel="0" collapsed="false">
      <c r="A5736" s="6" t="n">
        <v>43030.9693287037</v>
      </c>
      <c r="B5736" s="7" t="str">
        <f aca="false">HYPERLINK("https://twitter.com/priyaakulkarni2","@priyaakulkarni2")</f>
        <v>@priyaakulkarni2</v>
      </c>
      <c r="C5736" s="8" t="s">
        <v>13276</v>
      </c>
      <c r="D5736" s="8" t="s">
        <v>13277</v>
      </c>
      <c r="E5736" s="9" t="str">
        <f aca="false">HYPERLINK("https://twitter.com/priyaakulkarni2/status/922345802072080385","922345802072080385")</f>
        <v>922345802072080385</v>
      </c>
      <c r="F5736" s="10" t="s">
        <v>39</v>
      </c>
      <c r="G5736" s="10" t="n">
        <v>11858</v>
      </c>
      <c r="H5736" s="10" t="n">
        <v>460</v>
      </c>
      <c r="I5736" s="10" t="n">
        <v>5</v>
      </c>
      <c r="J5736" s="10" t="n">
        <v>11</v>
      </c>
      <c r="K5736" s="10" t="s">
        <v>20</v>
      </c>
      <c r="L5736" s="11" t="n">
        <v>42620.8607986111</v>
      </c>
      <c r="M5736" s="12" t="s">
        <v>52</v>
      </c>
      <c r="N5736" s="12" t="s">
        <v>13278</v>
      </c>
      <c r="O5736" s="9" t="str">
        <f aca="false">HYPERLINK("https://pbs.twimg.com/profile_images/800245762651099136/YjcNavg__normal.jpg","View")</f>
        <v>View</v>
      </c>
      <c r="P5736" s="10"/>
    </row>
    <row r="5737" customFormat="false" ht="15.75" hidden="false" customHeight="false" outlineLevel="0" collapsed="false">
      <c r="A5737" s="6" t="n">
        <v>43030.9693287037</v>
      </c>
      <c r="B5737" s="7" t="str">
        <f aca="false">HYPERLINK("https://twitter.com/cyto48","@cyto48")</f>
        <v>@cyto48</v>
      </c>
      <c r="C5737" s="8" t="s">
        <v>12556</v>
      </c>
      <c r="D5737" s="8" t="s">
        <v>11033</v>
      </c>
      <c r="E5737" s="9" t="str">
        <f aca="false">HYPERLINK("https://twitter.com/cyto48/status/922345803292790784","922345803292790784")</f>
        <v>922345803292790784</v>
      </c>
      <c r="F5737" s="10" t="s">
        <v>12556</v>
      </c>
      <c r="G5737" s="10" t="n">
        <v>456</v>
      </c>
      <c r="H5737" s="10" t="n">
        <v>3143</v>
      </c>
      <c r="I5737" s="10" t="n">
        <v>60</v>
      </c>
      <c r="J5737" s="10" t="n">
        <v>0</v>
      </c>
      <c r="K5737" s="10" t="s">
        <v>20</v>
      </c>
      <c r="L5737" s="11" t="n">
        <v>41621.6261921296</v>
      </c>
      <c r="M5737" s="12"/>
      <c r="N5737" s="12"/>
      <c r="O5737" s="9" t="str">
        <f aca="false">HYPERLINK("https://pbs.twimg.com/profile_images/914435541906722817/EvmsHZz3_normal.jpg","View")</f>
        <v>View</v>
      </c>
      <c r="P5737" s="10"/>
    </row>
    <row r="5738" customFormat="false" ht="15.75" hidden="false" customHeight="false" outlineLevel="0" collapsed="false">
      <c r="A5738" s="6" t="n">
        <v>43030.9694097222</v>
      </c>
      <c r="B5738" s="7" t="str">
        <f aca="false">HYPERLINK("https://twitter.com/Thilsana","@Thilsana")</f>
        <v>@Thilsana</v>
      </c>
      <c r="C5738" s="8" t="s">
        <v>13279</v>
      </c>
      <c r="D5738" s="8" t="s">
        <v>12764</v>
      </c>
      <c r="E5738" s="9" t="str">
        <f aca="false">HYPERLINK("https://twitter.com/Thilsana/status/922345833881890816","922345833881890816")</f>
        <v>922345833881890816</v>
      </c>
      <c r="F5738" s="10" t="s">
        <v>25</v>
      </c>
      <c r="G5738" s="10" t="n">
        <v>1405</v>
      </c>
      <c r="H5738" s="10" t="n">
        <v>998</v>
      </c>
      <c r="I5738" s="10" t="n">
        <v>170</v>
      </c>
      <c r="J5738" s="10" t="n">
        <v>0</v>
      </c>
      <c r="K5738" s="10" t="s">
        <v>20</v>
      </c>
      <c r="L5738" s="11" t="n">
        <v>40764.4793981482</v>
      </c>
      <c r="M5738" s="12" t="s">
        <v>13280</v>
      </c>
      <c r="N5738" s="13" t="s">
        <v>13281</v>
      </c>
      <c r="O5738" s="9" t="str">
        <f aca="false">HYPERLINK("https://pbs.twimg.com/profile_images/556393517023764480/zeuSgkFw_normal.jpeg","View")</f>
        <v>View</v>
      </c>
      <c r="P5738" s="10"/>
    </row>
    <row r="5739" customFormat="false" ht="15.75" hidden="false" customHeight="false" outlineLevel="0" collapsed="false">
      <c r="A5739" s="6" t="n">
        <v>43030.9694560185</v>
      </c>
      <c r="B5739" s="7" t="str">
        <f aca="false">HYPERLINK("https://twitter.com/softmilktea","@softmilktea")</f>
        <v>@softmilktea</v>
      </c>
      <c r="C5739" s="14" t="s">
        <v>13282</v>
      </c>
      <c r="D5739" s="8" t="s">
        <v>12764</v>
      </c>
      <c r="E5739" s="9" t="str">
        <f aca="false">HYPERLINK("https://twitter.com/softmilktea/status/922345848297570304","922345848297570304")</f>
        <v>922345848297570304</v>
      </c>
      <c r="F5739" s="10" t="s">
        <v>51</v>
      </c>
      <c r="G5739" s="10" t="n">
        <v>21</v>
      </c>
      <c r="H5739" s="10" t="n">
        <v>300</v>
      </c>
      <c r="I5739" s="10" t="n">
        <v>170</v>
      </c>
      <c r="J5739" s="10" t="n">
        <v>0</v>
      </c>
      <c r="K5739" s="10" t="s">
        <v>20</v>
      </c>
      <c r="L5739" s="11" t="n">
        <v>42227.8149768519</v>
      </c>
      <c r="M5739" s="12"/>
      <c r="N5739" s="12" t="s">
        <v>13283</v>
      </c>
      <c r="O5739" s="9" t="str">
        <f aca="false">HYPERLINK("https://pbs.twimg.com/profile_images/916667820053733376/fFwbVHW1_normal.jpg","View")</f>
        <v>View</v>
      </c>
      <c r="P5739" s="10"/>
    </row>
    <row r="5740" customFormat="false" ht="15.75" hidden="false" customHeight="false" outlineLevel="0" collapsed="false">
      <c r="A5740" s="6" t="n">
        <v>43030.9694675926</v>
      </c>
      <c r="B5740" s="7" t="str">
        <f aca="false">HYPERLINK("https://twitter.com/tat1edhead","@tat1edhead")</f>
        <v>@tat1edhead</v>
      </c>
      <c r="C5740" s="8" t="s">
        <v>13284</v>
      </c>
      <c r="D5740" s="8" t="s">
        <v>13114</v>
      </c>
      <c r="E5740" s="9" t="str">
        <f aca="false">HYPERLINK("https://twitter.com/tat1edhead/status/922345852542140416","922345852542140416")</f>
        <v>922345852542140416</v>
      </c>
      <c r="F5740" s="10" t="s">
        <v>25</v>
      </c>
      <c r="G5740" s="10" t="n">
        <v>27</v>
      </c>
      <c r="H5740" s="10" t="n">
        <v>1363</v>
      </c>
      <c r="I5740" s="10" t="n">
        <v>19</v>
      </c>
      <c r="J5740" s="10" t="n">
        <v>0</v>
      </c>
      <c r="K5740" s="10" t="s">
        <v>20</v>
      </c>
      <c r="L5740" s="11" t="n">
        <v>41080.1937268519</v>
      </c>
      <c r="M5740" s="12" t="s">
        <v>13285</v>
      </c>
      <c r="N5740" s="12" t="s">
        <v>13286</v>
      </c>
      <c r="O5740" s="9" t="str">
        <f aca="false">HYPERLINK("https://pbs.twimg.com/profile_images/749738481610555392/hbp1x-eV_normal.jpg","View")</f>
        <v>View</v>
      </c>
      <c r="P5740" s="10"/>
    </row>
    <row r="5741" customFormat="false" ht="15.75" hidden="false" customHeight="false" outlineLevel="0" collapsed="false">
      <c r="A5741" s="6" t="n">
        <v>43030.9695023148</v>
      </c>
      <c r="B5741" s="7" t="str">
        <f aca="false">HYPERLINK("https://twitter.com/IThinkFreely13","@IThinkFreely13")</f>
        <v>@IThinkFreely13</v>
      </c>
      <c r="C5741" s="8" t="s">
        <v>13287</v>
      </c>
      <c r="D5741" s="8" t="s">
        <v>12764</v>
      </c>
      <c r="E5741" s="9" t="str">
        <f aca="false">HYPERLINK("https://twitter.com/IThinkFreely13/status/922345864890269696","922345864890269696")</f>
        <v>922345864890269696</v>
      </c>
      <c r="F5741" s="10" t="s">
        <v>51</v>
      </c>
      <c r="G5741" s="10" t="n">
        <v>3620</v>
      </c>
      <c r="H5741" s="10" t="n">
        <v>1823</v>
      </c>
      <c r="I5741" s="10" t="n">
        <v>170</v>
      </c>
      <c r="J5741" s="10" t="n">
        <v>0</v>
      </c>
      <c r="K5741" s="10" t="s">
        <v>20</v>
      </c>
      <c r="L5741" s="11" t="n">
        <v>41553.7921875</v>
      </c>
      <c r="M5741" s="12" t="s">
        <v>230</v>
      </c>
      <c r="N5741" s="12" t="s">
        <v>13288</v>
      </c>
      <c r="O5741" s="9" t="str">
        <f aca="false">HYPERLINK("https://pbs.twimg.com/profile_images/828451775388741632/xT9MQc9W_normal.jpg","View")</f>
        <v>View</v>
      </c>
      <c r="P5741" s="10"/>
    </row>
    <row r="5742" customFormat="false" ht="15.75" hidden="false" customHeight="false" outlineLevel="0" collapsed="false">
      <c r="A5742" s="6" t="n">
        <v>43030.9695486111</v>
      </c>
      <c r="B5742" s="7" t="str">
        <f aca="false">HYPERLINK("https://twitter.com/ashkhann","@ashkhann")</f>
        <v>@ashkhann</v>
      </c>
      <c r="C5742" s="8" t="s">
        <v>13289</v>
      </c>
      <c r="D5742" s="8" t="s">
        <v>8538</v>
      </c>
      <c r="E5742" s="9" t="str">
        <f aca="false">HYPERLINK("https://twitter.com/ashkhann/status/922345883248689154","922345883248689154")</f>
        <v>922345883248689154</v>
      </c>
      <c r="F5742" s="10" t="s">
        <v>25</v>
      </c>
      <c r="G5742" s="10" t="n">
        <v>289</v>
      </c>
      <c r="H5742" s="10" t="n">
        <v>439</v>
      </c>
      <c r="I5742" s="10" t="n">
        <v>1015</v>
      </c>
      <c r="J5742" s="10" t="n">
        <v>0</v>
      </c>
      <c r="K5742" s="10" t="s">
        <v>20</v>
      </c>
      <c r="L5742" s="11" t="n">
        <v>40035.3877662037</v>
      </c>
      <c r="M5742" s="12" t="s">
        <v>13290</v>
      </c>
      <c r="N5742" s="12" t="s">
        <v>13291</v>
      </c>
      <c r="O5742" s="9" t="str">
        <f aca="false">HYPERLINK("https://pbs.twimg.com/profile_images/780058098450829312/2ffoS0cX_normal.jpg","View")</f>
        <v>View</v>
      </c>
      <c r="P5742" s="10"/>
    </row>
    <row r="5743" customFormat="false" ht="15.75" hidden="false" customHeight="false" outlineLevel="0" collapsed="false">
      <c r="A5743" s="6" t="n">
        <v>43030.9695601852</v>
      </c>
      <c r="B5743" s="7" t="str">
        <f aca="false">HYPERLINK("https://twitter.com/InsdataInter","@InsdataInter")</f>
        <v>@InsdataInter</v>
      </c>
      <c r="C5743" s="8" t="s">
        <v>1860</v>
      </c>
      <c r="D5743" s="8" t="s">
        <v>13253</v>
      </c>
      <c r="E5743" s="9" t="str">
        <f aca="false">HYPERLINK("https://twitter.com/InsdataInter/status/922345885035528192","922345885035528192")</f>
        <v>922345885035528192</v>
      </c>
      <c r="F5743" s="10" t="s">
        <v>51</v>
      </c>
      <c r="G5743" s="10" t="n">
        <v>1729</v>
      </c>
      <c r="H5743" s="10" t="n">
        <v>2947</v>
      </c>
      <c r="I5743" s="10" t="n">
        <v>22</v>
      </c>
      <c r="J5743" s="10" t="n">
        <v>0</v>
      </c>
      <c r="K5743" s="10" t="s">
        <v>20</v>
      </c>
      <c r="L5743" s="11" t="n">
        <v>41533.3899768519</v>
      </c>
      <c r="M5743" s="12" t="s">
        <v>1861</v>
      </c>
      <c r="N5743" s="12"/>
      <c r="O5743" s="9" t="str">
        <f aca="false">HYPERLINK("https://pbs.twimg.com/profile_images/378800000501893520/b4582cd3ce52a7c47133d606b639176e_normal.jpeg","View")</f>
        <v>View</v>
      </c>
      <c r="P5743" s="10"/>
    </row>
    <row r="5744" customFormat="false" ht="15.75" hidden="false" customHeight="false" outlineLevel="0" collapsed="false">
      <c r="A5744" s="6" t="n">
        <v>43030.9695601852</v>
      </c>
      <c r="B5744" s="7" t="str">
        <f aca="false">HYPERLINK("https://twitter.com/ApprendreT","@ApprendreT")</f>
        <v>@ApprendreT</v>
      </c>
      <c r="C5744" s="8" t="s">
        <v>13292</v>
      </c>
      <c r="D5744" s="8" t="s">
        <v>13293</v>
      </c>
      <c r="E5744" s="9" t="str">
        <f aca="false">HYPERLINK("https://twitter.com/ApprendreT/status/922345886461710336","922345886461710336")</f>
        <v>922345886461710336</v>
      </c>
      <c r="F5744" s="10" t="s">
        <v>60</v>
      </c>
      <c r="G5744" s="10" t="n">
        <v>1168</v>
      </c>
      <c r="H5744" s="10" t="n">
        <v>722</v>
      </c>
      <c r="I5744" s="10" t="n">
        <v>0</v>
      </c>
      <c r="J5744" s="10" t="n">
        <v>0</v>
      </c>
      <c r="K5744" s="10" t="s">
        <v>20</v>
      </c>
      <c r="L5744" s="11" t="n">
        <v>42823.0971643519</v>
      </c>
      <c r="M5744" s="12" t="s">
        <v>567</v>
      </c>
      <c r="N5744" s="12" t="n">
        <v>330977219001</v>
      </c>
      <c r="O5744" s="9" t="str">
        <f aca="false">HYPERLINK("https://pbs.twimg.com/profile_images/847040559801925632/CdsF-Hwx_normal.jpg","View")</f>
        <v>View</v>
      </c>
      <c r="P5744" s="10"/>
    </row>
    <row r="5745" customFormat="false" ht="15.75" hidden="false" customHeight="false" outlineLevel="0" collapsed="false">
      <c r="A5745" s="6" t="n">
        <v>43030.9696527778</v>
      </c>
      <c r="B5745" s="7" t="str">
        <f aca="false">HYPERLINK("https://twitter.com/needleholeshop","@needleholeshop")</f>
        <v>@needleholeshop</v>
      </c>
      <c r="C5745" s="7" t="s">
        <v>3376</v>
      </c>
      <c r="D5745" s="8" t="s">
        <v>13294</v>
      </c>
      <c r="E5745" s="9" t="str">
        <f aca="false">HYPERLINK("https://twitter.com/needleholeshop/status/922345920569790464","922345920569790464")</f>
        <v>922345920569790464</v>
      </c>
      <c r="F5745" s="10" t="s">
        <v>60</v>
      </c>
      <c r="G5745" s="10" t="n">
        <v>3513</v>
      </c>
      <c r="H5745" s="10" t="n">
        <v>1504</v>
      </c>
      <c r="I5745" s="10" t="n">
        <v>0</v>
      </c>
      <c r="J5745" s="10" t="n">
        <v>0</v>
      </c>
      <c r="K5745" s="10" t="s">
        <v>20</v>
      </c>
      <c r="L5745" s="11" t="n">
        <v>41345.1265509259</v>
      </c>
      <c r="M5745" s="12" t="s">
        <v>893</v>
      </c>
      <c r="N5745" s="12" t="s">
        <v>3377</v>
      </c>
      <c r="O5745" s="9" t="str">
        <f aca="false">HYPERLINK("https://pbs.twimg.com/profile_images/661851566014636032/5OdLjCJ9_normal.jpg","View")</f>
        <v>View</v>
      </c>
      <c r="P5745" s="10"/>
    </row>
    <row r="5746" customFormat="false" ht="15.75" hidden="false" customHeight="false" outlineLevel="0" collapsed="false">
      <c r="A5746" s="6" t="n">
        <v>43030.9696527778</v>
      </c>
      <c r="B5746" s="7" t="str">
        <f aca="false">HYPERLINK("https://twitter.com/SourceAny","@SourceAny")</f>
        <v>@SourceAny</v>
      </c>
      <c r="C5746" s="8" t="s">
        <v>3370</v>
      </c>
      <c r="D5746" s="8" t="s">
        <v>13295</v>
      </c>
      <c r="E5746" s="9" t="str">
        <f aca="false">HYPERLINK("https://twitter.com/SourceAny/status/922345922612334592","922345922612334592")</f>
        <v>922345922612334592</v>
      </c>
      <c r="F5746" s="10" t="s">
        <v>60</v>
      </c>
      <c r="G5746" s="10" t="n">
        <v>674</v>
      </c>
      <c r="H5746" s="10" t="n">
        <v>1336</v>
      </c>
      <c r="I5746" s="10" t="n">
        <v>0</v>
      </c>
      <c r="J5746" s="10" t="n">
        <v>0</v>
      </c>
      <c r="K5746" s="10" t="s">
        <v>20</v>
      </c>
      <c r="L5746" s="11" t="n">
        <v>42566.7503356481</v>
      </c>
      <c r="M5746" s="12"/>
      <c r="N5746" s="12" t="s">
        <v>3371</v>
      </c>
      <c r="O5746" s="9" t="str">
        <f aca="false">HYPERLINK("https://pbs.twimg.com/profile_images/908274369557921792/FtpZYDnt_normal.jpg","View")</f>
        <v>View</v>
      </c>
      <c r="P5746" s="10"/>
    </row>
    <row r="5747" customFormat="false" ht="15.75" hidden="false" customHeight="false" outlineLevel="0" collapsed="false">
      <c r="A5747" s="6" t="n">
        <v>43030.9696875</v>
      </c>
      <c r="B5747" s="7" t="str">
        <f aca="false">HYPERLINK("https://twitter.com/shailendra_nair","@shailendra_nair")</f>
        <v>@shailendra_nair</v>
      </c>
      <c r="C5747" s="8" t="s">
        <v>251</v>
      </c>
      <c r="D5747" s="8" t="s">
        <v>13296</v>
      </c>
      <c r="E5747" s="9" t="str">
        <f aca="false">HYPERLINK("https://twitter.com/shailendra_nair/status/922345935132389376","922345935132389376")</f>
        <v>922345935132389376</v>
      </c>
      <c r="F5747" s="10" t="s">
        <v>60</v>
      </c>
      <c r="G5747" s="10" t="n">
        <v>3987</v>
      </c>
      <c r="H5747" s="10" t="n">
        <v>1042</v>
      </c>
      <c r="I5747" s="10" t="n">
        <v>0</v>
      </c>
      <c r="J5747" s="10" t="n">
        <v>0</v>
      </c>
      <c r="K5747" s="10" t="s">
        <v>20</v>
      </c>
      <c r="L5747" s="11" t="n">
        <v>40362.4379861111</v>
      </c>
      <c r="M5747" s="12" t="s">
        <v>253</v>
      </c>
      <c r="N5747" s="12" t="s">
        <v>254</v>
      </c>
      <c r="O5747" s="9" t="str">
        <f aca="false">HYPERLINK("https://pbs.twimg.com/profile_images/884758468879466497/M_w6UjD3_normal.jpg","View")</f>
        <v>View</v>
      </c>
      <c r="P5747" s="10"/>
    </row>
    <row r="5748" customFormat="false" ht="15.75" hidden="false" customHeight="false" outlineLevel="0" collapsed="false">
      <c r="A5748" s="6" t="n">
        <v>43030.9697800926</v>
      </c>
      <c r="B5748" s="7" t="str">
        <f aca="false">HYPERLINK("https://twitter.com/BSAFunds","@BSAFunds")</f>
        <v>@BSAFunds</v>
      </c>
      <c r="C5748" s="8" t="s">
        <v>924</v>
      </c>
      <c r="D5748" s="8" t="s">
        <v>13297</v>
      </c>
      <c r="E5748" s="9" t="str">
        <f aca="false">HYPERLINK("https://twitter.com/BSAFunds/status/922345967525007360","922345967525007360")</f>
        <v>922345967525007360</v>
      </c>
      <c r="F5748" s="10" t="s">
        <v>60</v>
      </c>
      <c r="G5748" s="10" t="n">
        <v>20871</v>
      </c>
      <c r="H5748" s="10" t="n">
        <v>8926</v>
      </c>
      <c r="I5748" s="10" t="n">
        <v>0</v>
      </c>
      <c r="J5748" s="10" t="n">
        <v>0</v>
      </c>
      <c r="K5748" s="10" t="s">
        <v>20</v>
      </c>
      <c r="L5748" s="11" t="n">
        <v>42601.9481828704</v>
      </c>
      <c r="M5748" s="12" t="s">
        <v>312</v>
      </c>
      <c r="N5748" s="12" t="s">
        <v>926</v>
      </c>
      <c r="O5748" s="9" t="str">
        <f aca="false">HYPERLINK("https://pbs.twimg.com/profile_images/912769166960033792/N4LAmrTs_normal.jpg","View")</f>
        <v>View</v>
      </c>
      <c r="P5748" s="10"/>
    </row>
    <row r="5749" customFormat="false" ht="15.75" hidden="false" customHeight="false" outlineLevel="0" collapsed="false">
      <c r="A5749" s="6" t="n">
        <v>43030.9699074074</v>
      </c>
      <c r="B5749" s="7" t="str">
        <f aca="false">HYPERLINK("https://twitter.com/BurlingtonIOW","@BurlingtonIOW")</f>
        <v>@BurlingtonIOW</v>
      </c>
      <c r="C5749" s="8" t="s">
        <v>3378</v>
      </c>
      <c r="D5749" s="8" t="s">
        <v>13298</v>
      </c>
      <c r="E5749" s="9" t="str">
        <f aca="false">HYPERLINK("https://twitter.com/BurlingtonIOW/status/922346014593437696","922346014593437696")</f>
        <v>922346014593437696</v>
      </c>
      <c r="F5749" s="10" t="s">
        <v>60</v>
      </c>
      <c r="G5749" s="10" t="n">
        <v>337</v>
      </c>
      <c r="H5749" s="10" t="n">
        <v>470</v>
      </c>
      <c r="I5749" s="10" t="n">
        <v>0</v>
      </c>
      <c r="J5749" s="10" t="n">
        <v>0</v>
      </c>
      <c r="K5749" s="10" t="s">
        <v>20</v>
      </c>
      <c r="L5749" s="11" t="n">
        <v>41899.2161342593</v>
      </c>
      <c r="M5749" s="12" t="s">
        <v>3380</v>
      </c>
      <c r="N5749" s="12" t="s">
        <v>3381</v>
      </c>
      <c r="O5749" s="9" t="str">
        <f aca="false">HYPERLINK("https://pbs.twimg.com/profile_images/902892992201089024/v-ex1TmU_normal.jpg","View")</f>
        <v>View</v>
      </c>
      <c r="P5749" s="10"/>
    </row>
    <row r="5750" customFormat="false" ht="15.75" hidden="false" customHeight="false" outlineLevel="0" collapsed="false">
      <c r="A5750" s="6" t="n">
        <v>43030.9699189815</v>
      </c>
      <c r="B5750" s="7" t="str">
        <f aca="false">HYPERLINK("https://twitter.com/ihopeilaughiliv","@ihopeilaughiliv")</f>
        <v>@ihopeilaughiliv</v>
      </c>
      <c r="C5750" s="8" t="s">
        <v>13299</v>
      </c>
      <c r="D5750" s="8" t="s">
        <v>13253</v>
      </c>
      <c r="E5750" s="9" t="str">
        <f aca="false">HYPERLINK("https://twitter.com/ihopeilaughiliv/status/922346015369322496","922346015369322496")</f>
        <v>922346015369322496</v>
      </c>
      <c r="F5750" s="10" t="s">
        <v>25</v>
      </c>
      <c r="G5750" s="10" t="n">
        <v>122</v>
      </c>
      <c r="H5750" s="10" t="n">
        <v>229</v>
      </c>
      <c r="I5750" s="10" t="n">
        <v>22</v>
      </c>
      <c r="J5750" s="10" t="n">
        <v>0</v>
      </c>
      <c r="K5750" s="10" t="s">
        <v>20</v>
      </c>
      <c r="L5750" s="11" t="n">
        <v>40439.4874305556</v>
      </c>
      <c r="M5750" s="12"/>
      <c r="N5750" s="12"/>
      <c r="O5750" s="9" t="str">
        <f aca="false">HYPERLINK("https://pbs.twimg.com/profile_images/742249899299721217/4WiM_fNi_normal.jpg","View")</f>
        <v>View</v>
      </c>
      <c r="P5750" s="10"/>
    </row>
    <row r="5751" customFormat="false" ht="15.75" hidden="false" customHeight="false" outlineLevel="0" collapsed="false">
      <c r="A5751" s="6" t="n">
        <v>43030.9699305556</v>
      </c>
      <c r="B5751" s="7" t="str">
        <f aca="false">HYPERLINK("https://twitter.com/RAKESH98453268","@RAKESH98453268")</f>
        <v>@RAKESH98453268</v>
      </c>
      <c r="C5751" s="8" t="s">
        <v>13300</v>
      </c>
      <c r="D5751" s="8" t="s">
        <v>13301</v>
      </c>
      <c r="E5751" s="9" t="str">
        <f aca="false">HYPERLINK("https://twitter.com/RAKESH98453268/status/922346022931537920","922346022931537920")</f>
        <v>922346022931537920</v>
      </c>
      <c r="F5751" s="10" t="s">
        <v>25</v>
      </c>
      <c r="G5751" s="10" t="n">
        <v>236</v>
      </c>
      <c r="H5751" s="10" t="n">
        <v>280</v>
      </c>
      <c r="I5751" s="10" t="n">
        <v>5</v>
      </c>
      <c r="J5751" s="10" t="n">
        <v>0</v>
      </c>
      <c r="K5751" s="10" t="s">
        <v>20</v>
      </c>
      <c r="L5751" s="11" t="n">
        <v>42931.3298611111</v>
      </c>
      <c r="M5751" s="12" t="s">
        <v>13302</v>
      </c>
      <c r="N5751" s="12" t="s">
        <v>13303</v>
      </c>
      <c r="O5751" s="9" t="str">
        <f aca="false">HYPERLINK("https://pbs.twimg.com/profile_images/886426936980918272/jiO2-eLG_normal.jpg","View")</f>
        <v>View</v>
      </c>
      <c r="P5751" s="10"/>
    </row>
    <row r="5752" customFormat="false" ht="15.75" hidden="false" customHeight="false" outlineLevel="0" collapsed="false">
      <c r="A5752" s="6" t="n">
        <v>43030.9699884259</v>
      </c>
      <c r="B5752" s="7" t="str">
        <f aca="false">HYPERLINK("https://twitter.com/ChoudharyKadir","@ChoudharyKadir")</f>
        <v>@ChoudharyKadir</v>
      </c>
      <c r="C5752" s="8" t="s">
        <v>13304</v>
      </c>
      <c r="D5752" s="8" t="s">
        <v>13305</v>
      </c>
      <c r="E5752" s="9" t="str">
        <f aca="false">HYPERLINK("https://twitter.com/ChoudharyKadir/status/922346040287682560","922346040287682560")</f>
        <v>922346040287682560</v>
      </c>
      <c r="F5752" s="10" t="s">
        <v>25</v>
      </c>
      <c r="G5752" s="10" t="n">
        <v>28</v>
      </c>
      <c r="H5752" s="10" t="n">
        <v>348</v>
      </c>
      <c r="I5752" s="10" t="n">
        <v>0</v>
      </c>
      <c r="J5752" s="10" t="n">
        <v>0</v>
      </c>
      <c r="K5752" s="10" t="s">
        <v>20</v>
      </c>
      <c r="L5752" s="11" t="n">
        <v>41437.491712963</v>
      </c>
      <c r="M5752" s="12"/>
      <c r="N5752" s="12" t="s">
        <v>13306</v>
      </c>
      <c r="O5752" s="9" t="str">
        <f aca="false">HYPERLINK("https://pbs.twimg.com/profile_images/921843703374688256/z3BKyiH7_normal.jpg","View")</f>
        <v>View</v>
      </c>
      <c r="P5752" s="10"/>
    </row>
    <row r="5753" customFormat="false" ht="15.75" hidden="false" customHeight="false" outlineLevel="0" collapsed="false">
      <c r="A5753" s="6" t="n">
        <v>43030.9700578704</v>
      </c>
      <c r="B5753" s="7" t="str">
        <f aca="false">HYPERLINK("https://twitter.com/tt2590153taro","@tt2590153taro")</f>
        <v>@tt2590153taro</v>
      </c>
      <c r="C5753" s="8" t="s">
        <v>13154</v>
      </c>
      <c r="D5753" s="8" t="s">
        <v>13253</v>
      </c>
      <c r="E5753" s="9" t="str">
        <f aca="false">HYPERLINK("https://twitter.com/tt2590153taro/status/922346069542842368","922346069542842368")</f>
        <v>922346069542842368</v>
      </c>
      <c r="F5753" s="10" t="s">
        <v>25</v>
      </c>
      <c r="G5753" s="10" t="n">
        <v>618</v>
      </c>
      <c r="H5753" s="10" t="n">
        <v>485</v>
      </c>
      <c r="I5753" s="10" t="n">
        <v>22</v>
      </c>
      <c r="J5753" s="10" t="n">
        <v>0</v>
      </c>
      <c r="K5753" s="10" t="s">
        <v>20</v>
      </c>
      <c r="L5753" s="11" t="n">
        <v>40357.1200347222</v>
      </c>
      <c r="M5753" s="12" t="s">
        <v>13155</v>
      </c>
      <c r="N5753" s="12" t="s">
        <v>13156</v>
      </c>
      <c r="O5753" s="9" t="str">
        <f aca="false">HYPERLINK("https://pbs.twimg.com/profile_images/870443279879258112/UEa_ReLA_normal.jpg","View")</f>
        <v>View</v>
      </c>
      <c r="P5753" s="10"/>
    </row>
    <row r="5754" customFormat="false" ht="15.75" hidden="false" customHeight="false" outlineLevel="0" collapsed="false">
      <c r="A5754" s="6" t="n">
        <v>43030.9700925926</v>
      </c>
      <c r="B5754" s="7" t="str">
        <f aca="false">HYPERLINK("https://twitter.com/vz0669","@vz0669")</f>
        <v>@vz0669</v>
      </c>
      <c r="C5754" s="8" t="s">
        <v>13307</v>
      </c>
      <c r="D5754" s="8" t="s">
        <v>13114</v>
      </c>
      <c r="E5754" s="9" t="str">
        <f aca="false">HYPERLINK("https://twitter.com/vz0669/status/922346080519454720","922346080519454720")</f>
        <v>922346080519454720</v>
      </c>
      <c r="F5754" s="10" t="s">
        <v>25</v>
      </c>
      <c r="G5754" s="10" t="n">
        <v>37</v>
      </c>
      <c r="H5754" s="10" t="n">
        <v>933</v>
      </c>
      <c r="I5754" s="10" t="n">
        <v>19</v>
      </c>
      <c r="J5754" s="10" t="n">
        <v>0</v>
      </c>
      <c r="K5754" s="10" t="s">
        <v>20</v>
      </c>
      <c r="L5754" s="11" t="n">
        <v>41743.0533796296</v>
      </c>
      <c r="M5754" s="12" t="s">
        <v>13308</v>
      </c>
      <c r="N5754" s="12" t="s">
        <v>13309</v>
      </c>
      <c r="O5754" s="9" t="str">
        <f aca="false">HYPERLINK("https://pbs.twimg.com/profile_images/749741293560102913/FDMJP7C9_normal.jpg","View")</f>
        <v>View</v>
      </c>
      <c r="P5754" s="10"/>
    </row>
    <row r="5755" customFormat="false" ht="15.75" hidden="false" customHeight="false" outlineLevel="0" collapsed="false">
      <c r="A5755" s="6" t="n">
        <v>43030.9702083333</v>
      </c>
      <c r="B5755" s="7" t="str">
        <f aca="false">HYPERLINK("https://twitter.com/human24679","@human24679")</f>
        <v>@human24679</v>
      </c>
      <c r="C5755" s="8" t="s">
        <v>13310</v>
      </c>
      <c r="D5755" s="8" t="s">
        <v>8538</v>
      </c>
      <c r="E5755" s="9" t="str">
        <f aca="false">HYPERLINK("https://twitter.com/human24679/status/922346124056281088","922346124056281088")</f>
        <v>922346124056281088</v>
      </c>
      <c r="F5755" s="10" t="s">
        <v>51</v>
      </c>
      <c r="G5755" s="10" t="n">
        <v>681</v>
      </c>
      <c r="H5755" s="10" t="n">
        <v>871</v>
      </c>
      <c r="I5755" s="10" t="n">
        <v>1015</v>
      </c>
      <c r="J5755" s="10" t="n">
        <v>0</v>
      </c>
      <c r="K5755" s="10" t="s">
        <v>20</v>
      </c>
      <c r="L5755" s="11" t="n">
        <v>42575.2743055556</v>
      </c>
      <c r="M5755" s="12" t="s">
        <v>13311</v>
      </c>
      <c r="N5755" s="12" t="s">
        <v>13312</v>
      </c>
      <c r="O5755" s="9" t="str">
        <f aca="false">HYPERLINK("https://pbs.twimg.com/profile_images/828078501123149825/4PV4oy-A_normal.jpg","View")</f>
        <v>View</v>
      </c>
      <c r="P5755" s="10"/>
    </row>
    <row r="5756" customFormat="false" ht="15.75" hidden="false" customHeight="false" outlineLevel="0" collapsed="false">
      <c r="A5756" s="6" t="n">
        <v>43030.9703472222</v>
      </c>
      <c r="B5756" s="7" t="str">
        <f aca="false">HYPERLINK("https://twitter.com/IbaFllot8508","@IbaFllot8508")</f>
        <v>@IbaFllot8508</v>
      </c>
      <c r="C5756" s="8" t="s">
        <v>13313</v>
      </c>
      <c r="D5756" s="8" t="s">
        <v>13172</v>
      </c>
      <c r="E5756" s="9" t="str">
        <f aca="false">HYPERLINK("https://twitter.com/IbaFllot8508/status/922346172550746112","922346172550746112")</f>
        <v>922346172550746112</v>
      </c>
      <c r="F5756" s="10" t="s">
        <v>51</v>
      </c>
      <c r="G5756" s="10" t="n">
        <v>422</v>
      </c>
      <c r="H5756" s="10" t="n">
        <v>411</v>
      </c>
      <c r="I5756" s="10" t="n">
        <v>26</v>
      </c>
      <c r="J5756" s="10" t="n">
        <v>0</v>
      </c>
      <c r="K5756" s="10" t="s">
        <v>20</v>
      </c>
      <c r="L5756" s="11" t="n">
        <v>42450.1085648148</v>
      </c>
      <c r="M5756" s="12"/>
      <c r="N5756" s="12" t="s">
        <v>13314</v>
      </c>
      <c r="O5756" s="9" t="str">
        <f aca="false">HYPERLINK("https://pbs.twimg.com/profile_images/901742406705397760/LrnBJEFx_normal.jpg","View")</f>
        <v>View</v>
      </c>
      <c r="P5756" s="10"/>
    </row>
    <row r="5757" customFormat="false" ht="15.75" hidden="false" customHeight="false" outlineLevel="0" collapsed="false">
      <c r="A5757" s="6" t="n">
        <v>43030.9705324074</v>
      </c>
      <c r="B5757" s="7" t="str">
        <f aca="false">HYPERLINK("https://twitter.com/ekoner","@ekoner")</f>
        <v>@ekoner</v>
      </c>
      <c r="C5757" s="8" t="s">
        <v>13315</v>
      </c>
      <c r="D5757" s="8" t="s">
        <v>13316</v>
      </c>
      <c r="E5757" s="9" t="str">
        <f aca="false">HYPERLINK("https://twitter.com/ekoner/status/922346238669918210","922346238669918210")</f>
        <v>922346238669918210</v>
      </c>
      <c r="F5757" s="10" t="s">
        <v>39</v>
      </c>
      <c r="G5757" s="10" t="n">
        <v>1640</v>
      </c>
      <c r="H5757" s="10" t="n">
        <v>490</v>
      </c>
      <c r="I5757" s="10" t="n">
        <v>0</v>
      </c>
      <c r="J5757" s="10" t="n">
        <v>0</v>
      </c>
      <c r="K5757" s="10" t="s">
        <v>20</v>
      </c>
      <c r="L5757" s="11" t="n">
        <v>39863.0138541667</v>
      </c>
      <c r="M5757" s="12" t="s">
        <v>13317</v>
      </c>
      <c r="N5757" s="12" t="s">
        <v>13318</v>
      </c>
      <c r="O5757" s="9" t="str">
        <f aca="false">HYPERLINK("https://pbs.twimg.com/profile_images/893831324003426304/dAf39UXR_normal.jpg","View")</f>
        <v>View</v>
      </c>
      <c r="P5757" s="10"/>
    </row>
    <row r="5758" customFormat="false" ht="15.75" hidden="false" customHeight="false" outlineLevel="0" collapsed="false">
      <c r="A5758" s="6" t="n">
        <v>43030.9706944445</v>
      </c>
      <c r="B5758" s="7" t="str">
        <f aca="false">HYPERLINK("https://twitter.com/PawanSaklani","@PawanSaklani")</f>
        <v>@PawanSaklani</v>
      </c>
      <c r="C5758" s="8" t="s">
        <v>8025</v>
      </c>
      <c r="D5758" s="8" t="s">
        <v>7905</v>
      </c>
      <c r="E5758" s="9" t="str">
        <f aca="false">HYPERLINK("https://twitter.com/PawanSaklani/status/922346298832953344","922346298832953344")</f>
        <v>922346298832953344</v>
      </c>
      <c r="F5758" s="10" t="s">
        <v>25</v>
      </c>
      <c r="G5758" s="10" t="n">
        <v>133</v>
      </c>
      <c r="H5758" s="10" t="n">
        <v>307</v>
      </c>
      <c r="I5758" s="10" t="n">
        <v>38</v>
      </c>
      <c r="J5758" s="10" t="n">
        <v>0</v>
      </c>
      <c r="K5758" s="10" t="s">
        <v>20</v>
      </c>
      <c r="L5758" s="11" t="n">
        <v>40077.9345486111</v>
      </c>
      <c r="M5758" s="12" t="s">
        <v>8026</v>
      </c>
      <c r="N5758" s="12" t="s">
        <v>8027</v>
      </c>
      <c r="O5758" s="9" t="str">
        <f aca="false">HYPERLINK("https://pbs.twimg.com/profile_images/1652271850/rk_normal.jpg","View")</f>
        <v>View</v>
      </c>
      <c r="P5758" s="10"/>
    </row>
    <row r="5759" customFormat="false" ht="15.75" hidden="false" customHeight="false" outlineLevel="0" collapsed="false">
      <c r="A5759" s="6" t="n">
        <v>43030.9707060185</v>
      </c>
      <c r="B5759" s="7" t="str">
        <f aca="false">HYPERLINK("https://twitter.com/jrzjrz28","@jrzjrz28")</f>
        <v>@jrzjrz28</v>
      </c>
      <c r="C5759" s="8" t="s">
        <v>13319</v>
      </c>
      <c r="D5759" s="8" t="s">
        <v>13320</v>
      </c>
      <c r="E5759" s="9" t="str">
        <f aca="false">HYPERLINK("https://twitter.com/jrzjrz28/status/922346303345930241","922346303345930241")</f>
        <v>922346303345930241</v>
      </c>
      <c r="F5759" s="10" t="s">
        <v>25</v>
      </c>
      <c r="G5759" s="10" t="n">
        <v>482</v>
      </c>
      <c r="H5759" s="10" t="n">
        <v>1852</v>
      </c>
      <c r="I5759" s="10" t="n">
        <v>5</v>
      </c>
      <c r="J5759" s="10" t="n">
        <v>0</v>
      </c>
      <c r="K5759" s="10" t="s">
        <v>20</v>
      </c>
      <c r="L5759" s="11" t="n">
        <v>40426.1525694444</v>
      </c>
      <c r="M5759" s="12" t="s">
        <v>13321</v>
      </c>
      <c r="N5759" s="12" t="s">
        <v>13322</v>
      </c>
      <c r="O5759" s="9" t="str">
        <f aca="false">HYPERLINK("https://pbs.twimg.com/profile_images/877946172769546240/1oM7sNgz_normal.jpg","View")</f>
        <v>View</v>
      </c>
      <c r="P5759" s="10"/>
    </row>
    <row r="5760" customFormat="false" ht="15.75" hidden="false" customHeight="false" outlineLevel="0" collapsed="false">
      <c r="A5760" s="6" t="n">
        <v>43030.9708101852</v>
      </c>
      <c r="B5760" s="7" t="str">
        <f aca="false">HYPERLINK("https://twitter.com/pauruizguix","@pauruizguix")</f>
        <v>@pauruizguix</v>
      </c>
      <c r="C5760" s="8" t="s">
        <v>13323</v>
      </c>
      <c r="D5760" s="8" t="s">
        <v>13172</v>
      </c>
      <c r="E5760" s="9" t="str">
        <f aca="false">HYPERLINK("https://twitter.com/pauruizguix/status/922346338645348352","922346338645348352")</f>
        <v>922346338645348352</v>
      </c>
      <c r="F5760" s="10" t="s">
        <v>51</v>
      </c>
      <c r="G5760" s="10" t="n">
        <v>951</v>
      </c>
      <c r="H5760" s="10" t="n">
        <v>568</v>
      </c>
      <c r="I5760" s="10" t="n">
        <v>26</v>
      </c>
      <c r="J5760" s="10" t="n">
        <v>0</v>
      </c>
      <c r="K5760" s="10" t="s">
        <v>20</v>
      </c>
      <c r="L5760" s="11" t="n">
        <v>40571.5231481481</v>
      </c>
      <c r="M5760" s="12" t="s">
        <v>13324</v>
      </c>
      <c r="N5760" s="12" t="s">
        <v>13325</v>
      </c>
      <c r="O5760" s="9" t="str">
        <f aca="false">HYPERLINK("https://pbs.twimg.com/profile_images/890527238504009729/VX2rIANS_normal.jpg","View")</f>
        <v>View</v>
      </c>
      <c r="P5760" s="10"/>
    </row>
    <row r="5761" customFormat="false" ht="15.75" hidden="false" customHeight="false" outlineLevel="0" collapsed="false">
      <c r="A5761" s="6" t="n">
        <v>43030.9709722222</v>
      </c>
      <c r="B5761" s="7" t="str">
        <f aca="false">HYPERLINK("https://twitter.com/Jedi_Ankush","@Jedi_Ankush")</f>
        <v>@Jedi_Ankush</v>
      </c>
      <c r="C5761" s="8" t="s">
        <v>13326</v>
      </c>
      <c r="D5761" s="8" t="s">
        <v>8538</v>
      </c>
      <c r="E5761" s="9" t="str">
        <f aca="false">HYPERLINK("https://twitter.com/Jedi_Ankush/status/922346397789065216","922346397789065216")</f>
        <v>922346397789065216</v>
      </c>
      <c r="F5761" s="10" t="s">
        <v>25</v>
      </c>
      <c r="G5761" s="10" t="n">
        <v>98</v>
      </c>
      <c r="H5761" s="10" t="n">
        <v>133</v>
      </c>
      <c r="I5761" s="10" t="n">
        <v>1015</v>
      </c>
      <c r="J5761" s="10" t="n">
        <v>0</v>
      </c>
      <c r="K5761" s="10" t="s">
        <v>20</v>
      </c>
      <c r="L5761" s="11" t="n">
        <v>40606.2534143519</v>
      </c>
      <c r="M5761" s="12" t="s">
        <v>13327</v>
      </c>
      <c r="N5761" s="12" t="s">
        <v>13328</v>
      </c>
      <c r="O5761" s="9" t="str">
        <f aca="false">HYPERLINK("https://pbs.twimg.com/profile_images/835935897187033088/Me5FQAet_normal.jpg","View")</f>
        <v>View</v>
      </c>
      <c r="P5761" s="10"/>
    </row>
    <row r="5762" customFormat="false" ht="15.75" hidden="false" customHeight="false" outlineLevel="0" collapsed="false">
      <c r="A5762" s="6" t="n">
        <v>43030.971087963</v>
      </c>
      <c r="B5762" s="7" t="str">
        <f aca="false">HYPERLINK("https://twitter.com/swissifg","@swissifg")</f>
        <v>@swissifg</v>
      </c>
      <c r="C5762" s="8" t="s">
        <v>247</v>
      </c>
      <c r="D5762" s="8" t="s">
        <v>13329</v>
      </c>
      <c r="E5762" s="9" t="str">
        <f aca="false">HYPERLINK("https://twitter.com/swissifg/status/922346442131460096","922346442131460096")</f>
        <v>922346442131460096</v>
      </c>
      <c r="F5762" s="10" t="s">
        <v>60</v>
      </c>
      <c r="G5762" s="10" t="n">
        <v>1202</v>
      </c>
      <c r="H5762" s="10" t="n">
        <v>670</v>
      </c>
      <c r="I5762" s="10" t="n">
        <v>0</v>
      </c>
      <c r="J5762" s="10" t="n">
        <v>0</v>
      </c>
      <c r="K5762" s="10" t="s">
        <v>20</v>
      </c>
      <c r="L5762" s="11" t="n">
        <v>42499.2341087963</v>
      </c>
      <c r="M5762" s="12" t="s">
        <v>249</v>
      </c>
      <c r="N5762" s="12" t="s">
        <v>250</v>
      </c>
      <c r="O5762" s="9" t="str">
        <f aca="false">HYPERLINK("https://pbs.twimg.com/profile_images/729681805088063489/N4ls5vb8_normal.jpg","View")</f>
        <v>View</v>
      </c>
      <c r="P5762" s="10"/>
    </row>
    <row r="5763" customFormat="false" ht="15.75" hidden="false" customHeight="false" outlineLevel="0" collapsed="false">
      <c r="A5763" s="6" t="n">
        <v>43030.9712384259</v>
      </c>
      <c r="B5763" s="7" t="str">
        <f aca="false">HYPERLINK("https://twitter.com/athirahchan","@athirahchan")</f>
        <v>@athirahchan</v>
      </c>
      <c r="C5763" s="8" t="s">
        <v>13330</v>
      </c>
      <c r="D5763" s="8" t="s">
        <v>11284</v>
      </c>
      <c r="E5763" s="9" t="str">
        <f aca="false">HYPERLINK("https://twitter.com/athirahchan/status/922346493834510336","922346493834510336")</f>
        <v>922346493834510336</v>
      </c>
      <c r="F5763" s="10" t="s">
        <v>25</v>
      </c>
      <c r="G5763" s="10" t="n">
        <v>121</v>
      </c>
      <c r="H5763" s="10" t="n">
        <v>147</v>
      </c>
      <c r="I5763" s="10" t="n">
        <v>41</v>
      </c>
      <c r="J5763" s="10" t="n">
        <v>0</v>
      </c>
      <c r="K5763" s="10" t="s">
        <v>20</v>
      </c>
      <c r="L5763" s="11" t="n">
        <v>42283.1314930556</v>
      </c>
      <c r="M5763" s="12" t="s">
        <v>2797</v>
      </c>
      <c r="N5763" s="12" t="s">
        <v>13331</v>
      </c>
      <c r="O5763" s="9" t="str">
        <f aca="false">HYPERLINK("https://pbs.twimg.com/profile_images/921636646386143234/xEuw-DM6_normal.jpg","View")</f>
        <v>View</v>
      </c>
      <c r="P5763" s="10"/>
    </row>
    <row r="5764" customFormat="false" ht="15.75" hidden="false" customHeight="false" outlineLevel="0" collapsed="false">
      <c r="A5764" s="6" t="n">
        <v>43030.9712384259</v>
      </c>
      <c r="B5764" s="7" t="str">
        <f aca="false">HYPERLINK("https://twitter.com/jmommenifee","@jmommenifee")</f>
        <v>@jmommenifee</v>
      </c>
      <c r="C5764" s="8" t="s">
        <v>13332</v>
      </c>
      <c r="D5764" s="8" t="s">
        <v>13229</v>
      </c>
      <c r="E5764" s="9" t="str">
        <f aca="false">HYPERLINK("https://twitter.com/jmommenifee/status/922346497064292352","922346497064292352")</f>
        <v>922346497064292352</v>
      </c>
      <c r="F5764" s="10" t="s">
        <v>25</v>
      </c>
      <c r="G5764" s="10" t="n">
        <v>248</v>
      </c>
      <c r="H5764" s="10" t="n">
        <v>471</v>
      </c>
      <c r="I5764" s="10" t="n">
        <v>18</v>
      </c>
      <c r="J5764" s="10" t="n">
        <v>0</v>
      </c>
      <c r="K5764" s="10" t="s">
        <v>20</v>
      </c>
      <c r="L5764" s="11" t="n">
        <v>42533.6617824074</v>
      </c>
      <c r="M5764" s="12" t="s">
        <v>13333</v>
      </c>
      <c r="N5764" s="12" t="s">
        <v>13334</v>
      </c>
      <c r="O5764" s="9" t="str">
        <f aca="false">HYPERLINK("https://pbs.twimg.com/profile_images/827184746056658945/Ik0klf57_normal.jpg","View")</f>
        <v>View</v>
      </c>
      <c r="P5764" s="10"/>
    </row>
    <row r="5765" customFormat="false" ht="15.75" hidden="false" customHeight="false" outlineLevel="0" collapsed="false">
      <c r="A5765" s="6" t="n">
        <v>43030.9713194445</v>
      </c>
      <c r="B5765" s="7" t="str">
        <f aca="false">HYPERLINK("https://twitter.com/Suzieismymum","@Suzieismymum")</f>
        <v>@Suzieismymum</v>
      </c>
      <c r="C5765" s="8" t="s">
        <v>13335</v>
      </c>
      <c r="D5765" s="8" t="s">
        <v>12764</v>
      </c>
      <c r="E5765" s="9" t="str">
        <f aca="false">HYPERLINK("https://twitter.com/Suzieismymum/status/922346523425247232","922346523425247232")</f>
        <v>922346523425247232</v>
      </c>
      <c r="F5765" s="10" t="s">
        <v>98</v>
      </c>
      <c r="G5765" s="10" t="n">
        <v>122</v>
      </c>
      <c r="H5765" s="10" t="n">
        <v>62</v>
      </c>
      <c r="I5765" s="10" t="n">
        <v>170</v>
      </c>
      <c r="J5765" s="10" t="n">
        <v>0</v>
      </c>
      <c r="K5765" s="10" t="s">
        <v>20</v>
      </c>
      <c r="L5765" s="11" t="n">
        <v>41719.6864814815</v>
      </c>
      <c r="M5765" s="12"/>
      <c r="N5765" s="12"/>
      <c r="O5765" s="9" t="str">
        <f aca="false">HYPERLINK("https://abs.twimg.com/sticky/default_profile_images/default_profile_normal.png","View")</f>
        <v>View</v>
      </c>
      <c r="P5765" s="10"/>
    </row>
    <row r="5766" customFormat="false" ht="15.75" hidden="false" customHeight="false" outlineLevel="0" collapsed="false">
      <c r="A5766" s="6" t="n">
        <v>43030.971400463</v>
      </c>
      <c r="B5766" s="7" t="str">
        <f aca="false">HYPERLINK("https://twitter.com/sradeep_d","@sradeep_d")</f>
        <v>@sradeep_d</v>
      </c>
      <c r="C5766" s="8" t="s">
        <v>13336</v>
      </c>
      <c r="D5766" s="8" t="s">
        <v>8538</v>
      </c>
      <c r="E5766" s="9" t="str">
        <f aca="false">HYPERLINK("https://twitter.com/sradeep_d/status/922346555901923328","922346555901923328")</f>
        <v>922346555901923328</v>
      </c>
      <c r="F5766" s="10" t="s">
        <v>25</v>
      </c>
      <c r="G5766" s="10" t="n">
        <v>587</v>
      </c>
      <c r="H5766" s="10" t="n">
        <v>320</v>
      </c>
      <c r="I5766" s="10" t="n">
        <v>1015</v>
      </c>
      <c r="J5766" s="10" t="n">
        <v>0</v>
      </c>
      <c r="K5766" s="10" t="s">
        <v>20</v>
      </c>
      <c r="L5766" s="11" t="n">
        <v>40276.5274768518</v>
      </c>
      <c r="M5766" s="12" t="s">
        <v>8668</v>
      </c>
      <c r="N5766" s="12"/>
      <c r="O5766" s="9" t="str">
        <f aca="false">HYPERLINK("https://pbs.twimg.com/profile_images/909754246416994305/otZ33YgD_normal.jpg","View")</f>
        <v>View</v>
      </c>
      <c r="P5766" s="10"/>
    </row>
    <row r="5767" customFormat="false" ht="15.75" hidden="false" customHeight="false" outlineLevel="0" collapsed="false">
      <c r="A5767" s="6" t="n">
        <v>43030.9714814815</v>
      </c>
      <c r="B5767" s="7" t="str">
        <f aca="false">HYPERLINK("https://twitter.com/dark_shard","@dark_shard")</f>
        <v>@dark_shard</v>
      </c>
      <c r="C5767" s="8" t="s">
        <v>13337</v>
      </c>
      <c r="D5767" s="8" t="s">
        <v>8538</v>
      </c>
      <c r="E5767" s="9" t="str">
        <f aca="false">HYPERLINK("https://twitter.com/dark_shard/status/922346584247029760","922346584247029760")</f>
        <v>922346584247029760</v>
      </c>
      <c r="F5767" s="10" t="s">
        <v>51</v>
      </c>
      <c r="G5767" s="10" t="n">
        <v>16</v>
      </c>
      <c r="H5767" s="10" t="n">
        <v>245</v>
      </c>
      <c r="I5767" s="10" t="n">
        <v>1015</v>
      </c>
      <c r="J5767" s="10" t="n">
        <v>0</v>
      </c>
      <c r="K5767" s="10" t="s">
        <v>20</v>
      </c>
      <c r="L5767" s="11" t="n">
        <v>42806.2423726852</v>
      </c>
      <c r="M5767" s="12"/>
      <c r="N5767" s="12"/>
      <c r="O5767" s="9" t="str">
        <f aca="false">HYPERLINK("https://pbs.twimg.com/profile_images/922931540811804672/lZ6fMKQ7_normal.jpg","View")</f>
        <v>View</v>
      </c>
      <c r="P5767" s="10"/>
    </row>
    <row r="5768" customFormat="false" ht="15.75" hidden="false" customHeight="false" outlineLevel="0" collapsed="false">
      <c r="A5768" s="6" t="n">
        <v>43030.9716666667</v>
      </c>
      <c r="B5768" s="7" t="str">
        <f aca="false">HYPERLINK("https://twitter.com/SergeiArdzinba1","@SergeiArdzinba1")</f>
        <v>@SergeiArdzinba1</v>
      </c>
      <c r="C5768" s="8" t="s">
        <v>13338</v>
      </c>
      <c r="D5768" s="8" t="s">
        <v>13339</v>
      </c>
      <c r="E5768" s="9" t="str">
        <f aca="false">HYPERLINK("https://twitter.com/SergeiArdzinba1/status/922346650844180480","922346650844180480")</f>
        <v>922346650844180480</v>
      </c>
      <c r="F5768" s="10" t="s">
        <v>13340</v>
      </c>
      <c r="G5768" s="10" t="n">
        <v>16286</v>
      </c>
      <c r="H5768" s="10" t="n">
        <v>47</v>
      </c>
      <c r="I5768" s="10" t="n">
        <v>0</v>
      </c>
      <c r="J5768" s="10" t="n">
        <v>0</v>
      </c>
      <c r="K5768" s="10" t="s">
        <v>20</v>
      </c>
      <c r="L5768" s="11" t="n">
        <v>41839.8653587963</v>
      </c>
      <c r="M5768" s="12" t="s">
        <v>13341</v>
      </c>
      <c r="N5768" s="12" t="s">
        <v>13342</v>
      </c>
      <c r="O5768" s="9" t="str">
        <f aca="false">HYPERLINK("https://pbs.twimg.com/profile_images/851778493297938432/9lQeYCfa_normal.jpg","View")</f>
        <v>View</v>
      </c>
      <c r="P5768" s="10"/>
    </row>
    <row r="5769" customFormat="false" ht="15.75" hidden="false" customHeight="false" outlineLevel="0" collapsed="false">
      <c r="A5769" s="6" t="n">
        <v>43030.971712963</v>
      </c>
      <c r="B5769" s="7" t="str">
        <f aca="false">HYPERLINK("https://twitter.com/prepzilla","@prepzilla")</f>
        <v>@prepzilla</v>
      </c>
      <c r="C5769" s="8" t="s">
        <v>235</v>
      </c>
      <c r="D5769" s="8" t="s">
        <v>13343</v>
      </c>
      <c r="E5769" s="9" t="str">
        <f aca="false">HYPERLINK("https://twitter.com/prepzilla/status/922346666677678081","922346666677678081")</f>
        <v>922346666677678081</v>
      </c>
      <c r="F5769" s="10" t="s">
        <v>60</v>
      </c>
      <c r="G5769" s="10" t="n">
        <v>7686</v>
      </c>
      <c r="H5769" s="10" t="n">
        <v>477</v>
      </c>
      <c r="I5769" s="10" t="n">
        <v>0</v>
      </c>
      <c r="J5769" s="10" t="n">
        <v>0</v>
      </c>
      <c r="K5769" s="10" t="s">
        <v>20</v>
      </c>
      <c r="L5769" s="11" t="n">
        <v>41299.7417361111</v>
      </c>
      <c r="M5769" s="12" t="s">
        <v>237</v>
      </c>
      <c r="N5769" s="12" t="s">
        <v>238</v>
      </c>
      <c r="O5769" s="9" t="str">
        <f aca="false">HYPERLINK("https://pbs.twimg.com/profile_images/900797880516005888/1bWN5qbC_normal.jpg","View")</f>
        <v>View</v>
      </c>
      <c r="P5769" s="10"/>
    </row>
    <row r="5770" customFormat="false" ht="15.75" hidden="false" customHeight="false" outlineLevel="0" collapsed="false">
      <c r="A5770" s="6" t="n">
        <v>43030.971712963</v>
      </c>
      <c r="B5770" s="7" t="str">
        <f aca="false">HYPERLINK("https://twitter.com/bdnews24","@bdnews24")</f>
        <v>@bdnews24</v>
      </c>
      <c r="C5770" s="8" t="s">
        <v>216</v>
      </c>
      <c r="D5770" s="8" t="s">
        <v>13344</v>
      </c>
      <c r="E5770" s="9" t="str">
        <f aca="false">HYPERLINK("https://twitter.com/bdnews24/status/922346666962964481","922346666962964481")</f>
        <v>922346666962964481</v>
      </c>
      <c r="F5770" s="10" t="s">
        <v>60</v>
      </c>
      <c r="G5770" s="10" t="n">
        <v>215604</v>
      </c>
      <c r="H5770" s="10" t="n">
        <v>67887</v>
      </c>
      <c r="I5770" s="10" t="n">
        <v>0</v>
      </c>
      <c r="J5770" s="10" t="n">
        <v>1</v>
      </c>
      <c r="K5770" s="10" t="s">
        <v>20</v>
      </c>
      <c r="L5770" s="11" t="n">
        <v>39844.4680439815</v>
      </c>
      <c r="M5770" s="12" t="s">
        <v>218</v>
      </c>
      <c r="N5770" s="12" t="s">
        <v>219</v>
      </c>
      <c r="O5770" s="9" t="str">
        <f aca="false">HYPERLINK("https://pbs.twimg.com/profile_images/718433521509994497/4iW9RC_r_normal.jpg","View")</f>
        <v>View</v>
      </c>
      <c r="P5770" s="10"/>
    </row>
    <row r="5771" customFormat="false" ht="15.75" hidden="false" customHeight="false" outlineLevel="0" collapsed="false">
      <c r="A5771" s="6" t="n">
        <v>43030.9717592593</v>
      </c>
      <c r="B5771" s="7" t="str">
        <f aca="false">HYPERLINK("https://twitter.com/NetTibet","@NetTibet")</f>
        <v>@NetTibet</v>
      </c>
      <c r="C5771" s="7" t="s">
        <v>13345</v>
      </c>
      <c r="D5771" s="8" t="s">
        <v>13346</v>
      </c>
      <c r="E5771" s="9" t="str">
        <f aca="false">HYPERLINK("https://twitter.com/NetTibet/status/922346684839006213","922346684839006213")</f>
        <v>922346684839006213</v>
      </c>
      <c r="F5771" s="10" t="s">
        <v>47</v>
      </c>
      <c r="G5771" s="10" t="n">
        <v>4</v>
      </c>
      <c r="H5771" s="10" t="n">
        <v>20</v>
      </c>
      <c r="I5771" s="10" t="n">
        <v>0</v>
      </c>
      <c r="J5771" s="10" t="n">
        <v>2</v>
      </c>
      <c r="K5771" s="10" t="s">
        <v>20</v>
      </c>
      <c r="L5771" s="11" t="n">
        <v>43020.1386458333</v>
      </c>
      <c r="M5771" s="12" t="s">
        <v>72</v>
      </c>
      <c r="N5771" s="12" t="s">
        <v>13347</v>
      </c>
      <c r="O5771" s="9" t="str">
        <f aca="false">HYPERLINK("https://pbs.twimg.com/profile_images/920151646826414080/I5LtP_Un_normal.jpg","View")</f>
        <v>View</v>
      </c>
      <c r="P5771" s="10"/>
    </row>
    <row r="5772" customFormat="false" ht="15.75" hidden="false" customHeight="false" outlineLevel="0" collapsed="false">
      <c r="A5772" s="6" t="n">
        <v>43030.9718287037</v>
      </c>
      <c r="B5772" s="7" t="str">
        <f aca="false">HYPERLINK("https://twitter.com/McHarryboyy","@McHarryboyy")</f>
        <v>@McHarryboyy</v>
      </c>
      <c r="C5772" s="8" t="s">
        <v>13348</v>
      </c>
      <c r="D5772" s="8" t="s">
        <v>13349</v>
      </c>
      <c r="E5772" s="9" t="str">
        <f aca="false">HYPERLINK("https://twitter.com/McHarryboyy/status/922346708109025281","922346708109025281")</f>
        <v>922346708109025281</v>
      </c>
      <c r="F5772" s="10" t="s">
        <v>55</v>
      </c>
      <c r="G5772" s="10" t="n">
        <v>351</v>
      </c>
      <c r="H5772" s="10" t="n">
        <v>447</v>
      </c>
      <c r="I5772" s="10" t="n">
        <v>0</v>
      </c>
      <c r="J5772" s="10" t="n">
        <v>0</v>
      </c>
      <c r="K5772" s="10" t="s">
        <v>20</v>
      </c>
      <c r="L5772" s="11" t="n">
        <v>40965.9512615741</v>
      </c>
      <c r="M5772" s="12" t="s">
        <v>13350</v>
      </c>
      <c r="N5772" s="12" t="s">
        <v>13351</v>
      </c>
      <c r="O5772" s="9" t="str">
        <f aca="false">HYPERLINK("https://pbs.twimg.com/profile_images/742452919866396672/KrreM7Hd_normal.jpg","View")</f>
        <v>View</v>
      </c>
      <c r="P5772" s="10"/>
    </row>
    <row r="5773" customFormat="false" ht="15.75" hidden="false" customHeight="false" outlineLevel="0" collapsed="false">
      <c r="A5773" s="6" t="n">
        <v>43030.971875</v>
      </c>
      <c r="B5773" s="7" t="str">
        <f aca="false">HYPERLINK("https://twitter.com/mdswvguy","@mdswvguy")</f>
        <v>@mdswvguy</v>
      </c>
      <c r="C5773" s="8" t="s">
        <v>13352</v>
      </c>
      <c r="D5773" s="8" t="s">
        <v>13353</v>
      </c>
      <c r="E5773" s="9" t="str">
        <f aca="false">HYPERLINK("https://twitter.com/mdswvguy/status/922346725494460416","922346725494460416")</f>
        <v>922346725494460416</v>
      </c>
      <c r="F5773" s="10" t="s">
        <v>1658</v>
      </c>
      <c r="G5773" s="10" t="n">
        <v>1985</v>
      </c>
      <c r="H5773" s="10" t="n">
        <v>1190</v>
      </c>
      <c r="I5773" s="10" t="n">
        <v>0</v>
      </c>
      <c r="J5773" s="10" t="n">
        <v>0</v>
      </c>
      <c r="K5773" s="10" t="s">
        <v>20</v>
      </c>
      <c r="L5773" s="11" t="n">
        <v>39893.4866203704</v>
      </c>
      <c r="M5773" s="12" t="s">
        <v>13354</v>
      </c>
      <c r="N5773" s="12" t="s">
        <v>13355</v>
      </c>
      <c r="O5773" s="9" t="str">
        <f aca="false">HYPERLINK("https://pbs.twimg.com/profile_images/869970753684471809/Wsxed3w-_normal.jpg","View")</f>
        <v>View</v>
      </c>
      <c r="P5773" s="10"/>
    </row>
    <row r="5774" customFormat="false" ht="15.75" hidden="false" customHeight="false" outlineLevel="0" collapsed="false">
      <c r="A5774" s="6" t="n">
        <v>43030.9719675926</v>
      </c>
      <c r="B5774" s="7" t="str">
        <f aca="false">HYPERLINK("https://twitter.com/Sto_kra2","@Sto_kra2")</f>
        <v>@Sto_kra2</v>
      </c>
      <c r="C5774" s="14" t="s">
        <v>6796</v>
      </c>
      <c r="D5774" s="8" t="s">
        <v>13356</v>
      </c>
      <c r="E5774" s="9" t="str">
        <f aca="false">HYPERLINK("https://twitter.com/Sto_kra2/status/922346757547110400","922346757547110400")</f>
        <v>922346757547110400</v>
      </c>
      <c r="F5774" s="10" t="s">
        <v>25</v>
      </c>
      <c r="G5774" s="10" t="n">
        <v>1768</v>
      </c>
      <c r="H5774" s="10" t="n">
        <v>2419</v>
      </c>
      <c r="I5774" s="10" t="n">
        <v>1</v>
      </c>
      <c r="J5774" s="10" t="n">
        <v>0</v>
      </c>
      <c r="K5774" s="10" t="s">
        <v>20</v>
      </c>
      <c r="L5774" s="11" t="n">
        <v>42591.6861342593</v>
      </c>
      <c r="M5774" s="12"/>
      <c r="N5774" s="13" t="s">
        <v>6798</v>
      </c>
      <c r="O5774" s="9" t="str">
        <f aca="false">HYPERLINK("https://pbs.twimg.com/profile_images/875353978778734592/s8_TT_gf_normal.jpg","View")</f>
        <v>View</v>
      </c>
      <c r="P5774" s="10"/>
    </row>
    <row r="5775" customFormat="false" ht="15.75" hidden="false" customHeight="false" outlineLevel="0" collapsed="false">
      <c r="A5775" s="6" t="n">
        <v>43030.9719675926</v>
      </c>
      <c r="B5775" s="7" t="str">
        <f aca="false">HYPERLINK("https://twitter.com/newsvideosfeed","@newsvideosfeed")</f>
        <v>@newsvideosfeed</v>
      </c>
      <c r="C5775" s="8" t="s">
        <v>13357</v>
      </c>
      <c r="D5775" s="8" t="s">
        <v>13358</v>
      </c>
      <c r="E5775" s="9" t="str">
        <f aca="false">HYPERLINK("https://twitter.com/newsvideosfeed/status/922346761498308608","922346761498308608")</f>
        <v>922346761498308608</v>
      </c>
      <c r="F5775" s="10" t="s">
        <v>55</v>
      </c>
      <c r="G5775" s="10" t="n">
        <v>18</v>
      </c>
      <c r="H5775" s="10" t="n">
        <v>0</v>
      </c>
      <c r="I5775" s="10" t="n">
        <v>0</v>
      </c>
      <c r="J5775" s="10" t="n">
        <v>0</v>
      </c>
      <c r="K5775" s="10" t="s">
        <v>20</v>
      </c>
      <c r="L5775" s="11" t="n">
        <v>42555.4005902778</v>
      </c>
      <c r="M5775" s="12"/>
      <c r="N5775" s="12"/>
      <c r="O5775" s="9" t="str">
        <f aca="false">HYPERLINK("https://pbs.twimg.com/profile_images/750038609156341760/6i6MJaj0_normal.jpg","View")</f>
        <v>View</v>
      </c>
      <c r="P5775" s="10"/>
    </row>
    <row r="5776" customFormat="false" ht="15.75" hidden="false" customHeight="false" outlineLevel="0" collapsed="false">
      <c r="A5776" s="6" t="n">
        <v>43030.9720138889</v>
      </c>
      <c r="B5776" s="7" t="str">
        <f aca="false">HYPERLINK("https://twitter.com/mdswvguy","@mdswvguy")</f>
        <v>@mdswvguy</v>
      </c>
      <c r="C5776" s="8" t="s">
        <v>13352</v>
      </c>
      <c r="D5776" s="8" t="s">
        <v>13359</v>
      </c>
      <c r="E5776" s="9" t="str">
        <f aca="false">HYPERLINK("https://twitter.com/mdswvguy/status/922346775549300736","922346775549300736")</f>
        <v>922346775549300736</v>
      </c>
      <c r="F5776" s="10" t="s">
        <v>39</v>
      </c>
      <c r="G5776" s="10" t="n">
        <v>1985</v>
      </c>
      <c r="H5776" s="10" t="n">
        <v>1190</v>
      </c>
      <c r="I5776" s="10" t="n">
        <v>0</v>
      </c>
      <c r="J5776" s="10" t="n">
        <v>0</v>
      </c>
      <c r="K5776" s="10" t="s">
        <v>20</v>
      </c>
      <c r="L5776" s="11" t="n">
        <v>39893.4866203704</v>
      </c>
      <c r="M5776" s="12" t="s">
        <v>13354</v>
      </c>
      <c r="N5776" s="12" t="s">
        <v>13355</v>
      </c>
      <c r="O5776" s="9" t="str">
        <f aca="false">HYPERLINK("https://pbs.twimg.com/profile_images/869970753684471809/Wsxed3w-_normal.jpg","View")</f>
        <v>View</v>
      </c>
      <c r="P5776" s="10"/>
    </row>
    <row r="5777" customFormat="false" ht="15.75" hidden="false" customHeight="false" outlineLevel="0" collapsed="false">
      <c r="A5777" s="6" t="n">
        <v>43030.9723032407</v>
      </c>
      <c r="B5777" s="7" t="str">
        <f aca="false">HYPERLINK("https://twitter.com/DrLindaShelton","@DrLindaShelton")</f>
        <v>@DrLindaShelton</v>
      </c>
      <c r="C5777" s="8" t="s">
        <v>13360</v>
      </c>
      <c r="D5777" s="8" t="s">
        <v>13172</v>
      </c>
      <c r="E5777" s="9" t="str">
        <f aca="false">HYPERLINK("https://twitter.com/DrLindaShelton/status/922346879274364929","922346879274364929")</f>
        <v>922346879274364929</v>
      </c>
      <c r="F5777" s="10" t="s">
        <v>25</v>
      </c>
      <c r="G5777" s="10" t="n">
        <v>3772</v>
      </c>
      <c r="H5777" s="10" t="n">
        <v>5003</v>
      </c>
      <c r="I5777" s="10" t="n">
        <v>26</v>
      </c>
      <c r="J5777" s="10" t="n">
        <v>0</v>
      </c>
      <c r="K5777" s="10" t="s">
        <v>20</v>
      </c>
      <c r="L5777" s="11" t="n">
        <v>39969.5497106481</v>
      </c>
      <c r="M5777" s="12" t="s">
        <v>1359</v>
      </c>
      <c r="N5777" s="12" t="s">
        <v>13361</v>
      </c>
      <c r="O5777" s="9" t="str">
        <f aca="false">HYPERLINK("https://pbs.twimg.com/profile_images/917467173068689408/ss-rSJTy_normal.jpg","View")</f>
        <v>View</v>
      </c>
      <c r="P5777" s="10"/>
    </row>
    <row r="5778" customFormat="false" ht="15.75" hidden="false" customHeight="false" outlineLevel="0" collapsed="false">
      <c r="A5778" s="6" t="n">
        <v>43030.972337963</v>
      </c>
      <c r="B5778" s="7" t="str">
        <f aca="false">HYPERLINK("https://twitter.com/News365247live","@News365247live")</f>
        <v>@News365247live</v>
      </c>
      <c r="C5778" s="8" t="s">
        <v>376</v>
      </c>
      <c r="D5778" s="8" t="s">
        <v>13229</v>
      </c>
      <c r="E5778" s="9" t="str">
        <f aca="false">HYPERLINK("https://twitter.com/News365247live/status/922346893098631169","922346893098631169")</f>
        <v>922346893098631169</v>
      </c>
      <c r="F5778" s="10" t="s">
        <v>377</v>
      </c>
      <c r="G5778" s="10" t="n">
        <v>1535</v>
      </c>
      <c r="H5778" s="10" t="n">
        <v>5001</v>
      </c>
      <c r="I5778" s="10" t="n">
        <v>18</v>
      </c>
      <c r="J5778" s="10" t="n">
        <v>0</v>
      </c>
      <c r="K5778" s="10" t="s">
        <v>20</v>
      </c>
      <c r="L5778" s="11" t="n">
        <v>42728.3420949074</v>
      </c>
      <c r="M5778" s="12" t="s">
        <v>357</v>
      </c>
      <c r="N5778" s="12" t="s">
        <v>378</v>
      </c>
      <c r="O5778" s="9" t="str">
        <f aca="false">HYPERLINK("https://pbs.twimg.com/profile_images/813047771091472384/ZtakiWrG_normal.jpg","View")</f>
        <v>View</v>
      </c>
      <c r="P5778" s="10"/>
    </row>
    <row r="5779" customFormat="false" ht="15.75" hidden="false" customHeight="false" outlineLevel="0" collapsed="false">
      <c r="A5779" s="6" t="n">
        <v>43030.9725462963</v>
      </c>
      <c r="B5779" s="7" t="str">
        <f aca="false">HYPERLINK("https://twitter.com/storiesflowcom","@storiesflowcom")</f>
        <v>@storiesflowcom</v>
      </c>
      <c r="C5779" s="7" t="s">
        <v>13362</v>
      </c>
      <c r="D5779" s="8" t="s">
        <v>13363</v>
      </c>
      <c r="E5779" s="9" t="str">
        <f aca="false">HYPERLINK("https://twitter.com/storiesflowcom/status/922346968009101312","922346968009101312")</f>
        <v>922346968009101312</v>
      </c>
      <c r="F5779" s="10" t="s">
        <v>13364</v>
      </c>
      <c r="G5779" s="10" t="n">
        <v>1223</v>
      </c>
      <c r="H5779" s="10" t="n">
        <v>212</v>
      </c>
      <c r="I5779" s="10" t="n">
        <v>0</v>
      </c>
      <c r="J5779" s="10" t="n">
        <v>0</v>
      </c>
      <c r="K5779" s="10" t="s">
        <v>20</v>
      </c>
      <c r="L5779" s="11" t="n">
        <v>42334.5687152778</v>
      </c>
      <c r="M5779" s="12"/>
      <c r="N5779" s="12" t="s">
        <v>13365</v>
      </c>
      <c r="O5779" s="9" t="str">
        <f aca="false">HYPERLINK("https://pbs.twimg.com/profile_images/917886684649357312/aivZ5Pfc_normal.jpg","View")</f>
        <v>View</v>
      </c>
      <c r="P5779" s="10"/>
    </row>
    <row r="5780" customFormat="false" ht="15.75" hidden="false" customHeight="false" outlineLevel="0" collapsed="false">
      <c r="A5780" s="6" t="n">
        <v>43030.9726041667</v>
      </c>
      <c r="B5780" s="7" t="str">
        <f aca="false">HYPERLINK("https://twitter.com/KhandelwalAsh1","@KhandelwalAsh1")</f>
        <v>@KhandelwalAsh1</v>
      </c>
      <c r="C5780" s="8" t="s">
        <v>13366</v>
      </c>
      <c r="D5780" s="8" t="s">
        <v>8538</v>
      </c>
      <c r="E5780" s="9" t="str">
        <f aca="false">HYPERLINK("https://twitter.com/KhandelwalAsh1/status/922346989580304385","922346989580304385")</f>
        <v>922346989580304385</v>
      </c>
      <c r="F5780" s="10" t="s">
        <v>25</v>
      </c>
      <c r="G5780" s="10" t="n">
        <v>144</v>
      </c>
      <c r="H5780" s="10" t="n">
        <v>224</v>
      </c>
      <c r="I5780" s="10" t="n">
        <v>1015</v>
      </c>
      <c r="J5780" s="10" t="n">
        <v>0</v>
      </c>
      <c r="K5780" s="10" t="s">
        <v>20</v>
      </c>
      <c r="L5780" s="11" t="n">
        <v>42508.3522916667</v>
      </c>
      <c r="M5780" s="12"/>
      <c r="N5780" s="12"/>
      <c r="O5780" s="9" t="str">
        <f aca="false">HYPERLINK("https://pbs.twimg.com/profile_images/732969629577031680/SfooufFs_normal.jpg","View")</f>
        <v>View</v>
      </c>
      <c r="P5780" s="10"/>
    </row>
    <row r="5781" customFormat="false" ht="15.75" hidden="false" customHeight="false" outlineLevel="0" collapsed="false">
      <c r="A5781" s="6" t="n">
        <v>43030.9728009259</v>
      </c>
      <c r="B5781" s="7" t="str">
        <f aca="false">HYPERLINK("https://twitter.com/jvommeren","@jvommeren")</f>
        <v>@jvommeren</v>
      </c>
      <c r="C5781" s="8" t="s">
        <v>13367</v>
      </c>
      <c r="D5781" s="8" t="s">
        <v>13253</v>
      </c>
      <c r="E5781" s="9" t="str">
        <f aca="false">HYPERLINK("https://twitter.com/jvommeren/status/922347060631707649","922347060631707649")</f>
        <v>922347060631707649</v>
      </c>
      <c r="F5781" s="10" t="s">
        <v>39</v>
      </c>
      <c r="G5781" s="10" t="n">
        <v>323</v>
      </c>
      <c r="H5781" s="10" t="n">
        <v>364</v>
      </c>
      <c r="I5781" s="10" t="n">
        <v>22</v>
      </c>
      <c r="J5781" s="10" t="n">
        <v>0</v>
      </c>
      <c r="K5781" s="10" t="s">
        <v>20</v>
      </c>
      <c r="L5781" s="11" t="n">
        <v>40704.1492824074</v>
      </c>
      <c r="M5781" s="12" t="s">
        <v>13368</v>
      </c>
      <c r="N5781" s="12" t="s">
        <v>13369</v>
      </c>
      <c r="O5781" s="9" t="str">
        <f aca="false">HYPERLINK("https://pbs.twimg.com/profile_images/896059517867249664/fBQXzmcm_normal.jpg","View")</f>
        <v>View</v>
      </c>
      <c r="P5781" s="10"/>
    </row>
    <row r="5782" customFormat="false" ht="15.75" hidden="false" customHeight="false" outlineLevel="0" collapsed="false">
      <c r="A5782" s="6" t="n">
        <v>43030.9729050926</v>
      </c>
      <c r="B5782" s="7" t="str">
        <f aca="false">HYPERLINK("https://twitter.com/fr65059","@fr65059")</f>
        <v>@fr65059</v>
      </c>
      <c r="C5782" s="8" t="s">
        <v>13370</v>
      </c>
      <c r="D5782" s="8" t="s">
        <v>13371</v>
      </c>
      <c r="E5782" s="9" t="str">
        <f aca="false">HYPERLINK("https://twitter.com/fr65059/status/922347099441610752","922347099441610752")</f>
        <v>922347099441610752</v>
      </c>
      <c r="F5782" s="10" t="s">
        <v>39</v>
      </c>
      <c r="G5782" s="10" t="n">
        <v>45</v>
      </c>
      <c r="H5782" s="10" t="n">
        <v>457</v>
      </c>
      <c r="I5782" s="10" t="n">
        <v>0</v>
      </c>
      <c r="J5782" s="10" t="n">
        <v>0</v>
      </c>
      <c r="K5782" s="10" t="s">
        <v>20</v>
      </c>
      <c r="L5782" s="11" t="n">
        <v>42085.9680671296</v>
      </c>
      <c r="M5782" s="12"/>
      <c r="N5782" s="12"/>
      <c r="O5782" s="9" t="str">
        <f aca="false">HYPERLINK("https://pbs.twimg.com/profile_images/817878062679232512/vWRrZUMI_normal.jpg","View")</f>
        <v>View</v>
      </c>
      <c r="P5782" s="10"/>
    </row>
    <row r="5783" customFormat="false" ht="15.75" hidden="false" customHeight="false" outlineLevel="0" collapsed="false">
      <c r="A5783" s="6" t="n">
        <v>43030.9729282407</v>
      </c>
      <c r="B5783" s="7" t="str">
        <f aca="false">HYPERLINK("https://twitter.com/shopg0odharvest","@shopg0odharvest")</f>
        <v>@shopg0odharvest</v>
      </c>
      <c r="C5783" s="8" t="s">
        <v>13372</v>
      </c>
      <c r="D5783" s="8" t="s">
        <v>13114</v>
      </c>
      <c r="E5783" s="9" t="str">
        <f aca="false">HYPERLINK("https://twitter.com/shopg0odharvest/status/922347109633884160","922347109633884160")</f>
        <v>922347109633884160</v>
      </c>
      <c r="F5783" s="10" t="s">
        <v>25</v>
      </c>
      <c r="G5783" s="10" t="n">
        <v>27</v>
      </c>
      <c r="H5783" s="10" t="n">
        <v>339</v>
      </c>
      <c r="I5783" s="10" t="n">
        <v>19</v>
      </c>
      <c r="J5783" s="10" t="n">
        <v>0</v>
      </c>
      <c r="K5783" s="10" t="s">
        <v>20</v>
      </c>
      <c r="L5783" s="11" t="n">
        <v>42064.7207407407</v>
      </c>
      <c r="M5783" s="12" t="s">
        <v>13373</v>
      </c>
      <c r="N5783" s="12" t="s">
        <v>13374</v>
      </c>
      <c r="O5783" s="9" t="str">
        <f aca="false">HYPERLINK("https://pbs.twimg.com/profile_images/770343755262070784/k_n7UOTa_normal.jpg","View")</f>
        <v>View</v>
      </c>
      <c r="P5783" s="10"/>
    </row>
    <row r="5784" customFormat="false" ht="15.75" hidden="false" customHeight="false" outlineLevel="0" collapsed="false">
      <c r="A5784" s="6" t="n">
        <v>43030.9729861111</v>
      </c>
      <c r="B5784" s="7" t="str">
        <f aca="false">HYPERLINK("https://twitter.com/mlnangalama","@mlnangalama")</f>
        <v>@mlnangalama</v>
      </c>
      <c r="C5784" s="8" t="s">
        <v>255</v>
      </c>
      <c r="D5784" s="8" t="s">
        <v>13375</v>
      </c>
      <c r="E5784" s="9" t="str">
        <f aca="false">HYPERLINK("https://twitter.com/mlnangalama/status/922347128462168066","922347128462168066")</f>
        <v>922347128462168066</v>
      </c>
      <c r="F5784" s="10" t="s">
        <v>60</v>
      </c>
      <c r="G5784" s="10" t="n">
        <v>2370</v>
      </c>
      <c r="H5784" s="10" t="n">
        <v>1584</v>
      </c>
      <c r="I5784" s="10" t="n">
        <v>0</v>
      </c>
      <c r="J5784" s="10" t="n">
        <v>0</v>
      </c>
      <c r="K5784" s="10" t="s">
        <v>20</v>
      </c>
      <c r="L5784" s="11" t="n">
        <v>41041.5437847222</v>
      </c>
      <c r="M5784" s="12" t="s">
        <v>257</v>
      </c>
      <c r="N5784" s="12" t="s">
        <v>258</v>
      </c>
      <c r="O5784" s="9" t="str">
        <f aca="false">HYPERLINK("https://pbs.twimg.com/profile_images/900915882444173313/biUHzvpx_normal.jpg","View")</f>
        <v>View</v>
      </c>
      <c r="P5784" s="10"/>
    </row>
    <row r="5785" customFormat="false" ht="15.75" hidden="false" customHeight="false" outlineLevel="0" collapsed="false">
      <c r="A5785" s="6" t="n">
        <v>43030.9730208333</v>
      </c>
      <c r="B5785" s="7" t="str">
        <f aca="false">HYPERLINK("https://twitter.com/CallejaYoana","@CallejaYoana")</f>
        <v>@CallejaYoana</v>
      </c>
      <c r="C5785" s="8" t="s">
        <v>13376</v>
      </c>
      <c r="D5785" s="8" t="s">
        <v>13377</v>
      </c>
      <c r="E5785" s="9" t="str">
        <f aca="false">HYPERLINK("https://twitter.com/CallejaYoana/status/922347142051745793","922347142051745793")</f>
        <v>922347142051745793</v>
      </c>
      <c r="F5785" s="10" t="s">
        <v>60</v>
      </c>
      <c r="G5785" s="10" t="n">
        <v>572</v>
      </c>
      <c r="H5785" s="10" t="n">
        <v>60</v>
      </c>
      <c r="I5785" s="10" t="n">
        <v>0</v>
      </c>
      <c r="J5785" s="10" t="n">
        <v>0</v>
      </c>
      <c r="K5785" s="10" t="s">
        <v>20</v>
      </c>
      <c r="L5785" s="11" t="n">
        <v>42727.0603125</v>
      </c>
      <c r="M5785" s="12" t="s">
        <v>13378</v>
      </c>
      <c r="N5785" s="12" t="s">
        <v>13379</v>
      </c>
      <c r="O5785" s="9" t="str">
        <f aca="false">HYPERLINK("https://pbs.twimg.com/profile_images/839196765307944965/NFdGXZzf_normal.jpg","View")</f>
        <v>View</v>
      </c>
      <c r="P5785" s="10"/>
    </row>
    <row r="5786" customFormat="false" ht="15.75" hidden="false" customHeight="false" outlineLevel="0" collapsed="false">
      <c r="A5786" s="6" t="n">
        <v>43030.9732291667</v>
      </c>
      <c r="B5786" s="7" t="str">
        <f aca="false">HYPERLINK("https://twitter.com/serge_poznanski","@serge_poznanski")</f>
        <v>@serge_poznanski</v>
      </c>
      <c r="C5786" s="8" t="s">
        <v>212</v>
      </c>
      <c r="D5786" s="8" t="s">
        <v>13380</v>
      </c>
      <c r="E5786" s="9" t="str">
        <f aca="false">HYPERLINK("https://twitter.com/serge_poznanski/status/922347216332783617","922347216332783617")</f>
        <v>922347216332783617</v>
      </c>
      <c r="F5786" s="10" t="s">
        <v>60</v>
      </c>
      <c r="G5786" s="10" t="n">
        <v>1426</v>
      </c>
      <c r="H5786" s="10" t="n">
        <v>2136</v>
      </c>
      <c r="I5786" s="10" t="n">
        <v>0</v>
      </c>
      <c r="J5786" s="10" t="n">
        <v>0</v>
      </c>
      <c r="K5786" s="10" t="s">
        <v>20</v>
      </c>
      <c r="L5786" s="11" t="n">
        <v>42271.4744560185</v>
      </c>
      <c r="M5786" s="12"/>
      <c r="N5786" s="12"/>
      <c r="O5786" s="9" t="str">
        <f aca="false">HYPERLINK("https://pbs.twimg.com/profile_images/647277253240291328/3GezjFCJ_normal.jpg","View")</f>
        <v>View</v>
      </c>
      <c r="P5786" s="10"/>
    </row>
    <row r="5787" customFormat="false" ht="15.75" hidden="false" customHeight="false" outlineLevel="0" collapsed="false">
      <c r="A5787" s="6" t="n">
        <v>43030.9732407407</v>
      </c>
      <c r="B5787" s="7" t="str">
        <f aca="false">HYPERLINK("https://twitter.com/keencrack","@keencrack")</f>
        <v>@keencrack</v>
      </c>
      <c r="C5787" s="8" t="s">
        <v>13381</v>
      </c>
      <c r="D5787" s="8" t="s">
        <v>13382</v>
      </c>
      <c r="E5787" s="9" t="str">
        <f aca="false">HYPERLINK("https://twitter.com/keencrack/status/922347222108377088","922347222108377088")</f>
        <v>922347222108377088</v>
      </c>
      <c r="F5787" s="10" t="s">
        <v>1024</v>
      </c>
      <c r="G5787" s="10" t="n">
        <v>635</v>
      </c>
      <c r="H5787" s="10" t="n">
        <v>125</v>
      </c>
      <c r="I5787" s="10" t="n">
        <v>0</v>
      </c>
      <c r="J5787" s="10" t="n">
        <v>0</v>
      </c>
      <c r="K5787" s="10" t="s">
        <v>20</v>
      </c>
      <c r="L5787" s="11" t="n">
        <v>40094.3295717593</v>
      </c>
      <c r="M5787" s="12" t="s">
        <v>13383</v>
      </c>
      <c r="N5787" s="12" t="s">
        <v>13384</v>
      </c>
      <c r="O5787" s="9" t="str">
        <f aca="false">HYPERLINK("https://pbs.twimg.com/profile_images/414222796479164416/3kGvKqQc_normal.jpeg","View")</f>
        <v>View</v>
      </c>
      <c r="P5787" s="10"/>
    </row>
    <row r="5788" customFormat="false" ht="15.75" hidden="false" customHeight="false" outlineLevel="0" collapsed="false">
      <c r="A5788" s="6" t="n">
        <v>43030.9732986111</v>
      </c>
      <c r="B5788" s="7" t="str">
        <f aca="false">HYPERLINK("https://twitter.com/GoaTranceNET","@GoaTranceNET")</f>
        <v>@GoaTranceNET</v>
      </c>
      <c r="C5788" s="7" t="s">
        <v>13385</v>
      </c>
      <c r="D5788" s="8" t="s">
        <v>12764</v>
      </c>
      <c r="E5788" s="9" t="str">
        <f aca="false">HYPERLINK("https://twitter.com/GoaTranceNET/status/922347240563400704","922347240563400704")</f>
        <v>922347240563400704</v>
      </c>
      <c r="F5788" s="10" t="s">
        <v>51</v>
      </c>
      <c r="G5788" s="10" t="n">
        <v>4500</v>
      </c>
      <c r="H5788" s="10" t="n">
        <v>895</v>
      </c>
      <c r="I5788" s="10" t="n">
        <v>170</v>
      </c>
      <c r="J5788" s="10" t="n">
        <v>0</v>
      </c>
      <c r="K5788" s="10" t="s">
        <v>20</v>
      </c>
      <c r="L5788" s="11" t="n">
        <v>39874.4950578704</v>
      </c>
      <c r="M5788" s="12" t="s">
        <v>13386</v>
      </c>
      <c r="N5788" s="12" t="s">
        <v>13387</v>
      </c>
      <c r="O5788" s="9" t="str">
        <f aca="false">HYPERLINK("https://pbs.twimg.com/profile_images/86141043/GT-NET-ELF-ICON_normal.jpg","View")</f>
        <v>View</v>
      </c>
      <c r="P5788" s="10"/>
    </row>
    <row r="5789" customFormat="false" ht="15.75" hidden="false" customHeight="false" outlineLevel="0" collapsed="false">
      <c r="A5789" s="6" t="n">
        <v>43030.9733564815</v>
      </c>
      <c r="B5789" s="7" t="str">
        <f aca="false">HYPERLINK("https://twitter.com/shahil95","@shahil95")</f>
        <v>@shahil95</v>
      </c>
      <c r="C5789" s="8" t="s">
        <v>13388</v>
      </c>
      <c r="D5789" s="8" t="s">
        <v>13389</v>
      </c>
      <c r="E5789" s="9" t="str">
        <f aca="false">HYPERLINK("https://twitter.com/shahil95/status/922347264756080645","922347264756080645")</f>
        <v>922347264756080645</v>
      </c>
      <c r="F5789" s="10" t="s">
        <v>51</v>
      </c>
      <c r="G5789" s="10" t="n">
        <v>374</v>
      </c>
      <c r="H5789" s="10" t="n">
        <v>270</v>
      </c>
      <c r="I5789" s="10" t="n">
        <v>0</v>
      </c>
      <c r="J5789" s="10" t="n">
        <v>0</v>
      </c>
      <c r="K5789" s="10" t="s">
        <v>20</v>
      </c>
      <c r="L5789" s="11" t="n">
        <v>40967.2497569444</v>
      </c>
      <c r="M5789" s="12" t="s">
        <v>182</v>
      </c>
      <c r="N5789" s="12" t="s">
        <v>13390</v>
      </c>
      <c r="O5789" s="9" t="str">
        <f aca="false">HYPERLINK("https://pbs.twimg.com/profile_images/888300895401889792/DTz_ueXz_normal.jpg","View")</f>
        <v>View</v>
      </c>
      <c r="P5789" s="10"/>
    </row>
    <row r="5790" customFormat="false" ht="15.75" hidden="false" customHeight="false" outlineLevel="0" collapsed="false">
      <c r="A5790" s="6" t="n">
        <v>43030.9733680556</v>
      </c>
      <c r="B5790" s="7" t="str">
        <f aca="false">HYPERLINK("https://twitter.com/mgungakiduo","@mgungakiduo")</f>
        <v>@mgungakiduo</v>
      </c>
      <c r="C5790" s="8" t="s">
        <v>13391</v>
      </c>
      <c r="D5790" s="8" t="s">
        <v>13229</v>
      </c>
      <c r="E5790" s="9" t="str">
        <f aca="false">HYPERLINK("https://twitter.com/mgungakiduo/status/922347268291878912","922347268291878912")</f>
        <v>922347268291878912</v>
      </c>
      <c r="F5790" s="10" t="s">
        <v>51</v>
      </c>
      <c r="G5790" s="10" t="n">
        <v>1711</v>
      </c>
      <c r="H5790" s="10" t="n">
        <v>5000</v>
      </c>
      <c r="I5790" s="10" t="n">
        <v>18</v>
      </c>
      <c r="J5790" s="10" t="n">
        <v>0</v>
      </c>
      <c r="K5790" s="10" t="s">
        <v>20</v>
      </c>
      <c r="L5790" s="11" t="n">
        <v>41899.8994791667</v>
      </c>
      <c r="M5790" s="12" t="s">
        <v>13392</v>
      </c>
      <c r="N5790" s="12" t="s">
        <v>13393</v>
      </c>
      <c r="O5790" s="9" t="str">
        <f aca="false">HYPERLINK("https://pbs.twimg.com/profile_images/923075860856438785/bQM1mxiz_normal.jpg","View")</f>
        <v>View</v>
      </c>
      <c r="P5790" s="10"/>
    </row>
    <row r="5791" customFormat="false" ht="15.75" hidden="false" customHeight="false" outlineLevel="0" collapsed="false">
      <c r="A5791" s="6" t="n">
        <v>43030.973599537</v>
      </c>
      <c r="B5791" s="7" t="str">
        <f aca="false">HYPERLINK("https://twitter.com/Hethers100","@Hethers100")</f>
        <v>@Hethers100</v>
      </c>
      <c r="C5791" s="8" t="s">
        <v>13394</v>
      </c>
      <c r="D5791" s="8" t="s">
        <v>13229</v>
      </c>
      <c r="E5791" s="9" t="str">
        <f aca="false">HYPERLINK("https://twitter.com/Hethers100/status/922347351574016000","922347351574016000")</f>
        <v>922347351574016000</v>
      </c>
      <c r="F5791" s="10" t="s">
        <v>51</v>
      </c>
      <c r="G5791" s="10" t="n">
        <v>336</v>
      </c>
      <c r="H5791" s="10" t="n">
        <v>2081</v>
      </c>
      <c r="I5791" s="10" t="n">
        <v>18</v>
      </c>
      <c r="J5791" s="10" t="n">
        <v>0</v>
      </c>
      <c r="K5791" s="10" t="s">
        <v>20</v>
      </c>
      <c r="L5791" s="11" t="n">
        <v>41936.3127777778</v>
      </c>
      <c r="M5791" s="12"/>
      <c r="N5791" s="12" t="s">
        <v>13395</v>
      </c>
      <c r="O5791" s="9" t="str">
        <f aca="false">HYPERLINK("https://pbs.twimg.com/profile_images/532240962253504512/jIRVwfe__normal.jpeg","View")</f>
        <v>View</v>
      </c>
      <c r="P5791" s="10"/>
    </row>
    <row r="5792" customFormat="false" ht="15.75" hidden="false" customHeight="false" outlineLevel="0" collapsed="false">
      <c r="A5792" s="6" t="n">
        <v>43030.9736458333</v>
      </c>
      <c r="B5792" s="7" t="str">
        <f aca="false">HYPERLINK("https://twitter.com/tutuz_news","@tutuz_news")</f>
        <v>@tutuz_news</v>
      </c>
      <c r="C5792" s="8" t="s">
        <v>13396</v>
      </c>
      <c r="D5792" s="8" t="s">
        <v>13397</v>
      </c>
      <c r="E5792" s="9" t="str">
        <f aca="false">HYPERLINK("https://twitter.com/tutuz_news/status/922347369785524224","922347369785524224")</f>
        <v>922347369785524224</v>
      </c>
      <c r="F5792" s="10" t="s">
        <v>13398</v>
      </c>
      <c r="G5792" s="10" t="n">
        <v>601</v>
      </c>
      <c r="H5792" s="10" t="n">
        <v>574</v>
      </c>
      <c r="I5792" s="10" t="n">
        <v>0</v>
      </c>
      <c r="J5792" s="10" t="n">
        <v>0</v>
      </c>
      <c r="K5792" s="10" t="s">
        <v>20</v>
      </c>
      <c r="L5792" s="11" t="n">
        <v>40192.7313773148</v>
      </c>
      <c r="M5792" s="12" t="s">
        <v>13399</v>
      </c>
      <c r="N5792" s="12"/>
      <c r="O5792" s="9" t="str">
        <f aca="false">HYPERLINK("https://pbs.twimg.com/profile_images/558053798560555008/P6iRwZ42_normal.png","View")</f>
        <v>View</v>
      </c>
      <c r="P5792" s="10"/>
    </row>
    <row r="5793" customFormat="false" ht="15.75" hidden="false" customHeight="false" outlineLevel="0" collapsed="false">
      <c r="A5793" s="6" t="n">
        <v>43030.9737037037</v>
      </c>
      <c r="B5793" s="7" t="str">
        <f aca="false">HYPERLINK("https://twitter.com/banerjeerahul","@banerjeerahul")</f>
        <v>@banerjeerahul</v>
      </c>
      <c r="C5793" s="8" t="s">
        <v>13400</v>
      </c>
      <c r="D5793" s="8" t="s">
        <v>13401</v>
      </c>
      <c r="E5793" s="9" t="str">
        <f aca="false">HYPERLINK("https://twitter.com/banerjeerahul/status/922347388718764032","922347388718764032")</f>
        <v>922347388718764032</v>
      </c>
      <c r="F5793" s="10" t="s">
        <v>60</v>
      </c>
      <c r="G5793" s="10" t="n">
        <v>742</v>
      </c>
      <c r="H5793" s="10" t="n">
        <v>1235</v>
      </c>
      <c r="I5793" s="10" t="n">
        <v>0</v>
      </c>
      <c r="J5793" s="10" t="n">
        <v>0</v>
      </c>
      <c r="K5793" s="10" t="s">
        <v>20</v>
      </c>
      <c r="L5793" s="11" t="n">
        <v>39898.1469675926</v>
      </c>
      <c r="M5793" s="12" t="s">
        <v>230</v>
      </c>
      <c r="N5793" s="12" t="s">
        <v>13402</v>
      </c>
      <c r="O5793" s="9" t="str">
        <f aca="false">HYPERLINK("https://pbs.twimg.com/profile_images/862688286267060225/yvGFGZjW_normal.jpg","View")</f>
        <v>View</v>
      </c>
      <c r="P5793" s="10"/>
    </row>
    <row r="5794" customFormat="false" ht="15.75" hidden="false" customHeight="false" outlineLevel="0" collapsed="false">
      <c r="A5794" s="6" t="n">
        <v>43030.9737037037</v>
      </c>
      <c r="B5794" s="7" t="str">
        <f aca="false">HYPERLINK("https://twitter.com/swrpa733124","@swrpa733124")</f>
        <v>@swrpa733124</v>
      </c>
      <c r="C5794" s="8" t="s">
        <v>13013</v>
      </c>
      <c r="D5794" s="8" t="s">
        <v>12398</v>
      </c>
      <c r="E5794" s="9" t="str">
        <f aca="false">HYPERLINK("https://twitter.com/swrpa733124/status/922347389662347264","922347389662347264")</f>
        <v>922347389662347264</v>
      </c>
      <c r="F5794" s="10" t="s">
        <v>25</v>
      </c>
      <c r="G5794" s="10" t="n">
        <v>1285</v>
      </c>
      <c r="H5794" s="10" t="n">
        <v>835</v>
      </c>
      <c r="I5794" s="10" t="n">
        <v>25</v>
      </c>
      <c r="J5794" s="10" t="n">
        <v>0</v>
      </c>
      <c r="K5794" s="10" t="s">
        <v>20</v>
      </c>
      <c r="L5794" s="11" t="n">
        <v>42522.1020833333</v>
      </c>
      <c r="M5794" s="12" t="s">
        <v>72</v>
      </c>
      <c r="N5794" s="12" t="s">
        <v>13014</v>
      </c>
      <c r="O5794" s="9" t="str">
        <f aca="false">HYPERLINK("https://pbs.twimg.com/profile_images/899632085798797313/89vPeCAe_normal.jpg","View")</f>
        <v>View</v>
      </c>
      <c r="P5794" s="10"/>
    </row>
    <row r="5795" customFormat="false" ht="15.75" hidden="false" customHeight="false" outlineLevel="0" collapsed="false">
      <c r="A5795" s="6" t="n">
        <v>43030.9738194444</v>
      </c>
      <c r="B5795" s="7" t="str">
        <f aca="false">HYPERLINK("https://twitter.com/BillCllr","@BillCllr")</f>
        <v>@BillCllr</v>
      </c>
      <c r="C5795" s="8" t="s">
        <v>4631</v>
      </c>
      <c r="D5795" s="8" t="s">
        <v>13229</v>
      </c>
      <c r="E5795" s="9" t="str">
        <f aca="false">HYPERLINK("https://twitter.com/BillCllr/status/922347428539437056","922347428539437056")</f>
        <v>922347428539437056</v>
      </c>
      <c r="F5795" s="10" t="s">
        <v>177</v>
      </c>
      <c r="G5795" s="10" t="n">
        <v>843</v>
      </c>
      <c r="H5795" s="10" t="n">
        <v>257</v>
      </c>
      <c r="I5795" s="10" t="n">
        <v>18</v>
      </c>
      <c r="J5795" s="10" t="n">
        <v>0</v>
      </c>
      <c r="K5795" s="10" t="s">
        <v>20</v>
      </c>
      <c r="L5795" s="11" t="n">
        <v>41173.0438657407</v>
      </c>
      <c r="M5795" s="12"/>
      <c r="N5795" s="12" t="s">
        <v>4632</v>
      </c>
      <c r="O5795" s="9" t="str">
        <f aca="false">HYPERLINK("https://pbs.twimg.com/profile_images/504335656945201152/Vpec2MSd_normal.jpeg","View")</f>
        <v>View</v>
      </c>
      <c r="P5795" s="10"/>
    </row>
    <row r="5796" customFormat="false" ht="15.75" hidden="false" customHeight="false" outlineLevel="0" collapsed="false">
      <c r="A5796" s="6" t="n">
        <v>43030.973900463</v>
      </c>
      <c r="B5796" s="7" t="str">
        <f aca="false">HYPERLINK("https://twitter.com/ichigo_opanchu","@ichigo_opanchu")</f>
        <v>@ichigo_opanchu</v>
      </c>
      <c r="C5796" s="14" t="s">
        <v>12694</v>
      </c>
      <c r="D5796" s="8" t="s">
        <v>13403</v>
      </c>
      <c r="E5796" s="9" t="str">
        <f aca="false">HYPERLINK("https://twitter.com/ichigo_opanchu/status/922347459694682114","922347459694682114")</f>
        <v>922347459694682114</v>
      </c>
      <c r="F5796" s="9" t="s">
        <v>1340</v>
      </c>
      <c r="G5796" s="10" t="n">
        <v>1174</v>
      </c>
      <c r="H5796" s="10" t="n">
        <v>1629</v>
      </c>
      <c r="I5796" s="10" t="n">
        <v>0</v>
      </c>
      <c r="J5796" s="10" t="n">
        <v>0</v>
      </c>
      <c r="K5796" s="10" t="s">
        <v>20</v>
      </c>
      <c r="L5796" s="11" t="n">
        <v>41584.515787037</v>
      </c>
      <c r="M5796" s="12"/>
      <c r="N5796" s="12"/>
      <c r="O5796" s="9" t="str">
        <f aca="false">HYPERLINK("https://pbs.twimg.com/profile_images/378800000706122038/8717500dd70ef1765108669059e3f9b0_normal.jpeg","View")</f>
        <v>View</v>
      </c>
      <c r="P5796" s="10"/>
    </row>
    <row r="5797" customFormat="false" ht="15.75" hidden="false" customHeight="false" outlineLevel="0" collapsed="false">
      <c r="A5797" s="6" t="n">
        <v>43030.9741203704</v>
      </c>
      <c r="B5797" s="7" t="str">
        <f aca="false">HYPERLINK("https://twitter.com/Fanua","@Fanua")</f>
        <v>@Fanua</v>
      </c>
      <c r="C5797" s="8" t="s">
        <v>13404</v>
      </c>
      <c r="D5797" s="8" t="s">
        <v>13229</v>
      </c>
      <c r="E5797" s="9" t="str">
        <f aca="false">HYPERLINK("https://twitter.com/Fanua/status/922347539558367232","922347539558367232")</f>
        <v>922347539558367232</v>
      </c>
      <c r="F5797" s="10" t="s">
        <v>13405</v>
      </c>
      <c r="G5797" s="10" t="n">
        <v>1117</v>
      </c>
      <c r="H5797" s="10" t="n">
        <v>1529</v>
      </c>
      <c r="I5797" s="10" t="n">
        <v>18</v>
      </c>
      <c r="J5797" s="10" t="n">
        <v>0</v>
      </c>
      <c r="K5797" s="10" t="s">
        <v>20</v>
      </c>
      <c r="L5797" s="11" t="n">
        <v>39764.3990393519</v>
      </c>
      <c r="M5797" s="12" t="s">
        <v>13406</v>
      </c>
      <c r="N5797" s="12" t="s">
        <v>13407</v>
      </c>
      <c r="O5797" s="9" t="str">
        <f aca="false">HYPERLINK("https://pbs.twimg.com/profile_images/840343246182137856/d89nimUq_normal.jpg","View")</f>
        <v>View</v>
      </c>
      <c r="P5797" s="10"/>
    </row>
    <row r="5798" customFormat="false" ht="15.75" hidden="false" customHeight="false" outlineLevel="0" collapsed="false">
      <c r="A5798" s="6" t="n">
        <v>43030.9748726852</v>
      </c>
      <c r="B5798" s="7" t="str">
        <f aca="false">HYPERLINK("https://twitter.com/anityavava","@anityavava")</f>
        <v>@anityavava</v>
      </c>
      <c r="C5798" s="8" t="s">
        <v>13408</v>
      </c>
      <c r="D5798" s="8" t="s">
        <v>11033</v>
      </c>
      <c r="E5798" s="9" t="str">
        <f aca="false">HYPERLINK("https://twitter.com/anityavava/status/922347810456064000","922347810456064000")</f>
        <v>922347810456064000</v>
      </c>
      <c r="F5798" s="10" t="s">
        <v>39</v>
      </c>
      <c r="G5798" s="10" t="n">
        <v>321</v>
      </c>
      <c r="H5798" s="10" t="n">
        <v>804</v>
      </c>
      <c r="I5798" s="10" t="n">
        <v>60</v>
      </c>
      <c r="J5798" s="10" t="n">
        <v>0</v>
      </c>
      <c r="K5798" s="10" t="s">
        <v>20</v>
      </c>
      <c r="L5798" s="11" t="n">
        <v>41223.324537037</v>
      </c>
      <c r="M5798" s="12"/>
      <c r="N5798" s="12" t="s">
        <v>13409</v>
      </c>
      <c r="O5798" s="9" t="str">
        <f aca="false">HYPERLINK("https://pbs.twimg.com/profile_images/754079533180002304/gaQXlb8g_normal.jpg","View")</f>
        <v>View</v>
      </c>
      <c r="P5798" s="10"/>
    </row>
    <row r="5799" customFormat="false" ht="15.75" hidden="false" customHeight="false" outlineLevel="0" collapsed="false">
      <c r="A5799" s="6" t="n">
        <v>43030.9748958333</v>
      </c>
      <c r="B5799" s="7" t="str">
        <f aca="false">HYPERLINK("https://twitter.com/ArjunDares","@ArjunDares")</f>
        <v>@ArjunDares</v>
      </c>
      <c r="C5799" s="8" t="s">
        <v>13410</v>
      </c>
      <c r="D5799" s="8" t="s">
        <v>8538</v>
      </c>
      <c r="E5799" s="9" t="str">
        <f aca="false">HYPERLINK("https://twitter.com/ArjunDares/status/922347820593463296","922347820593463296")</f>
        <v>922347820593463296</v>
      </c>
      <c r="F5799" s="10" t="s">
        <v>39</v>
      </c>
      <c r="G5799" s="10" t="n">
        <v>220</v>
      </c>
      <c r="H5799" s="10" t="n">
        <v>466</v>
      </c>
      <c r="I5799" s="10" t="n">
        <v>1015</v>
      </c>
      <c r="J5799" s="10" t="n">
        <v>0</v>
      </c>
      <c r="K5799" s="10" t="s">
        <v>20</v>
      </c>
      <c r="L5799" s="11" t="n">
        <v>41533.3820833333</v>
      </c>
      <c r="M5799" s="12" t="s">
        <v>72</v>
      </c>
      <c r="N5799" s="12" t="s">
        <v>13411</v>
      </c>
      <c r="O5799" s="9" t="str">
        <f aca="false">HYPERLINK("https://pbs.twimg.com/profile_images/742588023829716993/qpJV6ocr_normal.jpg","View")</f>
        <v>View</v>
      </c>
      <c r="P5799" s="10"/>
    </row>
    <row r="5800" customFormat="false" ht="15.75" hidden="false" customHeight="false" outlineLevel="0" collapsed="false">
      <c r="A5800" s="6" t="n">
        <v>43030.9753819445</v>
      </c>
      <c r="B5800" s="7" t="str">
        <f aca="false">HYPERLINK("https://twitter.com/mgungakiduo","@mgungakiduo")</f>
        <v>@mgungakiduo</v>
      </c>
      <c r="C5800" s="8" t="s">
        <v>13391</v>
      </c>
      <c r="D5800" s="8" t="s">
        <v>3646</v>
      </c>
      <c r="E5800" s="9" t="str">
        <f aca="false">HYPERLINK("https://twitter.com/mgungakiduo/status/922347995806478336","922347995806478336")</f>
        <v>922347995806478336</v>
      </c>
      <c r="F5800" s="10" t="s">
        <v>51</v>
      </c>
      <c r="G5800" s="10" t="n">
        <v>1709</v>
      </c>
      <c r="H5800" s="10" t="n">
        <v>4999</v>
      </c>
      <c r="I5800" s="10" t="n">
        <v>71</v>
      </c>
      <c r="J5800" s="10" t="n">
        <v>0</v>
      </c>
      <c r="K5800" s="10" t="s">
        <v>20</v>
      </c>
      <c r="L5800" s="11" t="n">
        <v>41899.8994791667</v>
      </c>
      <c r="M5800" s="12" t="s">
        <v>13392</v>
      </c>
      <c r="N5800" s="12" t="s">
        <v>13393</v>
      </c>
      <c r="O5800" s="9" t="str">
        <f aca="false">HYPERLINK("https://pbs.twimg.com/profile_images/923075860856438785/bQM1mxiz_normal.jpg","View")</f>
        <v>View</v>
      </c>
      <c r="P5800" s="10"/>
    </row>
    <row r="5801" customFormat="false" ht="15.75" hidden="false" customHeight="false" outlineLevel="0" collapsed="false">
      <c r="A5801" s="6" t="n">
        <v>43030.9754166667</v>
      </c>
      <c r="B5801" s="7" t="str">
        <f aca="false">HYPERLINK("https://twitter.com/SpokesmanTweets","@SpokesmanTweets")</f>
        <v>@SpokesmanTweets</v>
      </c>
      <c r="C5801" s="8" t="s">
        <v>13412</v>
      </c>
      <c r="D5801" s="8" t="s">
        <v>13413</v>
      </c>
      <c r="E5801" s="9" t="str">
        <f aca="false">HYPERLINK("https://twitter.com/SpokesmanTweets/status/922348008158588928","922348008158588928")</f>
        <v>922348008158588928</v>
      </c>
      <c r="F5801" s="10" t="s">
        <v>39</v>
      </c>
      <c r="G5801" s="10" t="n">
        <v>38150</v>
      </c>
      <c r="H5801" s="10" t="n">
        <v>54</v>
      </c>
      <c r="I5801" s="10" t="n">
        <v>0</v>
      </c>
      <c r="J5801" s="10" t="n">
        <v>0</v>
      </c>
      <c r="K5801" s="10" t="s">
        <v>20</v>
      </c>
      <c r="L5801" s="11" t="n">
        <v>41178.9371527778</v>
      </c>
      <c r="M5801" s="12" t="s">
        <v>13414</v>
      </c>
      <c r="N5801" s="12" t="s">
        <v>13415</v>
      </c>
      <c r="O5801" s="9" t="str">
        <f aca="false">HYPERLINK("https://pbs.twimg.com/profile_images/915440768331898880/iXNbxIme_normal.jpg","View")</f>
        <v>View</v>
      </c>
      <c r="P5801" s="10"/>
    </row>
    <row r="5802" customFormat="false" ht="15.75" hidden="false" customHeight="false" outlineLevel="0" collapsed="false">
      <c r="A5802" s="6" t="n">
        <v>43030.9754166667</v>
      </c>
      <c r="B5802" s="7" t="str">
        <f aca="false">HYPERLINK("https://twitter.com/KoreaCenterHQ","@KoreaCenterHQ")</f>
        <v>@KoreaCenterHQ</v>
      </c>
      <c r="C5802" s="8" t="s">
        <v>1311</v>
      </c>
      <c r="D5802" s="8" t="s">
        <v>13416</v>
      </c>
      <c r="E5802" s="9" t="str">
        <f aca="false">HYPERLINK("https://twitter.com/KoreaCenterHQ/status/922348008821444608","922348008821444608")</f>
        <v>922348008821444608</v>
      </c>
      <c r="F5802" s="10" t="s">
        <v>60</v>
      </c>
      <c r="G5802" s="10" t="n">
        <v>70</v>
      </c>
      <c r="H5802" s="10" t="n">
        <v>5</v>
      </c>
      <c r="I5802" s="10" t="n">
        <v>0</v>
      </c>
      <c r="J5802" s="10" t="n">
        <v>0</v>
      </c>
      <c r="K5802" s="10" t="s">
        <v>20</v>
      </c>
      <c r="L5802" s="11" t="n">
        <v>42259.7855092593</v>
      </c>
      <c r="M5802" s="12" t="s">
        <v>1313</v>
      </c>
      <c r="N5802" s="12" t="s">
        <v>1314</v>
      </c>
      <c r="O5802" s="9" t="str">
        <f aca="false">HYPERLINK("https://pbs.twimg.com/profile_images/902288054987182080/2Zsh6ms3_normal.jpg","View")</f>
        <v>View</v>
      </c>
      <c r="P5802" s="10"/>
    </row>
    <row r="5803" customFormat="false" ht="15.75" hidden="false" customHeight="false" outlineLevel="0" collapsed="false">
      <c r="A5803" s="6" t="n">
        <v>43030.9765972222</v>
      </c>
      <c r="B5803" s="7" t="str">
        <f aca="false">HYPERLINK("https://twitter.com/KeysMeione","@KeysMeione")</f>
        <v>@KeysMeione</v>
      </c>
      <c r="C5803" s="8" t="s">
        <v>13417</v>
      </c>
      <c r="D5803" s="8" t="s">
        <v>13114</v>
      </c>
      <c r="E5803" s="9" t="str">
        <f aca="false">HYPERLINK("https://twitter.com/KeysMeione/status/922348439186395136","922348439186395136")</f>
        <v>922348439186395136</v>
      </c>
      <c r="F5803" s="10" t="s">
        <v>25</v>
      </c>
      <c r="G5803" s="10" t="n">
        <v>15</v>
      </c>
      <c r="H5803" s="10" t="n">
        <v>391</v>
      </c>
      <c r="I5803" s="10" t="n">
        <v>19</v>
      </c>
      <c r="J5803" s="10" t="n">
        <v>0</v>
      </c>
      <c r="K5803" s="10" t="s">
        <v>20</v>
      </c>
      <c r="L5803" s="11" t="n">
        <v>42064.1980439815</v>
      </c>
      <c r="M5803" s="12" t="s">
        <v>13418</v>
      </c>
      <c r="N5803" s="12" t="s">
        <v>13419</v>
      </c>
      <c r="O5803" s="9" t="str">
        <f aca="false">HYPERLINK("https://pbs.twimg.com/profile_images/765252388517089280/Zt1qO9sK_normal.jpg","View")</f>
        <v>View</v>
      </c>
      <c r="P5803" s="10"/>
    </row>
    <row r="5804" customFormat="false" ht="15.75" hidden="false" customHeight="false" outlineLevel="0" collapsed="false">
      <c r="A5804" s="6" t="n">
        <v>43030.9767824074</v>
      </c>
      <c r="B5804" s="7" t="str">
        <f aca="false">HYPERLINK("https://twitter.com/espo0222","@espo0222")</f>
        <v>@espo0222</v>
      </c>
      <c r="C5804" s="14" t="s">
        <v>13420</v>
      </c>
      <c r="D5804" s="8" t="s">
        <v>12764</v>
      </c>
      <c r="E5804" s="9" t="str">
        <f aca="false">HYPERLINK("https://twitter.com/espo0222/status/922348504269201408","922348504269201408")</f>
        <v>922348504269201408</v>
      </c>
      <c r="F5804" s="10" t="s">
        <v>25</v>
      </c>
      <c r="G5804" s="10" t="n">
        <v>129</v>
      </c>
      <c r="H5804" s="10" t="n">
        <v>238</v>
      </c>
      <c r="I5804" s="10" t="n">
        <v>170</v>
      </c>
      <c r="J5804" s="10" t="n">
        <v>0</v>
      </c>
      <c r="K5804" s="10" t="s">
        <v>20</v>
      </c>
      <c r="L5804" s="11" t="n">
        <v>41415.2084259259</v>
      </c>
      <c r="M5804" s="12"/>
      <c r="N5804" s="12" t="s">
        <v>13421</v>
      </c>
      <c r="O5804" s="9" t="str">
        <f aca="false">HYPERLINK("https://pbs.twimg.com/profile_images/3735711095/5ba5ef5e4aa4720a88e4ee2578258ea8_normal.jpeg","View")</f>
        <v>View</v>
      </c>
      <c r="P5804" s="10"/>
    </row>
    <row r="5805" customFormat="false" ht="15.75" hidden="false" customHeight="false" outlineLevel="0" collapsed="false">
      <c r="A5805" s="6" t="n">
        <v>43030.9767824074</v>
      </c>
      <c r="B5805" s="7" t="str">
        <f aca="false">HYPERLINK("https://twitter.com/MargotLJParker","@MargotLJParker")</f>
        <v>@MargotLJParker</v>
      </c>
      <c r="C5805" s="8" t="s">
        <v>13422</v>
      </c>
      <c r="D5805" s="8" t="s">
        <v>13229</v>
      </c>
      <c r="E5805" s="9" t="str">
        <f aca="false">HYPERLINK("https://twitter.com/MargotLJParker/status/922348506060349440","922348506060349440")</f>
        <v>922348506060349440</v>
      </c>
      <c r="F5805" s="10" t="s">
        <v>2620</v>
      </c>
      <c r="G5805" s="10" t="n">
        <v>11460</v>
      </c>
      <c r="H5805" s="10" t="n">
        <v>1806</v>
      </c>
      <c r="I5805" s="10" t="n">
        <v>18</v>
      </c>
      <c r="J5805" s="10" t="n">
        <v>0</v>
      </c>
      <c r="K5805" s="10" t="s">
        <v>20</v>
      </c>
      <c r="L5805" s="11" t="n">
        <v>40245.3789236111</v>
      </c>
      <c r="M5805" s="12" t="s">
        <v>13423</v>
      </c>
      <c r="N5805" s="12" t="s">
        <v>13424</v>
      </c>
      <c r="O5805" s="9" t="str">
        <f aca="false">HYPERLINK("https://pbs.twimg.com/profile_images/567002451304120320/wpo6YwSY_normal.jpeg","View")</f>
        <v>View</v>
      </c>
      <c r="P5805" s="10"/>
    </row>
    <row r="5806" customFormat="false" ht="15.75" hidden="false" customHeight="false" outlineLevel="0" collapsed="false">
      <c r="A5806" s="6" t="n">
        <v>43030.9768287037</v>
      </c>
      <c r="B5806" s="7" t="str">
        <f aca="false">HYPERLINK("https://twitter.com/wuzei01","@wuzei01")</f>
        <v>@wuzei01</v>
      </c>
      <c r="C5806" s="8" t="s">
        <v>13425</v>
      </c>
      <c r="D5806" s="8" t="s">
        <v>13253</v>
      </c>
      <c r="E5806" s="9" t="str">
        <f aca="false">HYPERLINK("https://twitter.com/wuzei01/status/922348522933911552","922348522933911552")</f>
        <v>922348522933911552</v>
      </c>
      <c r="F5806" s="10" t="s">
        <v>39</v>
      </c>
      <c r="G5806" s="10" t="n">
        <v>60</v>
      </c>
      <c r="H5806" s="10" t="n">
        <v>12</v>
      </c>
      <c r="I5806" s="10" t="n">
        <v>22</v>
      </c>
      <c r="J5806" s="10" t="n">
        <v>0</v>
      </c>
      <c r="K5806" s="10" t="s">
        <v>20</v>
      </c>
      <c r="L5806" s="11" t="n">
        <v>41148.8419328704</v>
      </c>
      <c r="M5806" s="12"/>
      <c r="N5806" s="12"/>
      <c r="O5806" s="9" t="str">
        <f aca="false">HYPERLINK("https://pbs.twimg.com/profile_images/915788211238006784/2R9efzIO_normal.jpg","View")</f>
        <v>View</v>
      </c>
      <c r="P5806" s="10"/>
    </row>
    <row r="5807" customFormat="false" ht="15.75" hidden="false" customHeight="false" outlineLevel="0" collapsed="false">
      <c r="A5807" s="6" t="n">
        <v>43030.9771064815</v>
      </c>
      <c r="B5807" s="7" t="str">
        <f aca="false">HYPERLINK("https://twitter.com/fanboy466","@fanboy466")</f>
        <v>@fanboy466</v>
      </c>
      <c r="C5807" s="8" t="s">
        <v>13426</v>
      </c>
      <c r="D5807" s="8" t="s">
        <v>13229</v>
      </c>
      <c r="E5807" s="9" t="str">
        <f aca="false">HYPERLINK("https://twitter.com/fanboy466/status/922348620187176961","922348620187176961")</f>
        <v>922348620187176961</v>
      </c>
      <c r="F5807" s="10" t="s">
        <v>51</v>
      </c>
      <c r="G5807" s="10" t="n">
        <v>1831</v>
      </c>
      <c r="H5807" s="10" t="n">
        <v>1111</v>
      </c>
      <c r="I5807" s="10" t="n">
        <v>18</v>
      </c>
      <c r="J5807" s="10" t="n">
        <v>0</v>
      </c>
      <c r="K5807" s="10" t="s">
        <v>20</v>
      </c>
      <c r="L5807" s="11" t="n">
        <v>42259.145</v>
      </c>
      <c r="M5807" s="12"/>
      <c r="N5807" s="12" t="s">
        <v>13427</v>
      </c>
      <c r="O5807" s="9" t="str">
        <f aca="false">HYPERLINK("https://pbs.twimg.com/profile_images/922420177735528449/dbcWKt3r_normal.jpg","View")</f>
        <v>View</v>
      </c>
      <c r="P5807" s="10"/>
    </row>
    <row r="5808" customFormat="false" ht="15.75" hidden="false" customHeight="false" outlineLevel="0" collapsed="false">
      <c r="A5808" s="6" t="n">
        <v>43030.9772337963</v>
      </c>
      <c r="B5808" s="7" t="str">
        <f aca="false">HYPERLINK("https://twitter.com/Elizabe81717420","@Elizabe81717420")</f>
        <v>@Elizabe81717420</v>
      </c>
      <c r="C5808" s="8" t="s">
        <v>13428</v>
      </c>
      <c r="D5808" s="8" t="s">
        <v>12764</v>
      </c>
      <c r="E5808" s="9" t="str">
        <f aca="false">HYPERLINK("https://twitter.com/Elizabe81717420/status/922348667045945344","922348667045945344")</f>
        <v>922348667045945344</v>
      </c>
      <c r="F5808" s="10" t="s">
        <v>51</v>
      </c>
      <c r="G5808" s="10" t="n">
        <v>592</v>
      </c>
      <c r="H5808" s="10" t="n">
        <v>539</v>
      </c>
      <c r="I5808" s="10" t="n">
        <v>170</v>
      </c>
      <c r="J5808" s="10" t="n">
        <v>0</v>
      </c>
      <c r="K5808" s="10" t="s">
        <v>20</v>
      </c>
      <c r="L5808" s="11" t="n">
        <v>42750.1005439815</v>
      </c>
      <c r="M5808" s="12" t="s">
        <v>13429</v>
      </c>
      <c r="N5808" s="12" t="s">
        <v>13430</v>
      </c>
      <c r="O5808" s="9" t="str">
        <f aca="false">HYPERLINK("https://pbs.twimg.com/profile_images/876974884819156992/By0Z-5R2_normal.jpg","View")</f>
        <v>View</v>
      </c>
      <c r="P5808" s="10"/>
    </row>
    <row r="5809" customFormat="false" ht="15.75" hidden="false" customHeight="false" outlineLevel="0" collapsed="false">
      <c r="A5809" s="6" t="n">
        <v>43030.9775462963</v>
      </c>
      <c r="B5809" s="7" t="str">
        <f aca="false">HYPERLINK("https://twitter.com/cal2stahs","@cal2stahs")</f>
        <v>@cal2stahs</v>
      </c>
      <c r="C5809" s="8" t="s">
        <v>13431</v>
      </c>
      <c r="D5809" s="8" t="s">
        <v>12764</v>
      </c>
      <c r="E5809" s="9" t="str">
        <f aca="false">HYPERLINK("https://twitter.com/cal2stahs/status/922348780065665024","922348780065665024")</f>
        <v>922348780065665024</v>
      </c>
      <c r="F5809" s="10" t="s">
        <v>25</v>
      </c>
      <c r="G5809" s="10" t="n">
        <v>21</v>
      </c>
      <c r="H5809" s="10" t="n">
        <v>78</v>
      </c>
      <c r="I5809" s="10" t="n">
        <v>170</v>
      </c>
      <c r="J5809" s="10" t="n">
        <v>0</v>
      </c>
      <c r="K5809" s="10" t="s">
        <v>20</v>
      </c>
      <c r="L5809" s="11" t="n">
        <v>42937.3135648148</v>
      </c>
      <c r="M5809" s="12"/>
      <c r="N5809" s="12" t="s">
        <v>13432</v>
      </c>
      <c r="O5809" s="9" t="str">
        <f aca="false">HYPERLINK("https://pbs.twimg.com/profile_images/888407131782651905/cFCu7ys8_normal.jpg","View")</f>
        <v>View</v>
      </c>
      <c r="P5809" s="10"/>
    </row>
    <row r="5810" customFormat="false" ht="15.75" hidden="false" customHeight="false" outlineLevel="0" collapsed="false">
      <c r="A5810" s="6" t="n">
        <v>43030.9776967593</v>
      </c>
      <c r="B5810" s="7" t="str">
        <f aca="false">HYPERLINK("https://twitter.com/ChoudharyKadir","@ChoudharyKadir")</f>
        <v>@ChoudharyKadir</v>
      </c>
      <c r="C5810" s="8" t="s">
        <v>13304</v>
      </c>
      <c r="D5810" s="8" t="s">
        <v>13433</v>
      </c>
      <c r="E5810" s="9" t="str">
        <f aca="false">HYPERLINK("https://twitter.com/ChoudharyKadir/status/922348833970954240","922348833970954240")</f>
        <v>922348833970954240</v>
      </c>
      <c r="F5810" s="10" t="s">
        <v>25</v>
      </c>
      <c r="G5810" s="10" t="n">
        <v>28</v>
      </c>
      <c r="H5810" s="10" t="n">
        <v>348</v>
      </c>
      <c r="I5810" s="10" t="n">
        <v>0</v>
      </c>
      <c r="J5810" s="10" t="n">
        <v>0</v>
      </c>
      <c r="K5810" s="10" t="s">
        <v>20</v>
      </c>
      <c r="L5810" s="11" t="n">
        <v>41437.491712963</v>
      </c>
      <c r="M5810" s="12"/>
      <c r="N5810" s="12" t="s">
        <v>13306</v>
      </c>
      <c r="O5810" s="9" t="str">
        <f aca="false">HYPERLINK("https://pbs.twimg.com/profile_images/921843703374688256/z3BKyiH7_normal.jpg","View")</f>
        <v>View</v>
      </c>
      <c r="P5810" s="10"/>
    </row>
    <row r="5811" customFormat="false" ht="15.75" hidden="false" customHeight="false" outlineLevel="0" collapsed="false">
      <c r="A5811" s="6" t="n">
        <v>43030.9778472222</v>
      </c>
      <c r="B5811" s="7" t="str">
        <f aca="false">HYPERLINK("https://twitter.com/iyernbk","@iyernbk")</f>
        <v>@iyernbk</v>
      </c>
      <c r="C5811" s="8" t="s">
        <v>13434</v>
      </c>
      <c r="D5811" s="8" t="s">
        <v>8538</v>
      </c>
      <c r="E5811" s="9" t="str">
        <f aca="false">HYPERLINK("https://twitter.com/iyernbk/status/922348891000905728","922348891000905728")</f>
        <v>922348891000905728</v>
      </c>
      <c r="F5811" s="10" t="s">
        <v>25</v>
      </c>
      <c r="G5811" s="10" t="n">
        <v>302</v>
      </c>
      <c r="H5811" s="10" t="n">
        <v>444</v>
      </c>
      <c r="I5811" s="10" t="n">
        <v>1015</v>
      </c>
      <c r="J5811" s="10" t="n">
        <v>0</v>
      </c>
      <c r="K5811" s="10" t="s">
        <v>20</v>
      </c>
      <c r="L5811" s="11" t="n">
        <v>40224.8954513889</v>
      </c>
      <c r="M5811" s="12"/>
      <c r="N5811" s="12" t="s">
        <v>13435</v>
      </c>
      <c r="O5811" s="9" t="str">
        <f aca="false">HYPERLINK("https://pbs.twimg.com/profile_images/823235153426337793/p2TjIPda_normal.jpg","View")</f>
        <v>View</v>
      </c>
      <c r="P5811" s="10"/>
    </row>
    <row r="5812" customFormat="false" ht="15.75" hidden="false" customHeight="false" outlineLevel="0" collapsed="false">
      <c r="A5812" s="6" t="n">
        <v>43030.9778587963</v>
      </c>
      <c r="B5812" s="7" t="str">
        <f aca="false">HYPERLINK("https://twitter.com/Lauren__Fayeee","@Lauren__Fayeee")</f>
        <v>@Lauren__Fayeee</v>
      </c>
      <c r="C5812" s="8" t="s">
        <v>13436</v>
      </c>
      <c r="D5812" s="8" t="s">
        <v>13114</v>
      </c>
      <c r="E5812" s="9" t="str">
        <f aca="false">HYPERLINK("https://twitter.com/Lauren__Fayeee/status/922348895577010176","922348895577010176")</f>
        <v>922348895577010176</v>
      </c>
      <c r="F5812" s="10" t="s">
        <v>25</v>
      </c>
      <c r="G5812" s="10" t="n">
        <v>56</v>
      </c>
      <c r="H5812" s="10" t="n">
        <v>1731</v>
      </c>
      <c r="I5812" s="10" t="n">
        <v>19</v>
      </c>
      <c r="J5812" s="10" t="n">
        <v>0</v>
      </c>
      <c r="K5812" s="10" t="s">
        <v>20</v>
      </c>
      <c r="L5812" s="11" t="n">
        <v>41740.3481018519</v>
      </c>
      <c r="M5812" s="12" t="s">
        <v>13437</v>
      </c>
      <c r="N5812" s="12"/>
      <c r="O5812" s="9" t="str">
        <f aca="false">HYPERLINK("https://pbs.twimg.com/profile_images/749750052307005440/L2pcJysA_normal.jpg","View")</f>
        <v>View</v>
      </c>
      <c r="P5812" s="10"/>
    </row>
    <row r="5813" customFormat="false" ht="15.75" hidden="false" customHeight="false" outlineLevel="0" collapsed="false">
      <c r="A5813" s="6" t="n">
        <v>43030.9778935185</v>
      </c>
      <c r="B5813" s="7" t="str">
        <f aca="false">HYPERLINK("https://twitter.com/jaimeotero_","@jaimeotero_")</f>
        <v>@jaimeotero_</v>
      </c>
      <c r="C5813" s="8" t="s">
        <v>205</v>
      </c>
      <c r="D5813" s="8" t="s">
        <v>13438</v>
      </c>
      <c r="E5813" s="9" t="str">
        <f aca="false">HYPERLINK("https://twitter.com/jaimeotero_/status/922348906339557376","922348906339557376")</f>
        <v>922348906339557376</v>
      </c>
      <c r="F5813" s="10" t="s">
        <v>60</v>
      </c>
      <c r="G5813" s="10" t="n">
        <v>34488</v>
      </c>
      <c r="H5813" s="10" t="n">
        <v>31251</v>
      </c>
      <c r="I5813" s="10" t="n">
        <v>0</v>
      </c>
      <c r="J5813" s="10" t="n">
        <v>0</v>
      </c>
      <c r="K5813" s="10" t="s">
        <v>20</v>
      </c>
      <c r="L5813" s="11" t="n">
        <v>42531.0121990741</v>
      </c>
      <c r="M5813" s="12" t="s">
        <v>207</v>
      </c>
      <c r="N5813" s="12" t="s">
        <v>208</v>
      </c>
      <c r="O5813" s="9" t="str">
        <f aca="false">HYPERLINK("https://pbs.twimg.com/profile_images/849817561281818626/acAU04SD_normal.jpg","View")</f>
        <v>View</v>
      </c>
      <c r="P5813" s="10"/>
    </row>
    <row r="5814" customFormat="false" ht="15.75" hidden="false" customHeight="false" outlineLevel="0" collapsed="false">
      <c r="A5814" s="6" t="n">
        <v>43030.9780208333</v>
      </c>
      <c r="B5814" s="7" t="str">
        <f aca="false">HYPERLINK("https://twitter.com/gossipdatabase","@gossipdatabase")</f>
        <v>@gossipdatabase</v>
      </c>
      <c r="C5814" s="8" t="s">
        <v>13439</v>
      </c>
      <c r="D5814" s="8" t="s">
        <v>8538</v>
      </c>
      <c r="E5814" s="9" t="str">
        <f aca="false">HYPERLINK("https://twitter.com/gossipdatabase/status/922348953416359936","922348953416359936")</f>
        <v>922348953416359936</v>
      </c>
      <c r="F5814" s="10" t="s">
        <v>25</v>
      </c>
      <c r="G5814" s="10" t="n">
        <v>2153</v>
      </c>
      <c r="H5814" s="10" t="n">
        <v>466</v>
      </c>
      <c r="I5814" s="10" t="n">
        <v>1015</v>
      </c>
      <c r="J5814" s="10" t="n">
        <v>0</v>
      </c>
      <c r="K5814" s="10" t="s">
        <v>20</v>
      </c>
      <c r="L5814" s="11" t="n">
        <v>39891.5582175926</v>
      </c>
      <c r="M5814" s="12" t="s">
        <v>13440</v>
      </c>
      <c r="N5814" s="12" t="s">
        <v>13441</v>
      </c>
      <c r="O5814" s="9" t="str">
        <f aca="false">HYPERLINK("https://pbs.twimg.com/profile_images/909348909725523968/HTspJfaV_normal.jpg","View")</f>
        <v>View</v>
      </c>
      <c r="P5814" s="10"/>
    </row>
    <row r="5815" customFormat="false" ht="15.75" hidden="false" customHeight="false" outlineLevel="0" collapsed="false">
      <c r="A5815" s="6" t="n">
        <v>43030.978275463</v>
      </c>
      <c r="B5815" s="7" t="str">
        <f aca="false">HYPERLINK("https://twitter.com/newsRetweeter17","@newsRetweeter17")</f>
        <v>@newsRetweeter17</v>
      </c>
      <c r="C5815" s="8" t="s">
        <v>6445</v>
      </c>
      <c r="D5815" s="8" t="s">
        <v>12764</v>
      </c>
      <c r="E5815" s="9" t="str">
        <f aca="false">HYPERLINK("https://twitter.com/newsRetweeter17/status/922349044206317568","922349044206317568")</f>
        <v>922349044206317568</v>
      </c>
      <c r="F5815" s="10" t="s">
        <v>6446</v>
      </c>
      <c r="G5815" s="10" t="n">
        <v>705</v>
      </c>
      <c r="H5815" s="10" t="n">
        <v>1235</v>
      </c>
      <c r="I5815" s="10" t="n">
        <v>170</v>
      </c>
      <c r="J5815" s="10" t="n">
        <v>0</v>
      </c>
      <c r="K5815" s="10" t="s">
        <v>20</v>
      </c>
      <c r="L5815" s="11" t="n">
        <v>42910.8180555556</v>
      </c>
      <c r="M5815" s="12" t="s">
        <v>6447</v>
      </c>
      <c r="N5815" s="12" t="s">
        <v>6448</v>
      </c>
      <c r="O5815" s="9" t="str">
        <f aca="false">HYPERLINK("https://pbs.twimg.com/profile_images/881904263567364102/uReXZqrp_normal.jpg","View")</f>
        <v>View</v>
      </c>
      <c r="P5815" s="10"/>
    </row>
    <row r="5816" customFormat="false" ht="15.75" hidden="false" customHeight="false" outlineLevel="0" collapsed="false">
      <c r="A5816" s="6" t="n">
        <v>43030.9783101852</v>
      </c>
      <c r="B5816" s="7" t="str">
        <f aca="false">HYPERLINK("https://twitter.com/bousui","@bousui")</f>
        <v>@bousui</v>
      </c>
      <c r="C5816" s="14" t="s">
        <v>13442</v>
      </c>
      <c r="D5816" s="8" t="s">
        <v>12493</v>
      </c>
      <c r="E5816" s="9" t="str">
        <f aca="false">HYPERLINK("https://twitter.com/bousui/status/922349058462662656","922349058462662656")</f>
        <v>922349058462662656</v>
      </c>
      <c r="F5816" s="10" t="s">
        <v>25</v>
      </c>
      <c r="G5816" s="10" t="n">
        <v>654</v>
      </c>
      <c r="H5816" s="10" t="n">
        <v>789</v>
      </c>
      <c r="I5816" s="10" t="n">
        <v>63</v>
      </c>
      <c r="J5816" s="10" t="n">
        <v>0</v>
      </c>
      <c r="K5816" s="10" t="s">
        <v>20</v>
      </c>
      <c r="L5816" s="11" t="n">
        <v>40189.9562384259</v>
      </c>
      <c r="M5816" s="13" t="s">
        <v>13443</v>
      </c>
      <c r="N5816" s="13" t="s">
        <v>13444</v>
      </c>
      <c r="O5816" s="9" t="str">
        <f aca="false">HYPERLINK("https://pbs.twimg.com/profile_images/1509665011/F1000003_normal.jpg","View")</f>
        <v>View</v>
      </c>
      <c r="P5816" s="10"/>
    </row>
    <row r="5817" customFormat="false" ht="15.75" hidden="false" customHeight="false" outlineLevel="0" collapsed="false">
      <c r="A5817" s="6" t="n">
        <v>43030.978587963</v>
      </c>
      <c r="B5817" s="7" t="str">
        <f aca="false">HYPERLINK("https://twitter.com/carcasspack","@carcasspack")</f>
        <v>@carcasspack</v>
      </c>
      <c r="C5817" s="8" t="s">
        <v>13445</v>
      </c>
      <c r="D5817" s="8" t="s">
        <v>13172</v>
      </c>
      <c r="E5817" s="9" t="str">
        <f aca="false">HYPERLINK("https://twitter.com/carcasspack/status/922349159335698432","922349159335698432")</f>
        <v>922349159335698432</v>
      </c>
      <c r="F5817" s="10" t="s">
        <v>25</v>
      </c>
      <c r="G5817" s="10" t="n">
        <v>37</v>
      </c>
      <c r="H5817" s="10" t="n">
        <v>95</v>
      </c>
      <c r="I5817" s="10" t="n">
        <v>26</v>
      </c>
      <c r="J5817" s="10" t="n">
        <v>0</v>
      </c>
      <c r="K5817" s="10" t="s">
        <v>20</v>
      </c>
      <c r="L5817" s="11" t="n">
        <v>40559.8383796296</v>
      </c>
      <c r="M5817" s="12" t="s">
        <v>13446</v>
      </c>
      <c r="N5817" s="13" t="s">
        <v>13447</v>
      </c>
      <c r="O5817" s="9" t="str">
        <f aca="false">HYPERLINK("https://pbs.twimg.com/profile_images/626322673648308224/ZJPcXUAF_normal.jpg","View")</f>
        <v>View</v>
      </c>
      <c r="P5817" s="10"/>
    </row>
    <row r="5818" customFormat="false" ht="15.75" hidden="false" customHeight="false" outlineLevel="0" collapsed="false">
      <c r="A5818" s="6" t="n">
        <v>43030.9786689815</v>
      </c>
      <c r="B5818" s="7" t="str">
        <f aca="false">HYPERLINK("https://twitter.com/krprasoon2012","@krprasoon2012")</f>
        <v>@krprasoon2012</v>
      </c>
      <c r="C5818" s="8" t="s">
        <v>13448</v>
      </c>
      <c r="D5818" s="8" t="s">
        <v>8538</v>
      </c>
      <c r="E5818" s="9" t="str">
        <f aca="false">HYPERLINK("https://twitter.com/krprasoon2012/status/922349186900570113","922349186900570113")</f>
        <v>922349186900570113</v>
      </c>
      <c r="F5818" s="10" t="s">
        <v>25</v>
      </c>
      <c r="G5818" s="10" t="n">
        <v>295</v>
      </c>
      <c r="H5818" s="10" t="n">
        <v>4994</v>
      </c>
      <c r="I5818" s="10" t="n">
        <v>1015</v>
      </c>
      <c r="J5818" s="10" t="n">
        <v>0</v>
      </c>
      <c r="K5818" s="10" t="s">
        <v>20</v>
      </c>
      <c r="L5818" s="11" t="n">
        <v>41407.2960416667</v>
      </c>
      <c r="M5818" s="12"/>
      <c r="N5818" s="12"/>
      <c r="O5818" s="9" t="str">
        <f aca="false">HYPERLINK("https://pbs.twimg.com/profile_images/839875016720277504/B3juNwLU_normal.jpg","View")</f>
        <v>View</v>
      </c>
      <c r="P5818" s="10"/>
    </row>
    <row r="5819" customFormat="false" ht="15.75" hidden="false" customHeight="false" outlineLevel="0" collapsed="false">
      <c r="A5819" s="6" t="n">
        <v>43030.9787152778</v>
      </c>
      <c r="B5819" s="7" t="str">
        <f aca="false">HYPERLINK("https://twitter.com/rob3knews","@rob3knews")</f>
        <v>@rob3knews</v>
      </c>
      <c r="C5819" s="8" t="s">
        <v>13449</v>
      </c>
      <c r="D5819" s="8" t="s">
        <v>13450</v>
      </c>
      <c r="E5819" s="9" t="str">
        <f aca="false">HYPERLINK("https://twitter.com/rob3knews/status/922349204336467968","922349204336467968")</f>
        <v>922349204336467968</v>
      </c>
      <c r="F5819" s="10" t="s">
        <v>55</v>
      </c>
      <c r="G5819" s="10" t="n">
        <v>23</v>
      </c>
      <c r="H5819" s="10" t="n">
        <v>0</v>
      </c>
      <c r="I5819" s="10" t="n">
        <v>0</v>
      </c>
      <c r="J5819" s="10" t="n">
        <v>0</v>
      </c>
      <c r="K5819" s="10" t="s">
        <v>20</v>
      </c>
      <c r="L5819" s="11" t="n">
        <v>40659.2846527778</v>
      </c>
      <c r="M5819" s="12"/>
      <c r="N5819" s="12"/>
      <c r="O5819" s="9" t="str">
        <f aca="false">HYPERLINK("https://abs.twimg.com/sticky/default_profile_images/default_profile_normal.png","View")</f>
        <v>View</v>
      </c>
      <c r="P5819" s="10"/>
    </row>
    <row r="5820" customFormat="false" ht="15.75" hidden="false" customHeight="false" outlineLevel="0" collapsed="false">
      <c r="A5820" s="6" t="n">
        <v>43030.9793402778</v>
      </c>
      <c r="B5820" s="7" t="str">
        <f aca="false">HYPERLINK("https://twitter.com/manu_bhaarat","@manu_bhaarat")</f>
        <v>@manu_bhaarat</v>
      </c>
      <c r="C5820" s="8" t="s">
        <v>13451</v>
      </c>
      <c r="D5820" s="8" t="s">
        <v>8538</v>
      </c>
      <c r="E5820" s="9" t="str">
        <f aca="false">HYPERLINK("https://twitter.com/manu_bhaarat/status/922349433177739264","922349433177739264")</f>
        <v>922349433177739264</v>
      </c>
      <c r="F5820" s="10" t="s">
        <v>51</v>
      </c>
      <c r="G5820" s="10" t="n">
        <v>147</v>
      </c>
      <c r="H5820" s="10" t="n">
        <v>748</v>
      </c>
      <c r="I5820" s="10" t="n">
        <v>1015</v>
      </c>
      <c r="J5820" s="10" t="n">
        <v>0</v>
      </c>
      <c r="K5820" s="10" t="s">
        <v>20</v>
      </c>
      <c r="L5820" s="11" t="n">
        <v>40817.2300694444</v>
      </c>
      <c r="M5820" s="12"/>
      <c r="N5820" s="12" t="s">
        <v>13452</v>
      </c>
      <c r="O5820" s="9" t="str">
        <f aca="false">HYPERLINK("https://pbs.twimg.com/profile_images/625705211571482624/7RfXFz0n_normal.jpg","View")</f>
        <v>View</v>
      </c>
      <c r="P5820" s="10"/>
    </row>
    <row r="5821" customFormat="false" ht="15.75" hidden="false" customHeight="false" outlineLevel="0" collapsed="false">
      <c r="A5821" s="6" t="n">
        <v>43030.9796643518</v>
      </c>
      <c r="B5821" s="7" t="str">
        <f aca="false">HYPERLINK("https://twitter.com/Tekki_VR","@Tekki_VR")</f>
        <v>@Tekki_VR</v>
      </c>
      <c r="C5821" s="8" t="s">
        <v>225</v>
      </c>
      <c r="D5821" s="8" t="s">
        <v>13453</v>
      </c>
      <c r="E5821" s="9" t="str">
        <f aca="false">HYPERLINK("https://twitter.com/Tekki_VR/status/922349547543781376","922349547543781376")</f>
        <v>922349547543781376</v>
      </c>
      <c r="F5821" s="10" t="s">
        <v>60</v>
      </c>
      <c r="G5821" s="10" t="n">
        <v>1895</v>
      </c>
      <c r="H5821" s="10" t="n">
        <v>2479</v>
      </c>
      <c r="I5821" s="10" t="n">
        <v>0</v>
      </c>
      <c r="J5821" s="10" t="n">
        <v>0</v>
      </c>
      <c r="K5821" s="10" t="s">
        <v>20</v>
      </c>
      <c r="L5821" s="11" t="n">
        <v>42263.5455324074</v>
      </c>
      <c r="M5821" s="12" t="s">
        <v>227</v>
      </c>
      <c r="N5821" s="12" t="s">
        <v>228</v>
      </c>
      <c r="O5821" s="9" t="str">
        <f aca="false">HYPERLINK("https://pbs.twimg.com/profile_images/760662770694098944/h1nSBfE8_normal.jpg","View")</f>
        <v>View</v>
      </c>
      <c r="P5821" s="10"/>
    </row>
    <row r="5822" customFormat="false" ht="15.75" hidden="false" customHeight="false" outlineLevel="0" collapsed="false">
      <c r="A5822" s="6" t="n">
        <v>43030.9796990741</v>
      </c>
      <c r="B5822" s="7" t="str">
        <f aca="false">HYPERLINK("https://twitter.com/David____Brentt","@David____Brentt")</f>
        <v>@David____Brentt</v>
      </c>
      <c r="C5822" s="8" t="s">
        <v>13454</v>
      </c>
      <c r="D5822" s="8" t="s">
        <v>13455</v>
      </c>
      <c r="E5822" s="9" t="str">
        <f aca="false">HYPERLINK("https://twitter.com/David____Brentt/status/922349560764170242","922349560764170242")</f>
        <v>922349560764170242</v>
      </c>
      <c r="F5822" s="10" t="s">
        <v>110</v>
      </c>
      <c r="G5822" s="10" t="n">
        <v>3</v>
      </c>
      <c r="H5822" s="10" t="n">
        <v>5</v>
      </c>
      <c r="I5822" s="10" t="n">
        <v>0</v>
      </c>
      <c r="J5822" s="10" t="n">
        <v>0</v>
      </c>
      <c r="K5822" s="10" t="s">
        <v>20</v>
      </c>
      <c r="L5822" s="11" t="n">
        <v>41494.8566898148</v>
      </c>
      <c r="M5822" s="12"/>
      <c r="N5822" s="12"/>
      <c r="O5822" s="9" t="str">
        <f aca="false">HYPERLINK("https://abs.twimg.com/sticky/default_profile_images/default_profile_normal.png","View")</f>
        <v>View</v>
      </c>
      <c r="P5822" s="10"/>
    </row>
    <row r="5823" customFormat="false" ht="15.75" hidden="false" customHeight="false" outlineLevel="0" collapsed="false">
      <c r="A5823" s="6" t="n">
        <v>43030.9797106481</v>
      </c>
      <c r="B5823" s="7" t="str">
        <f aca="false">HYPERLINK("https://twitter.com/theprogressive1","@theprogressive1")</f>
        <v>@theprogressive1</v>
      </c>
      <c r="C5823" s="8" t="s">
        <v>13456</v>
      </c>
      <c r="D5823" s="8" t="s">
        <v>13457</v>
      </c>
      <c r="E5823" s="9" t="str">
        <f aca="false">HYPERLINK("https://twitter.com/theprogressive1/status/922349564253884417","922349564253884417")</f>
        <v>922349564253884417</v>
      </c>
      <c r="F5823" s="10" t="s">
        <v>110</v>
      </c>
      <c r="G5823" s="10" t="n">
        <v>52</v>
      </c>
      <c r="H5823" s="10" t="n">
        <v>79</v>
      </c>
      <c r="I5823" s="10" t="n">
        <v>0</v>
      </c>
      <c r="J5823" s="10" t="n">
        <v>0</v>
      </c>
      <c r="K5823" s="10" t="s">
        <v>20</v>
      </c>
      <c r="L5823" s="11" t="n">
        <v>40385.9000231482</v>
      </c>
      <c r="M5823" s="12"/>
      <c r="N5823" s="12"/>
      <c r="O5823" s="9" t="str">
        <f aca="false">HYPERLINK("https://abs.twimg.com/sticky/default_profile_images/default_profile_normal.png","View")</f>
        <v>View</v>
      </c>
      <c r="P5823" s="10"/>
    </row>
    <row r="5824" customFormat="false" ht="15.75" hidden="false" customHeight="false" outlineLevel="0" collapsed="false">
      <c r="A5824" s="6" t="n">
        <v>43030.9797106481</v>
      </c>
      <c r="B5824" s="7" t="str">
        <f aca="false">HYPERLINK("https://twitter.com/SaraGomezAranci","@SaraGomezAranci")</f>
        <v>@SaraGomezAranci</v>
      </c>
      <c r="C5824" s="8" t="s">
        <v>1443</v>
      </c>
      <c r="D5824" s="8" t="s">
        <v>13172</v>
      </c>
      <c r="E5824" s="9" t="str">
        <f aca="false">HYPERLINK("https://twitter.com/SaraGomezAranci/status/922349567236026369","922349567236026369")</f>
        <v>922349567236026369</v>
      </c>
      <c r="F5824" s="10" t="s">
        <v>51</v>
      </c>
      <c r="G5824" s="10" t="n">
        <v>1718</v>
      </c>
      <c r="H5824" s="10" t="n">
        <v>434</v>
      </c>
      <c r="I5824" s="10" t="n">
        <v>26</v>
      </c>
      <c r="J5824" s="10" t="n">
        <v>0</v>
      </c>
      <c r="K5824" s="10" t="s">
        <v>20</v>
      </c>
      <c r="L5824" s="11" t="n">
        <v>41277.0701041667</v>
      </c>
      <c r="M5824" s="12"/>
      <c r="N5824" s="12" t="s">
        <v>1444</v>
      </c>
      <c r="O5824" s="9" t="str">
        <f aca="false">HYPERLINK("https://pbs.twimg.com/profile_images/909880427351068674/WzgGubCv_normal.jpg","View")</f>
        <v>View</v>
      </c>
      <c r="P5824" s="10"/>
    </row>
    <row r="5825" customFormat="false" ht="15.75" hidden="false" customHeight="false" outlineLevel="0" collapsed="false">
      <c r="A5825" s="6" t="n">
        <v>43030.979837963</v>
      </c>
      <c r="B5825" s="7" t="str">
        <f aca="false">HYPERLINK("https://twitter.com/SaraGomezAranci","@SaraGomezAranci")</f>
        <v>@SaraGomezAranci</v>
      </c>
      <c r="C5825" s="8" t="s">
        <v>1443</v>
      </c>
      <c r="D5825" s="8" t="s">
        <v>13253</v>
      </c>
      <c r="E5825" s="9" t="str">
        <f aca="false">HYPERLINK("https://twitter.com/SaraGomezAranci/status/922349610634547200","922349610634547200")</f>
        <v>922349610634547200</v>
      </c>
      <c r="F5825" s="10" t="s">
        <v>51</v>
      </c>
      <c r="G5825" s="10" t="n">
        <v>1718</v>
      </c>
      <c r="H5825" s="10" t="n">
        <v>434</v>
      </c>
      <c r="I5825" s="10" t="n">
        <v>22</v>
      </c>
      <c r="J5825" s="10" t="n">
        <v>0</v>
      </c>
      <c r="K5825" s="10" t="s">
        <v>20</v>
      </c>
      <c r="L5825" s="11" t="n">
        <v>41277.0701041667</v>
      </c>
      <c r="M5825" s="12"/>
      <c r="N5825" s="12" t="s">
        <v>1444</v>
      </c>
      <c r="O5825" s="9" t="str">
        <f aca="false">HYPERLINK("https://pbs.twimg.com/profile_images/909880427351068674/WzgGubCv_normal.jpg","View")</f>
        <v>View</v>
      </c>
      <c r="P5825" s="10"/>
    </row>
    <row r="5826" customFormat="false" ht="15.75" hidden="false" customHeight="false" outlineLevel="0" collapsed="false">
      <c r="A5826" s="6" t="n">
        <v>43030.9798842593</v>
      </c>
      <c r="B5826" s="7" t="str">
        <f aca="false">HYPERLINK("https://twitter.com/MobileTech_News","@MobileTech_News")</f>
        <v>@MobileTech_News</v>
      </c>
      <c r="C5826" s="8" t="s">
        <v>13458</v>
      </c>
      <c r="D5826" s="8" t="s">
        <v>13459</v>
      </c>
      <c r="E5826" s="9" t="str">
        <f aca="false">HYPERLINK("https://twitter.com/MobileTech_News/status/922349629420769280","922349629420769280")</f>
        <v>922349629420769280</v>
      </c>
      <c r="F5826" s="10" t="s">
        <v>47</v>
      </c>
      <c r="G5826" s="10" t="n">
        <v>1925</v>
      </c>
      <c r="H5826" s="10" t="n">
        <v>4162</v>
      </c>
      <c r="I5826" s="10" t="n">
        <v>0</v>
      </c>
      <c r="J5826" s="10" t="n">
        <v>0</v>
      </c>
      <c r="K5826" s="10" t="s">
        <v>20</v>
      </c>
      <c r="L5826" s="11" t="n">
        <v>41533.9336805556</v>
      </c>
      <c r="M5826" s="12" t="s">
        <v>1104</v>
      </c>
      <c r="N5826" s="12" t="s">
        <v>13460</v>
      </c>
      <c r="O5826" s="9" t="str">
        <f aca="false">HYPERLINK("https://pbs.twimg.com/profile_images/465005428246462464/YRgl2gSF_normal.jpeg","View")</f>
        <v>View</v>
      </c>
      <c r="P5826" s="10"/>
    </row>
    <row r="5827" customFormat="false" ht="15.75" hidden="false" customHeight="false" outlineLevel="0" collapsed="false">
      <c r="A5827" s="6" t="n">
        <v>43030.9799884259</v>
      </c>
      <c r="B5827" s="7" t="str">
        <f aca="false">HYPERLINK("https://twitter.com/margo94","@margo94")</f>
        <v>@margo94</v>
      </c>
      <c r="C5827" s="8" t="s">
        <v>13461</v>
      </c>
      <c r="D5827" s="8" t="s">
        <v>13253</v>
      </c>
      <c r="E5827" s="9" t="str">
        <f aca="false">HYPERLINK("https://twitter.com/margo94/status/922349667983216640","922349667983216640")</f>
        <v>922349667983216640</v>
      </c>
      <c r="F5827" s="10" t="s">
        <v>25</v>
      </c>
      <c r="G5827" s="10" t="n">
        <v>3023</v>
      </c>
      <c r="H5827" s="10" t="n">
        <v>4311</v>
      </c>
      <c r="I5827" s="10" t="n">
        <v>22</v>
      </c>
      <c r="J5827" s="10" t="n">
        <v>0</v>
      </c>
      <c r="K5827" s="10" t="s">
        <v>20</v>
      </c>
      <c r="L5827" s="11" t="n">
        <v>40073.501724537</v>
      </c>
      <c r="M5827" s="12" t="s">
        <v>13462</v>
      </c>
      <c r="N5827" s="12" t="s">
        <v>13463</v>
      </c>
      <c r="O5827" s="9" t="str">
        <f aca="false">HYPERLINK("https://pbs.twimg.com/profile_images/668205194958782466/9pLPypyT_normal.jpg","View")</f>
        <v>View</v>
      </c>
      <c r="P5827" s="10"/>
    </row>
    <row r="5828" customFormat="false" ht="15.75" hidden="false" customHeight="false" outlineLevel="0" collapsed="false">
      <c r="A5828" s="6" t="n">
        <v>43030.9802430556</v>
      </c>
      <c r="B5828" s="7" t="str">
        <f aca="false">HYPERLINK("https://twitter.com/hannflglan","@hannflglan")</f>
        <v>@hannflglan</v>
      </c>
      <c r="C5828" s="8" t="s">
        <v>13464</v>
      </c>
      <c r="D5828" s="8" t="s">
        <v>13114</v>
      </c>
      <c r="E5828" s="9" t="str">
        <f aca="false">HYPERLINK("https://twitter.com/hannflglan/status/922349757934088192","922349757934088192")</f>
        <v>922349757934088192</v>
      </c>
      <c r="F5828" s="10" t="s">
        <v>25</v>
      </c>
      <c r="G5828" s="10" t="n">
        <v>32</v>
      </c>
      <c r="H5828" s="10" t="n">
        <v>1326</v>
      </c>
      <c r="I5828" s="10" t="n">
        <v>19</v>
      </c>
      <c r="J5828" s="10" t="n">
        <v>0</v>
      </c>
      <c r="K5828" s="10" t="s">
        <v>20</v>
      </c>
      <c r="L5828" s="11" t="n">
        <v>41723.6937847222</v>
      </c>
      <c r="M5828" s="12" t="s">
        <v>13465</v>
      </c>
      <c r="N5828" s="12" t="s">
        <v>13466</v>
      </c>
      <c r="O5828" s="9" t="str">
        <f aca="false">HYPERLINK("https://pbs.twimg.com/profile_images/749750478477471744/E4Bd3-eM_normal.jpg","View")</f>
        <v>View</v>
      </c>
      <c r="P5828" s="10"/>
    </row>
    <row r="5829" customFormat="false" ht="15.75" hidden="false" customHeight="false" outlineLevel="0" collapsed="false">
      <c r="A5829" s="6" t="n">
        <v>43030.9807986111</v>
      </c>
      <c r="B5829" s="7" t="str">
        <f aca="false">HYPERLINK("https://twitter.com/pumpuikun","@pumpuikun")</f>
        <v>@pumpuikun</v>
      </c>
      <c r="C5829" s="8" t="s">
        <v>13467</v>
      </c>
      <c r="D5829" s="8" t="s">
        <v>11418</v>
      </c>
      <c r="E5829" s="9" t="str">
        <f aca="false">HYPERLINK("https://twitter.com/pumpuikun/status/922349960896450560","922349960896450560")</f>
        <v>922349960896450560</v>
      </c>
      <c r="F5829" s="10" t="s">
        <v>39</v>
      </c>
      <c r="G5829" s="10" t="n">
        <v>171</v>
      </c>
      <c r="H5829" s="10" t="n">
        <v>166</v>
      </c>
      <c r="I5829" s="10" t="n">
        <v>38</v>
      </c>
      <c r="J5829" s="10" t="n">
        <v>0</v>
      </c>
      <c r="K5829" s="10" t="s">
        <v>20</v>
      </c>
      <c r="L5829" s="11" t="n">
        <v>40253.3647106482</v>
      </c>
      <c r="M5829" s="12" t="s">
        <v>574</v>
      </c>
      <c r="N5829" s="13" t="s">
        <v>13468</v>
      </c>
      <c r="O5829" s="9" t="str">
        <f aca="false">HYPERLINK("https://pbs.twimg.com/profile_images/922810237140189185/T-gUrzqR_normal.jpg","View")</f>
        <v>View</v>
      </c>
      <c r="P5829" s="10"/>
    </row>
    <row r="5830" customFormat="false" ht="15.75" hidden="false" customHeight="false" outlineLevel="0" collapsed="false">
      <c r="A5830" s="6" t="n">
        <v>43030.9808449074</v>
      </c>
      <c r="B5830" s="7" t="str">
        <f aca="false">HYPERLINK("https://twitter.com/Bullish","@Bullish")</f>
        <v>@Bullish</v>
      </c>
      <c r="C5830" s="8" t="s">
        <v>223</v>
      </c>
      <c r="D5830" s="8" t="s">
        <v>13469</v>
      </c>
      <c r="E5830" s="9" t="str">
        <f aca="false">HYPERLINK("https://twitter.com/Bullish/status/922349974813331456","922349974813331456")</f>
        <v>922349974813331456</v>
      </c>
      <c r="F5830" s="10" t="s">
        <v>60</v>
      </c>
      <c r="G5830" s="10" t="n">
        <v>184</v>
      </c>
      <c r="H5830" s="10" t="n">
        <v>87</v>
      </c>
      <c r="I5830" s="10" t="n">
        <v>0</v>
      </c>
      <c r="J5830" s="10" t="n">
        <v>0</v>
      </c>
      <c r="K5830" s="10" t="s">
        <v>20</v>
      </c>
      <c r="L5830" s="11" t="n">
        <v>42618.7530439815</v>
      </c>
      <c r="M5830" s="12"/>
      <c r="N5830" s="12"/>
      <c r="O5830" s="9" t="str">
        <f aca="false">HYPERLINK("https://pbs.twimg.com/profile_images/798692093736599552/UikI9dNE_normal.jpg","View")</f>
        <v>View</v>
      </c>
      <c r="P5830" s="10"/>
    </row>
    <row r="5831" customFormat="false" ht="15.75" hidden="false" customHeight="false" outlineLevel="0" collapsed="false">
      <c r="A5831" s="6" t="n">
        <v>43030.9811921296</v>
      </c>
      <c r="B5831" s="7" t="str">
        <f aca="false">HYPERLINK("https://twitter.com/HeyHeyHeyItsAJ","@HeyHeyHeyItsAJ")</f>
        <v>@HeyHeyHeyItsAJ</v>
      </c>
      <c r="C5831" s="8" t="s">
        <v>13470</v>
      </c>
      <c r="D5831" s="8" t="s">
        <v>13229</v>
      </c>
      <c r="E5831" s="9" t="str">
        <f aca="false">HYPERLINK("https://twitter.com/HeyHeyHeyItsAJ/status/922350101623840768","922350101623840768")</f>
        <v>922350101623840768</v>
      </c>
      <c r="F5831" s="10" t="s">
        <v>51</v>
      </c>
      <c r="G5831" s="10" t="n">
        <v>278</v>
      </c>
      <c r="H5831" s="10" t="n">
        <v>517</v>
      </c>
      <c r="I5831" s="10" t="n">
        <v>18</v>
      </c>
      <c r="J5831" s="10" t="n">
        <v>0</v>
      </c>
      <c r="K5831" s="10" t="s">
        <v>20</v>
      </c>
      <c r="L5831" s="11" t="n">
        <v>42566.7596412037</v>
      </c>
      <c r="M5831" s="12" t="s">
        <v>10929</v>
      </c>
      <c r="N5831" s="12" t="s">
        <v>13471</v>
      </c>
      <c r="O5831" s="9" t="str">
        <f aca="false">HYPERLINK("https://pbs.twimg.com/profile_images/911133447237668864/vpZ4o7rw_normal.jpg","View")</f>
        <v>View</v>
      </c>
      <c r="P5831" s="10"/>
    </row>
    <row r="5832" customFormat="false" ht="15.75" hidden="false" customHeight="false" outlineLevel="0" collapsed="false">
      <c r="A5832" s="6" t="n">
        <v>43030.98125</v>
      </c>
      <c r="B5832" s="7" t="str">
        <f aca="false">HYPERLINK("https://twitter.com/STForeignDesk","@STForeignDesk")</f>
        <v>@STForeignDesk</v>
      </c>
      <c r="C5832" s="8" t="s">
        <v>3288</v>
      </c>
      <c r="D5832" s="8" t="s">
        <v>13472</v>
      </c>
      <c r="E5832" s="9" t="str">
        <f aca="false">HYPERLINK("https://twitter.com/STForeignDesk/status/922350122482020352","922350122482020352")</f>
        <v>922350122482020352</v>
      </c>
      <c r="F5832" s="10" t="s">
        <v>276</v>
      </c>
      <c r="G5832" s="10" t="n">
        <v>39374</v>
      </c>
      <c r="H5832" s="10" t="n">
        <v>109</v>
      </c>
      <c r="I5832" s="10" t="n">
        <v>2</v>
      </c>
      <c r="J5832" s="10" t="n">
        <v>0</v>
      </c>
      <c r="K5832" s="10" t="s">
        <v>20</v>
      </c>
      <c r="L5832" s="11" t="n">
        <v>41303.312025463</v>
      </c>
      <c r="M5832" s="12" t="s">
        <v>186</v>
      </c>
      <c r="N5832" s="12" t="s">
        <v>3290</v>
      </c>
      <c r="O5832" s="9" t="str">
        <f aca="false">HYPERLINK("https://pbs.twimg.com/profile_images/616014877300142080/6I99bogh_normal.jpg","View")</f>
        <v>View</v>
      </c>
      <c r="P5832" s="10"/>
    </row>
    <row r="5833" customFormat="false" ht="15.75" hidden="false" customHeight="false" outlineLevel="0" collapsed="false">
      <c r="A5833" s="6" t="n">
        <v>43030.9816203704</v>
      </c>
      <c r="B5833" s="7" t="str">
        <f aca="false">HYPERLINK("https://twitter.com/TryMarkets","@TryMarkets")</f>
        <v>@TryMarkets</v>
      </c>
      <c r="C5833" s="8" t="s">
        <v>13473</v>
      </c>
      <c r="D5833" s="8" t="s">
        <v>13474</v>
      </c>
      <c r="E5833" s="9" t="str">
        <f aca="false">HYPERLINK("https://twitter.com/TryMarkets/status/922350257626910720","922350257626910720")</f>
        <v>922350257626910720</v>
      </c>
      <c r="F5833" s="10" t="s">
        <v>39</v>
      </c>
      <c r="G5833" s="10" t="n">
        <v>46</v>
      </c>
      <c r="H5833" s="10" t="n">
        <v>234</v>
      </c>
      <c r="I5833" s="10" t="n">
        <v>0</v>
      </c>
      <c r="J5833" s="10" t="n">
        <v>0</v>
      </c>
      <c r="K5833" s="10" t="s">
        <v>20</v>
      </c>
      <c r="L5833" s="11" t="n">
        <v>42647.4877430556</v>
      </c>
      <c r="M5833" s="12" t="s">
        <v>13475</v>
      </c>
      <c r="N5833" s="12" t="s">
        <v>13476</v>
      </c>
      <c r="O5833" s="9" t="str">
        <f aca="false">HYPERLINK("https://pbs.twimg.com/profile_images/783377255548452864/xcm_s4NJ_normal.jpg","View")</f>
        <v>View</v>
      </c>
      <c r="P5833" s="10"/>
    </row>
    <row r="5834" customFormat="false" ht="15.75" hidden="false" customHeight="false" outlineLevel="0" collapsed="false">
      <c r="A5834" s="6" t="n">
        <v>43030.9819675926</v>
      </c>
      <c r="B5834" s="7" t="str">
        <f aca="false">HYPERLINK("https://twitter.com/kamioka_lab","@kamioka_lab")</f>
        <v>@kamioka_lab</v>
      </c>
      <c r="C5834" s="8" t="s">
        <v>13477</v>
      </c>
      <c r="D5834" s="8" t="s">
        <v>13478</v>
      </c>
      <c r="E5834" s="9" t="str">
        <f aca="false">HYPERLINK("https://twitter.com/kamioka_lab/status/922350381383815169","922350381383815169")</f>
        <v>922350381383815169</v>
      </c>
      <c r="F5834" s="16" t="s">
        <v>13479</v>
      </c>
      <c r="G5834" s="10" t="n">
        <v>16</v>
      </c>
      <c r="H5834" s="10" t="n">
        <v>1</v>
      </c>
      <c r="I5834" s="10" t="n">
        <v>0</v>
      </c>
      <c r="J5834" s="10" t="n">
        <v>0</v>
      </c>
      <c r="K5834" s="10" t="s">
        <v>20</v>
      </c>
      <c r="L5834" s="11" t="n">
        <v>40586.7580787037</v>
      </c>
      <c r="M5834" s="12"/>
      <c r="N5834" s="12"/>
      <c r="O5834" s="9" t="str">
        <f aca="false">HYPERLINK("https://pbs.twimg.com/profile_images/485302311367872512/PhwneDZI_normal.png","View")</f>
        <v>View</v>
      </c>
      <c r="P5834" s="10"/>
    </row>
    <row r="5835" customFormat="false" ht="15.75" hidden="false" customHeight="false" outlineLevel="0" collapsed="false">
      <c r="A5835" s="6" t="n">
        <v>43030.9821064815</v>
      </c>
      <c r="B5835" s="7" t="str">
        <f aca="false">HYPERLINK("https://twitter.com/SnehalTaksande","@SnehalTaksande")</f>
        <v>@SnehalTaksande</v>
      </c>
      <c r="C5835" s="8" t="s">
        <v>13480</v>
      </c>
      <c r="D5835" s="8" t="s">
        <v>13301</v>
      </c>
      <c r="E5835" s="9" t="str">
        <f aca="false">HYPERLINK("https://twitter.com/SnehalTaksande/status/922350434177748992","922350434177748992")</f>
        <v>922350434177748992</v>
      </c>
      <c r="F5835" s="10" t="s">
        <v>25</v>
      </c>
      <c r="G5835" s="10" t="n">
        <v>72</v>
      </c>
      <c r="H5835" s="10" t="n">
        <v>189</v>
      </c>
      <c r="I5835" s="10" t="n">
        <v>5</v>
      </c>
      <c r="J5835" s="10" t="n">
        <v>0</v>
      </c>
      <c r="K5835" s="10" t="s">
        <v>20</v>
      </c>
      <c r="L5835" s="11" t="n">
        <v>41006.9930902778</v>
      </c>
      <c r="M5835" s="12" t="s">
        <v>13481</v>
      </c>
      <c r="N5835" s="12"/>
      <c r="O5835" s="9" t="str">
        <f aca="false">HYPERLINK("https://pbs.twimg.com/profile_images/918693824540454913/C2foKPvJ_normal.jpg","View")</f>
        <v>View</v>
      </c>
      <c r="P5835" s="10"/>
    </row>
    <row r="5836" customFormat="false" ht="15.75" hidden="false" customHeight="false" outlineLevel="0" collapsed="false">
      <c r="A5836" s="6" t="n">
        <v>43030.9821875</v>
      </c>
      <c r="B5836" s="7" t="str">
        <f aca="false">HYPERLINK("https://twitter.com/ChoudharyKadir","@ChoudharyKadir")</f>
        <v>@ChoudharyKadir</v>
      </c>
      <c r="C5836" s="8" t="s">
        <v>13304</v>
      </c>
      <c r="D5836" s="8" t="s">
        <v>13482</v>
      </c>
      <c r="E5836" s="9" t="str">
        <f aca="false">HYPERLINK("https://twitter.com/ChoudharyKadir/status/922350464833744896","922350464833744896")</f>
        <v>922350464833744896</v>
      </c>
      <c r="F5836" s="10" t="s">
        <v>25</v>
      </c>
      <c r="G5836" s="10" t="n">
        <v>28</v>
      </c>
      <c r="H5836" s="10" t="n">
        <v>348</v>
      </c>
      <c r="I5836" s="10" t="n">
        <v>0</v>
      </c>
      <c r="J5836" s="10" t="n">
        <v>0</v>
      </c>
      <c r="K5836" s="10" t="s">
        <v>20</v>
      </c>
      <c r="L5836" s="11" t="n">
        <v>41437.491712963</v>
      </c>
      <c r="M5836" s="12"/>
      <c r="N5836" s="12" t="s">
        <v>13306</v>
      </c>
      <c r="O5836" s="9" t="str">
        <f aca="false">HYPERLINK("https://pbs.twimg.com/profile_images/921843703374688256/z3BKyiH7_normal.jpg","View")</f>
        <v>View</v>
      </c>
      <c r="P5836" s="10"/>
    </row>
    <row r="5837" customFormat="false" ht="15.75" hidden="false" customHeight="false" outlineLevel="0" collapsed="false">
      <c r="A5837" s="6" t="n">
        <v>43030.9822106482</v>
      </c>
      <c r="B5837" s="7" t="str">
        <f aca="false">HYPERLINK("https://twitter.com/GboruM","@GboruM")</f>
        <v>@GboruM</v>
      </c>
      <c r="C5837" s="8" t="s">
        <v>2206</v>
      </c>
      <c r="D5837" s="8" t="s">
        <v>13483</v>
      </c>
      <c r="E5837" s="9" t="str">
        <f aca="false">HYPERLINK("https://twitter.com/GboruM/status/922350473105039365","922350473105039365")</f>
        <v>922350473105039365</v>
      </c>
      <c r="F5837" s="10" t="s">
        <v>55</v>
      </c>
      <c r="G5837" s="10" t="n">
        <v>12129</v>
      </c>
      <c r="H5837" s="10" t="n">
        <v>287</v>
      </c>
      <c r="I5837" s="10" t="n">
        <v>0</v>
      </c>
      <c r="J5837" s="10" t="n">
        <v>0</v>
      </c>
      <c r="K5837" s="10" t="s">
        <v>20</v>
      </c>
      <c r="L5837" s="11" t="n">
        <v>41246.9268518519</v>
      </c>
      <c r="M5837" s="12" t="s">
        <v>1670</v>
      </c>
      <c r="N5837" s="12" t="s">
        <v>2208</v>
      </c>
      <c r="O5837" s="9" t="str">
        <f aca="false">HYPERLINK("https://pbs.twimg.com/profile_images/923809863121166336/FPYIgixr_normal.jpg","View")</f>
        <v>View</v>
      </c>
      <c r="P5837" s="10"/>
    </row>
    <row r="5838" customFormat="false" ht="15.75" hidden="false" customHeight="false" outlineLevel="0" collapsed="false">
      <c r="A5838" s="6" t="n">
        <v>43030.9823611111</v>
      </c>
      <c r="B5838" s="7" t="str">
        <f aca="false">HYPERLINK("https://twitter.com/sakamotoinvest","@sakamotoinvest")</f>
        <v>@sakamotoinvest</v>
      </c>
      <c r="C5838" s="8" t="s">
        <v>13484</v>
      </c>
      <c r="D5838" s="8" t="s">
        <v>12438</v>
      </c>
      <c r="E5838" s="9" t="str">
        <f aca="false">HYPERLINK("https://twitter.com/sakamotoinvest/status/922350525525270528","922350525525270528")</f>
        <v>922350525525270528</v>
      </c>
      <c r="F5838" s="10" t="s">
        <v>98</v>
      </c>
      <c r="G5838" s="10" t="n">
        <v>1026</v>
      </c>
      <c r="H5838" s="10" t="n">
        <v>5001</v>
      </c>
      <c r="I5838" s="10" t="n">
        <v>2</v>
      </c>
      <c r="J5838" s="10" t="n">
        <v>0</v>
      </c>
      <c r="K5838" s="10" t="s">
        <v>20</v>
      </c>
      <c r="L5838" s="11" t="n">
        <v>42340.8714699074</v>
      </c>
      <c r="M5838" s="12"/>
      <c r="N5838" s="12"/>
      <c r="O5838" s="9" t="str">
        <f aca="false">HYPERLINK("https://pbs.twimg.com/profile_images/672278766358364160/MwtKJ5bn_normal.png","View")</f>
        <v>View</v>
      </c>
      <c r="P5838" s="10"/>
    </row>
    <row r="5839" customFormat="false" ht="15.75" hidden="false" customHeight="false" outlineLevel="0" collapsed="false">
      <c r="A5839" s="6" t="n">
        <v>43030.9824652778</v>
      </c>
      <c r="B5839" s="7" t="str">
        <f aca="false">HYPERLINK("https://twitter.com/arcagility","@arcagility")</f>
        <v>@arcagility</v>
      </c>
      <c r="C5839" s="8" t="s">
        <v>13485</v>
      </c>
      <c r="D5839" s="8" t="s">
        <v>13486</v>
      </c>
      <c r="E5839" s="9" t="str">
        <f aca="false">HYPERLINK("https://twitter.com/arcagility/status/922350563752374272","922350563752374272")</f>
        <v>922350563752374272</v>
      </c>
      <c r="F5839" s="10" t="s">
        <v>55</v>
      </c>
      <c r="G5839" s="10" t="n">
        <v>1326</v>
      </c>
      <c r="H5839" s="10" t="n">
        <v>885</v>
      </c>
      <c r="I5839" s="10" t="n">
        <v>0</v>
      </c>
      <c r="J5839" s="10" t="n">
        <v>0</v>
      </c>
      <c r="K5839" s="10" t="s">
        <v>20</v>
      </c>
      <c r="L5839" s="11" t="n">
        <v>39892.1033449074</v>
      </c>
      <c r="M5839" s="12" t="s">
        <v>13487</v>
      </c>
      <c r="N5839" s="12" t="s">
        <v>13488</v>
      </c>
      <c r="O5839" s="9" t="str">
        <f aca="false">HYPERLINK("https://pbs.twimg.com/profile_images/2816068661/19312f462d2e5b6a05d66900deba7f05_normal.jpeg","View")</f>
        <v>View</v>
      </c>
      <c r="P5839" s="10"/>
    </row>
    <row r="5840" customFormat="false" ht="15.75" hidden="false" customHeight="false" outlineLevel="0" collapsed="false">
      <c r="A5840" s="6" t="n">
        <v>43030.9825694445</v>
      </c>
      <c r="B5840" s="7" t="str">
        <f aca="false">HYPERLINK("https://twitter.com/ejporg","@ejporg")</f>
        <v>@ejporg</v>
      </c>
      <c r="C5840" s="8" t="s">
        <v>13489</v>
      </c>
      <c r="D5840" s="8" t="s">
        <v>13253</v>
      </c>
      <c r="E5840" s="9" t="str">
        <f aca="false">HYPERLINK("https://twitter.com/ejporg/status/922350602570539008","922350602570539008")</f>
        <v>922350602570539008</v>
      </c>
      <c r="F5840" s="10" t="s">
        <v>25</v>
      </c>
      <c r="G5840" s="10" t="n">
        <v>1804</v>
      </c>
      <c r="H5840" s="10" t="n">
        <v>1140</v>
      </c>
      <c r="I5840" s="10" t="n">
        <v>22</v>
      </c>
      <c r="J5840" s="10" t="n">
        <v>0</v>
      </c>
      <c r="K5840" s="10" t="s">
        <v>20</v>
      </c>
      <c r="L5840" s="11" t="n">
        <v>42884.0706018519</v>
      </c>
      <c r="M5840" s="12" t="s">
        <v>13490</v>
      </c>
      <c r="N5840" s="12" t="s">
        <v>13491</v>
      </c>
      <c r="O5840" s="9" t="str">
        <f aca="false">HYPERLINK("https://pbs.twimg.com/profile_images/883965028637917184/Gq5pzmJa_normal.jpg","View")</f>
        <v>View</v>
      </c>
      <c r="P5840" s="10"/>
    </row>
    <row r="5841" customFormat="false" ht="15.75" hidden="false" customHeight="false" outlineLevel="0" collapsed="false">
      <c r="A5841" s="6" t="n">
        <v>43030.9830902778</v>
      </c>
      <c r="B5841" s="7" t="str">
        <f aca="false">HYPERLINK("https://twitter.com/FELDart","@FELDart")</f>
        <v>@FELDart</v>
      </c>
      <c r="C5841" s="8" t="s">
        <v>13492</v>
      </c>
      <c r="D5841" s="8" t="s">
        <v>13493</v>
      </c>
      <c r="E5841" s="9" t="str">
        <f aca="false">HYPERLINK("https://twitter.com/FELDart/status/922350789993037824","922350789993037824")</f>
        <v>922350789993037824</v>
      </c>
      <c r="F5841" s="10" t="s">
        <v>39</v>
      </c>
      <c r="G5841" s="10" t="n">
        <v>2171</v>
      </c>
      <c r="H5841" s="10" t="n">
        <v>2941</v>
      </c>
      <c r="I5841" s="10" t="n">
        <v>2</v>
      </c>
      <c r="J5841" s="10" t="n">
        <v>0</v>
      </c>
      <c r="K5841" s="10" t="s">
        <v>20</v>
      </c>
      <c r="L5841" s="11" t="n">
        <v>39989.2705671296</v>
      </c>
      <c r="M5841" s="12" t="s">
        <v>12604</v>
      </c>
      <c r="N5841" s="12" t="s">
        <v>13494</v>
      </c>
      <c r="O5841" s="9" t="str">
        <f aca="false">HYPERLINK("https://pbs.twimg.com/profile_images/344513261581407385/3c55c063d37d0c2e2adca1d742ef6b3b_normal.jpeg","View")</f>
        <v>View</v>
      </c>
      <c r="P5841" s="10"/>
    </row>
    <row r="5842" customFormat="false" ht="15.75" hidden="false" customHeight="false" outlineLevel="0" collapsed="false">
      <c r="A5842" s="6" t="n">
        <v>43030.9833564815</v>
      </c>
      <c r="B5842" s="7" t="str">
        <f aca="false">HYPERLINK("https://twitter.com/STcom","@STcom")</f>
        <v>@STcom</v>
      </c>
      <c r="C5842" s="8" t="s">
        <v>3291</v>
      </c>
      <c r="D5842" s="8" t="s">
        <v>13495</v>
      </c>
      <c r="E5842" s="9" t="str">
        <f aca="false">HYPERLINK("https://twitter.com/STcom/status/922350886671679489","922350886671679489")</f>
        <v>922350886671679489</v>
      </c>
      <c r="F5842" s="10" t="s">
        <v>276</v>
      </c>
      <c r="G5842" s="10" t="n">
        <v>957127</v>
      </c>
      <c r="H5842" s="10" t="n">
        <v>126</v>
      </c>
      <c r="I5842" s="10" t="n">
        <v>2</v>
      </c>
      <c r="J5842" s="10" t="n">
        <v>6</v>
      </c>
      <c r="K5842" s="10" t="s">
        <v>20</v>
      </c>
      <c r="L5842" s="11" t="n">
        <v>39937.9919328704</v>
      </c>
      <c r="M5842" s="12" t="s">
        <v>186</v>
      </c>
      <c r="N5842" s="12" t="s">
        <v>3293</v>
      </c>
      <c r="O5842" s="9" t="str">
        <f aca="false">HYPERLINK("https://pbs.twimg.com/profile_images/630988935720648704/HkmsHBTM_normal.jpg","View")</f>
        <v>View</v>
      </c>
      <c r="P5842" s="10"/>
    </row>
    <row r="5843" customFormat="false" ht="15.75" hidden="false" customHeight="false" outlineLevel="0" collapsed="false">
      <c r="A5843" s="6" t="n">
        <v>43030.9837847222</v>
      </c>
      <c r="B5843" s="7" t="str">
        <f aca="false">HYPERLINK("https://twitter.com/RaghuAiyar","@RaghuAiyar")</f>
        <v>@RaghuAiyar</v>
      </c>
      <c r="C5843" s="8" t="s">
        <v>13496</v>
      </c>
      <c r="D5843" s="8" t="s">
        <v>8538</v>
      </c>
      <c r="E5843" s="9" t="str">
        <f aca="false">HYPERLINK("https://twitter.com/RaghuAiyar/status/922351043668856832","922351043668856832")</f>
        <v>922351043668856832</v>
      </c>
      <c r="F5843" s="10" t="s">
        <v>51</v>
      </c>
      <c r="G5843" s="10" t="n">
        <v>2202</v>
      </c>
      <c r="H5843" s="10" t="n">
        <v>2799</v>
      </c>
      <c r="I5843" s="10" t="n">
        <v>1015</v>
      </c>
      <c r="J5843" s="10" t="n">
        <v>0</v>
      </c>
      <c r="K5843" s="10" t="s">
        <v>20</v>
      </c>
      <c r="L5843" s="11" t="n">
        <v>39880.413599537</v>
      </c>
      <c r="M5843" s="12" t="s">
        <v>13497</v>
      </c>
      <c r="N5843" s="12" t="s">
        <v>13498</v>
      </c>
      <c r="O5843" s="9" t="str">
        <f aca="false">HYPERLINK("https://pbs.twimg.com/profile_images/1470594195/RaghuAiyar1-096s_normal.jpg","View")</f>
        <v>View</v>
      </c>
      <c r="P5843" s="10"/>
    </row>
    <row r="5844" customFormat="false" ht="15.75" hidden="false" customHeight="false" outlineLevel="0" collapsed="false">
      <c r="A5844" s="6" t="n">
        <v>43030.9838541667</v>
      </c>
      <c r="B5844" s="7" t="str">
        <f aca="false">HYPERLINK("https://twitter.com/TradingStoic","@TradingStoic")</f>
        <v>@TradingStoic</v>
      </c>
      <c r="C5844" s="8" t="s">
        <v>13499</v>
      </c>
      <c r="D5844" s="8" t="s">
        <v>13253</v>
      </c>
      <c r="E5844" s="9" t="str">
        <f aca="false">HYPERLINK("https://twitter.com/TradingStoic/status/922351068096409600","922351068096409600")</f>
        <v>922351068096409600</v>
      </c>
      <c r="F5844" s="10" t="s">
        <v>39</v>
      </c>
      <c r="G5844" s="10" t="n">
        <v>570</v>
      </c>
      <c r="H5844" s="10" t="n">
        <v>526</v>
      </c>
      <c r="I5844" s="10" t="n">
        <v>22</v>
      </c>
      <c r="J5844" s="10" t="n">
        <v>0</v>
      </c>
      <c r="K5844" s="10" t="s">
        <v>20</v>
      </c>
      <c r="L5844" s="11" t="n">
        <v>42606.2698958333</v>
      </c>
      <c r="M5844" s="12"/>
      <c r="N5844" s="12" t="s">
        <v>13500</v>
      </c>
      <c r="O5844" s="9" t="str">
        <f aca="false">HYPERLINK("https://pbs.twimg.com/profile_images/895303557934702592/1hb6eX4F_normal.jpg","View")</f>
        <v>View</v>
      </c>
      <c r="P5844" s="10"/>
    </row>
    <row r="5845" customFormat="false" ht="15.75" hidden="false" customHeight="false" outlineLevel="0" collapsed="false">
      <c r="A5845" s="6" t="n">
        <v>43030.983900463</v>
      </c>
      <c r="B5845" s="7" t="str">
        <f aca="false">HYPERLINK("https://twitter.com/sarpamedha","@sarpamedha")</f>
        <v>@sarpamedha</v>
      </c>
      <c r="C5845" s="8" t="s">
        <v>13501</v>
      </c>
      <c r="D5845" s="8" t="s">
        <v>8538</v>
      </c>
      <c r="E5845" s="9" t="str">
        <f aca="false">HYPERLINK("https://twitter.com/sarpamedha/status/922351083866824704","922351083866824704")</f>
        <v>922351083866824704</v>
      </c>
      <c r="F5845" s="10" t="s">
        <v>25</v>
      </c>
      <c r="G5845" s="10" t="n">
        <v>301</v>
      </c>
      <c r="H5845" s="10" t="n">
        <v>296</v>
      </c>
      <c r="I5845" s="10" t="n">
        <v>1015</v>
      </c>
      <c r="J5845" s="10" t="n">
        <v>0</v>
      </c>
      <c r="K5845" s="10" t="s">
        <v>20</v>
      </c>
      <c r="L5845" s="11" t="n">
        <v>40763.8193171296</v>
      </c>
      <c r="M5845" s="12" t="s">
        <v>72</v>
      </c>
      <c r="N5845" s="12"/>
      <c r="O5845" s="9" t="str">
        <f aca="false">HYPERLINK("https://pbs.twimg.com/profile_images/1485631350/janamejaya2_normal.jpg","View")</f>
        <v>View</v>
      </c>
      <c r="P5845" s="10"/>
    </row>
    <row r="5846" customFormat="false" ht="15.75" hidden="false" customHeight="false" outlineLevel="0" collapsed="false">
      <c r="A5846" s="6" t="n">
        <v>43030.9839351852</v>
      </c>
      <c r="B5846" s="7" t="str">
        <f aca="false">HYPERLINK("https://twitter.com/padozki","@padozki")</f>
        <v>@padozki</v>
      </c>
      <c r="C5846" s="8" t="s">
        <v>13502</v>
      </c>
      <c r="D5846" s="8" t="s">
        <v>12764</v>
      </c>
      <c r="E5846" s="9" t="str">
        <f aca="false">HYPERLINK("https://twitter.com/padozki/status/922351097011998720","922351097011998720")</f>
        <v>922351097011998720</v>
      </c>
      <c r="F5846" s="10" t="s">
        <v>1289</v>
      </c>
      <c r="G5846" s="10" t="n">
        <v>794</v>
      </c>
      <c r="H5846" s="10" t="n">
        <v>771</v>
      </c>
      <c r="I5846" s="10" t="n">
        <v>170</v>
      </c>
      <c r="J5846" s="10" t="n">
        <v>0</v>
      </c>
      <c r="K5846" s="10" t="s">
        <v>20</v>
      </c>
      <c r="L5846" s="11" t="n">
        <v>40876.316875</v>
      </c>
      <c r="M5846" s="12"/>
      <c r="N5846" s="12" t="s">
        <v>13503</v>
      </c>
      <c r="O5846" s="9" t="str">
        <f aca="false">HYPERLINK("https://pbs.twimg.com/profile_images/834137770465644544/Km7i0IdL_normal.jpg","View")</f>
        <v>View</v>
      </c>
      <c r="P5846" s="10"/>
    </row>
    <row r="5847" customFormat="false" ht="15.75" hidden="false" customHeight="false" outlineLevel="0" collapsed="false">
      <c r="A5847" s="6" t="n">
        <v>43030.9841898148</v>
      </c>
      <c r="B5847" s="7" t="str">
        <f aca="false">HYPERLINK("https://twitter.com/RajniSangani","@RajniSangani")</f>
        <v>@RajniSangani</v>
      </c>
      <c r="C5847" s="8" t="s">
        <v>13504</v>
      </c>
      <c r="D5847" s="8" t="s">
        <v>8538</v>
      </c>
      <c r="E5847" s="9" t="str">
        <f aca="false">HYPERLINK("https://twitter.com/RajniSangani/status/922351188091310080","922351188091310080")</f>
        <v>922351188091310080</v>
      </c>
      <c r="F5847" s="10" t="s">
        <v>25</v>
      </c>
      <c r="G5847" s="10" t="n">
        <v>129</v>
      </c>
      <c r="H5847" s="10" t="n">
        <v>239</v>
      </c>
      <c r="I5847" s="10" t="n">
        <v>1015</v>
      </c>
      <c r="J5847" s="10" t="n">
        <v>0</v>
      </c>
      <c r="K5847" s="10" t="s">
        <v>20</v>
      </c>
      <c r="L5847" s="11" t="n">
        <v>42735.1391898148</v>
      </c>
      <c r="M5847" s="12" t="s">
        <v>4414</v>
      </c>
      <c r="N5847" s="12"/>
      <c r="O5847" s="9" t="str">
        <f aca="false">HYPERLINK("https://pbs.twimg.com/profile_images/816594759850590208/AlhqE9bU_normal.jpg","View")</f>
        <v>View</v>
      </c>
      <c r="P5847" s="10"/>
    </row>
    <row r="5848" customFormat="false" ht="15.75" hidden="false" customHeight="false" outlineLevel="0" collapsed="false">
      <c r="A5848" s="6" t="n">
        <v>43030.9844907407</v>
      </c>
      <c r="B5848" s="7" t="str">
        <f aca="false">HYPERLINK("https://twitter.com/GoodDayAtlanta","@GoodDayAtlanta")</f>
        <v>@GoodDayAtlanta</v>
      </c>
      <c r="C5848" s="8" t="s">
        <v>13505</v>
      </c>
      <c r="D5848" s="8" t="s">
        <v>13506</v>
      </c>
      <c r="E5848" s="9" t="str">
        <f aca="false">HYPERLINK("https://twitter.com/GoodDayAtlanta/status/922351296161767424","922351296161767424")</f>
        <v>922351296161767424</v>
      </c>
      <c r="F5848" s="10" t="s">
        <v>276</v>
      </c>
      <c r="G5848" s="10" t="n">
        <v>38431</v>
      </c>
      <c r="H5848" s="10" t="n">
        <v>1116</v>
      </c>
      <c r="I5848" s="10" t="n">
        <v>1</v>
      </c>
      <c r="J5848" s="10" t="n">
        <v>2</v>
      </c>
      <c r="K5848" s="10" t="s">
        <v>20</v>
      </c>
      <c r="L5848" s="11" t="n">
        <v>40058.2643287037</v>
      </c>
      <c r="M5848" s="12" t="s">
        <v>4756</v>
      </c>
      <c r="N5848" s="12" t="s">
        <v>13507</v>
      </c>
      <c r="O5848" s="9" t="str">
        <f aca="false">HYPERLINK("https://pbs.twimg.com/profile_images/512606006883278848/642ASBuo_normal.png","View")</f>
        <v>View</v>
      </c>
      <c r="P5848" s="10"/>
    </row>
    <row r="5849" customFormat="false" ht="15.75" hidden="false" customHeight="false" outlineLevel="0" collapsed="false">
      <c r="A5849" s="6" t="n">
        <v>43030.9844907407</v>
      </c>
      <c r="B5849" s="7" t="str">
        <f aca="false">HYPERLINK("https://twitter.com/FOX5Atlanta","@FOX5Atlanta")</f>
        <v>@FOX5Atlanta</v>
      </c>
      <c r="C5849" s="8" t="s">
        <v>13508</v>
      </c>
      <c r="D5849" s="8" t="s">
        <v>13506</v>
      </c>
      <c r="E5849" s="9" t="str">
        <f aca="false">HYPERLINK("https://twitter.com/FOX5Atlanta/status/922351296220450818","922351296220450818")</f>
        <v>922351296220450818</v>
      </c>
      <c r="F5849" s="10" t="s">
        <v>276</v>
      </c>
      <c r="G5849" s="10" t="n">
        <v>547209</v>
      </c>
      <c r="H5849" s="10" t="n">
        <v>1531</v>
      </c>
      <c r="I5849" s="10" t="n">
        <v>2</v>
      </c>
      <c r="J5849" s="10" t="n">
        <v>5</v>
      </c>
      <c r="K5849" s="10" t="s">
        <v>20</v>
      </c>
      <c r="L5849" s="11" t="n">
        <v>39785.2563888889</v>
      </c>
      <c r="M5849" s="12" t="s">
        <v>12650</v>
      </c>
      <c r="N5849" s="12" t="s">
        <v>13509</v>
      </c>
      <c r="O5849" s="9" t="str">
        <f aca="false">HYPERLINK("https://pbs.twimg.com/profile_images/738734051335544832/pWnPH0lm_normal.jpg","View")</f>
        <v>View</v>
      </c>
      <c r="P5849" s="10"/>
    </row>
    <row r="5850" customFormat="false" ht="15.75" hidden="false" customHeight="false" outlineLevel="0" collapsed="false">
      <c r="A5850" s="6" t="n">
        <v>43030.9847222222</v>
      </c>
      <c r="B5850" s="7" t="str">
        <f aca="false">HYPERLINK("https://twitter.com/KousakuKotani","@KousakuKotani")</f>
        <v>@KousakuKotani</v>
      </c>
      <c r="C5850" s="8" t="s">
        <v>13510</v>
      </c>
      <c r="D5850" s="8" t="s">
        <v>12764</v>
      </c>
      <c r="E5850" s="9" t="str">
        <f aca="false">HYPERLINK("https://twitter.com/KousakuKotani/status/922351380064378880","922351380064378880")</f>
        <v>922351380064378880</v>
      </c>
      <c r="F5850" s="10" t="s">
        <v>51</v>
      </c>
      <c r="G5850" s="10" t="n">
        <v>104</v>
      </c>
      <c r="H5850" s="10" t="n">
        <v>61</v>
      </c>
      <c r="I5850" s="10" t="n">
        <v>170</v>
      </c>
      <c r="J5850" s="10" t="n">
        <v>0</v>
      </c>
      <c r="K5850" s="10" t="s">
        <v>20</v>
      </c>
      <c r="L5850" s="11" t="n">
        <v>42938.0831712963</v>
      </c>
      <c r="M5850" s="12"/>
      <c r="N5850" s="12"/>
      <c r="O5850" s="9" t="str">
        <f aca="false">HYPERLINK("https://pbs.twimg.com/profile_images/888704616958877697/bkmHPZBv_normal.jpg","View")</f>
        <v>View</v>
      </c>
      <c r="P5850" s="10"/>
    </row>
    <row r="5851" customFormat="false" ht="15.75" hidden="false" customHeight="false" outlineLevel="0" collapsed="false">
      <c r="A5851" s="6" t="n">
        <v>43030.9847916667</v>
      </c>
      <c r="B5851" s="7" t="str">
        <f aca="false">HYPERLINK("https://twitter.com/Oldkid14","@Oldkid14")</f>
        <v>@Oldkid14</v>
      </c>
      <c r="C5851" s="8" t="s">
        <v>13511</v>
      </c>
      <c r="D5851" s="8" t="s">
        <v>13512</v>
      </c>
      <c r="E5851" s="9" t="str">
        <f aca="false">HYPERLINK("https://twitter.com/Oldkid14/status/922351404798414848","922351404798414848")</f>
        <v>922351404798414848</v>
      </c>
      <c r="F5851" s="10" t="s">
        <v>25</v>
      </c>
      <c r="G5851" s="10" t="n">
        <v>2661</v>
      </c>
      <c r="H5851" s="10" t="n">
        <v>5000</v>
      </c>
      <c r="I5851" s="10" t="n">
        <v>2</v>
      </c>
      <c r="J5851" s="10" t="n">
        <v>0</v>
      </c>
      <c r="K5851" s="10" t="s">
        <v>20</v>
      </c>
      <c r="L5851" s="11" t="n">
        <v>42040.6210648148</v>
      </c>
      <c r="M5851" s="12"/>
      <c r="N5851" s="12" t="s">
        <v>13513</v>
      </c>
      <c r="O5851" s="9" t="str">
        <f aca="false">HYPERLINK("https://pbs.twimg.com/profile_images/920147742630047744/T4enz0xp_normal.jpg","View")</f>
        <v>View</v>
      </c>
      <c r="P5851" s="10"/>
    </row>
    <row r="5852" customFormat="false" ht="15.75" hidden="false" customHeight="false" outlineLevel="0" collapsed="false">
      <c r="A5852" s="6" t="n">
        <v>43030.9847916667</v>
      </c>
      <c r="B5852" s="7" t="str">
        <f aca="false">HYPERLINK("https://twitter.com/TkkSureshKumar","@TkkSureshKumar")</f>
        <v>@TkkSureshKumar</v>
      </c>
      <c r="C5852" s="8" t="s">
        <v>13514</v>
      </c>
      <c r="D5852" s="8" t="s">
        <v>8538</v>
      </c>
      <c r="E5852" s="9" t="str">
        <f aca="false">HYPERLINK("https://twitter.com/TkkSureshKumar/status/922351405167386624","922351405167386624")</f>
        <v>922351405167386624</v>
      </c>
      <c r="F5852" s="10" t="s">
        <v>51</v>
      </c>
      <c r="G5852" s="10" t="n">
        <v>7751</v>
      </c>
      <c r="H5852" s="10" t="n">
        <v>5598</v>
      </c>
      <c r="I5852" s="10" t="n">
        <v>1015</v>
      </c>
      <c r="J5852" s="10" t="n">
        <v>0</v>
      </c>
      <c r="K5852" s="10" t="s">
        <v>20</v>
      </c>
      <c r="L5852" s="11" t="n">
        <v>41176.9999652778</v>
      </c>
      <c r="M5852" s="12"/>
      <c r="N5852" s="12" t="s">
        <v>13515</v>
      </c>
      <c r="O5852" s="9" t="str">
        <f aca="false">HYPERLINK("https://pbs.twimg.com/profile_images/3599029107/bbfb65371aec62693b215ceeb53c2676_normal.jpeg","View")</f>
        <v>View</v>
      </c>
      <c r="P5852" s="10"/>
    </row>
    <row r="5853" customFormat="false" ht="15.75" hidden="false" customHeight="false" outlineLevel="0" collapsed="false">
      <c r="A5853" s="6" t="n">
        <v>43030.9849537037</v>
      </c>
      <c r="B5853" s="7" t="str">
        <f aca="false">HYPERLINK("https://twitter.com/rucoruco0903","@rucoruco0903")</f>
        <v>@rucoruco0903</v>
      </c>
      <c r="C5853" s="14" t="s">
        <v>13516</v>
      </c>
      <c r="D5853" s="8" t="s">
        <v>12493</v>
      </c>
      <c r="E5853" s="9" t="str">
        <f aca="false">HYPERLINK("https://twitter.com/rucoruco0903/status/922351463568830464","922351463568830464")</f>
        <v>922351463568830464</v>
      </c>
      <c r="F5853" s="10" t="s">
        <v>51</v>
      </c>
      <c r="G5853" s="10" t="n">
        <v>695</v>
      </c>
      <c r="H5853" s="10" t="n">
        <v>854</v>
      </c>
      <c r="I5853" s="10" t="n">
        <v>63</v>
      </c>
      <c r="J5853" s="10" t="n">
        <v>0</v>
      </c>
      <c r="K5853" s="10" t="s">
        <v>20</v>
      </c>
      <c r="L5853" s="11" t="n">
        <v>42973.1817592593</v>
      </c>
      <c r="M5853" s="13" t="s">
        <v>152</v>
      </c>
      <c r="N5853" s="13" t="s">
        <v>13517</v>
      </c>
      <c r="O5853" s="9" t="str">
        <f aca="false">HYPERLINK("https://pbs.twimg.com/profile_images/901411014859571200/gx5iOKOm_normal.jpg","View")</f>
        <v>View</v>
      </c>
      <c r="P5853" s="10"/>
    </row>
    <row r="5854" customFormat="false" ht="15.75" hidden="false" customHeight="false" outlineLevel="0" collapsed="false">
      <c r="A5854" s="6" t="n">
        <v>43030.9856134259</v>
      </c>
      <c r="B5854" s="7" t="str">
        <f aca="false">HYPERLINK("https://twitter.com/newsjsin","@newsjsin")</f>
        <v>@newsjsin</v>
      </c>
      <c r="C5854" s="8" t="s">
        <v>13518</v>
      </c>
      <c r="D5854" s="8" t="s">
        <v>13519</v>
      </c>
      <c r="E5854" s="9" t="str">
        <f aca="false">HYPERLINK("https://twitter.com/newsjsin/status/922351704984535040","922351704984535040")</f>
        <v>922351704984535040</v>
      </c>
      <c r="F5854" s="9" t="s">
        <v>1147</v>
      </c>
      <c r="G5854" s="10" t="n">
        <v>85</v>
      </c>
      <c r="H5854" s="10" t="n">
        <v>288</v>
      </c>
      <c r="I5854" s="10" t="n">
        <v>0</v>
      </c>
      <c r="J5854" s="10" t="n">
        <v>0</v>
      </c>
      <c r="K5854" s="10" t="s">
        <v>20</v>
      </c>
      <c r="L5854" s="11" t="n">
        <v>41965.3706481482</v>
      </c>
      <c r="M5854" s="12" t="s">
        <v>8603</v>
      </c>
      <c r="N5854" s="12" t="s">
        <v>13520</v>
      </c>
      <c r="O5854" s="9" t="str">
        <f aca="false">HYPERLINK("https://pbs.twimg.com/profile_images/788081094784606208/tTLmwx9I_normal.jpg","View")</f>
        <v>View</v>
      </c>
      <c r="P5854" s="10"/>
    </row>
    <row r="5855" customFormat="false" ht="15.75" hidden="false" customHeight="false" outlineLevel="0" collapsed="false">
      <c r="A5855" s="6" t="n">
        <v>43030.985625</v>
      </c>
      <c r="B5855" s="7" t="str">
        <f aca="false">HYPERLINK("https://twitter.com/FinancialXpress","@FinancialXpress")</f>
        <v>@FinancialXpress</v>
      </c>
      <c r="C5855" s="8" t="s">
        <v>2320</v>
      </c>
      <c r="D5855" s="8" t="s">
        <v>13521</v>
      </c>
      <c r="E5855" s="9" t="str">
        <f aca="false">HYPERLINK("https://twitter.com/FinancialXpress/status/922351709749256192","922351709749256192")</f>
        <v>922351709749256192</v>
      </c>
      <c r="F5855" s="10" t="s">
        <v>39</v>
      </c>
      <c r="G5855" s="10" t="n">
        <v>385176</v>
      </c>
      <c r="H5855" s="10" t="n">
        <v>70</v>
      </c>
      <c r="I5855" s="10" t="n">
        <v>2</v>
      </c>
      <c r="J5855" s="10" t="n">
        <v>2</v>
      </c>
      <c r="K5855" s="10" t="s">
        <v>20</v>
      </c>
      <c r="L5855" s="11" t="n">
        <v>39988.187025463</v>
      </c>
      <c r="M5855" s="12" t="s">
        <v>64</v>
      </c>
      <c r="N5855" s="12" t="s">
        <v>2322</v>
      </c>
      <c r="O5855" s="9" t="str">
        <f aca="false">HYPERLINK("https://pbs.twimg.com/profile_images/1195554309/FE-for-Facebook_normal.jpg","View")</f>
        <v>View</v>
      </c>
      <c r="P5855" s="10"/>
    </row>
    <row r="5856" customFormat="false" ht="15.75" hidden="false" customHeight="false" outlineLevel="0" collapsed="false">
      <c r="A5856" s="6" t="n">
        <v>43030.9856365741</v>
      </c>
      <c r="B5856" s="7" t="str">
        <f aca="false">HYPERLINK("https://twitter.com/newsjsUS","@newsjsUS")</f>
        <v>@newsjsUS</v>
      </c>
      <c r="C5856" s="8" t="s">
        <v>13522</v>
      </c>
      <c r="D5856" s="8" t="s">
        <v>13523</v>
      </c>
      <c r="E5856" s="9" t="str">
        <f aca="false">HYPERLINK("https://twitter.com/newsjsUS/status/922351712651771905","922351712651771905")</f>
        <v>922351712651771905</v>
      </c>
      <c r="F5856" s="9" t="s">
        <v>1147</v>
      </c>
      <c r="G5856" s="10" t="n">
        <v>589</v>
      </c>
      <c r="H5856" s="10" t="n">
        <v>3221</v>
      </c>
      <c r="I5856" s="10" t="n">
        <v>0</v>
      </c>
      <c r="J5856" s="10" t="n">
        <v>0</v>
      </c>
      <c r="K5856" s="10" t="s">
        <v>20</v>
      </c>
      <c r="L5856" s="11" t="n">
        <v>42138.3567361111</v>
      </c>
      <c r="M5856" s="12" t="s">
        <v>230</v>
      </c>
      <c r="N5856" s="12" t="s">
        <v>13524</v>
      </c>
      <c r="O5856" s="9" t="str">
        <f aca="false">HYPERLINK("https://pbs.twimg.com/profile_images/598874326410993664/WBziWObI_normal.png","View")</f>
        <v>View</v>
      </c>
      <c r="P5856" s="10"/>
    </row>
    <row r="5857" customFormat="false" ht="15.75" hidden="false" customHeight="false" outlineLevel="0" collapsed="false">
      <c r="A5857" s="6" t="n">
        <v>43030.9859490741</v>
      </c>
      <c r="B5857" s="7" t="str">
        <f aca="false">HYPERLINK("https://twitter.com/BalKrishanSri14","@BalKrishanSri14")</f>
        <v>@BalKrishanSri14</v>
      </c>
      <c r="C5857" s="8" t="s">
        <v>13525</v>
      </c>
      <c r="D5857" s="8" t="s">
        <v>13526</v>
      </c>
      <c r="E5857" s="9" t="str">
        <f aca="false">HYPERLINK("https://twitter.com/BalKrishanSri14/status/922351826665578496","922351826665578496")</f>
        <v>922351826665578496</v>
      </c>
      <c r="F5857" s="10" t="s">
        <v>25</v>
      </c>
      <c r="G5857" s="10" t="n">
        <v>2</v>
      </c>
      <c r="H5857" s="10" t="n">
        <v>122</v>
      </c>
      <c r="I5857" s="10" t="n">
        <v>0</v>
      </c>
      <c r="J5857" s="10" t="n">
        <v>0</v>
      </c>
      <c r="K5857" s="10" t="s">
        <v>20</v>
      </c>
      <c r="L5857" s="11" t="n">
        <v>43017.3753819444</v>
      </c>
      <c r="M5857" s="12" t="s">
        <v>64</v>
      </c>
      <c r="N5857" s="12"/>
      <c r="O5857" s="9" t="str">
        <f aca="false">HYPERLINK("https://pbs.twimg.com/profile_images/917423823430938624/OAekGL8n_normal.jpg","View")</f>
        <v>View</v>
      </c>
      <c r="P5857" s="10"/>
    </row>
    <row r="5858" customFormat="false" ht="15.75" hidden="false" customHeight="false" outlineLevel="0" collapsed="false">
      <c r="A5858" s="6" t="n">
        <v>43030.9861111111</v>
      </c>
      <c r="B5858" s="7" t="str">
        <f aca="false">HYPERLINK("https://twitter.com/dinakaran","@dinakaran")</f>
        <v>@dinakaran</v>
      </c>
      <c r="C5858" s="8" t="s">
        <v>13527</v>
      </c>
      <c r="D5858" s="8" t="s">
        <v>8538</v>
      </c>
      <c r="E5858" s="9" t="str">
        <f aca="false">HYPERLINK("https://twitter.com/dinakaran/status/922351883695435776","922351883695435776")</f>
        <v>922351883695435776</v>
      </c>
      <c r="F5858" s="10" t="s">
        <v>25</v>
      </c>
      <c r="G5858" s="10" t="n">
        <v>8533</v>
      </c>
      <c r="H5858" s="10" t="n">
        <v>7036</v>
      </c>
      <c r="I5858" s="10" t="n">
        <v>1015</v>
      </c>
      <c r="J5858" s="10" t="n">
        <v>0</v>
      </c>
      <c r="K5858" s="10" t="s">
        <v>20</v>
      </c>
      <c r="L5858" s="11" t="n">
        <v>39166.9700810185</v>
      </c>
      <c r="M5858" s="12" t="s">
        <v>13528</v>
      </c>
      <c r="N5858" s="12" t="s">
        <v>13529</v>
      </c>
      <c r="O5858" s="9" t="str">
        <f aca="false">HYPERLINK("https://pbs.twimg.com/profile_images/849599102895747073/U4lGaL1G_normal.jpg","View")</f>
        <v>View</v>
      </c>
      <c r="P5858" s="10"/>
    </row>
    <row r="5859" customFormat="false" ht="15.75" hidden="false" customHeight="false" outlineLevel="0" collapsed="false">
      <c r="A5859" s="6" t="n">
        <v>43030.9862152778</v>
      </c>
      <c r="B5859" s="7" t="str">
        <f aca="false">HYPERLINK("https://twitter.com/GautamShivendu","@GautamShivendu")</f>
        <v>@GautamShivendu</v>
      </c>
      <c r="C5859" s="8" t="s">
        <v>13530</v>
      </c>
      <c r="D5859" s="8" t="s">
        <v>4984</v>
      </c>
      <c r="E5859" s="9" t="str">
        <f aca="false">HYPERLINK("https://twitter.com/GautamShivendu/status/922351924074070016","922351924074070016")</f>
        <v>922351924074070016</v>
      </c>
      <c r="F5859" s="10" t="s">
        <v>98</v>
      </c>
      <c r="G5859" s="10" t="n">
        <v>254</v>
      </c>
      <c r="H5859" s="10" t="n">
        <v>447</v>
      </c>
      <c r="I5859" s="10" t="n">
        <v>187</v>
      </c>
      <c r="J5859" s="10" t="n">
        <v>0</v>
      </c>
      <c r="K5859" s="10" t="s">
        <v>20</v>
      </c>
      <c r="L5859" s="11" t="n">
        <v>41567.3059375</v>
      </c>
      <c r="M5859" s="12" t="s">
        <v>13531</v>
      </c>
      <c r="N5859" s="12" t="s">
        <v>13532</v>
      </c>
      <c r="O5859" s="9" t="str">
        <f aca="false">HYPERLINK("https://pbs.twimg.com/profile_images/921452576997912576/wM5ry4Uk_normal.jpg","View")</f>
        <v>View</v>
      </c>
      <c r="P5859" s="10"/>
    </row>
    <row r="5860" customFormat="false" ht="15.75" hidden="false" customHeight="false" outlineLevel="0" collapsed="false">
      <c r="A5860" s="6" t="n">
        <v>43030.9865277778</v>
      </c>
      <c r="B5860" s="7" t="str">
        <f aca="false">HYPERLINK("https://twitter.com/GautamShivendu","@GautamShivendu")</f>
        <v>@GautamShivendu</v>
      </c>
      <c r="C5860" s="8" t="s">
        <v>13530</v>
      </c>
      <c r="D5860" s="8" t="s">
        <v>13172</v>
      </c>
      <c r="E5860" s="9" t="str">
        <f aca="false">HYPERLINK("https://twitter.com/GautamShivendu/status/922352035936198656","922352035936198656")</f>
        <v>922352035936198656</v>
      </c>
      <c r="F5860" s="10" t="s">
        <v>98</v>
      </c>
      <c r="G5860" s="10" t="n">
        <v>254</v>
      </c>
      <c r="H5860" s="10" t="n">
        <v>447</v>
      </c>
      <c r="I5860" s="10" t="n">
        <v>26</v>
      </c>
      <c r="J5860" s="10" t="n">
        <v>0</v>
      </c>
      <c r="K5860" s="10" t="s">
        <v>20</v>
      </c>
      <c r="L5860" s="11" t="n">
        <v>41567.3059375</v>
      </c>
      <c r="M5860" s="12" t="s">
        <v>13531</v>
      </c>
      <c r="N5860" s="12" t="s">
        <v>13532</v>
      </c>
      <c r="O5860" s="9" t="str">
        <f aca="false">HYPERLINK("https://pbs.twimg.com/profile_images/921452576997912576/wM5ry4Uk_normal.jpg","View")</f>
        <v>View</v>
      </c>
      <c r="P5860" s="10"/>
    </row>
    <row r="5861" customFormat="false" ht="15.75" hidden="false" customHeight="false" outlineLevel="0" collapsed="false">
      <c r="A5861" s="6" t="n">
        <v>43030.986724537</v>
      </c>
      <c r="B5861" s="7" t="str">
        <f aca="false">HYPERLINK("https://twitter.com/trilateralist73","@trilateralist73")</f>
        <v>@trilateralist73</v>
      </c>
      <c r="C5861" s="8" t="s">
        <v>13533</v>
      </c>
      <c r="D5861" s="8" t="s">
        <v>13534</v>
      </c>
      <c r="E5861" s="9" t="str">
        <f aca="false">HYPERLINK("https://twitter.com/trilateralist73/status/922352108031975424","922352108031975424")</f>
        <v>922352108031975424</v>
      </c>
      <c r="F5861" s="10" t="s">
        <v>51</v>
      </c>
      <c r="G5861" s="10" t="n">
        <v>19</v>
      </c>
      <c r="H5861" s="10" t="n">
        <v>244</v>
      </c>
      <c r="I5861" s="10" t="n">
        <v>0</v>
      </c>
      <c r="J5861" s="10" t="n">
        <v>0</v>
      </c>
      <c r="K5861" s="10" t="s">
        <v>20</v>
      </c>
      <c r="L5861" s="11" t="n">
        <v>40493.1849884259</v>
      </c>
      <c r="M5861" s="12" t="s">
        <v>13535</v>
      </c>
      <c r="N5861" s="12" t="s">
        <v>13536</v>
      </c>
      <c r="O5861" s="9" t="str">
        <f aca="false">HYPERLINK("https://pbs.twimg.com/profile_images/3622543686/f4d2316a9ff364232ea6ec5250fad7b7_normal.jpeg","View")</f>
        <v>View</v>
      </c>
      <c r="P5861" s="10"/>
    </row>
    <row r="5862" customFormat="false" ht="15.75" hidden="false" customHeight="false" outlineLevel="0" collapsed="false">
      <c r="A5862" s="6" t="n">
        <v>43030.987650463</v>
      </c>
      <c r="B5862" s="7" t="str">
        <f aca="false">HYPERLINK("https://twitter.com/AjinkyaSusham","@AjinkyaSusham")</f>
        <v>@AjinkyaSusham</v>
      </c>
      <c r="C5862" s="8" t="s">
        <v>13537</v>
      </c>
      <c r="D5862" s="8" t="s">
        <v>13538</v>
      </c>
      <c r="E5862" s="9" t="str">
        <f aca="false">HYPERLINK("https://twitter.com/AjinkyaSusham/status/922352441273622528","922352441273622528")</f>
        <v>922352441273622528</v>
      </c>
      <c r="F5862" s="10" t="s">
        <v>25</v>
      </c>
      <c r="G5862" s="10" t="n">
        <v>125</v>
      </c>
      <c r="H5862" s="10" t="n">
        <v>2049</v>
      </c>
      <c r="I5862" s="10" t="n">
        <v>2</v>
      </c>
      <c r="J5862" s="10" t="n">
        <v>0</v>
      </c>
      <c r="K5862" s="10" t="s">
        <v>20</v>
      </c>
      <c r="L5862" s="11" t="n">
        <v>43013.8796990741</v>
      </c>
      <c r="M5862" s="12" t="s">
        <v>253</v>
      </c>
      <c r="N5862" s="12" t="s">
        <v>13539</v>
      </c>
      <c r="O5862" s="9" t="str">
        <f aca="false">HYPERLINK("https://pbs.twimg.com/profile_images/916482147837386752/s0gVmQ6l_normal.jpg","View")</f>
        <v>View</v>
      </c>
      <c r="P5862" s="10"/>
    </row>
    <row r="5863" customFormat="false" ht="15.75" hidden="false" customHeight="false" outlineLevel="0" collapsed="false">
      <c r="A5863" s="6" t="n">
        <v>43030.9880787037</v>
      </c>
      <c r="B5863" s="7" t="str">
        <f aca="false">HYPERLINK("https://twitter.com/HiroyukiSolomon","@HiroyukiSolomon")</f>
        <v>@HiroyukiSolomon</v>
      </c>
      <c r="C5863" s="8" t="s">
        <v>7343</v>
      </c>
      <c r="D5863" s="8" t="s">
        <v>13493</v>
      </c>
      <c r="E5863" s="9" t="str">
        <f aca="false">HYPERLINK("https://twitter.com/HiroyukiSolomon/status/922352596244865024","922352596244865024")</f>
        <v>922352596244865024</v>
      </c>
      <c r="F5863" s="10" t="s">
        <v>39</v>
      </c>
      <c r="G5863" s="10" t="n">
        <v>54</v>
      </c>
      <c r="H5863" s="10" t="n">
        <v>60</v>
      </c>
      <c r="I5863" s="10" t="n">
        <v>2</v>
      </c>
      <c r="J5863" s="10" t="n">
        <v>0</v>
      </c>
      <c r="K5863" s="10" t="s">
        <v>20</v>
      </c>
      <c r="L5863" s="11" t="n">
        <v>41221.0822800926</v>
      </c>
      <c r="M5863" s="12"/>
      <c r="N5863" s="13" t="s">
        <v>7345</v>
      </c>
      <c r="O5863" s="9" t="str">
        <f aca="false">HYPERLINK("https://abs.twimg.com/sticky/default_profile_images/default_profile_normal.png","View")</f>
        <v>View</v>
      </c>
      <c r="P5863" s="10"/>
    </row>
    <row r="5864" customFormat="false" ht="15.75" hidden="false" customHeight="false" outlineLevel="0" collapsed="false">
      <c r="A5864" s="6" t="n">
        <v>43030.988125</v>
      </c>
      <c r="B5864" s="7" t="str">
        <f aca="false">HYPERLINK("https://twitter.com/NYTTweetsNow","@NYTTweetsNow")</f>
        <v>@NYTTweetsNow</v>
      </c>
      <c r="C5864" s="8" t="s">
        <v>12652</v>
      </c>
      <c r="D5864" s="8" t="s">
        <v>13172</v>
      </c>
      <c r="E5864" s="9" t="str">
        <f aca="false">HYPERLINK("https://twitter.com/NYTTweetsNow/status/922352614821556225","922352614821556225")</f>
        <v>922352614821556225</v>
      </c>
      <c r="F5864" s="10" t="s">
        <v>25</v>
      </c>
      <c r="G5864" s="10" t="n">
        <v>11</v>
      </c>
      <c r="H5864" s="10" t="n">
        <v>1</v>
      </c>
      <c r="I5864" s="10" t="n">
        <v>26</v>
      </c>
      <c r="J5864" s="10" t="n">
        <v>0</v>
      </c>
      <c r="K5864" s="10" t="s">
        <v>20</v>
      </c>
      <c r="L5864" s="11" t="n">
        <v>42631.2515740741</v>
      </c>
      <c r="M5864" s="12" t="s">
        <v>8966</v>
      </c>
      <c r="N5864" s="12" t="s">
        <v>12653</v>
      </c>
      <c r="O5864" s="9" t="str">
        <f aca="false">HYPERLINK("https://pbs.twimg.com/profile_images/922567606942535680/886xWKqs_normal.jpg","View")</f>
        <v>View</v>
      </c>
      <c r="P5864" s="10"/>
    </row>
    <row r="5865" customFormat="false" ht="15.75" hidden="false" customHeight="false" outlineLevel="0" collapsed="false">
      <c r="A5865" s="6" t="n">
        <v>43030.988275463</v>
      </c>
      <c r="B5865" s="7" t="str">
        <f aca="false">HYPERLINK("https://twitter.com/DJLNR","@DJLNR")</f>
        <v>@DJLNR</v>
      </c>
      <c r="C5865" s="8" t="s">
        <v>2097</v>
      </c>
      <c r="D5865" s="8" t="s">
        <v>13540</v>
      </c>
      <c r="E5865" s="9" t="str">
        <f aca="false">HYPERLINK("https://twitter.com/DJLNR/status/922352670052159488","922352670052159488")</f>
        <v>922352670052159488</v>
      </c>
      <c r="F5865" s="10" t="s">
        <v>60</v>
      </c>
      <c r="G5865" s="10" t="n">
        <v>598</v>
      </c>
      <c r="H5865" s="10" t="n">
        <v>292</v>
      </c>
      <c r="I5865" s="10" t="n">
        <v>0</v>
      </c>
      <c r="J5865" s="10" t="n">
        <v>0</v>
      </c>
      <c r="K5865" s="10" t="s">
        <v>20</v>
      </c>
      <c r="L5865" s="11" t="n">
        <v>40688.0078125</v>
      </c>
      <c r="M5865" s="12" t="s">
        <v>1843</v>
      </c>
      <c r="N5865" s="12" t="s">
        <v>2099</v>
      </c>
      <c r="O5865" s="9" t="str">
        <f aca="false">HYPERLINK("https://pbs.twimg.com/profile_images/627437968974872576/SIshWruB_normal.jpg","View")</f>
        <v>View</v>
      </c>
      <c r="P5865" s="10"/>
    </row>
    <row r="5866" customFormat="false" ht="15.75" hidden="false" customHeight="false" outlineLevel="0" collapsed="false">
      <c r="A5866" s="6" t="n">
        <v>43030.9886111111</v>
      </c>
      <c r="B5866" s="7" t="str">
        <f aca="false">HYPERLINK("https://twitter.com/seoservicec","@seoservicec")</f>
        <v>@seoservicec</v>
      </c>
      <c r="C5866" s="8" t="s">
        <v>13050</v>
      </c>
      <c r="D5866" s="8" t="s">
        <v>13541</v>
      </c>
      <c r="E5866" s="9" t="str">
        <f aca="false">HYPERLINK("https://twitter.com/seoservicec/status/922352790235762688","922352790235762688")</f>
        <v>922352790235762688</v>
      </c>
      <c r="F5866" s="10" t="s">
        <v>55</v>
      </c>
      <c r="G5866" s="10" t="n">
        <v>2506</v>
      </c>
      <c r="H5866" s="10" t="n">
        <v>1806</v>
      </c>
      <c r="I5866" s="10" t="n">
        <v>0</v>
      </c>
      <c r="J5866" s="10" t="n">
        <v>0</v>
      </c>
      <c r="K5866" s="10" t="s">
        <v>20</v>
      </c>
      <c r="L5866" s="11" t="n">
        <v>40628.3582638889</v>
      </c>
      <c r="M5866" s="12" t="s">
        <v>72</v>
      </c>
      <c r="N5866" s="12" t="s">
        <v>13052</v>
      </c>
      <c r="O5866" s="9" t="str">
        <f aca="false">HYPERLINK("https://pbs.twimg.com/profile_images/3503665052/7dbff869302c9184660533c524c0daaa_normal.png","View")</f>
        <v>View</v>
      </c>
      <c r="P5866" s="10"/>
    </row>
    <row r="5867" customFormat="false" ht="15.75" hidden="false" customHeight="false" outlineLevel="0" collapsed="false">
      <c r="A5867" s="6" t="n">
        <v>43030.9888888889</v>
      </c>
      <c r="B5867" s="7" t="str">
        <f aca="false">HYPERLINK("https://twitter.com/GboruM","@GboruM")</f>
        <v>@GboruM</v>
      </c>
      <c r="C5867" s="8" t="s">
        <v>2206</v>
      </c>
      <c r="D5867" s="8" t="s">
        <v>13542</v>
      </c>
      <c r="E5867" s="9" t="str">
        <f aca="false">HYPERLINK("https://twitter.com/GboruM/status/922352890689318912","922352890689318912")</f>
        <v>922352890689318912</v>
      </c>
      <c r="F5867" s="10" t="s">
        <v>55</v>
      </c>
      <c r="G5867" s="10" t="n">
        <v>12129</v>
      </c>
      <c r="H5867" s="10" t="n">
        <v>287</v>
      </c>
      <c r="I5867" s="10" t="n">
        <v>0</v>
      </c>
      <c r="J5867" s="10" t="n">
        <v>0</v>
      </c>
      <c r="K5867" s="10" t="s">
        <v>20</v>
      </c>
      <c r="L5867" s="11" t="n">
        <v>41246.9268518519</v>
      </c>
      <c r="M5867" s="12" t="s">
        <v>1670</v>
      </c>
      <c r="N5867" s="12" t="s">
        <v>2208</v>
      </c>
      <c r="O5867" s="9" t="str">
        <f aca="false">HYPERLINK("https://pbs.twimg.com/profile_images/923809863121166336/FPYIgixr_normal.jpg","View")</f>
        <v>View</v>
      </c>
      <c r="P5867" s="10"/>
    </row>
    <row r="5868" customFormat="false" ht="15.75" hidden="false" customHeight="false" outlineLevel="0" collapsed="false">
      <c r="A5868" s="6" t="n">
        <v>43030.989837963</v>
      </c>
      <c r="B5868" s="7" t="str">
        <f aca="false">HYPERLINK("https://twitter.com/TheKootneeti","@TheKootneeti")</f>
        <v>@TheKootneeti</v>
      </c>
      <c r="C5868" s="8" t="s">
        <v>13543</v>
      </c>
      <c r="D5868" s="8" t="s">
        <v>10414</v>
      </c>
      <c r="E5868" s="9" t="str">
        <f aca="false">HYPERLINK("https://twitter.com/TheKootneeti/status/922353236253618177","922353236253618177")</f>
        <v>922353236253618177</v>
      </c>
      <c r="F5868" s="10" t="s">
        <v>25</v>
      </c>
      <c r="G5868" s="10" t="n">
        <v>116</v>
      </c>
      <c r="H5868" s="10" t="n">
        <v>1218</v>
      </c>
      <c r="I5868" s="10" t="n">
        <v>14</v>
      </c>
      <c r="J5868" s="10" t="n">
        <v>0</v>
      </c>
      <c r="K5868" s="10" t="s">
        <v>20</v>
      </c>
      <c r="L5868" s="11" t="n">
        <v>42936.010775463</v>
      </c>
      <c r="M5868" s="12" t="s">
        <v>64</v>
      </c>
      <c r="N5868" s="12" t="s">
        <v>13544</v>
      </c>
      <c r="O5868" s="9" t="str">
        <f aca="false">HYPERLINK("https://pbs.twimg.com/profile_images/889384694143307777/Kmaw7uon_normal.jpg","View")</f>
        <v>View</v>
      </c>
      <c r="P5868" s="10"/>
    </row>
    <row r="5869" customFormat="false" ht="15.75" hidden="false" customHeight="false" outlineLevel="0" collapsed="false">
      <c r="A5869" s="6" t="n">
        <v>43030.9905555556</v>
      </c>
      <c r="B5869" s="7" t="str">
        <f aca="false">HYPERLINK("https://twitter.com/KulkarniBhavika","@KulkarniBhavika")</f>
        <v>@KulkarniBhavika</v>
      </c>
      <c r="C5869" s="8" t="s">
        <v>13545</v>
      </c>
      <c r="D5869" s="8" t="s">
        <v>13546</v>
      </c>
      <c r="E5869" s="9" t="str">
        <f aca="false">HYPERLINK("https://twitter.com/KulkarniBhavika/status/922353496388751360","922353496388751360")</f>
        <v>922353496388751360</v>
      </c>
      <c r="F5869" s="9" t="s">
        <v>2138</v>
      </c>
      <c r="G5869" s="10" t="n">
        <v>6</v>
      </c>
      <c r="H5869" s="10" t="n">
        <v>45</v>
      </c>
      <c r="I5869" s="10" t="n">
        <v>0</v>
      </c>
      <c r="J5869" s="10" t="n">
        <v>0</v>
      </c>
      <c r="K5869" s="10" t="s">
        <v>20</v>
      </c>
      <c r="L5869" s="11" t="n">
        <v>42922.0357638889</v>
      </c>
      <c r="M5869" s="12" t="s">
        <v>13547</v>
      </c>
      <c r="N5869" s="12" t="s">
        <v>13548</v>
      </c>
      <c r="O5869" s="9" t="str">
        <f aca="false">HYPERLINK("https://pbs.twimg.com/profile_images/884396212069126149/VSgyuV0G_normal.jpg","View")</f>
        <v>View</v>
      </c>
      <c r="P5869" s="10"/>
    </row>
    <row r="5870" customFormat="false" ht="15.75" hidden="false" customHeight="false" outlineLevel="0" collapsed="false">
      <c r="A5870" s="6" t="n">
        <v>43030.9906944444</v>
      </c>
      <c r="B5870" s="7" t="str">
        <f aca="false">HYPERLINK("https://twitter.com/rajibhawaibam","@rajibhawaibam")</f>
        <v>@rajibhawaibam</v>
      </c>
      <c r="C5870" s="8" t="s">
        <v>13549</v>
      </c>
      <c r="D5870" s="8" t="s">
        <v>8538</v>
      </c>
      <c r="E5870" s="9" t="str">
        <f aca="false">HYPERLINK("https://twitter.com/rajibhawaibam/status/922353547114455040","922353547114455040")</f>
        <v>922353547114455040</v>
      </c>
      <c r="F5870" s="10" t="s">
        <v>25</v>
      </c>
      <c r="G5870" s="10" t="n">
        <v>412</v>
      </c>
      <c r="H5870" s="10" t="n">
        <v>1368</v>
      </c>
      <c r="I5870" s="10" t="n">
        <v>1015</v>
      </c>
      <c r="J5870" s="10" t="n">
        <v>0</v>
      </c>
      <c r="K5870" s="10" t="s">
        <v>20</v>
      </c>
      <c r="L5870" s="11" t="n">
        <v>40025.0802083333</v>
      </c>
      <c r="M5870" s="12"/>
      <c r="N5870" s="12" t="s">
        <v>13550</v>
      </c>
      <c r="O5870" s="9" t="str">
        <f aca="false">HYPERLINK("https://pbs.twimg.com/profile_images/905637292017987584/E4whhtkj_normal.jpg","View")</f>
        <v>View</v>
      </c>
      <c r="P5870" s="10"/>
    </row>
    <row r="5871" customFormat="false" ht="15.75" hidden="false" customHeight="false" outlineLevel="0" collapsed="false">
      <c r="A5871" s="6" t="n">
        <v>43030.9907060185</v>
      </c>
      <c r="B5871" s="7" t="str">
        <f aca="false">HYPERLINK("https://twitter.com/1_newsnet","@1_newsnet")</f>
        <v>@1_newsnet</v>
      </c>
      <c r="C5871" s="8" t="s">
        <v>1637</v>
      </c>
      <c r="D5871" s="8" t="s">
        <v>13551</v>
      </c>
      <c r="E5871" s="9" t="str">
        <f aca="false">HYPERLINK("https://twitter.com/1_newsnet/status/922353549694197760","922353549694197760")</f>
        <v>922353549694197760</v>
      </c>
      <c r="F5871" s="10" t="s">
        <v>1639</v>
      </c>
      <c r="G5871" s="10" t="n">
        <v>16157</v>
      </c>
      <c r="H5871" s="10" t="n">
        <v>147</v>
      </c>
      <c r="I5871" s="10" t="n">
        <v>0</v>
      </c>
      <c r="J5871" s="10" t="n">
        <v>0</v>
      </c>
      <c r="K5871" s="10" t="s">
        <v>20</v>
      </c>
      <c r="L5871" s="11" t="n">
        <v>41726.3007638889</v>
      </c>
      <c r="M5871" s="12"/>
      <c r="N5871" s="12" t="s">
        <v>1640</v>
      </c>
      <c r="O5871" s="9" t="str">
        <f aca="false">HYPERLINK("https://pbs.twimg.com/profile_images/475296454257291264/Uj3aJ-3r_normal.jpeg","View")</f>
        <v>View</v>
      </c>
      <c r="P5871" s="10"/>
    </row>
    <row r="5872" customFormat="false" ht="15.75" hidden="false" customHeight="false" outlineLevel="0" collapsed="false">
      <c r="A5872" s="6" t="n">
        <v>43030.9909027778</v>
      </c>
      <c r="B5872" s="7" t="str">
        <f aca="false">HYPERLINK("https://twitter.com/GVlxIEEPTl27MDf","@GVlxIEEPTl27MDf")</f>
        <v>@GVlxIEEPTl27MDf</v>
      </c>
      <c r="C5872" s="14" t="s">
        <v>13552</v>
      </c>
      <c r="D5872" s="8" t="s">
        <v>12493</v>
      </c>
      <c r="E5872" s="9" t="str">
        <f aca="false">HYPERLINK("https://twitter.com/GVlxIEEPTl27MDf/status/922353619357143041","922353619357143041")</f>
        <v>922353619357143041</v>
      </c>
      <c r="F5872" s="10" t="s">
        <v>25</v>
      </c>
      <c r="G5872" s="10" t="n">
        <v>117</v>
      </c>
      <c r="H5872" s="10" t="n">
        <v>250</v>
      </c>
      <c r="I5872" s="10" t="n">
        <v>63</v>
      </c>
      <c r="J5872" s="10" t="n">
        <v>0</v>
      </c>
      <c r="K5872" s="10" t="s">
        <v>20</v>
      </c>
      <c r="L5872" s="11" t="n">
        <v>42901.8173726852</v>
      </c>
      <c r="M5872" s="12"/>
      <c r="N5872" s="12" t="s">
        <v>13553</v>
      </c>
      <c r="O5872" s="9" t="str">
        <f aca="false">HYPERLINK("https://pbs.twimg.com/profile_images/879741961321586692/M5QiP9MA_normal.jpg","View")</f>
        <v>View</v>
      </c>
      <c r="P5872" s="10"/>
    </row>
    <row r="5873" customFormat="false" ht="15.75" hidden="false" customHeight="false" outlineLevel="0" collapsed="false">
      <c r="A5873" s="6" t="n">
        <v>43030.991400463</v>
      </c>
      <c r="B5873" s="7" t="str">
        <f aca="false">HYPERLINK("https://twitter.com/rangakidambee","@rangakidambee")</f>
        <v>@rangakidambee</v>
      </c>
      <c r="C5873" s="8" t="s">
        <v>13554</v>
      </c>
      <c r="D5873" s="8" t="s">
        <v>8538</v>
      </c>
      <c r="E5873" s="9" t="str">
        <f aca="false">HYPERLINK("https://twitter.com/rangakidambee/status/922353801763229698","922353801763229698")</f>
        <v>922353801763229698</v>
      </c>
      <c r="F5873" s="10" t="s">
        <v>25</v>
      </c>
      <c r="G5873" s="10" t="n">
        <v>1130</v>
      </c>
      <c r="H5873" s="10" t="n">
        <v>1025</v>
      </c>
      <c r="I5873" s="10" t="n">
        <v>1015</v>
      </c>
      <c r="J5873" s="10" t="n">
        <v>0</v>
      </c>
      <c r="K5873" s="10" t="s">
        <v>20</v>
      </c>
      <c r="L5873" s="11" t="n">
        <v>41374.3538310185</v>
      </c>
      <c r="M5873" s="12" t="s">
        <v>5883</v>
      </c>
      <c r="N5873" s="12" t="s">
        <v>13555</v>
      </c>
      <c r="O5873" s="9" t="str">
        <f aca="false">HYPERLINK("https://pbs.twimg.com/profile_images/3506094286/7c419fc2cba4e3eed85ba2ada53df49b_normal.jpeg","View")</f>
        <v>View</v>
      </c>
      <c r="P5873" s="10"/>
    </row>
    <row r="5874" customFormat="false" ht="15.75" hidden="false" customHeight="false" outlineLevel="0" collapsed="false">
      <c r="A5874" s="6" t="n">
        <v>43030.9915393519</v>
      </c>
      <c r="B5874" s="7" t="str">
        <f aca="false">HYPERLINK("https://twitter.com/kickdown2010","@kickdown2010")</f>
        <v>@kickdown2010</v>
      </c>
      <c r="C5874" s="8" t="s">
        <v>12760</v>
      </c>
      <c r="D5874" s="8" t="s">
        <v>13556</v>
      </c>
      <c r="E5874" s="9" t="str">
        <f aca="false">HYPERLINK("https://twitter.com/kickdown2010/status/922353850601918464","922353850601918464")</f>
        <v>922353850601918464</v>
      </c>
      <c r="F5874" s="10" t="s">
        <v>55</v>
      </c>
      <c r="G5874" s="10" t="n">
        <v>1123</v>
      </c>
      <c r="H5874" s="10" t="n">
        <v>828</v>
      </c>
      <c r="I5874" s="10" t="n">
        <v>0</v>
      </c>
      <c r="J5874" s="10" t="n">
        <v>0</v>
      </c>
      <c r="K5874" s="10" t="s">
        <v>20</v>
      </c>
      <c r="L5874" s="11" t="n">
        <v>40249.5366203704</v>
      </c>
      <c r="M5874" s="12" t="s">
        <v>9351</v>
      </c>
      <c r="N5874" s="12" t="s">
        <v>12762</v>
      </c>
      <c r="O5874" s="9" t="str">
        <f aca="false">HYPERLINK("https://pbs.twimg.com/profile_images/681335720687104000/IRtfg1i-_normal.jpg","View")</f>
        <v>View</v>
      </c>
      <c r="P5874" s="10"/>
    </row>
    <row r="5875" customFormat="false" ht="15.75" hidden="false" customHeight="false" outlineLevel="0" collapsed="false">
      <c r="A5875" s="6" t="n">
        <v>43030.992337963</v>
      </c>
      <c r="B5875" s="7" t="str">
        <f aca="false">HYPERLINK("https://twitter.com/AlanLondonCity","@AlanLondonCity")</f>
        <v>@AlanLondonCity</v>
      </c>
      <c r="C5875" s="8" t="s">
        <v>3495</v>
      </c>
      <c r="D5875" s="8" t="s">
        <v>13229</v>
      </c>
      <c r="E5875" s="9" t="str">
        <f aca="false">HYPERLINK("https://twitter.com/AlanLondonCity/status/922354142516953088","922354142516953088")</f>
        <v>922354142516953088</v>
      </c>
      <c r="F5875" s="10" t="s">
        <v>51</v>
      </c>
      <c r="G5875" s="10" t="n">
        <v>56976</v>
      </c>
      <c r="H5875" s="10" t="n">
        <v>114</v>
      </c>
      <c r="I5875" s="10" t="n">
        <v>18</v>
      </c>
      <c r="J5875" s="10" t="n">
        <v>0</v>
      </c>
      <c r="K5875" s="10" t="s">
        <v>20</v>
      </c>
      <c r="L5875" s="11" t="n">
        <v>42990.5023958333</v>
      </c>
      <c r="M5875" s="12" t="s">
        <v>182</v>
      </c>
      <c r="N5875" s="12" t="s">
        <v>3496</v>
      </c>
      <c r="O5875" s="9" t="str">
        <f aca="false">HYPERLINK("https://pbs.twimg.com/profile_images/907681852466573312/c3GaQ5WR_normal.jpg","View")</f>
        <v>View</v>
      </c>
      <c r="P5875" s="10"/>
    </row>
    <row r="5876" customFormat="false" ht="15.75" hidden="false" customHeight="false" outlineLevel="0" collapsed="false">
      <c r="A5876" s="6" t="n">
        <v>43030.9923611111</v>
      </c>
      <c r="B5876" s="7" t="str">
        <f aca="false">HYPERLINK("https://twitter.com/nahidhatim","@nahidhatim")</f>
        <v>@nahidhatim</v>
      </c>
      <c r="C5876" s="8" t="s">
        <v>13557</v>
      </c>
      <c r="D5876" s="8" t="s">
        <v>13253</v>
      </c>
      <c r="E5876" s="9" t="str">
        <f aca="false">HYPERLINK("https://twitter.com/nahidhatim/status/922354150377172992","922354150377172992")</f>
        <v>922354150377172992</v>
      </c>
      <c r="F5876" s="10" t="s">
        <v>98</v>
      </c>
      <c r="G5876" s="10" t="n">
        <v>102</v>
      </c>
      <c r="H5876" s="10" t="n">
        <v>595</v>
      </c>
      <c r="I5876" s="10" t="n">
        <v>22</v>
      </c>
      <c r="J5876" s="10" t="n">
        <v>0</v>
      </c>
      <c r="K5876" s="10" t="s">
        <v>20</v>
      </c>
      <c r="L5876" s="11" t="n">
        <v>41809.2744212963</v>
      </c>
      <c r="M5876" s="12" t="s">
        <v>13558</v>
      </c>
      <c r="N5876" s="12"/>
      <c r="O5876" s="9" t="str">
        <f aca="false">HYPERLINK("https://pbs.twimg.com/profile_images/920532856102899713/Nd4Sxu1r_normal.jpg","View")</f>
        <v>View</v>
      </c>
      <c r="P5876" s="10"/>
    </row>
    <row r="5877" customFormat="false" ht="15.75" hidden="false" customHeight="false" outlineLevel="0" collapsed="false">
      <c r="A5877" s="6" t="n">
        <v>43030.9926273148</v>
      </c>
      <c r="B5877" s="7" t="str">
        <f aca="false">HYPERLINK("https://twitter.com/Fortune_once","@Fortune_once")</f>
        <v>@Fortune_once</v>
      </c>
      <c r="C5877" s="8" t="s">
        <v>13559</v>
      </c>
      <c r="D5877" s="8" t="s">
        <v>12163</v>
      </c>
      <c r="E5877" s="9" t="str">
        <f aca="false">HYPERLINK("https://twitter.com/Fortune_once/status/922354246040813568","922354246040813568")</f>
        <v>922354246040813568</v>
      </c>
      <c r="F5877" s="10" t="s">
        <v>737</v>
      </c>
      <c r="G5877" s="10" t="n">
        <v>19</v>
      </c>
      <c r="H5877" s="10" t="n">
        <v>0</v>
      </c>
      <c r="I5877" s="10" t="n">
        <v>9</v>
      </c>
      <c r="J5877" s="10" t="n">
        <v>0</v>
      </c>
      <c r="K5877" s="10" t="s">
        <v>20</v>
      </c>
      <c r="L5877" s="11" t="n">
        <v>42900.7522685185</v>
      </c>
      <c r="M5877" s="12"/>
      <c r="N5877" s="12" t="s">
        <v>13560</v>
      </c>
      <c r="O5877" s="9" t="str">
        <f aca="false">HYPERLINK("https://pbs.twimg.com/profile_images/875157518628122624/Xzflw3uK_normal.jpg","View")</f>
        <v>View</v>
      </c>
      <c r="P5877" s="10"/>
    </row>
    <row r="5878" customFormat="false" ht="15.75" hidden="false" customHeight="false" outlineLevel="0" collapsed="false">
      <c r="A5878" s="6" t="n">
        <v>43030.9927893519</v>
      </c>
      <c r="B5878" s="7" t="str">
        <f aca="false">HYPERLINK("https://twitter.com/DrHarryLime","@DrHarryLime")</f>
        <v>@DrHarryLime</v>
      </c>
      <c r="C5878" s="8" t="s">
        <v>8787</v>
      </c>
      <c r="D5878" s="8" t="s">
        <v>13561</v>
      </c>
      <c r="E5878" s="9" t="str">
        <f aca="false">HYPERLINK("https://twitter.com/DrHarryLime/status/922354303431426048","922354303431426048")</f>
        <v>922354303431426048</v>
      </c>
      <c r="F5878" s="10" t="s">
        <v>39</v>
      </c>
      <c r="G5878" s="10" t="n">
        <v>3659</v>
      </c>
      <c r="H5878" s="10" t="n">
        <v>2400</v>
      </c>
      <c r="I5878" s="10" t="n">
        <v>0</v>
      </c>
      <c r="J5878" s="10" t="n">
        <v>0</v>
      </c>
      <c r="K5878" s="10" t="s">
        <v>20</v>
      </c>
      <c r="L5878" s="11" t="n">
        <v>40583.4088888889</v>
      </c>
      <c r="M5878" s="12" t="s">
        <v>8789</v>
      </c>
      <c r="N5878" s="12" t="s">
        <v>8790</v>
      </c>
      <c r="O5878" s="9" t="str">
        <f aca="false">HYPERLINK("https://pbs.twimg.com/profile_images/819945933374767104/Navqldbw_normal.jpg","View")</f>
        <v>View</v>
      </c>
      <c r="P5878" s="10"/>
    </row>
    <row r="5879" customFormat="false" ht="15.75" hidden="false" customHeight="false" outlineLevel="0" collapsed="false">
      <c r="A5879" s="6" t="n">
        <v>43030.9932407407</v>
      </c>
      <c r="B5879" s="7" t="str">
        <f aca="false">HYPERLINK("https://twitter.com/johnsimon01","@johnsimon01")</f>
        <v>@johnsimon01</v>
      </c>
      <c r="C5879" s="8" t="s">
        <v>13562</v>
      </c>
      <c r="D5879" s="8" t="s">
        <v>13563</v>
      </c>
      <c r="E5879" s="9" t="str">
        <f aca="false">HYPERLINK("https://twitter.com/johnsimon01/status/922354467391066112","922354467391066112")</f>
        <v>922354467391066112</v>
      </c>
      <c r="F5879" s="10" t="s">
        <v>39</v>
      </c>
      <c r="G5879" s="10" t="n">
        <v>416</v>
      </c>
      <c r="H5879" s="10" t="n">
        <v>1978</v>
      </c>
      <c r="I5879" s="10" t="n">
        <v>0</v>
      </c>
      <c r="J5879" s="10" t="n">
        <v>0</v>
      </c>
      <c r="K5879" s="10" t="s">
        <v>20</v>
      </c>
      <c r="L5879" s="11" t="n">
        <v>40587.0613888889</v>
      </c>
      <c r="M5879" s="12" t="s">
        <v>893</v>
      </c>
      <c r="N5879" s="12" t="s">
        <v>13564</v>
      </c>
      <c r="O5879" s="9" t="str">
        <f aca="false">HYPERLINK("https://pbs.twimg.com/profile_images/417902690149355520/baQHfWHr_normal.jpeg","View")</f>
        <v>View</v>
      </c>
      <c r="P5879" s="10"/>
    </row>
    <row r="5880" customFormat="false" ht="15.75" hidden="false" customHeight="false" outlineLevel="0" collapsed="false">
      <c r="A5880" s="6" t="n">
        <v>43030.9933217593</v>
      </c>
      <c r="B5880" s="7" t="str">
        <f aca="false">HYPERLINK("https://twitter.com/taka910910","@taka910910")</f>
        <v>@taka910910</v>
      </c>
      <c r="C5880" s="8" t="n">
        <v>910</v>
      </c>
      <c r="D5880" s="8" t="s">
        <v>12046</v>
      </c>
      <c r="E5880" s="9" t="str">
        <f aca="false">HYPERLINK("https://twitter.com/taka910910/status/922354500068818944","922354500068818944")</f>
        <v>922354500068818944</v>
      </c>
      <c r="F5880" s="10" t="s">
        <v>25</v>
      </c>
      <c r="G5880" s="10" t="n">
        <v>1894</v>
      </c>
      <c r="H5880" s="10" t="n">
        <v>3559</v>
      </c>
      <c r="I5880" s="10" t="n">
        <v>7</v>
      </c>
      <c r="J5880" s="10" t="n">
        <v>0</v>
      </c>
      <c r="K5880" s="10" t="s">
        <v>20</v>
      </c>
      <c r="L5880" s="11" t="n">
        <v>40201.2847916667</v>
      </c>
      <c r="M5880" s="12"/>
      <c r="N5880" s="13" t="s">
        <v>13565</v>
      </c>
      <c r="O5880" s="9" t="str">
        <f aca="false">HYPERLINK("https://pbs.twimg.com/profile_images/710364250418446336/EIZR_xGI_normal.jpg","View")</f>
        <v>View</v>
      </c>
      <c r="P5880" s="10"/>
    </row>
    <row r="5881" customFormat="false" ht="15.75" hidden="false" customHeight="false" outlineLevel="0" collapsed="false">
      <c r="A5881" s="6" t="n">
        <v>43030.9934259259</v>
      </c>
      <c r="B5881" s="7" t="str">
        <f aca="false">HYPERLINK("https://twitter.com/Oshilo","@Oshilo")</f>
        <v>@Oshilo</v>
      </c>
      <c r="C5881" s="8" t="s">
        <v>13566</v>
      </c>
      <c r="D5881" s="8" t="s">
        <v>13567</v>
      </c>
      <c r="E5881" s="9" t="str">
        <f aca="false">HYPERLINK("https://twitter.com/Oshilo/status/922354534604853248","922354534604853248")</f>
        <v>922354534604853248</v>
      </c>
      <c r="F5881" s="10" t="s">
        <v>55</v>
      </c>
      <c r="G5881" s="10" t="n">
        <v>172</v>
      </c>
      <c r="H5881" s="10" t="n">
        <v>62</v>
      </c>
      <c r="I5881" s="10" t="n">
        <v>0</v>
      </c>
      <c r="J5881" s="10" t="n">
        <v>0</v>
      </c>
      <c r="K5881" s="10" t="s">
        <v>20</v>
      </c>
      <c r="L5881" s="11" t="n">
        <v>40007.0868402778</v>
      </c>
      <c r="M5881" s="12" t="s">
        <v>13568</v>
      </c>
      <c r="N5881" s="12"/>
      <c r="O5881" s="9" t="str">
        <f aca="false">HYPERLINK("https://pbs.twimg.com/profile_images/719706937923756032/6LX9DMMH_normal.jpg","View")</f>
        <v>View</v>
      </c>
      <c r="P5881" s="10"/>
    </row>
    <row r="5882" customFormat="false" ht="15.75" hidden="false" customHeight="false" outlineLevel="0" collapsed="false">
      <c r="A5882" s="6" t="n">
        <v>43030.9938657407</v>
      </c>
      <c r="B5882" s="7" t="str">
        <f aca="false">HYPERLINK("https://twitter.com/twright55","@twright55")</f>
        <v>@twright55</v>
      </c>
      <c r="C5882" s="8" t="s">
        <v>13569</v>
      </c>
      <c r="D5882" s="8" t="s">
        <v>13512</v>
      </c>
      <c r="E5882" s="9" t="str">
        <f aca="false">HYPERLINK("https://twitter.com/twright55/status/922354693677961216","922354693677961216")</f>
        <v>922354693677961216</v>
      </c>
      <c r="F5882" s="10" t="s">
        <v>98</v>
      </c>
      <c r="G5882" s="10" t="n">
        <v>9434</v>
      </c>
      <c r="H5882" s="10" t="n">
        <v>670</v>
      </c>
      <c r="I5882" s="10" t="n">
        <v>2</v>
      </c>
      <c r="J5882" s="10" t="n">
        <v>0</v>
      </c>
      <c r="K5882" s="10" t="s">
        <v>20</v>
      </c>
      <c r="L5882" s="11" t="n">
        <v>40145.6788773148</v>
      </c>
      <c r="M5882" s="12" t="s">
        <v>13570</v>
      </c>
      <c r="N5882" s="12" t="s">
        <v>13571</v>
      </c>
      <c r="O5882" s="9" t="str">
        <f aca="false">HYPERLINK("https://pbs.twimg.com/profile_images/920928913710338048/1K44JeCJ_normal.jpg","View")</f>
        <v>View</v>
      </c>
      <c r="P5882" s="10"/>
    </row>
    <row r="5883" customFormat="false" ht="15.75" hidden="false" customHeight="false" outlineLevel="0" collapsed="false">
      <c r="A5883" s="6" t="n">
        <v>43030.9939351852</v>
      </c>
      <c r="B5883" s="7" t="str">
        <f aca="false">HYPERLINK("https://twitter.com/INSPIRESMETOO1","@INSPIRESMETOO1")</f>
        <v>@INSPIRESMETOO1</v>
      </c>
      <c r="C5883" s="8" t="s">
        <v>13572</v>
      </c>
      <c r="D5883" s="8" t="s">
        <v>13229</v>
      </c>
      <c r="E5883" s="9" t="str">
        <f aca="false">HYPERLINK("https://twitter.com/INSPIRESMETOO1/status/922354720844468225","922354720844468225")</f>
        <v>922354720844468225</v>
      </c>
      <c r="F5883" s="10" t="s">
        <v>51</v>
      </c>
      <c r="G5883" s="10" t="n">
        <v>781</v>
      </c>
      <c r="H5883" s="10" t="n">
        <v>1962</v>
      </c>
      <c r="I5883" s="10" t="n">
        <v>18</v>
      </c>
      <c r="J5883" s="10" t="n">
        <v>0</v>
      </c>
      <c r="K5883" s="10" t="s">
        <v>20</v>
      </c>
      <c r="L5883" s="11" t="n">
        <v>43027.8244791667</v>
      </c>
      <c r="M5883" s="12" t="s">
        <v>230</v>
      </c>
      <c r="N5883" s="12" t="s">
        <v>13573</v>
      </c>
      <c r="O5883" s="9" t="str">
        <f aca="false">HYPERLINK("https://pbs.twimg.com/profile_images/921466981680852993/zAIDH19R_normal.jpg","View")</f>
        <v>View</v>
      </c>
      <c r="P5883" s="10"/>
    </row>
    <row r="5884" customFormat="false" ht="15.75" hidden="false" customHeight="false" outlineLevel="0" collapsed="false">
      <c r="A5884" s="6" t="n">
        <v>43030.9939814815</v>
      </c>
      <c r="B5884" s="7" t="str">
        <f aca="false">HYPERLINK("https://twitter.com/bigbrianhale","@bigbrianhale")</f>
        <v>@bigbrianhale</v>
      </c>
      <c r="C5884" s="8" t="s">
        <v>13574</v>
      </c>
      <c r="D5884" s="8" t="s">
        <v>13575</v>
      </c>
      <c r="E5884" s="9" t="str">
        <f aca="false">HYPERLINK("https://twitter.com/bigbrianhale/status/922354736032083968","922354736032083968")</f>
        <v>922354736032083968</v>
      </c>
      <c r="F5884" s="10" t="s">
        <v>60</v>
      </c>
      <c r="G5884" s="10" t="n">
        <v>231</v>
      </c>
      <c r="H5884" s="10" t="n">
        <v>443</v>
      </c>
      <c r="I5884" s="10" t="n">
        <v>0</v>
      </c>
      <c r="J5884" s="10" t="n">
        <v>0</v>
      </c>
      <c r="K5884" s="10" t="s">
        <v>20</v>
      </c>
      <c r="L5884" s="11" t="n">
        <v>41916.5097916667</v>
      </c>
      <c r="M5884" s="12"/>
      <c r="N5884" s="12" t="s">
        <v>13576</v>
      </c>
      <c r="O5884" s="9" t="str">
        <f aca="false">HYPERLINK("https://pbs.twimg.com/profile_images/518480800036048896/K3Ucw5ui_normal.jpeg","View")</f>
        <v>View</v>
      </c>
      <c r="P5884" s="10"/>
    </row>
    <row r="5885" customFormat="false" ht="15.75" hidden="false" customHeight="false" outlineLevel="0" collapsed="false">
      <c r="A5885" s="6" t="n">
        <v>43030.9944444444</v>
      </c>
      <c r="B5885" s="7" t="str">
        <f aca="false">HYPERLINK("https://twitter.com/lionheartpat","@lionheartpat")</f>
        <v>@lionheartpat</v>
      </c>
      <c r="C5885" s="8" t="s">
        <v>13577</v>
      </c>
      <c r="D5885" s="8" t="s">
        <v>13578</v>
      </c>
      <c r="E5885" s="9" t="str">
        <f aca="false">HYPERLINK("https://twitter.com/lionheartpat/status/922354903086960640","922354903086960640")</f>
        <v>922354903086960640</v>
      </c>
      <c r="F5885" s="10" t="s">
        <v>177</v>
      </c>
      <c r="G5885" s="10" t="n">
        <v>280</v>
      </c>
      <c r="H5885" s="10" t="n">
        <v>1237</v>
      </c>
      <c r="I5885" s="10" t="n">
        <v>0</v>
      </c>
      <c r="J5885" s="10" t="n">
        <v>0</v>
      </c>
      <c r="K5885" s="10" t="s">
        <v>20</v>
      </c>
      <c r="L5885" s="11" t="n">
        <v>42642.1641550926</v>
      </c>
      <c r="M5885" s="12" t="s">
        <v>6755</v>
      </c>
      <c r="N5885" s="12" t="s">
        <v>13579</v>
      </c>
      <c r="O5885" s="9" t="str">
        <f aca="false">HYPERLINK("https://pbs.twimg.com/profile_images/781452788953931777/Q6et21bE_normal.jpg","View")</f>
        <v>View</v>
      </c>
      <c r="P5885" s="10"/>
    </row>
    <row r="5886" customFormat="false" ht="15.75" hidden="false" customHeight="false" outlineLevel="0" collapsed="false">
      <c r="A5886" s="6" t="n">
        <v>43030.9944791667</v>
      </c>
      <c r="B5886" s="7" t="str">
        <f aca="false">HYPERLINK("https://twitter.com/sirfAK","@sirfAK")</f>
        <v>@sirfAK</v>
      </c>
      <c r="C5886" s="8" t="s">
        <v>13580</v>
      </c>
      <c r="D5886" s="8" t="s">
        <v>8538</v>
      </c>
      <c r="E5886" s="9" t="str">
        <f aca="false">HYPERLINK("https://twitter.com/sirfAK/status/922354916370407424","922354916370407424")</f>
        <v>922354916370407424</v>
      </c>
      <c r="F5886" s="10" t="s">
        <v>25</v>
      </c>
      <c r="G5886" s="10" t="n">
        <v>956</v>
      </c>
      <c r="H5886" s="10" t="n">
        <v>504</v>
      </c>
      <c r="I5886" s="10" t="n">
        <v>1015</v>
      </c>
      <c r="J5886" s="10" t="n">
        <v>0</v>
      </c>
      <c r="K5886" s="10" t="s">
        <v>20</v>
      </c>
      <c r="L5886" s="11" t="n">
        <v>39981.0391087963</v>
      </c>
      <c r="M5886" s="12" t="s">
        <v>13581</v>
      </c>
      <c r="N5886" s="12" t="s">
        <v>13582</v>
      </c>
      <c r="O5886" s="9" t="str">
        <f aca="false">HYPERLINK("https://pbs.twimg.com/profile_images/910620069465546752/MJF1_44I_normal.jpg","View")</f>
        <v>View</v>
      </c>
      <c r="P5886" s="10"/>
    </row>
    <row r="5887" customFormat="false" ht="15.75" hidden="false" customHeight="false" outlineLevel="0" collapsed="false">
      <c r="A5887" s="6" t="n">
        <v>43030.9950925926</v>
      </c>
      <c r="B5887" s="7" t="str">
        <f aca="false">HYPERLINK("https://twitter.com/mogli420","@mogli420")</f>
        <v>@mogli420</v>
      </c>
      <c r="C5887" s="8" t="s">
        <v>13583</v>
      </c>
      <c r="D5887" s="8" t="s">
        <v>12398</v>
      </c>
      <c r="E5887" s="9" t="str">
        <f aca="false">HYPERLINK("https://twitter.com/mogli420/status/922355141432315904","922355141432315904")</f>
        <v>922355141432315904</v>
      </c>
      <c r="F5887" s="10" t="s">
        <v>25</v>
      </c>
      <c r="G5887" s="10" t="n">
        <v>747</v>
      </c>
      <c r="H5887" s="10" t="n">
        <v>831</v>
      </c>
      <c r="I5887" s="10" t="n">
        <v>25</v>
      </c>
      <c r="J5887" s="10" t="n">
        <v>0</v>
      </c>
      <c r="K5887" s="10" t="s">
        <v>20</v>
      </c>
      <c r="L5887" s="11" t="n">
        <v>41146.1978819445</v>
      </c>
      <c r="M5887" s="12" t="s">
        <v>13584</v>
      </c>
      <c r="N5887" s="12" t="s">
        <v>13585</v>
      </c>
      <c r="O5887" s="9" t="str">
        <f aca="false">HYPERLINK("https://pbs.twimg.com/profile_images/838421473312178176/QCzNanHa_normal.jpg","View")</f>
        <v>View</v>
      </c>
      <c r="P5887" s="10"/>
    </row>
    <row r="5888" customFormat="false" ht="15.75" hidden="false" customHeight="false" outlineLevel="0" collapsed="false">
      <c r="A5888" s="6" t="n">
        <v>43030.9951967593</v>
      </c>
      <c r="B5888" s="7" t="str">
        <f aca="false">HYPERLINK("https://twitter.com/mogli420","@mogli420")</f>
        <v>@mogli420</v>
      </c>
      <c r="C5888" s="8" t="s">
        <v>13583</v>
      </c>
      <c r="D5888" s="8" t="s">
        <v>12662</v>
      </c>
      <c r="E5888" s="9" t="str">
        <f aca="false">HYPERLINK("https://twitter.com/mogli420/status/922355176874242049","922355176874242049")</f>
        <v>922355176874242049</v>
      </c>
      <c r="F5888" s="10" t="s">
        <v>25</v>
      </c>
      <c r="G5888" s="10" t="n">
        <v>747</v>
      </c>
      <c r="H5888" s="10" t="n">
        <v>831</v>
      </c>
      <c r="I5888" s="10" t="n">
        <v>8</v>
      </c>
      <c r="J5888" s="10" t="n">
        <v>0</v>
      </c>
      <c r="K5888" s="10" t="s">
        <v>20</v>
      </c>
      <c r="L5888" s="11" t="n">
        <v>41146.1978819445</v>
      </c>
      <c r="M5888" s="12" t="s">
        <v>13584</v>
      </c>
      <c r="N5888" s="12" t="s">
        <v>13585</v>
      </c>
      <c r="O5888" s="9" t="str">
        <f aca="false">HYPERLINK("https://pbs.twimg.com/profile_images/838421473312178176/QCzNanHa_normal.jpg","View")</f>
        <v>View</v>
      </c>
      <c r="P5888" s="10"/>
    </row>
    <row r="5889" customFormat="false" ht="15.75" hidden="false" customHeight="false" outlineLevel="0" collapsed="false">
      <c r="A5889" s="6" t="n">
        <v>43030.9952546296</v>
      </c>
      <c r="B5889" s="7" t="str">
        <f aca="false">HYPERLINK("https://twitter.com/Anon_Eu","@Anon_Eu")</f>
        <v>@Anon_Eu</v>
      </c>
      <c r="C5889" s="8" t="s">
        <v>1270</v>
      </c>
      <c r="D5889" s="8" t="s">
        <v>13586</v>
      </c>
      <c r="E5889" s="9" t="str">
        <f aca="false">HYPERLINK("https://twitter.com/Anon_Eu/status/922355197694767104","922355197694767104")</f>
        <v>922355197694767104</v>
      </c>
      <c r="F5889" s="9" t="s">
        <v>1147</v>
      </c>
      <c r="G5889" s="10" t="n">
        <v>13151</v>
      </c>
      <c r="H5889" s="10" t="n">
        <v>6969</v>
      </c>
      <c r="I5889" s="10" t="n">
        <v>1</v>
      </c>
      <c r="J5889" s="10" t="n">
        <v>0</v>
      </c>
      <c r="K5889" s="10" t="s">
        <v>20</v>
      </c>
      <c r="L5889" s="11" t="n">
        <v>41161.5910416667</v>
      </c>
      <c r="M5889" s="12" t="s">
        <v>1272</v>
      </c>
      <c r="N5889" s="12" t="s">
        <v>1273</v>
      </c>
      <c r="O5889" s="9" t="str">
        <f aca="false">HYPERLINK("https://pbs.twimg.com/profile_images/839870179282669570/K5jLYmlF_normal.jpg","View")</f>
        <v>View</v>
      </c>
      <c r="P5889" s="10"/>
    </row>
    <row r="5890" customFormat="false" ht="15.75" hidden="false" customHeight="false" outlineLevel="0" collapsed="false">
      <c r="A5890" s="6" t="n">
        <v>43030.9956828704</v>
      </c>
      <c r="B5890" s="7" t="str">
        <f aca="false">HYPERLINK("https://twitter.com/Reuters","@Reuters")</f>
        <v>@Reuters</v>
      </c>
      <c r="C5890" s="8" t="s">
        <v>13587</v>
      </c>
      <c r="D5890" s="8" t="s">
        <v>13588</v>
      </c>
      <c r="E5890" s="9" t="str">
        <f aca="false">HYPERLINK("https://twitter.com/Reuters/status/922355354469654528","922355354469654528")</f>
        <v>922355354469654528</v>
      </c>
      <c r="F5890" s="10" t="s">
        <v>268</v>
      </c>
      <c r="G5890" s="10" t="n">
        <v>18926175</v>
      </c>
      <c r="H5890" s="10" t="n">
        <v>1063</v>
      </c>
      <c r="I5890" s="10" t="n">
        <v>88</v>
      </c>
      <c r="J5890" s="10" t="n">
        <v>85</v>
      </c>
      <c r="K5890" s="10" t="s">
        <v>20</v>
      </c>
      <c r="L5890" s="11" t="n">
        <v>39161.4486689815</v>
      </c>
      <c r="M5890" s="12" t="s">
        <v>13589</v>
      </c>
      <c r="N5890" s="12" t="s">
        <v>13590</v>
      </c>
      <c r="O5890" s="9" t="str">
        <f aca="false">HYPERLINK("https://pbs.twimg.com/profile_images/877554927932891136/ZBEs235N_normal.jpg","View")</f>
        <v>View</v>
      </c>
      <c r="P5890" s="10"/>
    </row>
    <row r="5891" customFormat="false" ht="15.75" hidden="false" customHeight="false" outlineLevel="0" collapsed="false">
      <c r="A5891" s="6" t="n">
        <v>43030.9957407407</v>
      </c>
      <c r="B5891" s="7" t="str">
        <f aca="false">HYPERLINK("https://twitter.com/AtanuSagar","@AtanuSagar")</f>
        <v>@AtanuSagar</v>
      </c>
      <c r="C5891" s="8" t="s">
        <v>13591</v>
      </c>
      <c r="D5891" s="8" t="s">
        <v>8538</v>
      </c>
      <c r="E5891" s="9" t="str">
        <f aca="false">HYPERLINK("https://twitter.com/AtanuSagar/status/922355374862229504","922355374862229504")</f>
        <v>922355374862229504</v>
      </c>
      <c r="F5891" s="10" t="s">
        <v>25</v>
      </c>
      <c r="G5891" s="10" t="n">
        <v>193</v>
      </c>
      <c r="H5891" s="10" t="n">
        <v>243</v>
      </c>
      <c r="I5891" s="10" t="n">
        <v>1015</v>
      </c>
      <c r="J5891" s="10" t="n">
        <v>0</v>
      </c>
      <c r="K5891" s="10" t="s">
        <v>20</v>
      </c>
      <c r="L5891" s="11" t="n">
        <v>41880.1706018519</v>
      </c>
      <c r="M5891" s="12" t="s">
        <v>13592</v>
      </c>
      <c r="N5891" s="12" t="s">
        <v>13593</v>
      </c>
      <c r="O5891" s="9" t="str">
        <f aca="false">HYPERLINK("https://pbs.twimg.com/profile_images/505314559511367680/MxukAb8z_normal.jpeg","View")</f>
        <v>View</v>
      </c>
      <c r="P5891" s="10"/>
    </row>
    <row r="5892" customFormat="false" ht="15.75" hidden="false" customHeight="false" outlineLevel="0" collapsed="false">
      <c r="A5892" s="6" t="n">
        <v>43030.9959143519</v>
      </c>
      <c r="B5892" s="7" t="str">
        <f aca="false">HYPERLINK("https://twitter.com/AlfreVallejo","@AlfreVallejo")</f>
        <v>@AlfreVallejo</v>
      </c>
      <c r="C5892" s="8" t="s">
        <v>13594</v>
      </c>
      <c r="D5892" s="8" t="s">
        <v>13595</v>
      </c>
      <c r="E5892" s="9" t="str">
        <f aca="false">HYPERLINK("https://twitter.com/AlfreVallejo/status/922355439286841344","922355439286841344")</f>
        <v>922355439286841344</v>
      </c>
      <c r="F5892" s="10" t="s">
        <v>51</v>
      </c>
      <c r="G5892" s="10" t="n">
        <v>585</v>
      </c>
      <c r="H5892" s="10" t="n">
        <v>1746</v>
      </c>
      <c r="I5892" s="10" t="n">
        <v>88</v>
      </c>
      <c r="J5892" s="10" t="n">
        <v>0</v>
      </c>
      <c r="K5892" s="10" t="s">
        <v>20</v>
      </c>
      <c r="L5892" s="11" t="n">
        <v>41499.2259259259</v>
      </c>
      <c r="M5892" s="12" t="s">
        <v>13596</v>
      </c>
      <c r="N5892" s="12"/>
      <c r="O5892" s="9" t="str">
        <f aca="false">HYPERLINK("https://pbs.twimg.com/profile_images/378800000289389113/d9615b0a06eff5bd38e7caf16a09172c_normal.jpeg","View")</f>
        <v>View</v>
      </c>
      <c r="P5892" s="10"/>
    </row>
    <row r="5893" customFormat="false" ht="15.75" hidden="false" customHeight="false" outlineLevel="0" collapsed="false">
      <c r="A5893" s="6" t="n">
        <v>43030.9960648148</v>
      </c>
      <c r="B5893" s="7" t="str">
        <f aca="false">HYPERLINK("https://twitter.com/s_hiroki24","@s_hiroki24")</f>
        <v>@s_hiroki24</v>
      </c>
      <c r="C5893" s="14" t="s">
        <v>13597</v>
      </c>
      <c r="D5893" s="8" t="s">
        <v>13595</v>
      </c>
      <c r="E5893" s="9" t="str">
        <f aca="false">HYPERLINK("https://twitter.com/s_hiroki24/status/922355492512337920","922355492512337920")</f>
        <v>922355492512337920</v>
      </c>
      <c r="F5893" s="10" t="s">
        <v>25</v>
      </c>
      <c r="G5893" s="10" t="n">
        <v>10568</v>
      </c>
      <c r="H5893" s="10" t="n">
        <v>708</v>
      </c>
      <c r="I5893" s="10" t="n">
        <v>88</v>
      </c>
      <c r="J5893" s="10" t="n">
        <v>0</v>
      </c>
      <c r="K5893" s="10" t="s">
        <v>20</v>
      </c>
      <c r="L5893" s="11" t="n">
        <v>40187.7563194444</v>
      </c>
      <c r="M5893" s="12" t="s">
        <v>13598</v>
      </c>
      <c r="N5893" s="12" t="s">
        <v>13599</v>
      </c>
      <c r="O5893" s="9" t="str">
        <f aca="false">HYPERLINK("https://pbs.twimg.com/profile_images/841061543294853120/94KIuW5g_normal.jpg","View")</f>
        <v>View</v>
      </c>
      <c r="P5893" s="10"/>
    </row>
    <row r="5894" customFormat="false" ht="15.75" hidden="false" customHeight="false" outlineLevel="0" collapsed="false">
      <c r="A5894" s="6" t="n">
        <v>43030.9960763889</v>
      </c>
      <c r="B5894" s="7" t="str">
        <f aca="false">HYPERLINK("https://twitter.com/AbbiejAbbieja","@AbbiejAbbieja")</f>
        <v>@AbbiejAbbieja</v>
      </c>
      <c r="C5894" s="8" t="s">
        <v>13600</v>
      </c>
      <c r="D5894" s="8" t="s">
        <v>13601</v>
      </c>
      <c r="E5894" s="9" t="str">
        <f aca="false">HYPERLINK("https://twitter.com/AbbiejAbbieja/status/922355497147215873","922355497147215873")</f>
        <v>922355497147215873</v>
      </c>
      <c r="F5894" s="10" t="s">
        <v>60</v>
      </c>
      <c r="G5894" s="10" t="n">
        <v>1298</v>
      </c>
      <c r="H5894" s="10" t="n">
        <v>1320</v>
      </c>
      <c r="I5894" s="10" t="n">
        <v>0</v>
      </c>
      <c r="J5894" s="10" t="n">
        <v>0</v>
      </c>
      <c r="K5894" s="10" t="s">
        <v>20</v>
      </c>
      <c r="L5894" s="11" t="n">
        <v>42803.7916435185</v>
      </c>
      <c r="M5894" s="12" t="s">
        <v>4050</v>
      </c>
      <c r="N5894" s="12" t="s">
        <v>13602</v>
      </c>
      <c r="O5894" s="9" t="str">
        <f aca="false">HYPERLINK("https://pbs.twimg.com/profile_images/860496478065774593/Ti_AHgwa_normal.jpg","View")</f>
        <v>View</v>
      </c>
      <c r="P5894" s="10"/>
    </row>
    <row r="5895" customFormat="false" ht="15.75" hidden="false" customHeight="false" outlineLevel="0" collapsed="false">
      <c r="A5895" s="6" t="n">
        <v>43030.996099537</v>
      </c>
      <c r="B5895" s="7" t="str">
        <f aca="false">HYPERLINK("https://twitter.com/budounomi1994","@budounomi1994")</f>
        <v>@budounomi1994</v>
      </c>
      <c r="C5895" s="14" t="s">
        <v>13603</v>
      </c>
      <c r="D5895" s="8" t="s">
        <v>13595</v>
      </c>
      <c r="E5895" s="9" t="str">
        <f aca="false">HYPERLINK("https://twitter.com/budounomi1994/status/922355502742302720","922355502742302720")</f>
        <v>922355502742302720</v>
      </c>
      <c r="F5895" s="10" t="s">
        <v>1017</v>
      </c>
      <c r="G5895" s="10" t="n">
        <v>140</v>
      </c>
      <c r="H5895" s="10" t="n">
        <v>522</v>
      </c>
      <c r="I5895" s="10" t="n">
        <v>88</v>
      </c>
      <c r="J5895" s="10" t="n">
        <v>0</v>
      </c>
      <c r="K5895" s="10" t="s">
        <v>20</v>
      </c>
      <c r="L5895" s="11" t="n">
        <v>42947.6095138889</v>
      </c>
      <c r="M5895" s="13" t="s">
        <v>13604</v>
      </c>
      <c r="N5895" s="12" t="s">
        <v>13605</v>
      </c>
      <c r="O5895" s="9" t="str">
        <f aca="false">HYPERLINK("https://pbs.twimg.com/profile_images/915139305097412608/2EXptNob_normal.jpg","View")</f>
        <v>View</v>
      </c>
      <c r="P5895" s="10"/>
    </row>
    <row r="5896" customFormat="false" ht="15.75" hidden="false" customHeight="false" outlineLevel="0" collapsed="false">
      <c r="A5896" s="6" t="n">
        <v>43030.996099537</v>
      </c>
      <c r="B5896" s="7" t="str">
        <f aca="false">HYPERLINK("https://twitter.com/NarrendraM","@NarrendraM")</f>
        <v>@NarrendraM</v>
      </c>
      <c r="C5896" s="8" t="s">
        <v>468</v>
      </c>
      <c r="D5896" s="8" t="s">
        <v>13606</v>
      </c>
      <c r="E5896" s="9" t="str">
        <f aca="false">HYPERLINK("https://twitter.com/NarrendraM/status/922355504793489409","922355504793489409")</f>
        <v>922355504793489409</v>
      </c>
      <c r="F5896" s="10" t="s">
        <v>60</v>
      </c>
      <c r="G5896" s="10" t="n">
        <v>1999</v>
      </c>
      <c r="H5896" s="10" t="n">
        <v>252</v>
      </c>
      <c r="I5896" s="10" t="n">
        <v>0</v>
      </c>
      <c r="J5896" s="10" t="n">
        <v>0</v>
      </c>
      <c r="K5896" s="10" t="s">
        <v>20</v>
      </c>
      <c r="L5896" s="11" t="n">
        <v>42471.0737037037</v>
      </c>
      <c r="M5896" s="12" t="s">
        <v>253</v>
      </c>
      <c r="N5896" s="12" t="s">
        <v>470</v>
      </c>
      <c r="O5896" s="9" t="str">
        <f aca="false">HYPERLINK("https://pbs.twimg.com/profile_images/743939643738034176/WkGloI0u_normal.jpg","View")</f>
        <v>View</v>
      </c>
      <c r="P5896" s="10"/>
    </row>
    <row r="5897" customFormat="false" ht="15.75" hidden="false" customHeight="false" outlineLevel="0" collapsed="false">
      <c r="A5897" s="6" t="n">
        <v>43030.996099537</v>
      </c>
      <c r="B5897" s="7" t="str">
        <f aca="false">HYPERLINK("https://twitter.com/MichaelMichelno","@MichaelMichelno")</f>
        <v>@MichaelMichelno</v>
      </c>
      <c r="C5897" s="8" t="s">
        <v>13607</v>
      </c>
      <c r="D5897" s="8" t="s">
        <v>13595</v>
      </c>
      <c r="E5897" s="9" t="str">
        <f aca="false">HYPERLINK("https://twitter.com/MichaelMichelno/status/922355506244661248","922355506244661248")</f>
        <v>922355506244661248</v>
      </c>
      <c r="F5897" s="10" t="s">
        <v>25</v>
      </c>
      <c r="G5897" s="10" t="n">
        <v>170</v>
      </c>
      <c r="H5897" s="10" t="n">
        <v>214</v>
      </c>
      <c r="I5897" s="10" t="n">
        <v>88</v>
      </c>
      <c r="J5897" s="10" t="n">
        <v>0</v>
      </c>
      <c r="K5897" s="10" t="s">
        <v>20</v>
      </c>
      <c r="L5897" s="11" t="n">
        <v>42978.417650463</v>
      </c>
      <c r="M5897" s="12"/>
      <c r="N5897" s="12"/>
      <c r="O5897" s="9" t="str">
        <f aca="false">HYPERLINK("https://abs.twimg.com/sticky/default_profile_images/default_profile_normal.png","View")</f>
        <v>View</v>
      </c>
      <c r="P5897" s="10"/>
    </row>
    <row r="5898" customFormat="false" ht="15.75" hidden="false" customHeight="false" outlineLevel="0" collapsed="false">
      <c r="A5898" s="6" t="n">
        <v>43030.9961226852</v>
      </c>
      <c r="B5898" s="7" t="str">
        <f aca="false">HYPERLINK("https://twitter.com/nishiitom","@nishiitom")</f>
        <v>@nishiitom</v>
      </c>
      <c r="C5898" s="14" t="s">
        <v>13608</v>
      </c>
      <c r="D5898" s="8" t="s">
        <v>13301</v>
      </c>
      <c r="E5898" s="9" t="str">
        <f aca="false">HYPERLINK("https://twitter.com/nishiitom/status/922355513706340352","922355513706340352")</f>
        <v>922355513706340352</v>
      </c>
      <c r="F5898" s="10" t="s">
        <v>98</v>
      </c>
      <c r="G5898" s="10" t="n">
        <v>9</v>
      </c>
      <c r="H5898" s="10" t="n">
        <v>31</v>
      </c>
      <c r="I5898" s="10" t="n">
        <v>5</v>
      </c>
      <c r="J5898" s="10" t="n">
        <v>0</v>
      </c>
      <c r="K5898" s="10" t="s">
        <v>20</v>
      </c>
      <c r="L5898" s="11" t="n">
        <v>41973.5449421296</v>
      </c>
      <c r="M5898" s="12"/>
      <c r="N5898" s="12"/>
      <c r="O5898" s="9" t="str">
        <f aca="false">HYPERLINK("https://pbs.twimg.com/profile_images/727376227456024576/vyENIFTR_normal.jpg","View")</f>
        <v>View</v>
      </c>
      <c r="P5898" s="10"/>
    </row>
    <row r="5899" customFormat="false" ht="15.75" hidden="false" customHeight="false" outlineLevel="0" collapsed="false">
      <c r="A5899" s="6" t="n">
        <v>43030.9964236111</v>
      </c>
      <c r="B5899" s="7" t="str">
        <f aca="false">HYPERLINK("https://twitter.com/Asempa_OnuaFM","@Asempa_OnuaFM")</f>
        <v>@Asempa_OnuaFM</v>
      </c>
      <c r="C5899" s="8" t="s">
        <v>13609</v>
      </c>
      <c r="D5899" s="8" t="s">
        <v>13595</v>
      </c>
      <c r="E5899" s="9" t="str">
        <f aca="false">HYPERLINK("https://twitter.com/Asempa_OnuaFM/status/922355620094889990","922355620094889990")</f>
        <v>922355620094889990</v>
      </c>
      <c r="F5899" s="10" t="s">
        <v>25</v>
      </c>
      <c r="G5899" s="10" t="n">
        <v>3367</v>
      </c>
      <c r="H5899" s="10" t="n">
        <v>245</v>
      </c>
      <c r="I5899" s="10" t="n">
        <v>88</v>
      </c>
      <c r="J5899" s="10" t="n">
        <v>0</v>
      </c>
      <c r="K5899" s="10" t="s">
        <v>20</v>
      </c>
      <c r="L5899" s="11" t="n">
        <v>42496.3135648148</v>
      </c>
      <c r="M5899" s="12" t="s">
        <v>13610</v>
      </c>
      <c r="N5899" s="12" t="s">
        <v>13611</v>
      </c>
      <c r="O5899" s="9" t="str">
        <f aca="false">HYPERLINK("https://pbs.twimg.com/profile_images/731414929778036736/6u3bk30O_normal.jpg","View")</f>
        <v>View</v>
      </c>
      <c r="P5899" s="10"/>
    </row>
    <row r="5900" customFormat="false" ht="15.75" hidden="false" customHeight="false" outlineLevel="0" collapsed="false">
      <c r="A5900" s="6" t="n">
        <v>43030.9964351852</v>
      </c>
      <c r="B5900" s="7" t="str">
        <f aca="false">HYPERLINK("https://twitter.com/LorrieNJ50","@LorrieNJ50")</f>
        <v>@LorrieNJ50</v>
      </c>
      <c r="C5900" s="8" t="s">
        <v>13612</v>
      </c>
      <c r="D5900" s="8" t="s">
        <v>13613</v>
      </c>
      <c r="E5900" s="9" t="str">
        <f aca="false">HYPERLINK("https://twitter.com/LorrieNJ50/status/922355627535556608","922355627535556608")</f>
        <v>922355627535556608</v>
      </c>
      <c r="F5900" s="10" t="s">
        <v>25</v>
      </c>
      <c r="G5900" s="10" t="n">
        <v>1375</v>
      </c>
      <c r="H5900" s="10" t="n">
        <v>4982</v>
      </c>
      <c r="I5900" s="10" t="n">
        <v>1</v>
      </c>
      <c r="J5900" s="10" t="n">
        <v>0</v>
      </c>
      <c r="K5900" s="10" t="s">
        <v>20</v>
      </c>
      <c r="L5900" s="11" t="n">
        <v>39856.9734722222</v>
      </c>
      <c r="M5900" s="12" t="s">
        <v>13614</v>
      </c>
      <c r="N5900" s="12" t="s">
        <v>13615</v>
      </c>
      <c r="O5900" s="9" t="str">
        <f aca="false">HYPERLINK("https://pbs.twimg.com/profile_images/849325160587030528/rPfBgMVw_normal.jpg","View")</f>
        <v>View</v>
      </c>
      <c r="P5900" s="10"/>
    </row>
    <row r="5901" customFormat="false" ht="15.75" hidden="false" customHeight="false" outlineLevel="0" collapsed="false">
      <c r="A5901" s="6" t="n">
        <v>43030.9964583333</v>
      </c>
      <c r="B5901" s="7" t="str">
        <f aca="false">HYPERLINK("https://twitter.com/Khalil_a_hassan","@Khalil_a_hassan")</f>
        <v>@Khalil_a_hassan</v>
      </c>
      <c r="C5901" s="8" t="s">
        <v>13616</v>
      </c>
      <c r="D5901" s="8" t="s">
        <v>13595</v>
      </c>
      <c r="E5901" s="9" t="str">
        <f aca="false">HYPERLINK("https://twitter.com/Khalil_a_hassan/status/922355635332767745","922355635332767745")</f>
        <v>922355635332767745</v>
      </c>
      <c r="F5901" s="10" t="s">
        <v>39</v>
      </c>
      <c r="G5901" s="10" t="n">
        <v>2584</v>
      </c>
      <c r="H5901" s="10" t="n">
        <v>1140</v>
      </c>
      <c r="I5901" s="10" t="n">
        <v>88</v>
      </c>
      <c r="J5901" s="10" t="n">
        <v>0</v>
      </c>
      <c r="K5901" s="10" t="s">
        <v>20</v>
      </c>
      <c r="L5901" s="11" t="n">
        <v>40091.0276041667</v>
      </c>
      <c r="M5901" s="12" t="s">
        <v>7114</v>
      </c>
      <c r="N5901" s="12" t="s">
        <v>13617</v>
      </c>
      <c r="O5901" s="9" t="str">
        <f aca="false">HYPERLINK("https://pbs.twimg.com/profile_images/771640035103780864/Iw5f2rCz_normal.jpg","View")</f>
        <v>View</v>
      </c>
      <c r="P5901" s="10"/>
    </row>
    <row r="5902" customFormat="false" ht="15.75" hidden="false" customHeight="false" outlineLevel="0" collapsed="false">
      <c r="A5902" s="6" t="n">
        <v>43030.9965972222</v>
      </c>
      <c r="B5902" s="7" t="str">
        <f aca="false">HYPERLINK("https://twitter.com/ZibusisomoyoM","@ZibusisomoyoM")</f>
        <v>@ZibusisomoyoM</v>
      </c>
      <c r="C5902" s="8" t="s">
        <v>13618</v>
      </c>
      <c r="D5902" s="8" t="s">
        <v>13595</v>
      </c>
      <c r="E5902" s="9" t="str">
        <f aca="false">HYPERLINK("https://twitter.com/ZibusisomoyoM/status/922355684800450560","922355684800450560")</f>
        <v>922355684800450560</v>
      </c>
      <c r="F5902" s="10" t="s">
        <v>25</v>
      </c>
      <c r="G5902" s="10" t="n">
        <v>1390</v>
      </c>
      <c r="H5902" s="10" t="n">
        <v>1408</v>
      </c>
      <c r="I5902" s="10" t="n">
        <v>88</v>
      </c>
      <c r="J5902" s="10" t="n">
        <v>0</v>
      </c>
      <c r="K5902" s="10" t="s">
        <v>20</v>
      </c>
      <c r="L5902" s="11" t="n">
        <v>41866.2440277778</v>
      </c>
      <c r="M5902" s="12" t="s">
        <v>13619</v>
      </c>
      <c r="N5902" s="12" t="s">
        <v>13620</v>
      </c>
      <c r="O5902" s="9" t="str">
        <f aca="false">HYPERLINK("https://pbs.twimg.com/profile_images/914381321098731520/TaeeW0hv_normal.jpg","View")</f>
        <v>View</v>
      </c>
      <c r="P5902" s="10"/>
    </row>
    <row r="5903" customFormat="false" ht="15.75" hidden="false" customHeight="false" outlineLevel="0" collapsed="false">
      <c r="A5903" s="6" t="n">
        <v>43030.9966550926</v>
      </c>
      <c r="B5903" s="7" t="str">
        <f aca="false">HYPERLINK("https://twitter.com/3iwa","@3iwa")</f>
        <v>@3iwa</v>
      </c>
      <c r="C5903" s="8" t="s">
        <v>13621</v>
      </c>
      <c r="D5903" s="8" t="s">
        <v>13595</v>
      </c>
      <c r="E5903" s="9" t="str">
        <f aca="false">HYPERLINK("https://twitter.com/3iwa/status/922355706069532672","922355706069532672")</f>
        <v>922355706069532672</v>
      </c>
      <c r="F5903" s="10" t="s">
        <v>276</v>
      </c>
      <c r="G5903" s="10" t="n">
        <v>1079</v>
      </c>
      <c r="H5903" s="10" t="n">
        <v>300</v>
      </c>
      <c r="I5903" s="10" t="n">
        <v>88</v>
      </c>
      <c r="J5903" s="10" t="n">
        <v>0</v>
      </c>
      <c r="K5903" s="10" t="s">
        <v>20</v>
      </c>
      <c r="L5903" s="11" t="n">
        <v>40329.8104513889</v>
      </c>
      <c r="M5903" s="12" t="s">
        <v>1473</v>
      </c>
      <c r="N5903" s="13" t="s">
        <v>13622</v>
      </c>
      <c r="O5903" s="9" t="str">
        <f aca="false">HYPERLINK("https://pbs.twimg.com/profile_images/608832102763618304/PWZWoJzE_normal.png","View")</f>
        <v>View</v>
      </c>
      <c r="P5903" s="10"/>
    </row>
    <row r="5904" customFormat="false" ht="15.75" hidden="false" customHeight="false" outlineLevel="0" collapsed="false">
      <c r="A5904" s="6" t="n">
        <v>43030.9970138889</v>
      </c>
      <c r="B5904" s="7" t="str">
        <f aca="false">HYPERLINK("https://twitter.com/_silvino_","@_silvino_")</f>
        <v>@_silvino_</v>
      </c>
      <c r="C5904" s="8" t="s">
        <v>13623</v>
      </c>
      <c r="D5904" s="8" t="s">
        <v>13624</v>
      </c>
      <c r="E5904" s="9" t="str">
        <f aca="false">HYPERLINK("https://twitter.com/_silvino_/status/922355834885169152","922355834885169152")</f>
        <v>922355834885169152</v>
      </c>
      <c r="F5904" s="10" t="s">
        <v>60</v>
      </c>
      <c r="G5904" s="10" t="n">
        <v>1058</v>
      </c>
      <c r="H5904" s="10" t="n">
        <v>899</v>
      </c>
      <c r="I5904" s="10" t="n">
        <v>0</v>
      </c>
      <c r="J5904" s="10" t="n">
        <v>0</v>
      </c>
      <c r="K5904" s="10" t="s">
        <v>20</v>
      </c>
      <c r="L5904" s="11" t="n">
        <v>40911.5576851852</v>
      </c>
      <c r="M5904" s="12" t="s">
        <v>13625</v>
      </c>
      <c r="N5904" s="12" t="s">
        <v>13626</v>
      </c>
      <c r="O5904" s="9" t="str">
        <f aca="false">HYPERLINK("https://pbs.twimg.com/profile_images/648119765345677312/EAun5Omu_normal.jpg","View")</f>
        <v>View</v>
      </c>
      <c r="P5904" s="10"/>
    </row>
    <row r="5905" customFormat="false" ht="15.75" hidden="false" customHeight="false" outlineLevel="0" collapsed="false">
      <c r="A5905" s="6" t="n">
        <v>43030.9972569444</v>
      </c>
      <c r="B5905" s="7" t="str">
        <f aca="false">HYPERLINK("https://twitter.com/stealth_reader","@stealth_reader")</f>
        <v>@stealth_reader</v>
      </c>
      <c r="C5905" s="8" t="s">
        <v>13627</v>
      </c>
      <c r="D5905" s="8" t="s">
        <v>13253</v>
      </c>
      <c r="E5905" s="9" t="str">
        <f aca="false">HYPERLINK("https://twitter.com/stealth_reader/status/922355922403450881","922355922403450881")</f>
        <v>922355922403450881</v>
      </c>
      <c r="F5905" s="10" t="s">
        <v>39</v>
      </c>
      <c r="G5905" s="10" t="n">
        <v>17</v>
      </c>
      <c r="H5905" s="10" t="n">
        <v>68</v>
      </c>
      <c r="I5905" s="10" t="n">
        <v>22</v>
      </c>
      <c r="J5905" s="10" t="n">
        <v>0</v>
      </c>
      <c r="K5905" s="10" t="s">
        <v>20</v>
      </c>
      <c r="L5905" s="11" t="n">
        <v>42711.0352199074</v>
      </c>
      <c r="M5905" s="12" t="s">
        <v>2797</v>
      </c>
      <c r="N5905" s="12"/>
      <c r="O5905" s="9" t="str">
        <f aca="false">HYPERLINK("https://pbs.twimg.com/profile_images/829371759530893313/T8feQIL0_normal.jpg","View")</f>
        <v>View</v>
      </c>
      <c r="P5905" s="10"/>
    </row>
    <row r="5906" customFormat="false" ht="15.75" hidden="false" customHeight="false" outlineLevel="0" collapsed="false">
      <c r="A5906" s="6" t="n">
        <v>43030.9972685185</v>
      </c>
      <c r="B5906" s="7" t="str">
        <f aca="false">HYPERLINK("https://twitter.com/TheNewsAlerts","@TheNewsAlerts")</f>
        <v>@TheNewsAlerts</v>
      </c>
      <c r="C5906" s="8" t="s">
        <v>3360</v>
      </c>
      <c r="D5906" s="8" t="s">
        <v>13628</v>
      </c>
      <c r="E5906" s="9" t="str">
        <f aca="false">HYPERLINK("https://twitter.com/TheNewsAlerts/status/922355927466106880","922355927466106880")</f>
        <v>922355927466106880</v>
      </c>
      <c r="F5906" s="10" t="s">
        <v>60</v>
      </c>
      <c r="G5906" s="10" t="n">
        <v>706</v>
      </c>
      <c r="H5906" s="10" t="n">
        <v>565</v>
      </c>
      <c r="I5906" s="10" t="n">
        <v>0</v>
      </c>
      <c r="J5906" s="10" t="n">
        <v>0</v>
      </c>
      <c r="K5906" s="10" t="s">
        <v>20</v>
      </c>
      <c r="L5906" s="11" t="n">
        <v>40368.5926157407</v>
      </c>
      <c r="M5906" s="12" t="s">
        <v>3361</v>
      </c>
      <c r="N5906" s="12" t="s">
        <v>3362</v>
      </c>
      <c r="O5906" s="9" t="str">
        <f aca="false">HYPERLINK("https://pbs.twimg.com/profile_images/824973109522464768/RosVlZDx_normal.jpg","View")</f>
        <v>View</v>
      </c>
      <c r="P5906" s="10"/>
    </row>
    <row r="5907" customFormat="false" ht="15.75" hidden="false" customHeight="false" outlineLevel="0" collapsed="false">
      <c r="A5907" s="6" t="n">
        <v>43030.9972916667</v>
      </c>
      <c r="B5907" s="7" t="str">
        <f aca="false">HYPERLINK("https://twitter.com/sf_singh","@sf_singh")</f>
        <v>@sf_singh</v>
      </c>
      <c r="C5907" s="8" t="s">
        <v>13629</v>
      </c>
      <c r="D5907" s="8" t="s">
        <v>13595</v>
      </c>
      <c r="E5907" s="9" t="str">
        <f aca="false">HYPERLINK("https://twitter.com/sf_singh/status/922355937947430913","922355937947430913")</f>
        <v>922355937947430913</v>
      </c>
      <c r="F5907" s="10" t="s">
        <v>51</v>
      </c>
      <c r="G5907" s="10" t="n">
        <v>74</v>
      </c>
      <c r="H5907" s="10" t="n">
        <v>446</v>
      </c>
      <c r="I5907" s="10" t="n">
        <v>88</v>
      </c>
      <c r="J5907" s="10" t="n">
        <v>0</v>
      </c>
      <c r="K5907" s="10" t="s">
        <v>20</v>
      </c>
      <c r="L5907" s="11" t="n">
        <v>40016.5677546296</v>
      </c>
      <c r="M5907" s="12" t="s">
        <v>13630</v>
      </c>
      <c r="N5907" s="12" t="s">
        <v>13631</v>
      </c>
      <c r="O5907" s="9" t="str">
        <f aca="false">HYPERLINK("https://pbs.twimg.com/profile_images/817810707831877632/ssaGrqQU_normal.jpg","View")</f>
        <v>View</v>
      </c>
      <c r="P5907" s="10"/>
    </row>
    <row r="5908" customFormat="false" ht="15.75" hidden="false" customHeight="false" outlineLevel="0" collapsed="false">
      <c r="A5908" s="6" t="n">
        <v>43030.9974537037</v>
      </c>
      <c r="B5908" s="7" t="str">
        <f aca="false">HYPERLINK("https://twitter.com/AuntyAlias","@AuntyAlias")</f>
        <v>@AuntyAlias</v>
      </c>
      <c r="C5908" s="8" t="s">
        <v>13632</v>
      </c>
      <c r="D5908" s="8" t="s">
        <v>13595</v>
      </c>
      <c r="E5908" s="9" t="str">
        <f aca="false">HYPERLINK("https://twitter.com/AuntyAlias/status/922355995388493824","922355995388493824")</f>
        <v>922355995388493824</v>
      </c>
      <c r="F5908" s="10" t="s">
        <v>39</v>
      </c>
      <c r="G5908" s="10" t="n">
        <v>1707</v>
      </c>
      <c r="H5908" s="10" t="n">
        <v>1661</v>
      </c>
      <c r="I5908" s="10" t="n">
        <v>88</v>
      </c>
      <c r="J5908" s="10" t="n">
        <v>0</v>
      </c>
      <c r="K5908" s="10" t="s">
        <v>20</v>
      </c>
      <c r="L5908" s="11" t="n">
        <v>40200.8378356481</v>
      </c>
      <c r="M5908" s="12" t="s">
        <v>13633</v>
      </c>
      <c r="N5908" s="12" t="s">
        <v>13634</v>
      </c>
      <c r="O5908" s="9" t="str">
        <f aca="false">HYPERLINK("https://pbs.twimg.com/profile_images/864181783117545472/QJuYw8xt_normal.jpg","View")</f>
        <v>View</v>
      </c>
      <c r="P5908" s="10"/>
    </row>
    <row r="5909" customFormat="false" ht="15.75" hidden="false" customHeight="false" outlineLevel="0" collapsed="false">
      <c r="A5909" s="6" t="n">
        <v>43030.9974884259</v>
      </c>
      <c r="B5909" s="7" t="str">
        <f aca="false">HYPERLINK("https://twitter.com/christophe022","@christophe022")</f>
        <v>@christophe022</v>
      </c>
      <c r="C5909" s="8" t="s">
        <v>13635</v>
      </c>
      <c r="D5909" s="8" t="s">
        <v>13595</v>
      </c>
      <c r="E5909" s="9" t="str">
        <f aca="false">HYPERLINK("https://twitter.com/christophe022/status/922356009363955712","922356009363955712")</f>
        <v>922356009363955712</v>
      </c>
      <c r="F5909" s="10" t="s">
        <v>25</v>
      </c>
      <c r="G5909" s="10" t="n">
        <v>408</v>
      </c>
      <c r="H5909" s="10" t="n">
        <v>1295</v>
      </c>
      <c r="I5909" s="10" t="n">
        <v>88</v>
      </c>
      <c r="J5909" s="10" t="n">
        <v>0</v>
      </c>
      <c r="K5909" s="10" t="s">
        <v>20</v>
      </c>
      <c r="L5909" s="11" t="n">
        <v>41246.6690972222</v>
      </c>
      <c r="M5909" s="12" t="s">
        <v>13636</v>
      </c>
      <c r="N5909" s="12" t="s">
        <v>13637</v>
      </c>
      <c r="O5909" s="9" t="str">
        <f aca="false">HYPERLINK("https://pbs.twimg.com/profile_images/378800000377063113/878caee4436c2485f849746b76dc8742_normal.png","View")</f>
        <v>View</v>
      </c>
      <c r="P5909" s="10"/>
    </row>
    <row r="5910" customFormat="false" ht="15.75" hidden="false" customHeight="false" outlineLevel="0" collapsed="false">
      <c r="A5910" s="6" t="n">
        <v>43030.9975231482</v>
      </c>
      <c r="B5910" s="7" t="str">
        <f aca="false">HYPERLINK("https://twitter.com/aqytha_joobjip","@aqytha_joobjip")</f>
        <v>@aqytha_joobjip</v>
      </c>
      <c r="C5910" s="8" t="s">
        <v>13638</v>
      </c>
      <c r="D5910" s="8" t="s">
        <v>13601</v>
      </c>
      <c r="E5910" s="9" t="str">
        <f aca="false">HYPERLINK("https://twitter.com/aqytha_joobjip/status/922356019681996802","922356019681996802")</f>
        <v>922356019681996802</v>
      </c>
      <c r="F5910" s="10" t="s">
        <v>60</v>
      </c>
      <c r="G5910" s="10" t="n">
        <v>1327</v>
      </c>
      <c r="H5910" s="10" t="n">
        <v>1329</v>
      </c>
      <c r="I5910" s="10" t="n">
        <v>0</v>
      </c>
      <c r="J5910" s="10" t="n">
        <v>0</v>
      </c>
      <c r="K5910" s="10" t="s">
        <v>20</v>
      </c>
      <c r="L5910" s="11" t="n">
        <v>42816.8510648148</v>
      </c>
      <c r="M5910" s="12" t="s">
        <v>13639</v>
      </c>
      <c r="N5910" s="12" t="s">
        <v>13640</v>
      </c>
      <c r="O5910" s="9" t="str">
        <f aca="false">HYPERLINK("https://pbs.twimg.com/profile_images/858603371510542336/I0ZwCR8u_normal.jpg","View")</f>
        <v>View</v>
      </c>
      <c r="P5910" s="10"/>
    </row>
    <row r="5911" customFormat="false" ht="15.75" hidden="false" customHeight="false" outlineLevel="0" collapsed="false">
      <c r="A5911" s="6" t="n">
        <v>43030.9975462963</v>
      </c>
      <c r="B5911" s="7" t="str">
        <f aca="false">HYPERLINK("https://twitter.com/Sorgitzak","@Sorgitzak")</f>
        <v>@Sorgitzak</v>
      </c>
      <c r="C5911" s="8" t="s">
        <v>421</v>
      </c>
      <c r="D5911" s="8" t="s">
        <v>13641</v>
      </c>
      <c r="E5911" s="9" t="str">
        <f aca="false">HYPERLINK("https://twitter.com/Sorgitzak/status/922356027990867968","922356027990867968")</f>
        <v>922356027990867968</v>
      </c>
      <c r="F5911" s="10" t="s">
        <v>60</v>
      </c>
      <c r="G5911" s="10" t="n">
        <v>719</v>
      </c>
      <c r="H5911" s="10" t="n">
        <v>1309</v>
      </c>
      <c r="I5911" s="10" t="n">
        <v>0</v>
      </c>
      <c r="J5911" s="10" t="n">
        <v>0</v>
      </c>
      <c r="K5911" s="10" t="s">
        <v>20</v>
      </c>
      <c r="L5911" s="11" t="n">
        <v>39990.5521527778</v>
      </c>
      <c r="M5911" s="12" t="s">
        <v>423</v>
      </c>
      <c r="N5911" s="12"/>
      <c r="O5911" s="9" t="str">
        <f aca="false">HYPERLINK("https://pbs.twimg.com/profile_images/284404970/sorgitzak_normal.JPG","View")</f>
        <v>View</v>
      </c>
      <c r="P5911" s="10"/>
    </row>
    <row r="5912" customFormat="false" ht="15.75" hidden="false" customHeight="false" outlineLevel="0" collapsed="false">
      <c r="A5912" s="6" t="n">
        <v>43030.9976273148</v>
      </c>
      <c r="B5912" s="7" t="str">
        <f aca="false">HYPERLINK("https://twitter.com/dana14031962","@dana14031962")</f>
        <v>@dana14031962</v>
      </c>
      <c r="C5912" s="8" t="s">
        <v>13642</v>
      </c>
      <c r="D5912" s="8" t="s">
        <v>13595</v>
      </c>
      <c r="E5912" s="9" t="str">
        <f aca="false">HYPERLINK("https://twitter.com/dana14031962/status/922356059389513728","922356059389513728")</f>
        <v>922356059389513728</v>
      </c>
      <c r="F5912" s="10" t="s">
        <v>98</v>
      </c>
      <c r="G5912" s="10" t="n">
        <v>112</v>
      </c>
      <c r="H5912" s="10" t="n">
        <v>136</v>
      </c>
      <c r="I5912" s="10" t="n">
        <v>88</v>
      </c>
      <c r="J5912" s="10" t="n">
        <v>0</v>
      </c>
      <c r="K5912" s="10" t="s">
        <v>20</v>
      </c>
      <c r="L5912" s="11" t="n">
        <v>42560.4590509259</v>
      </c>
      <c r="M5912" s="12"/>
      <c r="N5912" s="12"/>
      <c r="O5912" s="9" t="str">
        <f aca="false">HYPERLINK("https://pbs.twimg.com/profile_images/769097376984367108/ogvvcO2D_normal.jpg","View")</f>
        <v>View</v>
      </c>
      <c r="P5912" s="10"/>
    </row>
    <row r="5913" customFormat="false" ht="15.75" hidden="false" customHeight="false" outlineLevel="0" collapsed="false">
      <c r="A5913" s="6" t="n">
        <v>43030.9977662037</v>
      </c>
      <c r="B5913" s="7" t="str">
        <f aca="false">HYPERLINK("https://twitter.com/kgajithmenon","@kgajithmenon")</f>
        <v>@kgajithmenon</v>
      </c>
      <c r="C5913" s="8" t="s">
        <v>13643</v>
      </c>
      <c r="D5913" s="8" t="s">
        <v>13595</v>
      </c>
      <c r="E5913" s="9" t="str">
        <f aca="false">HYPERLINK("https://twitter.com/kgajithmenon/status/922356108366307328","922356108366307328")</f>
        <v>922356108366307328</v>
      </c>
      <c r="F5913" s="10" t="s">
        <v>39</v>
      </c>
      <c r="G5913" s="10" t="n">
        <v>72</v>
      </c>
      <c r="H5913" s="10" t="n">
        <v>631</v>
      </c>
      <c r="I5913" s="10" t="n">
        <v>88</v>
      </c>
      <c r="J5913" s="10" t="n">
        <v>0</v>
      </c>
      <c r="K5913" s="10" t="s">
        <v>20</v>
      </c>
      <c r="L5913" s="11" t="n">
        <v>40642.4636226852</v>
      </c>
      <c r="M5913" s="12" t="s">
        <v>13644</v>
      </c>
      <c r="N5913" s="12" t="s">
        <v>13645</v>
      </c>
      <c r="O5913" s="9" t="str">
        <f aca="false">HYPERLINK("https://pbs.twimg.com/profile_images/831738852528312320/579ZUMLH_normal.jpg","View")</f>
        <v>View</v>
      </c>
      <c r="P5913" s="10"/>
    </row>
    <row r="5914" customFormat="false" ht="15.75" hidden="false" customHeight="false" outlineLevel="0" collapsed="false">
      <c r="A5914" s="6" t="n">
        <v>43030.9977893519</v>
      </c>
      <c r="B5914" s="7" t="str">
        <f aca="false">HYPERLINK("https://twitter.com/chamsaebbb","@chamsaebbb")</f>
        <v>@chamsaebbb</v>
      </c>
      <c r="C5914" s="8" t="s">
        <v>13646</v>
      </c>
      <c r="D5914" s="8" t="s">
        <v>13595</v>
      </c>
      <c r="E5914" s="9" t="str">
        <f aca="false">HYPERLINK("https://twitter.com/chamsaebbb/status/922356116356440064","922356116356440064")</f>
        <v>922356116356440064</v>
      </c>
      <c r="F5914" s="10" t="s">
        <v>51</v>
      </c>
      <c r="G5914" s="10" t="n">
        <v>117</v>
      </c>
      <c r="H5914" s="10" t="n">
        <v>512</v>
      </c>
      <c r="I5914" s="10" t="n">
        <v>88</v>
      </c>
      <c r="J5914" s="10" t="n">
        <v>0</v>
      </c>
      <c r="K5914" s="10" t="s">
        <v>20</v>
      </c>
      <c r="L5914" s="11" t="n">
        <v>40675.8945717593</v>
      </c>
      <c r="M5914" s="12"/>
      <c r="N5914" s="12"/>
      <c r="O5914" s="9" t="str">
        <f aca="false">HYPERLINK("https://pbs.twimg.com/profile_images/644570201346850816/BeWc5F_O_normal.jpg","View")</f>
        <v>View</v>
      </c>
      <c r="P5914" s="10"/>
    </row>
    <row r="5915" customFormat="false" ht="15.75" hidden="false" customHeight="false" outlineLevel="0" collapsed="false">
      <c r="A5915" s="6" t="n">
        <v>43030.9978356481</v>
      </c>
      <c r="B5915" s="7" t="str">
        <f aca="false">HYPERLINK("https://twitter.com/DanielOzioma6","@DanielOzioma6")</f>
        <v>@DanielOzioma6</v>
      </c>
      <c r="C5915" s="8" t="s">
        <v>13647</v>
      </c>
      <c r="D5915" s="8" t="s">
        <v>7627</v>
      </c>
      <c r="E5915" s="9" t="str">
        <f aca="false">HYPERLINK("https://twitter.com/DanielOzioma6/status/922356132605317120","922356132605317120")</f>
        <v>922356132605317120</v>
      </c>
      <c r="F5915" s="10" t="s">
        <v>25</v>
      </c>
      <c r="G5915" s="10" t="n">
        <v>30</v>
      </c>
      <c r="H5915" s="10" t="n">
        <v>44</v>
      </c>
      <c r="I5915" s="10" t="n">
        <v>20</v>
      </c>
      <c r="J5915" s="10" t="n">
        <v>0</v>
      </c>
      <c r="K5915" s="10" t="s">
        <v>20</v>
      </c>
      <c r="L5915" s="11" t="n">
        <v>42459.5095601852</v>
      </c>
      <c r="M5915" s="12" t="s">
        <v>13648</v>
      </c>
      <c r="N5915" s="12"/>
      <c r="O5915" s="9" t="str">
        <f aca="false">HYPERLINK("https://pbs.twimg.com/profile_images/715256782633963521/S_g-Trd3_normal.jpg","View")</f>
        <v>View</v>
      </c>
      <c r="P5915" s="10"/>
    </row>
    <row r="5916" customFormat="false" ht="15.75" hidden="false" customHeight="false" outlineLevel="0" collapsed="false">
      <c r="A5916" s="6" t="n">
        <v>43030.9980902778</v>
      </c>
      <c r="B5916" s="7" t="str">
        <f aca="false">HYPERLINK("https://twitter.com/persistantpengn","@persistantpengn")</f>
        <v>@persistantpengn</v>
      </c>
      <c r="C5916" s="8" t="s">
        <v>13649</v>
      </c>
      <c r="D5916" s="8" t="s">
        <v>13595</v>
      </c>
      <c r="E5916" s="9" t="str">
        <f aca="false">HYPERLINK("https://twitter.com/persistantpengn/status/922356225962008576","922356225962008576")</f>
        <v>922356225962008576</v>
      </c>
      <c r="F5916" s="10" t="s">
        <v>39</v>
      </c>
      <c r="G5916" s="10" t="n">
        <v>737</v>
      </c>
      <c r="H5916" s="10" t="n">
        <v>1145</v>
      </c>
      <c r="I5916" s="10" t="n">
        <v>88</v>
      </c>
      <c r="J5916" s="10" t="n">
        <v>0</v>
      </c>
      <c r="K5916" s="10" t="s">
        <v>20</v>
      </c>
      <c r="L5916" s="11" t="n">
        <v>42825.5353703704</v>
      </c>
      <c r="M5916" s="12"/>
      <c r="N5916" s="12" t="s">
        <v>13650</v>
      </c>
      <c r="O5916" s="9" t="str">
        <f aca="false">HYPERLINK("https://pbs.twimg.com/profile_images/858400582029025284/vTARlc6c_normal.jpg","View")</f>
        <v>View</v>
      </c>
      <c r="P5916" s="10"/>
    </row>
    <row r="5917" customFormat="false" ht="15.75" hidden="false" customHeight="false" outlineLevel="0" collapsed="false">
      <c r="A5917" s="6" t="n">
        <v>43030.9981712963</v>
      </c>
      <c r="B5917" s="7" t="str">
        <f aca="false">HYPERLINK("https://twitter.com/EarlOfCornwall","@EarlOfCornwall")</f>
        <v>@EarlOfCornwall</v>
      </c>
      <c r="C5917" s="8" t="s">
        <v>13651</v>
      </c>
      <c r="D5917" s="8" t="s">
        <v>13601</v>
      </c>
      <c r="E5917" s="9" t="str">
        <f aca="false">HYPERLINK("https://twitter.com/EarlOfCornwall/status/922356253573242880","922356253573242880")</f>
        <v>922356253573242880</v>
      </c>
      <c r="F5917" s="10" t="s">
        <v>60</v>
      </c>
      <c r="G5917" s="10" t="n">
        <v>354</v>
      </c>
      <c r="H5917" s="10" t="n">
        <v>269</v>
      </c>
      <c r="I5917" s="10" t="n">
        <v>0</v>
      </c>
      <c r="J5917" s="10" t="n">
        <v>0</v>
      </c>
      <c r="K5917" s="10" t="s">
        <v>20</v>
      </c>
      <c r="L5917" s="11" t="n">
        <v>42139.7342361111</v>
      </c>
      <c r="M5917" s="12" t="s">
        <v>13652</v>
      </c>
      <c r="N5917" s="12" t="s">
        <v>13653</v>
      </c>
      <c r="O5917" s="9" t="str">
        <f aca="false">HYPERLINK("https://pbs.twimg.com/profile_images/599373664975343616/f36YKczK_normal.jpg","View")</f>
        <v>View</v>
      </c>
      <c r="P5917" s="10"/>
    </row>
    <row r="5918" customFormat="false" ht="15.75" hidden="false" customHeight="false" outlineLevel="0" collapsed="false">
      <c r="A5918" s="6" t="n">
        <v>43030.9982175926</v>
      </c>
      <c r="B5918" s="7" t="str">
        <f aca="false">HYPERLINK("https://twitter.com/_jayschneider_","@_jayschneider_")</f>
        <v>@_jayschneider_</v>
      </c>
      <c r="C5918" s="8" t="s">
        <v>13654</v>
      </c>
      <c r="D5918" s="8" t="s">
        <v>13595</v>
      </c>
      <c r="E5918" s="9" t="str">
        <f aca="false">HYPERLINK("https://twitter.com/_jayschneider_/status/922356272342724608","922356272342724608")</f>
        <v>922356272342724608</v>
      </c>
      <c r="F5918" s="10" t="s">
        <v>51</v>
      </c>
      <c r="G5918" s="10" t="n">
        <v>86</v>
      </c>
      <c r="H5918" s="10" t="n">
        <v>300</v>
      </c>
      <c r="I5918" s="10" t="n">
        <v>88</v>
      </c>
      <c r="J5918" s="10" t="n">
        <v>0</v>
      </c>
      <c r="K5918" s="10" t="s">
        <v>20</v>
      </c>
      <c r="L5918" s="11" t="n">
        <v>42945.6631365741</v>
      </c>
      <c r="M5918" s="12" t="s">
        <v>723</v>
      </c>
      <c r="N5918" s="12" t="s">
        <v>13655</v>
      </c>
      <c r="O5918" s="9" t="str">
        <f aca="false">HYPERLINK("https://pbs.twimg.com/profile_images/891439518573842432/9VqjMTYS_normal.jpg","View")</f>
        <v>View</v>
      </c>
      <c r="P5918" s="10"/>
    </row>
    <row r="5919" customFormat="false" ht="15.75" hidden="false" customHeight="false" outlineLevel="0" collapsed="false">
      <c r="A5919" s="6" t="n">
        <v>43030.998275463</v>
      </c>
      <c r="B5919" s="7" t="str">
        <f aca="false">HYPERLINK("https://twitter.com/ReutersIndia","@ReutersIndia")</f>
        <v>@ReutersIndia</v>
      </c>
      <c r="C5919" s="8" t="s">
        <v>13656</v>
      </c>
      <c r="D5919" s="8" t="s">
        <v>13657</v>
      </c>
      <c r="E5919" s="9" t="str">
        <f aca="false">HYPERLINK("https://twitter.com/ReutersIndia/status/922356291149991936","922356291149991936")</f>
        <v>922356291149991936</v>
      </c>
      <c r="F5919" s="10" t="s">
        <v>268</v>
      </c>
      <c r="G5919" s="10" t="n">
        <v>436160</v>
      </c>
      <c r="H5919" s="10" t="n">
        <v>116</v>
      </c>
      <c r="I5919" s="10" t="n">
        <v>7</v>
      </c>
      <c r="J5919" s="10" t="n">
        <v>9</v>
      </c>
      <c r="K5919" s="10" t="s">
        <v>20</v>
      </c>
      <c r="L5919" s="11" t="n">
        <v>39682.9474537037</v>
      </c>
      <c r="M5919" s="12" t="s">
        <v>87</v>
      </c>
      <c r="N5919" s="12" t="s">
        <v>13658</v>
      </c>
      <c r="O5919" s="9" t="str">
        <f aca="false">HYPERLINK("https://pbs.twimg.com/profile_images/877888810310287360/1UhD8cWg_normal.jpg","View")</f>
        <v>View</v>
      </c>
      <c r="P5919" s="10"/>
    </row>
    <row r="5920" customFormat="false" ht="15.75" hidden="false" customHeight="false" outlineLevel="0" collapsed="false">
      <c r="A5920" s="6" t="n">
        <v>43030.9984027778</v>
      </c>
      <c r="B5920" s="7" t="str">
        <f aca="false">HYPERLINK("https://twitter.com/breakingknowlez","@breakingknowlez")</f>
        <v>@breakingknowlez</v>
      </c>
      <c r="C5920" s="8" t="s">
        <v>9708</v>
      </c>
      <c r="D5920" s="8" t="s">
        <v>13659</v>
      </c>
      <c r="E5920" s="9" t="str">
        <f aca="false">HYPERLINK("https://twitter.com/breakingknowlez/status/922356338503700481","922356338503700481")</f>
        <v>922356338503700481</v>
      </c>
      <c r="F5920" s="10" t="s">
        <v>55</v>
      </c>
      <c r="G5920" s="10" t="n">
        <v>379</v>
      </c>
      <c r="H5920" s="10" t="n">
        <v>100</v>
      </c>
      <c r="I5920" s="10" t="n">
        <v>0</v>
      </c>
      <c r="J5920" s="10" t="n">
        <v>0</v>
      </c>
      <c r="K5920" s="10" t="s">
        <v>20</v>
      </c>
      <c r="L5920" s="11" t="n">
        <v>41087.2706134259</v>
      </c>
      <c r="M5920" s="12" t="s">
        <v>7434</v>
      </c>
      <c r="N5920" s="12" t="s">
        <v>9710</v>
      </c>
      <c r="O5920" s="9" t="str">
        <f aca="false">HYPERLINK("https://pbs.twimg.com/profile_images/665966096663506944/cBf1Cg_c_normal.png","View")</f>
        <v>View</v>
      </c>
      <c r="P5920" s="10"/>
    </row>
    <row r="5921" customFormat="false" ht="15.75" hidden="false" customHeight="false" outlineLevel="0" collapsed="false">
      <c r="A5921" s="6" t="n">
        <v>43030.9986458333</v>
      </c>
      <c r="B5921" s="7" t="str">
        <f aca="false">HYPERLINK("https://twitter.com/mqbols","@mqbols")</f>
        <v>@mqbols</v>
      </c>
      <c r="C5921" s="8" t="s">
        <v>13660</v>
      </c>
      <c r="D5921" s="8" t="s">
        <v>13661</v>
      </c>
      <c r="E5921" s="9" t="str">
        <f aca="false">HYPERLINK("https://twitter.com/mqbols/status/922356427414523904","922356427414523904")</f>
        <v>922356427414523904</v>
      </c>
      <c r="F5921" s="10" t="s">
        <v>25</v>
      </c>
      <c r="G5921" s="10" t="n">
        <v>155</v>
      </c>
      <c r="H5921" s="10" t="n">
        <v>305</v>
      </c>
      <c r="I5921" s="10" t="n">
        <v>7</v>
      </c>
      <c r="J5921" s="10" t="n">
        <v>0</v>
      </c>
      <c r="K5921" s="10" t="s">
        <v>20</v>
      </c>
      <c r="L5921" s="11" t="n">
        <v>42114.9785416667</v>
      </c>
      <c r="M5921" s="12" t="s">
        <v>12607</v>
      </c>
      <c r="N5921" s="12" t="s">
        <v>13662</v>
      </c>
      <c r="O5921" s="9" t="str">
        <f aca="false">HYPERLINK("https://pbs.twimg.com/profile_images/906792913237049347/uFH0C7iu_normal.jpg","View")</f>
        <v>View</v>
      </c>
      <c r="P5921" s="10"/>
    </row>
    <row r="5922" customFormat="false" ht="15.75" hidden="false" customHeight="false" outlineLevel="0" collapsed="false">
      <c r="A5922" s="6" t="n">
        <v>43030.9986805556</v>
      </c>
      <c r="B5922" s="7" t="str">
        <f aca="false">HYPERLINK("https://twitter.com/Series_Guy","@Series_Guy")</f>
        <v>@Series_Guy</v>
      </c>
      <c r="C5922" s="8" t="s">
        <v>13663</v>
      </c>
      <c r="D5922" s="8" t="s">
        <v>13595</v>
      </c>
      <c r="E5922" s="9" t="str">
        <f aca="false">HYPERLINK("https://twitter.com/Series_Guy/status/922356441268158464","922356441268158464")</f>
        <v>922356441268158464</v>
      </c>
      <c r="F5922" s="10" t="s">
        <v>25</v>
      </c>
      <c r="G5922" s="10" t="n">
        <v>772</v>
      </c>
      <c r="H5922" s="10" t="n">
        <v>1443</v>
      </c>
      <c r="I5922" s="10" t="n">
        <v>88</v>
      </c>
      <c r="J5922" s="10" t="n">
        <v>0</v>
      </c>
      <c r="K5922" s="10" t="s">
        <v>20</v>
      </c>
      <c r="L5922" s="11" t="n">
        <v>40155.2335416667</v>
      </c>
      <c r="M5922" s="12" t="s">
        <v>13664</v>
      </c>
      <c r="N5922" s="12" t="s">
        <v>13665</v>
      </c>
      <c r="O5922" s="9" t="str">
        <f aca="false">HYPERLINK("https://pbs.twimg.com/profile_images/857587481499369472/K_G8-WwW_normal.jpg","View")</f>
        <v>View</v>
      </c>
      <c r="P5922" s="10"/>
    </row>
    <row r="5923" customFormat="false" ht="15.75" hidden="false" customHeight="false" outlineLevel="0" collapsed="false">
      <c r="A5923" s="6" t="n">
        <v>43030.9988888889</v>
      </c>
      <c r="B5923" s="7" t="str">
        <f aca="false">HYPERLINK("https://twitter.com/rimipyon","@rimipyon")</f>
        <v>@rimipyon</v>
      </c>
      <c r="C5923" s="14" t="s">
        <v>13666</v>
      </c>
      <c r="D5923" s="8" t="s">
        <v>13595</v>
      </c>
      <c r="E5923" s="9" t="str">
        <f aca="false">HYPERLINK("https://twitter.com/rimipyon/status/922356514999877632","922356514999877632")</f>
        <v>922356514999877632</v>
      </c>
      <c r="F5923" s="10" t="s">
        <v>25</v>
      </c>
      <c r="G5923" s="10" t="n">
        <v>2232</v>
      </c>
      <c r="H5923" s="10" t="n">
        <v>4990</v>
      </c>
      <c r="I5923" s="10" t="n">
        <v>88</v>
      </c>
      <c r="J5923" s="10" t="n">
        <v>0</v>
      </c>
      <c r="K5923" s="10" t="s">
        <v>20</v>
      </c>
      <c r="L5923" s="11" t="n">
        <v>40991.260462963</v>
      </c>
      <c r="M5923" s="13" t="s">
        <v>13667</v>
      </c>
      <c r="N5923" s="13" t="s">
        <v>13668</v>
      </c>
      <c r="O5923" s="9" t="str">
        <f aca="false">HYPERLINK("https://pbs.twimg.com/profile_images/2710997696/9bca4ad0e529e16878001919cbf77b6d_normal.jpeg","View")</f>
        <v>View</v>
      </c>
      <c r="P5923" s="10"/>
    </row>
    <row r="5924" customFormat="false" ht="15.75" hidden="false" customHeight="false" outlineLevel="0" collapsed="false">
      <c r="A5924" s="6" t="n">
        <v>43030.9991087963</v>
      </c>
      <c r="B5924" s="7" t="str">
        <f aca="false">HYPERLINK("https://twitter.com/AlanLondonCity","@AlanLondonCity")</f>
        <v>@AlanLondonCity</v>
      </c>
      <c r="C5924" s="8" t="s">
        <v>3495</v>
      </c>
      <c r="D5924" s="8" t="s">
        <v>13595</v>
      </c>
      <c r="E5924" s="9" t="str">
        <f aca="false">HYPERLINK("https://twitter.com/AlanLondonCity/status/922356594553344003","922356594553344003")</f>
        <v>922356594553344003</v>
      </c>
      <c r="F5924" s="10" t="s">
        <v>51</v>
      </c>
      <c r="G5924" s="10" t="n">
        <v>56977</v>
      </c>
      <c r="H5924" s="10" t="n">
        <v>114</v>
      </c>
      <c r="I5924" s="10" t="n">
        <v>88</v>
      </c>
      <c r="J5924" s="10" t="n">
        <v>0</v>
      </c>
      <c r="K5924" s="10" t="s">
        <v>20</v>
      </c>
      <c r="L5924" s="11" t="n">
        <v>42990.5023958333</v>
      </c>
      <c r="M5924" s="12" t="s">
        <v>182</v>
      </c>
      <c r="N5924" s="12" t="s">
        <v>3496</v>
      </c>
      <c r="O5924" s="9" t="str">
        <f aca="false">HYPERLINK("https://pbs.twimg.com/profile_images/907681852466573312/c3GaQ5WR_normal.jpg","View")</f>
        <v>View</v>
      </c>
      <c r="P5924" s="10"/>
    </row>
    <row r="5925" customFormat="false" ht="15.75" hidden="false" customHeight="false" outlineLevel="0" collapsed="false">
      <c r="A5925" s="6" t="n">
        <v>43030.9991087963</v>
      </c>
      <c r="B5925" s="7" t="str">
        <f aca="false">HYPERLINK("https://twitter.com/Chi312Chi","@Chi312Chi")</f>
        <v>@Chi312Chi</v>
      </c>
      <c r="C5925" s="8" t="s">
        <v>1359</v>
      </c>
      <c r="D5925" s="8" t="s">
        <v>13595</v>
      </c>
      <c r="E5925" s="9" t="str">
        <f aca="false">HYPERLINK("https://twitter.com/Chi312Chi/status/922356595513810944","922356595513810944")</f>
        <v>922356595513810944</v>
      </c>
      <c r="F5925" s="10" t="s">
        <v>4100</v>
      </c>
      <c r="G5925" s="10" t="n">
        <v>580</v>
      </c>
      <c r="H5925" s="10" t="n">
        <v>2786</v>
      </c>
      <c r="I5925" s="10" t="n">
        <v>88</v>
      </c>
      <c r="J5925" s="10" t="n">
        <v>0</v>
      </c>
      <c r="K5925" s="10" t="s">
        <v>20</v>
      </c>
      <c r="L5925" s="11" t="n">
        <v>41645.8166203704</v>
      </c>
      <c r="M5925" s="12"/>
      <c r="N5925" s="12"/>
      <c r="O5925" s="9" t="str">
        <f aca="false">HYPERLINK("https://pbs.twimg.com/profile_images/918940173085413376/0qeHPlF8_normal.jpg","View")</f>
        <v>View</v>
      </c>
      <c r="P5925" s="10"/>
    </row>
    <row r="5926" customFormat="false" ht="15.75" hidden="false" customHeight="false" outlineLevel="0" collapsed="false">
      <c r="A5926" s="6" t="n">
        <v>43030.9991782407</v>
      </c>
      <c r="B5926" s="7" t="str">
        <f aca="false">HYPERLINK("https://twitter.com/officialtweetAJ","@officialtweetAJ")</f>
        <v>@officialtweetAJ</v>
      </c>
      <c r="C5926" s="8" t="s">
        <v>12406</v>
      </c>
      <c r="D5926" s="8" t="s">
        <v>13661</v>
      </c>
      <c r="E5926" s="9" t="str">
        <f aca="false">HYPERLINK("https://twitter.com/officialtweetAJ/status/922356621832884224","922356621832884224")</f>
        <v>922356621832884224</v>
      </c>
      <c r="F5926" s="10" t="s">
        <v>25</v>
      </c>
      <c r="G5926" s="10" t="n">
        <v>1024</v>
      </c>
      <c r="H5926" s="10" t="n">
        <v>292</v>
      </c>
      <c r="I5926" s="10" t="n">
        <v>7</v>
      </c>
      <c r="J5926" s="10" t="n">
        <v>0</v>
      </c>
      <c r="K5926" s="10" t="s">
        <v>20</v>
      </c>
      <c r="L5926" s="11" t="n">
        <v>42985.3025347222</v>
      </c>
      <c r="M5926" s="12" t="s">
        <v>72</v>
      </c>
      <c r="N5926" s="12" t="s">
        <v>12407</v>
      </c>
      <c r="O5926" s="9" t="str">
        <f aca="false">HYPERLINK("https://pbs.twimg.com/profile_images/923509407811375105/9WWGK28k_normal.jpg","View")</f>
        <v>View</v>
      </c>
      <c r="P5926" s="10"/>
    </row>
    <row r="5927" customFormat="false" ht="15.75" hidden="false" customHeight="false" outlineLevel="0" collapsed="false">
      <c r="A5927" s="6" t="n">
        <v>43030.999849537</v>
      </c>
      <c r="B5927" s="7" t="str">
        <f aca="false">HYPERLINK("https://twitter.com/NamVietNetwork","@NamVietNetwork")</f>
        <v>@NamVietNetwork</v>
      </c>
      <c r="C5927" s="8" t="s">
        <v>2489</v>
      </c>
      <c r="D5927" s="8" t="s">
        <v>13669</v>
      </c>
      <c r="E5927" s="9" t="str">
        <f aca="false">HYPERLINK("https://twitter.com/NamVietNetwork/status/922356864184184832","922356864184184832")</f>
        <v>922356864184184832</v>
      </c>
      <c r="F5927" s="10" t="s">
        <v>55</v>
      </c>
      <c r="G5927" s="10" t="n">
        <v>1540</v>
      </c>
      <c r="H5927" s="10" t="n">
        <v>147</v>
      </c>
      <c r="I5927" s="10" t="n">
        <v>0</v>
      </c>
      <c r="J5927" s="10" t="n">
        <v>0</v>
      </c>
      <c r="K5927" s="10" t="s">
        <v>20</v>
      </c>
      <c r="L5927" s="11" t="n">
        <v>40189.0717476852</v>
      </c>
      <c r="M5927" s="12" t="s">
        <v>2491</v>
      </c>
      <c r="N5927" s="12" t="s">
        <v>2492</v>
      </c>
      <c r="O5927" s="9" t="str">
        <f aca="false">HYPERLINK("https://pbs.twimg.com/profile_images/2509866256/6fjgs8rtts7014kqe70t_normal.jpeg","View")</f>
        <v>View</v>
      </c>
      <c r="P5927" s="10"/>
    </row>
    <row r="5928" customFormat="false" ht="15.75" hidden="false" customHeight="false" outlineLevel="0" collapsed="false">
      <c r="A5928" s="6" t="n">
        <v>43030.9999305556</v>
      </c>
      <c r="B5928" s="7" t="str">
        <f aca="false">HYPERLINK("https://twitter.com/AnitaS64","@AnitaS64")</f>
        <v>@AnitaS64</v>
      </c>
      <c r="C5928" s="8" t="s">
        <v>791</v>
      </c>
      <c r="D5928" s="8" t="s">
        <v>12764</v>
      </c>
      <c r="E5928" s="9" t="str">
        <f aca="false">HYPERLINK("https://twitter.com/AnitaS64/status/922356893217046528","922356893217046528")</f>
        <v>922356893217046528</v>
      </c>
      <c r="F5928" s="10" t="s">
        <v>51</v>
      </c>
      <c r="G5928" s="10" t="n">
        <v>316</v>
      </c>
      <c r="H5928" s="10" t="n">
        <v>14</v>
      </c>
      <c r="I5928" s="10" t="n">
        <v>170</v>
      </c>
      <c r="J5928" s="10" t="n">
        <v>0</v>
      </c>
      <c r="K5928" s="10" t="s">
        <v>20</v>
      </c>
      <c r="L5928" s="11" t="n">
        <v>41242.3520023148</v>
      </c>
      <c r="M5928" s="12" t="s">
        <v>792</v>
      </c>
      <c r="N5928" s="12" t="s">
        <v>793</v>
      </c>
      <c r="O5928" s="9" t="str">
        <f aca="false">HYPERLINK("https://pbs.twimg.com/profile_images/922065225204957184/DRzHAi3G_normal.jpg","View")</f>
        <v>View</v>
      </c>
      <c r="P5928" s="10"/>
    </row>
    <row r="5929" customFormat="false" ht="15.75" hidden="false" customHeight="false" outlineLevel="0" collapsed="false">
      <c r="A5929" s="6" t="n">
        <v>43030.9999305556</v>
      </c>
      <c r="B5929" s="7" t="str">
        <f aca="false">HYPERLINK("https://twitter.com/muralikumarje","@muralikumarje")</f>
        <v>@muralikumarje</v>
      </c>
      <c r="C5929" s="8" t="s">
        <v>841</v>
      </c>
      <c r="D5929" s="8" t="s">
        <v>13661</v>
      </c>
      <c r="E5929" s="9" t="str">
        <f aca="false">HYPERLINK("https://twitter.com/muralikumarje/status/922356894483619840","922356894483619840")</f>
        <v>922356894483619840</v>
      </c>
      <c r="F5929" s="10" t="s">
        <v>25</v>
      </c>
      <c r="G5929" s="10" t="n">
        <v>103</v>
      </c>
      <c r="H5929" s="10" t="n">
        <v>85</v>
      </c>
      <c r="I5929" s="10" t="n">
        <v>7</v>
      </c>
      <c r="J5929" s="10" t="n">
        <v>0</v>
      </c>
      <c r="K5929" s="10" t="s">
        <v>20</v>
      </c>
      <c r="L5929" s="11" t="n">
        <v>41033.2837152778</v>
      </c>
      <c r="M5929" s="12" t="s">
        <v>843</v>
      </c>
      <c r="N5929" s="12" t="s">
        <v>844</v>
      </c>
      <c r="O5929" s="9" t="str">
        <f aca="false">HYPERLINK("https://pbs.twimg.com/profile_images/544861659328569345/Q-vIkusJ_normal.jpeg","View")</f>
        <v>View</v>
      </c>
      <c r="P5929" s="10"/>
    </row>
    <row r="5930" customFormat="false" ht="15.75" hidden="false" customHeight="false" outlineLevel="0" collapsed="false">
      <c r="A5930" s="6" t="n">
        <v>43030.9999768519</v>
      </c>
      <c r="B5930" s="7" t="str">
        <f aca="false">HYPERLINK("https://twitter.com/TomFlowers","@TomFlowers")</f>
        <v>@TomFlowers</v>
      </c>
      <c r="C5930" s="8" t="s">
        <v>10718</v>
      </c>
      <c r="D5930" s="8" t="s">
        <v>13670</v>
      </c>
      <c r="E5930" s="9" t="str">
        <f aca="false">HYPERLINK("https://twitter.com/TomFlowers/status/922356908434083841","922356908434083841")</f>
        <v>922356908434083841</v>
      </c>
      <c r="F5930" s="10" t="s">
        <v>55</v>
      </c>
      <c r="G5930" s="10" t="n">
        <v>42812</v>
      </c>
      <c r="H5930" s="10" t="n">
        <v>45346</v>
      </c>
      <c r="I5930" s="10" t="n">
        <v>1</v>
      </c>
      <c r="J5930" s="10" t="n">
        <v>0</v>
      </c>
      <c r="K5930" s="10" t="s">
        <v>20</v>
      </c>
      <c r="L5930" s="11" t="n">
        <v>40668.673587963</v>
      </c>
      <c r="M5930" s="12" t="s">
        <v>10720</v>
      </c>
      <c r="N5930" s="12" t="s">
        <v>10721</v>
      </c>
      <c r="O5930" s="9" t="str">
        <f aca="false">HYPERLINK("https://pbs.twimg.com/profile_images/915215547331002368/pgREb2gQ_normal.jpg","View")</f>
        <v>View</v>
      </c>
      <c r="P5930" s="10"/>
    </row>
    <row r="5931" customFormat="false" ht="15.75" hidden="false" customHeight="false" outlineLevel="0" collapsed="false">
      <c r="A5931" s="6" t="n">
        <v>43031.0001041667</v>
      </c>
      <c r="B5931" s="7" t="str">
        <f aca="false">HYPERLINK("https://twitter.com/notiven","@notiven")</f>
        <v>@notiven</v>
      </c>
      <c r="C5931" s="8" t="s">
        <v>699</v>
      </c>
      <c r="D5931" s="8" t="s">
        <v>13671</v>
      </c>
      <c r="E5931" s="9" t="str">
        <f aca="false">HYPERLINK("https://twitter.com/notiven/status/922356955980746752","922356955980746752")</f>
        <v>922356955980746752</v>
      </c>
      <c r="F5931" s="10" t="s">
        <v>701</v>
      </c>
      <c r="G5931" s="10" t="n">
        <v>51347</v>
      </c>
      <c r="H5931" s="10" t="n">
        <v>193</v>
      </c>
      <c r="I5931" s="10" t="n">
        <v>1</v>
      </c>
      <c r="J5931" s="10" t="n">
        <v>0</v>
      </c>
      <c r="K5931" s="10" t="s">
        <v>20</v>
      </c>
      <c r="L5931" s="11" t="n">
        <v>39235.5805787037</v>
      </c>
      <c r="M5931" s="12" t="s">
        <v>702</v>
      </c>
      <c r="N5931" s="12" t="s">
        <v>703</v>
      </c>
      <c r="O5931" s="9" t="str">
        <f aca="false">HYPERLINK("https://pbs.twimg.com/profile_images/799317731648606208/vbXQCdts_normal.jpg","View")</f>
        <v>View</v>
      </c>
      <c r="P5931" s="10"/>
    </row>
    <row r="5932" customFormat="false" ht="15.75" hidden="false" customHeight="false" outlineLevel="0" collapsed="false">
      <c r="A5932" s="6" t="n">
        <v>43031.0001157407</v>
      </c>
      <c r="B5932" s="7" t="str">
        <f aca="false">HYPERLINK("https://twitter.com/TKlinik","@TKlinik")</f>
        <v>@TKlinik</v>
      </c>
      <c r="C5932" s="8" t="s">
        <v>13672</v>
      </c>
      <c r="D5932" s="8" t="s">
        <v>13673</v>
      </c>
      <c r="E5932" s="9" t="str">
        <f aca="false">HYPERLINK("https://twitter.com/TKlinik/status/922356960707702787","922356960707702787")</f>
        <v>922356960707702787</v>
      </c>
      <c r="F5932" s="10" t="s">
        <v>13672</v>
      </c>
      <c r="G5932" s="10" t="n">
        <v>1068</v>
      </c>
      <c r="H5932" s="10" t="n">
        <v>67</v>
      </c>
      <c r="I5932" s="10" t="n">
        <v>0</v>
      </c>
      <c r="J5932" s="10" t="n">
        <v>0</v>
      </c>
      <c r="K5932" s="10" t="s">
        <v>20</v>
      </c>
      <c r="L5932" s="11" t="n">
        <v>40103.3963310185</v>
      </c>
      <c r="M5932" s="12" t="s">
        <v>13674</v>
      </c>
      <c r="N5932" s="12" t="s">
        <v>13675</v>
      </c>
      <c r="O5932" s="9" t="str">
        <f aca="false">HYPERLINK("https://pbs.twimg.com/profile_images/476384515/t-klinik_normal.jpg","View")</f>
        <v>View</v>
      </c>
      <c r="P5932" s="10"/>
    </row>
    <row r="5933" customFormat="false" ht="15.75" hidden="false" customHeight="false" outlineLevel="0" collapsed="false">
      <c r="A5933" s="6" t="n">
        <v>43031.0001157407</v>
      </c>
      <c r="B5933" s="7" t="str">
        <f aca="false">HYPERLINK("https://twitter.com/News365247live","@News365247live")</f>
        <v>@News365247live</v>
      </c>
      <c r="C5933" s="8" t="s">
        <v>376</v>
      </c>
      <c r="D5933" s="8" t="s">
        <v>13595</v>
      </c>
      <c r="E5933" s="9" t="str">
        <f aca="false">HYPERLINK("https://twitter.com/News365247live/status/922356960850165761","922356960850165761")</f>
        <v>922356960850165761</v>
      </c>
      <c r="F5933" s="10" t="s">
        <v>377</v>
      </c>
      <c r="G5933" s="10" t="n">
        <v>1535</v>
      </c>
      <c r="H5933" s="10" t="n">
        <v>5001</v>
      </c>
      <c r="I5933" s="10" t="n">
        <v>88</v>
      </c>
      <c r="J5933" s="10" t="n">
        <v>0</v>
      </c>
      <c r="K5933" s="10" t="s">
        <v>20</v>
      </c>
      <c r="L5933" s="11" t="n">
        <v>42728.3420949074</v>
      </c>
      <c r="M5933" s="12" t="s">
        <v>357</v>
      </c>
      <c r="N5933" s="12" t="s">
        <v>378</v>
      </c>
      <c r="O5933" s="9" t="str">
        <f aca="false">HYPERLINK("https://pbs.twimg.com/profile_images/813047771091472384/ZtakiWrG_normal.jpg","View")</f>
        <v>View</v>
      </c>
      <c r="P5933" s="10"/>
    </row>
    <row r="5934" customFormat="false" ht="15.75" hidden="false" customHeight="false" outlineLevel="0" collapsed="false">
      <c r="A5934" s="6" t="n">
        <v>43031.0001273148</v>
      </c>
      <c r="B5934" s="7" t="str">
        <f aca="false">HYPERLINK("https://twitter.com/jurylady5","@jurylady5")</f>
        <v>@jurylady5</v>
      </c>
      <c r="C5934" s="8" t="s">
        <v>13676</v>
      </c>
      <c r="D5934" s="8" t="s">
        <v>13677</v>
      </c>
      <c r="E5934" s="9" t="str">
        <f aca="false">HYPERLINK("https://twitter.com/jurylady5/status/922356965031886848","922356965031886848")</f>
        <v>922356965031886848</v>
      </c>
      <c r="F5934" s="10" t="s">
        <v>1024</v>
      </c>
      <c r="G5934" s="10" t="n">
        <v>14478</v>
      </c>
      <c r="H5934" s="10" t="n">
        <v>15029</v>
      </c>
      <c r="I5934" s="10" t="n">
        <v>1</v>
      </c>
      <c r="J5934" s="10" t="n">
        <v>0</v>
      </c>
      <c r="K5934" s="10" t="s">
        <v>20</v>
      </c>
      <c r="L5934" s="11" t="n">
        <v>40877.8888425926</v>
      </c>
      <c r="M5934" s="12" t="s">
        <v>13678</v>
      </c>
      <c r="N5934" s="12" t="s">
        <v>13679</v>
      </c>
      <c r="O5934" s="9" t="str">
        <f aca="false">HYPERLINK("https://pbs.twimg.com/profile_images/1703995717/IMG00257-20110618-1653_normal.jpg","View")</f>
        <v>View</v>
      </c>
      <c r="P5934" s="10"/>
    </row>
    <row r="5935" customFormat="false" ht="15.75" hidden="false" customHeight="false" outlineLevel="0" collapsed="false">
      <c r="A5935" s="6" t="n">
        <v>43031.0001273148</v>
      </c>
      <c r="B5935" s="7" t="str">
        <f aca="false">HYPERLINK("https://twitter.com/CaseyBillX","@CaseyBillX")</f>
        <v>@CaseyBillX</v>
      </c>
      <c r="C5935" s="8" t="s">
        <v>2159</v>
      </c>
      <c r="D5935" s="8" t="s">
        <v>13595</v>
      </c>
      <c r="E5935" s="9" t="str">
        <f aca="false">HYPERLINK("https://twitter.com/CaseyBillX/status/922356965065474051","922356965065474051")</f>
        <v>922356965065474051</v>
      </c>
      <c r="F5935" s="10" t="s">
        <v>2160</v>
      </c>
      <c r="G5935" s="10" t="n">
        <v>2484</v>
      </c>
      <c r="H5935" s="10" t="n">
        <v>5001</v>
      </c>
      <c r="I5935" s="10" t="n">
        <v>88</v>
      </c>
      <c r="J5935" s="10" t="n">
        <v>0</v>
      </c>
      <c r="K5935" s="10" t="s">
        <v>20</v>
      </c>
      <c r="L5935" s="11" t="n">
        <v>42997.1530208333</v>
      </c>
      <c r="M5935" s="12"/>
      <c r="N5935" s="12"/>
      <c r="O5935" s="9" t="str">
        <f aca="false">HYPERLINK("https://pbs.twimg.com/profile_images/910103474003525633/_kzNa9NX_normal.jpg","View")</f>
        <v>View</v>
      </c>
      <c r="P5935" s="10"/>
    </row>
    <row r="5936" customFormat="false" ht="15.75" hidden="false" customHeight="false" outlineLevel="0" collapsed="false">
      <c r="A5936" s="6" t="n">
        <v>43031.000162037</v>
      </c>
      <c r="B5936" s="7" t="str">
        <f aca="false">HYPERLINK("https://twitter.com/nikkil1101","@nikkil1101")</f>
        <v>@nikkil1101</v>
      </c>
      <c r="C5936" s="8" t="s">
        <v>13680</v>
      </c>
      <c r="D5936" s="8" t="s">
        <v>13661</v>
      </c>
      <c r="E5936" s="9" t="str">
        <f aca="false">HYPERLINK("https://twitter.com/nikkil1101/status/922356976717369344","922356976717369344")</f>
        <v>922356976717369344</v>
      </c>
      <c r="F5936" s="10" t="s">
        <v>25</v>
      </c>
      <c r="G5936" s="10" t="n">
        <v>54</v>
      </c>
      <c r="H5936" s="10" t="n">
        <v>244</v>
      </c>
      <c r="I5936" s="10" t="n">
        <v>7</v>
      </c>
      <c r="J5936" s="10" t="n">
        <v>0</v>
      </c>
      <c r="K5936" s="10" t="s">
        <v>20</v>
      </c>
      <c r="L5936" s="11" t="n">
        <v>42343.8787615741</v>
      </c>
      <c r="M5936" s="12" t="s">
        <v>893</v>
      </c>
      <c r="N5936" s="12" t="s">
        <v>13681</v>
      </c>
      <c r="O5936" s="9" t="str">
        <f aca="false">HYPERLINK("https://pbs.twimg.com/profile_images/689297163247996929/s8CkgsO9_normal.png","View")</f>
        <v>View</v>
      </c>
      <c r="P5936" s="10"/>
    </row>
    <row r="5937" customFormat="false" ht="15.75" hidden="false" customHeight="false" outlineLevel="0" collapsed="false">
      <c r="A5937" s="6" t="n">
        <v>43031.0002083333</v>
      </c>
      <c r="B5937" s="7" t="str">
        <f aca="false">HYPERLINK("https://twitter.com/News_Everyone1","@News_Everyone1")</f>
        <v>@News_Everyone1</v>
      </c>
      <c r="C5937" s="8" t="s">
        <v>13682</v>
      </c>
      <c r="D5937" s="8" t="s">
        <v>13683</v>
      </c>
      <c r="E5937" s="9" t="str">
        <f aca="false">HYPERLINK("https://twitter.com/News_Everyone1/status/922356993473462272","922356993473462272")</f>
        <v>922356993473462272</v>
      </c>
      <c r="F5937" s="10" t="s">
        <v>13684</v>
      </c>
      <c r="G5937" s="10" t="n">
        <v>1162</v>
      </c>
      <c r="H5937" s="10" t="n">
        <v>5001</v>
      </c>
      <c r="I5937" s="10" t="n">
        <v>0</v>
      </c>
      <c r="J5937" s="10" t="n">
        <v>1</v>
      </c>
      <c r="K5937" s="10" t="s">
        <v>20</v>
      </c>
      <c r="L5937" s="11" t="n">
        <v>42739.6841435185</v>
      </c>
      <c r="M5937" s="12"/>
      <c r="N5937" s="12" t="s">
        <v>13685</v>
      </c>
      <c r="O5937" s="9" t="str">
        <f aca="false">HYPERLINK("https://pbs.twimg.com/profile_images/816807290393104385/03fhCEip_normal.jpg","View")</f>
        <v>View</v>
      </c>
      <c r="P5937" s="10"/>
    </row>
    <row r="5938" customFormat="false" ht="15.75" hidden="false" customHeight="false" outlineLevel="0" collapsed="false">
      <c r="A5938" s="6" t="n">
        <v>43031.000625</v>
      </c>
      <c r="B5938" s="7" t="str">
        <f aca="false">HYPERLINK("https://twitter.com/RalphGargaro","@RalphGargaro")</f>
        <v>@RalphGargaro</v>
      </c>
      <c r="C5938" s="8" t="s">
        <v>13686</v>
      </c>
      <c r="D5938" s="8" t="s">
        <v>13595</v>
      </c>
      <c r="E5938" s="9" t="str">
        <f aca="false">HYPERLINK("https://twitter.com/RalphGargaro/status/922357143906394112","922357143906394112")</f>
        <v>922357143906394112</v>
      </c>
      <c r="F5938" s="10" t="s">
        <v>51</v>
      </c>
      <c r="G5938" s="10" t="n">
        <v>50</v>
      </c>
      <c r="H5938" s="10" t="n">
        <v>103</v>
      </c>
      <c r="I5938" s="10" t="n">
        <v>88</v>
      </c>
      <c r="J5938" s="10" t="n">
        <v>0</v>
      </c>
      <c r="K5938" s="10" t="s">
        <v>20</v>
      </c>
      <c r="L5938" s="11" t="n">
        <v>42653.8141898148</v>
      </c>
      <c r="M5938" s="12" t="s">
        <v>13687</v>
      </c>
      <c r="N5938" s="12"/>
      <c r="O5938" s="9" t="str">
        <f aca="false">HYPERLINK("https://abs.twimg.com/sticky/default_profile_images/default_profile_normal.png","View")</f>
        <v>View</v>
      </c>
      <c r="P5938" s="10"/>
    </row>
    <row r="5939" customFormat="false" ht="15.75" hidden="false" customHeight="false" outlineLevel="0" collapsed="false">
      <c r="A5939" s="6" t="n">
        <v>43031.0006481481</v>
      </c>
      <c r="B5939" s="7" t="str">
        <f aca="false">HYPERLINK("https://twitter.com/SolveigEriksso2","@SolveigEriksso2")</f>
        <v>@SolveigEriksso2</v>
      </c>
      <c r="C5939" s="8" t="s">
        <v>13688</v>
      </c>
      <c r="D5939" s="8" t="s">
        <v>10414</v>
      </c>
      <c r="E5939" s="9" t="str">
        <f aca="false">HYPERLINK("https://twitter.com/SolveigEriksso2/status/922357152752328704","922357152752328704")</f>
        <v>922357152752328704</v>
      </c>
      <c r="F5939" s="10" t="s">
        <v>177</v>
      </c>
      <c r="G5939" s="10" t="n">
        <v>179</v>
      </c>
      <c r="H5939" s="10" t="n">
        <v>31</v>
      </c>
      <c r="I5939" s="10" t="n">
        <v>14</v>
      </c>
      <c r="J5939" s="10" t="n">
        <v>0</v>
      </c>
      <c r="K5939" s="10" t="s">
        <v>20</v>
      </c>
      <c r="L5939" s="11" t="n">
        <v>41812.3339351852</v>
      </c>
      <c r="M5939" s="12"/>
      <c r="N5939" s="12"/>
      <c r="O5939" s="9" t="str">
        <f aca="false">HYPERLINK("https://abs.twimg.com/sticky/default_profile_images/default_profile_normal.png","View")</f>
        <v>View</v>
      </c>
      <c r="P5939" s="10"/>
    </row>
    <row r="5940" customFormat="false" ht="15.75" hidden="false" customHeight="false" outlineLevel="0" collapsed="false">
      <c r="A5940" s="6" t="n">
        <v>43031.0007175926</v>
      </c>
      <c r="B5940" s="7" t="str">
        <f aca="false">HYPERLINK("https://twitter.com/___mibu","@___mibu")</f>
        <v>@___mibu</v>
      </c>
      <c r="C5940" s="8" t="s">
        <v>13689</v>
      </c>
      <c r="D5940" s="8" t="s">
        <v>13595</v>
      </c>
      <c r="E5940" s="9" t="str">
        <f aca="false">HYPERLINK("https://twitter.com/___mibu/status/922357176714199040","922357176714199040")</f>
        <v>922357176714199040</v>
      </c>
      <c r="F5940" s="10" t="s">
        <v>51</v>
      </c>
      <c r="G5940" s="10" t="n">
        <v>0</v>
      </c>
      <c r="H5940" s="10" t="n">
        <v>9</v>
      </c>
      <c r="I5940" s="10" t="n">
        <v>88</v>
      </c>
      <c r="J5940" s="10" t="n">
        <v>0</v>
      </c>
      <c r="K5940" s="10" t="s">
        <v>20</v>
      </c>
      <c r="L5940" s="11" t="n">
        <v>43023.1940740741</v>
      </c>
      <c r="M5940" s="12"/>
      <c r="N5940" s="15" t="s">
        <v>13690</v>
      </c>
      <c r="O5940" s="9" t="str">
        <f aca="false">HYPERLINK("https://pbs.twimg.com/profile_images/920677186536751105/we1HeuhV_normal.jpg","View")</f>
        <v>View</v>
      </c>
      <c r="P5940" s="10"/>
    </row>
    <row r="5941" customFormat="false" ht="15.75" hidden="false" customHeight="false" outlineLevel="0" collapsed="false">
      <c r="A5941" s="6" t="n">
        <v>43031.000775463</v>
      </c>
      <c r="B5941" s="7" t="str">
        <f aca="false">HYPERLINK("https://twitter.com/rakeshtomar","@rakeshtomar")</f>
        <v>@rakeshtomar</v>
      </c>
      <c r="C5941" s="8" t="s">
        <v>13691</v>
      </c>
      <c r="D5941" s="8" t="s">
        <v>8538</v>
      </c>
      <c r="E5941" s="9" t="str">
        <f aca="false">HYPERLINK("https://twitter.com/rakeshtomar/status/922357197169758208","922357197169758208")</f>
        <v>922357197169758208</v>
      </c>
      <c r="F5941" s="10" t="s">
        <v>51</v>
      </c>
      <c r="G5941" s="10" t="n">
        <v>166</v>
      </c>
      <c r="H5941" s="10" t="n">
        <v>746</v>
      </c>
      <c r="I5941" s="10" t="n">
        <v>1015</v>
      </c>
      <c r="J5941" s="10" t="n">
        <v>0</v>
      </c>
      <c r="K5941" s="10" t="s">
        <v>20</v>
      </c>
      <c r="L5941" s="11" t="n">
        <v>40267.0300347222</v>
      </c>
      <c r="M5941" s="12"/>
      <c r="N5941" s="12" t="s">
        <v>13692</v>
      </c>
      <c r="O5941" s="9" t="str">
        <f aca="false">HYPERLINK("https://pbs.twimg.com/profile_images/749409803290550272/2p34g-Bc_normal.jpg","View")</f>
        <v>View</v>
      </c>
      <c r="P5941" s="10"/>
    </row>
    <row r="5942" customFormat="false" ht="15.75" hidden="false" customHeight="false" outlineLevel="0" collapsed="false">
      <c r="A5942" s="6" t="n">
        <v>43031.0009837963</v>
      </c>
      <c r="B5942" s="7" t="str">
        <f aca="false">HYPERLINK("https://twitter.com/choonsikyoo","@choonsikyoo")</f>
        <v>@choonsikyoo</v>
      </c>
      <c r="C5942" s="8" t="s">
        <v>13693</v>
      </c>
      <c r="D5942" s="8" t="s">
        <v>13601</v>
      </c>
      <c r="E5942" s="9" t="str">
        <f aca="false">HYPERLINK("https://twitter.com/choonsikyoo/status/922357275733438464","922357275733438464")</f>
        <v>922357275733438464</v>
      </c>
      <c r="F5942" s="10" t="s">
        <v>60</v>
      </c>
      <c r="G5942" s="10" t="n">
        <v>1700</v>
      </c>
      <c r="H5942" s="10" t="n">
        <v>1891</v>
      </c>
      <c r="I5942" s="10" t="n">
        <v>0</v>
      </c>
      <c r="J5942" s="10" t="n">
        <v>0</v>
      </c>
      <c r="K5942" s="10" t="s">
        <v>20</v>
      </c>
      <c r="L5942" s="11" t="n">
        <v>40224.8175231481</v>
      </c>
      <c r="M5942" s="12" t="s">
        <v>2928</v>
      </c>
      <c r="N5942" s="12" t="s">
        <v>13694</v>
      </c>
      <c r="O5942" s="9" t="str">
        <f aca="false">HYPERLINK("https://pbs.twimg.com/profile_images/2545270141/dwadjp2rsl27tumivfew_normal.jpeg","View")</f>
        <v>View</v>
      </c>
      <c r="P5942" s="10"/>
    </row>
    <row r="5943" customFormat="false" ht="15.75" hidden="false" customHeight="false" outlineLevel="0" collapsed="false">
      <c r="A5943" s="6" t="n">
        <v>43031.0009953704</v>
      </c>
      <c r="B5943" s="7" t="str">
        <f aca="false">HYPERLINK("https://twitter.com/VIPortalINC","@VIPortalINC")</f>
        <v>@VIPortalINC</v>
      </c>
      <c r="C5943" s="8" t="s">
        <v>13695</v>
      </c>
      <c r="D5943" s="8" t="s">
        <v>13696</v>
      </c>
      <c r="E5943" s="9" t="str">
        <f aca="false">HYPERLINK("https://twitter.com/VIPortalINC/status/922357280925822976","922357280925822976")</f>
        <v>922357280925822976</v>
      </c>
      <c r="F5943" s="9" t="s">
        <v>1147</v>
      </c>
      <c r="G5943" s="10" t="n">
        <v>1822</v>
      </c>
      <c r="H5943" s="10" t="n">
        <v>4924</v>
      </c>
      <c r="I5943" s="10" t="n">
        <v>0</v>
      </c>
      <c r="J5943" s="10" t="n">
        <v>0</v>
      </c>
      <c r="K5943" s="10" t="s">
        <v>20</v>
      </c>
      <c r="L5943" s="11" t="n">
        <v>41943.3242708333</v>
      </c>
      <c r="M5943" s="12" t="s">
        <v>1028</v>
      </c>
      <c r="N5943" s="12" t="s">
        <v>13697</v>
      </c>
      <c r="O5943" s="9" t="str">
        <f aca="false">HYPERLINK("https://pbs.twimg.com/profile_images/724229193005936640/C_ynZvDk_normal.jpg","View")</f>
        <v>View</v>
      </c>
      <c r="P5943" s="10"/>
    </row>
    <row r="5944" customFormat="false" ht="15.75" hidden="false" customHeight="false" outlineLevel="0" collapsed="false">
      <c r="A5944" s="6" t="n">
        <v>43031.0015509259</v>
      </c>
      <c r="B5944" s="7" t="str">
        <f aca="false">HYPERLINK("https://twitter.com/rockophobic","@rockophobic")</f>
        <v>@rockophobic</v>
      </c>
      <c r="C5944" s="8" t="s">
        <v>13698</v>
      </c>
      <c r="D5944" s="8" t="s">
        <v>13699</v>
      </c>
      <c r="E5944" s="9" t="str">
        <f aca="false">HYPERLINK("https://twitter.com/rockophobic/status/922357479069151232","922357479069151232")</f>
        <v>922357479069151232</v>
      </c>
      <c r="F5944" s="10" t="s">
        <v>39</v>
      </c>
      <c r="G5944" s="10" t="n">
        <v>141</v>
      </c>
      <c r="H5944" s="10" t="n">
        <v>186</v>
      </c>
      <c r="I5944" s="10" t="n">
        <v>0</v>
      </c>
      <c r="J5944" s="10" t="n">
        <v>0</v>
      </c>
      <c r="K5944" s="10" t="s">
        <v>20</v>
      </c>
      <c r="L5944" s="11" t="n">
        <v>42587.583900463</v>
      </c>
      <c r="M5944" s="12" t="s">
        <v>1077</v>
      </c>
      <c r="N5944" s="12" t="s">
        <v>13700</v>
      </c>
      <c r="O5944" s="9" t="str">
        <f aca="false">HYPERLINK("https://pbs.twimg.com/profile_images/761668866334420992/a2Pszzog_normal.jpg","View")</f>
        <v>View</v>
      </c>
      <c r="P5944" s="10"/>
    </row>
    <row r="5945" customFormat="false" ht="15.75" hidden="false" customHeight="false" outlineLevel="0" collapsed="false">
      <c r="A5945" s="6" t="n">
        <v>43031.0016666667</v>
      </c>
      <c r="B5945" s="7" t="str">
        <f aca="false">HYPERLINK("https://twitter.com/3X04N0N","@3X04N0N")</f>
        <v>@3X04N0N</v>
      </c>
      <c r="C5945" s="8" t="s">
        <v>1278</v>
      </c>
      <c r="D5945" s="8" t="s">
        <v>13701</v>
      </c>
      <c r="E5945" s="9" t="str">
        <f aca="false">HYPERLINK("https://twitter.com/3X04N0N/status/922357521066622976","922357521066622976")</f>
        <v>922357521066622976</v>
      </c>
      <c r="F5945" s="10" t="s">
        <v>60</v>
      </c>
      <c r="G5945" s="10" t="n">
        <v>922</v>
      </c>
      <c r="H5945" s="10" t="n">
        <v>295</v>
      </c>
      <c r="I5945" s="10" t="n">
        <v>0</v>
      </c>
      <c r="J5945" s="10" t="n">
        <v>0</v>
      </c>
      <c r="K5945" s="10" t="s">
        <v>20</v>
      </c>
      <c r="L5945" s="11" t="n">
        <v>42066.5668518519</v>
      </c>
      <c r="M5945" s="12"/>
      <c r="N5945" s="12" t="s">
        <v>1280</v>
      </c>
      <c r="O5945" s="9" t="str">
        <f aca="false">HYPERLINK("https://pbs.twimg.com/profile_images/793550507205914625/qBVxzsrU_normal.jpg","View")</f>
        <v>View</v>
      </c>
      <c r="P5945" s="10"/>
    </row>
    <row r="5946" customFormat="false" ht="15.75" hidden="false" customHeight="false" outlineLevel="0" collapsed="false">
      <c r="A5946" s="6" t="n">
        <v>43031.0016782407</v>
      </c>
      <c r="B5946" s="7" t="str">
        <f aca="false">HYPERLINK("https://twitter.com/CqDo9","@CqDo9")</f>
        <v>@CqDo9</v>
      </c>
      <c r="C5946" s="14" t="s">
        <v>13702</v>
      </c>
      <c r="D5946" s="8" t="s">
        <v>13595</v>
      </c>
      <c r="E5946" s="9" t="str">
        <f aca="false">HYPERLINK("https://twitter.com/CqDo9/status/922357527563591680","922357527563591680")</f>
        <v>922357527563591680</v>
      </c>
      <c r="F5946" s="10" t="s">
        <v>51</v>
      </c>
      <c r="G5946" s="10" t="n">
        <v>115</v>
      </c>
      <c r="H5946" s="10" t="n">
        <v>515</v>
      </c>
      <c r="I5946" s="10" t="n">
        <v>88</v>
      </c>
      <c r="J5946" s="10" t="n">
        <v>0</v>
      </c>
      <c r="K5946" s="10" t="s">
        <v>20</v>
      </c>
      <c r="L5946" s="11" t="n">
        <v>42713.1609143519</v>
      </c>
      <c r="M5946" s="13" t="s">
        <v>152</v>
      </c>
      <c r="N5946" s="12"/>
      <c r="O5946" s="9" t="str">
        <f aca="false">HYPERLINK("https://pbs.twimg.com/profile_images/807191569799315456/F8k8NLdQ_normal.jpg","View")</f>
        <v>View</v>
      </c>
      <c r="P5946" s="10"/>
    </row>
    <row r="5947" customFormat="false" ht="15.75" hidden="false" customHeight="false" outlineLevel="0" collapsed="false">
      <c r="A5947" s="6" t="n">
        <v>43031.0018287037</v>
      </c>
      <c r="B5947" s="7" t="str">
        <f aca="false">HYPERLINK("https://twitter.com/alex_drastico72","@alex_drastico72")</f>
        <v>@alex_drastico72</v>
      </c>
      <c r="C5947" s="8" t="s">
        <v>13703</v>
      </c>
      <c r="D5947" s="8" t="s">
        <v>13595</v>
      </c>
      <c r="E5947" s="9" t="str">
        <f aca="false">HYPERLINK("https://twitter.com/alex_drastico72/status/922357579069747201","922357579069747201")</f>
        <v>922357579069747201</v>
      </c>
      <c r="F5947" s="10" t="s">
        <v>177</v>
      </c>
      <c r="G5947" s="10" t="n">
        <v>123</v>
      </c>
      <c r="H5947" s="10" t="n">
        <v>192</v>
      </c>
      <c r="I5947" s="10" t="n">
        <v>88</v>
      </c>
      <c r="J5947" s="10" t="n">
        <v>0</v>
      </c>
      <c r="K5947" s="10" t="s">
        <v>20</v>
      </c>
      <c r="L5947" s="11" t="n">
        <v>41654.5554513889</v>
      </c>
      <c r="M5947" s="12" t="s">
        <v>13704</v>
      </c>
      <c r="N5947" s="12" t="s">
        <v>13705</v>
      </c>
      <c r="O5947" s="9" t="str">
        <f aca="false">HYPERLINK("https://pbs.twimg.com/profile_images/862772888176394240/ZEJcgVEC_normal.jpg","View")</f>
        <v>View</v>
      </c>
      <c r="P5947" s="10"/>
    </row>
    <row r="5948" customFormat="false" ht="15.75" hidden="false" customHeight="false" outlineLevel="0" collapsed="false">
      <c r="A5948" s="6" t="n">
        <v>43031.0018287037</v>
      </c>
      <c r="B5948" s="7" t="str">
        <f aca="false">HYPERLINK("https://twitter.com/lepavego68","@lepavego68")</f>
        <v>@lepavego68</v>
      </c>
      <c r="C5948" s="8" t="s">
        <v>13706</v>
      </c>
      <c r="D5948" s="8" t="s">
        <v>13595</v>
      </c>
      <c r="E5948" s="9" t="str">
        <f aca="false">HYPERLINK("https://twitter.com/lepavego68/status/922357581489700865","922357581489700865")</f>
        <v>922357581489700865</v>
      </c>
      <c r="F5948" s="10" t="s">
        <v>25</v>
      </c>
      <c r="G5948" s="10" t="n">
        <v>519</v>
      </c>
      <c r="H5948" s="10" t="n">
        <v>473</v>
      </c>
      <c r="I5948" s="10" t="n">
        <v>88</v>
      </c>
      <c r="J5948" s="10" t="n">
        <v>0</v>
      </c>
      <c r="K5948" s="10" t="s">
        <v>20</v>
      </c>
      <c r="L5948" s="11" t="n">
        <v>40843.0827199074</v>
      </c>
      <c r="M5948" s="12"/>
      <c r="N5948" s="12" t="s">
        <v>13707</v>
      </c>
      <c r="O5948" s="9" t="str">
        <f aca="false">HYPERLINK("https://pbs.twimg.com/profile_images/583120868735242241/T4XBBxWF_normal.jpg","View")</f>
        <v>View</v>
      </c>
      <c r="P5948" s="10"/>
    </row>
    <row r="5949" customFormat="false" ht="15.75" hidden="false" customHeight="false" outlineLevel="0" collapsed="false">
      <c r="A5949" s="6" t="n">
        <v>43031.0018865741</v>
      </c>
      <c r="B5949" s="7" t="str">
        <f aca="false">HYPERLINK("https://twitter.com/JustineMcG1","@JustineMcG1")</f>
        <v>@JustineMcG1</v>
      </c>
      <c r="C5949" s="8" t="s">
        <v>13708</v>
      </c>
      <c r="D5949" s="8" t="s">
        <v>13595</v>
      </c>
      <c r="E5949" s="9" t="str">
        <f aca="false">HYPERLINK("https://twitter.com/JustineMcG1/status/922357600011907072","922357600011907072")</f>
        <v>922357600011907072</v>
      </c>
      <c r="F5949" s="10" t="s">
        <v>1017</v>
      </c>
      <c r="G5949" s="10" t="n">
        <v>640</v>
      </c>
      <c r="H5949" s="10" t="n">
        <v>2010</v>
      </c>
      <c r="I5949" s="10" t="n">
        <v>88</v>
      </c>
      <c r="J5949" s="10" t="n">
        <v>0</v>
      </c>
      <c r="K5949" s="10" t="s">
        <v>20</v>
      </c>
      <c r="L5949" s="11" t="n">
        <v>39925.1712615741</v>
      </c>
      <c r="M5949" s="12" t="s">
        <v>13709</v>
      </c>
      <c r="N5949" s="12" t="s">
        <v>13710</v>
      </c>
      <c r="O5949" s="9" t="str">
        <f aca="false">HYPERLINK("https://pbs.twimg.com/profile_images/517211904432148480/SJ4l7IX5_normal.jpeg","View")</f>
        <v>View</v>
      </c>
      <c r="P5949" s="10"/>
    </row>
    <row r="5950" customFormat="false" ht="15.75" hidden="false" customHeight="false" outlineLevel="0" collapsed="false">
      <c r="A5950" s="6" t="n">
        <v>43031.0024074074</v>
      </c>
      <c r="B5950" s="7" t="str">
        <f aca="false">HYPERLINK("https://twitter.com/StineBuch","@StineBuch")</f>
        <v>@StineBuch</v>
      </c>
      <c r="C5950" s="8" t="s">
        <v>13711</v>
      </c>
      <c r="D5950" s="8" t="s">
        <v>13595</v>
      </c>
      <c r="E5950" s="9" t="str">
        <f aca="false">HYPERLINK("https://twitter.com/StineBuch/status/922357788793360384","922357788793360384")</f>
        <v>922357788793360384</v>
      </c>
      <c r="F5950" s="10" t="s">
        <v>39</v>
      </c>
      <c r="G5950" s="10" t="n">
        <v>747</v>
      </c>
      <c r="H5950" s="10" t="n">
        <v>1248</v>
      </c>
      <c r="I5950" s="10" t="n">
        <v>88</v>
      </c>
      <c r="J5950" s="10" t="n">
        <v>0</v>
      </c>
      <c r="K5950" s="10" t="s">
        <v>20</v>
      </c>
      <c r="L5950" s="11" t="n">
        <v>40098.5396875</v>
      </c>
      <c r="M5950" s="12" t="s">
        <v>10134</v>
      </c>
      <c r="N5950" s="12" t="s">
        <v>13712</v>
      </c>
      <c r="O5950" s="9" t="str">
        <f aca="false">HYPERLINK("https://pbs.twimg.com/profile_images/917480359360688128/w1TZ-y--_normal.jpg","View")</f>
        <v>View</v>
      </c>
      <c r="P5950" s="10"/>
    </row>
    <row r="5951" customFormat="false" ht="15.75" hidden="false" customHeight="false" outlineLevel="0" collapsed="false">
      <c r="A5951" s="6" t="n">
        <v>43031.0025810185</v>
      </c>
      <c r="B5951" s="7" t="str">
        <f aca="false">HYPERLINK("https://twitter.com/quierojj126","@quierojj126")</f>
        <v>@quierojj126</v>
      </c>
      <c r="C5951" s="8" t="s">
        <v>7255</v>
      </c>
      <c r="D5951" s="8" t="s">
        <v>13595</v>
      </c>
      <c r="E5951" s="9" t="str">
        <f aca="false">HYPERLINK("https://twitter.com/quierojj126/status/922357852227887104","922357852227887104")</f>
        <v>922357852227887104</v>
      </c>
      <c r="F5951" s="10" t="s">
        <v>51</v>
      </c>
      <c r="G5951" s="10" t="n">
        <v>2057</v>
      </c>
      <c r="H5951" s="10" t="n">
        <v>2512</v>
      </c>
      <c r="I5951" s="10" t="n">
        <v>88</v>
      </c>
      <c r="J5951" s="10" t="n">
        <v>0</v>
      </c>
      <c r="K5951" s="10" t="s">
        <v>20</v>
      </c>
      <c r="L5951" s="11" t="n">
        <v>40358.7568402778</v>
      </c>
      <c r="M5951" s="12" t="s">
        <v>3254</v>
      </c>
      <c r="N5951" s="13" t="s">
        <v>7256</v>
      </c>
      <c r="O5951" s="9" t="str">
        <f aca="false">HYPERLINK("https://pbs.twimg.com/profile_images/507316974569803776/m5IAcFxC_normal.jpeg","View")</f>
        <v>View</v>
      </c>
      <c r="P5951" s="10"/>
    </row>
    <row r="5952" customFormat="false" ht="15.75" hidden="false" customHeight="false" outlineLevel="0" collapsed="false">
      <c r="A5952" s="6" t="n">
        <v>43031.0029398148</v>
      </c>
      <c r="B5952" s="7" t="str">
        <f aca="false">HYPERLINK("https://twitter.com/LloydZiel","@LloydZiel")</f>
        <v>@LloydZiel</v>
      </c>
      <c r="C5952" s="8" t="s">
        <v>13713</v>
      </c>
      <c r="D5952" s="8" t="s">
        <v>13714</v>
      </c>
      <c r="E5952" s="9" t="str">
        <f aca="false">HYPERLINK("https://twitter.com/LloydZiel/status/922357985443184640","922357985443184640")</f>
        <v>922357985443184640</v>
      </c>
      <c r="F5952" s="10" t="s">
        <v>60</v>
      </c>
      <c r="G5952" s="10" t="n">
        <v>755</v>
      </c>
      <c r="H5952" s="10" t="n">
        <v>843</v>
      </c>
      <c r="I5952" s="10" t="n">
        <v>0</v>
      </c>
      <c r="J5952" s="10" t="n">
        <v>0</v>
      </c>
      <c r="K5952" s="10" t="s">
        <v>20</v>
      </c>
      <c r="L5952" s="11" t="n">
        <v>40816.2905092593</v>
      </c>
      <c r="M5952" s="12" t="s">
        <v>4797</v>
      </c>
      <c r="N5952" s="12" t="s">
        <v>13715</v>
      </c>
      <c r="O5952" s="9" t="str">
        <f aca="false">HYPERLINK("https://pbs.twimg.com/profile_images/378800000163294226/f9483ee13c6a6f32086253635d758cc6_normal.jpeg","View")</f>
        <v>View</v>
      </c>
      <c r="P5952" s="10"/>
    </row>
    <row r="5953" customFormat="false" ht="15.75" hidden="false" customHeight="false" outlineLevel="0" collapsed="false">
      <c r="A5953" s="6" t="n">
        <v>43031.0031597222</v>
      </c>
      <c r="B5953" s="7" t="str">
        <f aca="false">HYPERLINK("https://twitter.com/newsneighbor","@newsneighbor")</f>
        <v>@newsneighbor</v>
      </c>
      <c r="C5953" s="8" t="s">
        <v>13716</v>
      </c>
      <c r="D5953" s="8" t="s">
        <v>13595</v>
      </c>
      <c r="E5953" s="9" t="str">
        <f aca="false">HYPERLINK("https://twitter.com/newsneighbor/status/922358062631084032","922358062631084032")</f>
        <v>922358062631084032</v>
      </c>
      <c r="F5953" s="10" t="s">
        <v>39</v>
      </c>
      <c r="G5953" s="10" t="n">
        <v>1357</v>
      </c>
      <c r="H5953" s="10" t="n">
        <v>735</v>
      </c>
      <c r="I5953" s="10" t="n">
        <v>88</v>
      </c>
      <c r="J5953" s="10" t="n">
        <v>0</v>
      </c>
      <c r="K5953" s="10" t="s">
        <v>20</v>
      </c>
      <c r="L5953" s="11" t="n">
        <v>40590.4499189815</v>
      </c>
      <c r="M5953" s="12" t="s">
        <v>13717</v>
      </c>
      <c r="N5953" s="12" t="s">
        <v>13718</v>
      </c>
      <c r="O5953" s="9" t="str">
        <f aca="false">HYPERLINK("https://pbs.twimg.com/profile_images/1246430600/4_normal.jpg","View")</f>
        <v>View</v>
      </c>
      <c r="P5953" s="10"/>
    </row>
    <row r="5954" customFormat="false" ht="15.75" hidden="false" customHeight="false" outlineLevel="0" collapsed="false">
      <c r="A5954" s="6" t="n">
        <v>43031.0032060185</v>
      </c>
      <c r="B5954" s="7" t="str">
        <f aca="false">HYPERLINK("https://twitter.com/BrijIndian","@BrijIndian")</f>
        <v>@BrijIndian</v>
      </c>
      <c r="C5954" s="8" t="s">
        <v>13719</v>
      </c>
      <c r="D5954" s="8" t="s">
        <v>8538</v>
      </c>
      <c r="E5954" s="9" t="str">
        <f aca="false">HYPERLINK("https://twitter.com/BrijIndian/status/922358078544142336","922358078544142336")</f>
        <v>922358078544142336</v>
      </c>
      <c r="F5954" s="10" t="s">
        <v>51</v>
      </c>
      <c r="G5954" s="10" t="n">
        <v>157</v>
      </c>
      <c r="H5954" s="10" t="n">
        <v>214</v>
      </c>
      <c r="I5954" s="10" t="n">
        <v>1015</v>
      </c>
      <c r="J5954" s="10" t="n">
        <v>0</v>
      </c>
      <c r="K5954" s="10" t="s">
        <v>20</v>
      </c>
      <c r="L5954" s="11" t="n">
        <v>42266.2703240741</v>
      </c>
      <c r="M5954" s="12" t="s">
        <v>72</v>
      </c>
      <c r="N5954" s="12" t="s">
        <v>13720</v>
      </c>
      <c r="O5954" s="9" t="str">
        <f aca="false">HYPERLINK("https://pbs.twimg.com/profile_images/913936142998814724/8nEidPDQ_normal.jpg","View")</f>
        <v>View</v>
      </c>
      <c r="P5954" s="10"/>
    </row>
    <row r="5955" customFormat="false" ht="15.75" hidden="false" customHeight="false" outlineLevel="0" collapsed="false">
      <c r="A5955" s="6" t="n">
        <v>43031.0033912037</v>
      </c>
      <c r="B5955" s="7" t="str">
        <f aca="false">HYPERLINK("https://twitter.com/hdevreij","@hdevreij")</f>
        <v>@hdevreij</v>
      </c>
      <c r="C5955" s="8" t="s">
        <v>13721</v>
      </c>
      <c r="D5955" s="8" t="s">
        <v>13595</v>
      </c>
      <c r="E5955" s="9" t="str">
        <f aca="false">HYPERLINK("https://twitter.com/hdevreij/status/922358147892809728","922358147892809728")</f>
        <v>922358147892809728</v>
      </c>
      <c r="F5955" s="10" t="s">
        <v>51</v>
      </c>
      <c r="G5955" s="10" t="n">
        <v>9621</v>
      </c>
      <c r="H5955" s="10" t="n">
        <v>2317</v>
      </c>
      <c r="I5955" s="10" t="n">
        <v>88</v>
      </c>
      <c r="J5955" s="10" t="n">
        <v>0</v>
      </c>
      <c r="K5955" s="10" t="s">
        <v>20</v>
      </c>
      <c r="L5955" s="11" t="n">
        <v>39871.4200578704</v>
      </c>
      <c r="M5955" s="12" t="s">
        <v>132</v>
      </c>
      <c r="N5955" s="12" t="s">
        <v>13722</v>
      </c>
      <c r="O5955" s="9" t="str">
        <f aca="false">HYPERLINK("https://pbs.twimg.com/profile_images/819562067946520576/va78hibH_normal.jpg","View")</f>
        <v>View</v>
      </c>
      <c r="P5955" s="10"/>
    </row>
    <row r="5956" customFormat="false" ht="15.75" hidden="false" customHeight="false" outlineLevel="0" collapsed="false">
      <c r="A5956" s="6" t="n">
        <v>43031.0035648148</v>
      </c>
      <c r="B5956" s="7" t="str">
        <f aca="false">HYPERLINK("https://twitter.com/bitznews","@bitznews")</f>
        <v>@bitznews</v>
      </c>
      <c r="C5956" s="8" t="s">
        <v>13723</v>
      </c>
      <c r="D5956" s="8" t="s">
        <v>13724</v>
      </c>
      <c r="E5956" s="9" t="str">
        <f aca="false">HYPERLINK("https://twitter.com/bitznews/status/922358211679793152","922358211679793152")</f>
        <v>922358211679793152</v>
      </c>
      <c r="F5956" s="10" t="s">
        <v>60</v>
      </c>
      <c r="G5956" s="10" t="n">
        <v>151</v>
      </c>
      <c r="H5956" s="10" t="n">
        <v>88</v>
      </c>
      <c r="I5956" s="10" t="n">
        <v>0</v>
      </c>
      <c r="J5956" s="10" t="n">
        <v>0</v>
      </c>
      <c r="K5956" s="10" t="s">
        <v>20</v>
      </c>
      <c r="L5956" s="11" t="n">
        <v>42376.5687847222</v>
      </c>
      <c r="M5956" s="12" t="s">
        <v>319</v>
      </c>
      <c r="N5956" s="12" t="s">
        <v>13725</v>
      </c>
      <c r="O5956" s="9" t="str">
        <f aca="false">HYPERLINK("https://pbs.twimg.com/profile_images/770856359705341952/BDI61bE0_normal.jpg","View")</f>
        <v>View</v>
      </c>
      <c r="P5956" s="10"/>
    </row>
    <row r="5957" customFormat="false" ht="15.75" hidden="false" customHeight="false" outlineLevel="0" collapsed="false">
      <c r="A5957" s="6" t="n">
        <v>43031.0036689815</v>
      </c>
      <c r="B5957" s="7" t="str">
        <f aca="false">HYPERLINK("https://twitter.com/JorgeLuisZamud3","@JorgeLuisZamud3")</f>
        <v>@JorgeLuisZamud3</v>
      </c>
      <c r="C5957" s="8" t="s">
        <v>13726</v>
      </c>
      <c r="D5957" s="8" t="s">
        <v>13595</v>
      </c>
      <c r="E5957" s="9" t="str">
        <f aca="false">HYPERLINK("https://twitter.com/JorgeLuisZamud3/status/922358248782446592","922358248782446592")</f>
        <v>922358248782446592</v>
      </c>
      <c r="F5957" s="10" t="s">
        <v>25</v>
      </c>
      <c r="G5957" s="10" t="n">
        <v>60</v>
      </c>
      <c r="H5957" s="10" t="n">
        <v>381</v>
      </c>
      <c r="I5957" s="10" t="n">
        <v>88</v>
      </c>
      <c r="J5957" s="10" t="n">
        <v>0</v>
      </c>
      <c r="K5957" s="10" t="s">
        <v>20</v>
      </c>
      <c r="L5957" s="11" t="n">
        <v>42962.8752199074</v>
      </c>
      <c r="M5957" s="12" t="s">
        <v>13727</v>
      </c>
      <c r="N5957" s="12"/>
      <c r="O5957" s="9" t="str">
        <f aca="false">HYPERLINK("https://pbs.twimg.com/profile_images/897931612712611840/lU08bOZU_normal.jpg","View")</f>
        <v>View</v>
      </c>
      <c r="P5957" s="10"/>
    </row>
    <row r="5958" customFormat="false" ht="15.75" hidden="false" customHeight="false" outlineLevel="0" collapsed="false">
      <c r="A5958" s="6" t="n">
        <v>43031.0037268518</v>
      </c>
      <c r="B5958" s="7" t="str">
        <f aca="false">HYPERLINK("https://twitter.com/KummarSuniel","@KummarSuniel")</f>
        <v>@KummarSuniel</v>
      </c>
      <c r="C5958" s="8" t="s">
        <v>13728</v>
      </c>
      <c r="D5958" s="8" t="s">
        <v>8538</v>
      </c>
      <c r="E5958" s="9" t="str">
        <f aca="false">HYPERLINK("https://twitter.com/KummarSuniel/status/922358267698855937","922358267698855937")</f>
        <v>922358267698855937</v>
      </c>
      <c r="F5958" s="10" t="s">
        <v>25</v>
      </c>
      <c r="G5958" s="10" t="n">
        <v>45</v>
      </c>
      <c r="H5958" s="10" t="n">
        <v>139</v>
      </c>
      <c r="I5958" s="10" t="n">
        <v>1015</v>
      </c>
      <c r="J5958" s="10" t="n">
        <v>0</v>
      </c>
      <c r="K5958" s="10" t="s">
        <v>20</v>
      </c>
      <c r="L5958" s="11" t="n">
        <v>42551.4482638889</v>
      </c>
      <c r="M5958" s="12" t="s">
        <v>11124</v>
      </c>
      <c r="N5958" s="12" t="s">
        <v>13729</v>
      </c>
      <c r="O5958" s="9" t="str">
        <f aca="false">HYPERLINK("https://pbs.twimg.com/profile_images/837293347643469824/vSTOoDDK_normal.jpg","View")</f>
        <v>View</v>
      </c>
      <c r="P5958" s="10"/>
    </row>
    <row r="5959" customFormat="false" ht="15.75" hidden="false" customHeight="false" outlineLevel="0" collapsed="false">
      <c r="A5959" s="6" t="n">
        <v>43031.0037731481</v>
      </c>
      <c r="B5959" s="7" t="str">
        <f aca="false">HYPERLINK("https://twitter.com/NYTRB","@NYTRB")</f>
        <v>@NYTRB</v>
      </c>
      <c r="C5959" s="8" t="s">
        <v>13730</v>
      </c>
      <c r="D5959" s="8" t="s">
        <v>13731</v>
      </c>
      <c r="E5959" s="9" t="str">
        <f aca="false">HYPERLINK("https://twitter.com/NYTRB/status/922358285138882560","922358285138882560")</f>
        <v>922358285138882560</v>
      </c>
      <c r="F5959" s="10" t="s">
        <v>60</v>
      </c>
      <c r="G5959" s="10" t="n">
        <v>240</v>
      </c>
      <c r="H5959" s="10" t="n">
        <v>15</v>
      </c>
      <c r="I5959" s="10" t="n">
        <v>0</v>
      </c>
      <c r="J5959" s="10" t="n">
        <v>0</v>
      </c>
      <c r="K5959" s="10" t="s">
        <v>20</v>
      </c>
      <c r="L5959" s="11" t="n">
        <v>42501.8391319445</v>
      </c>
      <c r="M5959" s="12" t="s">
        <v>13732</v>
      </c>
      <c r="N5959" s="12" t="s">
        <v>13733</v>
      </c>
      <c r="O5959" s="9" t="str">
        <f aca="false">HYPERLINK("https://pbs.twimg.com/profile_images/882441036810682370/5jX4E9mu_normal.jpg","View")</f>
        <v>View</v>
      </c>
      <c r="P5959" s="10"/>
    </row>
    <row r="5960" customFormat="false" ht="15.75" hidden="false" customHeight="false" outlineLevel="0" collapsed="false">
      <c r="A5960" s="6" t="n">
        <v>43031.0038078704</v>
      </c>
      <c r="B5960" s="7" t="str">
        <f aca="false">HYPERLINK("https://twitter.com/happensinindia","@happensinindia")</f>
        <v>@happensinindia</v>
      </c>
      <c r="C5960" s="8" t="s">
        <v>13734</v>
      </c>
      <c r="D5960" s="8" t="s">
        <v>8538</v>
      </c>
      <c r="E5960" s="9" t="str">
        <f aca="false">HYPERLINK("https://twitter.com/happensinindia/status/922358297029591040","922358297029591040")</f>
        <v>922358297029591040</v>
      </c>
      <c r="F5960" s="10" t="s">
        <v>39</v>
      </c>
      <c r="G5960" s="10" t="n">
        <v>642</v>
      </c>
      <c r="H5960" s="10" t="n">
        <v>30</v>
      </c>
      <c r="I5960" s="10" t="n">
        <v>1015</v>
      </c>
      <c r="J5960" s="10" t="n">
        <v>0</v>
      </c>
      <c r="K5960" s="10" t="s">
        <v>20</v>
      </c>
      <c r="L5960" s="11" t="n">
        <v>40478.9621064815</v>
      </c>
      <c r="M5960" s="12"/>
      <c r="N5960" s="12"/>
      <c r="O5960" s="9" t="str">
        <f aca="false">HYPERLINK("https://pbs.twimg.com/profile_images/728477130271559680/FGDcLOoW_normal.jpg","View")</f>
        <v>View</v>
      </c>
      <c r="P5960" s="10"/>
    </row>
    <row r="5961" customFormat="false" ht="15.75" hidden="false" customHeight="false" outlineLevel="0" collapsed="false">
      <c r="A5961" s="6" t="n">
        <v>43031.004224537</v>
      </c>
      <c r="B5961" s="7" t="str">
        <f aca="false">HYPERLINK("https://twitter.com/ReutersWorld","@ReutersWorld")</f>
        <v>@ReutersWorld</v>
      </c>
      <c r="C5961" s="8" t="s">
        <v>13735</v>
      </c>
      <c r="D5961" s="8" t="s">
        <v>13736</v>
      </c>
      <c r="E5961" s="9" t="str">
        <f aca="false">HYPERLINK("https://twitter.com/ReutersWorld/status/922358450314792961","922358450314792961")</f>
        <v>922358450314792961</v>
      </c>
      <c r="F5961" s="10" t="s">
        <v>268</v>
      </c>
      <c r="G5961" s="10" t="n">
        <v>228340</v>
      </c>
      <c r="H5961" s="10" t="n">
        <v>170</v>
      </c>
      <c r="I5961" s="10" t="n">
        <v>17</v>
      </c>
      <c r="J5961" s="10" t="n">
        <v>9</v>
      </c>
      <c r="K5961" s="10" t="s">
        <v>20</v>
      </c>
      <c r="L5961" s="11" t="n">
        <v>40738.472650463</v>
      </c>
      <c r="M5961" s="12" t="s">
        <v>4425</v>
      </c>
      <c r="N5961" s="12" t="s">
        <v>13737</v>
      </c>
      <c r="O5961" s="9" t="str">
        <f aca="false">HYPERLINK("https://pbs.twimg.com/profile_images/877266356730712064/FmOQMMyG_normal.jpg","View")</f>
        <v>View</v>
      </c>
      <c r="P5961" s="10"/>
    </row>
    <row r="5962" customFormat="false" ht="15.75" hidden="false" customHeight="false" outlineLevel="0" collapsed="false">
      <c r="A5962" s="6" t="n">
        <v>43031.0043865741</v>
      </c>
      <c r="B5962" s="7" t="str">
        <f aca="false">HYPERLINK("https://twitter.com/kamoljojoo111","@kamoljojoo111")</f>
        <v>@kamoljojoo111</v>
      </c>
      <c r="C5962" s="8" t="s">
        <v>13738</v>
      </c>
      <c r="D5962" s="8" t="s">
        <v>13601</v>
      </c>
      <c r="E5962" s="9" t="str">
        <f aca="false">HYPERLINK("https://twitter.com/kamoljojoo111/status/922358508787466240","922358508787466240")</f>
        <v>922358508787466240</v>
      </c>
      <c r="F5962" s="10" t="s">
        <v>60</v>
      </c>
      <c r="G5962" s="10" t="n">
        <v>1886</v>
      </c>
      <c r="H5962" s="10" t="n">
        <v>2159</v>
      </c>
      <c r="I5962" s="10" t="n">
        <v>0</v>
      </c>
      <c r="J5962" s="10" t="n">
        <v>0</v>
      </c>
      <c r="K5962" s="10" t="s">
        <v>20</v>
      </c>
      <c r="L5962" s="11" t="n">
        <v>42431.0242939815</v>
      </c>
      <c r="M5962" s="12" t="s">
        <v>6162</v>
      </c>
      <c r="N5962" s="12" t="s">
        <v>13739</v>
      </c>
      <c r="O5962" s="9" t="str">
        <f aca="false">HYPERLINK("https://pbs.twimg.com/profile_images/853604509477519360/aC9IzpuY_normal.jpg","View")</f>
        <v>View</v>
      </c>
      <c r="P5962" s="10"/>
    </row>
    <row r="5963" customFormat="false" ht="15.75" hidden="false" customHeight="false" outlineLevel="0" collapsed="false">
      <c r="A5963" s="6" t="n">
        <v>43031.0044212963</v>
      </c>
      <c r="B5963" s="7" t="str">
        <f aca="false">HYPERLINK("https://twitter.com/nubiankemett","@nubiankemett")</f>
        <v>@nubiankemett</v>
      </c>
      <c r="C5963" s="8" t="s">
        <v>13740</v>
      </c>
      <c r="D5963" s="8" t="s">
        <v>13741</v>
      </c>
      <c r="E5963" s="9" t="str">
        <f aca="false">HYPERLINK("https://twitter.com/nubiankemett/status/922358519541784576","922358519541784576")</f>
        <v>922358519541784576</v>
      </c>
      <c r="F5963" s="10" t="s">
        <v>25</v>
      </c>
      <c r="G5963" s="10" t="n">
        <v>1035</v>
      </c>
      <c r="H5963" s="10" t="n">
        <v>2167</v>
      </c>
      <c r="I5963" s="10" t="n">
        <v>17</v>
      </c>
      <c r="J5963" s="10" t="n">
        <v>0</v>
      </c>
      <c r="K5963" s="10" t="s">
        <v>20</v>
      </c>
      <c r="L5963" s="11" t="n">
        <v>42618.5754050926</v>
      </c>
      <c r="M5963" s="12" t="s">
        <v>3110</v>
      </c>
      <c r="N5963" s="12" t="s">
        <v>13742</v>
      </c>
      <c r="O5963" s="9" t="str">
        <f aca="false">HYPERLINK("https://pbs.twimg.com/profile_images/864100180668416000/XU58kCqI_normal.jpg","View")</f>
        <v>View</v>
      </c>
      <c r="P5963" s="10"/>
    </row>
    <row r="5964" customFormat="false" ht="15.75" hidden="false" customHeight="false" outlineLevel="0" collapsed="false">
      <c r="A5964" s="6" t="n">
        <v>43031.0045138889</v>
      </c>
      <c r="B5964" s="7" t="str">
        <f aca="false">HYPERLINK("https://twitter.com/hansoconner1","@hansoconner1")</f>
        <v>@hansoconner1</v>
      </c>
      <c r="C5964" s="8" t="s">
        <v>13743</v>
      </c>
      <c r="D5964" s="8" t="s">
        <v>13595</v>
      </c>
      <c r="E5964" s="9" t="str">
        <f aca="false">HYPERLINK("https://twitter.com/hansoconner1/status/922358553276534784","922358553276534784")</f>
        <v>922358553276534784</v>
      </c>
      <c r="F5964" s="10" t="s">
        <v>1017</v>
      </c>
      <c r="G5964" s="10" t="n">
        <v>36</v>
      </c>
      <c r="H5964" s="10" t="n">
        <v>19</v>
      </c>
      <c r="I5964" s="10" t="n">
        <v>88</v>
      </c>
      <c r="J5964" s="10" t="n">
        <v>0</v>
      </c>
      <c r="K5964" s="10" t="s">
        <v>20</v>
      </c>
      <c r="L5964" s="11" t="n">
        <v>42123.5949884259</v>
      </c>
      <c r="M5964" s="12" t="s">
        <v>13744</v>
      </c>
      <c r="N5964" s="12"/>
      <c r="O5964" s="9" t="str">
        <f aca="false">HYPERLINK("https://pbs.twimg.com/profile_images/593526232387457024/0QGxgk5A_normal.jpg","View")</f>
        <v>View</v>
      </c>
      <c r="P5964" s="10"/>
    </row>
    <row r="5965" customFormat="false" ht="15.75" hidden="false" customHeight="false" outlineLevel="0" collapsed="false">
      <c r="A5965" s="6" t="n">
        <v>43031.0045717593</v>
      </c>
      <c r="B5965" s="7" t="str">
        <f aca="false">HYPERLINK("https://twitter.com/JamieACM81","@JamieACM81")</f>
        <v>@JamieACM81</v>
      </c>
      <c r="C5965" s="8" t="s">
        <v>13171</v>
      </c>
      <c r="D5965" s="8" t="s">
        <v>13741</v>
      </c>
      <c r="E5965" s="9" t="str">
        <f aca="false">HYPERLINK("https://twitter.com/JamieACM81/status/922358573505552385","922358573505552385")</f>
        <v>922358573505552385</v>
      </c>
      <c r="F5965" s="10" t="s">
        <v>51</v>
      </c>
      <c r="G5965" s="10" t="n">
        <v>419</v>
      </c>
      <c r="H5965" s="10" t="n">
        <v>3347</v>
      </c>
      <c r="I5965" s="10" t="n">
        <v>17</v>
      </c>
      <c r="J5965" s="10" t="n">
        <v>0</v>
      </c>
      <c r="K5965" s="10" t="s">
        <v>20</v>
      </c>
      <c r="L5965" s="11" t="n">
        <v>41669.2073032407</v>
      </c>
      <c r="M5965" s="12" t="s">
        <v>1199</v>
      </c>
      <c r="N5965" s="12" t="s">
        <v>13173</v>
      </c>
      <c r="O5965" s="9" t="str">
        <f aca="false">HYPERLINK("https://pbs.twimg.com/profile_images/754540551563718657/e34i6toJ_normal.jpg","View")</f>
        <v>View</v>
      </c>
      <c r="P5965" s="10"/>
    </row>
    <row r="5966" customFormat="false" ht="15.75" hidden="false" customHeight="false" outlineLevel="0" collapsed="false">
      <c r="A5966" s="6" t="n">
        <v>43031.0046296296</v>
      </c>
      <c r="B5966" s="7" t="str">
        <f aca="false">HYPERLINK("https://twitter.com/stories_daily","@stories_daily")</f>
        <v>@stories_daily</v>
      </c>
      <c r="C5966" s="8" t="s">
        <v>13745</v>
      </c>
      <c r="D5966" s="8" t="s">
        <v>13746</v>
      </c>
      <c r="E5966" s="9" t="str">
        <f aca="false">HYPERLINK("https://twitter.com/stories_daily/status/922358597090082816","922358597090082816")</f>
        <v>922358597090082816</v>
      </c>
      <c r="F5966" s="10" t="s">
        <v>60</v>
      </c>
      <c r="G5966" s="10" t="n">
        <v>87</v>
      </c>
      <c r="H5966" s="10" t="n">
        <v>0</v>
      </c>
      <c r="I5966" s="10" t="n">
        <v>0</v>
      </c>
      <c r="J5966" s="10" t="n">
        <v>0</v>
      </c>
      <c r="K5966" s="10" t="s">
        <v>20</v>
      </c>
      <c r="L5966" s="11" t="n">
        <v>41956.0735069445</v>
      </c>
      <c r="M5966" s="12"/>
      <c r="N5966" s="12"/>
      <c r="O5966" s="9" t="str">
        <f aca="false">HYPERLINK("https://pbs.twimg.com/profile_images/532831934615810050/05uuTv3I_normal.png","View")</f>
        <v>View</v>
      </c>
      <c r="P5966" s="10"/>
    </row>
    <row r="5967" customFormat="false" ht="15.75" hidden="false" customHeight="false" outlineLevel="0" collapsed="false">
      <c r="A5967" s="6" t="n">
        <v>43031.0046643519</v>
      </c>
      <c r="B5967" s="7" t="str">
        <f aca="false">HYPERLINK("https://twitter.com/GoldDmitriy","@GoldDmitriy")</f>
        <v>@GoldDmitriy</v>
      </c>
      <c r="C5967" s="8" t="s">
        <v>1468</v>
      </c>
      <c r="D5967" s="8" t="s">
        <v>13595</v>
      </c>
      <c r="E5967" s="9" t="str">
        <f aca="false">HYPERLINK("https://twitter.com/GoldDmitriy/status/922358607257264128","922358607257264128")</f>
        <v>922358607257264128</v>
      </c>
      <c r="F5967" s="10" t="s">
        <v>39</v>
      </c>
      <c r="G5967" s="10" t="n">
        <v>161</v>
      </c>
      <c r="H5967" s="10" t="n">
        <v>625</v>
      </c>
      <c r="I5967" s="10" t="n">
        <v>88</v>
      </c>
      <c r="J5967" s="10" t="n">
        <v>0</v>
      </c>
      <c r="K5967" s="10" t="s">
        <v>20</v>
      </c>
      <c r="L5967" s="11" t="n">
        <v>41878.42125</v>
      </c>
      <c r="M5967" s="12" t="s">
        <v>1469</v>
      </c>
      <c r="N5967" s="12" t="s">
        <v>1470</v>
      </c>
      <c r="O5967" s="9" t="str">
        <f aca="false">HYPERLINK("https://pbs.twimg.com/profile_images/869310608436539393/9mh2sGDv_normal.jpg","View")</f>
        <v>View</v>
      </c>
      <c r="P5967" s="10"/>
    </row>
    <row r="5968" customFormat="false" ht="15.75" hidden="false" customHeight="false" outlineLevel="0" collapsed="false">
      <c r="A5968" s="6" t="n">
        <v>43031.0053009259</v>
      </c>
      <c r="B5968" s="7" t="str">
        <f aca="false">HYPERLINK("https://twitter.com/DreadNappyDread","@DreadNappyDread")</f>
        <v>@DreadNappyDread</v>
      </c>
      <c r="C5968" s="8" t="s">
        <v>13747</v>
      </c>
      <c r="D5968" s="8" t="s">
        <v>13595</v>
      </c>
      <c r="E5968" s="9" t="str">
        <f aca="false">HYPERLINK("https://twitter.com/DreadNappyDread/status/922358839957110785","922358839957110785")</f>
        <v>922358839957110785</v>
      </c>
      <c r="F5968" s="10" t="s">
        <v>39</v>
      </c>
      <c r="G5968" s="10" t="n">
        <v>756</v>
      </c>
      <c r="H5968" s="10" t="n">
        <v>1473</v>
      </c>
      <c r="I5968" s="10" t="n">
        <v>88</v>
      </c>
      <c r="J5968" s="10" t="n">
        <v>0</v>
      </c>
      <c r="K5968" s="10" t="s">
        <v>20</v>
      </c>
      <c r="L5968" s="11" t="n">
        <v>40138.7543055556</v>
      </c>
      <c r="M5968" s="12"/>
      <c r="N5968" s="12" t="s">
        <v>13748</v>
      </c>
      <c r="O5968" s="9" t="str">
        <f aca="false">HYPERLINK("https://pbs.twimg.com/profile_images/915953252696449024/BWVG2H7L_normal.jpg","View")</f>
        <v>View</v>
      </c>
      <c r="P5968" s="10"/>
    </row>
    <row r="5969" customFormat="false" ht="15.75" hidden="false" customHeight="false" outlineLevel="0" collapsed="false">
      <c r="A5969" s="6" t="n">
        <v>43031.0053240741</v>
      </c>
      <c r="B5969" s="7" t="str">
        <f aca="false">HYPERLINK("https://twitter.com/wildwest2sh","@wildwest2sh")</f>
        <v>@wildwest2sh</v>
      </c>
      <c r="C5969" s="8" t="s">
        <v>13749</v>
      </c>
      <c r="D5969" s="8" t="s">
        <v>13595</v>
      </c>
      <c r="E5969" s="9" t="str">
        <f aca="false">HYPERLINK("https://twitter.com/wildwest2sh/status/922358846600790017","922358846600790017")</f>
        <v>922358846600790017</v>
      </c>
      <c r="F5969" s="10" t="s">
        <v>39</v>
      </c>
      <c r="G5969" s="10" t="n">
        <v>245</v>
      </c>
      <c r="H5969" s="10" t="n">
        <v>721</v>
      </c>
      <c r="I5969" s="10" t="n">
        <v>88</v>
      </c>
      <c r="J5969" s="10" t="n">
        <v>0</v>
      </c>
      <c r="K5969" s="10" t="s">
        <v>20</v>
      </c>
      <c r="L5969" s="11" t="n">
        <v>42343.6841550926</v>
      </c>
      <c r="M5969" s="12" t="s">
        <v>4839</v>
      </c>
      <c r="N5969" s="12" t="s">
        <v>13750</v>
      </c>
      <c r="O5969" s="9" t="str">
        <f aca="false">HYPERLINK("https://pbs.twimg.com/profile_images/673301494129557504/sXRSUifH_normal.jpg","View")</f>
        <v>View</v>
      </c>
      <c r="P5969" s="10"/>
    </row>
    <row r="5970" customFormat="false" ht="15.75" hidden="false" customHeight="false" outlineLevel="0" collapsed="false">
      <c r="A5970" s="6" t="n">
        <v>43031.005625</v>
      </c>
      <c r="B5970" s="7" t="str">
        <f aca="false">HYPERLINK("https://twitter.com/FlabinAlert","@FlabinAlert")</f>
        <v>@FlabinAlert</v>
      </c>
      <c r="C5970" s="8" t="s">
        <v>5087</v>
      </c>
      <c r="D5970" s="8" t="s">
        <v>13751</v>
      </c>
      <c r="E5970" s="9" t="str">
        <f aca="false">HYPERLINK("https://twitter.com/FlabinAlert/status/922358957867487232","922358957867487232")</f>
        <v>922358957867487232</v>
      </c>
      <c r="F5970" s="10" t="s">
        <v>60</v>
      </c>
      <c r="G5970" s="10" t="n">
        <v>83</v>
      </c>
      <c r="H5970" s="10" t="n">
        <v>10</v>
      </c>
      <c r="I5970" s="10" t="n">
        <v>0</v>
      </c>
      <c r="J5970" s="10" t="n">
        <v>0</v>
      </c>
      <c r="K5970" s="10" t="s">
        <v>20</v>
      </c>
      <c r="L5970" s="11" t="n">
        <v>42689.7497800926</v>
      </c>
      <c r="M5970" s="12"/>
      <c r="N5970" s="12"/>
      <c r="O5970" s="9" t="str">
        <f aca="false">HYPERLINK("https://abs.twimg.com/sticky/default_profile_images/default_profile_normal.png","View")</f>
        <v>View</v>
      </c>
      <c r="P5970" s="10"/>
    </row>
    <row r="5971" customFormat="false" ht="15.75" hidden="false" customHeight="false" outlineLevel="0" collapsed="false">
      <c r="A5971" s="6" t="n">
        <v>43031.0056712963</v>
      </c>
      <c r="B5971" s="7" t="str">
        <f aca="false">HYPERLINK("https://twitter.com/lpintus1","@lpintus1")</f>
        <v>@lpintus1</v>
      </c>
      <c r="C5971" s="8" t="s">
        <v>13752</v>
      </c>
      <c r="D5971" s="8" t="s">
        <v>13741</v>
      </c>
      <c r="E5971" s="9" t="str">
        <f aca="false">HYPERLINK("https://twitter.com/lpintus1/status/922358973872918528","922358973872918528")</f>
        <v>922358973872918528</v>
      </c>
      <c r="F5971" s="10" t="s">
        <v>25</v>
      </c>
      <c r="G5971" s="10" t="n">
        <v>787</v>
      </c>
      <c r="H5971" s="10" t="n">
        <v>1264</v>
      </c>
      <c r="I5971" s="10" t="n">
        <v>17</v>
      </c>
      <c r="J5971" s="10" t="n">
        <v>0</v>
      </c>
      <c r="K5971" s="10" t="s">
        <v>20</v>
      </c>
      <c r="L5971" s="11" t="n">
        <v>41965.9782523148</v>
      </c>
      <c r="M5971" s="12" t="s">
        <v>13753</v>
      </c>
      <c r="N5971" s="12" t="s">
        <v>13754</v>
      </c>
      <c r="O5971" s="9" t="str">
        <f aca="false">HYPERLINK("https://pbs.twimg.com/profile_images/923463784282378240/WvbycmWK_normal.jpg","View")</f>
        <v>View</v>
      </c>
      <c r="P5971" s="10"/>
    </row>
    <row r="5972" customFormat="false" ht="15.75" hidden="false" customHeight="false" outlineLevel="0" collapsed="false">
      <c r="A5972" s="6" t="n">
        <v>43031.0057523148</v>
      </c>
      <c r="B5972" s="7" t="str">
        <f aca="false">HYPERLINK("https://twitter.com/Kingmakertweet","@Kingmakertweet")</f>
        <v>@Kingmakertweet</v>
      </c>
      <c r="C5972" s="8" t="s">
        <v>719</v>
      </c>
      <c r="D5972" s="8" t="s">
        <v>13595</v>
      </c>
      <c r="E5972" s="9" t="str">
        <f aca="false">HYPERLINK("https://twitter.com/Kingmakertweet/status/922359000749957120","922359000749957120")</f>
        <v>922359000749957120</v>
      </c>
      <c r="F5972" s="10" t="s">
        <v>25</v>
      </c>
      <c r="G5972" s="10" t="n">
        <v>139</v>
      </c>
      <c r="H5972" s="10" t="n">
        <v>67</v>
      </c>
      <c r="I5972" s="10" t="n">
        <v>88</v>
      </c>
      <c r="J5972" s="10" t="n">
        <v>0</v>
      </c>
      <c r="K5972" s="10" t="s">
        <v>20</v>
      </c>
      <c r="L5972" s="11" t="n">
        <v>41053.0465046296</v>
      </c>
      <c r="M5972" s="12"/>
      <c r="N5972" s="13" t="s">
        <v>720</v>
      </c>
      <c r="O5972" s="9" t="str">
        <f aca="false">HYPERLINK("https://pbs.twimg.com/profile_images/836959111707123712/vw98l-VT_normal.jpg","View")</f>
        <v>View</v>
      </c>
      <c r="P5972" s="10"/>
    </row>
    <row r="5973" customFormat="false" ht="15.75" hidden="false" customHeight="false" outlineLevel="0" collapsed="false">
      <c r="A5973" s="6" t="n">
        <v>43031.005787037</v>
      </c>
      <c r="B5973" s="7" t="str">
        <f aca="false">HYPERLINK("https://twitter.com/doraerung1","@doraerung1")</f>
        <v>@doraerung1</v>
      </c>
      <c r="C5973" s="8" t="s">
        <v>13755</v>
      </c>
      <c r="D5973" s="8" t="s">
        <v>13741</v>
      </c>
      <c r="E5973" s="9" t="str">
        <f aca="false">HYPERLINK("https://twitter.com/doraerung1/status/922359013907374080","922359013907374080")</f>
        <v>922359013907374080</v>
      </c>
      <c r="F5973" s="10" t="s">
        <v>276</v>
      </c>
      <c r="G5973" s="10" t="n">
        <v>1217</v>
      </c>
      <c r="H5973" s="10" t="n">
        <v>489</v>
      </c>
      <c r="I5973" s="10" t="n">
        <v>17</v>
      </c>
      <c r="J5973" s="10" t="n">
        <v>0</v>
      </c>
      <c r="K5973" s="10" t="s">
        <v>20</v>
      </c>
      <c r="L5973" s="11" t="n">
        <v>40745.2959143519</v>
      </c>
      <c r="M5973" s="12" t="s">
        <v>13756</v>
      </c>
      <c r="N5973" s="12" t="s">
        <v>13757</v>
      </c>
      <c r="O5973" s="9" t="str">
        <f aca="false">HYPERLINK("https://pbs.twimg.com/profile_images/824638301944508416/6IiMiRzY_normal.jpg","View")</f>
        <v>View</v>
      </c>
      <c r="P5973" s="10"/>
    </row>
    <row r="5974" customFormat="false" ht="15.75" hidden="false" customHeight="false" outlineLevel="0" collapsed="false">
      <c r="A5974" s="6" t="n">
        <v>43031.0058333333</v>
      </c>
      <c r="B5974" s="7" t="str">
        <f aca="false">HYPERLINK("https://twitter.com/TshepoxSelepe","@TshepoxSelepe")</f>
        <v>@TshepoxSelepe</v>
      </c>
      <c r="C5974" s="8" t="s">
        <v>13758</v>
      </c>
      <c r="D5974" s="8" t="s">
        <v>13741</v>
      </c>
      <c r="E5974" s="9" t="str">
        <f aca="false">HYPERLINK("https://twitter.com/TshepoxSelepe/status/922359032035278848","922359032035278848")</f>
        <v>922359032035278848</v>
      </c>
      <c r="F5974" s="10" t="s">
        <v>98</v>
      </c>
      <c r="G5974" s="10" t="n">
        <v>426</v>
      </c>
      <c r="H5974" s="10" t="n">
        <v>246</v>
      </c>
      <c r="I5974" s="10" t="n">
        <v>17</v>
      </c>
      <c r="J5974" s="10" t="n">
        <v>0</v>
      </c>
      <c r="K5974" s="10" t="s">
        <v>20</v>
      </c>
      <c r="L5974" s="11" t="n">
        <v>41644.2335300926</v>
      </c>
      <c r="M5974" s="12" t="s">
        <v>13759</v>
      </c>
      <c r="N5974" s="12" t="s">
        <v>13760</v>
      </c>
      <c r="O5974" s="9" t="str">
        <f aca="false">HYPERLINK("https://pbs.twimg.com/profile_images/900232758274011136/eYydcM_j_normal.jpg","View")</f>
        <v>View</v>
      </c>
      <c r="P5974" s="10"/>
    </row>
    <row r="5975" customFormat="false" ht="15.75" hidden="false" customHeight="false" outlineLevel="0" collapsed="false">
      <c r="A5975" s="6" t="n">
        <v>43031.0059259259</v>
      </c>
      <c r="B5975" s="7" t="str">
        <f aca="false">HYPERLINK("https://twitter.com/NewsNeedNow","@NewsNeedNow")</f>
        <v>@NewsNeedNow</v>
      </c>
      <c r="C5975" s="8" t="s">
        <v>13761</v>
      </c>
      <c r="D5975" s="8" t="s">
        <v>13762</v>
      </c>
      <c r="E5975" s="9" t="str">
        <f aca="false">HYPERLINK("https://twitter.com/NewsNeedNow/status/922359066005032960","922359066005032960")</f>
        <v>922359066005032960</v>
      </c>
      <c r="F5975" s="10" t="s">
        <v>60</v>
      </c>
      <c r="G5975" s="10" t="n">
        <v>78</v>
      </c>
      <c r="H5975" s="10" t="n">
        <v>0</v>
      </c>
      <c r="I5975" s="10" t="n">
        <v>0</v>
      </c>
      <c r="J5975" s="10" t="n">
        <v>0</v>
      </c>
      <c r="K5975" s="10" t="s">
        <v>20</v>
      </c>
      <c r="L5975" s="11" t="n">
        <v>41962.087662037</v>
      </c>
      <c r="M5975" s="12"/>
      <c r="N5975" s="12"/>
      <c r="O5975" s="9" t="str">
        <f aca="false">HYPERLINK("https://pbs.twimg.com/profile_images/535011376423399424/Nnx30hj__normal.png","View")</f>
        <v>View</v>
      </c>
      <c r="P5975" s="10"/>
    </row>
    <row r="5976" customFormat="false" ht="15.75" hidden="false" customHeight="false" outlineLevel="0" collapsed="false">
      <c r="A5976" s="6" t="n">
        <v>43031.0060300926</v>
      </c>
      <c r="B5976" s="7" t="str">
        <f aca="false">HYPERLINK("https://twitter.com/frattigiovanni","@frattigiovanni")</f>
        <v>@frattigiovanni</v>
      </c>
      <c r="C5976" s="8" t="s">
        <v>13098</v>
      </c>
      <c r="D5976" s="8" t="s">
        <v>13741</v>
      </c>
      <c r="E5976" s="9" t="str">
        <f aca="false">HYPERLINK("https://twitter.com/frattigiovanni/status/922359105355907072","922359105355907072")</f>
        <v>922359105355907072</v>
      </c>
      <c r="F5976" s="10" t="s">
        <v>51</v>
      </c>
      <c r="G5976" s="10" t="n">
        <v>10819</v>
      </c>
      <c r="H5976" s="10" t="n">
        <v>6794</v>
      </c>
      <c r="I5976" s="10" t="n">
        <v>17</v>
      </c>
      <c r="J5976" s="10" t="n">
        <v>0</v>
      </c>
      <c r="K5976" s="10" t="s">
        <v>20</v>
      </c>
      <c r="L5976" s="11" t="n">
        <v>41451.9286226852</v>
      </c>
      <c r="M5976" s="12" t="s">
        <v>13099</v>
      </c>
      <c r="N5976" s="12" t="s">
        <v>13100</v>
      </c>
      <c r="O5976" s="9" t="str">
        <f aca="false">HYPERLINK("https://pbs.twimg.com/profile_images/378800000052197752/b4f8f1c1ef3c5270d9083b84e9df1ecb_normal.jpeg","View")</f>
        <v>View</v>
      </c>
      <c r="P5976" s="10"/>
    </row>
    <row r="5977" customFormat="false" ht="15.75" hidden="false" customHeight="false" outlineLevel="0" collapsed="false">
      <c r="A5977" s="6" t="n">
        <v>43031.0061226852</v>
      </c>
      <c r="B5977" s="7" t="str">
        <f aca="false">HYPERLINK("https://twitter.com/newslivenetwork","@newslivenetwork")</f>
        <v>@newslivenetwork</v>
      </c>
      <c r="C5977" s="8" t="s">
        <v>1668</v>
      </c>
      <c r="D5977" s="8" t="s">
        <v>13763</v>
      </c>
      <c r="E5977" s="9" t="str">
        <f aca="false">HYPERLINK("https://twitter.com/newslivenetwork/status/922359137488527360","922359137488527360")</f>
        <v>922359137488527360</v>
      </c>
      <c r="F5977" s="10" t="s">
        <v>55</v>
      </c>
      <c r="G5977" s="10" t="n">
        <v>272</v>
      </c>
      <c r="H5977" s="10" t="n">
        <v>87</v>
      </c>
      <c r="I5977" s="10" t="n">
        <v>0</v>
      </c>
      <c r="J5977" s="10" t="n">
        <v>0</v>
      </c>
      <c r="K5977" s="10" t="s">
        <v>20</v>
      </c>
      <c r="L5977" s="11" t="n">
        <v>42741.4719675926</v>
      </c>
      <c r="M5977" s="12" t="s">
        <v>1670</v>
      </c>
      <c r="N5977" s="12" t="s">
        <v>1671</v>
      </c>
      <c r="O5977" s="9" t="str">
        <f aca="false">HYPERLINK("https://pbs.twimg.com/profile_images/877414144424660992/scfhocj3_normal.jpg","View")</f>
        <v>View</v>
      </c>
      <c r="P5977" s="10"/>
    </row>
    <row r="5978" customFormat="false" ht="15.75" hidden="false" customHeight="false" outlineLevel="0" collapsed="false">
      <c r="A5978" s="6" t="n">
        <v>43031.0061689815</v>
      </c>
      <c r="B5978" s="7" t="str">
        <f aca="false">HYPERLINK("https://twitter.com/EmmanuelVyronas","@EmmanuelVyronas")</f>
        <v>@EmmanuelVyronas</v>
      </c>
      <c r="C5978" s="8" t="s">
        <v>13764</v>
      </c>
      <c r="D5978" s="8" t="s">
        <v>13595</v>
      </c>
      <c r="E5978" s="9" t="str">
        <f aca="false">HYPERLINK("https://twitter.com/EmmanuelVyronas/status/922359152000798720","922359152000798720")</f>
        <v>922359152000798720</v>
      </c>
      <c r="F5978" s="10" t="s">
        <v>39</v>
      </c>
      <c r="G5978" s="10" t="n">
        <v>464</v>
      </c>
      <c r="H5978" s="10" t="n">
        <v>619</v>
      </c>
      <c r="I5978" s="10" t="n">
        <v>88</v>
      </c>
      <c r="J5978" s="10" t="n">
        <v>0</v>
      </c>
      <c r="K5978" s="10" t="s">
        <v>20</v>
      </c>
      <c r="L5978" s="11" t="n">
        <v>40661.2427893519</v>
      </c>
      <c r="M5978" s="12" t="s">
        <v>13765</v>
      </c>
      <c r="N5978" s="12"/>
      <c r="O5978" s="9" t="str">
        <f aca="false">HYPERLINK("https://pbs.twimg.com/profile_images/913352225593942017/_cjJSgDn_normal.jpg","View")</f>
        <v>View</v>
      </c>
      <c r="P5978" s="10"/>
    </row>
    <row r="5979" customFormat="false" ht="15.75" hidden="false" customHeight="false" outlineLevel="0" collapsed="false">
      <c r="A5979" s="6" t="n">
        <v>43031.0061689815</v>
      </c>
      <c r="B5979" s="7" t="str">
        <f aca="false">HYPERLINK("https://twitter.com/DailySabah","@DailySabah")</f>
        <v>@DailySabah</v>
      </c>
      <c r="C5979" s="8" t="s">
        <v>2006</v>
      </c>
      <c r="D5979" s="8" t="s">
        <v>13766</v>
      </c>
      <c r="E5979" s="9" t="str">
        <f aca="false">HYPERLINK("https://twitter.com/DailySabah/status/922359152038612992","922359152038612992")</f>
        <v>922359152038612992</v>
      </c>
      <c r="F5979" s="10" t="s">
        <v>39</v>
      </c>
      <c r="G5979" s="10" t="n">
        <v>358845</v>
      </c>
      <c r="H5979" s="10" t="n">
        <v>6</v>
      </c>
      <c r="I5979" s="10" t="n">
        <v>9</v>
      </c>
      <c r="J5979" s="10" t="n">
        <v>9</v>
      </c>
      <c r="K5979" s="10" t="s">
        <v>20</v>
      </c>
      <c r="L5979" s="11" t="n">
        <v>41613.4639699074</v>
      </c>
      <c r="M5979" s="12" t="s">
        <v>2008</v>
      </c>
      <c r="N5979" s="12" t="s">
        <v>2009</v>
      </c>
      <c r="O5979" s="9" t="str">
        <f aca="false">HYPERLINK("https://pbs.twimg.com/profile_images/876030622166331392/1gZlP217_normal.jpg","View")</f>
        <v>View</v>
      </c>
      <c r="P5979" s="10"/>
    </row>
    <row r="5980" customFormat="false" ht="15.75" hidden="false" customHeight="false" outlineLevel="0" collapsed="false">
      <c r="A5980" s="6" t="n">
        <v>43031.0063425926</v>
      </c>
      <c r="B5980" s="7" t="str">
        <f aca="false">HYPERLINK("https://twitter.com/independpress","@independpress")</f>
        <v>@independpress</v>
      </c>
      <c r="C5980" s="8" t="s">
        <v>13767</v>
      </c>
      <c r="D5980" s="8" t="s">
        <v>13768</v>
      </c>
      <c r="E5980" s="9" t="str">
        <f aca="false">HYPERLINK("https://twitter.com/independpress/status/922359216144252928","922359216144252928")</f>
        <v>922359216144252928</v>
      </c>
      <c r="F5980" s="10" t="s">
        <v>60</v>
      </c>
      <c r="G5980" s="10" t="n">
        <v>85</v>
      </c>
      <c r="H5980" s="10" t="n">
        <v>12</v>
      </c>
      <c r="I5980" s="10" t="n">
        <v>0</v>
      </c>
      <c r="J5980" s="10" t="n">
        <v>0</v>
      </c>
      <c r="K5980" s="10" t="s">
        <v>20</v>
      </c>
      <c r="L5980" s="11" t="n">
        <v>42418.4241203704</v>
      </c>
      <c r="M5980" s="12" t="s">
        <v>13769</v>
      </c>
      <c r="N5980" s="12" t="s">
        <v>13770</v>
      </c>
      <c r="O5980" s="9" t="str">
        <f aca="false">HYPERLINK("https://pbs.twimg.com/profile_images/889285271941939201/sFm7jobG_normal.jpg","View")</f>
        <v>View</v>
      </c>
      <c r="P5980" s="10"/>
    </row>
    <row r="5981" customFormat="false" ht="15.75" hidden="false" customHeight="false" outlineLevel="0" collapsed="false">
      <c r="A5981" s="6" t="n">
        <v>43031.0063541667</v>
      </c>
      <c r="B5981" s="7" t="str">
        <f aca="false">HYPERLINK("https://twitter.com/musmanuttra786","@musmanuttra786")</f>
        <v>@musmanuttra786</v>
      </c>
      <c r="C5981" s="8" t="s">
        <v>13771</v>
      </c>
      <c r="D5981" s="8" t="s">
        <v>13772</v>
      </c>
      <c r="E5981" s="9" t="str">
        <f aca="false">HYPERLINK("https://twitter.com/musmanuttra786/status/922359220510560256","922359220510560256")</f>
        <v>922359220510560256</v>
      </c>
      <c r="F5981" s="10" t="s">
        <v>60</v>
      </c>
      <c r="G5981" s="10" t="n">
        <v>40</v>
      </c>
      <c r="H5981" s="10" t="n">
        <v>142</v>
      </c>
      <c r="I5981" s="10" t="n">
        <v>0</v>
      </c>
      <c r="J5981" s="10" t="n">
        <v>0</v>
      </c>
      <c r="K5981" s="10" t="s">
        <v>20</v>
      </c>
      <c r="L5981" s="11" t="n">
        <v>42871.0472685185</v>
      </c>
      <c r="M5981" s="12" t="s">
        <v>13773</v>
      </c>
      <c r="N5981" s="12" t="s">
        <v>13774</v>
      </c>
      <c r="O5981" s="9" t="str">
        <f aca="false">HYPERLINK("https://pbs.twimg.com/profile_images/916548680529870848/WFK70u0u_normal.jpg","View")</f>
        <v>View</v>
      </c>
      <c r="P5981" s="10"/>
    </row>
    <row r="5982" customFormat="false" ht="15.75" hidden="false" customHeight="false" outlineLevel="0" collapsed="false">
      <c r="A5982" s="6" t="n">
        <v>43031.0063657407</v>
      </c>
      <c r="B5982" s="7" t="str">
        <f aca="false">HYPERLINK("https://twitter.com/jurylady5","@jurylady5")</f>
        <v>@jurylady5</v>
      </c>
      <c r="C5982" s="8" t="s">
        <v>13676</v>
      </c>
      <c r="D5982" s="8" t="s">
        <v>13775</v>
      </c>
      <c r="E5982" s="9" t="str">
        <f aca="false">HYPERLINK("https://twitter.com/jurylady5/status/922359224155254784","922359224155254784")</f>
        <v>922359224155254784</v>
      </c>
      <c r="F5982" s="10" t="s">
        <v>1024</v>
      </c>
      <c r="G5982" s="10" t="n">
        <v>14478</v>
      </c>
      <c r="H5982" s="10" t="n">
        <v>15029</v>
      </c>
      <c r="I5982" s="10" t="n">
        <v>9</v>
      </c>
      <c r="J5982" s="10" t="n">
        <v>0</v>
      </c>
      <c r="K5982" s="10" t="s">
        <v>20</v>
      </c>
      <c r="L5982" s="11" t="n">
        <v>40877.8888425926</v>
      </c>
      <c r="M5982" s="12" t="s">
        <v>13678</v>
      </c>
      <c r="N5982" s="12" t="s">
        <v>13679</v>
      </c>
      <c r="O5982" s="9" t="str">
        <f aca="false">HYPERLINK("https://pbs.twimg.com/profile_images/1703995717/IMG00257-20110618-1653_normal.jpg","View")</f>
        <v>View</v>
      </c>
      <c r="P5982" s="10"/>
    </row>
    <row r="5983" customFormat="false" ht="15.75" hidden="false" customHeight="false" outlineLevel="0" collapsed="false">
      <c r="A5983" s="6" t="n">
        <v>43031.0066666667</v>
      </c>
      <c r="B5983" s="7" t="str">
        <f aca="false">HYPERLINK("https://twitter.com/marketstocknews","@marketstocknews")</f>
        <v>@marketstocknews</v>
      </c>
      <c r="C5983" s="8" t="s">
        <v>8543</v>
      </c>
      <c r="D5983" s="8" t="s">
        <v>13776</v>
      </c>
      <c r="E5983" s="9" t="str">
        <f aca="false">HYPERLINK("https://twitter.com/marketstocknews/status/922359334444720128","922359334444720128")</f>
        <v>922359334444720128</v>
      </c>
      <c r="F5983" s="10" t="s">
        <v>60</v>
      </c>
      <c r="G5983" s="10" t="n">
        <v>1159</v>
      </c>
      <c r="H5983" s="10" t="n">
        <v>865</v>
      </c>
      <c r="I5983" s="10" t="n">
        <v>0</v>
      </c>
      <c r="J5983" s="10" t="n">
        <v>0</v>
      </c>
      <c r="K5983" s="10" t="s">
        <v>20</v>
      </c>
      <c r="L5983" s="11" t="n">
        <v>41911.5685300926</v>
      </c>
      <c r="M5983" s="12"/>
      <c r="N5983" s="12" t="s">
        <v>8545</v>
      </c>
      <c r="O5983" s="9" t="str">
        <f aca="false">HYPERLINK("https://pbs.twimg.com/profile_images/659111213465382912/yfS3diNs_normal.jpg","View")</f>
        <v>View</v>
      </c>
      <c r="P5983" s="10"/>
    </row>
    <row r="5984" customFormat="false" ht="15.75" hidden="false" customHeight="false" outlineLevel="0" collapsed="false">
      <c r="A5984" s="6" t="n">
        <v>43031.0067476852</v>
      </c>
      <c r="B5984" s="7" t="str">
        <f aca="false">HYPERLINK("https://twitter.com/ItsBizbuz","@ItsBizbuz")</f>
        <v>@ItsBizbuz</v>
      </c>
      <c r="C5984" s="8" t="s">
        <v>13777</v>
      </c>
      <c r="D5984" s="8" t="s">
        <v>13661</v>
      </c>
      <c r="E5984" s="9" t="str">
        <f aca="false">HYPERLINK("https://twitter.com/ItsBizbuz/status/922359365381906432","922359365381906432")</f>
        <v>922359365381906432</v>
      </c>
      <c r="F5984" s="10" t="s">
        <v>39</v>
      </c>
      <c r="G5984" s="10" t="n">
        <v>321</v>
      </c>
      <c r="H5984" s="10" t="n">
        <v>2973</v>
      </c>
      <c r="I5984" s="10" t="n">
        <v>7</v>
      </c>
      <c r="J5984" s="10" t="n">
        <v>0</v>
      </c>
      <c r="K5984" s="10" t="s">
        <v>20</v>
      </c>
      <c r="L5984" s="11" t="n">
        <v>42025.6370949074</v>
      </c>
      <c r="M5984" s="12" t="s">
        <v>567</v>
      </c>
      <c r="N5984" s="12" t="s">
        <v>13778</v>
      </c>
      <c r="O5984" s="9" t="str">
        <f aca="false">HYPERLINK("https://pbs.twimg.com/profile_images/670950513266044928/-BKbQK4f_normal.jpg","View")</f>
        <v>View</v>
      </c>
      <c r="P5984" s="10"/>
    </row>
    <row r="5985" customFormat="false" ht="15.75" hidden="false" customHeight="false" outlineLevel="0" collapsed="false">
      <c r="A5985" s="6" t="n">
        <v>43031.0071759259</v>
      </c>
      <c r="B5985" s="7" t="str">
        <f aca="false">HYPERLINK("https://twitter.com/loudsoliloque","@loudsoliloque")</f>
        <v>@loudsoliloque</v>
      </c>
      <c r="C5985" s="8" t="s">
        <v>13779</v>
      </c>
      <c r="D5985" s="8" t="s">
        <v>13775</v>
      </c>
      <c r="E5985" s="9" t="str">
        <f aca="false">HYPERLINK("https://twitter.com/loudsoliloque/status/922359518637457408","922359518637457408")</f>
        <v>922359518637457408</v>
      </c>
      <c r="F5985" s="10" t="s">
        <v>25</v>
      </c>
      <c r="G5985" s="10" t="n">
        <v>4193</v>
      </c>
      <c r="H5985" s="10" t="n">
        <v>4988</v>
      </c>
      <c r="I5985" s="10" t="n">
        <v>9</v>
      </c>
      <c r="J5985" s="10" t="n">
        <v>0</v>
      </c>
      <c r="K5985" s="10" t="s">
        <v>20</v>
      </c>
      <c r="L5985" s="11" t="n">
        <v>41663.9553009259</v>
      </c>
      <c r="M5985" s="12" t="s">
        <v>13780</v>
      </c>
      <c r="N5985" s="12" t="s">
        <v>13781</v>
      </c>
      <c r="O5985" s="9" t="str">
        <f aca="false">HYPERLINK("https://pbs.twimg.com/profile_images/892048119751462912/ZCEIqA78_normal.jpg","View")</f>
        <v>View</v>
      </c>
      <c r="P5985" s="10"/>
    </row>
    <row r="5986" customFormat="false" ht="15.75" hidden="false" customHeight="false" outlineLevel="0" collapsed="false">
      <c r="A5986" s="6" t="n">
        <v>43031.0072800926</v>
      </c>
      <c r="B5986" s="7" t="str">
        <f aca="false">HYPERLINK("https://twitter.com/chrislammunism","@chrislammunism")</f>
        <v>@chrislammunism</v>
      </c>
      <c r="C5986" s="8" t="s">
        <v>13782</v>
      </c>
      <c r="D5986" s="8" t="s">
        <v>8538</v>
      </c>
      <c r="E5986" s="9" t="str">
        <f aca="false">HYPERLINK("https://twitter.com/chrislammunism/status/922359557518540800","922359557518540800")</f>
        <v>922359557518540800</v>
      </c>
      <c r="F5986" s="10" t="s">
        <v>25</v>
      </c>
      <c r="G5986" s="10" t="n">
        <v>16</v>
      </c>
      <c r="H5986" s="10" t="n">
        <v>100</v>
      </c>
      <c r="I5986" s="10" t="n">
        <v>1015</v>
      </c>
      <c r="J5986" s="10" t="n">
        <v>0</v>
      </c>
      <c r="K5986" s="10" t="s">
        <v>20</v>
      </c>
      <c r="L5986" s="11" t="n">
        <v>42983.3708101852</v>
      </c>
      <c r="M5986" s="12"/>
      <c r="N5986" s="12" t="s">
        <v>13783</v>
      </c>
      <c r="O5986" s="9" t="str">
        <f aca="false">HYPERLINK("https://pbs.twimg.com/profile_images/905100405683609600/PYJhojFD_normal.jpg","View")</f>
        <v>View</v>
      </c>
      <c r="P5986" s="10"/>
    </row>
    <row r="5987" customFormat="false" ht="15.75" hidden="false" customHeight="false" outlineLevel="0" collapsed="false">
      <c r="A5987" s="6" t="n">
        <v>43031.007337963</v>
      </c>
      <c r="B5987" s="7" t="str">
        <f aca="false">HYPERLINK("https://twitter.com/MichaelMichelno","@MichaelMichelno")</f>
        <v>@MichaelMichelno</v>
      </c>
      <c r="C5987" s="8" t="s">
        <v>13607</v>
      </c>
      <c r="D5987" s="8" t="s">
        <v>13775</v>
      </c>
      <c r="E5987" s="9" t="str">
        <f aca="false">HYPERLINK("https://twitter.com/MichaelMichelno/status/922359575269052416","922359575269052416")</f>
        <v>922359575269052416</v>
      </c>
      <c r="F5987" s="10" t="s">
        <v>25</v>
      </c>
      <c r="G5987" s="10" t="n">
        <v>170</v>
      </c>
      <c r="H5987" s="10" t="n">
        <v>214</v>
      </c>
      <c r="I5987" s="10" t="n">
        <v>9</v>
      </c>
      <c r="J5987" s="10" t="n">
        <v>0</v>
      </c>
      <c r="K5987" s="10" t="s">
        <v>20</v>
      </c>
      <c r="L5987" s="11" t="n">
        <v>42978.417650463</v>
      </c>
      <c r="M5987" s="12"/>
      <c r="N5987" s="12"/>
      <c r="O5987" s="9" t="str">
        <f aca="false">HYPERLINK("https://abs.twimg.com/sticky/default_profile_images/default_profile_normal.png","View")</f>
        <v>View</v>
      </c>
      <c r="P5987" s="10"/>
    </row>
    <row r="5988" customFormat="false" ht="15.75" hidden="false" customHeight="false" outlineLevel="0" collapsed="false">
      <c r="A5988" s="6" t="n">
        <v>43031.007349537</v>
      </c>
      <c r="B5988" s="7" t="str">
        <f aca="false">HYPERLINK("https://twitter.com/RealTimeHack","@RealTimeHack")</f>
        <v>@RealTimeHack</v>
      </c>
      <c r="C5988" s="8" t="s">
        <v>2422</v>
      </c>
      <c r="D5988" s="8" t="s">
        <v>13784</v>
      </c>
      <c r="E5988" s="9" t="str">
        <f aca="false">HYPERLINK("https://twitter.com/RealTimeHack/status/922359581925355520","922359581925355520")</f>
        <v>922359581925355520</v>
      </c>
      <c r="F5988" s="10" t="s">
        <v>60</v>
      </c>
      <c r="G5988" s="10" t="n">
        <v>2184</v>
      </c>
      <c r="H5988" s="10" t="n">
        <v>1282</v>
      </c>
      <c r="I5988" s="10" t="n">
        <v>0</v>
      </c>
      <c r="J5988" s="10" t="n">
        <v>0</v>
      </c>
      <c r="K5988" s="10" t="s">
        <v>20</v>
      </c>
      <c r="L5988" s="11" t="n">
        <v>40641.3992013889</v>
      </c>
      <c r="M5988" s="12" t="s">
        <v>2424</v>
      </c>
      <c r="N5988" s="12" t="s">
        <v>2425</v>
      </c>
      <c r="O5988" s="9" t="str">
        <f aca="false">HYPERLINK("https://pbs.twimg.com/profile_images/1304602852/Nuke_Egg_normal.gif","View")</f>
        <v>View</v>
      </c>
      <c r="P5988" s="10"/>
    </row>
    <row r="5989" customFormat="false" ht="15.75" hidden="false" customHeight="false" outlineLevel="0" collapsed="false">
      <c r="A5989" s="6" t="n">
        <v>43031.0073726852</v>
      </c>
      <c r="B5989" s="7" t="str">
        <f aca="false">HYPERLINK("https://twitter.com/BondGiorgio","@BondGiorgio")</f>
        <v>@BondGiorgio</v>
      </c>
      <c r="C5989" s="8" t="s">
        <v>13785</v>
      </c>
      <c r="D5989" s="8" t="s">
        <v>13786</v>
      </c>
      <c r="E5989" s="9" t="str">
        <f aca="false">HYPERLINK("https://twitter.com/BondGiorgio/status/922359590892851200","922359590892851200")</f>
        <v>922359590892851200</v>
      </c>
      <c r="F5989" s="10" t="s">
        <v>60</v>
      </c>
      <c r="G5989" s="10" t="n">
        <v>167</v>
      </c>
      <c r="H5989" s="10" t="n">
        <v>584</v>
      </c>
      <c r="I5989" s="10" t="n">
        <v>0</v>
      </c>
      <c r="J5989" s="10" t="n">
        <v>0</v>
      </c>
      <c r="K5989" s="10" t="s">
        <v>20</v>
      </c>
      <c r="L5989" s="11" t="n">
        <v>42803.6049421296</v>
      </c>
      <c r="M5989" s="12" t="s">
        <v>13787</v>
      </c>
      <c r="N5989" s="12" t="s">
        <v>13788</v>
      </c>
      <c r="O5989" s="9" t="str">
        <f aca="false">HYPERLINK("https://pbs.twimg.com/profile_images/877179622793908225/_Z1RKjBX_normal.jpg","View")</f>
        <v>View</v>
      </c>
      <c r="P5989" s="10"/>
    </row>
    <row r="5990" customFormat="false" ht="15.75" hidden="false" customHeight="false" outlineLevel="0" collapsed="false">
      <c r="A5990" s="6" t="n">
        <v>43031.0074305556</v>
      </c>
      <c r="B5990" s="7" t="str">
        <f aca="false">HYPERLINK("https://twitter.com/SiFuPeterson","@SiFuPeterson")</f>
        <v>@SiFuPeterson</v>
      </c>
      <c r="C5990" s="8" t="s">
        <v>13789</v>
      </c>
      <c r="D5990" s="8" t="s">
        <v>13790</v>
      </c>
      <c r="E5990" s="9" t="str">
        <f aca="false">HYPERLINK("https://twitter.com/SiFuPeterson/status/922359612442939392","922359612442939392")</f>
        <v>922359612442939392</v>
      </c>
      <c r="F5990" s="10" t="s">
        <v>39</v>
      </c>
      <c r="G5990" s="10" t="n">
        <v>1092</v>
      </c>
      <c r="H5990" s="10" t="n">
        <v>2230</v>
      </c>
      <c r="I5990" s="10" t="n">
        <v>0</v>
      </c>
      <c r="J5990" s="10" t="n">
        <v>0</v>
      </c>
      <c r="K5990" s="10" t="s">
        <v>20</v>
      </c>
      <c r="L5990" s="11" t="n">
        <v>40256.6134953704</v>
      </c>
      <c r="M5990" s="12"/>
      <c r="N5990" s="12"/>
      <c r="O5990" s="9" t="str">
        <f aca="false">HYPERLINK("https://pbs.twimg.com/profile_images/506259864885006336/Rm7G6uSz_normal.jpeg","View")</f>
        <v>View</v>
      </c>
      <c r="P5990" s="10"/>
    </row>
    <row r="5991" customFormat="false" ht="15.75" hidden="false" customHeight="false" outlineLevel="0" collapsed="false">
      <c r="A5991" s="6" t="n">
        <v>43031.0077777778</v>
      </c>
      <c r="B5991" s="7" t="str">
        <f aca="false">HYPERLINK("https://twitter.com/joelle_dewulf","@joelle_dewulf")</f>
        <v>@joelle_dewulf</v>
      </c>
      <c r="C5991" s="8" t="s">
        <v>13791</v>
      </c>
      <c r="D5991" s="8" t="s">
        <v>13792</v>
      </c>
      <c r="E5991" s="9" t="str">
        <f aca="false">HYPERLINK("https://twitter.com/joelle_dewulf/status/922359737848684545","922359737848684545")</f>
        <v>922359737848684545</v>
      </c>
      <c r="F5991" s="10" t="s">
        <v>60</v>
      </c>
      <c r="G5991" s="10" t="n">
        <v>148</v>
      </c>
      <c r="H5991" s="10" t="n">
        <v>22</v>
      </c>
      <c r="I5991" s="10" t="n">
        <v>0</v>
      </c>
      <c r="J5991" s="10" t="n">
        <v>0</v>
      </c>
      <c r="K5991" s="10" t="s">
        <v>20</v>
      </c>
      <c r="L5991" s="11" t="n">
        <v>41681.017337963</v>
      </c>
      <c r="M5991" s="12" t="s">
        <v>13793</v>
      </c>
      <c r="N5991" s="12"/>
      <c r="O5991" s="9" t="str">
        <f aca="false">HYPERLINK("https://pbs.twimg.com/profile_images/433155056947326976/EK3BEwMu_normal.jpeg","View")</f>
        <v>View</v>
      </c>
      <c r="P5991" s="10"/>
    </row>
    <row r="5992" customFormat="false" ht="15.75" hidden="false" customHeight="false" outlineLevel="0" collapsed="false">
      <c r="A5992" s="6" t="n">
        <v>43031.0079976852</v>
      </c>
      <c r="B5992" s="7" t="str">
        <f aca="false">HYPERLINK("https://twitter.com/RealTimeHack","@RealTimeHack")</f>
        <v>@RealTimeHack</v>
      </c>
      <c r="C5992" s="8" t="s">
        <v>2422</v>
      </c>
      <c r="D5992" s="8" t="s">
        <v>2811</v>
      </c>
      <c r="E5992" s="9" t="str">
        <f aca="false">HYPERLINK("https://twitter.com/RealTimeHack/status/922359818106691584","922359818106691584")</f>
        <v>922359818106691584</v>
      </c>
      <c r="F5992" s="10" t="s">
        <v>60</v>
      </c>
      <c r="G5992" s="10" t="n">
        <v>2184</v>
      </c>
      <c r="H5992" s="10" t="n">
        <v>1282</v>
      </c>
      <c r="I5992" s="10" t="n">
        <v>0</v>
      </c>
      <c r="J5992" s="10" t="n">
        <v>0</v>
      </c>
      <c r="K5992" s="10" t="s">
        <v>20</v>
      </c>
      <c r="L5992" s="11" t="n">
        <v>40641.3992013889</v>
      </c>
      <c r="M5992" s="12" t="s">
        <v>2424</v>
      </c>
      <c r="N5992" s="12" t="s">
        <v>2425</v>
      </c>
      <c r="O5992" s="9" t="str">
        <f aca="false">HYPERLINK("https://pbs.twimg.com/profile_images/1304602852/Nuke_Egg_normal.gif","View")</f>
        <v>View</v>
      </c>
      <c r="P5992" s="10"/>
    </row>
    <row r="5993" customFormat="false" ht="15.75" hidden="false" customHeight="false" outlineLevel="0" collapsed="false">
      <c r="A5993" s="6" t="n">
        <v>43031.0080902778</v>
      </c>
      <c r="B5993" s="7" t="str">
        <f aca="false">HYPERLINK("https://twitter.com/Soy_Eleazar","@Soy_Eleazar")</f>
        <v>@Soy_Eleazar</v>
      </c>
      <c r="C5993" s="8" t="s">
        <v>13794</v>
      </c>
      <c r="D5993" s="8" t="s">
        <v>13595</v>
      </c>
      <c r="E5993" s="9" t="str">
        <f aca="false">HYPERLINK("https://twitter.com/Soy_Eleazar/status/922359850495021056","922359850495021056")</f>
        <v>922359850495021056</v>
      </c>
      <c r="F5993" s="10" t="s">
        <v>25</v>
      </c>
      <c r="G5993" s="10" t="n">
        <v>1912</v>
      </c>
      <c r="H5993" s="10" t="n">
        <v>3526</v>
      </c>
      <c r="I5993" s="10" t="n">
        <v>88</v>
      </c>
      <c r="J5993" s="10" t="n">
        <v>0</v>
      </c>
      <c r="K5993" s="10" t="s">
        <v>20</v>
      </c>
      <c r="L5993" s="11" t="n">
        <v>40998.8093981482</v>
      </c>
      <c r="M5993" s="12" t="s">
        <v>13795</v>
      </c>
      <c r="N5993" s="12" t="s">
        <v>13796</v>
      </c>
      <c r="O5993" s="9" t="str">
        <f aca="false">HYPERLINK("https://pbs.twimg.com/profile_images/482513943148376064/IMsjyBq1_normal.jpeg","View")</f>
        <v>View</v>
      </c>
      <c r="P5993" s="10"/>
    </row>
    <row r="5994" customFormat="false" ht="15.75" hidden="false" customHeight="false" outlineLevel="0" collapsed="false">
      <c r="A5994" s="6" t="n">
        <v>43031.0081134259</v>
      </c>
      <c r="B5994" s="7" t="str">
        <f aca="false">HYPERLINK("https://twitter.com/RikusMellet","@RikusMellet")</f>
        <v>@RikusMellet</v>
      </c>
      <c r="C5994" s="8" t="s">
        <v>13797</v>
      </c>
      <c r="D5994" s="8" t="s">
        <v>13798</v>
      </c>
      <c r="E5994" s="9" t="str">
        <f aca="false">HYPERLINK("https://twitter.com/RikusMellet/status/922359860204883968","922359860204883968")</f>
        <v>922359860204883968</v>
      </c>
      <c r="F5994" s="10" t="s">
        <v>39</v>
      </c>
      <c r="G5994" s="10" t="n">
        <v>2316</v>
      </c>
      <c r="H5994" s="10" t="n">
        <v>1619</v>
      </c>
      <c r="I5994" s="10" t="n">
        <v>0</v>
      </c>
      <c r="J5994" s="10" t="n">
        <v>0</v>
      </c>
      <c r="K5994" s="10" t="s">
        <v>20</v>
      </c>
      <c r="L5994" s="11" t="n">
        <v>40934.2581134259</v>
      </c>
      <c r="M5994" s="12" t="s">
        <v>13799</v>
      </c>
      <c r="N5994" s="12" t="s">
        <v>13800</v>
      </c>
      <c r="O5994" s="9" t="str">
        <f aca="false">HYPERLINK("https://pbs.twimg.com/profile_images/550689067499651075/0hk_Sdez_normal.jpeg","View")</f>
        <v>View</v>
      </c>
      <c r="P5994" s="10"/>
    </row>
    <row r="5995" customFormat="false" ht="15.75" hidden="false" customHeight="false" outlineLevel="0" collapsed="false">
      <c r="A5995" s="6" t="n">
        <v>43031.008599537</v>
      </c>
      <c r="B5995" s="7" t="str">
        <f aca="false">HYPERLINK("https://twitter.com/malikusmanuttra","@malikusmanuttra")</f>
        <v>@malikusmanuttra</v>
      </c>
      <c r="C5995" s="8" t="s">
        <v>389</v>
      </c>
      <c r="D5995" s="8" t="s">
        <v>13801</v>
      </c>
      <c r="E5995" s="9" t="str">
        <f aca="false">HYPERLINK("https://twitter.com/malikusmanuttra/status/922360035434475520","922360035434475520")</f>
        <v>922360035434475520</v>
      </c>
      <c r="F5995" s="10" t="s">
        <v>60</v>
      </c>
      <c r="G5995" s="10" t="n">
        <v>146</v>
      </c>
      <c r="H5995" s="10" t="n">
        <v>97</v>
      </c>
      <c r="I5995" s="10" t="n">
        <v>0</v>
      </c>
      <c r="J5995" s="10" t="n">
        <v>0</v>
      </c>
      <c r="K5995" s="10" t="s">
        <v>20</v>
      </c>
      <c r="L5995" s="11" t="n">
        <v>40945.3643634259</v>
      </c>
      <c r="M5995" s="12" t="s">
        <v>391</v>
      </c>
      <c r="N5995" s="12"/>
      <c r="O5995" s="9" t="str">
        <f aca="false">HYPERLINK("https://pbs.twimg.com/profile_images/869684834305757185/xNXedffd_normal.jpg","View")</f>
        <v>View</v>
      </c>
      <c r="P5995" s="10"/>
    </row>
    <row r="5996" customFormat="false" ht="15.75" hidden="false" customHeight="false" outlineLevel="0" collapsed="false">
      <c r="A5996" s="6" t="n">
        <v>43031.0088773148</v>
      </c>
      <c r="B5996" s="7" t="str">
        <f aca="false">HYPERLINK("https://twitter.com/helenyg","@helenyg")</f>
        <v>@helenyg</v>
      </c>
      <c r="C5996" s="8" t="s">
        <v>3108</v>
      </c>
      <c r="D5996" s="8" t="s">
        <v>13802</v>
      </c>
      <c r="E5996" s="9" t="str">
        <f aca="false">HYPERLINK("https://twitter.com/helenyg/status/922360133061050368","922360133061050368")</f>
        <v>922360133061050368</v>
      </c>
      <c r="F5996" s="10" t="s">
        <v>51</v>
      </c>
      <c r="G5996" s="10" t="n">
        <v>16161</v>
      </c>
      <c r="H5996" s="10" t="n">
        <v>12151</v>
      </c>
      <c r="I5996" s="10" t="n">
        <v>0</v>
      </c>
      <c r="J5996" s="10" t="n">
        <v>0</v>
      </c>
      <c r="K5996" s="10" t="s">
        <v>20</v>
      </c>
      <c r="L5996" s="11" t="n">
        <v>39867.644212963</v>
      </c>
      <c r="M5996" s="12" t="s">
        <v>3110</v>
      </c>
      <c r="N5996" s="12" t="s">
        <v>3111</v>
      </c>
      <c r="O5996" s="9" t="str">
        <f aca="false">HYPERLINK("https://pbs.twimg.com/profile_images/892043485901180929/FaysL7Ok_normal.jpg","View")</f>
        <v>View</v>
      </c>
      <c r="P5996" s="10"/>
    </row>
    <row r="5997" customFormat="false" ht="15.75" hidden="false" customHeight="false" outlineLevel="0" collapsed="false">
      <c r="A5997" s="6" t="n">
        <v>43031.0091203704</v>
      </c>
      <c r="B5997" s="7" t="str">
        <f aca="false">HYPERLINK("https://twitter.com/hansoconner1","@hansoconner1")</f>
        <v>@hansoconner1</v>
      </c>
      <c r="C5997" s="8" t="s">
        <v>13743</v>
      </c>
      <c r="D5997" s="8" t="s">
        <v>12764</v>
      </c>
      <c r="E5997" s="9" t="str">
        <f aca="false">HYPERLINK("https://twitter.com/hansoconner1/status/922360221871288321","922360221871288321")</f>
        <v>922360221871288321</v>
      </c>
      <c r="F5997" s="10" t="s">
        <v>1017</v>
      </c>
      <c r="G5997" s="10" t="n">
        <v>36</v>
      </c>
      <c r="H5997" s="10" t="n">
        <v>19</v>
      </c>
      <c r="I5997" s="10" t="n">
        <v>170</v>
      </c>
      <c r="J5997" s="10" t="n">
        <v>0</v>
      </c>
      <c r="K5997" s="10" t="s">
        <v>20</v>
      </c>
      <c r="L5997" s="11" t="n">
        <v>42123.5949884259</v>
      </c>
      <c r="M5997" s="12" t="s">
        <v>13744</v>
      </c>
      <c r="N5997" s="12"/>
      <c r="O5997" s="9" t="str">
        <f aca="false">HYPERLINK("https://pbs.twimg.com/profile_images/593526232387457024/0QGxgk5A_normal.jpg","View")</f>
        <v>View</v>
      </c>
      <c r="P5997" s="10"/>
    </row>
    <row r="5998" customFormat="false" ht="15.75" hidden="false" customHeight="false" outlineLevel="0" collapsed="false">
      <c r="A5998" s="6" t="n">
        <v>43031.0092939815</v>
      </c>
      <c r="B5998" s="7" t="str">
        <f aca="false">HYPERLINK("https://twitter.com/MiloCohen11","@MiloCohen11")</f>
        <v>@MiloCohen11</v>
      </c>
      <c r="C5998" s="8" t="s">
        <v>13803</v>
      </c>
      <c r="D5998" s="8" t="s">
        <v>13804</v>
      </c>
      <c r="E5998" s="9" t="str">
        <f aca="false">HYPERLINK("https://twitter.com/MiloCohen11/status/922360285456928768","922360285456928768")</f>
        <v>922360285456928768</v>
      </c>
      <c r="F5998" s="10" t="s">
        <v>60</v>
      </c>
      <c r="G5998" s="10" t="n">
        <v>128</v>
      </c>
      <c r="H5998" s="10" t="n">
        <v>592</v>
      </c>
      <c r="I5998" s="10" t="n">
        <v>0</v>
      </c>
      <c r="J5998" s="10" t="n">
        <v>0</v>
      </c>
      <c r="K5998" s="10" t="s">
        <v>20</v>
      </c>
      <c r="L5998" s="11" t="n">
        <v>43016.5320949074</v>
      </c>
      <c r="M5998" s="12"/>
      <c r="N5998" s="12" t="s">
        <v>13805</v>
      </c>
      <c r="O5998" s="9" t="str">
        <f aca="false">HYPERLINK("https://pbs.twimg.com/profile_images/917140585307402240/at9Oe5q5_normal.jpg","View")</f>
        <v>View</v>
      </c>
      <c r="P5998" s="10"/>
    </row>
    <row r="5999" customFormat="false" ht="15.75" hidden="false" customHeight="false" outlineLevel="0" collapsed="false">
      <c r="A5999" s="6" t="n">
        <v>43031.0093518519</v>
      </c>
      <c r="B5999" s="7" t="str">
        <f aca="false">HYPERLINK("https://twitter.com/lzomedia","@lzomedia")</f>
        <v>@lzomedia</v>
      </c>
      <c r="C5999" s="8" t="s">
        <v>13806</v>
      </c>
      <c r="D5999" s="8" t="s">
        <v>13807</v>
      </c>
      <c r="E5999" s="9" t="str">
        <f aca="false">HYPERLINK("https://twitter.com/lzomedia/status/922360308387246080","922360308387246080")</f>
        <v>922360308387246080</v>
      </c>
      <c r="F5999" s="10" t="s">
        <v>60</v>
      </c>
      <c r="G5999" s="10" t="n">
        <v>409</v>
      </c>
      <c r="H5999" s="10" t="n">
        <v>980</v>
      </c>
      <c r="I5999" s="10" t="n">
        <v>0</v>
      </c>
      <c r="J5999" s="10" t="n">
        <v>0</v>
      </c>
      <c r="K5999" s="10" t="s">
        <v>20</v>
      </c>
      <c r="L5999" s="11" t="n">
        <v>39939.1940046296</v>
      </c>
      <c r="M5999" s="12" t="s">
        <v>12933</v>
      </c>
      <c r="N5999" s="12" t="s">
        <v>13808</v>
      </c>
      <c r="O5999" s="9" t="str">
        <f aca="false">HYPERLINK("https://pbs.twimg.com/profile_images/773104511380557824/788GlxeU_normal.jpg","View")</f>
        <v>View</v>
      </c>
      <c r="P5999" s="10"/>
    </row>
    <row r="6000" customFormat="false" ht="15.75" hidden="false" customHeight="false" outlineLevel="0" collapsed="false">
      <c r="A6000" s="6" t="n">
        <v>43031.0097337963</v>
      </c>
      <c r="B6000" s="7" t="str">
        <f aca="false">HYPERLINK("https://twitter.com/joe_luka","@joe_luka")</f>
        <v>@joe_luka</v>
      </c>
      <c r="C6000" s="8" t="s">
        <v>13809</v>
      </c>
      <c r="D6000" s="8" t="s">
        <v>13595</v>
      </c>
      <c r="E6000" s="9" t="str">
        <f aca="false">HYPERLINK("https://twitter.com/joe_luka/status/922360443691155457","922360443691155457")</f>
        <v>922360443691155457</v>
      </c>
      <c r="F6000" s="10" t="s">
        <v>25</v>
      </c>
      <c r="G6000" s="10" t="n">
        <v>562</v>
      </c>
      <c r="H6000" s="10" t="n">
        <v>540</v>
      </c>
      <c r="I6000" s="10" t="n">
        <v>88</v>
      </c>
      <c r="J6000" s="10" t="n">
        <v>0</v>
      </c>
      <c r="K6000" s="10" t="s">
        <v>20</v>
      </c>
      <c r="L6000" s="11" t="n">
        <v>39850.9050231482</v>
      </c>
      <c r="M6000" s="12"/>
      <c r="N6000" s="12" t="s">
        <v>13810</v>
      </c>
      <c r="O6000" s="9" t="str">
        <f aca="false">HYPERLINK("https://pbs.twimg.com/profile_images/915113973283827712/_cio02he_normal.jpg","View")</f>
        <v>View</v>
      </c>
      <c r="P6000" s="10"/>
    </row>
    <row r="6001" customFormat="false" ht="15.75" hidden="false" customHeight="false" outlineLevel="0" collapsed="false">
      <c r="A6001" s="6" t="n">
        <v>43031.0101041667</v>
      </c>
      <c r="B6001" s="7" t="str">
        <f aca="false">HYPERLINK("https://twitter.com/HariyaneKaChora","@HariyaneKaChora")</f>
        <v>@HariyaneKaChora</v>
      </c>
      <c r="C6001" s="8" t="s">
        <v>13811</v>
      </c>
      <c r="D6001" s="8" t="s">
        <v>8538</v>
      </c>
      <c r="E6001" s="9" t="str">
        <f aca="false">HYPERLINK("https://twitter.com/HariyaneKaChora/status/922360580060704768","922360580060704768")</f>
        <v>922360580060704768</v>
      </c>
      <c r="F6001" s="10" t="s">
        <v>25</v>
      </c>
      <c r="G6001" s="10" t="n">
        <v>673</v>
      </c>
      <c r="H6001" s="10" t="n">
        <v>456</v>
      </c>
      <c r="I6001" s="10" t="n">
        <v>1015</v>
      </c>
      <c r="J6001" s="10" t="n">
        <v>0</v>
      </c>
      <c r="K6001" s="10" t="s">
        <v>20</v>
      </c>
      <c r="L6001" s="11" t="n">
        <v>39954.2325462963</v>
      </c>
      <c r="M6001" s="12"/>
      <c r="N6001" s="12" t="s">
        <v>13812</v>
      </c>
      <c r="O6001" s="9" t="str">
        <f aca="false">HYPERLINK("https://pbs.twimg.com/profile_images/838429336583602176/NNQXdVkH_normal.jpg","View")</f>
        <v>View</v>
      </c>
      <c r="P6001" s="10"/>
    </row>
    <row r="6002" customFormat="false" ht="15.75" hidden="false" customHeight="false" outlineLevel="0" collapsed="false">
      <c r="A6002" s="6" t="n">
        <v>43031.0117824074</v>
      </c>
      <c r="B6002" s="7" t="str">
        <f aca="false">HYPERLINK("https://twitter.com/cdeka678","@cdeka678")</f>
        <v>@cdeka678</v>
      </c>
      <c r="C6002" s="8" t="s">
        <v>12990</v>
      </c>
      <c r="D6002" s="8" t="s">
        <v>13813</v>
      </c>
      <c r="E6002" s="9" t="str">
        <f aca="false">HYPERLINK("https://twitter.com/cdeka678/status/922361189316939776","922361189316939776")</f>
        <v>922361189316939776</v>
      </c>
      <c r="F6002" s="10" t="s">
        <v>98</v>
      </c>
      <c r="G6002" s="10" t="n">
        <v>3535</v>
      </c>
      <c r="H6002" s="10" t="n">
        <v>3425</v>
      </c>
      <c r="I6002" s="10" t="n">
        <v>2</v>
      </c>
      <c r="J6002" s="10" t="n">
        <v>0</v>
      </c>
      <c r="K6002" s="10" t="s">
        <v>20</v>
      </c>
      <c r="L6002" s="11" t="n">
        <v>42208.8880902778</v>
      </c>
      <c r="M6002" s="12" t="s">
        <v>12992</v>
      </c>
      <c r="N6002" s="12" t="s">
        <v>12993</v>
      </c>
      <c r="O6002" s="9" t="str">
        <f aca="false">HYPERLINK("https://pbs.twimg.com/profile_images/842333707641880576/ZS2_lbZB_normal.jpg","View")</f>
        <v>View</v>
      </c>
      <c r="P6002" s="10"/>
    </row>
    <row r="6003" customFormat="false" ht="15.75" hidden="false" customHeight="false" outlineLevel="0" collapsed="false">
      <c r="A6003" s="6" t="n">
        <v>43031.0118287037</v>
      </c>
      <c r="B6003" s="7" t="str">
        <f aca="false">HYPERLINK("https://twitter.com/BDrexhage","@BDrexhage")</f>
        <v>@BDrexhage</v>
      </c>
      <c r="C6003" s="8" t="s">
        <v>13814</v>
      </c>
      <c r="D6003" s="8" t="s">
        <v>13595</v>
      </c>
      <c r="E6003" s="9" t="str">
        <f aca="false">HYPERLINK("https://twitter.com/BDrexhage/status/922361203187437568","922361203187437568")</f>
        <v>922361203187437568</v>
      </c>
      <c r="F6003" s="10" t="s">
        <v>276</v>
      </c>
      <c r="G6003" s="10" t="n">
        <v>440</v>
      </c>
      <c r="H6003" s="10" t="n">
        <v>964</v>
      </c>
      <c r="I6003" s="10" t="n">
        <v>88</v>
      </c>
      <c r="J6003" s="10" t="n">
        <v>0</v>
      </c>
      <c r="K6003" s="10" t="s">
        <v>20</v>
      </c>
      <c r="L6003" s="11" t="n">
        <v>40851.3422453704</v>
      </c>
      <c r="M6003" s="12" t="s">
        <v>6466</v>
      </c>
      <c r="N6003" s="12" t="s">
        <v>13815</v>
      </c>
      <c r="O6003" s="9" t="str">
        <f aca="false">HYPERLINK("https://pbs.twimg.com/profile_images/713878818503725056/qjRZYndM_normal.jpg","View")</f>
        <v>View</v>
      </c>
      <c r="P6003" s="10"/>
    </row>
    <row r="6004" customFormat="false" ht="15.75" hidden="false" customHeight="false" outlineLevel="0" collapsed="false">
      <c r="A6004" s="6" t="n">
        <v>43031.0118865741</v>
      </c>
      <c r="B6004" s="7" t="str">
        <f aca="false">HYPERLINK("https://twitter.com/TAMarnegie","@TAMarnegie")</f>
        <v>@TAMarnegie</v>
      </c>
      <c r="C6004" s="8" t="s">
        <v>13177</v>
      </c>
      <c r="D6004" s="8" t="s">
        <v>13595</v>
      </c>
      <c r="E6004" s="9" t="str">
        <f aca="false">HYPERLINK("https://twitter.com/TAMarnegie/status/922361225685622784","922361225685622784")</f>
        <v>922361225685622784</v>
      </c>
      <c r="F6004" s="10" t="s">
        <v>177</v>
      </c>
      <c r="G6004" s="10" t="n">
        <v>123</v>
      </c>
      <c r="H6004" s="10" t="n">
        <v>312</v>
      </c>
      <c r="I6004" s="10" t="n">
        <v>88</v>
      </c>
      <c r="J6004" s="10" t="n">
        <v>0</v>
      </c>
      <c r="K6004" s="10" t="s">
        <v>20</v>
      </c>
      <c r="L6004" s="11" t="n">
        <v>42483.3540393519</v>
      </c>
      <c r="M6004" s="12" t="s">
        <v>13178</v>
      </c>
      <c r="N6004" s="12" t="s">
        <v>13179</v>
      </c>
      <c r="O6004" s="9" t="str">
        <f aca="false">HYPERLINK("https://pbs.twimg.com/profile_images/723982906763317254/k7aWdO0N_normal.jpg","View")</f>
        <v>View</v>
      </c>
      <c r="P6004" s="10"/>
    </row>
    <row r="6005" customFormat="false" ht="15.75" hidden="false" customHeight="false" outlineLevel="0" collapsed="false">
      <c r="A6005" s="6" t="n">
        <v>43031.0120023148</v>
      </c>
      <c r="B6005" s="7" t="str">
        <f aca="false">HYPERLINK("https://twitter.com/guzlomi","@guzlomi")</f>
        <v>@guzlomi</v>
      </c>
      <c r="C6005" s="8" t="s">
        <v>13816</v>
      </c>
      <c r="D6005" s="8" t="s">
        <v>13741</v>
      </c>
      <c r="E6005" s="9" t="str">
        <f aca="false">HYPERLINK("https://twitter.com/guzlomi/status/922361265980346369","922361265980346369")</f>
        <v>922361265980346369</v>
      </c>
      <c r="F6005" s="10" t="s">
        <v>51</v>
      </c>
      <c r="G6005" s="10" t="n">
        <v>675</v>
      </c>
      <c r="H6005" s="10" t="n">
        <v>1113</v>
      </c>
      <c r="I6005" s="10" t="n">
        <v>17</v>
      </c>
      <c r="J6005" s="10" t="n">
        <v>0</v>
      </c>
      <c r="K6005" s="10" t="s">
        <v>20</v>
      </c>
      <c r="L6005" s="11" t="n">
        <v>41911.3564814815</v>
      </c>
      <c r="M6005" s="12" t="s">
        <v>1126</v>
      </c>
      <c r="N6005" s="12" t="s">
        <v>13817</v>
      </c>
      <c r="O6005" s="9" t="str">
        <f aca="false">HYPERLINK("https://pbs.twimg.com/profile_images/630762414137581568/MHH97iqc_normal.png","View")</f>
        <v>View</v>
      </c>
      <c r="P6005" s="10"/>
    </row>
    <row r="6006" customFormat="false" ht="15.75" hidden="false" customHeight="false" outlineLevel="0" collapsed="false">
      <c r="A6006" s="6" t="n">
        <v>43031.0122916667</v>
      </c>
      <c r="B6006" s="7" t="str">
        <f aca="false">HYPERLINK("https://twitter.com/kuldeeptomer","@kuldeeptomer")</f>
        <v>@kuldeeptomer</v>
      </c>
      <c r="C6006" s="8" t="s">
        <v>13818</v>
      </c>
      <c r="D6006" s="8" t="s">
        <v>8538</v>
      </c>
      <c r="E6006" s="9" t="str">
        <f aca="false">HYPERLINK("https://twitter.com/kuldeeptomer/status/922361370762362880","922361370762362880")</f>
        <v>922361370762362880</v>
      </c>
      <c r="F6006" s="10" t="s">
        <v>39</v>
      </c>
      <c r="G6006" s="10" t="n">
        <v>107</v>
      </c>
      <c r="H6006" s="10" t="n">
        <v>41</v>
      </c>
      <c r="I6006" s="10" t="n">
        <v>1015</v>
      </c>
      <c r="J6006" s="10" t="n">
        <v>0</v>
      </c>
      <c r="K6006" s="10" t="s">
        <v>20</v>
      </c>
      <c r="L6006" s="11" t="n">
        <v>40164.1218055556</v>
      </c>
      <c r="M6006" s="12" t="s">
        <v>64</v>
      </c>
      <c r="N6006" s="12" t="s">
        <v>13819</v>
      </c>
      <c r="O6006" s="9" t="str">
        <f aca="false">HYPERLINK("https://pbs.twimg.com/profile_images/648206812085383168/l_yQn1N6_normal.jpg","View")</f>
        <v>View</v>
      </c>
      <c r="P6006" s="10"/>
    </row>
    <row r="6007" customFormat="false" ht="15.75" hidden="false" customHeight="false" outlineLevel="0" collapsed="false">
      <c r="A6007" s="6" t="n">
        <v>43031.0125231482</v>
      </c>
      <c r="B6007" s="7" t="str">
        <f aca="false">HYPERLINK("https://twitter.com/mods_panda","@mods_panda")</f>
        <v>@mods_panda</v>
      </c>
      <c r="C6007" s="8" t="s">
        <v>13820</v>
      </c>
      <c r="D6007" s="8" t="s">
        <v>13595</v>
      </c>
      <c r="E6007" s="9" t="str">
        <f aca="false">HYPERLINK("https://twitter.com/mods_panda/status/922361455453851648","922361455453851648")</f>
        <v>922361455453851648</v>
      </c>
      <c r="F6007" s="10" t="s">
        <v>51</v>
      </c>
      <c r="G6007" s="10" t="n">
        <v>31</v>
      </c>
      <c r="H6007" s="10" t="n">
        <v>210</v>
      </c>
      <c r="I6007" s="10" t="n">
        <v>88</v>
      </c>
      <c r="J6007" s="10" t="n">
        <v>0</v>
      </c>
      <c r="K6007" s="10" t="s">
        <v>20</v>
      </c>
      <c r="L6007" s="11" t="n">
        <v>42838.4249537037</v>
      </c>
      <c r="M6007" s="17" t="s">
        <v>13821</v>
      </c>
      <c r="N6007" s="12" t="s">
        <v>13822</v>
      </c>
      <c r="O6007" s="9" t="str">
        <f aca="false">HYPERLINK("https://pbs.twimg.com/profile_images/852575224998637569/0a0QeZYL_normal.jpg","View")</f>
        <v>View</v>
      </c>
      <c r="P6007" s="10"/>
    </row>
    <row r="6008" customFormat="false" ht="15.75" hidden="false" customHeight="false" outlineLevel="0" collapsed="false">
      <c r="A6008" s="6" t="n">
        <v>43031.0125347222</v>
      </c>
      <c r="B6008" s="7" t="str">
        <f aca="false">HYPERLINK("https://twitter.com/asuka_250","@asuka_250")</f>
        <v>@asuka_250</v>
      </c>
      <c r="C6008" s="8" t="s">
        <v>1235</v>
      </c>
      <c r="D6008" s="8" t="s">
        <v>13595</v>
      </c>
      <c r="E6008" s="9" t="str">
        <f aca="false">HYPERLINK("https://twitter.com/asuka_250/status/922361460843364352","922361460843364352")</f>
        <v>922361460843364352</v>
      </c>
      <c r="F6008" s="10" t="s">
        <v>25</v>
      </c>
      <c r="G6008" s="10" t="n">
        <v>30709</v>
      </c>
      <c r="H6008" s="10" t="n">
        <v>30516</v>
      </c>
      <c r="I6008" s="10" t="n">
        <v>88</v>
      </c>
      <c r="J6008" s="10" t="n">
        <v>0</v>
      </c>
      <c r="K6008" s="10" t="s">
        <v>20</v>
      </c>
      <c r="L6008" s="11" t="n">
        <v>41943.1724768519</v>
      </c>
      <c r="M6008" s="12" t="s">
        <v>186</v>
      </c>
      <c r="N6008" s="12" t="s">
        <v>1236</v>
      </c>
      <c r="O6008" s="9" t="str">
        <f aca="false">HYPERLINK("https://pbs.twimg.com/profile_images/576284037486014464/dhYtI1qZ_normal.jpeg","View")</f>
        <v>View</v>
      </c>
      <c r="P6008" s="10"/>
    </row>
    <row r="6009" customFormat="false" ht="15.75" hidden="false" customHeight="false" outlineLevel="0" collapsed="false">
      <c r="A6009" s="6" t="n">
        <v>43031.0126041667</v>
      </c>
      <c r="B6009" s="7" t="str">
        <f aca="false">HYPERLINK("https://twitter.com/asuka_250","@asuka_250")</f>
        <v>@asuka_250</v>
      </c>
      <c r="C6009" s="8" t="s">
        <v>1235</v>
      </c>
      <c r="D6009" s="8" t="s">
        <v>12764</v>
      </c>
      <c r="E6009" s="9" t="str">
        <f aca="false">HYPERLINK("https://twitter.com/asuka_250/status/922361484197339136","922361484197339136")</f>
        <v>922361484197339136</v>
      </c>
      <c r="F6009" s="10" t="s">
        <v>25</v>
      </c>
      <c r="G6009" s="10" t="n">
        <v>30709</v>
      </c>
      <c r="H6009" s="10" t="n">
        <v>30516</v>
      </c>
      <c r="I6009" s="10" t="n">
        <v>170</v>
      </c>
      <c r="J6009" s="10" t="n">
        <v>0</v>
      </c>
      <c r="K6009" s="10" t="s">
        <v>20</v>
      </c>
      <c r="L6009" s="11" t="n">
        <v>41943.1724768519</v>
      </c>
      <c r="M6009" s="12" t="s">
        <v>186</v>
      </c>
      <c r="N6009" s="12" t="s">
        <v>1236</v>
      </c>
      <c r="O6009" s="9" t="str">
        <f aca="false">HYPERLINK("https://pbs.twimg.com/profile_images/576284037486014464/dhYtI1qZ_normal.jpeg","View")</f>
        <v>View</v>
      </c>
      <c r="P6009" s="10"/>
    </row>
    <row r="6010" customFormat="false" ht="15.75" hidden="false" customHeight="false" outlineLevel="0" collapsed="false">
      <c r="A6010" s="6" t="n">
        <v>43031.0126388889</v>
      </c>
      <c r="B6010" s="7" t="str">
        <f aca="false">HYPERLINK("https://twitter.com/sugnanags","@sugnanags")</f>
        <v>@sugnanags</v>
      </c>
      <c r="C6010" s="8" t="s">
        <v>13823</v>
      </c>
      <c r="D6010" s="8" t="s">
        <v>8538</v>
      </c>
      <c r="E6010" s="9" t="str">
        <f aca="false">HYPERLINK("https://twitter.com/sugnanags/status/922361498587906048","922361498587906048")</f>
        <v>922361498587906048</v>
      </c>
      <c r="F6010" s="10" t="s">
        <v>25</v>
      </c>
      <c r="G6010" s="10" t="n">
        <v>180</v>
      </c>
      <c r="H6010" s="10" t="n">
        <v>145</v>
      </c>
      <c r="I6010" s="10" t="n">
        <v>1015</v>
      </c>
      <c r="J6010" s="10" t="n">
        <v>0</v>
      </c>
      <c r="K6010" s="10" t="s">
        <v>20</v>
      </c>
      <c r="L6010" s="11" t="n">
        <v>41905.3949884259</v>
      </c>
      <c r="M6010" s="12"/>
      <c r="N6010" s="12"/>
      <c r="O6010" s="9" t="str">
        <f aca="false">HYPERLINK("https://pbs.twimg.com/profile_images/811278194007359488/FTYme5hP_normal.jpg","View")</f>
        <v>View</v>
      </c>
      <c r="P6010" s="10"/>
    </row>
    <row r="6011" customFormat="false" ht="15.75" hidden="false" customHeight="false" outlineLevel="0" collapsed="false">
      <c r="A6011" s="6" t="n">
        <v>43031.0128125</v>
      </c>
      <c r="B6011" s="7" t="str">
        <f aca="false">HYPERLINK("https://twitter.com/StockViz","@StockViz")</f>
        <v>@StockViz</v>
      </c>
      <c r="C6011" s="8" t="s">
        <v>865</v>
      </c>
      <c r="D6011" s="8" t="s">
        <v>13595</v>
      </c>
      <c r="E6011" s="9" t="str">
        <f aca="false">HYPERLINK("https://twitter.com/StockViz/status/922361559606628352","922361559606628352")</f>
        <v>922361559606628352</v>
      </c>
      <c r="F6011" s="10" t="s">
        <v>867</v>
      </c>
      <c r="G6011" s="10" t="n">
        <v>839</v>
      </c>
      <c r="H6011" s="10" t="n">
        <v>26</v>
      </c>
      <c r="I6011" s="10" t="n">
        <v>88</v>
      </c>
      <c r="J6011" s="10" t="n">
        <v>0</v>
      </c>
      <c r="K6011" s="10" t="s">
        <v>20</v>
      </c>
      <c r="L6011" s="11" t="n">
        <v>40401.0051851852</v>
      </c>
      <c r="M6011" s="12" t="s">
        <v>868</v>
      </c>
      <c r="N6011" s="12" t="s">
        <v>869</v>
      </c>
      <c r="O6011" s="9" t="str">
        <f aca="false">HYPERLINK("https://pbs.twimg.com/profile_images/378800000601111140/86a2964df8b1222bbca523ca8181122c_normal.png","View")</f>
        <v>View</v>
      </c>
      <c r="P6011" s="10"/>
    </row>
    <row r="6012" customFormat="false" ht="15.75" hidden="false" customHeight="false" outlineLevel="0" collapsed="false">
      <c r="A6012" s="6" t="n">
        <v>43031.0129513889</v>
      </c>
      <c r="B6012" s="7" t="str">
        <f aca="false">HYPERLINK("https://twitter.com/UniversePragati","@UniversePragati")</f>
        <v>@UniversePragati</v>
      </c>
      <c r="C6012" s="8" t="s">
        <v>13824</v>
      </c>
      <c r="D6012" s="8" t="s">
        <v>8538</v>
      </c>
      <c r="E6012" s="9" t="str">
        <f aca="false">HYPERLINK("https://twitter.com/UniversePragati/status/922361613516075009","922361613516075009")</f>
        <v>922361613516075009</v>
      </c>
      <c r="F6012" s="10" t="s">
        <v>25</v>
      </c>
      <c r="G6012" s="10" t="n">
        <v>1532</v>
      </c>
      <c r="H6012" s="10" t="n">
        <v>375</v>
      </c>
      <c r="I6012" s="10" t="n">
        <v>1015</v>
      </c>
      <c r="J6012" s="10" t="n">
        <v>0</v>
      </c>
      <c r="K6012" s="10" t="s">
        <v>20</v>
      </c>
      <c r="L6012" s="11" t="n">
        <v>40902.276712963</v>
      </c>
      <c r="M6012" s="12" t="s">
        <v>13825</v>
      </c>
      <c r="N6012" s="12" t="s">
        <v>13826</v>
      </c>
      <c r="O6012" s="9" t="str">
        <f aca="false">HYPERLINK("https://pbs.twimg.com/profile_images/802551427176370178/5c6PFmvl_normal.jpg","View")</f>
        <v>View</v>
      </c>
      <c r="P6012" s="10"/>
    </row>
    <row r="6013" customFormat="false" ht="15.75" hidden="false" customHeight="false" outlineLevel="0" collapsed="false">
      <c r="A6013" s="6" t="n">
        <v>43031.0135185185</v>
      </c>
      <c r="B6013" s="7" t="str">
        <f aca="false">HYPERLINK("https://twitter.com/marketstocknews","@marketstocknews")</f>
        <v>@marketstocknews</v>
      </c>
      <c r="C6013" s="8" t="s">
        <v>8543</v>
      </c>
      <c r="D6013" s="8" t="s">
        <v>13827</v>
      </c>
      <c r="E6013" s="9" t="str">
        <f aca="false">HYPERLINK("https://twitter.com/marketstocknews/status/922361818978443264","922361818978443264")</f>
        <v>922361818978443264</v>
      </c>
      <c r="F6013" s="10" t="s">
        <v>60</v>
      </c>
      <c r="G6013" s="10" t="n">
        <v>1159</v>
      </c>
      <c r="H6013" s="10" t="n">
        <v>865</v>
      </c>
      <c r="I6013" s="10" t="n">
        <v>0</v>
      </c>
      <c r="J6013" s="10" t="n">
        <v>0</v>
      </c>
      <c r="K6013" s="10" t="s">
        <v>20</v>
      </c>
      <c r="L6013" s="11" t="n">
        <v>41911.5685300926</v>
      </c>
      <c r="M6013" s="12"/>
      <c r="N6013" s="12" t="s">
        <v>8545</v>
      </c>
      <c r="O6013" s="9" t="str">
        <f aca="false">HYPERLINK("https://pbs.twimg.com/profile_images/659111213465382912/yfS3diNs_normal.jpg","View")</f>
        <v>View</v>
      </c>
      <c r="P6013" s="10"/>
    </row>
    <row r="6014" customFormat="false" ht="15.75" hidden="false" customHeight="false" outlineLevel="0" collapsed="false">
      <c r="A6014" s="6" t="n">
        <v>43031.0142708333</v>
      </c>
      <c r="B6014" s="7" t="str">
        <f aca="false">HYPERLINK("https://twitter.com/kmschenk","@kmschenk")</f>
        <v>@kmschenk</v>
      </c>
      <c r="C6014" s="8" t="s">
        <v>13828</v>
      </c>
      <c r="D6014" s="8" t="s">
        <v>12764</v>
      </c>
      <c r="E6014" s="9" t="str">
        <f aca="false">HYPERLINK("https://twitter.com/kmschenk/status/922362087640305664","922362087640305664")</f>
        <v>922362087640305664</v>
      </c>
      <c r="F6014" s="10" t="s">
        <v>51</v>
      </c>
      <c r="G6014" s="10" t="n">
        <v>136</v>
      </c>
      <c r="H6014" s="10" t="n">
        <v>203</v>
      </c>
      <c r="I6014" s="10" t="n">
        <v>170</v>
      </c>
      <c r="J6014" s="10" t="n">
        <v>0</v>
      </c>
      <c r="K6014" s="10" t="s">
        <v>20</v>
      </c>
      <c r="L6014" s="11" t="n">
        <v>40388.4117824074</v>
      </c>
      <c r="M6014" s="12" t="s">
        <v>13829</v>
      </c>
      <c r="N6014" s="12" t="s">
        <v>13830</v>
      </c>
      <c r="O6014" s="9" t="str">
        <f aca="false">HYPERLINK("https://pbs.twimg.com/profile_images/466131620278583296/6tvwpHTt_normal.jpeg","View")</f>
        <v>View</v>
      </c>
      <c r="P6014" s="10"/>
    </row>
    <row r="6015" customFormat="false" ht="15.75" hidden="false" customHeight="false" outlineLevel="0" collapsed="false">
      <c r="A6015" s="6" t="n">
        <v>43031.0148263889</v>
      </c>
      <c r="B6015" s="7" t="str">
        <f aca="false">HYPERLINK("https://twitter.com/americandailys","@americandailys")</f>
        <v>@americandailys</v>
      </c>
      <c r="C6015" s="8" t="s">
        <v>332</v>
      </c>
      <c r="D6015" s="8" t="s">
        <v>13831</v>
      </c>
      <c r="E6015" s="9" t="str">
        <f aca="false">HYPERLINK("https://twitter.com/americandailys/status/922362289394765824","922362289394765824")</f>
        <v>922362289394765824</v>
      </c>
      <c r="F6015" s="10" t="s">
        <v>55</v>
      </c>
      <c r="G6015" s="10" t="n">
        <v>955</v>
      </c>
      <c r="H6015" s="10" t="n">
        <v>602</v>
      </c>
      <c r="I6015" s="10" t="n">
        <v>0</v>
      </c>
      <c r="J6015" s="10" t="n">
        <v>0</v>
      </c>
      <c r="K6015" s="10" t="s">
        <v>20</v>
      </c>
      <c r="L6015" s="11" t="n">
        <v>42462.4198842593</v>
      </c>
      <c r="M6015" s="12" t="s">
        <v>312</v>
      </c>
      <c r="N6015" s="12" t="s">
        <v>334</v>
      </c>
      <c r="O6015" s="9" t="str">
        <f aca="false">HYPERLINK("https://pbs.twimg.com/profile_images/907048422347300864/ncTZr8Oz_normal.jpg","View")</f>
        <v>View</v>
      </c>
      <c r="P6015" s="10"/>
    </row>
    <row r="6016" customFormat="false" ht="15.75" hidden="false" customHeight="false" outlineLevel="0" collapsed="false">
      <c r="A6016" s="6" t="n">
        <v>43031.0149189815</v>
      </c>
      <c r="B6016" s="7" t="str">
        <f aca="false">HYPERLINK("https://twitter.com/srbija_eu","@srbija_eu")</f>
        <v>@srbija_eu</v>
      </c>
      <c r="C6016" s="8" t="s">
        <v>641</v>
      </c>
      <c r="D6016" s="8" t="s">
        <v>13832</v>
      </c>
      <c r="E6016" s="9" t="str">
        <f aca="false">HYPERLINK("https://twitter.com/srbija_eu/status/922362323960057856","922362323960057856")</f>
        <v>922362323960057856</v>
      </c>
      <c r="F6016" s="10" t="s">
        <v>25</v>
      </c>
      <c r="G6016" s="10" t="n">
        <v>175</v>
      </c>
      <c r="H6016" s="10" t="n">
        <v>332</v>
      </c>
      <c r="I6016" s="10" t="n">
        <v>0</v>
      </c>
      <c r="J6016" s="10" t="n">
        <v>0</v>
      </c>
      <c r="K6016" s="10" t="s">
        <v>20</v>
      </c>
      <c r="L6016" s="11" t="n">
        <v>42703.4903703704</v>
      </c>
      <c r="M6016" s="12" t="s">
        <v>643</v>
      </c>
      <c r="N6016" s="12" t="s">
        <v>644</v>
      </c>
      <c r="O6016" s="9" t="str">
        <f aca="false">HYPERLINK("https://pbs.twimg.com/profile_images/805487087839485952/1YqQAZcG_normal.jpg","View")</f>
        <v>View</v>
      </c>
      <c r="P6016" s="10"/>
    </row>
    <row r="6017" customFormat="false" ht="15.75" hidden="false" customHeight="false" outlineLevel="0" collapsed="false">
      <c r="A6017" s="6" t="n">
        <v>43031.0152777778</v>
      </c>
      <c r="B6017" s="7" t="str">
        <f aca="false">HYPERLINK("https://twitter.com/CaveandSons","@CaveandSons")</f>
        <v>@CaveandSons</v>
      </c>
      <c r="C6017" s="8" t="s">
        <v>13833</v>
      </c>
      <c r="D6017" s="8" t="s">
        <v>13834</v>
      </c>
      <c r="E6017" s="9" t="str">
        <f aca="false">HYPERLINK("https://twitter.com/CaveandSons/status/922362453949894656","922362453949894656")</f>
        <v>922362453949894656</v>
      </c>
      <c r="F6017" s="10" t="s">
        <v>39</v>
      </c>
      <c r="G6017" s="10" t="n">
        <v>465</v>
      </c>
      <c r="H6017" s="10" t="n">
        <v>392</v>
      </c>
      <c r="I6017" s="10" t="n">
        <v>0</v>
      </c>
      <c r="J6017" s="10" t="n">
        <v>0</v>
      </c>
      <c r="K6017" s="10" t="s">
        <v>20</v>
      </c>
      <c r="L6017" s="11" t="n">
        <v>40960.3829282407</v>
      </c>
      <c r="M6017" s="12" t="s">
        <v>13835</v>
      </c>
      <c r="N6017" s="12" t="s">
        <v>13836</v>
      </c>
      <c r="O6017" s="9" t="str">
        <f aca="false">HYPERLINK("https://pbs.twimg.com/profile_images/2223022054/logo_normal.jpg","View")</f>
        <v>View</v>
      </c>
      <c r="P6017" s="10"/>
    </row>
    <row r="6018" customFormat="false" ht="15.75" hidden="false" customHeight="false" outlineLevel="0" collapsed="false">
      <c r="A6018" s="6" t="n">
        <v>43031.0153819444</v>
      </c>
      <c r="B6018" s="7" t="str">
        <f aca="false">HYPERLINK("https://twitter.com/PoliticsNewsUs","@PoliticsNewsUs")</f>
        <v>@PoliticsNewsUs</v>
      </c>
      <c r="C6018" s="8" t="s">
        <v>13837</v>
      </c>
      <c r="D6018" s="8" t="s">
        <v>13838</v>
      </c>
      <c r="E6018" s="9" t="str">
        <f aca="false">HYPERLINK("https://twitter.com/PoliticsNewsUs/status/922362490758893568","922362490758893568")</f>
        <v>922362490758893568</v>
      </c>
      <c r="F6018" s="9" t="s">
        <v>1147</v>
      </c>
      <c r="G6018" s="10" t="n">
        <v>27</v>
      </c>
      <c r="H6018" s="10" t="n">
        <v>20</v>
      </c>
      <c r="I6018" s="10" t="n">
        <v>0</v>
      </c>
      <c r="J6018" s="10" t="n">
        <v>0</v>
      </c>
      <c r="K6018" s="10" t="s">
        <v>20</v>
      </c>
      <c r="L6018" s="11" t="n">
        <v>42555.1636342593</v>
      </c>
      <c r="M6018" s="12" t="s">
        <v>230</v>
      </c>
      <c r="N6018" s="12" t="s">
        <v>13839</v>
      </c>
      <c r="O6018" s="9" t="str">
        <f aca="false">HYPERLINK("https://pbs.twimg.com/profile_images/751000592248500224/sDTVz46H_normal.jpg","View")</f>
        <v>View</v>
      </c>
      <c r="P6018" s="10"/>
    </row>
    <row r="6019" customFormat="false" ht="15.75" hidden="false" customHeight="false" outlineLevel="0" collapsed="false">
      <c r="A6019" s="6" t="n">
        <v>43031.0153935185</v>
      </c>
      <c r="B6019" s="7" t="str">
        <f aca="false">HYPERLINK("https://twitter.com/NewzOnlineUS","@NewzOnlineUS")</f>
        <v>@NewzOnlineUS</v>
      </c>
      <c r="C6019" s="8" t="s">
        <v>13840</v>
      </c>
      <c r="D6019" s="8" t="s">
        <v>13841</v>
      </c>
      <c r="E6019" s="9" t="str">
        <f aca="false">HYPERLINK("https://twitter.com/NewzOnlineUS/status/922362497272659968","922362497272659968")</f>
        <v>922362497272659968</v>
      </c>
      <c r="F6019" s="9" t="s">
        <v>1147</v>
      </c>
      <c r="G6019" s="10" t="n">
        <v>2563</v>
      </c>
      <c r="H6019" s="10" t="n">
        <v>170</v>
      </c>
      <c r="I6019" s="10" t="n">
        <v>0</v>
      </c>
      <c r="J6019" s="10" t="n">
        <v>0</v>
      </c>
      <c r="K6019" s="10" t="s">
        <v>20</v>
      </c>
      <c r="L6019" s="11" t="n">
        <v>42096.9259027778</v>
      </c>
      <c r="M6019" s="12" t="s">
        <v>13842</v>
      </c>
      <c r="N6019" s="12" t="s">
        <v>13843</v>
      </c>
      <c r="O6019" s="9" t="str">
        <f aca="false">HYPERLINK("https://pbs.twimg.com/profile_images/872074752931667968/gTkWNDlj_normal.jpg","View")</f>
        <v>View</v>
      </c>
      <c r="P6019" s="10"/>
    </row>
    <row r="6020" customFormat="false" ht="15.75" hidden="false" customHeight="false" outlineLevel="0" collapsed="false">
      <c r="A6020" s="6" t="n">
        <v>43031.0153935185</v>
      </c>
      <c r="B6020" s="7" t="str">
        <f aca="false">HYPERLINK("https://twitter.com/biphealth","@biphealth")</f>
        <v>@biphealth</v>
      </c>
      <c r="C6020" s="8" t="s">
        <v>13844</v>
      </c>
      <c r="D6020" s="8" t="s">
        <v>13845</v>
      </c>
      <c r="E6020" s="9" t="str">
        <f aca="false">HYPERLINK("https://twitter.com/biphealth/status/922362497486569472","922362497486569472")</f>
        <v>922362497486569472</v>
      </c>
      <c r="F6020" s="9" t="s">
        <v>1147</v>
      </c>
      <c r="G6020" s="10" t="n">
        <v>65</v>
      </c>
      <c r="H6020" s="10" t="n">
        <v>170</v>
      </c>
      <c r="I6020" s="10" t="n">
        <v>0</v>
      </c>
      <c r="J6020" s="10" t="n">
        <v>0</v>
      </c>
      <c r="K6020" s="10" t="s">
        <v>20</v>
      </c>
      <c r="L6020" s="11" t="n">
        <v>42958.9791435185</v>
      </c>
      <c r="M6020" s="12"/>
      <c r="N6020" s="12" t="s">
        <v>13846</v>
      </c>
      <c r="O6020" s="9" t="str">
        <f aca="false">HYPERLINK("https://pbs.twimg.com/profile_images/896258316275515392/a2rQqQ46_normal.jpg","View")</f>
        <v>View</v>
      </c>
      <c r="P6020" s="10"/>
    </row>
    <row r="6021" customFormat="false" ht="15.75" hidden="false" customHeight="false" outlineLevel="0" collapsed="false">
      <c r="A6021" s="6" t="n">
        <v>43031.0154050926</v>
      </c>
      <c r="B6021" s="7" t="str">
        <f aca="false">HYPERLINK("https://twitter.com/Einaudieditore","@Einaudieditore")</f>
        <v>@Einaudieditore</v>
      </c>
      <c r="C6021" s="8" t="s">
        <v>13847</v>
      </c>
      <c r="D6021" s="8" t="s">
        <v>13741</v>
      </c>
      <c r="E6021" s="9" t="str">
        <f aca="false">HYPERLINK("https://twitter.com/Einaudieditore/status/922362499005145089","922362499005145089")</f>
        <v>922362499005145089</v>
      </c>
      <c r="F6021" s="10" t="s">
        <v>110</v>
      </c>
      <c r="G6021" s="10" t="n">
        <v>184145</v>
      </c>
      <c r="H6021" s="10" t="n">
        <v>2020</v>
      </c>
      <c r="I6021" s="10" t="n">
        <v>17</v>
      </c>
      <c r="J6021" s="10" t="n">
        <v>0</v>
      </c>
      <c r="K6021" s="10" t="s">
        <v>20</v>
      </c>
      <c r="L6021" s="11" t="n">
        <v>40064.3754166667</v>
      </c>
      <c r="M6021" s="12" t="s">
        <v>13848</v>
      </c>
      <c r="N6021" s="12" t="s">
        <v>13849</v>
      </c>
      <c r="O6021" s="9" t="str">
        <f aca="false">HYPERLINK("https://pbs.twimg.com/profile_images/453799902993059840/EV9gtiFc_normal.jpeg","View")</f>
        <v>View</v>
      </c>
      <c r="P6021" s="10"/>
    </row>
    <row r="6022" customFormat="false" ht="15.75" hidden="false" customHeight="false" outlineLevel="0" collapsed="false">
      <c r="A6022" s="6" t="n">
        <v>43031.0156712963</v>
      </c>
      <c r="B6022" s="7" t="str">
        <f aca="false">HYPERLINK("https://twitter.com/CHASE1ALLEN","@CHASE1ALLEN")</f>
        <v>@CHASE1ALLEN</v>
      </c>
      <c r="C6022" s="8" t="s">
        <v>13850</v>
      </c>
      <c r="D6022" s="8" t="s">
        <v>13851</v>
      </c>
      <c r="E6022" s="9" t="str">
        <f aca="false">HYPERLINK("https://twitter.com/CHASE1ALLEN/status/922362598364008448","922362598364008448")</f>
        <v>922362598364008448</v>
      </c>
      <c r="F6022" s="10" t="s">
        <v>276</v>
      </c>
      <c r="G6022" s="10" t="n">
        <v>1473</v>
      </c>
      <c r="H6022" s="10" t="n">
        <v>2482</v>
      </c>
      <c r="I6022" s="10" t="n">
        <v>1</v>
      </c>
      <c r="J6022" s="10" t="n">
        <v>0</v>
      </c>
      <c r="K6022" s="10" t="s">
        <v>20</v>
      </c>
      <c r="L6022" s="11" t="n">
        <v>40924.0170949074</v>
      </c>
      <c r="M6022" s="12" t="s">
        <v>13199</v>
      </c>
      <c r="N6022" s="12" t="s">
        <v>13852</v>
      </c>
      <c r="O6022" s="9" t="str">
        <f aca="false">HYPERLINK("https://pbs.twimg.com/profile_images/1822071167/Chase_TWITTER_AVATAR_1_normal.png","View")</f>
        <v>View</v>
      </c>
      <c r="P6022" s="10"/>
    </row>
    <row r="6023" customFormat="false" ht="15.75" hidden="false" customHeight="false" outlineLevel="0" collapsed="false">
      <c r="A6023" s="6" t="n">
        <v>43031.0158101852</v>
      </c>
      <c r="B6023" s="7" t="str">
        <f aca="false">HYPERLINK("https://twitter.com/nil483","@nil483")</f>
        <v>@nil483</v>
      </c>
      <c r="C6023" s="8" t="s">
        <v>13853</v>
      </c>
      <c r="D6023" s="8" t="s">
        <v>8538</v>
      </c>
      <c r="E6023" s="9" t="str">
        <f aca="false">HYPERLINK("https://twitter.com/nil483/status/922362645520379904","922362645520379904")</f>
        <v>922362645520379904</v>
      </c>
      <c r="F6023" s="10" t="s">
        <v>51</v>
      </c>
      <c r="G6023" s="10" t="n">
        <v>472</v>
      </c>
      <c r="H6023" s="10" t="n">
        <v>787</v>
      </c>
      <c r="I6023" s="10" t="n">
        <v>1015</v>
      </c>
      <c r="J6023" s="10" t="n">
        <v>0</v>
      </c>
      <c r="K6023" s="10" t="s">
        <v>20</v>
      </c>
      <c r="L6023" s="11" t="n">
        <v>40604.4373726852</v>
      </c>
      <c r="M6023" s="12"/>
      <c r="N6023" s="12"/>
      <c r="O6023" s="9" t="str">
        <f aca="false">HYPERLINK("https://pbs.twimg.com/profile_images/908880555176976384/uGYLZ2Lx_normal.jpg","View")</f>
        <v>View</v>
      </c>
      <c r="P6023" s="10"/>
    </row>
    <row r="6024" customFormat="false" ht="15.75" hidden="false" customHeight="false" outlineLevel="0" collapsed="false">
      <c r="A6024" s="6" t="n">
        <v>43031.01625</v>
      </c>
      <c r="B6024" s="7" t="str">
        <f aca="false">HYPERLINK("https://twitter.com/BrdCloudNews","@BrdCloudNews")</f>
        <v>@BrdCloudNews</v>
      </c>
      <c r="C6024" s="8" t="s">
        <v>13854</v>
      </c>
      <c r="D6024" s="8" t="s">
        <v>13855</v>
      </c>
      <c r="E6024" s="9" t="str">
        <f aca="false">HYPERLINK("https://twitter.com/BrdCloudNews/status/922362808452419584","922362808452419584")</f>
        <v>922362808452419584</v>
      </c>
      <c r="F6024" s="10" t="s">
        <v>13856</v>
      </c>
      <c r="G6024" s="10" t="n">
        <v>20</v>
      </c>
      <c r="H6024" s="10" t="n">
        <v>56</v>
      </c>
      <c r="I6024" s="10" t="n">
        <v>0</v>
      </c>
      <c r="J6024" s="10" t="n">
        <v>0</v>
      </c>
      <c r="K6024" s="10" t="s">
        <v>20</v>
      </c>
      <c r="L6024" s="11" t="n">
        <v>41979.5094097222</v>
      </c>
      <c r="M6024" s="12"/>
      <c r="N6024" s="12"/>
      <c r="O6024" s="9" t="str">
        <f aca="false">HYPERLINK("https://pbs.twimg.com/profile_images/541325260172165120/YUcH1ZKl_normal.png","View")</f>
        <v>View</v>
      </c>
      <c r="P6024" s="10"/>
    </row>
    <row r="6025" customFormat="false" ht="15.75" hidden="false" customHeight="false" outlineLevel="0" collapsed="false">
      <c r="A6025" s="6" t="n">
        <v>43031.0163773148</v>
      </c>
      <c r="B6025" s="7" t="str">
        <f aca="false">HYPERLINK("https://twitter.com/Lioness95476020","@Lioness95476020")</f>
        <v>@Lioness95476020</v>
      </c>
      <c r="C6025" s="8" t="s">
        <v>13857</v>
      </c>
      <c r="D6025" s="8" t="s">
        <v>12764</v>
      </c>
      <c r="E6025" s="9" t="str">
        <f aca="false">HYPERLINK("https://twitter.com/Lioness95476020/status/922362851372695552","922362851372695552")</f>
        <v>922362851372695552</v>
      </c>
      <c r="F6025" s="10" t="s">
        <v>25</v>
      </c>
      <c r="G6025" s="10" t="n">
        <v>7</v>
      </c>
      <c r="H6025" s="10" t="n">
        <v>126</v>
      </c>
      <c r="I6025" s="10" t="n">
        <v>170</v>
      </c>
      <c r="J6025" s="10" t="n">
        <v>0</v>
      </c>
      <c r="K6025" s="10" t="s">
        <v>20</v>
      </c>
      <c r="L6025" s="11" t="n">
        <v>43030.966400463</v>
      </c>
      <c r="M6025" s="12"/>
      <c r="N6025" s="12" t="s">
        <v>13858</v>
      </c>
      <c r="O6025" s="9" t="str">
        <f aca="false">HYPERLINK("https://pbs.twimg.com/profile_images/922348753654337536/T2oS9hz3_normal.jpg","View")</f>
        <v>View</v>
      </c>
      <c r="P6025" s="10"/>
    </row>
    <row r="6026" customFormat="false" ht="15.75" hidden="false" customHeight="false" outlineLevel="0" collapsed="false">
      <c r="A6026" s="6" t="n">
        <v>43031.017037037</v>
      </c>
      <c r="B6026" s="7" t="str">
        <f aca="false">HYPERLINK("https://twitter.com/yaneayao","@yaneayao")</f>
        <v>@yaneayao</v>
      </c>
      <c r="C6026" s="8" t="s">
        <v>12796</v>
      </c>
      <c r="D6026" s="8" t="s">
        <v>4124</v>
      </c>
      <c r="E6026" s="9" t="str">
        <f aca="false">HYPERLINK("https://twitter.com/yaneayao/status/922363094071947265","922363094071947265")</f>
        <v>922363094071947265</v>
      </c>
      <c r="F6026" s="10" t="s">
        <v>25</v>
      </c>
      <c r="G6026" s="10" t="n">
        <v>121</v>
      </c>
      <c r="H6026" s="10" t="n">
        <v>677</v>
      </c>
      <c r="I6026" s="10" t="n">
        <v>111</v>
      </c>
      <c r="J6026" s="10" t="n">
        <v>0</v>
      </c>
      <c r="K6026" s="10" t="s">
        <v>20</v>
      </c>
      <c r="L6026" s="11" t="n">
        <v>42098.581400463</v>
      </c>
      <c r="M6026" s="12"/>
      <c r="N6026" s="12" t="s">
        <v>12797</v>
      </c>
      <c r="O6026" s="9" t="str">
        <f aca="false">HYPERLINK("https://pbs.twimg.com/profile_images/921984545578274822/7UlZqPw3_normal.jpg","View")</f>
        <v>View</v>
      </c>
      <c r="P6026" s="10"/>
    </row>
    <row r="6027" customFormat="false" ht="15.75" hidden="false" customHeight="false" outlineLevel="0" collapsed="false">
      <c r="A6027" s="6" t="n">
        <v>43031.0170833333</v>
      </c>
      <c r="B6027" s="7" t="str">
        <f aca="false">HYPERLINK("https://twitter.com/ko_mutsuki","@ko_mutsuki")</f>
        <v>@ko_mutsuki</v>
      </c>
      <c r="C6027" s="8" t="s">
        <v>13859</v>
      </c>
      <c r="D6027" s="8" t="s">
        <v>13595</v>
      </c>
      <c r="E6027" s="9" t="str">
        <f aca="false">HYPERLINK("https://twitter.com/ko_mutsuki/status/922363109402075136","922363109402075136")</f>
        <v>922363109402075136</v>
      </c>
      <c r="F6027" s="10" t="s">
        <v>98</v>
      </c>
      <c r="G6027" s="10" t="n">
        <v>121</v>
      </c>
      <c r="H6027" s="10" t="n">
        <v>97</v>
      </c>
      <c r="I6027" s="10" t="n">
        <v>88</v>
      </c>
      <c r="J6027" s="10" t="n">
        <v>0</v>
      </c>
      <c r="K6027" s="10" t="s">
        <v>20</v>
      </c>
      <c r="L6027" s="11" t="n">
        <v>40441.3059606481</v>
      </c>
      <c r="M6027" s="13" t="s">
        <v>13860</v>
      </c>
      <c r="N6027" s="13" t="s">
        <v>13861</v>
      </c>
      <c r="O6027" s="9" t="str">
        <f aca="false">HYPERLINK("https://pbs.twimg.com/profile_images/596721308634779648/Kq3jVIAK_normal.jpg","View")</f>
        <v>View</v>
      </c>
      <c r="P6027" s="10"/>
    </row>
    <row r="6028" customFormat="false" ht="15.75" hidden="false" customHeight="false" outlineLevel="0" collapsed="false">
      <c r="A6028" s="6" t="n">
        <v>43031.0172337963</v>
      </c>
      <c r="B6028" s="7" t="str">
        <f aca="false">HYPERLINK("https://twitter.com/diplomacy272","@diplomacy272")</f>
        <v>@diplomacy272</v>
      </c>
      <c r="C6028" s="8" t="s">
        <v>13862</v>
      </c>
      <c r="D6028" s="8" t="s">
        <v>13595</v>
      </c>
      <c r="E6028" s="9" t="str">
        <f aca="false">HYPERLINK("https://twitter.com/diplomacy272/status/922363165505130496","922363165505130496")</f>
        <v>922363165505130496</v>
      </c>
      <c r="F6028" s="10" t="s">
        <v>98</v>
      </c>
      <c r="G6028" s="10" t="n">
        <v>97</v>
      </c>
      <c r="H6028" s="10" t="n">
        <v>39</v>
      </c>
      <c r="I6028" s="10" t="n">
        <v>88</v>
      </c>
      <c r="J6028" s="10" t="n">
        <v>0</v>
      </c>
      <c r="K6028" s="10" t="s">
        <v>20</v>
      </c>
      <c r="L6028" s="11" t="n">
        <v>42002.0103356482</v>
      </c>
      <c r="M6028" s="12"/>
      <c r="N6028" s="12" t="s">
        <v>13863</v>
      </c>
      <c r="O6028" s="9" t="str">
        <f aca="false">HYPERLINK("https://pbs.twimg.com/profile_images/621544394026409984/r0krOybk_normal.jpg","View")</f>
        <v>View</v>
      </c>
      <c r="P6028" s="10"/>
    </row>
    <row r="6029" customFormat="false" ht="15.75" hidden="false" customHeight="false" outlineLevel="0" collapsed="false">
      <c r="A6029" s="6" t="n">
        <v>43031.017349537</v>
      </c>
      <c r="B6029" s="7" t="str">
        <f aca="false">HYPERLINK("https://twitter.com/_CarlottaMilton","@_CarlottaMilton")</f>
        <v>@_CarlottaMilton</v>
      </c>
      <c r="C6029" s="8" t="s">
        <v>13864</v>
      </c>
      <c r="D6029" s="8" t="s">
        <v>4124</v>
      </c>
      <c r="E6029" s="9" t="str">
        <f aca="false">HYPERLINK("https://twitter.com/_CarlottaMilton/status/922363203669102593","922363203669102593")</f>
        <v>922363203669102593</v>
      </c>
      <c r="F6029" s="10" t="s">
        <v>39</v>
      </c>
      <c r="G6029" s="10" t="n">
        <v>170</v>
      </c>
      <c r="H6029" s="10" t="n">
        <v>326</v>
      </c>
      <c r="I6029" s="10" t="n">
        <v>111</v>
      </c>
      <c r="J6029" s="10" t="n">
        <v>0</v>
      </c>
      <c r="K6029" s="10" t="s">
        <v>20</v>
      </c>
      <c r="L6029" s="11" t="n">
        <v>42910.6573263889</v>
      </c>
      <c r="M6029" s="12"/>
      <c r="N6029" s="12" t="s">
        <v>13865</v>
      </c>
      <c r="O6029" s="9" t="str">
        <f aca="false">HYPERLINK("https://pbs.twimg.com/profile_images/922686750484520960/y8ONFdM1_normal.jpg","View")</f>
        <v>View</v>
      </c>
      <c r="P6029" s="10"/>
    </row>
    <row r="6030" customFormat="false" ht="15.75" hidden="false" customHeight="false" outlineLevel="0" collapsed="false">
      <c r="A6030" s="6" t="n">
        <v>43031.0173726852</v>
      </c>
      <c r="B6030" s="7" t="str">
        <f aca="false">HYPERLINK("https://twitter.com/rainasahil","@rainasahil")</f>
        <v>@rainasahil</v>
      </c>
      <c r="C6030" s="8" t="s">
        <v>13866</v>
      </c>
      <c r="D6030" s="8" t="s">
        <v>4124</v>
      </c>
      <c r="E6030" s="9" t="str">
        <f aca="false">HYPERLINK("https://twitter.com/rainasahil/status/922363214259617792","922363214259617792")</f>
        <v>922363214259617792</v>
      </c>
      <c r="F6030" s="10" t="s">
        <v>39</v>
      </c>
      <c r="G6030" s="10" t="n">
        <v>1202</v>
      </c>
      <c r="H6030" s="10" t="n">
        <v>2289</v>
      </c>
      <c r="I6030" s="10" t="n">
        <v>111</v>
      </c>
      <c r="J6030" s="10" t="n">
        <v>0</v>
      </c>
      <c r="K6030" s="10" t="s">
        <v>20</v>
      </c>
      <c r="L6030" s="11" t="n">
        <v>39906.1897800926</v>
      </c>
      <c r="M6030" s="12" t="s">
        <v>13867</v>
      </c>
      <c r="N6030" s="12" t="s">
        <v>13868</v>
      </c>
      <c r="O6030" s="9" t="str">
        <f aca="false">HYPERLINK("https://pbs.twimg.com/profile_images/909060452327481344/F_kivuvH_normal.jpg","View")</f>
        <v>View</v>
      </c>
      <c r="P6030" s="10"/>
    </row>
    <row r="6031" customFormat="false" ht="15.75" hidden="false" customHeight="false" outlineLevel="0" collapsed="false">
      <c r="A6031" s="6" t="n">
        <v>43031.0174652778</v>
      </c>
      <c r="B6031" s="7" t="str">
        <f aca="false">HYPERLINK("https://twitter.com/24h_DailyNews","@24h_DailyNews")</f>
        <v>@24h_DailyNews</v>
      </c>
      <c r="C6031" s="8" t="s">
        <v>13869</v>
      </c>
      <c r="D6031" s="8" t="s">
        <v>13870</v>
      </c>
      <c r="E6031" s="9" t="str">
        <f aca="false">HYPERLINK("https://twitter.com/24h_DailyNews/status/922363248170749952","922363248170749952")</f>
        <v>922363248170749952</v>
      </c>
      <c r="F6031" s="10" t="s">
        <v>55</v>
      </c>
      <c r="G6031" s="10" t="n">
        <v>22</v>
      </c>
      <c r="H6031" s="10" t="n">
        <v>146</v>
      </c>
      <c r="I6031" s="10" t="n">
        <v>0</v>
      </c>
      <c r="J6031" s="10" t="n">
        <v>0</v>
      </c>
      <c r="K6031" s="10" t="s">
        <v>20</v>
      </c>
      <c r="L6031" s="11" t="n">
        <v>42985.0294675926</v>
      </c>
      <c r="M6031" s="12"/>
      <c r="N6031" s="12"/>
      <c r="O6031" s="9" t="str">
        <f aca="false">HYPERLINK("https://pbs.twimg.com/profile_images/905699118059630592/r1-Im2XW_normal.jpg","View")</f>
        <v>View</v>
      </c>
      <c r="P6031" s="10"/>
    </row>
    <row r="6032" customFormat="false" ht="15.75" hidden="false" customHeight="false" outlineLevel="0" collapsed="false">
      <c r="A6032" s="6" t="n">
        <v>43031.0175347222</v>
      </c>
      <c r="B6032" s="7" t="str">
        <f aca="false">HYPERLINK("https://twitter.com/jeffcanoy","@jeffcanoy")</f>
        <v>@jeffcanoy</v>
      </c>
      <c r="C6032" s="8" t="s">
        <v>13871</v>
      </c>
      <c r="D6032" s="8" t="s">
        <v>4124</v>
      </c>
      <c r="E6032" s="9" t="str">
        <f aca="false">HYPERLINK("https://twitter.com/jeffcanoy/status/922363273923588096","922363273923588096")</f>
        <v>922363273923588096</v>
      </c>
      <c r="F6032" s="10" t="s">
        <v>51</v>
      </c>
      <c r="G6032" s="10" t="n">
        <v>233912</v>
      </c>
      <c r="H6032" s="10" t="n">
        <v>1376</v>
      </c>
      <c r="I6032" s="10" t="n">
        <v>111</v>
      </c>
      <c r="J6032" s="10" t="n">
        <v>0</v>
      </c>
      <c r="K6032" s="10" t="s">
        <v>20</v>
      </c>
      <c r="L6032" s="11" t="n">
        <v>40203.1981018519</v>
      </c>
      <c r="M6032" s="12" t="s">
        <v>11207</v>
      </c>
      <c r="N6032" s="12" t="s">
        <v>13872</v>
      </c>
      <c r="O6032" s="9" t="str">
        <f aca="false">HYPERLINK("https://pbs.twimg.com/profile_images/832538852166209537/o1pDVNoz_normal.jpg","View")</f>
        <v>View</v>
      </c>
      <c r="P6032" s="10"/>
    </row>
    <row r="6033" customFormat="false" ht="15.75" hidden="false" customHeight="false" outlineLevel="0" collapsed="false">
      <c r="A6033" s="6" t="n">
        <v>43031.0175462963</v>
      </c>
      <c r="B6033" s="7" t="str">
        <f aca="false">HYPERLINK("https://twitter.com/sueyangfx","@sueyangfx")</f>
        <v>@sueyangfx</v>
      </c>
      <c r="C6033" s="8" t="s">
        <v>13873</v>
      </c>
      <c r="D6033" s="8" t="s">
        <v>13874</v>
      </c>
      <c r="E6033" s="9" t="str">
        <f aca="false">HYPERLINK("https://twitter.com/sueyangfx/status/922363274968096768","922363274968096768")</f>
        <v>922363274968096768</v>
      </c>
      <c r="F6033" s="10" t="s">
        <v>60</v>
      </c>
      <c r="G6033" s="10" t="n">
        <v>1360</v>
      </c>
      <c r="H6033" s="10" t="n">
        <v>1409</v>
      </c>
      <c r="I6033" s="10" t="n">
        <v>0</v>
      </c>
      <c r="J6033" s="10" t="n">
        <v>0</v>
      </c>
      <c r="K6033" s="10" t="s">
        <v>20</v>
      </c>
      <c r="L6033" s="11" t="n">
        <v>42748.6809375</v>
      </c>
      <c r="M6033" s="12" t="s">
        <v>13875</v>
      </c>
      <c r="N6033" s="12" t="s">
        <v>13876</v>
      </c>
      <c r="O6033" s="9" t="str">
        <f aca="false">HYPERLINK("https://pbs.twimg.com/profile_images/874916384337252352/P1kTGuZ8_normal.jpg","View")</f>
        <v>View</v>
      </c>
      <c r="P6033" s="10"/>
    </row>
    <row r="6034" customFormat="false" ht="15.75" hidden="false" customHeight="false" outlineLevel="0" collapsed="false">
      <c r="A6034" s="6" t="n">
        <v>43031.0175694445</v>
      </c>
      <c r="B6034" s="7" t="str">
        <f aca="false">HYPERLINK("https://twitter.com/NannySaysNah","@NannySaysNah")</f>
        <v>@NannySaysNah</v>
      </c>
      <c r="C6034" s="8" t="s">
        <v>13877</v>
      </c>
      <c r="D6034" s="8" t="s">
        <v>4124</v>
      </c>
      <c r="E6034" s="9" t="str">
        <f aca="false">HYPERLINK("https://twitter.com/NannySaysNah/status/922363285424431104","922363285424431104")</f>
        <v>922363285424431104</v>
      </c>
      <c r="F6034" s="10" t="s">
        <v>25</v>
      </c>
      <c r="G6034" s="10" t="n">
        <v>520</v>
      </c>
      <c r="H6034" s="10" t="n">
        <v>3206</v>
      </c>
      <c r="I6034" s="10" t="n">
        <v>111</v>
      </c>
      <c r="J6034" s="10" t="n">
        <v>0</v>
      </c>
      <c r="K6034" s="10" t="s">
        <v>20</v>
      </c>
      <c r="L6034" s="11" t="n">
        <v>41195.1681597222</v>
      </c>
      <c r="M6034" s="12" t="s">
        <v>13878</v>
      </c>
      <c r="N6034" s="12"/>
      <c r="O6034" s="9" t="str">
        <f aca="false">HYPERLINK("https://pbs.twimg.com/profile_images/722626308237369344/BNPFfIeP_normal.jpg","View")</f>
        <v>View</v>
      </c>
      <c r="P6034" s="10"/>
    </row>
    <row r="6035" customFormat="false" ht="15.75" hidden="false" customHeight="false" outlineLevel="0" collapsed="false">
      <c r="A6035" s="6" t="n">
        <v>43031.0177430556</v>
      </c>
      <c r="B6035" s="7" t="str">
        <f aca="false">HYPERLINK("https://twitter.com/asuka_250","@asuka_250")</f>
        <v>@asuka_250</v>
      </c>
      <c r="C6035" s="8" t="s">
        <v>1235</v>
      </c>
      <c r="D6035" s="8" t="s">
        <v>12216</v>
      </c>
      <c r="E6035" s="9" t="str">
        <f aca="false">HYPERLINK("https://twitter.com/asuka_250/status/922363347206410240","922363347206410240")</f>
        <v>922363347206410240</v>
      </c>
      <c r="F6035" s="10" t="s">
        <v>25</v>
      </c>
      <c r="G6035" s="10" t="n">
        <v>30709</v>
      </c>
      <c r="H6035" s="10" t="n">
        <v>30516</v>
      </c>
      <c r="I6035" s="10" t="n">
        <v>16</v>
      </c>
      <c r="J6035" s="10" t="n">
        <v>0</v>
      </c>
      <c r="K6035" s="10" t="s">
        <v>20</v>
      </c>
      <c r="L6035" s="11" t="n">
        <v>41943.1724768519</v>
      </c>
      <c r="M6035" s="12" t="s">
        <v>186</v>
      </c>
      <c r="N6035" s="12" t="s">
        <v>1236</v>
      </c>
      <c r="O6035" s="9" t="str">
        <f aca="false">HYPERLINK("https://pbs.twimg.com/profile_images/576284037486014464/dhYtI1qZ_normal.jpeg","View")</f>
        <v>View</v>
      </c>
      <c r="P6035" s="10"/>
    </row>
    <row r="6036" customFormat="false" ht="15.75" hidden="false" customHeight="false" outlineLevel="0" collapsed="false">
      <c r="A6036" s="6" t="n">
        <v>43031.0177430556</v>
      </c>
      <c r="B6036" s="7" t="str">
        <f aca="false">HYPERLINK("https://twitter.com/Eylem14433390","@Eylem14433390")</f>
        <v>@Eylem14433390</v>
      </c>
      <c r="C6036" s="8" t="s">
        <v>13879</v>
      </c>
      <c r="D6036" s="8" t="s">
        <v>4124</v>
      </c>
      <c r="E6036" s="9" t="str">
        <f aca="false">HYPERLINK("https://twitter.com/Eylem14433390/status/922363348045500416","922363348045500416")</f>
        <v>922363348045500416</v>
      </c>
      <c r="F6036" s="10" t="s">
        <v>25</v>
      </c>
      <c r="G6036" s="10" t="n">
        <v>271</v>
      </c>
      <c r="H6036" s="10" t="n">
        <v>1040</v>
      </c>
      <c r="I6036" s="10" t="n">
        <v>111</v>
      </c>
      <c r="J6036" s="10" t="n">
        <v>0</v>
      </c>
      <c r="K6036" s="10" t="s">
        <v>20</v>
      </c>
      <c r="L6036" s="11" t="n">
        <v>42990.2646527778</v>
      </c>
      <c r="M6036" s="12"/>
      <c r="N6036" s="12"/>
      <c r="O6036" s="9" t="str">
        <f aca="false">HYPERLINK("https://abs.twimg.com/sticky/default_profile_images/default_profile_normal.png","View")</f>
        <v>View</v>
      </c>
      <c r="P6036" s="10"/>
    </row>
    <row r="6037" customFormat="false" ht="15.75" hidden="false" customHeight="false" outlineLevel="0" collapsed="false">
      <c r="A6037" s="6" t="n">
        <v>43031.0180092593</v>
      </c>
      <c r="B6037" s="7" t="str">
        <f aca="false">HYPERLINK("https://twitter.com/yoarha","@yoarha")</f>
        <v>@yoarha</v>
      </c>
      <c r="C6037" s="8" t="s">
        <v>13880</v>
      </c>
      <c r="D6037" s="8" t="s">
        <v>12216</v>
      </c>
      <c r="E6037" s="9" t="str">
        <f aca="false">HYPERLINK("https://twitter.com/yoarha/status/922363442484432897","922363442484432897")</f>
        <v>922363442484432897</v>
      </c>
      <c r="F6037" s="10" t="s">
        <v>39</v>
      </c>
      <c r="G6037" s="10" t="n">
        <v>184</v>
      </c>
      <c r="H6037" s="10" t="n">
        <v>578</v>
      </c>
      <c r="I6037" s="10" t="n">
        <v>16</v>
      </c>
      <c r="J6037" s="10" t="n">
        <v>0</v>
      </c>
      <c r="K6037" s="10" t="s">
        <v>20</v>
      </c>
      <c r="L6037" s="11" t="n">
        <v>40904.1002546296</v>
      </c>
      <c r="M6037" s="13" t="s">
        <v>13881</v>
      </c>
      <c r="N6037" s="13" t="s">
        <v>13882</v>
      </c>
      <c r="O6037" s="9" t="str">
        <f aca="false">HYPERLINK("https://pbs.twimg.com/profile_images/885502689467146240/Hk4BLDZe_normal.jpg","View")</f>
        <v>View</v>
      </c>
      <c r="P6037" s="10"/>
    </row>
    <row r="6038" customFormat="false" ht="15.75" hidden="false" customHeight="false" outlineLevel="0" collapsed="false">
      <c r="A6038" s="6" t="n">
        <v>43031.0182523148</v>
      </c>
      <c r="B6038" s="7" t="str">
        <f aca="false">HYPERLINK("https://twitter.com/MandarSawant184","@MandarSawant184")</f>
        <v>@MandarSawant184</v>
      </c>
      <c r="C6038" s="8" t="s">
        <v>13883</v>
      </c>
      <c r="D6038" s="8" t="s">
        <v>8538</v>
      </c>
      <c r="E6038" s="9" t="str">
        <f aca="false">HYPERLINK("https://twitter.com/MandarSawant184/status/922363533874081792","922363533874081792")</f>
        <v>922363533874081792</v>
      </c>
      <c r="F6038" s="10" t="s">
        <v>25</v>
      </c>
      <c r="G6038" s="10" t="n">
        <v>2075</v>
      </c>
      <c r="H6038" s="10" t="n">
        <v>1385</v>
      </c>
      <c r="I6038" s="10" t="n">
        <v>1015</v>
      </c>
      <c r="J6038" s="10" t="n">
        <v>0</v>
      </c>
      <c r="K6038" s="10" t="s">
        <v>20</v>
      </c>
      <c r="L6038" s="11" t="n">
        <v>41328.0777083333</v>
      </c>
      <c r="M6038" s="12" t="s">
        <v>860</v>
      </c>
      <c r="N6038" s="12" t="s">
        <v>13884</v>
      </c>
      <c r="O6038" s="9" t="str">
        <f aca="false">HYPERLINK("https://pbs.twimg.com/profile_images/511175640385478657/M8MXOyr8_normal.jpeg","View")</f>
        <v>View</v>
      </c>
      <c r="P6038" s="10"/>
    </row>
    <row r="6039" customFormat="false" ht="15.75" hidden="false" customHeight="false" outlineLevel="0" collapsed="false">
      <c r="A6039" s="6" t="n">
        <v>43031.0183217593</v>
      </c>
      <c r="B6039" s="7" t="str">
        <f aca="false">HYPERLINK("https://twitter.com/boyliu2017","@boyliu2017")</f>
        <v>@boyliu2017</v>
      </c>
      <c r="C6039" s="8" t="s">
        <v>13885</v>
      </c>
      <c r="D6039" s="8" t="s">
        <v>13886</v>
      </c>
      <c r="E6039" s="9" t="str">
        <f aca="false">HYPERLINK("https://twitter.com/boyliu2017/status/922363555843731456","922363555843731456")</f>
        <v>922363555843731456</v>
      </c>
      <c r="F6039" s="10" t="s">
        <v>39</v>
      </c>
      <c r="G6039" s="10" t="n">
        <v>8</v>
      </c>
      <c r="H6039" s="10" t="n">
        <v>60</v>
      </c>
      <c r="I6039" s="10" t="n">
        <v>0</v>
      </c>
      <c r="J6039" s="10" t="n">
        <v>0</v>
      </c>
      <c r="K6039" s="10" t="s">
        <v>20</v>
      </c>
      <c r="L6039" s="11" t="n">
        <v>42962.1055787037</v>
      </c>
      <c r="M6039" s="12"/>
      <c r="N6039" s="12"/>
      <c r="O6039" s="9" t="str">
        <f aca="false">HYPERLINK("https://pbs.twimg.com/profile_images/897393445374840832/w85sgDbX_normal.jpg","View")</f>
        <v>View</v>
      </c>
      <c r="P6039" s="10"/>
    </row>
    <row r="6040" customFormat="false" ht="15.75" hidden="false" customHeight="false" outlineLevel="0" collapsed="false">
      <c r="A6040" s="6" t="n">
        <v>43031.0184027778</v>
      </c>
      <c r="B6040" s="7" t="str">
        <f aca="false">HYPERLINK("https://twitter.com/Hareshudupa","@Hareshudupa")</f>
        <v>@Hareshudupa</v>
      </c>
      <c r="C6040" s="8" t="s">
        <v>13887</v>
      </c>
      <c r="D6040" s="8" t="s">
        <v>8538</v>
      </c>
      <c r="E6040" s="9" t="str">
        <f aca="false">HYPERLINK("https://twitter.com/Hareshudupa/status/922363589024825345","922363589024825345")</f>
        <v>922363589024825345</v>
      </c>
      <c r="F6040" s="10" t="s">
        <v>25</v>
      </c>
      <c r="G6040" s="10" t="n">
        <v>68</v>
      </c>
      <c r="H6040" s="10" t="n">
        <v>167</v>
      </c>
      <c r="I6040" s="10" t="n">
        <v>1015</v>
      </c>
      <c r="J6040" s="10" t="n">
        <v>0</v>
      </c>
      <c r="K6040" s="10" t="s">
        <v>20</v>
      </c>
      <c r="L6040" s="11" t="n">
        <v>41931.012650463</v>
      </c>
      <c r="M6040" s="12"/>
      <c r="N6040" s="12" t="s">
        <v>13888</v>
      </c>
      <c r="O6040" s="9" t="str">
        <f aca="false">HYPERLINK("https://abs.twimg.com/sticky/default_profile_images/default_profile_normal.png","View")</f>
        <v>View</v>
      </c>
      <c r="P6040" s="10"/>
    </row>
    <row r="6041" customFormat="false" ht="15.75" hidden="false" customHeight="false" outlineLevel="0" collapsed="false">
      <c r="A6041" s="6" t="n">
        <v>43031.0186111111</v>
      </c>
      <c r="B6041" s="7" t="str">
        <f aca="false">HYPERLINK("https://twitter.com/emrs08","@emrs08")</f>
        <v>@emrs08</v>
      </c>
      <c r="C6041" s="8" t="s">
        <v>13889</v>
      </c>
      <c r="D6041" s="8" t="s">
        <v>12764</v>
      </c>
      <c r="E6041" s="9" t="str">
        <f aca="false">HYPERLINK("https://twitter.com/emrs08/status/922363662827966464","922363662827966464")</f>
        <v>922363662827966464</v>
      </c>
      <c r="F6041" s="10" t="s">
        <v>25</v>
      </c>
      <c r="G6041" s="10" t="n">
        <v>266</v>
      </c>
      <c r="H6041" s="10" t="n">
        <v>506</v>
      </c>
      <c r="I6041" s="10" t="n">
        <v>170</v>
      </c>
      <c r="J6041" s="10" t="n">
        <v>0</v>
      </c>
      <c r="K6041" s="10" t="s">
        <v>20</v>
      </c>
      <c r="L6041" s="11" t="n">
        <v>40821.7761574074</v>
      </c>
      <c r="M6041" s="12" t="s">
        <v>13890</v>
      </c>
      <c r="N6041" s="12"/>
      <c r="O6041" s="9" t="str">
        <f aca="false">HYPERLINK("https://pbs.twimg.com/profile_images/899068439658188801/Rb7vqcwM_normal.jpg","View")</f>
        <v>View</v>
      </c>
      <c r="P6041" s="10"/>
    </row>
    <row r="6042" customFormat="false" ht="15.75" hidden="false" customHeight="false" outlineLevel="0" collapsed="false">
      <c r="A6042" s="6" t="n">
        <v>43031.0186574074</v>
      </c>
      <c r="B6042" s="7" t="str">
        <f aca="false">HYPERLINK("https://twitter.com/dwnews","@dwnews")</f>
        <v>@dwnews</v>
      </c>
      <c r="C6042" s="8" t="s">
        <v>3526</v>
      </c>
      <c r="D6042" s="8" t="s">
        <v>13891</v>
      </c>
      <c r="E6042" s="9" t="str">
        <f aca="false">HYPERLINK("https://twitter.com/dwnews/status/922363681261936640","922363681261936640")</f>
        <v>922363681261936640</v>
      </c>
      <c r="F6042" s="10" t="s">
        <v>276</v>
      </c>
      <c r="G6042" s="10" t="n">
        <v>160613</v>
      </c>
      <c r="H6042" s="10" t="n">
        <v>866</v>
      </c>
      <c r="I6042" s="10" t="n">
        <v>7</v>
      </c>
      <c r="J6042" s="10" t="n">
        <v>6</v>
      </c>
      <c r="K6042" s="10" t="s">
        <v>20</v>
      </c>
      <c r="L6042" s="11" t="n">
        <v>39220.1672453704</v>
      </c>
      <c r="M6042" s="12" t="s">
        <v>3528</v>
      </c>
      <c r="N6042" s="12" t="s">
        <v>3529</v>
      </c>
      <c r="O6042" s="9" t="str">
        <f aca="false">HYPERLINK("https://pbs.twimg.com/profile_images/900261211509489666/-1Fu5hU8_normal.jpg","View")</f>
        <v>View</v>
      </c>
      <c r="P6042" s="10"/>
    </row>
    <row r="6043" customFormat="false" ht="15.75" hidden="false" customHeight="false" outlineLevel="0" collapsed="false">
      <c r="A6043" s="6" t="n">
        <v>43031.0186921296</v>
      </c>
      <c r="B6043" s="7" t="str">
        <f aca="false">HYPERLINK("https://twitter.com/rohanrwt96","@rohanrwt96")</f>
        <v>@rohanrwt96</v>
      </c>
      <c r="C6043" s="8" t="s">
        <v>13892</v>
      </c>
      <c r="D6043" s="8" t="s">
        <v>8538</v>
      </c>
      <c r="E6043" s="9" t="str">
        <f aca="false">HYPERLINK("https://twitter.com/rohanrwt96/status/922363691726753797","922363691726753797")</f>
        <v>922363691726753797</v>
      </c>
      <c r="F6043" s="10" t="s">
        <v>25</v>
      </c>
      <c r="G6043" s="10" t="n">
        <v>200</v>
      </c>
      <c r="H6043" s="10" t="n">
        <v>105</v>
      </c>
      <c r="I6043" s="10" t="n">
        <v>1015</v>
      </c>
      <c r="J6043" s="10" t="n">
        <v>0</v>
      </c>
      <c r="K6043" s="10" t="s">
        <v>20</v>
      </c>
      <c r="L6043" s="11" t="n">
        <v>41615.8455092593</v>
      </c>
      <c r="M6043" s="12" t="s">
        <v>64</v>
      </c>
      <c r="N6043" s="12" t="s">
        <v>13893</v>
      </c>
      <c r="O6043" s="9" t="str">
        <f aca="false">HYPERLINK("https://pbs.twimg.com/profile_images/922660149042360321/Ec_QOp7N_normal.jpg","View")</f>
        <v>View</v>
      </c>
      <c r="P6043" s="10"/>
    </row>
    <row r="6044" customFormat="false" ht="15.75" hidden="false" customHeight="false" outlineLevel="0" collapsed="false">
      <c r="A6044" s="6" t="n">
        <v>43031.0187152778</v>
      </c>
      <c r="B6044" s="7" t="str">
        <f aca="false">HYPERLINK("https://twitter.com/Starbuck_1978","@Starbuck_1978")</f>
        <v>@Starbuck_1978</v>
      </c>
      <c r="C6044" s="8" t="s">
        <v>13894</v>
      </c>
      <c r="D6044" s="8" t="s">
        <v>13595</v>
      </c>
      <c r="E6044" s="9" t="str">
        <f aca="false">HYPERLINK("https://twitter.com/Starbuck_1978/status/922363698404057089","922363698404057089")</f>
        <v>922363698404057089</v>
      </c>
      <c r="F6044" s="10" t="s">
        <v>39</v>
      </c>
      <c r="G6044" s="10" t="n">
        <v>100</v>
      </c>
      <c r="H6044" s="10" t="n">
        <v>263</v>
      </c>
      <c r="I6044" s="10" t="n">
        <v>88</v>
      </c>
      <c r="J6044" s="10" t="n">
        <v>0</v>
      </c>
      <c r="K6044" s="10" t="s">
        <v>20</v>
      </c>
      <c r="L6044" s="11" t="n">
        <v>42384.0784027778</v>
      </c>
      <c r="M6044" s="12" t="s">
        <v>13895</v>
      </c>
      <c r="N6044" s="12"/>
      <c r="O6044" s="9" t="str">
        <f aca="false">HYPERLINK("https://pbs.twimg.com/profile_images/732578890720378880/3yNSjJ37_normal.jpg","View")</f>
        <v>View</v>
      </c>
      <c r="P6044" s="10"/>
    </row>
    <row r="6045" customFormat="false" ht="15.75" hidden="false" customHeight="false" outlineLevel="0" collapsed="false">
      <c r="A6045" s="6" t="n">
        <v>43031.0191203704</v>
      </c>
      <c r="B6045" s="7" t="str">
        <f aca="false">HYPERLINK("https://twitter.com/matthewhanzel18","@matthewhanzel18")</f>
        <v>@matthewhanzel18</v>
      </c>
      <c r="C6045" s="8" t="s">
        <v>13896</v>
      </c>
      <c r="D6045" s="8" t="s">
        <v>13253</v>
      </c>
      <c r="E6045" s="9" t="str">
        <f aca="false">HYPERLINK("https://twitter.com/matthewhanzel18/status/922363847872208897","922363847872208897")</f>
        <v>922363847872208897</v>
      </c>
      <c r="F6045" s="10" t="s">
        <v>1643</v>
      </c>
      <c r="G6045" s="10" t="n">
        <v>483</v>
      </c>
      <c r="H6045" s="10" t="n">
        <v>687</v>
      </c>
      <c r="I6045" s="10" t="n">
        <v>22</v>
      </c>
      <c r="J6045" s="10" t="n">
        <v>0</v>
      </c>
      <c r="K6045" s="10" t="s">
        <v>20</v>
      </c>
      <c r="L6045" s="11" t="n">
        <v>39977.4301157407</v>
      </c>
      <c r="M6045" s="12" t="s">
        <v>13897</v>
      </c>
      <c r="N6045" s="12" t="s">
        <v>13898</v>
      </c>
      <c r="O6045" s="9" t="str">
        <f aca="false">HYPERLINK("https://pbs.twimg.com/profile_images/515523006550917120/HmgKGwEr_normal.jpeg","View")</f>
        <v>View</v>
      </c>
      <c r="P6045" s="10"/>
    </row>
    <row r="6046" customFormat="false" ht="15.75" hidden="false" customHeight="false" outlineLevel="0" collapsed="false">
      <c r="A6046" s="6" t="n">
        <v>43031.0193518519</v>
      </c>
      <c r="B6046" s="7" t="str">
        <f aca="false">HYPERLINK("https://twitter.com/rjber15","@rjber15")</f>
        <v>@rjber15</v>
      </c>
      <c r="C6046" s="8" t="s">
        <v>13899</v>
      </c>
      <c r="D6046" s="8" t="s">
        <v>4124</v>
      </c>
      <c r="E6046" s="9" t="str">
        <f aca="false">HYPERLINK("https://twitter.com/rjber15/status/922363931963936768","922363931963936768")</f>
        <v>922363931963936768</v>
      </c>
      <c r="F6046" s="10" t="s">
        <v>177</v>
      </c>
      <c r="G6046" s="10" t="n">
        <v>1977</v>
      </c>
      <c r="H6046" s="10" t="n">
        <v>592</v>
      </c>
      <c r="I6046" s="10" t="n">
        <v>111</v>
      </c>
      <c r="J6046" s="10" t="n">
        <v>0</v>
      </c>
      <c r="K6046" s="10" t="s">
        <v>20</v>
      </c>
      <c r="L6046" s="11" t="n">
        <v>39981.8275231481</v>
      </c>
      <c r="M6046" s="12" t="s">
        <v>13900</v>
      </c>
      <c r="N6046" s="12" t="s">
        <v>13901</v>
      </c>
      <c r="O6046" s="9" t="str">
        <f aca="false">HYPERLINK("https://pbs.twimg.com/profile_images/913533503265841152/vR9_PYfS_normal.jpg","View")</f>
        <v>View</v>
      </c>
      <c r="P6046" s="10"/>
    </row>
    <row r="6047" customFormat="false" ht="15.75" hidden="false" customHeight="false" outlineLevel="0" collapsed="false">
      <c r="A6047" s="6" t="n">
        <v>43031.019375</v>
      </c>
      <c r="B6047" s="7" t="str">
        <f aca="false">HYPERLINK("https://twitter.com/Thoton","@Thoton")</f>
        <v>@Thoton</v>
      </c>
      <c r="C6047" s="8" t="s">
        <v>13902</v>
      </c>
      <c r="D6047" s="8" t="s">
        <v>13903</v>
      </c>
      <c r="E6047" s="9" t="str">
        <f aca="false">HYPERLINK("https://twitter.com/Thoton/status/922363940625039360","922363940625039360")</f>
        <v>922363940625039360</v>
      </c>
      <c r="F6047" s="10" t="s">
        <v>177</v>
      </c>
      <c r="G6047" s="10" t="n">
        <v>14228</v>
      </c>
      <c r="H6047" s="10" t="n">
        <v>4525</v>
      </c>
      <c r="I6047" s="10" t="n">
        <v>7</v>
      </c>
      <c r="J6047" s="10" t="n">
        <v>0</v>
      </c>
      <c r="K6047" s="10" t="s">
        <v>20</v>
      </c>
      <c r="L6047" s="11" t="n">
        <v>40388.1461805556</v>
      </c>
      <c r="M6047" s="12" t="s">
        <v>13904</v>
      </c>
      <c r="N6047" s="13" t="s">
        <v>13905</v>
      </c>
      <c r="O6047" s="9" t="str">
        <f aca="false">HYPERLINK("https://pbs.twimg.com/profile_images/875394157409320960/gQZv_1O4_normal.jpg","View")</f>
        <v>View</v>
      </c>
      <c r="P6047" s="10"/>
    </row>
    <row r="6048" customFormat="false" ht="15.75" hidden="false" customHeight="false" outlineLevel="0" collapsed="false">
      <c r="A6048" s="6" t="n">
        <v>43031.0194097222</v>
      </c>
      <c r="B6048" s="7" t="str">
        <f aca="false">HYPERLINK("https://twitter.com/rajeevvindhya","@rajeevvindhya")</f>
        <v>@rajeevvindhya</v>
      </c>
      <c r="C6048" s="8" t="s">
        <v>13906</v>
      </c>
      <c r="D6048" s="8" t="s">
        <v>8538</v>
      </c>
      <c r="E6048" s="9" t="str">
        <f aca="false">HYPERLINK("https://twitter.com/rajeevvindhya/status/922363950821294081","922363950821294081")</f>
        <v>922363950821294081</v>
      </c>
      <c r="F6048" s="10" t="s">
        <v>25</v>
      </c>
      <c r="G6048" s="10" t="n">
        <v>65</v>
      </c>
      <c r="H6048" s="10" t="n">
        <v>97</v>
      </c>
      <c r="I6048" s="10" t="n">
        <v>1015</v>
      </c>
      <c r="J6048" s="10" t="n">
        <v>0</v>
      </c>
      <c r="K6048" s="10" t="s">
        <v>20</v>
      </c>
      <c r="L6048" s="11" t="n">
        <v>40136.9319675926</v>
      </c>
      <c r="M6048" s="12" t="s">
        <v>13907</v>
      </c>
      <c r="N6048" s="12"/>
      <c r="O6048" s="9" t="str">
        <f aca="false">HYPERLINK("https://pbs.twimg.com/profile_images/753121431412760576/1Lm5DD5y_normal.jpg","View")</f>
        <v>View</v>
      </c>
      <c r="P6048" s="10"/>
    </row>
    <row r="6049" customFormat="false" ht="15.75" hidden="false" customHeight="false" outlineLevel="0" collapsed="false">
      <c r="A6049" s="6" t="n">
        <v>43031.0196064815</v>
      </c>
      <c r="B6049" s="7" t="str">
        <f aca="false">HYPERLINK("https://twitter.com/McHarryboyy","@McHarryboyy")</f>
        <v>@McHarryboyy</v>
      </c>
      <c r="C6049" s="8" t="s">
        <v>13348</v>
      </c>
      <c r="D6049" s="8" t="s">
        <v>13908</v>
      </c>
      <c r="E6049" s="9" t="str">
        <f aca="false">HYPERLINK("https://twitter.com/McHarryboyy/status/922364021927501825","922364021927501825")</f>
        <v>922364021927501825</v>
      </c>
      <c r="F6049" s="10" t="s">
        <v>55</v>
      </c>
      <c r="G6049" s="10" t="n">
        <v>351</v>
      </c>
      <c r="H6049" s="10" t="n">
        <v>447</v>
      </c>
      <c r="I6049" s="10" t="n">
        <v>0</v>
      </c>
      <c r="J6049" s="10" t="n">
        <v>0</v>
      </c>
      <c r="K6049" s="10" t="s">
        <v>20</v>
      </c>
      <c r="L6049" s="11" t="n">
        <v>40965.9512615741</v>
      </c>
      <c r="M6049" s="12" t="s">
        <v>13350</v>
      </c>
      <c r="N6049" s="12" t="s">
        <v>13351</v>
      </c>
      <c r="O6049" s="9" t="str">
        <f aca="false">HYPERLINK("https://pbs.twimg.com/profile_images/742452919866396672/KrreM7Hd_normal.jpg","View")</f>
        <v>View</v>
      </c>
      <c r="P6049" s="10"/>
    </row>
    <row r="6050" customFormat="false" ht="15.75" hidden="false" customHeight="false" outlineLevel="0" collapsed="false">
      <c r="A6050" s="6" t="n">
        <v>43031.0196759259</v>
      </c>
      <c r="B6050" s="7" t="str">
        <f aca="false">HYPERLINK("https://twitter.com/nvision_360","@nvision_360")</f>
        <v>@nvision_360</v>
      </c>
      <c r="C6050" s="8" t="s">
        <v>9559</v>
      </c>
      <c r="D6050" s="8" t="s">
        <v>13909</v>
      </c>
      <c r="E6050" s="9" t="str">
        <f aca="false">HYPERLINK("https://twitter.com/nvision_360/status/922364048036937729","922364048036937729")</f>
        <v>922364048036937729</v>
      </c>
      <c r="F6050" s="10" t="s">
        <v>9561</v>
      </c>
      <c r="G6050" s="10" t="n">
        <v>1453</v>
      </c>
      <c r="H6050" s="10" t="n">
        <v>2018</v>
      </c>
      <c r="I6050" s="10" t="n">
        <v>0</v>
      </c>
      <c r="J6050" s="10" t="n">
        <v>0</v>
      </c>
      <c r="K6050" s="10" t="s">
        <v>20</v>
      </c>
      <c r="L6050" s="11" t="n">
        <v>42227.4337037037</v>
      </c>
      <c r="M6050" s="12" t="s">
        <v>4532</v>
      </c>
      <c r="N6050" s="12" t="s">
        <v>9562</v>
      </c>
      <c r="O6050" s="9" t="str">
        <f aca="false">HYPERLINK("https://pbs.twimg.com/profile_images/631155294437924864/W9LiiFDF_normal.png","View")</f>
        <v>View</v>
      </c>
      <c r="P6050" s="10"/>
    </row>
    <row r="6051" customFormat="false" ht="15.75" hidden="false" customHeight="false" outlineLevel="0" collapsed="false">
      <c r="A6051" s="6" t="n">
        <v>43031.0197106482</v>
      </c>
      <c r="B6051" s="7" t="str">
        <f aca="false">HYPERLINK("https://twitter.com/newsvideosfeed","@newsvideosfeed")</f>
        <v>@newsvideosfeed</v>
      </c>
      <c r="C6051" s="8" t="s">
        <v>13357</v>
      </c>
      <c r="D6051" s="8" t="s">
        <v>13910</v>
      </c>
      <c r="E6051" s="9" t="str">
        <f aca="false">HYPERLINK("https://twitter.com/newsvideosfeed/status/922364062838661120","922364062838661120")</f>
        <v>922364062838661120</v>
      </c>
      <c r="F6051" s="10" t="s">
        <v>55</v>
      </c>
      <c r="G6051" s="10" t="n">
        <v>18</v>
      </c>
      <c r="H6051" s="10" t="n">
        <v>0</v>
      </c>
      <c r="I6051" s="10" t="n">
        <v>0</v>
      </c>
      <c r="J6051" s="10" t="n">
        <v>0</v>
      </c>
      <c r="K6051" s="10" t="s">
        <v>20</v>
      </c>
      <c r="L6051" s="11" t="n">
        <v>42555.4005902778</v>
      </c>
      <c r="M6051" s="12"/>
      <c r="N6051" s="12"/>
      <c r="O6051" s="9" t="str">
        <f aca="false">HYPERLINK("https://pbs.twimg.com/profile_images/750038609156341760/6i6MJaj0_normal.jpg","View")</f>
        <v>View</v>
      </c>
      <c r="P6051" s="10"/>
    </row>
    <row r="6052" customFormat="false" ht="15.75" hidden="false" customHeight="false" outlineLevel="0" collapsed="false">
      <c r="A6052" s="6" t="n">
        <v>43031.0199421296</v>
      </c>
      <c r="B6052" s="7" t="str">
        <f aca="false">HYPERLINK("https://twitter.com/BetsyR0bson","@BetsyR0bson")</f>
        <v>@BetsyR0bson</v>
      </c>
      <c r="C6052" s="8" t="s">
        <v>13911</v>
      </c>
      <c r="D6052" s="8" t="s">
        <v>13114</v>
      </c>
      <c r="E6052" s="9" t="str">
        <f aca="false">HYPERLINK("https://twitter.com/BetsyR0bson/status/922364143641989121","922364143641989121")</f>
        <v>922364143641989121</v>
      </c>
      <c r="F6052" s="10" t="s">
        <v>25</v>
      </c>
      <c r="G6052" s="10" t="n">
        <v>19</v>
      </c>
      <c r="H6052" s="10" t="n">
        <v>319</v>
      </c>
      <c r="I6052" s="10" t="n">
        <v>19</v>
      </c>
      <c r="J6052" s="10" t="n">
        <v>0</v>
      </c>
      <c r="K6052" s="10" t="s">
        <v>20</v>
      </c>
      <c r="L6052" s="11" t="n">
        <v>42063.4538194445</v>
      </c>
      <c r="M6052" s="12" t="s">
        <v>13912</v>
      </c>
      <c r="N6052" s="12" t="s">
        <v>13913</v>
      </c>
      <c r="O6052" s="9" t="str">
        <f aca="false">HYPERLINK("https://pbs.twimg.com/profile_images/770372917129572352/OM6ucqG5_normal.jpg","View")</f>
        <v>View</v>
      </c>
      <c r="P6052" s="10"/>
    </row>
    <row r="6053" customFormat="false" ht="15.75" hidden="false" customHeight="false" outlineLevel="0" collapsed="false">
      <c r="A6053" s="6" t="n">
        <v>43031.0201388889</v>
      </c>
      <c r="B6053" s="7" t="str">
        <f aca="false">HYPERLINK("https://twitter.com/pallmalld","@pallmalld")</f>
        <v>@pallmalld</v>
      </c>
      <c r="C6053" s="8" t="s">
        <v>13914</v>
      </c>
      <c r="D6053" s="8" t="s">
        <v>13741</v>
      </c>
      <c r="E6053" s="9" t="str">
        <f aca="false">HYPERLINK("https://twitter.com/pallmalld/status/922364216677318656","922364216677318656")</f>
        <v>922364216677318656</v>
      </c>
      <c r="F6053" s="10" t="s">
        <v>25</v>
      </c>
      <c r="G6053" s="10" t="n">
        <v>2692</v>
      </c>
      <c r="H6053" s="10" t="n">
        <v>200</v>
      </c>
      <c r="I6053" s="10" t="n">
        <v>17</v>
      </c>
      <c r="J6053" s="10" t="n">
        <v>0</v>
      </c>
      <c r="K6053" s="10" t="s">
        <v>20</v>
      </c>
      <c r="L6053" s="11" t="n">
        <v>40193.7300578704</v>
      </c>
      <c r="M6053" s="12" t="s">
        <v>13915</v>
      </c>
      <c r="N6053" s="13" t="s">
        <v>13916</v>
      </c>
      <c r="O6053" s="9" t="str">
        <f aca="false">HYPERLINK("https://pbs.twimg.com/profile_images/509686525836001281/Aae2qzO2_normal.png","View")</f>
        <v>View</v>
      </c>
      <c r="P6053" s="10"/>
    </row>
    <row r="6054" customFormat="false" ht="15.75" hidden="false" customHeight="false" outlineLevel="0" collapsed="false">
      <c r="A6054" s="6" t="n">
        <v>43031.0203472222</v>
      </c>
      <c r="B6054" s="7" t="str">
        <f aca="false">HYPERLINK("https://twitter.com/salimjavedAB","@salimjavedAB")</f>
        <v>@salimjavedAB</v>
      </c>
      <c r="C6054" s="8" t="s">
        <v>13917</v>
      </c>
      <c r="D6054" s="8" t="s">
        <v>4124</v>
      </c>
      <c r="E6054" s="9" t="str">
        <f aca="false">HYPERLINK("https://twitter.com/salimjavedAB/status/922364291856130049","922364291856130049")</f>
        <v>922364291856130049</v>
      </c>
      <c r="F6054" s="10" t="s">
        <v>51</v>
      </c>
      <c r="G6054" s="10" t="n">
        <v>1784</v>
      </c>
      <c r="H6054" s="10" t="n">
        <v>514</v>
      </c>
      <c r="I6054" s="10" t="n">
        <v>111</v>
      </c>
      <c r="J6054" s="10" t="n">
        <v>0</v>
      </c>
      <c r="K6054" s="10" t="s">
        <v>20</v>
      </c>
      <c r="L6054" s="11" t="n">
        <v>42140.4253472222</v>
      </c>
      <c r="M6054" s="12" t="s">
        <v>253</v>
      </c>
      <c r="N6054" s="12" t="s">
        <v>13918</v>
      </c>
      <c r="O6054" s="9" t="str">
        <f aca="false">HYPERLINK("https://pbs.twimg.com/profile_images/730401024884641796/8wIJHYZC_normal.jpg","View")</f>
        <v>View</v>
      </c>
      <c r="P6054" s="10"/>
    </row>
    <row r="6055" customFormat="false" ht="15.75" hidden="false" customHeight="false" outlineLevel="0" collapsed="false">
      <c r="A6055" s="6" t="n">
        <v>43031.0206597222</v>
      </c>
      <c r="B6055" s="7" t="str">
        <f aca="false">HYPERLINK("https://twitter.com/kate_hawkins776","@kate_hawkins776")</f>
        <v>@kate_hawkins776</v>
      </c>
      <c r="C6055" s="8" t="s">
        <v>13919</v>
      </c>
      <c r="D6055" s="8" t="s">
        <v>4124</v>
      </c>
      <c r="E6055" s="9" t="str">
        <f aca="false">HYPERLINK("https://twitter.com/kate_hawkins776/status/922364407035830272","922364407035830272")</f>
        <v>922364407035830272</v>
      </c>
      <c r="F6055" s="10" t="s">
        <v>51</v>
      </c>
      <c r="G6055" s="10" t="n">
        <v>622</v>
      </c>
      <c r="H6055" s="10" t="n">
        <v>842</v>
      </c>
      <c r="I6055" s="10" t="n">
        <v>111</v>
      </c>
      <c r="J6055" s="10" t="n">
        <v>0</v>
      </c>
      <c r="K6055" s="10" t="s">
        <v>20</v>
      </c>
      <c r="L6055" s="11" t="n">
        <v>41162.7017939815</v>
      </c>
      <c r="M6055" s="12" t="s">
        <v>230</v>
      </c>
      <c r="N6055" s="12" t="s">
        <v>13920</v>
      </c>
      <c r="O6055" s="9" t="str">
        <f aca="false">HYPERLINK("https://pbs.twimg.com/profile_images/862864129106690048/2isOM99a_normal.jpg","View")</f>
        <v>View</v>
      </c>
      <c r="P6055" s="10"/>
    </row>
    <row r="6056" customFormat="false" ht="15.75" hidden="false" customHeight="false" outlineLevel="0" collapsed="false">
      <c r="A6056" s="6" t="n">
        <v>43031.0206712963</v>
      </c>
      <c r="B6056" s="7" t="str">
        <f aca="false">HYPERLINK("https://twitter.com/SFutono","@SFutono")</f>
        <v>@SFutono</v>
      </c>
      <c r="C6056" s="14" t="s">
        <v>13921</v>
      </c>
      <c r="D6056" s="8" t="s">
        <v>13922</v>
      </c>
      <c r="E6056" s="9" t="str">
        <f aca="false">HYPERLINK("https://twitter.com/SFutono/status/922364408554127360","922364408554127360")</f>
        <v>922364408554127360</v>
      </c>
      <c r="F6056" s="10" t="s">
        <v>39</v>
      </c>
      <c r="G6056" s="10" t="n">
        <v>32984</v>
      </c>
      <c r="H6056" s="10" t="n">
        <v>33862</v>
      </c>
      <c r="I6056" s="10" t="n">
        <v>2</v>
      </c>
      <c r="J6056" s="10" t="n">
        <v>0</v>
      </c>
      <c r="K6056" s="10" t="s">
        <v>20</v>
      </c>
      <c r="L6056" s="11" t="n">
        <v>40709.1977430556</v>
      </c>
      <c r="M6056" s="12" t="s">
        <v>13923</v>
      </c>
      <c r="N6056" s="12" t="s">
        <v>13924</v>
      </c>
      <c r="O6056" s="9" t="str">
        <f aca="false">HYPERLINK("https://pbs.twimg.com/profile_images/2725160568/cc0e2f0f812eb8a062214d5ae78cb816_normal.png","View")</f>
        <v>View</v>
      </c>
      <c r="P6056" s="10"/>
    </row>
    <row r="6057" customFormat="false" ht="15.75" hidden="false" customHeight="false" outlineLevel="0" collapsed="false">
      <c r="A6057" s="6" t="n">
        <v>43031.0207175926</v>
      </c>
      <c r="B6057" s="7" t="str">
        <f aca="false">HYPERLINK("https://twitter.com/hereisarun","@hereisarun")</f>
        <v>@hereisarun</v>
      </c>
      <c r="C6057" s="8" t="s">
        <v>13925</v>
      </c>
      <c r="D6057" s="8" t="s">
        <v>8538</v>
      </c>
      <c r="E6057" s="9" t="str">
        <f aca="false">HYPERLINK("https://twitter.com/hereisarun/status/922364426576990208","922364426576990208")</f>
        <v>922364426576990208</v>
      </c>
      <c r="F6057" s="10" t="s">
        <v>51</v>
      </c>
      <c r="G6057" s="10" t="n">
        <v>270</v>
      </c>
      <c r="H6057" s="10" t="n">
        <v>1635</v>
      </c>
      <c r="I6057" s="10" t="n">
        <v>1015</v>
      </c>
      <c r="J6057" s="10" t="n">
        <v>0</v>
      </c>
      <c r="K6057" s="10" t="s">
        <v>20</v>
      </c>
      <c r="L6057" s="11" t="n">
        <v>39791.1363425926</v>
      </c>
      <c r="M6057" s="12" t="s">
        <v>868</v>
      </c>
      <c r="N6057" s="12" t="s">
        <v>13926</v>
      </c>
      <c r="O6057" s="9" t="str">
        <f aca="false">HYPERLINK("https://pbs.twimg.com/profile_images/680605498199035904/BM1Xwfl1_normal.jpg","View")</f>
        <v>View</v>
      </c>
      <c r="P6057" s="10"/>
    </row>
    <row r="6058" customFormat="false" ht="15.75" hidden="false" customHeight="false" outlineLevel="0" collapsed="false">
      <c r="A6058" s="6" t="n">
        <v>43031.0208449074</v>
      </c>
      <c r="B6058" s="7" t="str">
        <f aca="false">HYPERLINK("https://twitter.com/thetimes","@thetimes")</f>
        <v>@thetimes</v>
      </c>
      <c r="C6058" s="8" t="s">
        <v>1891</v>
      </c>
      <c r="D6058" s="8" t="s">
        <v>13927</v>
      </c>
      <c r="E6058" s="9" t="str">
        <f aca="false">HYPERLINK("https://twitter.com/thetimes/status/922364471955345408","922364471955345408")</f>
        <v>922364471955345408</v>
      </c>
      <c r="F6058" s="10" t="s">
        <v>1893</v>
      </c>
      <c r="G6058" s="10" t="n">
        <v>1049613</v>
      </c>
      <c r="H6058" s="10" t="n">
        <v>674</v>
      </c>
      <c r="I6058" s="10" t="n">
        <v>9</v>
      </c>
      <c r="J6058" s="10" t="n">
        <v>8</v>
      </c>
      <c r="K6058" s="10" t="s">
        <v>20</v>
      </c>
      <c r="L6058" s="11" t="n">
        <v>39219.274525463</v>
      </c>
      <c r="M6058" s="12" t="s">
        <v>893</v>
      </c>
      <c r="N6058" s="12" t="s">
        <v>1894</v>
      </c>
      <c r="O6058" s="9" t="str">
        <f aca="false">HYPERLINK("https://pbs.twimg.com/profile_images/881879546101891073/KoNl5qpa_normal.jpg","View")</f>
        <v>View</v>
      </c>
      <c r="P6058" s="10"/>
    </row>
    <row r="6059" customFormat="false" ht="15.75" hidden="false" customHeight="false" outlineLevel="0" collapsed="false">
      <c r="A6059" s="6" t="n">
        <v>43031.0209375</v>
      </c>
      <c r="B6059" s="7" t="str">
        <f aca="false">HYPERLINK("https://twitter.com/geopakistanitv","@geopakistanitv")</f>
        <v>@geopakistanitv</v>
      </c>
      <c r="C6059" s="8" t="s">
        <v>13928</v>
      </c>
      <c r="D6059" s="8" t="s">
        <v>13929</v>
      </c>
      <c r="E6059" s="9" t="str">
        <f aca="false">HYPERLINK("https://twitter.com/geopakistanitv/status/922364505128136704","922364505128136704")</f>
        <v>922364505128136704</v>
      </c>
      <c r="F6059" s="10" t="s">
        <v>13930</v>
      </c>
      <c r="G6059" s="10" t="n">
        <v>174</v>
      </c>
      <c r="H6059" s="10" t="n">
        <v>19</v>
      </c>
      <c r="I6059" s="10" t="n">
        <v>0</v>
      </c>
      <c r="J6059" s="10" t="n">
        <v>0</v>
      </c>
      <c r="K6059" s="10" t="s">
        <v>20</v>
      </c>
      <c r="L6059" s="11" t="n">
        <v>42042.53625</v>
      </c>
      <c r="M6059" s="12"/>
      <c r="N6059" s="12"/>
      <c r="O6059" s="9" t="str">
        <f aca="false">HYPERLINK("https://pbs.twimg.com/profile_images/564549597322682368/0GG2ouol_normal.jpeg","View")</f>
        <v>View</v>
      </c>
      <c r="P6059" s="10"/>
    </row>
    <row r="6060" customFormat="false" ht="15.75" hidden="false" customHeight="false" outlineLevel="0" collapsed="false">
      <c r="A6060" s="6" t="n">
        <v>43031.0210185185</v>
      </c>
      <c r="B6060" s="7" t="str">
        <f aca="false">HYPERLINK("https://twitter.com/MashfiqlB","@MashfiqlB")</f>
        <v>@MashfiqlB</v>
      </c>
      <c r="C6060" s="8" t="s">
        <v>13931</v>
      </c>
      <c r="D6060" s="8" t="s">
        <v>13903</v>
      </c>
      <c r="E6060" s="9" t="str">
        <f aca="false">HYPERLINK("https://twitter.com/MashfiqlB/status/922364533313695745","922364533313695745")</f>
        <v>922364533313695745</v>
      </c>
      <c r="F6060" s="10" t="s">
        <v>25</v>
      </c>
      <c r="G6060" s="10" t="n">
        <v>83</v>
      </c>
      <c r="H6060" s="10" t="n">
        <v>254</v>
      </c>
      <c r="I6060" s="10" t="n">
        <v>7</v>
      </c>
      <c r="J6060" s="10" t="n">
        <v>0</v>
      </c>
      <c r="K6060" s="10" t="s">
        <v>20</v>
      </c>
      <c r="L6060" s="11" t="n">
        <v>41744.843912037</v>
      </c>
      <c r="M6060" s="12" t="s">
        <v>13932</v>
      </c>
      <c r="N6060" s="12" t="s">
        <v>13933</v>
      </c>
      <c r="O6060" s="9" t="str">
        <f aca="false">HYPERLINK("https://pbs.twimg.com/profile_images/875653607181307905/SfHtSqIZ_normal.jpg","View")</f>
        <v>View</v>
      </c>
      <c r="P6060" s="10"/>
    </row>
    <row r="6061" customFormat="false" ht="15.75" hidden="false" customHeight="false" outlineLevel="0" collapsed="false">
      <c r="A6061" s="6" t="n">
        <v>43031.0213657408</v>
      </c>
      <c r="B6061" s="7" t="str">
        <f aca="false">HYPERLINK("https://twitter.com/vikidotcom","@vikidotcom")</f>
        <v>@vikidotcom</v>
      </c>
      <c r="C6061" s="8" t="s">
        <v>13934</v>
      </c>
      <c r="D6061" s="8" t="s">
        <v>13935</v>
      </c>
      <c r="E6061" s="9" t="str">
        <f aca="false">HYPERLINK("https://twitter.com/vikidotcom/status/922364661139247104","922364661139247104")</f>
        <v>922364661139247104</v>
      </c>
      <c r="F6061" s="10" t="s">
        <v>39</v>
      </c>
      <c r="G6061" s="10" t="n">
        <v>272</v>
      </c>
      <c r="H6061" s="10" t="n">
        <v>414</v>
      </c>
      <c r="I6061" s="10" t="n">
        <v>0</v>
      </c>
      <c r="J6061" s="10" t="n">
        <v>0</v>
      </c>
      <c r="K6061" s="10" t="s">
        <v>20</v>
      </c>
      <c r="L6061" s="11" t="n">
        <v>40685.0784722222</v>
      </c>
      <c r="M6061" s="12" t="s">
        <v>13936</v>
      </c>
      <c r="N6061" s="12" t="s">
        <v>730</v>
      </c>
      <c r="O6061" s="9" t="str">
        <f aca="false">HYPERLINK("https://pbs.twimg.com/profile_images/822626832268804096/RC9s7Itv_normal.jpg","View")</f>
        <v>View</v>
      </c>
      <c r="P6061" s="10"/>
    </row>
    <row r="6062" customFormat="false" ht="15.75" hidden="false" customHeight="false" outlineLevel="0" collapsed="false">
      <c r="A6062" s="6" t="n">
        <v>43031.0216666667</v>
      </c>
      <c r="B6062" s="7" t="str">
        <f aca="false">HYPERLINK("https://twitter.com/granamoryoko18","@granamoryoko18")</f>
        <v>@granamoryoko18</v>
      </c>
      <c r="C6062" s="8" t="s">
        <v>13937</v>
      </c>
      <c r="D6062" s="8" t="s">
        <v>12216</v>
      </c>
      <c r="E6062" s="9" t="str">
        <f aca="false">HYPERLINK("https://twitter.com/granamoryoko18/status/922364768450633728","922364768450633728")</f>
        <v>922364768450633728</v>
      </c>
      <c r="F6062" s="10" t="s">
        <v>51</v>
      </c>
      <c r="G6062" s="10" t="n">
        <v>1354</v>
      </c>
      <c r="H6062" s="10" t="n">
        <v>566</v>
      </c>
      <c r="I6062" s="10" t="n">
        <v>16</v>
      </c>
      <c r="J6062" s="10" t="n">
        <v>0</v>
      </c>
      <c r="K6062" s="10" t="s">
        <v>20</v>
      </c>
      <c r="L6062" s="11" t="n">
        <v>42589.937337963</v>
      </c>
      <c r="M6062" s="12" t="s">
        <v>13938</v>
      </c>
      <c r="N6062" s="12" t="s">
        <v>13939</v>
      </c>
      <c r="O6062" s="9" t="str">
        <f aca="false">HYPERLINK("https://pbs.twimg.com/profile_images/917398701055676416/wD8zlFD3_normal.jpg","View")</f>
        <v>View</v>
      </c>
      <c r="P6062" s="10"/>
    </row>
    <row r="6063" customFormat="false" ht="15.75" hidden="false" customHeight="false" outlineLevel="0" collapsed="false">
      <c r="A6063" s="6" t="n">
        <v>43031.0216898148</v>
      </c>
      <c r="B6063" s="7" t="str">
        <f aca="false">HYPERLINK("https://twitter.com/dunaisiaka","@dunaisiaka")</f>
        <v>@dunaisiaka</v>
      </c>
      <c r="C6063" s="8" t="s">
        <v>9767</v>
      </c>
      <c r="D6063" s="8" t="s">
        <v>12764</v>
      </c>
      <c r="E6063" s="9" t="str">
        <f aca="false">HYPERLINK("https://twitter.com/dunaisiaka/status/922364776600276992","922364776600276992")</f>
        <v>922364776600276992</v>
      </c>
      <c r="F6063" s="10" t="s">
        <v>177</v>
      </c>
      <c r="G6063" s="10" t="n">
        <v>45306</v>
      </c>
      <c r="H6063" s="10" t="n">
        <v>42339</v>
      </c>
      <c r="I6063" s="10" t="n">
        <v>170</v>
      </c>
      <c r="J6063" s="10" t="n">
        <v>0</v>
      </c>
      <c r="K6063" s="10" t="s">
        <v>20</v>
      </c>
      <c r="L6063" s="11" t="n">
        <v>41021.4910300926</v>
      </c>
      <c r="M6063" s="12" t="s">
        <v>9768</v>
      </c>
      <c r="N6063" s="12" t="s">
        <v>9769</v>
      </c>
      <c r="O6063" s="9" t="str">
        <f aca="false">HYPERLINK("https://pbs.twimg.com/profile_images/631107598780137477/x3PG0bOv_normal.jpg","View")</f>
        <v>View</v>
      </c>
      <c r="P6063" s="10"/>
    </row>
    <row r="6064" customFormat="false" ht="15.75" hidden="false" customHeight="false" outlineLevel="0" collapsed="false">
      <c r="A6064" s="6" t="n">
        <v>43031.0218634259</v>
      </c>
      <c r="B6064" s="7" t="str">
        <f aca="false">HYPERLINK("https://twitter.com/jaiswalra","@jaiswalra")</f>
        <v>@jaiswalra</v>
      </c>
      <c r="C6064" s="8" t="s">
        <v>13940</v>
      </c>
      <c r="D6064" s="8" t="s">
        <v>8538</v>
      </c>
      <c r="E6064" s="9" t="str">
        <f aca="false">HYPERLINK("https://twitter.com/jaiswalra/status/922364839585923077","922364839585923077")</f>
        <v>922364839585923077</v>
      </c>
      <c r="F6064" s="10" t="s">
        <v>98</v>
      </c>
      <c r="G6064" s="10" t="n">
        <v>32</v>
      </c>
      <c r="H6064" s="10" t="n">
        <v>205</v>
      </c>
      <c r="I6064" s="10" t="n">
        <v>1015</v>
      </c>
      <c r="J6064" s="10" t="n">
        <v>0</v>
      </c>
      <c r="K6064" s="10" t="s">
        <v>20</v>
      </c>
      <c r="L6064" s="11" t="n">
        <v>40142.0737268519</v>
      </c>
      <c r="M6064" s="12" t="s">
        <v>13941</v>
      </c>
      <c r="N6064" s="12" t="s">
        <v>13942</v>
      </c>
      <c r="O6064" s="9" t="str">
        <f aca="false">HYPERLINK("https://pbs.twimg.com/profile_images/893460174228168705/UOQq8D-p_normal.jpg","View")</f>
        <v>View</v>
      </c>
      <c r="P6064" s="10"/>
    </row>
    <row r="6065" customFormat="false" ht="15.75" hidden="false" customHeight="false" outlineLevel="0" collapsed="false">
      <c r="A6065" s="6" t="n">
        <v>43031.0219212963</v>
      </c>
      <c r="B6065" s="7" t="str">
        <f aca="false">HYPERLINK("https://twitter.com/perhan_le_gitan","@perhan_le_gitan")</f>
        <v>@perhan_le_gitan</v>
      </c>
      <c r="C6065" s="14" t="s">
        <v>13943</v>
      </c>
      <c r="D6065" s="8" t="s">
        <v>12764</v>
      </c>
      <c r="E6065" s="9" t="str">
        <f aca="false">HYPERLINK("https://twitter.com/perhan_le_gitan/status/922364861371138048","922364861371138048")</f>
        <v>922364861371138048</v>
      </c>
      <c r="F6065" s="10" t="s">
        <v>51</v>
      </c>
      <c r="G6065" s="10" t="n">
        <v>559</v>
      </c>
      <c r="H6065" s="10" t="n">
        <v>165</v>
      </c>
      <c r="I6065" s="10" t="n">
        <v>170</v>
      </c>
      <c r="J6065" s="10" t="n">
        <v>0</v>
      </c>
      <c r="K6065" s="10" t="s">
        <v>20</v>
      </c>
      <c r="L6065" s="11" t="n">
        <v>40439.2295717593</v>
      </c>
      <c r="M6065" s="12" t="s">
        <v>13944</v>
      </c>
      <c r="N6065" s="13" t="s">
        <v>13945</v>
      </c>
      <c r="O6065" s="9" t="str">
        <f aca="false">HYPERLINK("https://pbs.twimg.com/profile_images/599558011007307776/OhUXUKtK_normal.jpg","View")</f>
        <v>View</v>
      </c>
      <c r="P6065" s="10"/>
    </row>
    <row r="6066" customFormat="false" ht="15.75" hidden="false" customHeight="false" outlineLevel="0" collapsed="false">
      <c r="A6066" s="6" t="n">
        <v>43031.0219907407</v>
      </c>
      <c r="B6066" s="7" t="str">
        <f aca="false">HYPERLINK("https://twitter.com/ghari1","@ghari1")</f>
        <v>@ghari1</v>
      </c>
      <c r="C6066" s="8" t="s">
        <v>13946</v>
      </c>
      <c r="D6066" s="8" t="s">
        <v>8538</v>
      </c>
      <c r="E6066" s="9" t="str">
        <f aca="false">HYPERLINK("https://twitter.com/ghari1/status/922364885849186304","922364885849186304")</f>
        <v>922364885849186304</v>
      </c>
      <c r="F6066" s="10" t="s">
        <v>51</v>
      </c>
      <c r="G6066" s="10" t="n">
        <v>942</v>
      </c>
      <c r="H6066" s="10" t="n">
        <v>984</v>
      </c>
      <c r="I6066" s="10" t="n">
        <v>1015</v>
      </c>
      <c r="J6066" s="10" t="n">
        <v>0</v>
      </c>
      <c r="K6066" s="10" t="s">
        <v>20</v>
      </c>
      <c r="L6066" s="11" t="n">
        <v>40303.9686574074</v>
      </c>
      <c r="M6066" s="12" t="s">
        <v>1529</v>
      </c>
      <c r="N6066" s="12" t="s">
        <v>13947</v>
      </c>
      <c r="O6066" s="9" t="str">
        <f aca="false">HYPERLINK("https://pbs.twimg.com/profile_images/825902696343367680/BfpavY1r_normal.jpg","View")</f>
        <v>View</v>
      </c>
      <c r="P6066" s="10"/>
    </row>
    <row r="6067" customFormat="false" ht="15.75" hidden="false" customHeight="false" outlineLevel="0" collapsed="false">
      <c r="A6067" s="6" t="n">
        <v>43031.0223842593</v>
      </c>
      <c r="B6067" s="7" t="str">
        <f aca="false">HYPERLINK("https://twitter.com/shoos4u","@shoos4u")</f>
        <v>@shoos4u</v>
      </c>
      <c r="C6067" s="8" t="s">
        <v>13948</v>
      </c>
      <c r="D6067" s="8" t="s">
        <v>4124</v>
      </c>
      <c r="E6067" s="9" t="str">
        <f aca="false">HYPERLINK("https://twitter.com/shoos4u/status/922365030598721536","922365030598721536")</f>
        <v>922365030598721536</v>
      </c>
      <c r="F6067" s="10" t="s">
        <v>98</v>
      </c>
      <c r="G6067" s="10" t="n">
        <v>564</v>
      </c>
      <c r="H6067" s="10" t="n">
        <v>301</v>
      </c>
      <c r="I6067" s="10" t="n">
        <v>111</v>
      </c>
      <c r="J6067" s="10" t="n">
        <v>0</v>
      </c>
      <c r="K6067" s="10" t="s">
        <v>20</v>
      </c>
      <c r="L6067" s="11" t="n">
        <v>41585.3437268519</v>
      </c>
      <c r="M6067" s="12"/>
      <c r="N6067" s="12"/>
      <c r="O6067" s="9" t="str">
        <f aca="false">HYPERLINK("https://pbs.twimg.com/profile_images/868640228227010562/r5aAdxk4_normal.jpg","View")</f>
        <v>View</v>
      </c>
      <c r="P6067" s="10"/>
    </row>
    <row r="6068" customFormat="false" ht="15.75" hidden="false" customHeight="false" outlineLevel="0" collapsed="false">
      <c r="A6068" s="6" t="n">
        <v>43031.0224537037</v>
      </c>
      <c r="B6068" s="7" t="str">
        <f aca="false">HYPERLINK("https://twitter.com/matglobal","@matglobal")</f>
        <v>@matglobal</v>
      </c>
      <c r="C6068" s="8" t="s">
        <v>3976</v>
      </c>
      <c r="D6068" s="8" t="s">
        <v>13949</v>
      </c>
      <c r="E6068" s="9" t="str">
        <f aca="false">HYPERLINK("https://twitter.com/matglobal/status/922365054519009280","922365054519009280")</f>
        <v>922365054519009280</v>
      </c>
      <c r="F6068" s="10" t="s">
        <v>55</v>
      </c>
      <c r="G6068" s="10" t="n">
        <v>1533</v>
      </c>
      <c r="H6068" s="10" t="n">
        <v>1475</v>
      </c>
      <c r="I6068" s="10" t="n">
        <v>0</v>
      </c>
      <c r="J6068" s="10" t="n">
        <v>0</v>
      </c>
      <c r="K6068" s="10" t="s">
        <v>20</v>
      </c>
      <c r="L6068" s="11" t="n">
        <v>40887.2283564815</v>
      </c>
      <c r="M6068" s="12" t="s">
        <v>2990</v>
      </c>
      <c r="N6068" s="12" t="s">
        <v>3978</v>
      </c>
      <c r="O6068" s="9" t="str">
        <f aca="false">HYPERLINK("https://pbs.twimg.com/profile_images/673814548684652544/cha7Er5K_normal.png","View")</f>
        <v>View</v>
      </c>
      <c r="P6068" s="10"/>
    </row>
    <row r="6069" customFormat="false" ht="15.75" hidden="false" customHeight="false" outlineLevel="0" collapsed="false">
      <c r="A6069" s="6" t="n">
        <v>43031.0224652778</v>
      </c>
      <c r="B6069" s="7" t="str">
        <f aca="false">HYPERLINK("https://twitter.com/LwangaMundo","@LwangaMundo")</f>
        <v>@LwangaMundo</v>
      </c>
      <c r="C6069" s="8" t="s">
        <v>13950</v>
      </c>
      <c r="D6069" s="8" t="s">
        <v>12764</v>
      </c>
      <c r="E6069" s="9" t="str">
        <f aca="false">HYPERLINK("https://twitter.com/LwangaMundo/status/922365060869230594","922365060869230594")</f>
        <v>922365060869230594</v>
      </c>
      <c r="F6069" s="10" t="s">
        <v>25</v>
      </c>
      <c r="G6069" s="10" t="n">
        <v>6036</v>
      </c>
      <c r="H6069" s="10" t="n">
        <v>5564</v>
      </c>
      <c r="I6069" s="10" t="n">
        <v>170</v>
      </c>
      <c r="J6069" s="10" t="n">
        <v>0</v>
      </c>
      <c r="K6069" s="10" t="s">
        <v>20</v>
      </c>
      <c r="L6069" s="11" t="n">
        <v>41031.1030092593</v>
      </c>
      <c r="M6069" s="12" t="s">
        <v>13951</v>
      </c>
      <c r="N6069" s="12" t="s">
        <v>13952</v>
      </c>
      <c r="O6069" s="9" t="str">
        <f aca="false">HYPERLINK("https://pbs.twimg.com/profile_images/923493251906195456/Nlcqjpvt_normal.jpg","View")</f>
        <v>View</v>
      </c>
      <c r="P6069" s="10"/>
    </row>
    <row r="6070" customFormat="false" ht="15.75" hidden="false" customHeight="false" outlineLevel="0" collapsed="false">
      <c r="A6070" s="6" t="n">
        <v>43031.0227083333</v>
      </c>
      <c r="B6070" s="7" t="str">
        <f aca="false">HYPERLINK("https://twitter.com/cmanzanomartin","@cmanzanomartin")</f>
        <v>@cmanzanomartin</v>
      </c>
      <c r="C6070" s="8" t="s">
        <v>13953</v>
      </c>
      <c r="D6070" s="8" t="s">
        <v>13954</v>
      </c>
      <c r="E6070" s="9" t="str">
        <f aca="false">HYPERLINK("https://twitter.com/cmanzanomartin/status/922365146407886848","922365146407886848")</f>
        <v>922365146407886848</v>
      </c>
      <c r="F6070" s="10" t="s">
        <v>25</v>
      </c>
      <c r="G6070" s="10" t="n">
        <v>45</v>
      </c>
      <c r="H6070" s="10" t="n">
        <v>206</v>
      </c>
      <c r="I6070" s="10" t="n">
        <v>9</v>
      </c>
      <c r="J6070" s="10" t="n">
        <v>0</v>
      </c>
      <c r="K6070" s="10" t="s">
        <v>20</v>
      </c>
      <c r="L6070" s="11" t="n">
        <v>42868.4453703704</v>
      </c>
      <c r="M6070" s="12" t="s">
        <v>13955</v>
      </c>
      <c r="N6070" s="12" t="s">
        <v>13956</v>
      </c>
      <c r="O6070" s="9" t="str">
        <f aca="false">HYPERLINK("https://pbs.twimg.com/profile_images/863451167002681347/g75HKpB2_normal.jpg","View")</f>
        <v>View</v>
      </c>
      <c r="P6070" s="10"/>
    </row>
    <row r="6071" customFormat="false" ht="15.75" hidden="false" customHeight="false" outlineLevel="0" collapsed="false">
      <c r="A6071" s="6" t="n">
        <v>43031.0227662037</v>
      </c>
      <c r="B6071" s="7" t="str">
        <f aca="false">HYPERLINK("https://twitter.com/rikkynomama","@rikkynomama")</f>
        <v>@rikkynomama</v>
      </c>
      <c r="C6071" s="14" t="s">
        <v>13957</v>
      </c>
      <c r="D6071" s="8" t="s">
        <v>13741</v>
      </c>
      <c r="E6071" s="9" t="str">
        <f aca="false">HYPERLINK("https://twitter.com/rikkynomama/status/922365168016752640","922365168016752640")</f>
        <v>922365168016752640</v>
      </c>
      <c r="F6071" s="10" t="s">
        <v>39</v>
      </c>
      <c r="G6071" s="10" t="n">
        <v>266</v>
      </c>
      <c r="H6071" s="10" t="n">
        <v>649</v>
      </c>
      <c r="I6071" s="10" t="n">
        <v>17</v>
      </c>
      <c r="J6071" s="10" t="n">
        <v>0</v>
      </c>
      <c r="K6071" s="10" t="s">
        <v>20</v>
      </c>
      <c r="L6071" s="11" t="n">
        <v>40924.1856944445</v>
      </c>
      <c r="M6071" s="12"/>
      <c r="N6071" s="13" t="s">
        <v>13958</v>
      </c>
      <c r="O6071" s="9" t="str">
        <f aca="false">HYPERLINK("https://pbs.twimg.com/profile_images/912738215169187840/gGEBVyBK_normal.jpg","View")</f>
        <v>View</v>
      </c>
      <c r="P6071" s="10"/>
    </row>
    <row r="6072" customFormat="false" ht="15.75" hidden="false" customHeight="false" outlineLevel="0" collapsed="false">
      <c r="A6072" s="6" t="n">
        <v>43031.0228125</v>
      </c>
      <c r="B6072" s="7" t="str">
        <f aca="false">HYPERLINK("https://twitter.com/ranumpowerplay","@ranumpowerplay")</f>
        <v>@ranumpowerplay</v>
      </c>
      <c r="C6072" s="8" t="s">
        <v>13959</v>
      </c>
      <c r="D6072" s="8" t="s">
        <v>13903</v>
      </c>
      <c r="E6072" s="9" t="str">
        <f aca="false">HYPERLINK("https://twitter.com/ranumpowerplay/status/922365183892189185","922365183892189185")</f>
        <v>922365183892189185</v>
      </c>
      <c r="F6072" s="10" t="s">
        <v>39</v>
      </c>
      <c r="G6072" s="10" t="n">
        <v>1666</v>
      </c>
      <c r="H6072" s="10" t="n">
        <v>5003</v>
      </c>
      <c r="I6072" s="10" t="n">
        <v>7</v>
      </c>
      <c r="J6072" s="10" t="n">
        <v>0</v>
      </c>
      <c r="K6072" s="10" t="s">
        <v>20</v>
      </c>
      <c r="L6072" s="11" t="n">
        <v>41846.1703356481</v>
      </c>
      <c r="M6072" s="12" t="s">
        <v>13960</v>
      </c>
      <c r="N6072" s="12" t="s">
        <v>13961</v>
      </c>
      <c r="O6072" s="9" t="str">
        <f aca="false">HYPERLINK("https://pbs.twimg.com/profile_images/493001086886637568/Wmr_hEd2_normal.jpeg","View")</f>
        <v>View</v>
      </c>
      <c r="P6072" s="10"/>
    </row>
    <row r="6073" customFormat="false" ht="15.75" hidden="false" customHeight="false" outlineLevel="0" collapsed="false">
      <c r="A6073" s="6" t="n">
        <v>43031.022962963</v>
      </c>
      <c r="B6073" s="7" t="str">
        <f aca="false">HYPERLINK("https://twitter.com/Japan_Guide1","@Japan_Guide1")</f>
        <v>@Japan_Guide1</v>
      </c>
      <c r="C6073" s="8" t="s">
        <v>2121</v>
      </c>
      <c r="D6073" s="8" t="s">
        <v>13962</v>
      </c>
      <c r="E6073" s="9" t="str">
        <f aca="false">HYPERLINK("https://twitter.com/Japan_Guide1/status/922365240519540736","922365240519540736")</f>
        <v>922365240519540736</v>
      </c>
      <c r="F6073" s="10" t="s">
        <v>39</v>
      </c>
      <c r="G6073" s="10" t="n">
        <v>129</v>
      </c>
      <c r="H6073" s="10" t="n">
        <v>8</v>
      </c>
      <c r="I6073" s="10" t="n">
        <v>0</v>
      </c>
      <c r="J6073" s="10" t="n">
        <v>0</v>
      </c>
      <c r="K6073" s="10" t="s">
        <v>20</v>
      </c>
      <c r="L6073" s="11" t="n">
        <v>41757.8528819444</v>
      </c>
      <c r="M6073" s="12" t="s">
        <v>574</v>
      </c>
      <c r="N6073" s="12" t="s">
        <v>2123</v>
      </c>
      <c r="O6073" s="9" t="str">
        <f aca="false">HYPERLINK("https://pbs.twimg.com/profile_images/461037999447240704/PtnAzrJz_normal.jpeg","View")</f>
        <v>View</v>
      </c>
      <c r="P6073" s="10"/>
    </row>
    <row r="6074" customFormat="false" ht="15.75" hidden="false" customHeight="false" outlineLevel="0" collapsed="false">
      <c r="A6074" s="6" t="n">
        <v>43031.0229976852</v>
      </c>
      <c r="B6074" s="7" t="str">
        <f aca="false">HYPERLINK("https://twitter.com/SFutono","@SFutono")</f>
        <v>@SFutono</v>
      </c>
      <c r="C6074" s="14" t="s">
        <v>13921</v>
      </c>
      <c r="D6074" s="8" t="s">
        <v>13813</v>
      </c>
      <c r="E6074" s="9" t="str">
        <f aca="false">HYPERLINK("https://twitter.com/SFutono/status/922365252649418753","922365252649418753")</f>
        <v>922365252649418753</v>
      </c>
      <c r="F6074" s="10" t="s">
        <v>39</v>
      </c>
      <c r="G6074" s="10" t="n">
        <v>32984</v>
      </c>
      <c r="H6074" s="10" t="n">
        <v>33862</v>
      </c>
      <c r="I6074" s="10" t="n">
        <v>2</v>
      </c>
      <c r="J6074" s="10" t="n">
        <v>0</v>
      </c>
      <c r="K6074" s="10" t="s">
        <v>20</v>
      </c>
      <c r="L6074" s="11" t="n">
        <v>40709.1977430556</v>
      </c>
      <c r="M6074" s="12" t="s">
        <v>13923</v>
      </c>
      <c r="N6074" s="12" t="s">
        <v>13924</v>
      </c>
      <c r="O6074" s="9" t="str">
        <f aca="false">HYPERLINK("https://pbs.twimg.com/profile_images/2725160568/cc0e2f0f812eb8a062214d5ae78cb816_normal.png","View")</f>
        <v>View</v>
      </c>
      <c r="P6074" s="10"/>
    </row>
    <row r="6075" customFormat="false" ht="15.75" hidden="false" customHeight="false" outlineLevel="0" collapsed="false">
      <c r="A6075" s="6" t="n">
        <v>43031.0232523148</v>
      </c>
      <c r="B6075" s="7" t="str">
        <f aca="false">HYPERLINK("https://twitter.com/TurkishBorg","@TurkishBorg")</f>
        <v>@TurkishBorg</v>
      </c>
      <c r="C6075" s="8" t="s">
        <v>13963</v>
      </c>
      <c r="D6075" s="8" t="s">
        <v>13964</v>
      </c>
      <c r="E6075" s="9" t="str">
        <f aca="false">HYPERLINK("https://twitter.com/TurkishBorg/status/922365344186011649","922365344186011649")</f>
        <v>922365344186011649</v>
      </c>
      <c r="F6075" s="10" t="s">
        <v>60</v>
      </c>
      <c r="G6075" s="10" t="n">
        <v>375</v>
      </c>
      <c r="H6075" s="10" t="n">
        <v>1237</v>
      </c>
      <c r="I6075" s="10" t="n">
        <v>0</v>
      </c>
      <c r="J6075" s="10" t="n">
        <v>0</v>
      </c>
      <c r="K6075" s="10" t="s">
        <v>20</v>
      </c>
      <c r="L6075" s="11" t="n">
        <v>41506.2895486111</v>
      </c>
      <c r="M6075" s="12"/>
      <c r="N6075" s="12" t="s">
        <v>13965</v>
      </c>
      <c r="O6075" s="9" t="str">
        <f aca="false">HYPERLINK("https://pbs.twimg.com/profile_images/842650044096561152/L1cSX1fm_normal.jpg","View")</f>
        <v>View</v>
      </c>
      <c r="P6075" s="10"/>
    </row>
    <row r="6076" customFormat="false" ht="15.75" hidden="false" customHeight="false" outlineLevel="0" collapsed="false">
      <c r="A6076" s="6" t="n">
        <v>43031.0232638889</v>
      </c>
      <c r="B6076" s="7" t="str">
        <f aca="false">HYPERLINK("https://twitter.com/KouratzisStef","@KouratzisStef")</f>
        <v>@KouratzisStef</v>
      </c>
      <c r="C6076" s="8" t="s">
        <v>13966</v>
      </c>
      <c r="D6076" s="8" t="s">
        <v>4124</v>
      </c>
      <c r="E6076" s="9" t="str">
        <f aca="false">HYPERLINK("https://twitter.com/KouratzisStef/status/922365350284529664","922365350284529664")</f>
        <v>922365350284529664</v>
      </c>
      <c r="F6076" s="10" t="s">
        <v>25</v>
      </c>
      <c r="G6076" s="10" t="n">
        <v>230</v>
      </c>
      <c r="H6076" s="10" t="n">
        <v>351</v>
      </c>
      <c r="I6076" s="10" t="n">
        <v>111</v>
      </c>
      <c r="J6076" s="10" t="n">
        <v>0</v>
      </c>
      <c r="K6076" s="10" t="s">
        <v>20</v>
      </c>
      <c r="L6076" s="11" t="n">
        <v>42267.5026851852</v>
      </c>
      <c r="M6076" s="12"/>
      <c r="N6076" s="12" t="s">
        <v>13967</v>
      </c>
      <c r="O6076" s="9" t="str">
        <f aca="false">HYPERLINK("https://pbs.twimg.com/profile_images/792807395835711489/P13R0bv9_normal.jpg","View")</f>
        <v>View</v>
      </c>
      <c r="P6076" s="10"/>
    </row>
    <row r="6077" customFormat="false" ht="15.75" hidden="false" customHeight="false" outlineLevel="0" collapsed="false">
      <c r="A6077" s="6" t="n">
        <v>43031.0233449074</v>
      </c>
      <c r="B6077" s="7" t="str">
        <f aca="false">HYPERLINK("https://twitter.com/thaitvnews","@thaitvnews")</f>
        <v>@thaitvnews</v>
      </c>
      <c r="C6077" s="8" t="s">
        <v>1096</v>
      </c>
      <c r="D6077" s="8" t="s">
        <v>13968</v>
      </c>
      <c r="E6077" s="9" t="str">
        <f aca="false">HYPERLINK("https://twitter.com/thaitvnews/status/922365376377303041","922365376377303041")</f>
        <v>922365376377303041</v>
      </c>
      <c r="F6077" s="10" t="s">
        <v>60</v>
      </c>
      <c r="G6077" s="10" t="n">
        <v>34589</v>
      </c>
      <c r="H6077" s="10" t="n">
        <v>21902</v>
      </c>
      <c r="I6077" s="10" t="n">
        <v>0</v>
      </c>
      <c r="J6077" s="10" t="n">
        <v>0</v>
      </c>
      <c r="K6077" s="10" t="s">
        <v>20</v>
      </c>
      <c r="L6077" s="11" t="n">
        <v>40210.8004861111</v>
      </c>
      <c r="M6077" s="12"/>
      <c r="N6077" s="12" t="s">
        <v>1098</v>
      </c>
      <c r="O6077" s="9" t="str">
        <f aca="false">HYPERLINK("https://pbs.twimg.com/profile_images/867228703096532994/JD5niRf4_normal.jpg","View")</f>
        <v>View</v>
      </c>
      <c r="P6077" s="10"/>
    </row>
    <row r="6078" customFormat="false" ht="15.75" hidden="false" customHeight="false" outlineLevel="0" collapsed="false">
      <c r="A6078" s="6" t="n">
        <v>43031.0233912037</v>
      </c>
      <c r="B6078" s="7" t="str">
        <f aca="false">HYPERLINK("https://twitter.com/Japan_Guide1","@Japan_Guide1")</f>
        <v>@Japan_Guide1</v>
      </c>
      <c r="C6078" s="8" t="s">
        <v>2121</v>
      </c>
      <c r="D6078" s="8" t="s">
        <v>13969</v>
      </c>
      <c r="E6078" s="9" t="str">
        <f aca="false">HYPERLINK("https://twitter.com/Japan_Guide1/status/922365393347411968","922365393347411968")</f>
        <v>922365393347411968</v>
      </c>
      <c r="F6078" s="10" t="s">
        <v>1658</v>
      </c>
      <c r="G6078" s="10" t="n">
        <v>129</v>
      </c>
      <c r="H6078" s="10" t="n">
        <v>8</v>
      </c>
      <c r="I6078" s="10" t="n">
        <v>0</v>
      </c>
      <c r="J6078" s="10" t="n">
        <v>0</v>
      </c>
      <c r="K6078" s="10" t="s">
        <v>20</v>
      </c>
      <c r="L6078" s="11" t="n">
        <v>41757.8528819444</v>
      </c>
      <c r="M6078" s="12" t="s">
        <v>574</v>
      </c>
      <c r="N6078" s="12" t="s">
        <v>2123</v>
      </c>
      <c r="O6078" s="9" t="str">
        <f aca="false">HYPERLINK("https://pbs.twimg.com/profile_images/461037999447240704/PtnAzrJz_normal.jpeg","View")</f>
        <v>View</v>
      </c>
      <c r="P6078" s="10"/>
    </row>
    <row r="6079" customFormat="false" ht="15.75" hidden="false" customHeight="false" outlineLevel="0" collapsed="false">
      <c r="A6079" s="6" t="n">
        <v>43031.0239351852</v>
      </c>
      <c r="B6079" s="7" t="str">
        <f aca="false">HYPERLINK("https://twitter.com/Marki_Lafayette","@Marki_Lafayette")</f>
        <v>@Marki_Lafayette</v>
      </c>
      <c r="C6079" s="8" t="s">
        <v>13970</v>
      </c>
      <c r="D6079" s="8" t="s">
        <v>13903</v>
      </c>
      <c r="E6079" s="9" t="str">
        <f aca="false">HYPERLINK("https://twitter.com/Marki_Lafayette/status/922365593059250177","922365593059250177")</f>
        <v>922365593059250177</v>
      </c>
      <c r="F6079" s="10" t="s">
        <v>276</v>
      </c>
      <c r="G6079" s="10" t="n">
        <v>1207</v>
      </c>
      <c r="H6079" s="10" t="n">
        <v>1542</v>
      </c>
      <c r="I6079" s="10" t="n">
        <v>7</v>
      </c>
      <c r="J6079" s="10" t="n">
        <v>0</v>
      </c>
      <c r="K6079" s="10" t="s">
        <v>20</v>
      </c>
      <c r="L6079" s="11" t="n">
        <v>42662.8063541667</v>
      </c>
      <c r="M6079" s="12" t="s">
        <v>1670</v>
      </c>
      <c r="N6079" s="12" t="s">
        <v>13971</v>
      </c>
      <c r="O6079" s="9" t="str">
        <f aca="false">HYPERLINK("https://pbs.twimg.com/profile_images/788933461461565440/vKgHCAXX_normal.jpg","View")</f>
        <v>View</v>
      </c>
      <c r="P6079" s="10"/>
    </row>
    <row r="6080" customFormat="false" ht="15.75" hidden="false" customHeight="false" outlineLevel="0" collapsed="false">
      <c r="A6080" s="6" t="n">
        <v>43031.0243634259</v>
      </c>
      <c r="B6080" s="7" t="str">
        <f aca="false">HYPERLINK("https://twitter.com/cocobluesky","@cocobluesky")</f>
        <v>@cocobluesky</v>
      </c>
      <c r="C6080" s="8" t="s">
        <v>13972</v>
      </c>
      <c r="D6080" s="8" t="s">
        <v>13595</v>
      </c>
      <c r="E6080" s="9" t="str">
        <f aca="false">HYPERLINK("https://twitter.com/cocobluesky/status/922365748483309569","922365748483309569")</f>
        <v>922365748483309569</v>
      </c>
      <c r="F6080" s="10" t="s">
        <v>51</v>
      </c>
      <c r="G6080" s="10" t="n">
        <v>3396</v>
      </c>
      <c r="H6080" s="10" t="n">
        <v>107</v>
      </c>
      <c r="I6080" s="10" t="n">
        <v>88</v>
      </c>
      <c r="J6080" s="10" t="n">
        <v>0</v>
      </c>
      <c r="K6080" s="10" t="s">
        <v>20</v>
      </c>
      <c r="L6080" s="11" t="n">
        <v>40209.0937037037</v>
      </c>
      <c r="M6080" s="12" t="s">
        <v>13973</v>
      </c>
      <c r="N6080" s="12" t="s">
        <v>13974</v>
      </c>
      <c r="O6080" s="9" t="str">
        <f aca="false">HYPERLINK("https://pbs.twimg.com/profile_images/562020000270000128/pheApMjP_normal.png","View")</f>
        <v>View</v>
      </c>
      <c r="P6080" s="10"/>
    </row>
    <row r="6081" customFormat="false" ht="15.75" hidden="false" customHeight="false" outlineLevel="0" collapsed="false">
      <c r="A6081" s="6" t="n">
        <v>43031.0253356481</v>
      </c>
      <c r="B6081" s="7" t="str">
        <f aca="false">HYPERLINK("https://twitter.com/DandA_Binder","@DandA_Binder")</f>
        <v>@DandA_Binder</v>
      </c>
      <c r="C6081" s="8" t="s">
        <v>13975</v>
      </c>
      <c r="D6081" s="8" t="s">
        <v>13976</v>
      </c>
      <c r="E6081" s="9" t="str">
        <f aca="false">HYPERLINK("https://twitter.com/DandA_Binder/status/922366100410634241","922366100410634241")</f>
        <v>922366100410634241</v>
      </c>
      <c r="F6081" s="10" t="s">
        <v>60</v>
      </c>
      <c r="G6081" s="10" t="n">
        <v>1012</v>
      </c>
      <c r="H6081" s="10" t="n">
        <v>669</v>
      </c>
      <c r="I6081" s="10" t="n">
        <v>0</v>
      </c>
      <c r="J6081" s="10" t="n">
        <v>0</v>
      </c>
      <c r="K6081" s="10" t="s">
        <v>20</v>
      </c>
      <c r="L6081" s="11" t="n">
        <v>42597.4859837963</v>
      </c>
      <c r="M6081" s="12" t="s">
        <v>13977</v>
      </c>
      <c r="N6081" s="12" t="s">
        <v>13978</v>
      </c>
      <c r="O6081" s="9" t="str">
        <f aca="false">HYPERLINK("https://pbs.twimg.com/profile_images/808627408475721728/-Zl6EJz9_normal.jpg","View")</f>
        <v>View</v>
      </c>
      <c r="P6081" s="10"/>
    </row>
    <row r="6082" customFormat="false" ht="15.75" hidden="false" customHeight="false" outlineLevel="0" collapsed="false">
      <c r="A6082" s="6" t="n">
        <v>43031.025462963</v>
      </c>
      <c r="B6082" s="7" t="str">
        <f aca="false">HYPERLINK("https://twitter.com/frattigiovanni","@frattigiovanni")</f>
        <v>@frattigiovanni</v>
      </c>
      <c r="C6082" s="8" t="s">
        <v>13098</v>
      </c>
      <c r="D6082" s="8" t="s">
        <v>13954</v>
      </c>
      <c r="E6082" s="9" t="str">
        <f aca="false">HYPERLINK("https://twitter.com/frattigiovanni/status/922366147617488896","922366147617488896")</f>
        <v>922366147617488896</v>
      </c>
      <c r="F6082" s="10" t="s">
        <v>51</v>
      </c>
      <c r="G6082" s="10" t="n">
        <v>10819</v>
      </c>
      <c r="H6082" s="10" t="n">
        <v>6794</v>
      </c>
      <c r="I6082" s="10" t="n">
        <v>9</v>
      </c>
      <c r="J6082" s="10" t="n">
        <v>0</v>
      </c>
      <c r="K6082" s="10" t="s">
        <v>20</v>
      </c>
      <c r="L6082" s="11" t="n">
        <v>41451.9286226852</v>
      </c>
      <c r="M6082" s="12" t="s">
        <v>13099</v>
      </c>
      <c r="N6082" s="12" t="s">
        <v>13100</v>
      </c>
      <c r="O6082" s="9" t="str">
        <f aca="false">HYPERLINK("https://pbs.twimg.com/profile_images/378800000052197752/b4f8f1c1ef3c5270d9083b84e9df1ecb_normal.jpeg","View")</f>
        <v>View</v>
      </c>
      <c r="P6082" s="10"/>
    </row>
    <row r="6083" customFormat="false" ht="15.75" hidden="false" customHeight="false" outlineLevel="0" collapsed="false">
      <c r="A6083" s="6" t="n">
        <v>43031.0254976852</v>
      </c>
      <c r="B6083" s="7" t="str">
        <f aca="false">HYPERLINK("https://twitter.com/YashKVerm","@YashKVerm")</f>
        <v>@YashKVerm</v>
      </c>
      <c r="C6083" s="8" t="s">
        <v>1066</v>
      </c>
      <c r="D6083" s="8" t="s">
        <v>13954</v>
      </c>
      <c r="E6083" s="9" t="str">
        <f aca="false">HYPERLINK("https://twitter.com/YashKVerm/status/922366158778413056","922366158778413056")</f>
        <v>922366158778413056</v>
      </c>
      <c r="F6083" s="10" t="s">
        <v>98</v>
      </c>
      <c r="G6083" s="10" t="n">
        <v>1872</v>
      </c>
      <c r="H6083" s="10" t="n">
        <v>4311</v>
      </c>
      <c r="I6083" s="10" t="n">
        <v>9</v>
      </c>
      <c r="J6083" s="10" t="n">
        <v>0</v>
      </c>
      <c r="K6083" s="10" t="s">
        <v>20</v>
      </c>
      <c r="L6083" s="11" t="n">
        <v>41244.3866782407</v>
      </c>
      <c r="M6083" s="12"/>
      <c r="N6083" s="12"/>
      <c r="O6083" s="9" t="str">
        <f aca="false">HYPERLINK("https://pbs.twimg.com/profile_images/461229918366339072/pa6jfXz9_normal.jpeg","View")</f>
        <v>View</v>
      </c>
      <c r="P6083" s="10"/>
    </row>
    <row r="6084" customFormat="false" ht="15.75" hidden="false" customHeight="false" outlineLevel="0" collapsed="false">
      <c r="A6084" s="6" t="n">
        <v>43031.0255208333</v>
      </c>
      <c r="B6084" s="7" t="str">
        <f aca="false">HYPERLINK("https://twitter.com/joleonbusby","@joleonbusby")</f>
        <v>@joleonbusby</v>
      </c>
      <c r="C6084" s="8" t="s">
        <v>583</v>
      </c>
      <c r="D6084" s="8" t="s">
        <v>12764</v>
      </c>
      <c r="E6084" s="9" t="str">
        <f aca="false">HYPERLINK("https://twitter.com/joleonbusby/status/922366167490154496","922366167490154496")</f>
        <v>922366167490154496</v>
      </c>
      <c r="F6084" s="10" t="s">
        <v>51</v>
      </c>
      <c r="G6084" s="10" t="n">
        <v>2904</v>
      </c>
      <c r="H6084" s="10" t="n">
        <v>227</v>
      </c>
      <c r="I6084" s="10" t="n">
        <v>170</v>
      </c>
      <c r="J6084" s="10" t="n">
        <v>0</v>
      </c>
      <c r="K6084" s="10" t="s">
        <v>20</v>
      </c>
      <c r="L6084" s="11" t="n">
        <v>41070.6292361111</v>
      </c>
      <c r="M6084" s="12" t="s">
        <v>584</v>
      </c>
      <c r="N6084" s="12" t="s">
        <v>585</v>
      </c>
      <c r="O6084" s="9" t="str">
        <f aca="false">HYPERLINK("https://pbs.twimg.com/profile_images/584022579960274945/uY7VIA1E_normal.jpg","View")</f>
        <v>View</v>
      </c>
      <c r="P6084" s="10"/>
    </row>
    <row r="6085" customFormat="false" ht="15.75" hidden="false" customHeight="false" outlineLevel="0" collapsed="false">
      <c r="A6085" s="6" t="n">
        <v>43031.0259722222</v>
      </c>
      <c r="B6085" s="7" t="str">
        <f aca="false">HYPERLINK("https://twitter.com/NikkiWili","@NikkiWili")</f>
        <v>@NikkiWili</v>
      </c>
      <c r="C6085" s="8" t="s">
        <v>13979</v>
      </c>
      <c r="D6085" s="8" t="s">
        <v>13954</v>
      </c>
      <c r="E6085" s="9" t="str">
        <f aca="false">HYPERLINK("https://twitter.com/NikkiWili/status/922366329155473414","922366329155473414")</f>
        <v>922366329155473414</v>
      </c>
      <c r="F6085" s="10" t="s">
        <v>13980</v>
      </c>
      <c r="G6085" s="10" t="n">
        <v>1656</v>
      </c>
      <c r="H6085" s="10" t="n">
        <v>1381</v>
      </c>
      <c r="I6085" s="10" t="n">
        <v>9</v>
      </c>
      <c r="J6085" s="10" t="n">
        <v>0</v>
      </c>
      <c r="K6085" s="10" t="s">
        <v>20</v>
      </c>
      <c r="L6085" s="11" t="n">
        <v>41434.291712963</v>
      </c>
      <c r="M6085" s="12" t="s">
        <v>13981</v>
      </c>
      <c r="N6085" s="12" t="s">
        <v>13982</v>
      </c>
      <c r="O6085" s="9" t="str">
        <f aca="false">HYPERLINK("https://pbs.twimg.com/profile_images/3776505568/354975b446addebf039a17a2d1b83ca2_normal.jpeg","View")</f>
        <v>View</v>
      </c>
      <c r="P6085" s="10"/>
    </row>
    <row r="6086" customFormat="false" ht="15.75" hidden="false" customHeight="false" outlineLevel="0" collapsed="false">
      <c r="A6086" s="6" t="n">
        <v>43031.0265393519</v>
      </c>
      <c r="B6086" s="7" t="str">
        <f aca="false">HYPERLINK("https://twitter.com/CalifCactus","@CalifCactus")</f>
        <v>@CalifCactus</v>
      </c>
      <c r="C6086" s="8" t="s">
        <v>13983</v>
      </c>
      <c r="D6086" s="8" t="s">
        <v>13954</v>
      </c>
      <c r="E6086" s="9" t="str">
        <f aca="false">HYPERLINK("https://twitter.com/CalifCactus/status/922366535779225601","922366535779225601")</f>
        <v>922366535779225601</v>
      </c>
      <c r="F6086" s="10" t="s">
        <v>51</v>
      </c>
      <c r="G6086" s="10" t="n">
        <v>810</v>
      </c>
      <c r="H6086" s="10" t="n">
        <v>1739</v>
      </c>
      <c r="I6086" s="10" t="n">
        <v>9</v>
      </c>
      <c r="J6086" s="10" t="n">
        <v>0</v>
      </c>
      <c r="K6086" s="10" t="s">
        <v>20</v>
      </c>
      <c r="L6086" s="11" t="n">
        <v>39968.2784837963</v>
      </c>
      <c r="M6086" s="12"/>
      <c r="N6086" s="12"/>
      <c r="O6086" s="9" t="str">
        <f aca="false">HYPERLINK("https://pbs.twimg.com/profile_images/1385589733/snowy-owl_normal.jpg","View")</f>
        <v>View</v>
      </c>
      <c r="P6086" s="10"/>
    </row>
    <row r="6087" customFormat="false" ht="15.75" hidden="false" customHeight="false" outlineLevel="0" collapsed="false">
      <c r="A6087" s="6" t="n">
        <v>43031.0265509259</v>
      </c>
      <c r="B6087" s="7" t="str">
        <f aca="false">HYPERLINK("https://twitter.com/BaileyWuNY","@BaileyWuNY")</f>
        <v>@BaileyWuNY</v>
      </c>
      <c r="C6087" s="8" t="s">
        <v>13984</v>
      </c>
      <c r="D6087" s="8" t="s">
        <v>13985</v>
      </c>
      <c r="E6087" s="9" t="str">
        <f aca="false">HYPERLINK("https://twitter.com/BaileyWuNY/status/922366540191854597","922366540191854597")</f>
        <v>922366540191854597</v>
      </c>
      <c r="F6087" s="10" t="s">
        <v>60</v>
      </c>
      <c r="G6087" s="10" t="n">
        <v>162</v>
      </c>
      <c r="H6087" s="10" t="n">
        <v>104</v>
      </c>
      <c r="I6087" s="10" t="n">
        <v>0</v>
      </c>
      <c r="J6087" s="10" t="n">
        <v>0</v>
      </c>
      <c r="K6087" s="10" t="s">
        <v>20</v>
      </c>
      <c r="L6087" s="11" t="n">
        <v>42200.4641435185</v>
      </c>
      <c r="M6087" s="12"/>
      <c r="N6087" s="12" t="s">
        <v>13986</v>
      </c>
      <c r="O6087" s="9" t="str">
        <f aca="false">HYPERLINK("https://pbs.twimg.com/profile_images/621381100661702656/v_J9pBlv_normal.jpg","View")</f>
        <v>View</v>
      </c>
      <c r="P6087" s="10"/>
    </row>
    <row r="6088" customFormat="false" ht="15.75" hidden="false" customHeight="false" outlineLevel="0" collapsed="false">
      <c r="A6088" s="6" t="n">
        <v>43031.0266319445</v>
      </c>
      <c r="B6088" s="7" t="str">
        <f aca="false">HYPERLINK("https://twitter.com/AnshuRathore99","@AnshuRathore99")</f>
        <v>@AnshuRathore99</v>
      </c>
      <c r="C6088" s="8" t="s">
        <v>13987</v>
      </c>
      <c r="D6088" s="8" t="s">
        <v>8538</v>
      </c>
      <c r="E6088" s="9" t="str">
        <f aca="false">HYPERLINK("https://twitter.com/AnshuRathore99/status/922366569610493953","922366569610493953")</f>
        <v>922366569610493953</v>
      </c>
      <c r="F6088" s="10" t="s">
        <v>25</v>
      </c>
      <c r="G6088" s="10" t="n">
        <v>468</v>
      </c>
      <c r="H6088" s="10" t="n">
        <v>437</v>
      </c>
      <c r="I6088" s="10" t="n">
        <v>1015</v>
      </c>
      <c r="J6088" s="10" t="n">
        <v>0</v>
      </c>
      <c r="K6088" s="10" t="s">
        <v>20</v>
      </c>
      <c r="L6088" s="11" t="n">
        <v>42531.3744791667</v>
      </c>
      <c r="M6088" s="12" t="s">
        <v>13988</v>
      </c>
      <c r="N6088" s="12" t="s">
        <v>13989</v>
      </c>
      <c r="O6088" s="9" t="str">
        <f aca="false">HYPERLINK("https://pbs.twimg.com/profile_images/906234078357102592/gVM0Ckip_normal.jpg","View")</f>
        <v>View</v>
      </c>
      <c r="P6088" s="10"/>
    </row>
    <row r="6089" customFormat="false" ht="15.75" hidden="false" customHeight="false" outlineLevel="0" collapsed="false">
      <c r="A6089" s="6" t="n">
        <v>43031.0266550926</v>
      </c>
      <c r="B6089" s="7" t="str">
        <f aca="false">HYPERLINK("https://twitter.com/Allnewsasia","@Allnewsasia")</f>
        <v>@Allnewsasia</v>
      </c>
      <c r="C6089" s="8" t="s">
        <v>1759</v>
      </c>
      <c r="D6089" s="8" t="s">
        <v>13990</v>
      </c>
      <c r="E6089" s="9" t="str">
        <f aca="false">HYPERLINK("https://twitter.com/Allnewsasia/status/922366579274321920","922366579274321920")</f>
        <v>922366579274321920</v>
      </c>
      <c r="F6089" s="10" t="s">
        <v>60</v>
      </c>
      <c r="G6089" s="10" t="n">
        <v>34883</v>
      </c>
      <c r="H6089" s="10" t="n">
        <v>2</v>
      </c>
      <c r="I6089" s="10" t="n">
        <v>0</v>
      </c>
      <c r="J6089" s="10" t="n">
        <v>0</v>
      </c>
      <c r="K6089" s="10" t="s">
        <v>20</v>
      </c>
      <c r="L6089" s="11" t="n">
        <v>40575.846087963</v>
      </c>
      <c r="M6089" s="12" t="s">
        <v>1761</v>
      </c>
      <c r="N6089" s="12" t="s">
        <v>1762</v>
      </c>
      <c r="O6089" s="9" t="str">
        <f aca="false">HYPERLINK("https://pbs.twimg.com/profile_images/576605924409802752/He_SuIL8_normal.jpeg","View")</f>
        <v>View</v>
      </c>
      <c r="P6089" s="10"/>
    </row>
    <row r="6090" customFormat="false" ht="15.75" hidden="false" customHeight="false" outlineLevel="0" collapsed="false">
      <c r="A6090" s="6" t="n">
        <v>43031.026724537</v>
      </c>
      <c r="B6090" s="7" t="str">
        <f aca="false">HYPERLINK("https://twitter.com/3NovicesAsian","@3NovicesAsian")</f>
        <v>@3NovicesAsian</v>
      </c>
      <c r="C6090" s="8" t="s">
        <v>12276</v>
      </c>
      <c r="D6090" s="8" t="s">
        <v>13991</v>
      </c>
      <c r="E6090" s="9" t="str">
        <f aca="false">HYPERLINK("https://twitter.com/3NovicesAsian/status/922366604628971520","922366604628971520")</f>
        <v>922366604628971520</v>
      </c>
      <c r="F6090" s="10" t="s">
        <v>60</v>
      </c>
      <c r="G6090" s="10" t="n">
        <v>524</v>
      </c>
      <c r="H6090" s="10" t="n">
        <v>656</v>
      </c>
      <c r="I6090" s="10" t="n">
        <v>0</v>
      </c>
      <c r="J6090" s="10" t="n">
        <v>0</v>
      </c>
      <c r="K6090" s="10" t="s">
        <v>20</v>
      </c>
      <c r="L6090" s="11" t="n">
        <v>42275.1021875</v>
      </c>
      <c r="M6090" s="12" t="s">
        <v>12278</v>
      </c>
      <c r="N6090" s="12" t="s">
        <v>1844</v>
      </c>
      <c r="O6090" s="9" t="str">
        <f aca="false">HYPERLINK("https://pbs.twimg.com/profile_images/648429611018121216/4W1NY8U1_normal.jpg","View")</f>
        <v>View</v>
      </c>
      <c r="P6090" s="10"/>
    </row>
    <row r="6091" customFormat="false" ht="15.75" hidden="false" customHeight="false" outlineLevel="0" collapsed="false">
      <c r="A6091" s="6" t="n">
        <v>43031.0268171296</v>
      </c>
      <c r="B6091" s="7" t="str">
        <f aca="false">HYPERLINK("https://twitter.com/Japan_Guide1","@Japan_Guide1")</f>
        <v>@Japan_Guide1</v>
      </c>
      <c r="C6091" s="8" t="s">
        <v>2121</v>
      </c>
      <c r="D6091" s="8" t="s">
        <v>13992</v>
      </c>
      <c r="E6091" s="9" t="str">
        <f aca="false">HYPERLINK("https://twitter.com/Japan_Guide1/status/922366636287340546","922366636287340546")</f>
        <v>922366636287340546</v>
      </c>
      <c r="F6091" s="10" t="s">
        <v>39</v>
      </c>
      <c r="G6091" s="10" t="n">
        <v>129</v>
      </c>
      <c r="H6091" s="10" t="n">
        <v>8</v>
      </c>
      <c r="I6091" s="10" t="n">
        <v>0</v>
      </c>
      <c r="J6091" s="10" t="n">
        <v>0</v>
      </c>
      <c r="K6091" s="10" t="s">
        <v>20</v>
      </c>
      <c r="L6091" s="11" t="n">
        <v>41757.8528819444</v>
      </c>
      <c r="M6091" s="12" t="s">
        <v>574</v>
      </c>
      <c r="N6091" s="12" t="s">
        <v>2123</v>
      </c>
      <c r="O6091" s="9" t="str">
        <f aca="false">HYPERLINK("https://pbs.twimg.com/profile_images/461037999447240704/PtnAzrJz_normal.jpeg","View")</f>
        <v>View</v>
      </c>
      <c r="P6091" s="10"/>
    </row>
    <row r="6092" customFormat="false" ht="15.75" hidden="false" customHeight="false" outlineLevel="0" collapsed="false">
      <c r="A6092" s="6" t="n">
        <v>43031.0269560185</v>
      </c>
      <c r="B6092" s="7" t="str">
        <f aca="false">HYPERLINK("https://twitter.com/Japan_Guide1","@Japan_Guide1")</f>
        <v>@Japan_Guide1</v>
      </c>
      <c r="C6092" s="8" t="s">
        <v>2121</v>
      </c>
      <c r="D6092" s="8" t="s">
        <v>13993</v>
      </c>
      <c r="E6092" s="9" t="str">
        <f aca="false">HYPERLINK("https://twitter.com/Japan_Guide1/status/922366685813895168","922366685813895168")</f>
        <v>922366685813895168</v>
      </c>
      <c r="F6092" s="10" t="s">
        <v>1658</v>
      </c>
      <c r="G6092" s="10" t="n">
        <v>129</v>
      </c>
      <c r="H6092" s="10" t="n">
        <v>8</v>
      </c>
      <c r="I6092" s="10" t="n">
        <v>0</v>
      </c>
      <c r="J6092" s="10" t="n">
        <v>0</v>
      </c>
      <c r="K6092" s="10" t="s">
        <v>20</v>
      </c>
      <c r="L6092" s="11" t="n">
        <v>41757.8528819444</v>
      </c>
      <c r="M6092" s="12" t="s">
        <v>574</v>
      </c>
      <c r="N6092" s="12" t="s">
        <v>2123</v>
      </c>
      <c r="O6092" s="9" t="str">
        <f aca="false">HYPERLINK("https://pbs.twimg.com/profile_images/461037999447240704/PtnAzrJz_normal.jpeg","View")</f>
        <v>View</v>
      </c>
      <c r="P6092" s="10"/>
    </row>
    <row r="6093" customFormat="false" ht="15.75" hidden="false" customHeight="false" outlineLevel="0" collapsed="false">
      <c r="A6093" s="6" t="n">
        <v>43031.0272337963</v>
      </c>
      <c r="B6093" s="7" t="str">
        <f aca="false">HYPERLINK("https://twitter.com/shrikantmhaske","@shrikantmhaske")</f>
        <v>@shrikantmhaske</v>
      </c>
      <c r="C6093" s="8" t="s">
        <v>13994</v>
      </c>
      <c r="D6093" s="8" t="s">
        <v>8538</v>
      </c>
      <c r="E6093" s="9" t="str">
        <f aca="false">HYPERLINK("https://twitter.com/shrikantmhaske/status/922366785659092992","922366785659092992")</f>
        <v>922366785659092992</v>
      </c>
      <c r="F6093" s="10" t="s">
        <v>25</v>
      </c>
      <c r="G6093" s="10" t="n">
        <v>313</v>
      </c>
      <c r="H6093" s="10" t="n">
        <v>361</v>
      </c>
      <c r="I6093" s="10" t="n">
        <v>1015</v>
      </c>
      <c r="J6093" s="10" t="n">
        <v>0</v>
      </c>
      <c r="K6093" s="10" t="s">
        <v>20</v>
      </c>
      <c r="L6093" s="11" t="n">
        <v>40021.0939467593</v>
      </c>
      <c r="M6093" s="12" t="s">
        <v>13995</v>
      </c>
      <c r="N6093" s="12" t="s">
        <v>13996</v>
      </c>
      <c r="O6093" s="9" t="str">
        <f aca="false">HYPERLINK("https://pbs.twimg.com/profile_images/378800000679011596/0519d9bb1ecbe96bdd5b95292e560938_normal.jpeg","View")</f>
        <v>View</v>
      </c>
      <c r="P6093" s="10"/>
    </row>
    <row r="6094" customFormat="false" ht="15.75" hidden="false" customHeight="false" outlineLevel="0" collapsed="false">
      <c r="A6094" s="6" t="n">
        <v>43031.0272337963</v>
      </c>
      <c r="B6094" s="7" t="str">
        <f aca="false">HYPERLINK("https://twitter.com/chantler_jaki","@chantler_jaki")</f>
        <v>@chantler_jaki</v>
      </c>
      <c r="C6094" s="8" t="s">
        <v>13997</v>
      </c>
      <c r="D6094" s="8" t="s">
        <v>12764</v>
      </c>
      <c r="E6094" s="9" t="str">
        <f aca="false">HYPERLINK("https://twitter.com/chantler_jaki/status/922366786124759041","922366786124759041")</f>
        <v>922366786124759041</v>
      </c>
      <c r="F6094" s="10" t="s">
        <v>177</v>
      </c>
      <c r="G6094" s="10" t="n">
        <v>353</v>
      </c>
      <c r="H6094" s="10" t="n">
        <v>250</v>
      </c>
      <c r="I6094" s="10" t="n">
        <v>170</v>
      </c>
      <c r="J6094" s="10" t="n">
        <v>0</v>
      </c>
      <c r="K6094" s="10" t="s">
        <v>20</v>
      </c>
      <c r="L6094" s="11" t="n">
        <v>40877.614837963</v>
      </c>
      <c r="M6094" s="12"/>
      <c r="N6094" s="12" t="s">
        <v>13998</v>
      </c>
      <c r="O6094" s="9" t="str">
        <f aca="false">HYPERLINK("https://pbs.twimg.com/profile_images/664989239298252800/T0JipPdA_normal.jpg","View")</f>
        <v>View</v>
      </c>
      <c r="P6094" s="10"/>
    </row>
    <row r="6095" customFormat="false" ht="15.75" hidden="false" customHeight="false" outlineLevel="0" collapsed="false">
      <c r="A6095" s="6" t="n">
        <v>43031.0275925926</v>
      </c>
      <c r="B6095" s="7" t="str">
        <f aca="false">HYPERLINK("https://twitter.com/LinhLan76704617","@LinhLan76704617")</f>
        <v>@LinhLan76704617</v>
      </c>
      <c r="C6095" s="8" t="s">
        <v>13999</v>
      </c>
      <c r="D6095" s="8" t="s">
        <v>13595</v>
      </c>
      <c r="E6095" s="9" t="str">
        <f aca="false">HYPERLINK("https://twitter.com/LinhLan76704617/status/922366915934240774","922366915934240774")</f>
        <v>922366915934240774</v>
      </c>
      <c r="F6095" s="10" t="s">
        <v>25</v>
      </c>
      <c r="G6095" s="10" t="n">
        <v>125</v>
      </c>
      <c r="H6095" s="10" t="n">
        <v>482</v>
      </c>
      <c r="I6095" s="10" t="n">
        <v>88</v>
      </c>
      <c r="J6095" s="10" t="n">
        <v>0</v>
      </c>
      <c r="K6095" s="10" t="s">
        <v>20</v>
      </c>
      <c r="L6095" s="11" t="n">
        <v>42526.1325694444</v>
      </c>
      <c r="M6095" s="12" t="s">
        <v>14000</v>
      </c>
      <c r="N6095" s="12" t="s">
        <v>14001</v>
      </c>
      <c r="O6095" s="9" t="str">
        <f aca="false">HYPERLINK("https://pbs.twimg.com/profile_images/835458393078837248/2sEVI06S_normal.jpg","View")</f>
        <v>View</v>
      </c>
      <c r="P6095" s="10"/>
    </row>
    <row r="6096" customFormat="false" ht="15.75" hidden="false" customHeight="false" outlineLevel="0" collapsed="false">
      <c r="A6096" s="6" t="n">
        <v>43031.0276273148</v>
      </c>
      <c r="B6096" s="7" t="str">
        <f aca="false">HYPERLINK("https://twitter.com/hejibraghavendr","@hejibraghavendr")</f>
        <v>@hejibraghavendr</v>
      </c>
      <c r="C6096" s="8" t="s">
        <v>14002</v>
      </c>
      <c r="D6096" s="8" t="s">
        <v>8538</v>
      </c>
      <c r="E6096" s="9" t="str">
        <f aca="false">HYPERLINK("https://twitter.com/hejibraghavendr/status/922366931201540096","922366931201540096")</f>
        <v>922366931201540096</v>
      </c>
      <c r="F6096" s="10" t="s">
        <v>25</v>
      </c>
      <c r="G6096" s="10" t="n">
        <v>124</v>
      </c>
      <c r="H6096" s="10" t="n">
        <v>322</v>
      </c>
      <c r="I6096" s="10" t="n">
        <v>1015</v>
      </c>
      <c r="J6096" s="10" t="n">
        <v>0</v>
      </c>
      <c r="K6096" s="10" t="s">
        <v>20</v>
      </c>
      <c r="L6096" s="11" t="n">
        <v>40861.4129513889</v>
      </c>
      <c r="M6096" s="12"/>
      <c r="N6096" s="12"/>
      <c r="O6096" s="9" t="str">
        <f aca="false">HYPERLINK("https://abs.twimg.com/sticky/default_profile_images/default_profile_normal.png","View")</f>
        <v>View</v>
      </c>
      <c r="P6096" s="10"/>
    </row>
    <row r="6097" customFormat="false" ht="15.75" hidden="false" customHeight="false" outlineLevel="0" collapsed="false">
      <c r="A6097" s="6" t="n">
        <v>43031.0276388889</v>
      </c>
      <c r="B6097" s="7" t="str">
        <f aca="false">HYPERLINK("https://twitter.com/rob3knews","@rob3knews")</f>
        <v>@rob3knews</v>
      </c>
      <c r="C6097" s="8" t="s">
        <v>13449</v>
      </c>
      <c r="D6097" s="8" t="s">
        <v>14003</v>
      </c>
      <c r="E6097" s="9" t="str">
        <f aca="false">HYPERLINK("https://twitter.com/rob3knews/status/922366934439493632","922366934439493632")</f>
        <v>922366934439493632</v>
      </c>
      <c r="F6097" s="10" t="s">
        <v>55</v>
      </c>
      <c r="G6097" s="10" t="n">
        <v>23</v>
      </c>
      <c r="H6097" s="10" t="n">
        <v>0</v>
      </c>
      <c r="I6097" s="10" t="n">
        <v>0</v>
      </c>
      <c r="J6097" s="10" t="n">
        <v>0</v>
      </c>
      <c r="K6097" s="10" t="s">
        <v>20</v>
      </c>
      <c r="L6097" s="11" t="n">
        <v>40659.2846527778</v>
      </c>
      <c r="M6097" s="12"/>
      <c r="N6097" s="12"/>
      <c r="O6097" s="9" t="str">
        <f aca="false">HYPERLINK("https://abs.twimg.com/sticky/default_profile_images/default_profile_normal.png","View")</f>
        <v>View</v>
      </c>
      <c r="P6097" s="10"/>
    </row>
    <row r="6098" customFormat="false" ht="15.75" hidden="false" customHeight="false" outlineLevel="0" collapsed="false">
      <c r="A6098" s="6" t="n">
        <v>43031.0280671296</v>
      </c>
      <c r="B6098" s="7" t="str">
        <f aca="false">HYPERLINK("https://twitter.com/ClaudioWeissman","@ClaudioWeissman")</f>
        <v>@ClaudioWeissman</v>
      </c>
      <c r="C6098" s="8" t="s">
        <v>14004</v>
      </c>
      <c r="D6098" s="8" t="s">
        <v>13985</v>
      </c>
      <c r="E6098" s="9" t="str">
        <f aca="false">HYPERLINK("https://twitter.com/ClaudioWeissman/status/922367087233961985","922367087233961985")</f>
        <v>922367087233961985</v>
      </c>
      <c r="F6098" s="10" t="s">
        <v>60</v>
      </c>
      <c r="G6098" s="10" t="n">
        <v>261</v>
      </c>
      <c r="H6098" s="10" t="n">
        <v>147</v>
      </c>
      <c r="I6098" s="10" t="n">
        <v>0</v>
      </c>
      <c r="J6098" s="10" t="n">
        <v>0</v>
      </c>
      <c r="K6098" s="10" t="s">
        <v>20</v>
      </c>
      <c r="L6098" s="11" t="n">
        <v>42220.3381944444</v>
      </c>
      <c r="M6098" s="12" t="s">
        <v>14005</v>
      </c>
      <c r="N6098" s="12" t="s">
        <v>14006</v>
      </c>
      <c r="O6098" s="9" t="str">
        <f aca="false">HYPERLINK("https://pbs.twimg.com/profile_images/628583121940713472/47vAI21T_normal.jpg","View")</f>
        <v>View</v>
      </c>
      <c r="P6098" s="10"/>
    </row>
    <row r="6099" customFormat="false" ht="15.75" hidden="false" customHeight="false" outlineLevel="0" collapsed="false">
      <c r="A6099" s="6" t="n">
        <v>43031.0284953704</v>
      </c>
      <c r="B6099" s="7" t="str">
        <f aca="false">HYPERLINK("https://twitter.com/1tneBWHTxsd0PcS","@1tneBWHTxsd0PcS")</f>
        <v>@1tneBWHTxsd0PcS</v>
      </c>
      <c r="C6099" s="8" t="s">
        <v>14007</v>
      </c>
      <c r="D6099" s="8" t="s">
        <v>14008</v>
      </c>
      <c r="E6099" s="9" t="str">
        <f aca="false">HYPERLINK("https://twitter.com/1tneBWHTxsd0PcS/status/922367244176199681","922367244176199681")</f>
        <v>922367244176199681</v>
      </c>
      <c r="F6099" s="10" t="s">
        <v>39</v>
      </c>
      <c r="G6099" s="10" t="n">
        <v>10</v>
      </c>
      <c r="H6099" s="10" t="n">
        <v>81</v>
      </c>
      <c r="I6099" s="10" t="n">
        <v>0</v>
      </c>
      <c r="J6099" s="10" t="n">
        <v>0</v>
      </c>
      <c r="K6099" s="10" t="s">
        <v>20</v>
      </c>
      <c r="L6099" s="11" t="n">
        <v>43006.1081712963</v>
      </c>
      <c r="M6099" s="12"/>
      <c r="N6099" s="12" t="s">
        <v>14009</v>
      </c>
      <c r="O6099" s="9" t="str">
        <f aca="false">HYPERLINK("https://pbs.twimg.com/profile_images/913680286486978566/ouYXxuS9_normal.jpg","View")</f>
        <v>View</v>
      </c>
      <c r="P6099" s="10"/>
    </row>
    <row r="6100" customFormat="false" ht="15.75" hidden="false" customHeight="false" outlineLevel="0" collapsed="false">
      <c r="A6100" s="6" t="n">
        <v>43031.0288078704</v>
      </c>
      <c r="B6100" s="7" t="str">
        <f aca="false">HYPERLINK("https://twitter.com/karan_amarnani","@karan_amarnani")</f>
        <v>@karan_amarnani</v>
      </c>
      <c r="C6100" s="8" t="s">
        <v>14010</v>
      </c>
      <c r="D6100" s="8" t="s">
        <v>8538</v>
      </c>
      <c r="E6100" s="9" t="str">
        <f aca="false">HYPERLINK("https://twitter.com/karan_amarnani/status/922367356499779584","922367356499779584")</f>
        <v>922367356499779584</v>
      </c>
      <c r="F6100" s="10" t="s">
        <v>39</v>
      </c>
      <c r="G6100" s="10" t="n">
        <v>156</v>
      </c>
      <c r="H6100" s="10" t="n">
        <v>348</v>
      </c>
      <c r="I6100" s="10" t="n">
        <v>1015</v>
      </c>
      <c r="J6100" s="10" t="n">
        <v>0</v>
      </c>
      <c r="K6100" s="10" t="s">
        <v>20</v>
      </c>
      <c r="L6100" s="11" t="n">
        <v>40335.2532175926</v>
      </c>
      <c r="M6100" s="12" t="s">
        <v>14011</v>
      </c>
      <c r="N6100" s="12" t="s">
        <v>14012</v>
      </c>
      <c r="O6100" s="9" t="str">
        <f aca="false">HYPERLINK("https://pbs.twimg.com/profile_images/615208674055684097/mBaLCmi3_normal.jpg","View")</f>
        <v>View</v>
      </c>
      <c r="P6100" s="10"/>
    </row>
    <row r="6101" customFormat="false" ht="15.75" hidden="false" customHeight="false" outlineLevel="0" collapsed="false">
      <c r="A6101" s="6" t="n">
        <v>43031.0292476852</v>
      </c>
      <c r="B6101" s="7" t="str">
        <f aca="false">HYPERLINK("https://twitter.com/jiei_yushi","@jiei_yushi")</f>
        <v>@jiei_yushi</v>
      </c>
      <c r="C6101" s="14" t="s">
        <v>4019</v>
      </c>
      <c r="D6101" s="8" t="s">
        <v>13954</v>
      </c>
      <c r="E6101" s="9" t="str">
        <f aca="false">HYPERLINK("https://twitter.com/jiei_yushi/status/922367517305253888","922367517305253888")</f>
        <v>922367517305253888</v>
      </c>
      <c r="F6101" s="10" t="s">
        <v>98</v>
      </c>
      <c r="G6101" s="10" t="n">
        <v>2619</v>
      </c>
      <c r="H6101" s="10" t="n">
        <v>98</v>
      </c>
      <c r="I6101" s="10" t="n">
        <v>9</v>
      </c>
      <c r="J6101" s="10" t="n">
        <v>0</v>
      </c>
      <c r="K6101" s="10" t="s">
        <v>20</v>
      </c>
      <c r="L6101" s="11" t="n">
        <v>40734.0638310185</v>
      </c>
      <c r="M6101" s="12" t="s">
        <v>4020</v>
      </c>
      <c r="N6101" s="13" t="s">
        <v>4021</v>
      </c>
      <c r="O6101" s="9" t="str">
        <f aca="false">HYPERLINK("https://pbs.twimg.com/profile_images/1434984865/HNI_0024_normal.JPG","View")</f>
        <v>View</v>
      </c>
      <c r="P6101" s="10"/>
    </row>
    <row r="6102" customFormat="false" ht="15.75" hidden="false" customHeight="false" outlineLevel="0" collapsed="false">
      <c r="A6102" s="6" t="n">
        <v>43031.0294328704</v>
      </c>
      <c r="B6102" s="7" t="str">
        <f aca="false">HYPERLINK("https://twitter.com/Bhartiyalist","@Bhartiyalist")</f>
        <v>@Bhartiyalist</v>
      </c>
      <c r="C6102" s="8" t="s">
        <v>14013</v>
      </c>
      <c r="D6102" s="8" t="s">
        <v>8538</v>
      </c>
      <c r="E6102" s="9" t="str">
        <f aca="false">HYPERLINK("https://twitter.com/Bhartiyalist/status/922367583247929344","922367583247929344")</f>
        <v>922367583247929344</v>
      </c>
      <c r="F6102" s="10" t="s">
        <v>25</v>
      </c>
      <c r="G6102" s="10" t="n">
        <v>450</v>
      </c>
      <c r="H6102" s="10" t="n">
        <v>290</v>
      </c>
      <c r="I6102" s="10" t="n">
        <v>1015</v>
      </c>
      <c r="J6102" s="10" t="n">
        <v>0</v>
      </c>
      <c r="K6102" s="10" t="s">
        <v>20</v>
      </c>
      <c r="L6102" s="11" t="n">
        <v>40711.1935648148</v>
      </c>
      <c r="M6102" s="12" t="s">
        <v>253</v>
      </c>
      <c r="N6102" s="12" t="s">
        <v>14014</v>
      </c>
      <c r="O6102" s="9" t="str">
        <f aca="false">HYPERLINK("https://pbs.twimg.com/profile_images/919528669281796096/Hjr8ttEG_normal.jpg","View")</f>
        <v>View</v>
      </c>
      <c r="P6102" s="10"/>
    </row>
    <row r="6103" customFormat="false" ht="15.75" hidden="false" customHeight="false" outlineLevel="0" collapsed="false">
      <c r="A6103" s="6" t="n">
        <v>43031.0295601852</v>
      </c>
      <c r="B6103" s="7" t="str">
        <f aca="false">HYPERLINK("https://twitter.com/FernandoAg47","@FernandoAg47")</f>
        <v>@FernandoAg47</v>
      </c>
      <c r="C6103" s="8" t="s">
        <v>14015</v>
      </c>
      <c r="D6103" s="8" t="s">
        <v>12764</v>
      </c>
      <c r="E6103" s="9" t="str">
        <f aca="false">HYPERLINK("https://twitter.com/FernandoAg47/status/922367631478476801","922367631478476801")</f>
        <v>922367631478476801</v>
      </c>
      <c r="F6103" s="10" t="s">
        <v>39</v>
      </c>
      <c r="G6103" s="10" t="n">
        <v>21</v>
      </c>
      <c r="H6103" s="10" t="n">
        <v>134</v>
      </c>
      <c r="I6103" s="10" t="n">
        <v>170</v>
      </c>
      <c r="J6103" s="10" t="n">
        <v>0</v>
      </c>
      <c r="K6103" s="10" t="s">
        <v>20</v>
      </c>
      <c r="L6103" s="11" t="n">
        <v>42401.9291319445</v>
      </c>
      <c r="M6103" s="12" t="s">
        <v>14016</v>
      </c>
      <c r="N6103" s="12" t="s">
        <v>14017</v>
      </c>
      <c r="O6103" s="9" t="str">
        <f aca="false">HYPERLINK("https://pbs.twimg.com/profile_images/760927985247592448/bhcuXoFJ_normal.jpg","View")</f>
        <v>View</v>
      </c>
      <c r="P6103" s="10"/>
    </row>
    <row r="6104" customFormat="false" ht="15.75" hidden="false" customHeight="false" outlineLevel="0" collapsed="false">
      <c r="A6104" s="6" t="n">
        <v>43031.0296990741</v>
      </c>
      <c r="B6104" s="7" t="str">
        <f aca="false">HYPERLINK("https://twitter.com/InnovativeHindu","@InnovativeHindu")</f>
        <v>@InnovativeHindu</v>
      </c>
      <c r="C6104" s="8" t="s">
        <v>14018</v>
      </c>
      <c r="D6104" s="8" t="s">
        <v>8538</v>
      </c>
      <c r="E6104" s="9" t="str">
        <f aca="false">HYPERLINK("https://twitter.com/InnovativeHindu/status/922367680916721664","922367680916721664")</f>
        <v>922367680916721664</v>
      </c>
      <c r="F6104" s="10" t="s">
        <v>25</v>
      </c>
      <c r="G6104" s="10" t="n">
        <v>3349</v>
      </c>
      <c r="H6104" s="10" t="n">
        <v>798</v>
      </c>
      <c r="I6104" s="10" t="n">
        <v>1015</v>
      </c>
      <c r="J6104" s="10" t="n">
        <v>0</v>
      </c>
      <c r="K6104" s="10" t="s">
        <v>20</v>
      </c>
      <c r="L6104" s="11" t="n">
        <v>41290.6204861111</v>
      </c>
      <c r="M6104" s="12" t="s">
        <v>14019</v>
      </c>
      <c r="N6104" s="12" t="s">
        <v>14020</v>
      </c>
      <c r="O6104" s="9" t="str">
        <f aca="false">HYPERLINK("https://pbs.twimg.com/profile_images/870388098164764672/V1NosdOK_normal.jpg","View")</f>
        <v>View</v>
      </c>
      <c r="P6104" s="10"/>
    </row>
    <row r="6105" customFormat="false" ht="15.75" hidden="false" customHeight="false" outlineLevel="0" collapsed="false">
      <c r="A6105" s="6" t="n">
        <v>43031.0297337963</v>
      </c>
      <c r="B6105" s="7" t="str">
        <f aca="false">HYPERLINK("https://twitter.com/GboruM","@GboruM")</f>
        <v>@GboruM</v>
      </c>
      <c r="C6105" s="8" t="s">
        <v>2206</v>
      </c>
      <c r="D6105" s="8" t="s">
        <v>14021</v>
      </c>
      <c r="E6105" s="9" t="str">
        <f aca="false">HYPERLINK("https://twitter.com/GboruM/status/922367692077785088","922367692077785088")</f>
        <v>922367692077785088</v>
      </c>
      <c r="F6105" s="10" t="s">
        <v>55</v>
      </c>
      <c r="G6105" s="10" t="n">
        <v>12129</v>
      </c>
      <c r="H6105" s="10" t="n">
        <v>287</v>
      </c>
      <c r="I6105" s="10" t="n">
        <v>0</v>
      </c>
      <c r="J6105" s="10" t="n">
        <v>0</v>
      </c>
      <c r="K6105" s="10" t="s">
        <v>20</v>
      </c>
      <c r="L6105" s="11" t="n">
        <v>41246.9268518519</v>
      </c>
      <c r="M6105" s="12" t="s">
        <v>1670</v>
      </c>
      <c r="N6105" s="12" t="s">
        <v>2208</v>
      </c>
      <c r="O6105" s="9" t="str">
        <f aca="false">HYPERLINK("https://pbs.twimg.com/profile_images/923809863121166336/FPYIgixr_normal.jpg","View")</f>
        <v>View</v>
      </c>
      <c r="P6105" s="10"/>
    </row>
    <row r="6106" customFormat="false" ht="15.75" hidden="false" customHeight="false" outlineLevel="0" collapsed="false">
      <c r="A6106" s="6" t="n">
        <v>43031.0298611111</v>
      </c>
      <c r="B6106" s="7" t="str">
        <f aca="false">HYPERLINK("https://twitter.com/India_Emerging","@India_Emerging")</f>
        <v>@India_Emerging</v>
      </c>
      <c r="C6106" s="8" t="s">
        <v>14022</v>
      </c>
      <c r="D6106" s="8" t="s">
        <v>8538</v>
      </c>
      <c r="E6106" s="9" t="str">
        <f aca="false">HYPERLINK("https://twitter.com/India_Emerging/status/922367740970536960","922367740970536960")</f>
        <v>922367740970536960</v>
      </c>
      <c r="F6106" s="10" t="s">
        <v>25</v>
      </c>
      <c r="G6106" s="10" t="n">
        <v>112</v>
      </c>
      <c r="H6106" s="10" t="n">
        <v>1062</v>
      </c>
      <c r="I6106" s="10" t="n">
        <v>1015</v>
      </c>
      <c r="J6106" s="10" t="n">
        <v>0</v>
      </c>
      <c r="K6106" s="10" t="s">
        <v>20</v>
      </c>
      <c r="L6106" s="11" t="n">
        <v>40542.7988541667</v>
      </c>
      <c r="M6106" s="12" t="s">
        <v>7847</v>
      </c>
      <c r="N6106" s="12" t="s">
        <v>9747</v>
      </c>
      <c r="O6106" s="9" t="str">
        <f aca="false">HYPERLINK("https://pbs.twimg.com/profile_images/469675995360788480/2yHtSWS1_normal.jpeg","View")</f>
        <v>View</v>
      </c>
      <c r="P6106" s="10"/>
    </row>
    <row r="6107" customFormat="false" ht="15.75" hidden="false" customHeight="false" outlineLevel="0" collapsed="false">
      <c r="A6107" s="6" t="n">
        <v>43031.0299537037</v>
      </c>
      <c r="B6107" s="7" t="str">
        <f aca="false">HYPERLINK("https://twitter.com/Ornellac82","@Ornellac82")</f>
        <v>@Ornellac82</v>
      </c>
      <c r="C6107" s="8" t="s">
        <v>14023</v>
      </c>
      <c r="D6107" s="8" t="s">
        <v>13595</v>
      </c>
      <c r="E6107" s="9" t="str">
        <f aca="false">HYPERLINK("https://twitter.com/Ornellac82/status/922367773623414785","922367773623414785")</f>
        <v>922367773623414785</v>
      </c>
      <c r="F6107" s="10" t="s">
        <v>51</v>
      </c>
      <c r="G6107" s="10" t="n">
        <v>110</v>
      </c>
      <c r="H6107" s="10" t="n">
        <v>461</v>
      </c>
      <c r="I6107" s="10" t="n">
        <v>88</v>
      </c>
      <c r="J6107" s="10" t="n">
        <v>0</v>
      </c>
      <c r="K6107" s="10" t="s">
        <v>20</v>
      </c>
      <c r="L6107" s="11" t="n">
        <v>41679.4591203704</v>
      </c>
      <c r="M6107" s="12" t="s">
        <v>14024</v>
      </c>
      <c r="N6107" s="12" t="s">
        <v>14025</v>
      </c>
      <c r="O6107" s="9" t="str">
        <f aca="false">HYPERLINK("https://pbs.twimg.com/profile_images/554239867799232512/c8xRDyaL_normal.jpeg","View")</f>
        <v>View</v>
      </c>
      <c r="P6107" s="10"/>
    </row>
    <row r="6108" customFormat="false" ht="15.75" hidden="false" customHeight="false" outlineLevel="0" collapsed="false">
      <c r="A6108" s="6" t="n">
        <v>43031.0302430556</v>
      </c>
      <c r="B6108" s="7" t="str">
        <f aca="false">HYPERLINK("https://twitter.com/prezcannady","@prezcannady")</f>
        <v>@prezcannady</v>
      </c>
      <c r="C6108" s="8" t="s">
        <v>14026</v>
      </c>
      <c r="D6108" s="8" t="s">
        <v>14027</v>
      </c>
      <c r="E6108" s="9" t="str">
        <f aca="false">HYPERLINK("https://twitter.com/prezcannady/status/922367879550521344","922367879550521344")</f>
        <v>922367879550521344</v>
      </c>
      <c r="F6108" s="10" t="s">
        <v>39</v>
      </c>
      <c r="G6108" s="10" t="n">
        <v>822</v>
      </c>
      <c r="H6108" s="10" t="n">
        <v>612</v>
      </c>
      <c r="I6108" s="10" t="n">
        <v>0</v>
      </c>
      <c r="J6108" s="10" t="n">
        <v>0</v>
      </c>
      <c r="K6108" s="10" t="s">
        <v>20</v>
      </c>
      <c r="L6108" s="11" t="n">
        <v>41604.4984953704</v>
      </c>
      <c r="M6108" s="12" t="s">
        <v>14028</v>
      </c>
      <c r="N6108" s="12" t="s">
        <v>14029</v>
      </c>
      <c r="O6108" s="9" t="str">
        <f aca="false">HYPERLINK("https://pbs.twimg.com/profile_images/699815437673086976/8-qBCaqp_normal.jpg","View")</f>
        <v>View</v>
      </c>
      <c r="P6108" s="10"/>
    </row>
    <row r="6109" customFormat="false" ht="15.75" hidden="false" customHeight="false" outlineLevel="0" collapsed="false">
      <c r="A6109" s="6" t="n">
        <v>43031.0303356481</v>
      </c>
      <c r="B6109" s="7" t="str">
        <f aca="false">HYPERLINK("https://twitter.com/GVS_News","@GVS_News")</f>
        <v>@GVS_News</v>
      </c>
      <c r="C6109" s="8" t="s">
        <v>14030</v>
      </c>
      <c r="D6109" s="8" t="s">
        <v>14031</v>
      </c>
      <c r="E6109" s="9" t="str">
        <f aca="false">HYPERLINK("https://twitter.com/GVS_News/status/922367909573419008","922367909573419008")</f>
        <v>922367909573419008</v>
      </c>
      <c r="F6109" s="10" t="s">
        <v>39</v>
      </c>
      <c r="G6109" s="10" t="n">
        <v>5251</v>
      </c>
      <c r="H6109" s="10" t="n">
        <v>261</v>
      </c>
      <c r="I6109" s="10" t="n">
        <v>6</v>
      </c>
      <c r="J6109" s="10" t="n">
        <v>16</v>
      </c>
      <c r="K6109" s="10" t="s">
        <v>20</v>
      </c>
      <c r="L6109" s="11" t="n">
        <v>42675.0854976852</v>
      </c>
      <c r="M6109" s="12"/>
      <c r="N6109" s="12" t="s">
        <v>14032</v>
      </c>
      <c r="O6109" s="9" t="str">
        <f aca="false">HYPERLINK("https://pbs.twimg.com/profile_images/806928149548306433/cpOVie1q_normal.jpg","View")</f>
        <v>View</v>
      </c>
      <c r="P6109" s="10"/>
    </row>
    <row r="6110" customFormat="false" ht="15.75" hidden="false" customHeight="false" outlineLevel="0" collapsed="false">
      <c r="A6110" s="6" t="n">
        <v>43031.0310532408</v>
      </c>
      <c r="B6110" s="7" t="str">
        <f aca="false">HYPERLINK("https://twitter.com/NourCherli","@NourCherli")</f>
        <v>@NourCherli</v>
      </c>
      <c r="C6110" s="8" t="s">
        <v>14033</v>
      </c>
      <c r="D6110" s="8" t="s">
        <v>4124</v>
      </c>
      <c r="E6110" s="9" t="str">
        <f aca="false">HYPERLINK("https://twitter.com/NourCherli/status/922368171918675968","922368171918675968")</f>
        <v>922368171918675968</v>
      </c>
      <c r="F6110" s="10" t="s">
        <v>25</v>
      </c>
      <c r="G6110" s="10" t="n">
        <v>168</v>
      </c>
      <c r="H6110" s="10" t="n">
        <v>2020</v>
      </c>
      <c r="I6110" s="10" t="n">
        <v>111</v>
      </c>
      <c r="J6110" s="10" t="n">
        <v>0</v>
      </c>
      <c r="K6110" s="10" t="s">
        <v>20</v>
      </c>
      <c r="L6110" s="11" t="n">
        <v>43013.5233333333</v>
      </c>
      <c r="M6110" s="12"/>
      <c r="N6110" s="12"/>
      <c r="O6110" s="9" t="str">
        <f aca="false">HYPERLINK("https://pbs.twimg.com/profile_images/916025914538041344/kuFdP5ih_normal.jpg","View")</f>
        <v>View</v>
      </c>
      <c r="P6110" s="10"/>
    </row>
    <row r="6111" customFormat="false" ht="15.75" hidden="false" customHeight="false" outlineLevel="0" collapsed="false">
      <c r="A6111" s="6" t="n">
        <v>43031.0312615741</v>
      </c>
      <c r="B6111" s="7" t="str">
        <f aca="false">HYPERLINK("https://twitter.com/CharltteWolters","@CharltteWolters")</f>
        <v>@CharltteWolters</v>
      </c>
      <c r="C6111" s="8" t="s">
        <v>14034</v>
      </c>
      <c r="D6111" s="8" t="s">
        <v>13903</v>
      </c>
      <c r="E6111" s="9" t="str">
        <f aca="false">HYPERLINK("https://twitter.com/CharltteWolters/status/922368247629938688","922368247629938688")</f>
        <v>922368247629938688</v>
      </c>
      <c r="F6111" s="10" t="s">
        <v>25</v>
      </c>
      <c r="G6111" s="10" t="n">
        <v>1325</v>
      </c>
      <c r="H6111" s="10" t="n">
        <v>2619</v>
      </c>
      <c r="I6111" s="10" t="n">
        <v>7</v>
      </c>
      <c r="J6111" s="10" t="n">
        <v>0</v>
      </c>
      <c r="K6111" s="10" t="s">
        <v>20</v>
      </c>
      <c r="L6111" s="11" t="n">
        <v>40361.7774652778</v>
      </c>
      <c r="M6111" s="12" t="s">
        <v>4050</v>
      </c>
      <c r="N6111" s="12" t="s">
        <v>14035</v>
      </c>
      <c r="O6111" s="9" t="str">
        <f aca="false">HYPERLINK("https://pbs.twimg.com/profile_images/839816551385731073/0DiA50Dz_normal.jpg","View")</f>
        <v>View</v>
      </c>
      <c r="P6111" s="10"/>
    </row>
    <row r="6112" customFormat="false" ht="15.75" hidden="false" customHeight="false" outlineLevel="0" collapsed="false">
      <c r="A6112" s="6" t="n">
        <v>43031.0312847222</v>
      </c>
      <c r="B6112" s="7" t="str">
        <f aca="false">HYPERLINK("https://twitter.com/SCMP_News","@SCMP_News")</f>
        <v>@SCMP_News</v>
      </c>
      <c r="C6112" s="8" t="s">
        <v>2290</v>
      </c>
      <c r="D6112" s="8" t="s">
        <v>14036</v>
      </c>
      <c r="E6112" s="9" t="str">
        <f aca="false">HYPERLINK("https://twitter.com/SCMP_News/status/922368256786264064","922368256786264064")</f>
        <v>922368256786264064</v>
      </c>
      <c r="F6112" s="10" t="s">
        <v>1167</v>
      </c>
      <c r="G6112" s="10" t="n">
        <v>506508</v>
      </c>
      <c r="H6112" s="10" t="n">
        <v>345</v>
      </c>
      <c r="I6112" s="10" t="n">
        <v>6</v>
      </c>
      <c r="J6112" s="10" t="n">
        <v>5</v>
      </c>
      <c r="K6112" s="10" t="s">
        <v>20</v>
      </c>
      <c r="L6112" s="11" t="n">
        <v>39884.077662037</v>
      </c>
      <c r="M6112" s="12" t="s">
        <v>68</v>
      </c>
      <c r="N6112" s="12" t="s">
        <v>2292</v>
      </c>
      <c r="O6112" s="9" t="str">
        <f aca="false">HYPERLINK("https://pbs.twimg.com/profile_images/593315521707159552/nSAjByJO_normal.png","View")</f>
        <v>View</v>
      </c>
      <c r="P6112" s="10"/>
    </row>
    <row r="6113" customFormat="false" ht="15.75" hidden="false" customHeight="false" outlineLevel="0" collapsed="false">
      <c r="A6113" s="6" t="n">
        <v>43031.0322222222</v>
      </c>
      <c r="B6113" s="7" t="str">
        <f aca="false">HYPERLINK("https://twitter.com/MehmedKl3","@MehmedKl3")</f>
        <v>@MehmedKl3</v>
      </c>
      <c r="C6113" s="8" t="s">
        <v>1563</v>
      </c>
      <c r="D6113" s="8" t="s">
        <v>13775</v>
      </c>
      <c r="E6113" s="9" t="str">
        <f aca="false">HYPERLINK("https://twitter.com/MehmedKl3/status/922368596751237120","922368596751237120")</f>
        <v>922368596751237120</v>
      </c>
      <c r="F6113" s="10" t="s">
        <v>98</v>
      </c>
      <c r="G6113" s="10" t="n">
        <v>84</v>
      </c>
      <c r="H6113" s="10" t="n">
        <v>339</v>
      </c>
      <c r="I6113" s="10" t="n">
        <v>9</v>
      </c>
      <c r="J6113" s="10" t="n">
        <v>0</v>
      </c>
      <c r="K6113" s="10" t="s">
        <v>20</v>
      </c>
      <c r="L6113" s="11" t="n">
        <v>42834.2603703704</v>
      </c>
      <c r="M6113" s="12"/>
      <c r="N6113" s="12"/>
      <c r="O6113" s="9" t="str">
        <f aca="false">HYPERLINK("https://pbs.twimg.com/profile_images/922353943971225601/WeZHK2c9_normal.jpg","View")</f>
        <v>View</v>
      </c>
      <c r="P6113" s="10"/>
    </row>
    <row r="6114" customFormat="false" ht="15.75" hidden="false" customHeight="false" outlineLevel="0" collapsed="false">
      <c r="A6114" s="6" t="n">
        <v>43031.0324537037</v>
      </c>
      <c r="B6114" s="7" t="str">
        <f aca="false">HYPERLINK("https://twitter.com/merdeka2670","@merdeka2670")</f>
        <v>@merdeka2670</v>
      </c>
      <c r="C6114" s="14" t="s">
        <v>14037</v>
      </c>
      <c r="D6114" s="8" t="s">
        <v>12493</v>
      </c>
      <c r="E6114" s="9" t="str">
        <f aca="false">HYPERLINK("https://twitter.com/merdeka2670/status/922368678783361024","922368678783361024")</f>
        <v>922368678783361024</v>
      </c>
      <c r="F6114" s="10" t="s">
        <v>25</v>
      </c>
      <c r="G6114" s="10" t="n">
        <v>1245</v>
      </c>
      <c r="H6114" s="10" t="n">
        <v>51</v>
      </c>
      <c r="I6114" s="10" t="n">
        <v>63</v>
      </c>
      <c r="J6114" s="10" t="n">
        <v>0</v>
      </c>
      <c r="K6114" s="10" t="s">
        <v>20</v>
      </c>
      <c r="L6114" s="11" t="n">
        <v>40256.2708333333</v>
      </c>
      <c r="M6114" s="13" t="s">
        <v>14038</v>
      </c>
      <c r="N6114" s="13" t="s">
        <v>14039</v>
      </c>
      <c r="O6114" s="9" t="str">
        <f aca="false">HYPERLINK("https://pbs.twimg.com/profile_images/850676520511090688/hwRoxrb7_normal.jpg","View")</f>
        <v>View</v>
      </c>
      <c r="P6114" s="10"/>
    </row>
    <row r="6115" customFormat="false" ht="15.75" hidden="false" customHeight="false" outlineLevel="0" collapsed="false">
      <c r="A6115" s="6" t="n">
        <v>43031.0324768518</v>
      </c>
      <c r="B6115" s="7" t="str">
        <f aca="false">HYPERLINK("https://twitter.com/iphh6hI34w2EYiH","@iphh6hI34w2EYiH")</f>
        <v>@iphh6hI34w2EYiH</v>
      </c>
      <c r="C6115" s="8" t="s">
        <v>14040</v>
      </c>
      <c r="D6115" s="8" t="s">
        <v>14008</v>
      </c>
      <c r="E6115" s="9" t="str">
        <f aca="false">HYPERLINK("https://twitter.com/iphh6hI34w2EYiH/status/922368689118126080","922368689118126080")</f>
        <v>922368689118126080</v>
      </c>
      <c r="F6115" s="10" t="s">
        <v>39</v>
      </c>
      <c r="G6115" s="10" t="n">
        <v>10</v>
      </c>
      <c r="H6115" s="10" t="n">
        <v>88</v>
      </c>
      <c r="I6115" s="10" t="n">
        <v>0</v>
      </c>
      <c r="J6115" s="10" t="n">
        <v>0</v>
      </c>
      <c r="K6115" s="10" t="s">
        <v>20</v>
      </c>
      <c r="L6115" s="11" t="n">
        <v>43006.1718402778</v>
      </c>
      <c r="M6115" s="12"/>
      <c r="N6115" s="12" t="s">
        <v>14041</v>
      </c>
      <c r="O6115" s="9" t="str">
        <f aca="false">HYPERLINK("https://pbs.twimg.com/profile_images/913681244289867777/g5rvgX6C_normal.jpg","View")</f>
        <v>View</v>
      </c>
      <c r="P6115" s="10"/>
    </row>
    <row r="6116" customFormat="false" ht="15.75" hidden="false" customHeight="false" outlineLevel="0" collapsed="false">
      <c r="A6116" s="6" t="n">
        <v>43031.0330208333</v>
      </c>
      <c r="B6116" s="7" t="str">
        <f aca="false">HYPERLINK("https://twitter.com/editorpressnews","@editorpressnews")</f>
        <v>@editorpressnews</v>
      </c>
      <c r="C6116" s="8" t="s">
        <v>14042</v>
      </c>
      <c r="D6116" s="8" t="s">
        <v>14043</v>
      </c>
      <c r="E6116" s="9" t="str">
        <f aca="false">HYPERLINK("https://twitter.com/editorpressnews/status/922368884279250945","922368884279250945")</f>
        <v>922368884279250945</v>
      </c>
      <c r="F6116" s="10" t="s">
        <v>39</v>
      </c>
      <c r="G6116" s="10" t="n">
        <v>4604</v>
      </c>
      <c r="H6116" s="10" t="n">
        <v>5074</v>
      </c>
      <c r="I6116" s="10" t="n">
        <v>6</v>
      </c>
      <c r="J6116" s="10" t="n">
        <v>0</v>
      </c>
      <c r="K6116" s="10" t="s">
        <v>20</v>
      </c>
      <c r="L6116" s="11" t="n">
        <v>42873.3795949074</v>
      </c>
      <c r="M6116" s="12"/>
      <c r="N6116" s="12" t="s">
        <v>14044</v>
      </c>
      <c r="O6116" s="9" t="str">
        <f aca="false">HYPERLINK("https://pbs.twimg.com/profile_images/922371543237263363/pzFttBI6_normal.jpg","View")</f>
        <v>View</v>
      </c>
      <c r="P6116" s="10"/>
    </row>
    <row r="6117" customFormat="false" ht="15.75" hidden="false" customHeight="false" outlineLevel="0" collapsed="false">
      <c r="A6117" s="6" t="n">
        <v>43031.0336805556</v>
      </c>
      <c r="B6117" s="7" t="str">
        <f aca="false">HYPERLINK("https://twitter.com/itskingliban","@itskingliban")</f>
        <v>@itskingliban</v>
      </c>
      <c r="C6117" s="8" t="s">
        <v>14045</v>
      </c>
      <c r="D6117" s="8" t="s">
        <v>13253</v>
      </c>
      <c r="E6117" s="9" t="str">
        <f aca="false">HYPERLINK("https://twitter.com/itskingliban/status/922369124432523264","922369124432523264")</f>
        <v>922369124432523264</v>
      </c>
      <c r="F6117" s="10" t="s">
        <v>51</v>
      </c>
      <c r="G6117" s="10" t="n">
        <v>744</v>
      </c>
      <c r="H6117" s="10" t="n">
        <v>99</v>
      </c>
      <c r="I6117" s="10" t="n">
        <v>22</v>
      </c>
      <c r="J6117" s="10" t="n">
        <v>0</v>
      </c>
      <c r="K6117" s="10" t="s">
        <v>20</v>
      </c>
      <c r="L6117" s="11" t="n">
        <v>40182.0811458333</v>
      </c>
      <c r="M6117" s="12" t="s">
        <v>1319</v>
      </c>
      <c r="N6117" s="12" t="s">
        <v>14046</v>
      </c>
      <c r="O6117" s="9" t="str">
        <f aca="false">HYPERLINK("https://pbs.twimg.com/profile_images/922277144960684032/5rqyPuCA_normal.jpg","View")</f>
        <v>View</v>
      </c>
      <c r="P6117" s="10"/>
    </row>
    <row r="6118" customFormat="false" ht="15.75" hidden="false" customHeight="false" outlineLevel="0" collapsed="false">
      <c r="A6118" s="6" t="n">
        <v>43031.0339930556</v>
      </c>
      <c r="B6118" s="7" t="str">
        <f aca="false">HYPERLINK("https://twitter.com/mightyguy1357","@mightyguy1357")</f>
        <v>@mightyguy1357</v>
      </c>
      <c r="C6118" s="8" t="s">
        <v>14047</v>
      </c>
      <c r="D6118" s="8" t="s">
        <v>12493</v>
      </c>
      <c r="E6118" s="9" t="str">
        <f aca="false">HYPERLINK("https://twitter.com/mightyguy1357/status/922369237976354818","922369237976354818")</f>
        <v>922369237976354818</v>
      </c>
      <c r="F6118" s="10" t="s">
        <v>25</v>
      </c>
      <c r="G6118" s="10" t="n">
        <v>7538</v>
      </c>
      <c r="H6118" s="10" t="n">
        <v>7427</v>
      </c>
      <c r="I6118" s="10" t="n">
        <v>63</v>
      </c>
      <c r="J6118" s="10" t="n">
        <v>0</v>
      </c>
      <c r="K6118" s="10" t="s">
        <v>20</v>
      </c>
      <c r="L6118" s="11" t="n">
        <v>41215.989224537</v>
      </c>
      <c r="M6118" s="13" t="s">
        <v>14048</v>
      </c>
      <c r="N6118" s="12" t="s">
        <v>14049</v>
      </c>
      <c r="O6118" s="9" t="str">
        <f aca="false">HYPERLINK("https://pbs.twimg.com/profile_images/863096784905658368/fa0AQw97_normal.jpg","View")</f>
        <v>View</v>
      </c>
      <c r="P6118" s="10"/>
    </row>
    <row r="6119" customFormat="false" ht="15.75" hidden="false" customHeight="false" outlineLevel="0" collapsed="false">
      <c r="A6119" s="6" t="n">
        <v>43031.0340625</v>
      </c>
      <c r="B6119" s="7" t="str">
        <f aca="false">HYPERLINK("https://twitter.com/Cheers_TokyoJPN","@Cheers_TokyoJPN")</f>
        <v>@Cheers_TokyoJPN</v>
      </c>
      <c r="C6119" s="8" t="s">
        <v>7150</v>
      </c>
      <c r="D6119" s="8" t="s">
        <v>14043</v>
      </c>
      <c r="E6119" s="9" t="str">
        <f aca="false">HYPERLINK("https://twitter.com/Cheers_TokyoJPN/status/922369262601121793","922369262601121793")</f>
        <v>922369262601121793</v>
      </c>
      <c r="F6119" s="10" t="s">
        <v>25</v>
      </c>
      <c r="G6119" s="10" t="n">
        <v>239</v>
      </c>
      <c r="H6119" s="10" t="n">
        <v>282</v>
      </c>
      <c r="I6119" s="10" t="n">
        <v>6</v>
      </c>
      <c r="J6119" s="10" t="n">
        <v>0</v>
      </c>
      <c r="K6119" s="10" t="s">
        <v>20</v>
      </c>
      <c r="L6119" s="11" t="n">
        <v>42981.3273032408</v>
      </c>
      <c r="M6119" s="13" t="s">
        <v>7151</v>
      </c>
      <c r="N6119" s="13" t="s">
        <v>7152</v>
      </c>
      <c r="O6119" s="9" t="str">
        <f aca="false">HYPERLINK("https://pbs.twimg.com/profile_images/904670646927466496/Q0GF83u2_normal.jpg","View")</f>
        <v>View</v>
      </c>
      <c r="P6119" s="10"/>
    </row>
    <row r="6120" customFormat="false" ht="15.75" hidden="false" customHeight="false" outlineLevel="0" collapsed="false">
      <c r="A6120" s="6" t="n">
        <v>43031.0344675926</v>
      </c>
      <c r="B6120" s="7" t="str">
        <f aca="false">HYPERLINK("https://twitter.com/GamerH34","@GamerH34")</f>
        <v>@GamerH34</v>
      </c>
      <c r="C6120" s="8" t="s">
        <v>14050</v>
      </c>
      <c r="D6120" s="8" t="s">
        <v>14051</v>
      </c>
      <c r="E6120" s="9" t="str">
        <f aca="false">HYPERLINK("https://twitter.com/GamerH34/status/922369409389383680","922369409389383680")</f>
        <v>922369409389383680</v>
      </c>
      <c r="F6120" s="10" t="s">
        <v>55</v>
      </c>
      <c r="G6120" s="10" t="n">
        <v>3</v>
      </c>
      <c r="H6120" s="10" t="n">
        <v>13</v>
      </c>
      <c r="I6120" s="10" t="n">
        <v>0</v>
      </c>
      <c r="J6120" s="10" t="n">
        <v>0</v>
      </c>
      <c r="K6120" s="10" t="s">
        <v>20</v>
      </c>
      <c r="L6120" s="11" t="n">
        <v>42911.3597453704</v>
      </c>
      <c r="M6120" s="12" t="s">
        <v>230</v>
      </c>
      <c r="N6120" s="12" t="s">
        <v>14052</v>
      </c>
      <c r="O6120" s="9" t="str">
        <f aca="false">HYPERLINK("https://pbs.twimg.com/profile_images/879002146724761600/TF1VmgYN_normal.jpg","View")</f>
        <v>View</v>
      </c>
      <c r="P6120" s="10"/>
    </row>
    <row r="6121" customFormat="false" ht="15.75" hidden="false" customHeight="false" outlineLevel="0" collapsed="false">
      <c r="A6121" s="6" t="n">
        <v>43031.0344675926</v>
      </c>
      <c r="B6121" s="7" t="str">
        <f aca="false">HYPERLINK("https://twitter.com/srbija_eu","@srbija_eu")</f>
        <v>@srbija_eu</v>
      </c>
      <c r="C6121" s="8" t="s">
        <v>641</v>
      </c>
      <c r="D6121" s="8" t="s">
        <v>14053</v>
      </c>
      <c r="E6121" s="9" t="str">
        <f aca="false">HYPERLINK("https://twitter.com/srbija_eu/status/922369410597302272","922369410597302272")</f>
        <v>922369410597302272</v>
      </c>
      <c r="F6121" s="10" t="s">
        <v>25</v>
      </c>
      <c r="G6121" s="10" t="n">
        <v>175</v>
      </c>
      <c r="H6121" s="10" t="n">
        <v>332</v>
      </c>
      <c r="I6121" s="10" t="n">
        <v>0</v>
      </c>
      <c r="J6121" s="10" t="n">
        <v>0</v>
      </c>
      <c r="K6121" s="10" t="s">
        <v>20</v>
      </c>
      <c r="L6121" s="11" t="n">
        <v>42703.4903703704</v>
      </c>
      <c r="M6121" s="12" t="s">
        <v>643</v>
      </c>
      <c r="N6121" s="12" t="s">
        <v>644</v>
      </c>
      <c r="O6121" s="9" t="str">
        <f aca="false">HYPERLINK("https://pbs.twimg.com/profile_images/805487087839485952/1YqQAZcG_normal.jpg","View")</f>
        <v>View</v>
      </c>
      <c r="P6121" s="10"/>
    </row>
    <row r="6122" customFormat="false" ht="15.75" hidden="false" customHeight="false" outlineLevel="0" collapsed="false">
      <c r="A6122" s="6" t="n">
        <v>43031.0345717593</v>
      </c>
      <c r="B6122" s="7" t="str">
        <f aca="false">HYPERLINK("https://twitter.com/FactsVsOpinion","@FactsVsOpinion")</f>
        <v>@FactsVsOpinion</v>
      </c>
      <c r="C6122" s="8" t="s">
        <v>14054</v>
      </c>
      <c r="D6122" s="8" t="s">
        <v>13741</v>
      </c>
      <c r="E6122" s="9" t="str">
        <f aca="false">HYPERLINK("https://twitter.com/FactsVsOpinion/status/922369444558594048","922369444558594048")</f>
        <v>922369444558594048</v>
      </c>
      <c r="F6122" s="10" t="s">
        <v>51</v>
      </c>
      <c r="G6122" s="10" t="n">
        <v>8848</v>
      </c>
      <c r="H6122" s="10" t="n">
        <v>7856</v>
      </c>
      <c r="I6122" s="10" t="n">
        <v>17</v>
      </c>
      <c r="J6122" s="10" t="n">
        <v>0</v>
      </c>
      <c r="K6122" s="10" t="s">
        <v>20</v>
      </c>
      <c r="L6122" s="11" t="n">
        <v>40001.5533564815</v>
      </c>
      <c r="M6122" s="12" t="s">
        <v>14055</v>
      </c>
      <c r="N6122" s="12" t="s">
        <v>14056</v>
      </c>
      <c r="O6122" s="9" t="str">
        <f aca="false">HYPERLINK("https://pbs.twimg.com/profile_images/889286334258589697/bUgVHM7r_normal.jpg","View")</f>
        <v>View</v>
      </c>
      <c r="P6122" s="10"/>
    </row>
    <row r="6123" customFormat="false" ht="15.75" hidden="false" customHeight="false" outlineLevel="0" collapsed="false">
      <c r="A6123" s="6" t="n">
        <v>43031.0350810185</v>
      </c>
      <c r="B6123" s="7" t="str">
        <f aca="false">HYPERLINK("https://twitter.com/MoniAdel","@MoniAdel")</f>
        <v>@MoniAdel</v>
      </c>
      <c r="C6123" s="8" t="s">
        <v>14057</v>
      </c>
      <c r="D6123" s="8" t="s">
        <v>4124</v>
      </c>
      <c r="E6123" s="9" t="str">
        <f aca="false">HYPERLINK("https://twitter.com/MoniAdel/status/922369631586783233","922369631586783233")</f>
        <v>922369631586783233</v>
      </c>
      <c r="F6123" s="10" t="s">
        <v>1017</v>
      </c>
      <c r="G6123" s="10" t="n">
        <v>356</v>
      </c>
      <c r="H6123" s="10" t="n">
        <v>764</v>
      </c>
      <c r="I6123" s="10" t="n">
        <v>111</v>
      </c>
      <c r="J6123" s="10" t="n">
        <v>0</v>
      </c>
      <c r="K6123" s="10" t="s">
        <v>20</v>
      </c>
      <c r="L6123" s="11" t="n">
        <v>39925.8643981481</v>
      </c>
      <c r="M6123" s="12"/>
      <c r="N6123" s="12" t="s">
        <v>14058</v>
      </c>
      <c r="O6123" s="9" t="str">
        <f aca="false">HYPERLINK("https://pbs.twimg.com/profile_images/2857008602/34bd58d0567d0d90a0466ec090d9f272_normal.jpeg","View")</f>
        <v>View</v>
      </c>
      <c r="P6123" s="10"/>
    </row>
    <row r="6124" customFormat="false" ht="15.75" hidden="false" customHeight="false" outlineLevel="0" collapsed="false">
      <c r="A6124" s="6" t="n">
        <v>43031.0362731481</v>
      </c>
      <c r="B6124" s="7" t="str">
        <f aca="false">HYPERLINK("https://twitter.com/Donald_from_HI","@Donald_from_HI")</f>
        <v>@Donald_from_HI</v>
      </c>
      <c r="C6124" s="8" t="s">
        <v>14059</v>
      </c>
      <c r="D6124" s="8" t="s">
        <v>14060</v>
      </c>
      <c r="E6124" s="9" t="str">
        <f aca="false">HYPERLINK("https://twitter.com/Donald_from_HI/status/922370061507051521","922370061507051521")</f>
        <v>922370061507051521</v>
      </c>
      <c r="F6124" s="10" t="s">
        <v>39</v>
      </c>
      <c r="G6124" s="10" t="n">
        <v>27</v>
      </c>
      <c r="H6124" s="10" t="n">
        <v>16</v>
      </c>
      <c r="I6124" s="10" t="n">
        <v>1</v>
      </c>
      <c r="J6124" s="10" t="n">
        <v>0</v>
      </c>
      <c r="K6124" s="10" t="s">
        <v>20</v>
      </c>
      <c r="L6124" s="11" t="n">
        <v>42577.612025463</v>
      </c>
      <c r="M6124" s="12" t="s">
        <v>14061</v>
      </c>
      <c r="N6124" s="12" t="s">
        <v>14062</v>
      </c>
      <c r="O6124" s="9" t="str">
        <f aca="false">HYPERLINK("https://pbs.twimg.com/profile_images/862829109629526016/GeNzSoxT_normal.jpg","View")</f>
        <v>View</v>
      </c>
      <c r="P6124" s="10"/>
    </row>
    <row r="6125" customFormat="false" ht="15.75" hidden="false" customHeight="false" outlineLevel="0" collapsed="false">
      <c r="A6125" s="6" t="n">
        <v>43031.0365740741</v>
      </c>
      <c r="B6125" s="7" t="str">
        <f aca="false">HYPERLINK("https://twitter.com/Abhishek08642","@Abhishek08642")</f>
        <v>@Abhishek08642</v>
      </c>
      <c r="C6125" s="8" t="s">
        <v>14063</v>
      </c>
      <c r="D6125" s="8" t="s">
        <v>8538</v>
      </c>
      <c r="E6125" s="9" t="str">
        <f aca="false">HYPERLINK("https://twitter.com/Abhishek08642/status/922370172740042752","922370172740042752")</f>
        <v>922370172740042752</v>
      </c>
      <c r="F6125" s="10" t="s">
        <v>25</v>
      </c>
      <c r="G6125" s="10" t="n">
        <v>7</v>
      </c>
      <c r="H6125" s="10" t="n">
        <v>146</v>
      </c>
      <c r="I6125" s="10" t="n">
        <v>1015</v>
      </c>
      <c r="J6125" s="10" t="n">
        <v>0</v>
      </c>
      <c r="K6125" s="10" t="s">
        <v>20</v>
      </c>
      <c r="L6125" s="11" t="n">
        <v>42895.8067939815</v>
      </c>
      <c r="M6125" s="12"/>
      <c r="N6125" s="12" t="s">
        <v>14064</v>
      </c>
      <c r="O6125" s="9" t="str">
        <f aca="false">HYPERLINK("https://pbs.twimg.com/profile_images/906421323429060608/imkYmYy3_normal.jpg","View")</f>
        <v>View</v>
      </c>
      <c r="P6125" s="10"/>
    </row>
    <row r="6126" customFormat="false" ht="15.75" hidden="false" customHeight="false" outlineLevel="0" collapsed="false">
      <c r="A6126" s="6" t="n">
        <v>43031.0366898148</v>
      </c>
      <c r="B6126" s="7" t="str">
        <f aca="false">HYPERLINK("https://twitter.com/GboruM","@GboruM")</f>
        <v>@GboruM</v>
      </c>
      <c r="C6126" s="8" t="s">
        <v>2206</v>
      </c>
      <c r="D6126" s="8" t="s">
        <v>14065</v>
      </c>
      <c r="E6126" s="9" t="str">
        <f aca="false">HYPERLINK("https://twitter.com/GboruM/status/922370215425474560","922370215425474560")</f>
        <v>922370215425474560</v>
      </c>
      <c r="F6126" s="10" t="s">
        <v>55</v>
      </c>
      <c r="G6126" s="10" t="n">
        <v>12129</v>
      </c>
      <c r="H6126" s="10" t="n">
        <v>287</v>
      </c>
      <c r="I6126" s="10" t="n">
        <v>0</v>
      </c>
      <c r="J6126" s="10" t="n">
        <v>0</v>
      </c>
      <c r="K6126" s="10" t="s">
        <v>20</v>
      </c>
      <c r="L6126" s="11" t="n">
        <v>41246.9268518519</v>
      </c>
      <c r="M6126" s="12" t="s">
        <v>1670</v>
      </c>
      <c r="N6126" s="12" t="s">
        <v>2208</v>
      </c>
      <c r="O6126" s="9" t="str">
        <f aca="false">HYPERLINK("https://pbs.twimg.com/profile_images/923809863121166336/FPYIgixr_normal.jpg","View")</f>
        <v>View</v>
      </c>
      <c r="P6126" s="10"/>
    </row>
    <row r="6127" customFormat="false" ht="15.75" hidden="false" customHeight="false" outlineLevel="0" collapsed="false">
      <c r="A6127" s="6" t="n">
        <v>43031.0368865741</v>
      </c>
      <c r="B6127" s="7" t="str">
        <f aca="false">HYPERLINK("https://twitter.com/misererenobis2","@misererenobis2")</f>
        <v>@misererenobis2</v>
      </c>
      <c r="C6127" s="14" t="s">
        <v>14066</v>
      </c>
      <c r="D6127" s="8" t="s">
        <v>12216</v>
      </c>
      <c r="E6127" s="9" t="str">
        <f aca="false">HYPERLINK("https://twitter.com/misererenobis2/status/922370286225260544","922370286225260544")</f>
        <v>922370286225260544</v>
      </c>
      <c r="F6127" s="10" t="s">
        <v>51</v>
      </c>
      <c r="G6127" s="10" t="n">
        <v>1017</v>
      </c>
      <c r="H6127" s="10" t="n">
        <v>976</v>
      </c>
      <c r="I6127" s="10" t="n">
        <v>16</v>
      </c>
      <c r="J6127" s="10" t="n">
        <v>0</v>
      </c>
      <c r="K6127" s="10" t="s">
        <v>20</v>
      </c>
      <c r="L6127" s="11" t="n">
        <v>42234.1262731482</v>
      </c>
      <c r="M6127" s="12"/>
      <c r="N6127" s="13" t="s">
        <v>14067</v>
      </c>
      <c r="O6127" s="9" t="str">
        <f aca="false">HYPERLINK("https://pbs.twimg.com/profile_images/633594787245875200/7KzSRhlf_normal.jpg","View")</f>
        <v>View</v>
      </c>
      <c r="P6127" s="10"/>
    </row>
    <row r="6128" customFormat="false" ht="15.75" hidden="false" customHeight="false" outlineLevel="0" collapsed="false">
      <c r="A6128" s="6" t="n">
        <v>43031.0369791667</v>
      </c>
      <c r="B6128" s="7" t="str">
        <f aca="false">HYPERLINK("https://twitter.com/RaiJon16","@RaiJon16")</f>
        <v>@RaiJon16</v>
      </c>
      <c r="C6128" s="8" t="s">
        <v>2258</v>
      </c>
      <c r="D6128" s="8" t="s">
        <v>13595</v>
      </c>
      <c r="E6128" s="9" t="str">
        <f aca="false">HYPERLINK("https://twitter.com/RaiJon16/status/922370318051827712","922370318051827712")</f>
        <v>922370318051827712</v>
      </c>
      <c r="F6128" s="10" t="s">
        <v>2259</v>
      </c>
      <c r="G6128" s="10" t="n">
        <v>224</v>
      </c>
      <c r="H6128" s="10" t="n">
        <v>2016</v>
      </c>
      <c r="I6128" s="10" t="n">
        <v>88</v>
      </c>
      <c r="J6128" s="10" t="n">
        <v>0</v>
      </c>
      <c r="K6128" s="10" t="s">
        <v>20</v>
      </c>
      <c r="L6128" s="11" t="n">
        <v>42904.5836921296</v>
      </c>
      <c r="M6128" s="12" t="s">
        <v>230</v>
      </c>
      <c r="N6128" s="12" t="s">
        <v>2260</v>
      </c>
      <c r="O6128" s="9" t="str">
        <f aca="false">HYPERLINK("https://pbs.twimg.com/profile_images/876545803329974273/A_UKlGD7_normal.jpg","View")</f>
        <v>View</v>
      </c>
      <c r="P6128" s="10"/>
    </row>
    <row r="6129" customFormat="false" ht="15.75" hidden="false" customHeight="false" outlineLevel="0" collapsed="false">
      <c r="A6129" s="6" t="n">
        <v>43031.037662037</v>
      </c>
      <c r="B6129" s="7" t="str">
        <f aca="false">HYPERLINK("https://twitter.com/notmarsfury","@notmarsfury")</f>
        <v>@notmarsfury</v>
      </c>
      <c r="C6129" s="8" t="s">
        <v>14068</v>
      </c>
      <c r="D6129" s="8" t="s">
        <v>13954</v>
      </c>
      <c r="E6129" s="9" t="str">
        <f aca="false">HYPERLINK("https://twitter.com/notmarsfury/status/922370566111232005","922370566111232005")</f>
        <v>922370566111232005</v>
      </c>
      <c r="F6129" s="10" t="s">
        <v>51</v>
      </c>
      <c r="G6129" s="10" t="n">
        <v>64</v>
      </c>
      <c r="H6129" s="10" t="n">
        <v>271</v>
      </c>
      <c r="I6129" s="10" t="n">
        <v>9</v>
      </c>
      <c r="J6129" s="10" t="n">
        <v>0</v>
      </c>
      <c r="K6129" s="10" t="s">
        <v>20</v>
      </c>
      <c r="L6129" s="11" t="n">
        <v>42708.2661921296</v>
      </c>
      <c r="M6129" s="12" t="s">
        <v>312</v>
      </c>
      <c r="N6129" s="12" t="s">
        <v>14069</v>
      </c>
      <c r="O6129" s="9" t="str">
        <f aca="false">HYPERLINK("https://pbs.twimg.com/profile_images/900095544906973184/BpLAfEbP_normal.jpg","View")</f>
        <v>View</v>
      </c>
      <c r="P6129" s="10"/>
    </row>
    <row r="6130" customFormat="false" ht="15.75" hidden="false" customHeight="false" outlineLevel="0" collapsed="false">
      <c r="A6130" s="6" t="n">
        <v>43031.0384143519</v>
      </c>
      <c r="B6130" s="7" t="str">
        <f aca="false">HYPERLINK("https://twitter.com/Asif_Iqbal_86","@Asif_Iqbal_86")</f>
        <v>@Asif_Iqbal_86</v>
      </c>
      <c r="C6130" s="8" t="s">
        <v>14070</v>
      </c>
      <c r="D6130" s="8" t="s">
        <v>14071</v>
      </c>
      <c r="E6130" s="9" t="str">
        <f aca="false">HYPERLINK("https://twitter.com/Asif_Iqbal_86/status/922370840871751680","922370840871751680")</f>
        <v>922370840871751680</v>
      </c>
      <c r="F6130" s="10" t="s">
        <v>25</v>
      </c>
      <c r="G6130" s="10" t="n">
        <v>494</v>
      </c>
      <c r="H6130" s="10" t="n">
        <v>1118</v>
      </c>
      <c r="I6130" s="10" t="n">
        <v>0</v>
      </c>
      <c r="J6130" s="10" t="n">
        <v>0</v>
      </c>
      <c r="K6130" s="10" t="s">
        <v>20</v>
      </c>
      <c r="L6130" s="11" t="n">
        <v>40903.4657291667</v>
      </c>
      <c r="M6130" s="12" t="s">
        <v>14072</v>
      </c>
      <c r="N6130" s="12" t="s">
        <v>14073</v>
      </c>
      <c r="O6130" s="9" t="str">
        <f aca="false">HYPERLINK("https://pbs.twimg.com/profile_images/923049956142968832/_TC3xjHY_normal.jpg","View")</f>
        <v>View</v>
      </c>
      <c r="P6130" s="10"/>
    </row>
    <row r="6131" customFormat="false" ht="15.75" hidden="false" customHeight="false" outlineLevel="0" collapsed="false">
      <c r="A6131" s="6" t="n">
        <v>43031.038599537</v>
      </c>
      <c r="B6131" s="7" t="str">
        <f aca="false">HYPERLINK("https://twitter.com/250praveen","@250praveen")</f>
        <v>@250praveen</v>
      </c>
      <c r="C6131" s="8" t="s">
        <v>14074</v>
      </c>
      <c r="D6131" s="8" t="s">
        <v>8538</v>
      </c>
      <c r="E6131" s="9" t="str">
        <f aca="false">HYPERLINK("https://twitter.com/250praveen/status/922370904897626114","922370904897626114")</f>
        <v>922370904897626114</v>
      </c>
      <c r="F6131" s="10" t="s">
        <v>177</v>
      </c>
      <c r="G6131" s="10" t="n">
        <v>1152</v>
      </c>
      <c r="H6131" s="10" t="n">
        <v>1058</v>
      </c>
      <c r="I6131" s="10" t="n">
        <v>1015</v>
      </c>
      <c r="J6131" s="10" t="n">
        <v>0</v>
      </c>
      <c r="K6131" s="10" t="s">
        <v>20</v>
      </c>
      <c r="L6131" s="11" t="n">
        <v>39970.455162037</v>
      </c>
      <c r="M6131" s="12" t="s">
        <v>72</v>
      </c>
      <c r="N6131" s="12"/>
      <c r="O6131" s="9" t="str">
        <f aca="false">HYPERLINK("https://pbs.twimg.com/profile_images/688973139481477122/BYa35Nt6_normal.jpg","View")</f>
        <v>View</v>
      </c>
      <c r="P6131" s="10"/>
    </row>
    <row r="6132" customFormat="false" ht="15.75" hidden="false" customHeight="false" outlineLevel="0" collapsed="false">
      <c r="A6132" s="6" t="n">
        <v>43031.0387962963</v>
      </c>
      <c r="B6132" s="7" t="str">
        <f aca="false">HYPERLINK("https://twitter.com/Edgy_Canadian","@Edgy_Canadian")</f>
        <v>@Edgy_Canadian</v>
      </c>
      <c r="C6132" s="8" t="s">
        <v>14075</v>
      </c>
      <c r="D6132" s="8" t="s">
        <v>10630</v>
      </c>
      <c r="E6132" s="9" t="str">
        <f aca="false">HYPERLINK("https://twitter.com/Edgy_Canadian/status/922370979145203712","922370979145203712")</f>
        <v>922370979145203712</v>
      </c>
      <c r="F6132" s="10" t="s">
        <v>25</v>
      </c>
      <c r="G6132" s="10" t="n">
        <v>69</v>
      </c>
      <c r="H6132" s="10" t="n">
        <v>30</v>
      </c>
      <c r="I6132" s="10" t="n">
        <v>8</v>
      </c>
      <c r="J6132" s="10" t="n">
        <v>0</v>
      </c>
      <c r="K6132" s="10" t="s">
        <v>20</v>
      </c>
      <c r="L6132" s="11" t="n">
        <v>42519.7274652778</v>
      </c>
      <c r="M6132" s="12" t="s">
        <v>14076</v>
      </c>
      <c r="N6132" s="12" t="s">
        <v>14077</v>
      </c>
      <c r="O6132" s="9" t="str">
        <f aca="false">HYPERLINK("https://pbs.twimg.com/profile_images/875297564068913152/QChcJA5P_normal.jpg","View")</f>
        <v>View</v>
      </c>
      <c r="P6132" s="10"/>
    </row>
    <row r="6133" customFormat="false" ht="15.75" hidden="false" customHeight="false" outlineLevel="0" collapsed="false">
      <c r="A6133" s="6" t="n">
        <v>43031.0389699074</v>
      </c>
      <c r="B6133" s="7" t="str">
        <f aca="false">HYPERLINK("https://twitter.com/san5126","@san5126")</f>
        <v>@san5126</v>
      </c>
      <c r="C6133" s="8" t="s">
        <v>14078</v>
      </c>
      <c r="D6133" s="8" t="s">
        <v>8538</v>
      </c>
      <c r="E6133" s="9" t="str">
        <f aca="false">HYPERLINK("https://twitter.com/san5126/status/922371040482811905","922371040482811905")</f>
        <v>922371040482811905</v>
      </c>
      <c r="F6133" s="10" t="s">
        <v>25</v>
      </c>
      <c r="G6133" s="10" t="n">
        <v>448</v>
      </c>
      <c r="H6133" s="10" t="n">
        <v>347</v>
      </c>
      <c r="I6133" s="10" t="n">
        <v>1015</v>
      </c>
      <c r="J6133" s="10" t="n">
        <v>0</v>
      </c>
      <c r="K6133" s="10" t="s">
        <v>20</v>
      </c>
      <c r="L6133" s="11" t="n">
        <v>40872.1249652778</v>
      </c>
      <c r="M6133" s="12" t="s">
        <v>14079</v>
      </c>
      <c r="N6133" s="12" t="s">
        <v>14080</v>
      </c>
      <c r="O6133" s="9" t="str">
        <f aca="false">HYPERLINK("https://pbs.twimg.com/profile_images/900707934191067137/xpn4eTkz_normal.jpg","View")</f>
        <v>View</v>
      </c>
      <c r="P6133" s="10"/>
    </row>
    <row r="6134" customFormat="false" ht="15.75" hidden="false" customHeight="false" outlineLevel="0" collapsed="false">
      <c r="A6134" s="6" t="n">
        <v>43031.0393287037</v>
      </c>
      <c r="B6134" s="7" t="str">
        <f aca="false">HYPERLINK("https://twitter.com/kickdown2010","@kickdown2010")</f>
        <v>@kickdown2010</v>
      </c>
      <c r="C6134" s="8" t="s">
        <v>12760</v>
      </c>
      <c r="D6134" s="8" t="s">
        <v>14081</v>
      </c>
      <c r="E6134" s="9" t="str">
        <f aca="false">HYPERLINK("https://twitter.com/kickdown2010/status/922371168346300416","922371168346300416")</f>
        <v>922371168346300416</v>
      </c>
      <c r="F6134" s="10" t="s">
        <v>55</v>
      </c>
      <c r="G6134" s="10" t="n">
        <v>1123</v>
      </c>
      <c r="H6134" s="10" t="n">
        <v>828</v>
      </c>
      <c r="I6134" s="10" t="n">
        <v>0</v>
      </c>
      <c r="J6134" s="10" t="n">
        <v>0</v>
      </c>
      <c r="K6134" s="10" t="s">
        <v>20</v>
      </c>
      <c r="L6134" s="11" t="n">
        <v>40249.5366203704</v>
      </c>
      <c r="M6134" s="12" t="s">
        <v>9351</v>
      </c>
      <c r="N6134" s="12" t="s">
        <v>12762</v>
      </c>
      <c r="O6134" s="9" t="str">
        <f aca="false">HYPERLINK("https://pbs.twimg.com/profile_images/681335720687104000/IRtfg1i-_normal.jpg","View")</f>
        <v>View</v>
      </c>
      <c r="P6134" s="10"/>
    </row>
    <row r="6135" customFormat="false" ht="15.75" hidden="false" customHeight="false" outlineLevel="0" collapsed="false">
      <c r="A6135" s="6" t="n">
        <v>43031.0400347222</v>
      </c>
      <c r="B6135" s="7" t="str">
        <f aca="false">HYPERLINK("https://twitter.com/LeilaEnazvision","@LeilaEnazvision")</f>
        <v>@LeilaEnazvision</v>
      </c>
      <c r="C6135" s="8" t="s">
        <v>14082</v>
      </c>
      <c r="D6135" s="8" t="s">
        <v>14083</v>
      </c>
      <c r="E6135" s="9" t="str">
        <f aca="false">HYPERLINK("https://twitter.com/LeilaEnazvision/status/922371424441991169","922371424441991169")</f>
        <v>922371424441991169</v>
      </c>
      <c r="F6135" s="10" t="s">
        <v>39</v>
      </c>
      <c r="G6135" s="10" t="n">
        <v>119</v>
      </c>
      <c r="H6135" s="10" t="n">
        <v>99</v>
      </c>
      <c r="I6135" s="10" t="n">
        <v>0</v>
      </c>
      <c r="J6135" s="10" t="n">
        <v>0</v>
      </c>
      <c r="K6135" s="10" t="s">
        <v>20</v>
      </c>
      <c r="L6135" s="11" t="n">
        <v>42861.149837963</v>
      </c>
      <c r="M6135" s="12"/>
      <c r="N6135" s="12" t="s">
        <v>14084</v>
      </c>
      <c r="O6135" s="9" t="str">
        <f aca="false">HYPERLINK("https://pbs.twimg.com/profile_images/920020628761141248/_8aFWL9n_normal.jpg","View")</f>
        <v>View</v>
      </c>
      <c r="P6135" s="10"/>
    </row>
    <row r="6136" customFormat="false" ht="15.75" hidden="false" customHeight="false" outlineLevel="0" collapsed="false">
      <c r="A6136" s="6" t="n">
        <v>43031.0402662037</v>
      </c>
      <c r="B6136" s="7" t="str">
        <f aca="false">HYPERLINK("https://twitter.com/Chakradharede07","@Chakradharede07")</f>
        <v>@Chakradharede07</v>
      </c>
      <c r="C6136" s="8" t="s">
        <v>14085</v>
      </c>
      <c r="D6136" s="8" t="s">
        <v>13172</v>
      </c>
      <c r="E6136" s="9" t="str">
        <f aca="false">HYPERLINK("https://twitter.com/Chakradharede07/status/922371512174120960","922371512174120960")</f>
        <v>922371512174120960</v>
      </c>
      <c r="F6136" s="10" t="s">
        <v>25</v>
      </c>
      <c r="G6136" s="10" t="n">
        <v>57</v>
      </c>
      <c r="H6136" s="10" t="n">
        <v>739</v>
      </c>
      <c r="I6136" s="10" t="n">
        <v>26</v>
      </c>
      <c r="J6136" s="10" t="n">
        <v>0</v>
      </c>
      <c r="K6136" s="10" t="s">
        <v>20</v>
      </c>
      <c r="L6136" s="11" t="n">
        <v>41086.2889351852</v>
      </c>
      <c r="M6136" s="12" t="s">
        <v>11124</v>
      </c>
      <c r="N6136" s="12" t="s">
        <v>14086</v>
      </c>
      <c r="O6136" s="9" t="str">
        <f aca="false">HYPERLINK("https://pbs.twimg.com/profile_images/920719371718164480/C6fgD1hh_normal.jpg","View")</f>
        <v>View</v>
      </c>
      <c r="P6136" s="10"/>
    </row>
    <row r="6137" customFormat="false" ht="15.75" hidden="false" customHeight="false" outlineLevel="0" collapsed="false">
      <c r="A6137" s="6" t="n">
        <v>43031.0405902778</v>
      </c>
      <c r="B6137" s="7" t="str">
        <f aca="false">HYPERLINK("https://twitter.com/Daily_Star","@Daily_Star")</f>
        <v>@Daily_Star</v>
      </c>
      <c r="C6137" s="8" t="s">
        <v>14087</v>
      </c>
      <c r="D6137" s="8" t="s">
        <v>14088</v>
      </c>
      <c r="E6137" s="9" t="str">
        <f aca="false">HYPERLINK("https://twitter.com/Daily_Star/status/922371627396075520","922371627396075520")</f>
        <v>922371627396075520</v>
      </c>
      <c r="F6137" s="10" t="s">
        <v>276</v>
      </c>
      <c r="G6137" s="10" t="n">
        <v>175756</v>
      </c>
      <c r="H6137" s="10" t="n">
        <v>3648</v>
      </c>
      <c r="I6137" s="10" t="n">
        <v>0</v>
      </c>
      <c r="J6137" s="10" t="n">
        <v>0</v>
      </c>
      <c r="K6137" s="10" t="s">
        <v>20</v>
      </c>
      <c r="L6137" s="11" t="n">
        <v>39853.3231134259</v>
      </c>
      <c r="M6137" s="12" t="s">
        <v>893</v>
      </c>
      <c r="N6137" s="12" t="s">
        <v>14089</v>
      </c>
      <c r="O6137" s="9" t="str">
        <f aca="false">HYPERLINK("https://pbs.twimg.com/profile_images/656888698945064960/M8pQ32FA_normal.png","View")</f>
        <v>View</v>
      </c>
      <c r="P6137" s="10"/>
    </row>
    <row r="6138" customFormat="false" ht="15.75" hidden="false" customHeight="false" outlineLevel="0" collapsed="false">
      <c r="A6138" s="6" t="n">
        <v>43031.0406481482</v>
      </c>
      <c r="B6138" s="7" t="str">
        <f aca="false">HYPERLINK("https://twitter.com/ReutersNordics","@ReutersNordics")</f>
        <v>@ReutersNordics</v>
      </c>
      <c r="C6138" s="8" t="s">
        <v>14090</v>
      </c>
      <c r="D6138" s="8" t="s">
        <v>13595</v>
      </c>
      <c r="E6138" s="9" t="str">
        <f aca="false">HYPERLINK("https://twitter.com/ReutersNordics/status/922371646907760641","922371646907760641")</f>
        <v>922371646907760641</v>
      </c>
      <c r="F6138" s="10" t="s">
        <v>276</v>
      </c>
      <c r="G6138" s="10" t="n">
        <v>3045</v>
      </c>
      <c r="H6138" s="10" t="n">
        <v>573</v>
      </c>
      <c r="I6138" s="10" t="n">
        <v>88</v>
      </c>
      <c r="J6138" s="10" t="n">
        <v>0</v>
      </c>
      <c r="K6138" s="10" t="s">
        <v>20</v>
      </c>
      <c r="L6138" s="11" t="n">
        <v>40977.3295601852</v>
      </c>
      <c r="M6138" s="12" t="s">
        <v>12363</v>
      </c>
      <c r="N6138" s="12" t="s">
        <v>14091</v>
      </c>
      <c r="O6138" s="9" t="str">
        <f aca="false">HYPERLINK("https://pbs.twimg.com/profile_images/875686570485010436/j1BUAz8P_normal.jpg","View")</f>
        <v>View</v>
      </c>
      <c r="P6138" s="10"/>
    </row>
    <row r="6139" customFormat="false" ht="15.75" hidden="false" customHeight="false" outlineLevel="0" collapsed="false">
      <c r="A6139" s="6" t="n">
        <v>43031.0406828704</v>
      </c>
      <c r="B6139" s="7" t="str">
        <f aca="false">HYPERLINK("https://twitter.com/TJJogs","@TJJogs")</f>
        <v>@TJJogs</v>
      </c>
      <c r="C6139" s="8" t="s">
        <v>14092</v>
      </c>
      <c r="D6139" s="8" t="s">
        <v>8538</v>
      </c>
      <c r="E6139" s="9" t="str">
        <f aca="false">HYPERLINK("https://twitter.com/TJJogs/status/922371662221164544","922371662221164544")</f>
        <v>922371662221164544</v>
      </c>
      <c r="F6139" s="10" t="s">
        <v>25</v>
      </c>
      <c r="G6139" s="10" t="n">
        <v>313</v>
      </c>
      <c r="H6139" s="10" t="n">
        <v>1838</v>
      </c>
      <c r="I6139" s="10" t="n">
        <v>1015</v>
      </c>
      <c r="J6139" s="10" t="n">
        <v>0</v>
      </c>
      <c r="K6139" s="10" t="s">
        <v>20</v>
      </c>
      <c r="L6139" s="11" t="n">
        <v>40128.2205208333</v>
      </c>
      <c r="M6139" s="12" t="s">
        <v>14093</v>
      </c>
      <c r="N6139" s="12" t="s">
        <v>14094</v>
      </c>
      <c r="O6139" s="9" t="str">
        <f aca="false">HYPERLINK("https://pbs.twimg.com/profile_images/1432134589/IMG_1861aa_normal.jpg","View")</f>
        <v>View</v>
      </c>
      <c r="P6139" s="10"/>
    </row>
    <row r="6140" customFormat="false" ht="15.75" hidden="false" customHeight="false" outlineLevel="0" collapsed="false">
      <c r="A6140" s="6" t="n">
        <v>43031.0411921296</v>
      </c>
      <c r="B6140" s="7" t="str">
        <f aca="false">HYPERLINK("https://twitter.com/Oshilo","@Oshilo")</f>
        <v>@Oshilo</v>
      </c>
      <c r="C6140" s="8" t="s">
        <v>13566</v>
      </c>
      <c r="D6140" s="8" t="s">
        <v>14095</v>
      </c>
      <c r="E6140" s="9" t="str">
        <f aca="false">HYPERLINK("https://twitter.com/Oshilo/status/922371847353782272","922371847353782272")</f>
        <v>922371847353782272</v>
      </c>
      <c r="F6140" s="10" t="s">
        <v>55</v>
      </c>
      <c r="G6140" s="10" t="n">
        <v>172</v>
      </c>
      <c r="H6140" s="10" t="n">
        <v>62</v>
      </c>
      <c r="I6140" s="10" t="n">
        <v>0</v>
      </c>
      <c r="J6140" s="10" t="n">
        <v>0</v>
      </c>
      <c r="K6140" s="10" t="s">
        <v>20</v>
      </c>
      <c r="L6140" s="11" t="n">
        <v>40007.0868402778</v>
      </c>
      <c r="M6140" s="12" t="s">
        <v>13568</v>
      </c>
      <c r="N6140" s="12"/>
      <c r="O6140" s="9" t="str">
        <f aca="false">HYPERLINK("https://pbs.twimg.com/profile_images/719706937923756032/6LX9DMMH_normal.jpg","View")</f>
        <v>View</v>
      </c>
      <c r="P6140" s="10"/>
    </row>
    <row r="6141" customFormat="false" ht="15.75" hidden="false" customHeight="false" outlineLevel="0" collapsed="false">
      <c r="A6141" s="6" t="n">
        <v>43031.0414467593</v>
      </c>
      <c r="B6141" s="7" t="str">
        <f aca="false">HYPERLINK("https://twitter.com/jkaonline","@jkaonline")</f>
        <v>@jkaonline</v>
      </c>
      <c r="C6141" s="8" t="s">
        <v>14096</v>
      </c>
      <c r="D6141" s="8" t="s">
        <v>14097</v>
      </c>
      <c r="E6141" s="9" t="str">
        <f aca="false">HYPERLINK("https://twitter.com/jkaonline/status/922371938454065152","922371938454065152")</f>
        <v>922371938454065152</v>
      </c>
      <c r="F6141" s="10" t="s">
        <v>177</v>
      </c>
      <c r="G6141" s="10" t="n">
        <v>415750</v>
      </c>
      <c r="H6141" s="10" t="n">
        <v>8574</v>
      </c>
      <c r="I6141" s="10" t="n">
        <v>16</v>
      </c>
      <c r="J6141" s="10" t="n">
        <v>14</v>
      </c>
      <c r="K6141" s="10" t="s">
        <v>20</v>
      </c>
      <c r="L6141" s="11" t="n">
        <v>39314.1777662037</v>
      </c>
      <c r="M6141" s="12" t="s">
        <v>3302</v>
      </c>
      <c r="N6141" s="12" t="s">
        <v>14098</v>
      </c>
      <c r="O6141" s="9" t="str">
        <f aca="false">HYPERLINK("https://pbs.twimg.com/profile_images/793031705871474692/9EpwqdnC_normal.jpg","View")</f>
        <v>View</v>
      </c>
      <c r="P6141" s="10"/>
    </row>
    <row r="6142" customFormat="false" ht="15.75" hidden="false" customHeight="false" outlineLevel="0" collapsed="false">
      <c r="A6142" s="6" t="n">
        <v>43031.0414814815</v>
      </c>
      <c r="B6142" s="7" t="str">
        <f aca="false">HYPERLINK("https://twitter.com/yumemirutotoro","@yumemirutotoro")</f>
        <v>@yumemirutotoro</v>
      </c>
      <c r="C6142" s="14" t="s">
        <v>661</v>
      </c>
      <c r="D6142" s="8" t="s">
        <v>13741</v>
      </c>
      <c r="E6142" s="9" t="str">
        <f aca="false">HYPERLINK("https://twitter.com/yumemirutotoro/status/922371951208808449","922371951208808449")</f>
        <v>922371951208808449</v>
      </c>
      <c r="F6142" s="10" t="s">
        <v>177</v>
      </c>
      <c r="G6142" s="10" t="n">
        <v>69</v>
      </c>
      <c r="H6142" s="10" t="n">
        <v>652</v>
      </c>
      <c r="I6142" s="10" t="n">
        <v>17</v>
      </c>
      <c r="J6142" s="10" t="n">
        <v>0</v>
      </c>
      <c r="K6142" s="10" t="s">
        <v>20</v>
      </c>
      <c r="L6142" s="11" t="n">
        <v>42444.3085185185</v>
      </c>
      <c r="M6142" s="12"/>
      <c r="N6142" s="13" t="s">
        <v>662</v>
      </c>
      <c r="O6142" s="9" t="str">
        <f aca="false">HYPERLINK("https://pbs.twimg.com/profile_images/915191533791469568/_CpZOcA-_normal.jpg","View")</f>
        <v>View</v>
      </c>
      <c r="P6142" s="10"/>
    </row>
    <row r="6143" customFormat="false" ht="15.75" hidden="false" customHeight="false" outlineLevel="0" collapsed="false">
      <c r="A6143" s="6" t="n">
        <v>43031.0416666667</v>
      </c>
      <c r="B6143" s="7" t="str">
        <f aca="false">HYPERLINK("https://twitter.com/Reuters","@Reuters")</f>
        <v>@Reuters</v>
      </c>
      <c r="C6143" s="8" t="s">
        <v>13587</v>
      </c>
      <c r="D6143" s="8" t="s">
        <v>14099</v>
      </c>
      <c r="E6143" s="9" t="str">
        <f aca="false">HYPERLINK("https://twitter.com/Reuters/status/922372018556739584","922372018556739584")</f>
        <v>922372018556739584</v>
      </c>
      <c r="F6143" s="10" t="s">
        <v>12039</v>
      </c>
      <c r="G6143" s="10" t="n">
        <v>18926175</v>
      </c>
      <c r="H6143" s="10" t="n">
        <v>1063</v>
      </c>
      <c r="I6143" s="10" t="n">
        <v>30</v>
      </c>
      <c r="J6143" s="10" t="n">
        <v>26</v>
      </c>
      <c r="K6143" s="10" t="s">
        <v>20</v>
      </c>
      <c r="L6143" s="11" t="n">
        <v>39161.4486689815</v>
      </c>
      <c r="M6143" s="12" t="s">
        <v>13589</v>
      </c>
      <c r="N6143" s="12" t="s">
        <v>13590</v>
      </c>
      <c r="O6143" s="9" t="str">
        <f aca="false">HYPERLINK("https://pbs.twimg.com/profile_images/877554927932891136/ZBEs235N_normal.jpg","View")</f>
        <v>View</v>
      </c>
      <c r="P6143" s="10"/>
    </row>
    <row r="6144" customFormat="false" ht="15.75" hidden="false" customHeight="false" outlineLevel="0" collapsed="false">
      <c r="A6144" s="6" t="n">
        <v>43031.041724537</v>
      </c>
      <c r="B6144" s="7" t="str">
        <f aca="false">HYPERLINK("https://twitter.com/Global___News","@Global___News")</f>
        <v>@Global___News</v>
      </c>
      <c r="C6144" s="8" t="s">
        <v>2893</v>
      </c>
      <c r="D6144" s="8" t="s">
        <v>9399</v>
      </c>
      <c r="E6144" s="9" t="str">
        <f aca="false">HYPERLINK("https://twitter.com/Global___News/status/922372038257291264","922372038257291264")</f>
        <v>922372038257291264</v>
      </c>
      <c r="F6144" s="10" t="s">
        <v>9400</v>
      </c>
      <c r="G6144" s="10" t="n">
        <v>820</v>
      </c>
      <c r="H6144" s="10" t="n">
        <v>4</v>
      </c>
      <c r="I6144" s="10" t="n">
        <v>0</v>
      </c>
      <c r="J6144" s="10" t="n">
        <v>0</v>
      </c>
      <c r="K6144" s="10" t="s">
        <v>20</v>
      </c>
      <c r="L6144" s="11" t="n">
        <v>41404.3315393519</v>
      </c>
      <c r="M6144" s="12"/>
      <c r="N6144" s="12" t="s">
        <v>2893</v>
      </c>
      <c r="O6144" s="9" t="str">
        <f aca="false">HYPERLINK("https://pbs.twimg.com/profile_images/3640360348/ca3c8990ec800ecd3004b1c1ab4cc462_normal.png","View")</f>
        <v>View</v>
      </c>
      <c r="P6144" s="10"/>
    </row>
    <row r="6145" customFormat="false" ht="15.75" hidden="false" customHeight="false" outlineLevel="0" collapsed="false">
      <c r="A6145" s="6" t="n">
        <v>43031.0417708333</v>
      </c>
      <c r="B6145" s="7" t="str">
        <f aca="false">HYPERLINK("https://twitter.com/notiven","@notiven")</f>
        <v>@notiven</v>
      </c>
      <c r="C6145" s="8" t="s">
        <v>699</v>
      </c>
      <c r="D6145" s="8" t="s">
        <v>14100</v>
      </c>
      <c r="E6145" s="9" t="str">
        <f aca="false">HYPERLINK("https://twitter.com/notiven/status/922372053629571072","922372053629571072")</f>
        <v>922372053629571072</v>
      </c>
      <c r="F6145" s="10" t="s">
        <v>701</v>
      </c>
      <c r="G6145" s="10" t="n">
        <v>51343</v>
      </c>
      <c r="H6145" s="10" t="n">
        <v>193</v>
      </c>
      <c r="I6145" s="10" t="n">
        <v>0</v>
      </c>
      <c r="J6145" s="10" t="n">
        <v>0</v>
      </c>
      <c r="K6145" s="10" t="s">
        <v>20</v>
      </c>
      <c r="L6145" s="11" t="n">
        <v>39235.5805787037</v>
      </c>
      <c r="M6145" s="12" t="s">
        <v>702</v>
      </c>
      <c r="N6145" s="12" t="s">
        <v>703</v>
      </c>
      <c r="O6145" s="9" t="str">
        <f aca="false">HYPERLINK("https://pbs.twimg.com/profile_images/799317731648606208/vbXQCdts_normal.jpg","View")</f>
        <v>View</v>
      </c>
      <c r="P6145" s="10"/>
    </row>
    <row r="6146" customFormat="false" ht="15.75" hidden="false" customHeight="false" outlineLevel="0" collapsed="false">
      <c r="A6146" s="6" t="n">
        <v>43031.0421180556</v>
      </c>
      <c r="B6146" s="7" t="str">
        <f aca="false">HYPERLINK("https://twitter.com/AntonHilft","@AntonHilft")</f>
        <v>@AntonHilft</v>
      </c>
      <c r="C6146" s="8" t="s">
        <v>14101</v>
      </c>
      <c r="D6146" s="8" t="s">
        <v>14102</v>
      </c>
      <c r="E6146" s="9" t="str">
        <f aca="false">HYPERLINK("https://twitter.com/AntonHilft/status/922372180284932096","922372180284932096")</f>
        <v>922372180284932096</v>
      </c>
      <c r="F6146" s="9" t="s">
        <v>979</v>
      </c>
      <c r="G6146" s="10" t="n">
        <v>643</v>
      </c>
      <c r="H6146" s="10" t="n">
        <v>0</v>
      </c>
      <c r="I6146" s="10" t="n">
        <v>0</v>
      </c>
      <c r="J6146" s="10" t="n">
        <v>0</v>
      </c>
      <c r="K6146" s="10" t="s">
        <v>20</v>
      </c>
      <c r="L6146" s="11" t="n">
        <v>41685.6934837963</v>
      </c>
      <c r="M6146" s="12"/>
      <c r="N6146" s="15" t="s">
        <v>14103</v>
      </c>
      <c r="O6146" s="9" t="str">
        <f aca="false">HYPERLINK("https://pbs.twimg.com/profile_images/434850328018567168/MqX2iNBK_normal.jpeg","View")</f>
        <v>View</v>
      </c>
      <c r="P6146" s="10"/>
    </row>
    <row r="6147" customFormat="false" ht="15.75" hidden="false" customHeight="false" outlineLevel="0" collapsed="false">
      <c r="A6147" s="6" t="n">
        <v>43031.0421180556</v>
      </c>
      <c r="B6147" s="7" t="str">
        <f aca="false">HYPERLINK("https://twitter.com/vuralparslan","@vuralparslan")</f>
        <v>@vuralparslan</v>
      </c>
      <c r="C6147" s="8" t="s">
        <v>14104</v>
      </c>
      <c r="D6147" s="8" t="s">
        <v>11033</v>
      </c>
      <c r="E6147" s="9" t="str">
        <f aca="false">HYPERLINK("https://twitter.com/vuralparslan/status/922372181455187968","922372181455187968")</f>
        <v>922372181455187968</v>
      </c>
      <c r="F6147" s="10" t="s">
        <v>39</v>
      </c>
      <c r="G6147" s="10" t="n">
        <v>771</v>
      </c>
      <c r="H6147" s="10" t="n">
        <v>2009</v>
      </c>
      <c r="I6147" s="10" t="n">
        <v>60</v>
      </c>
      <c r="J6147" s="10" t="n">
        <v>0</v>
      </c>
      <c r="K6147" s="10" t="s">
        <v>20</v>
      </c>
      <c r="L6147" s="11" t="n">
        <v>39978.6918634259</v>
      </c>
      <c r="M6147" s="12" t="s">
        <v>102</v>
      </c>
      <c r="N6147" s="12"/>
      <c r="O6147" s="9" t="str">
        <f aca="false">HYPERLINK("https://pbs.twimg.com/profile_images/631466794105110528/iiZUxKsm_normal.jpg","View")</f>
        <v>View</v>
      </c>
      <c r="P6147" s="10"/>
    </row>
    <row r="6148" customFormat="false" ht="15.75" hidden="false" customHeight="false" outlineLevel="0" collapsed="false">
      <c r="A6148" s="6" t="n">
        <v>43031.0421643519</v>
      </c>
      <c r="B6148" s="7" t="str">
        <f aca="false">HYPERLINK("https://twitter.com/reuters_once","@reuters_once")</f>
        <v>@reuters_once</v>
      </c>
      <c r="C6148" s="8" t="s">
        <v>14105</v>
      </c>
      <c r="D6148" s="8" t="s">
        <v>14106</v>
      </c>
      <c r="E6148" s="9" t="str">
        <f aca="false">HYPERLINK("https://twitter.com/reuters_once/status/922372199943692289","922372199943692289")</f>
        <v>922372199943692289</v>
      </c>
      <c r="F6148" s="10" t="s">
        <v>737</v>
      </c>
      <c r="G6148" s="10" t="n">
        <v>94</v>
      </c>
      <c r="H6148" s="10" t="n">
        <v>0</v>
      </c>
      <c r="I6148" s="10" t="n">
        <v>30</v>
      </c>
      <c r="J6148" s="10" t="n">
        <v>0</v>
      </c>
      <c r="K6148" s="10" t="s">
        <v>20</v>
      </c>
      <c r="L6148" s="11" t="n">
        <v>42767.8444328704</v>
      </c>
      <c r="M6148" s="12"/>
      <c r="N6148" s="12" t="s">
        <v>14107</v>
      </c>
      <c r="O6148" s="9" t="str">
        <f aca="false">HYPERLINK("https://pbs.twimg.com/profile_images/827009244520148996/PpVBEKC2_normal.jpg","View")</f>
        <v>View</v>
      </c>
      <c r="P6148" s="10"/>
    </row>
    <row r="6149" customFormat="false" ht="15.75" hidden="false" customHeight="false" outlineLevel="0" collapsed="false">
      <c r="A6149" s="6" t="n">
        <v>43031.0425462963</v>
      </c>
      <c r="B6149" s="7" t="str">
        <f aca="false">HYPERLINK("https://twitter.com/YazdJBilimoria","@YazdJBilimoria")</f>
        <v>@YazdJBilimoria</v>
      </c>
      <c r="C6149" s="8" t="s">
        <v>1411</v>
      </c>
      <c r="D6149" s="8" t="s">
        <v>14106</v>
      </c>
      <c r="E6149" s="9" t="str">
        <f aca="false">HYPERLINK("https://twitter.com/YazdJBilimoria/status/922372337860673536","922372337860673536")</f>
        <v>922372337860673536</v>
      </c>
      <c r="F6149" s="10" t="s">
        <v>25</v>
      </c>
      <c r="G6149" s="10" t="n">
        <v>605</v>
      </c>
      <c r="H6149" s="10" t="n">
        <v>397</v>
      </c>
      <c r="I6149" s="10" t="n">
        <v>30</v>
      </c>
      <c r="J6149" s="10" t="n">
        <v>0</v>
      </c>
      <c r="K6149" s="10" t="s">
        <v>20</v>
      </c>
      <c r="L6149" s="11" t="n">
        <v>40838.0354050926</v>
      </c>
      <c r="M6149" s="12" t="s">
        <v>860</v>
      </c>
      <c r="N6149" s="12" t="s">
        <v>1413</v>
      </c>
      <c r="O6149" s="9" t="str">
        <f aca="false">HYPERLINK("https://pbs.twimg.com/profile_images/609557791234109440/HngDPdiD_normal.jpg","View")</f>
        <v>View</v>
      </c>
      <c r="P6149" s="10"/>
    </row>
    <row r="6150" customFormat="false" ht="15.75" hidden="false" customHeight="false" outlineLevel="0" collapsed="false">
      <c r="A6150" s="6" t="n">
        <v>43031.0426157407</v>
      </c>
      <c r="B6150" s="7" t="str">
        <f aca="false">HYPERLINK("https://twitter.com/bdnews24","@bdnews24")</f>
        <v>@bdnews24</v>
      </c>
      <c r="C6150" s="8" t="s">
        <v>216</v>
      </c>
      <c r="D6150" s="8" t="s">
        <v>14108</v>
      </c>
      <c r="E6150" s="9" t="str">
        <f aca="false">HYPERLINK("https://twitter.com/bdnews24/status/922372361915166720","922372361915166720")</f>
        <v>922372361915166720</v>
      </c>
      <c r="F6150" s="10" t="s">
        <v>60</v>
      </c>
      <c r="G6150" s="10" t="n">
        <v>215597</v>
      </c>
      <c r="H6150" s="10" t="n">
        <v>67887</v>
      </c>
      <c r="I6150" s="10" t="n">
        <v>0</v>
      </c>
      <c r="J6150" s="10" t="n">
        <v>0</v>
      </c>
      <c r="K6150" s="10" t="s">
        <v>20</v>
      </c>
      <c r="L6150" s="11" t="n">
        <v>39844.4680439815</v>
      </c>
      <c r="M6150" s="12" t="s">
        <v>218</v>
      </c>
      <c r="N6150" s="12" t="s">
        <v>219</v>
      </c>
      <c r="O6150" s="9" t="str">
        <f aca="false">HYPERLINK("https://pbs.twimg.com/profile_images/718433521509994497/4iW9RC_r_normal.jpg","View")</f>
        <v>View</v>
      </c>
      <c r="P6150" s="10"/>
    </row>
    <row r="6151" customFormat="false" ht="15.75" hidden="false" customHeight="false" outlineLevel="0" collapsed="false">
      <c r="A6151" s="6" t="n">
        <v>43031.0426967593</v>
      </c>
      <c r="B6151" s="7" t="str">
        <f aca="false">HYPERLINK("https://twitter.com/choonsikyoo","@choonsikyoo")</f>
        <v>@choonsikyoo</v>
      </c>
      <c r="C6151" s="8" t="s">
        <v>13693</v>
      </c>
      <c r="D6151" s="8" t="s">
        <v>14109</v>
      </c>
      <c r="E6151" s="9" t="str">
        <f aca="false">HYPERLINK("https://twitter.com/choonsikyoo/status/922372389110976515","922372389110976515")</f>
        <v>922372389110976515</v>
      </c>
      <c r="F6151" s="10" t="s">
        <v>60</v>
      </c>
      <c r="G6151" s="10" t="n">
        <v>1700</v>
      </c>
      <c r="H6151" s="10" t="n">
        <v>1891</v>
      </c>
      <c r="I6151" s="10" t="n">
        <v>0</v>
      </c>
      <c r="J6151" s="10" t="n">
        <v>0</v>
      </c>
      <c r="K6151" s="10" t="s">
        <v>20</v>
      </c>
      <c r="L6151" s="11" t="n">
        <v>40224.8175231481</v>
      </c>
      <c r="M6151" s="12" t="s">
        <v>2928</v>
      </c>
      <c r="N6151" s="12" t="s">
        <v>13694</v>
      </c>
      <c r="O6151" s="9" t="str">
        <f aca="false">HYPERLINK("https://pbs.twimg.com/profile_images/2545270141/dwadjp2rsl27tumivfew_normal.jpeg","View")</f>
        <v>View</v>
      </c>
      <c r="P6151" s="10"/>
    </row>
    <row r="6152" customFormat="false" ht="15.75" hidden="false" customHeight="false" outlineLevel="0" collapsed="false">
      <c r="A6152" s="6" t="n">
        <v>43031.0429050926</v>
      </c>
      <c r="B6152" s="7" t="str">
        <f aca="false">HYPERLINK("https://twitter.com/Ron_Bourne","@Ron_Bourne")</f>
        <v>@Ron_Bourne</v>
      </c>
      <c r="C6152" s="8" t="s">
        <v>4466</v>
      </c>
      <c r="D6152" s="8" t="s">
        <v>14110</v>
      </c>
      <c r="E6152" s="9" t="str">
        <f aca="false">HYPERLINK("https://twitter.com/Ron_Bourne/status/922372467921956864","922372467921956864")</f>
        <v>922372467921956864</v>
      </c>
      <c r="F6152" s="10" t="s">
        <v>60</v>
      </c>
      <c r="G6152" s="10" t="n">
        <v>361</v>
      </c>
      <c r="H6152" s="10" t="n">
        <v>241</v>
      </c>
      <c r="I6152" s="10" t="n">
        <v>0</v>
      </c>
      <c r="J6152" s="10" t="n">
        <v>0</v>
      </c>
      <c r="K6152" s="10" t="s">
        <v>20</v>
      </c>
      <c r="L6152" s="11" t="n">
        <v>39367.5259375</v>
      </c>
      <c r="M6152" s="12" t="s">
        <v>1319</v>
      </c>
      <c r="N6152" s="12" t="s">
        <v>4468</v>
      </c>
      <c r="O6152" s="9" t="str">
        <f aca="false">HYPERLINK("https://pbs.twimg.com/profile_images/922533323825664000/DLCEnlTy_normal.jpg","View")</f>
        <v>View</v>
      </c>
      <c r="P6152" s="10"/>
    </row>
    <row r="6153" customFormat="false" ht="15.75" hidden="false" customHeight="false" outlineLevel="0" collapsed="false">
      <c r="A6153" s="6" t="n">
        <v>43031.0429166667</v>
      </c>
      <c r="B6153" s="7" t="str">
        <f aca="false">HYPERLINK("https://twitter.com/CallejaYoana","@CallejaYoana")</f>
        <v>@CallejaYoana</v>
      </c>
      <c r="C6153" s="8" t="s">
        <v>13376</v>
      </c>
      <c r="D6153" s="8" t="s">
        <v>14111</v>
      </c>
      <c r="E6153" s="9" t="str">
        <f aca="false">HYPERLINK("https://twitter.com/CallejaYoana/status/922372470803435521","922372470803435521")</f>
        <v>922372470803435521</v>
      </c>
      <c r="F6153" s="10" t="s">
        <v>60</v>
      </c>
      <c r="G6153" s="10" t="n">
        <v>571</v>
      </c>
      <c r="H6153" s="10" t="n">
        <v>554</v>
      </c>
      <c r="I6153" s="10" t="n">
        <v>0</v>
      </c>
      <c r="J6153" s="10" t="n">
        <v>0</v>
      </c>
      <c r="K6153" s="10" t="s">
        <v>20</v>
      </c>
      <c r="L6153" s="11" t="n">
        <v>42727.0603125</v>
      </c>
      <c r="M6153" s="12" t="s">
        <v>13378</v>
      </c>
      <c r="N6153" s="12" t="s">
        <v>13379</v>
      </c>
      <c r="O6153" s="9" t="str">
        <f aca="false">HYPERLINK("https://pbs.twimg.com/profile_images/839196765307944965/NFdGXZzf_normal.jpg","View")</f>
        <v>View</v>
      </c>
      <c r="P6153" s="10"/>
    </row>
    <row r="6154" customFormat="false" ht="15.75" hidden="false" customHeight="false" outlineLevel="0" collapsed="false">
      <c r="A6154" s="6" t="n">
        <v>43031.0436805556</v>
      </c>
      <c r="B6154" s="7" t="str">
        <f aca="false">HYPERLINK("https://twitter.com/ClaremKaye","@ClaremKaye")</f>
        <v>@ClaremKaye</v>
      </c>
      <c r="C6154" s="8" t="s">
        <v>14112</v>
      </c>
      <c r="D6154" s="8" t="s">
        <v>14106</v>
      </c>
      <c r="E6154" s="9" t="str">
        <f aca="false">HYPERLINK("https://twitter.com/ClaremKaye/status/922372747690496001","922372747690496001")</f>
        <v>922372747690496001</v>
      </c>
      <c r="F6154" s="10" t="s">
        <v>51</v>
      </c>
      <c r="G6154" s="10" t="n">
        <v>61</v>
      </c>
      <c r="H6154" s="10" t="n">
        <v>320</v>
      </c>
      <c r="I6154" s="10" t="n">
        <v>30</v>
      </c>
      <c r="J6154" s="10" t="n">
        <v>0</v>
      </c>
      <c r="K6154" s="10" t="s">
        <v>20</v>
      </c>
      <c r="L6154" s="11" t="n">
        <v>41700.5624537037</v>
      </c>
      <c r="M6154" s="12"/>
      <c r="N6154" s="12" t="s">
        <v>14113</v>
      </c>
      <c r="O6154" s="9" t="str">
        <f aca="false">HYPERLINK("https://pbs.twimg.com/profile_images/545681618346577920/NJKu9Wub_normal.jpeg","View")</f>
        <v>View</v>
      </c>
      <c r="P6154" s="10"/>
    </row>
    <row r="6155" customFormat="false" ht="15.75" hidden="false" customHeight="false" outlineLevel="0" collapsed="false">
      <c r="A6155" s="6" t="n">
        <v>43031.04375</v>
      </c>
      <c r="B6155" s="7" t="str">
        <f aca="false">HYPERLINK("https://twitter.com/Kingmakertweet","@Kingmakertweet")</f>
        <v>@Kingmakertweet</v>
      </c>
      <c r="C6155" s="8" t="s">
        <v>719</v>
      </c>
      <c r="D6155" s="8" t="s">
        <v>14106</v>
      </c>
      <c r="E6155" s="9" t="str">
        <f aca="false">HYPERLINK("https://twitter.com/Kingmakertweet/status/922372771383873537","922372771383873537")</f>
        <v>922372771383873537</v>
      </c>
      <c r="F6155" s="10" t="s">
        <v>39</v>
      </c>
      <c r="G6155" s="10" t="n">
        <v>139</v>
      </c>
      <c r="H6155" s="10" t="n">
        <v>67</v>
      </c>
      <c r="I6155" s="10" t="n">
        <v>30</v>
      </c>
      <c r="J6155" s="10" t="n">
        <v>0</v>
      </c>
      <c r="K6155" s="10" t="s">
        <v>20</v>
      </c>
      <c r="L6155" s="11" t="n">
        <v>41053.0465046296</v>
      </c>
      <c r="M6155" s="12"/>
      <c r="N6155" s="13" t="s">
        <v>720</v>
      </c>
      <c r="O6155" s="9" t="str">
        <f aca="false">HYPERLINK("https://pbs.twimg.com/profile_images/836959111707123712/vw98l-VT_normal.jpg","View")</f>
        <v>View</v>
      </c>
      <c r="P6155" s="10"/>
    </row>
    <row r="6156" customFormat="false" ht="15.75" hidden="false" customHeight="false" outlineLevel="0" collapsed="false">
      <c r="A6156" s="6" t="n">
        <v>43031.0438425926</v>
      </c>
      <c r="B6156" s="7" t="str">
        <f aca="false">HYPERLINK("https://twitter.com/adrisrah","@adrisrah")</f>
        <v>@adrisrah</v>
      </c>
      <c r="C6156" s="8" t="s">
        <v>14114</v>
      </c>
      <c r="D6156" s="8" t="s">
        <v>14106</v>
      </c>
      <c r="E6156" s="9" t="str">
        <f aca="false">HYPERLINK("https://twitter.com/adrisrah/status/922372806071013376","922372806071013376")</f>
        <v>922372806071013376</v>
      </c>
      <c r="F6156" s="10" t="s">
        <v>39</v>
      </c>
      <c r="G6156" s="10" t="n">
        <v>175</v>
      </c>
      <c r="H6156" s="10" t="n">
        <v>919</v>
      </c>
      <c r="I6156" s="10" t="n">
        <v>30</v>
      </c>
      <c r="J6156" s="10" t="n">
        <v>0</v>
      </c>
      <c r="K6156" s="10" t="s">
        <v>20</v>
      </c>
      <c r="L6156" s="11" t="n">
        <v>40198.5189583333</v>
      </c>
      <c r="M6156" s="12"/>
      <c r="N6156" s="12" t="s">
        <v>14115</v>
      </c>
      <c r="O6156" s="9" t="str">
        <f aca="false">HYPERLINK("https://pbs.twimg.com/profile_images/818346885559840770/KC1xGaC__normal.jpg","View")</f>
        <v>View</v>
      </c>
      <c r="P6156" s="10"/>
    </row>
    <row r="6157" customFormat="false" ht="15.75" hidden="false" customHeight="false" outlineLevel="0" collapsed="false">
      <c r="A6157" s="6" t="n">
        <v>43031.0438657407</v>
      </c>
      <c r="B6157" s="7" t="str">
        <f aca="false">HYPERLINK("https://twitter.com/mlnangalama","@mlnangalama")</f>
        <v>@mlnangalama</v>
      </c>
      <c r="C6157" s="8" t="s">
        <v>255</v>
      </c>
      <c r="D6157" s="8" t="s">
        <v>14116</v>
      </c>
      <c r="E6157" s="9" t="str">
        <f aca="false">HYPERLINK("https://twitter.com/mlnangalama/status/922372813205442560","922372813205442560")</f>
        <v>922372813205442560</v>
      </c>
      <c r="F6157" s="10" t="s">
        <v>60</v>
      </c>
      <c r="G6157" s="10" t="n">
        <v>2370</v>
      </c>
      <c r="H6157" s="10" t="n">
        <v>1585</v>
      </c>
      <c r="I6157" s="10" t="n">
        <v>0</v>
      </c>
      <c r="J6157" s="10" t="n">
        <v>0</v>
      </c>
      <c r="K6157" s="10" t="s">
        <v>20</v>
      </c>
      <c r="L6157" s="11" t="n">
        <v>41041.5437847222</v>
      </c>
      <c r="M6157" s="12" t="s">
        <v>257</v>
      </c>
      <c r="N6157" s="12" t="s">
        <v>258</v>
      </c>
      <c r="O6157" s="9" t="str">
        <f aca="false">HYPERLINK("https://pbs.twimg.com/profile_images/900915882444173313/biUHzvpx_normal.jpg","View")</f>
        <v>View</v>
      </c>
      <c r="P6157" s="10"/>
    </row>
    <row r="6158" customFormat="false" ht="15.75" hidden="false" customHeight="false" outlineLevel="0" collapsed="false">
      <c r="A6158" s="6" t="n">
        <v>43031.0440393519</v>
      </c>
      <c r="B6158" s="7" t="str">
        <f aca="false">HYPERLINK("https://twitter.com/Wisith_lew","@Wisith_lew")</f>
        <v>@Wisith_lew</v>
      </c>
      <c r="C6158" s="8" t="s">
        <v>14117</v>
      </c>
      <c r="D6158" s="8" t="s">
        <v>14106</v>
      </c>
      <c r="E6158" s="9" t="str">
        <f aca="false">HYPERLINK("https://twitter.com/Wisith_lew/status/922372878770638848","922372878770638848")</f>
        <v>922372878770638848</v>
      </c>
      <c r="F6158" s="10" t="s">
        <v>25</v>
      </c>
      <c r="G6158" s="10" t="n">
        <v>151</v>
      </c>
      <c r="H6158" s="10" t="n">
        <v>229</v>
      </c>
      <c r="I6158" s="10" t="n">
        <v>30</v>
      </c>
      <c r="J6158" s="10" t="n">
        <v>0</v>
      </c>
      <c r="K6158" s="10" t="s">
        <v>20</v>
      </c>
      <c r="L6158" s="11" t="n">
        <v>40037.4302199074</v>
      </c>
      <c r="M6158" s="12" t="s">
        <v>4557</v>
      </c>
      <c r="N6158" s="12" t="s">
        <v>14118</v>
      </c>
      <c r="O6158" s="9" t="str">
        <f aca="false">HYPERLINK("https://pbs.twimg.com/profile_images/727139522161471492/9OCLyX5M_normal.jpg","View")</f>
        <v>View</v>
      </c>
      <c r="P6158" s="10"/>
    </row>
    <row r="6159" customFormat="false" ht="15.75" hidden="false" customHeight="false" outlineLevel="0" collapsed="false">
      <c r="A6159" s="6" t="n">
        <v>43031.0440740741</v>
      </c>
      <c r="B6159" s="7" t="str">
        <f aca="false">HYPERLINK("https://twitter.com/Derindunya8","@Derindunya8")</f>
        <v>@Derindunya8</v>
      </c>
      <c r="C6159" s="8" t="s">
        <v>14119</v>
      </c>
      <c r="D6159" s="8" t="s">
        <v>14120</v>
      </c>
      <c r="E6159" s="9" t="str">
        <f aca="false">HYPERLINK("https://twitter.com/Derindunya8/status/922372888182841345","922372888182841345")</f>
        <v>922372888182841345</v>
      </c>
      <c r="F6159" s="10" t="s">
        <v>25</v>
      </c>
      <c r="G6159" s="10" t="n">
        <v>15</v>
      </c>
      <c r="H6159" s="10" t="n">
        <v>83</v>
      </c>
      <c r="I6159" s="10" t="n">
        <v>0</v>
      </c>
      <c r="J6159" s="10" t="n">
        <v>0</v>
      </c>
      <c r="K6159" s="10" t="s">
        <v>20</v>
      </c>
      <c r="L6159" s="11" t="n">
        <v>42947.4180324074</v>
      </c>
      <c r="M6159" s="12"/>
      <c r="N6159" s="12"/>
      <c r="O6159" s="9" t="str">
        <f aca="false">HYPERLINK("https://pbs.twimg.com/profile_images/892078918924206081/nUXSJ_T3_normal.jpg","View")</f>
        <v>View</v>
      </c>
      <c r="P6159" s="10"/>
    </row>
    <row r="6160" customFormat="false" ht="15.75" hidden="false" customHeight="false" outlineLevel="0" collapsed="false">
      <c r="A6160" s="6" t="n">
        <v>43031.0441319444</v>
      </c>
      <c r="B6160" s="7" t="str">
        <f aca="false">HYPERLINK("https://twitter.com/eangels1064","@eangels1064")</f>
        <v>@eangels1064</v>
      </c>
      <c r="C6160" s="8" t="s">
        <v>14121</v>
      </c>
      <c r="D6160" s="8" t="s">
        <v>12764</v>
      </c>
      <c r="E6160" s="9" t="str">
        <f aca="false">HYPERLINK("https://twitter.com/eangels1064/status/922372910852972544","922372910852972544")</f>
        <v>922372910852972544</v>
      </c>
      <c r="F6160" s="10" t="s">
        <v>51</v>
      </c>
      <c r="G6160" s="10" t="n">
        <v>1203</v>
      </c>
      <c r="H6160" s="10" t="n">
        <v>612</v>
      </c>
      <c r="I6160" s="10" t="n">
        <v>170</v>
      </c>
      <c r="J6160" s="10" t="n">
        <v>0</v>
      </c>
      <c r="K6160" s="10" t="s">
        <v>20</v>
      </c>
      <c r="L6160" s="11" t="n">
        <v>42431.5203472222</v>
      </c>
      <c r="M6160" s="12"/>
      <c r="N6160" s="12" t="s">
        <v>14122</v>
      </c>
      <c r="O6160" s="9" t="str">
        <f aca="false">HYPERLINK("https://pbs.twimg.com/profile_images/705128805472428032/_aDyoMz0_normal.jpg","View")</f>
        <v>View</v>
      </c>
      <c r="P6160" s="10"/>
    </row>
    <row r="6161" customFormat="false" ht="15.75" hidden="false" customHeight="false" outlineLevel="0" collapsed="false">
      <c r="A6161" s="6" t="n">
        <v>43031.0445601852</v>
      </c>
      <c r="B6161" s="7" t="str">
        <f aca="false">HYPERLINK("https://twitter.com/pasarterpercaya","@pasarterpercaya")</f>
        <v>@pasarterpercaya</v>
      </c>
      <c r="C6161" s="8" t="s">
        <v>14123</v>
      </c>
      <c r="D6161" s="8" t="s">
        <v>14124</v>
      </c>
      <c r="E6161" s="9" t="str">
        <f aca="false">HYPERLINK("https://twitter.com/pasarterpercaya/status/922373065517948928","922373065517948928")</f>
        <v>922373065517948928</v>
      </c>
      <c r="F6161" s="9" t="s">
        <v>1147</v>
      </c>
      <c r="G6161" s="10" t="n">
        <v>414</v>
      </c>
      <c r="H6161" s="10" t="n">
        <v>1833</v>
      </c>
      <c r="I6161" s="10" t="n">
        <v>0</v>
      </c>
      <c r="J6161" s="10" t="n">
        <v>0</v>
      </c>
      <c r="K6161" s="10" t="s">
        <v>20</v>
      </c>
      <c r="L6161" s="11" t="n">
        <v>41148.0457523148</v>
      </c>
      <c r="M6161" s="12" t="s">
        <v>14125</v>
      </c>
      <c r="N6161" s="12" t="s">
        <v>14126</v>
      </c>
      <c r="O6161" s="9" t="str">
        <f aca="false">HYPERLINK("https://pbs.twimg.com/profile_images/3344349717/da6031e80e911ef6346c721aac5c176a_normal.png","View")</f>
        <v>View</v>
      </c>
      <c r="P6161" s="10"/>
    </row>
    <row r="6162" customFormat="false" ht="15.75" hidden="false" customHeight="false" outlineLevel="0" collapsed="false">
      <c r="A6162" s="6" t="n">
        <v>43031.0445949074</v>
      </c>
      <c r="B6162" s="7" t="str">
        <f aca="false">HYPERLINK("https://twitter.com/AbbiejAbbieja","@AbbiejAbbieja")</f>
        <v>@AbbiejAbbieja</v>
      </c>
      <c r="C6162" s="8" t="s">
        <v>13600</v>
      </c>
      <c r="D6162" s="8" t="s">
        <v>14127</v>
      </c>
      <c r="E6162" s="9" t="str">
        <f aca="false">HYPERLINK("https://twitter.com/AbbiejAbbieja/status/922373079694790657","922373079694790657")</f>
        <v>922373079694790657</v>
      </c>
      <c r="F6162" s="10" t="s">
        <v>60</v>
      </c>
      <c r="G6162" s="10" t="n">
        <v>1298</v>
      </c>
      <c r="H6162" s="10" t="n">
        <v>1320</v>
      </c>
      <c r="I6162" s="10" t="n">
        <v>0</v>
      </c>
      <c r="J6162" s="10" t="n">
        <v>0</v>
      </c>
      <c r="K6162" s="10" t="s">
        <v>20</v>
      </c>
      <c r="L6162" s="11" t="n">
        <v>42803.7916435185</v>
      </c>
      <c r="M6162" s="12" t="s">
        <v>4050</v>
      </c>
      <c r="N6162" s="12" t="s">
        <v>13602</v>
      </c>
      <c r="O6162" s="9" t="str">
        <f aca="false">HYPERLINK("https://pbs.twimg.com/profile_images/860496478065774593/Ti_AHgwa_normal.jpg","View")</f>
        <v>View</v>
      </c>
      <c r="P6162" s="10"/>
    </row>
    <row r="6163" customFormat="false" ht="15.75" hidden="false" customHeight="false" outlineLevel="0" collapsed="false">
      <c r="A6163" s="6" t="n">
        <v>43031.0447222222</v>
      </c>
      <c r="B6163" s="7" t="str">
        <f aca="false">HYPERLINK("https://twitter.com/ashokakumarjha1","@ashokakumarjha1")</f>
        <v>@ashokakumarjha1</v>
      </c>
      <c r="C6163" s="8" t="s">
        <v>14128</v>
      </c>
      <c r="D6163" s="8" t="s">
        <v>8538</v>
      </c>
      <c r="E6163" s="9" t="str">
        <f aca="false">HYPERLINK("https://twitter.com/ashokakumarjha1/status/922373125832032256","922373125832032256")</f>
        <v>922373125832032256</v>
      </c>
      <c r="F6163" s="10" t="s">
        <v>98</v>
      </c>
      <c r="G6163" s="10" t="n">
        <v>174</v>
      </c>
      <c r="H6163" s="10" t="n">
        <v>218</v>
      </c>
      <c r="I6163" s="10" t="n">
        <v>1015</v>
      </c>
      <c r="J6163" s="10" t="n">
        <v>0</v>
      </c>
      <c r="K6163" s="10" t="s">
        <v>20</v>
      </c>
      <c r="L6163" s="11" t="n">
        <v>41106.8355902778</v>
      </c>
      <c r="M6163" s="12"/>
      <c r="N6163" s="12"/>
      <c r="O6163" s="9" t="str">
        <f aca="false">HYPERLINK("https://pbs.twimg.com/profile_images/526755349483646977/CiPds6Il_normal.jpeg","View")</f>
        <v>View</v>
      </c>
      <c r="P6163" s="10"/>
    </row>
    <row r="6164" customFormat="false" ht="15.75" hidden="false" customHeight="false" outlineLevel="0" collapsed="false">
      <c r="A6164" s="6" t="n">
        <v>43031.0458101852</v>
      </c>
      <c r="B6164" s="7" t="str">
        <f aca="false">HYPERLINK("https://twitter.com/BalakrishnaOne","@BalakrishnaOne")</f>
        <v>@BalakrishnaOne</v>
      </c>
      <c r="C6164" s="8" t="s">
        <v>14129</v>
      </c>
      <c r="D6164" s="8" t="s">
        <v>8538</v>
      </c>
      <c r="E6164" s="9" t="str">
        <f aca="false">HYPERLINK("https://twitter.com/BalakrishnaOne/status/922373520990134272","922373520990134272")</f>
        <v>922373520990134272</v>
      </c>
      <c r="F6164" s="10" t="s">
        <v>51</v>
      </c>
      <c r="G6164" s="10" t="n">
        <v>6267</v>
      </c>
      <c r="H6164" s="10" t="n">
        <v>524</v>
      </c>
      <c r="I6164" s="10" t="n">
        <v>1015</v>
      </c>
      <c r="J6164" s="10" t="n">
        <v>0</v>
      </c>
      <c r="K6164" s="10" t="s">
        <v>20</v>
      </c>
      <c r="L6164" s="11" t="n">
        <v>42169.2933680556</v>
      </c>
      <c r="M6164" s="12" t="s">
        <v>1104</v>
      </c>
      <c r="N6164" s="12" t="s">
        <v>14130</v>
      </c>
      <c r="O6164" s="9" t="str">
        <f aca="false">HYPERLINK("https://pbs.twimg.com/profile_images/835901700212998145/PJyoxysf_normal.jpg","View")</f>
        <v>View</v>
      </c>
      <c r="P6164" s="10"/>
    </row>
    <row r="6165" customFormat="false" ht="15.75" hidden="false" customHeight="false" outlineLevel="0" collapsed="false">
      <c r="A6165" s="6" t="n">
        <v>43031.0459953704</v>
      </c>
      <c r="B6165" s="7" t="str">
        <f aca="false">HYPERLINK("https://twitter.com/drWilda","@drWilda")</f>
        <v>@drWilda</v>
      </c>
      <c r="C6165" s="8" t="s">
        <v>14131</v>
      </c>
      <c r="D6165" s="8" t="s">
        <v>14106</v>
      </c>
      <c r="E6165" s="9" t="str">
        <f aca="false">HYPERLINK("https://twitter.com/drWilda/status/922373585619922944","922373585619922944")</f>
        <v>922373585619922944</v>
      </c>
      <c r="F6165" s="10" t="s">
        <v>25</v>
      </c>
      <c r="G6165" s="10" t="n">
        <v>2733</v>
      </c>
      <c r="H6165" s="10" t="n">
        <v>2188</v>
      </c>
      <c r="I6165" s="10" t="n">
        <v>30</v>
      </c>
      <c r="J6165" s="10" t="n">
        <v>0</v>
      </c>
      <c r="K6165" s="10" t="s">
        <v>20</v>
      </c>
      <c r="L6165" s="11" t="n">
        <v>39962.0460300926</v>
      </c>
      <c r="M6165" s="12" t="s">
        <v>14132</v>
      </c>
      <c r="N6165" s="12" t="s">
        <v>14133</v>
      </c>
      <c r="O6165" s="9" t="str">
        <f aca="false">HYPERLINK("https://pbs.twimg.com/profile_images/1539204901/MC900439592_normal.PNG","View")</f>
        <v>View</v>
      </c>
      <c r="P6165" s="10"/>
    </row>
    <row r="6166" customFormat="false" ht="15.75" hidden="false" customHeight="false" outlineLevel="0" collapsed="false">
      <c r="A6166" s="6" t="n">
        <v>43031.0460648148</v>
      </c>
      <c r="B6166" s="7" t="str">
        <f aca="false">HYPERLINK("https://twitter.com/JazminOsorio91","@JazminOsorio91")</f>
        <v>@JazminOsorio91</v>
      </c>
      <c r="C6166" s="8" t="s">
        <v>14134</v>
      </c>
      <c r="D6166" s="8" t="s">
        <v>14135</v>
      </c>
      <c r="E6166" s="9" t="str">
        <f aca="false">HYPERLINK("https://twitter.com/JazminOsorio91/status/922373611201196032","922373611201196032")</f>
        <v>922373611201196032</v>
      </c>
      <c r="F6166" s="10" t="s">
        <v>25</v>
      </c>
      <c r="G6166" s="10" t="n">
        <v>33</v>
      </c>
      <c r="H6166" s="10" t="n">
        <v>1592</v>
      </c>
      <c r="I6166" s="10" t="n">
        <v>16</v>
      </c>
      <c r="J6166" s="10" t="n">
        <v>0</v>
      </c>
      <c r="K6166" s="10" t="s">
        <v>20</v>
      </c>
      <c r="L6166" s="11" t="n">
        <v>41081.6517824074</v>
      </c>
      <c r="M6166" s="12" t="s">
        <v>14136</v>
      </c>
      <c r="N6166" s="12" t="s">
        <v>14137</v>
      </c>
      <c r="O6166" s="9" t="str">
        <f aca="false">HYPERLINK("https://pbs.twimg.com/profile_images/749734326225502208/OqtI64K6_normal.jpg","View")</f>
        <v>View</v>
      </c>
      <c r="P6166" s="10"/>
    </row>
    <row r="6167" customFormat="false" ht="15.75" hidden="false" customHeight="false" outlineLevel="0" collapsed="false">
      <c r="A6167" s="6" t="n">
        <v>43031.0462847222</v>
      </c>
      <c r="B6167" s="7" t="str">
        <f aca="false">HYPERLINK("https://twitter.com/Beylotte","@Beylotte")</f>
        <v>@Beylotte</v>
      </c>
      <c r="C6167" s="8" t="s">
        <v>14138</v>
      </c>
      <c r="D6167" s="8" t="s">
        <v>14106</v>
      </c>
      <c r="E6167" s="9" t="str">
        <f aca="false">HYPERLINK("https://twitter.com/Beylotte/status/922373690301526016","922373690301526016")</f>
        <v>922373690301526016</v>
      </c>
      <c r="F6167" s="10" t="s">
        <v>25</v>
      </c>
      <c r="G6167" s="10" t="n">
        <v>8194</v>
      </c>
      <c r="H6167" s="10" t="n">
        <v>8153</v>
      </c>
      <c r="I6167" s="10" t="n">
        <v>30</v>
      </c>
      <c r="J6167" s="10" t="n">
        <v>0</v>
      </c>
      <c r="K6167" s="10" t="s">
        <v>20</v>
      </c>
      <c r="L6167" s="11" t="n">
        <v>39879.7893402778</v>
      </c>
      <c r="M6167" s="12" t="s">
        <v>14139</v>
      </c>
      <c r="N6167" s="12" t="s">
        <v>14140</v>
      </c>
      <c r="O6167" s="9" t="str">
        <f aca="false">HYPERLINK("https://pbs.twimg.com/profile_images/921631511677472768/1h5Q-a6s_normal.jpg","View")</f>
        <v>View</v>
      </c>
      <c r="P6167" s="10"/>
    </row>
    <row r="6168" customFormat="false" ht="15.75" hidden="false" customHeight="false" outlineLevel="0" collapsed="false">
      <c r="A6168" s="6" t="n">
        <v>43031.0463310185</v>
      </c>
      <c r="B6168" s="7" t="str">
        <f aca="false">HYPERLINK("https://twitter.com/ko_mutsuki","@ko_mutsuki")</f>
        <v>@ko_mutsuki</v>
      </c>
      <c r="C6168" s="8" t="s">
        <v>13859</v>
      </c>
      <c r="D6168" s="8" t="s">
        <v>14106</v>
      </c>
      <c r="E6168" s="9" t="str">
        <f aca="false">HYPERLINK("https://twitter.com/ko_mutsuki/status/922373708542386176","922373708542386176")</f>
        <v>922373708542386176</v>
      </c>
      <c r="F6168" s="10" t="s">
        <v>98</v>
      </c>
      <c r="G6168" s="10" t="n">
        <v>121</v>
      </c>
      <c r="H6168" s="10" t="n">
        <v>97</v>
      </c>
      <c r="I6168" s="10" t="n">
        <v>30</v>
      </c>
      <c r="J6168" s="10" t="n">
        <v>0</v>
      </c>
      <c r="K6168" s="10" t="s">
        <v>20</v>
      </c>
      <c r="L6168" s="11" t="n">
        <v>40441.3059606481</v>
      </c>
      <c r="M6168" s="13" t="s">
        <v>13860</v>
      </c>
      <c r="N6168" s="13" t="s">
        <v>13861</v>
      </c>
      <c r="O6168" s="9" t="str">
        <f aca="false">HYPERLINK("https://pbs.twimg.com/profile_images/596721308634779648/Kq3jVIAK_normal.jpg","View")</f>
        <v>View</v>
      </c>
      <c r="P6168" s="10"/>
    </row>
    <row r="6169" customFormat="false" ht="15.75" hidden="false" customHeight="false" outlineLevel="0" collapsed="false">
      <c r="A6169" s="6" t="n">
        <v>43031.0473842593</v>
      </c>
      <c r="B6169" s="7" t="str">
        <f aca="false">HYPERLINK("https://twitter.com/tqpzm","@tqpzm")</f>
        <v>@tqpzm</v>
      </c>
      <c r="C6169" s="14" t="s">
        <v>3818</v>
      </c>
      <c r="D6169" s="8" t="s">
        <v>14141</v>
      </c>
      <c r="E6169" s="9" t="str">
        <f aca="false">HYPERLINK("https://twitter.com/tqpzm/status/922374090450718720","922374090450718720")</f>
        <v>922374090450718720</v>
      </c>
      <c r="F6169" s="10" t="s">
        <v>55</v>
      </c>
      <c r="G6169" s="10" t="n">
        <v>180</v>
      </c>
      <c r="H6169" s="10" t="n">
        <v>8</v>
      </c>
      <c r="I6169" s="10" t="n">
        <v>0</v>
      </c>
      <c r="J6169" s="10" t="n">
        <v>0</v>
      </c>
      <c r="K6169" s="10" t="s">
        <v>20</v>
      </c>
      <c r="L6169" s="11" t="n">
        <v>40464.9325810185</v>
      </c>
      <c r="M6169" s="12"/>
      <c r="N6169" s="12"/>
      <c r="O6169" s="9" t="str">
        <f aca="false">HYPERLINK("https://pbs.twimg.com/profile_images/1148542178/___normal.jpg","View")</f>
        <v>View</v>
      </c>
      <c r="P6169" s="10"/>
    </row>
    <row r="6170" customFormat="false" ht="15.75" hidden="false" customHeight="false" outlineLevel="0" collapsed="false">
      <c r="A6170" s="6" t="n">
        <v>43031.0475810185</v>
      </c>
      <c r="B6170" s="7" t="str">
        <f aca="false">HYPERLINK("https://twitter.com/BrittKM04","@BrittKM04")</f>
        <v>@BrittKM04</v>
      </c>
      <c r="C6170" s="8" t="s">
        <v>14142</v>
      </c>
      <c r="D6170" s="8" t="s">
        <v>14135</v>
      </c>
      <c r="E6170" s="9" t="str">
        <f aca="false">HYPERLINK("https://twitter.com/BrittKM04/status/922374162999541761","922374162999541761")</f>
        <v>922374162999541761</v>
      </c>
      <c r="F6170" s="10" t="s">
        <v>25</v>
      </c>
      <c r="G6170" s="10" t="n">
        <v>44</v>
      </c>
      <c r="H6170" s="10" t="n">
        <v>1765</v>
      </c>
      <c r="I6170" s="10" t="n">
        <v>16</v>
      </c>
      <c r="J6170" s="10" t="n">
        <v>0</v>
      </c>
      <c r="K6170" s="10" t="s">
        <v>20</v>
      </c>
      <c r="L6170" s="11" t="n">
        <v>41744.0325347222</v>
      </c>
      <c r="M6170" s="12" t="s">
        <v>14143</v>
      </c>
      <c r="N6170" s="12"/>
      <c r="O6170" s="9" t="str">
        <f aca="false">HYPERLINK("https://pbs.twimg.com/profile_images/749750558752444416/cXk6Nf6n_normal.jpg","View")</f>
        <v>View</v>
      </c>
      <c r="P6170" s="10"/>
    </row>
    <row r="6171" customFormat="false" ht="15.75" hidden="false" customHeight="false" outlineLevel="0" collapsed="false">
      <c r="A6171" s="6" t="n">
        <v>43031.0476041667</v>
      </c>
      <c r="B6171" s="7" t="str">
        <f aca="false">HYPERLINK("https://twitter.com/TheBFRoom","@TheBFRoom")</f>
        <v>@TheBFRoom</v>
      </c>
      <c r="C6171" s="8" t="s">
        <v>674</v>
      </c>
      <c r="D6171" s="8" t="s">
        <v>14144</v>
      </c>
      <c r="E6171" s="9" t="str">
        <f aca="false">HYPERLINK("https://twitter.com/TheBFRoom/status/922374169064628225","922374169064628225")</f>
        <v>922374169064628225</v>
      </c>
      <c r="F6171" s="10" t="s">
        <v>60</v>
      </c>
      <c r="G6171" s="10" t="n">
        <v>3260</v>
      </c>
      <c r="H6171" s="10" t="n">
        <v>3958</v>
      </c>
      <c r="I6171" s="10" t="n">
        <v>0</v>
      </c>
      <c r="J6171" s="10" t="n">
        <v>0</v>
      </c>
      <c r="K6171" s="10" t="s">
        <v>20</v>
      </c>
      <c r="L6171" s="11" t="n">
        <v>42761.325162037</v>
      </c>
      <c r="M6171" s="12" t="s">
        <v>230</v>
      </c>
      <c r="N6171" s="12" t="s">
        <v>676</v>
      </c>
      <c r="O6171" s="9" t="str">
        <f aca="false">HYPERLINK("https://pbs.twimg.com/profile_images/898379268778020864/0u1zlj_B_normal.jpg","View")</f>
        <v>View</v>
      </c>
      <c r="P6171" s="10"/>
    </row>
    <row r="6172" customFormat="false" ht="15.75" hidden="false" customHeight="false" outlineLevel="0" collapsed="false">
      <c r="A6172" s="6" t="n">
        <v>43031.0479166667</v>
      </c>
      <c r="B6172" s="7" t="str">
        <f aca="false">HYPERLINK("https://twitter.com/BillCllr","@BillCllr")</f>
        <v>@BillCllr</v>
      </c>
      <c r="C6172" s="8" t="s">
        <v>4631</v>
      </c>
      <c r="D6172" s="8" t="s">
        <v>14106</v>
      </c>
      <c r="E6172" s="9" t="str">
        <f aca="false">HYPERLINK("https://twitter.com/BillCllr/status/922374281794936832","922374281794936832")</f>
        <v>922374281794936832</v>
      </c>
      <c r="F6172" s="10" t="s">
        <v>51</v>
      </c>
      <c r="G6172" s="10" t="n">
        <v>843</v>
      </c>
      <c r="H6172" s="10" t="n">
        <v>257</v>
      </c>
      <c r="I6172" s="10" t="n">
        <v>30</v>
      </c>
      <c r="J6172" s="10" t="n">
        <v>0</v>
      </c>
      <c r="K6172" s="10" t="s">
        <v>20</v>
      </c>
      <c r="L6172" s="11" t="n">
        <v>41173.0438657407</v>
      </c>
      <c r="M6172" s="12"/>
      <c r="N6172" s="12" t="s">
        <v>4632</v>
      </c>
      <c r="O6172" s="9" t="str">
        <f aca="false">HYPERLINK("https://pbs.twimg.com/profile_images/504335656945201152/Vpec2MSd_normal.jpeg","View")</f>
        <v>View</v>
      </c>
      <c r="P6172" s="10"/>
    </row>
    <row r="6173" customFormat="false" ht="15.75" hidden="false" customHeight="false" outlineLevel="0" collapsed="false">
      <c r="A6173" s="6" t="n">
        <v>43031.0480671296</v>
      </c>
      <c r="B6173" s="7" t="str">
        <f aca="false">HYPERLINK("https://twitter.com/indiatvnews","@indiatvnews")</f>
        <v>@indiatvnews</v>
      </c>
      <c r="C6173" s="8" t="s">
        <v>14145</v>
      </c>
      <c r="D6173" s="8" t="s">
        <v>14146</v>
      </c>
      <c r="E6173" s="9" t="str">
        <f aca="false">HYPERLINK("https://twitter.com/indiatvnews/status/922374335624503296","922374335624503296")</f>
        <v>922374335624503296</v>
      </c>
      <c r="F6173" s="10" t="s">
        <v>39</v>
      </c>
      <c r="G6173" s="10" t="n">
        <v>420323</v>
      </c>
      <c r="H6173" s="10" t="n">
        <v>41</v>
      </c>
      <c r="I6173" s="10" t="n">
        <v>8</v>
      </c>
      <c r="J6173" s="10" t="n">
        <v>33</v>
      </c>
      <c r="K6173" s="10" t="s">
        <v>20</v>
      </c>
      <c r="L6173" s="11" t="n">
        <v>39925.1851157407</v>
      </c>
      <c r="M6173" s="12" t="s">
        <v>72</v>
      </c>
      <c r="N6173" s="12" t="s">
        <v>14147</v>
      </c>
      <c r="O6173" s="9" t="str">
        <f aca="false">HYPERLINK("https://pbs.twimg.com/profile_images/438346326007234560/YyvWcpAf_normal.jpeg","View")</f>
        <v>View</v>
      </c>
      <c r="P6173" s="10"/>
    </row>
    <row r="6174" customFormat="false" ht="15.75" hidden="false" customHeight="false" outlineLevel="0" collapsed="false">
      <c r="A6174" s="6" t="n">
        <v>43031.0482638889</v>
      </c>
      <c r="B6174" s="7" t="str">
        <f aca="false">HYPERLINK("https://twitter.com/walterdariz","@walterdariz")</f>
        <v>@walterdariz</v>
      </c>
      <c r="C6174" s="8" t="s">
        <v>14148</v>
      </c>
      <c r="D6174" s="8" t="s">
        <v>12764</v>
      </c>
      <c r="E6174" s="9" t="str">
        <f aca="false">HYPERLINK("https://twitter.com/walterdariz/status/922374408488046592","922374408488046592")</f>
        <v>922374408488046592</v>
      </c>
      <c r="F6174" s="10" t="s">
        <v>25</v>
      </c>
      <c r="G6174" s="10" t="n">
        <v>78</v>
      </c>
      <c r="H6174" s="10" t="n">
        <v>489</v>
      </c>
      <c r="I6174" s="10" t="n">
        <v>170</v>
      </c>
      <c r="J6174" s="10" t="n">
        <v>0</v>
      </c>
      <c r="K6174" s="10" t="s">
        <v>20</v>
      </c>
      <c r="L6174" s="11" t="n">
        <v>41074.2627777778</v>
      </c>
      <c r="M6174" s="12"/>
      <c r="N6174" s="12"/>
      <c r="O6174" s="9" t="str">
        <f aca="false">HYPERLINK("https://abs.twimg.com/sticky/default_profile_images/default_profile_normal.png","View")</f>
        <v>View</v>
      </c>
      <c r="P6174" s="10"/>
    </row>
    <row r="6175" customFormat="false" ht="15.75" hidden="false" customHeight="false" outlineLevel="0" collapsed="false">
      <c r="A6175" s="6" t="n">
        <v>43031.0485069444</v>
      </c>
      <c r="B6175" s="7" t="str">
        <f aca="false">HYPERLINK("https://twitter.com/pranav9983","@pranav9983")</f>
        <v>@pranav9983</v>
      </c>
      <c r="C6175" s="8" t="s">
        <v>14149</v>
      </c>
      <c r="D6175" s="8" t="s">
        <v>14150</v>
      </c>
      <c r="E6175" s="9" t="str">
        <f aca="false">HYPERLINK("https://twitter.com/pranav9983/status/922374497293893632","922374497293893632")</f>
        <v>922374497293893632</v>
      </c>
      <c r="F6175" s="10" t="s">
        <v>39</v>
      </c>
      <c r="G6175" s="10" t="n">
        <v>554</v>
      </c>
      <c r="H6175" s="10" t="n">
        <v>852</v>
      </c>
      <c r="I6175" s="10" t="n">
        <v>8</v>
      </c>
      <c r="J6175" s="10" t="n">
        <v>0</v>
      </c>
      <c r="K6175" s="10" t="s">
        <v>20</v>
      </c>
      <c r="L6175" s="11" t="n">
        <v>42367.8900462963</v>
      </c>
      <c r="M6175" s="12" t="s">
        <v>4414</v>
      </c>
      <c r="N6175" s="12" t="s">
        <v>14151</v>
      </c>
      <c r="O6175" s="9" t="str">
        <f aca="false">HYPERLINK("https://pbs.twimg.com/profile_images/682069542713999361/JXyU4R-V_normal.jpg","View")</f>
        <v>View</v>
      </c>
      <c r="P6175" s="10"/>
    </row>
    <row r="6176" customFormat="false" ht="15.75" hidden="false" customHeight="false" outlineLevel="0" collapsed="false">
      <c r="A6176" s="6" t="n">
        <v>43031.0485185185</v>
      </c>
      <c r="B6176" s="7" t="str">
        <f aca="false">HYPERLINK("https://twitter.com/DLDani94","@DLDani94")</f>
        <v>@DLDani94</v>
      </c>
      <c r="C6176" s="8" t="s">
        <v>14152</v>
      </c>
      <c r="D6176" s="8" t="s">
        <v>13595</v>
      </c>
      <c r="E6176" s="9" t="str">
        <f aca="false">HYPERLINK("https://twitter.com/DLDani94/status/922374499668054016","922374499668054016")</f>
        <v>922374499668054016</v>
      </c>
      <c r="F6176" s="10" t="s">
        <v>25</v>
      </c>
      <c r="G6176" s="10" t="n">
        <v>432</v>
      </c>
      <c r="H6176" s="10" t="n">
        <v>373</v>
      </c>
      <c r="I6176" s="10" t="n">
        <v>88</v>
      </c>
      <c r="J6176" s="10" t="n">
        <v>0</v>
      </c>
      <c r="K6176" s="10" t="s">
        <v>20</v>
      </c>
      <c r="L6176" s="11" t="n">
        <v>41304.5781365741</v>
      </c>
      <c r="M6176" s="12" t="s">
        <v>14153</v>
      </c>
      <c r="N6176" s="12" t="s">
        <v>14154</v>
      </c>
      <c r="O6176" s="9" t="str">
        <f aca="false">HYPERLINK("https://pbs.twimg.com/profile_images/914395494994055168/I47VrXgo_normal.jpg","View")</f>
        <v>View</v>
      </c>
      <c r="P6176" s="10"/>
    </row>
    <row r="6177" customFormat="false" ht="15.75" hidden="false" customHeight="false" outlineLevel="0" collapsed="false">
      <c r="A6177" s="6" t="n">
        <v>43031.0485416667</v>
      </c>
      <c r="B6177" s="7" t="str">
        <f aca="false">HYPERLINK("https://twitter.com/IndiasBigdebate","@IndiasBigdebate")</f>
        <v>@IndiasBigdebate</v>
      </c>
      <c r="C6177" s="8" t="s">
        <v>2302</v>
      </c>
      <c r="D6177" s="8" t="s">
        <v>14150</v>
      </c>
      <c r="E6177" s="9" t="str">
        <f aca="false">HYPERLINK("https://twitter.com/IndiasBigdebate/status/922374510048813056","922374510048813056")</f>
        <v>922374510048813056</v>
      </c>
      <c r="F6177" s="10" t="s">
        <v>25</v>
      </c>
      <c r="G6177" s="10" t="n">
        <v>1137</v>
      </c>
      <c r="H6177" s="10" t="n">
        <v>195</v>
      </c>
      <c r="I6177" s="10" t="n">
        <v>8</v>
      </c>
      <c r="J6177" s="10" t="n">
        <v>0</v>
      </c>
      <c r="K6177" s="10" t="s">
        <v>20</v>
      </c>
      <c r="L6177" s="11" t="n">
        <v>42216.4747916667</v>
      </c>
      <c r="M6177" s="12" t="s">
        <v>72</v>
      </c>
      <c r="N6177" s="12" t="s">
        <v>2303</v>
      </c>
      <c r="O6177" s="9" t="str">
        <f aca="false">HYPERLINK("https://pbs.twimg.com/profile_images/747690422248538112/8vtnmm--_normal.jpg","View")</f>
        <v>View</v>
      </c>
      <c r="P6177" s="10"/>
    </row>
    <row r="6178" customFormat="false" ht="15.75" hidden="false" customHeight="false" outlineLevel="0" collapsed="false">
      <c r="A6178" s="6" t="n">
        <v>43031.0486458333</v>
      </c>
      <c r="B6178" s="7" t="str">
        <f aca="false">HYPERLINK("https://twitter.com/satsukinanase","@satsukinanase")</f>
        <v>@satsukinanase</v>
      </c>
      <c r="C6178" s="14" t="s">
        <v>14155</v>
      </c>
      <c r="D6178" s="8" t="s">
        <v>14106</v>
      </c>
      <c r="E6178" s="9" t="str">
        <f aca="false">HYPERLINK("https://twitter.com/satsukinanase/status/922374545792581632","922374545792581632")</f>
        <v>922374545792581632</v>
      </c>
      <c r="F6178" s="10" t="s">
        <v>25</v>
      </c>
      <c r="G6178" s="10" t="n">
        <v>223</v>
      </c>
      <c r="H6178" s="10" t="n">
        <v>614</v>
      </c>
      <c r="I6178" s="10" t="n">
        <v>30</v>
      </c>
      <c r="J6178" s="10" t="n">
        <v>0</v>
      </c>
      <c r="K6178" s="10" t="s">
        <v>20</v>
      </c>
      <c r="L6178" s="11" t="n">
        <v>41729.1541666667</v>
      </c>
      <c r="M6178" s="13" t="s">
        <v>14156</v>
      </c>
      <c r="N6178" s="13" t="s">
        <v>14157</v>
      </c>
      <c r="O6178" s="9" t="str">
        <f aca="false">HYPERLINK("https://pbs.twimg.com/profile_images/459118575010058241/fR4ulFs2_normal.jpeg","View")</f>
        <v>View</v>
      </c>
      <c r="P6178" s="10"/>
    </row>
    <row r="6179" customFormat="false" ht="15.75" hidden="false" customHeight="false" outlineLevel="0" collapsed="false">
      <c r="A6179" s="6" t="n">
        <v>43031.0487268519</v>
      </c>
      <c r="B6179" s="7" t="str">
        <f aca="false">HYPERLINK("https://twitter.com/TomFlowers","@TomFlowers")</f>
        <v>@TomFlowers</v>
      </c>
      <c r="C6179" s="8" t="s">
        <v>10718</v>
      </c>
      <c r="D6179" s="8" t="s">
        <v>14158</v>
      </c>
      <c r="E6179" s="9" t="str">
        <f aca="false">HYPERLINK("https://twitter.com/TomFlowers/status/922374578160185346","922374578160185346")</f>
        <v>922374578160185346</v>
      </c>
      <c r="F6179" s="10" t="s">
        <v>55</v>
      </c>
      <c r="G6179" s="10" t="n">
        <v>42813</v>
      </c>
      <c r="H6179" s="10" t="n">
        <v>45347</v>
      </c>
      <c r="I6179" s="10" t="n">
        <v>0</v>
      </c>
      <c r="J6179" s="10" t="n">
        <v>0</v>
      </c>
      <c r="K6179" s="10" t="s">
        <v>20</v>
      </c>
      <c r="L6179" s="11" t="n">
        <v>40668.673587963</v>
      </c>
      <c r="M6179" s="12" t="s">
        <v>10720</v>
      </c>
      <c r="N6179" s="12" t="s">
        <v>10721</v>
      </c>
      <c r="O6179" s="9" t="str">
        <f aca="false">HYPERLINK("https://pbs.twimg.com/profile_images/915215547331002368/pgREb2gQ_normal.jpg","View")</f>
        <v>View</v>
      </c>
      <c r="P6179" s="10"/>
    </row>
    <row r="6180" customFormat="false" ht="15.75" hidden="false" customHeight="false" outlineLevel="0" collapsed="false">
      <c r="A6180" s="6" t="n">
        <v>43031.0488310185</v>
      </c>
      <c r="B6180" s="7" t="str">
        <f aca="false">HYPERLINK("https://twitter.com/marj070","@marj070")</f>
        <v>@marj070</v>
      </c>
      <c r="C6180" s="8" t="s">
        <v>14159</v>
      </c>
      <c r="D6180" s="8" t="s">
        <v>14135</v>
      </c>
      <c r="E6180" s="9" t="str">
        <f aca="false">HYPERLINK("https://twitter.com/marj070/status/922374614126383104","922374614126383104")</f>
        <v>922374614126383104</v>
      </c>
      <c r="F6180" s="10" t="s">
        <v>25</v>
      </c>
      <c r="G6180" s="10" t="n">
        <v>64</v>
      </c>
      <c r="H6180" s="10" t="n">
        <v>1280</v>
      </c>
      <c r="I6180" s="10" t="n">
        <v>16</v>
      </c>
      <c r="J6180" s="10" t="n">
        <v>0</v>
      </c>
      <c r="K6180" s="10" t="s">
        <v>20</v>
      </c>
      <c r="L6180" s="11" t="n">
        <v>41723.9149652778</v>
      </c>
      <c r="M6180" s="12" t="s">
        <v>14160</v>
      </c>
      <c r="N6180" s="12" t="s">
        <v>14161</v>
      </c>
      <c r="O6180" s="9" t="str">
        <f aca="false">HYPERLINK("https://pbs.twimg.com/profile_images/749769853150560256/d0GzkoET_normal.jpg","View")</f>
        <v>View</v>
      </c>
      <c r="P6180" s="10"/>
    </row>
    <row r="6181" customFormat="false" ht="15.75" hidden="false" customHeight="false" outlineLevel="0" collapsed="false">
      <c r="A6181" s="6" t="n">
        <v>43031.0488657407</v>
      </c>
      <c r="B6181" s="7" t="str">
        <f aca="false">HYPERLINK("https://twitter.com/christophe022","@christophe022")</f>
        <v>@christophe022</v>
      </c>
      <c r="C6181" s="8" t="s">
        <v>13635</v>
      </c>
      <c r="D6181" s="8" t="s">
        <v>14106</v>
      </c>
      <c r="E6181" s="9" t="str">
        <f aca="false">HYPERLINK("https://twitter.com/christophe022/status/922374625396273153","922374625396273153")</f>
        <v>922374625396273153</v>
      </c>
      <c r="F6181" s="10" t="s">
        <v>25</v>
      </c>
      <c r="G6181" s="10" t="n">
        <v>408</v>
      </c>
      <c r="H6181" s="10" t="n">
        <v>1295</v>
      </c>
      <c r="I6181" s="10" t="n">
        <v>30</v>
      </c>
      <c r="J6181" s="10" t="n">
        <v>0</v>
      </c>
      <c r="K6181" s="10" t="s">
        <v>20</v>
      </c>
      <c r="L6181" s="11" t="n">
        <v>41246.6690972222</v>
      </c>
      <c r="M6181" s="12" t="s">
        <v>13636</v>
      </c>
      <c r="N6181" s="12" t="s">
        <v>13637</v>
      </c>
      <c r="O6181" s="9" t="str">
        <f aca="false">HYPERLINK("https://pbs.twimg.com/profile_images/378800000377063113/878caee4436c2485f849746b76dc8742_normal.png","View")</f>
        <v>View</v>
      </c>
      <c r="P6181" s="10"/>
    </row>
    <row r="6182" customFormat="false" ht="15.75" hidden="false" customHeight="false" outlineLevel="0" collapsed="false">
      <c r="A6182" s="6" t="n">
        <v>43031.0488773148</v>
      </c>
      <c r="B6182" s="7" t="str">
        <f aca="false">HYPERLINK("https://twitter.com/sarathi61","@sarathi61")</f>
        <v>@sarathi61</v>
      </c>
      <c r="C6182" s="8" t="s">
        <v>14162</v>
      </c>
      <c r="D6182" s="8" t="s">
        <v>8538</v>
      </c>
      <c r="E6182" s="9" t="str">
        <f aca="false">HYPERLINK("https://twitter.com/sarathi61/status/922374632660860930","922374632660860930")</f>
        <v>922374632660860930</v>
      </c>
      <c r="F6182" s="10" t="s">
        <v>25</v>
      </c>
      <c r="G6182" s="10" t="n">
        <v>331</v>
      </c>
      <c r="H6182" s="10" t="n">
        <v>485</v>
      </c>
      <c r="I6182" s="10" t="n">
        <v>1015</v>
      </c>
      <c r="J6182" s="10" t="n">
        <v>0</v>
      </c>
      <c r="K6182" s="10" t="s">
        <v>20</v>
      </c>
      <c r="L6182" s="11" t="n">
        <v>40155.3681481482</v>
      </c>
      <c r="M6182" s="12" t="s">
        <v>9385</v>
      </c>
      <c r="N6182" s="12" t="s">
        <v>14163</v>
      </c>
      <c r="O6182" s="9" t="str">
        <f aca="false">HYPERLINK("https://pbs.twimg.com/profile_images/736903917590581249/Sul6c_mg_normal.jpg","View")</f>
        <v>View</v>
      </c>
      <c r="P6182" s="10"/>
    </row>
    <row r="6183" customFormat="false" ht="15.75" hidden="false" customHeight="false" outlineLevel="0" collapsed="false">
      <c r="A6183" s="6" t="n">
        <v>43031.0490740741</v>
      </c>
      <c r="B6183" s="7" t="str">
        <f aca="false">HYPERLINK("https://twitter.com/rachitattweet","@rachitattweet")</f>
        <v>@rachitattweet</v>
      </c>
      <c r="C6183" s="8" t="s">
        <v>14164</v>
      </c>
      <c r="D6183" s="8" t="s">
        <v>11284</v>
      </c>
      <c r="E6183" s="9" t="str">
        <f aca="false">HYPERLINK("https://twitter.com/rachitattweet/status/922374703154466816","922374703154466816")</f>
        <v>922374703154466816</v>
      </c>
      <c r="F6183" s="10" t="s">
        <v>39</v>
      </c>
      <c r="G6183" s="10" t="n">
        <v>1087</v>
      </c>
      <c r="H6183" s="10" t="n">
        <v>427</v>
      </c>
      <c r="I6183" s="10" t="n">
        <v>41</v>
      </c>
      <c r="J6183" s="10" t="n">
        <v>0</v>
      </c>
      <c r="K6183" s="10" t="s">
        <v>20</v>
      </c>
      <c r="L6183" s="11" t="n">
        <v>40384.2953819444</v>
      </c>
      <c r="M6183" s="12"/>
      <c r="N6183" s="12" t="s">
        <v>14165</v>
      </c>
      <c r="O6183" s="9" t="str">
        <f aca="false">HYPERLINK("https://pbs.twimg.com/profile_images/528992118165880835/DalpselC_normal.jpeg","View")</f>
        <v>View</v>
      </c>
      <c r="P6183" s="10"/>
    </row>
    <row r="6184" customFormat="false" ht="15.75" hidden="false" customHeight="false" outlineLevel="0" collapsed="false">
      <c r="A6184" s="6" t="n">
        <v>43031.0494675926</v>
      </c>
      <c r="B6184" s="7" t="str">
        <f aca="false">HYPERLINK("https://twitter.com/tqeV9Wgz5Sr5WtA","@tqeV9Wgz5Sr5WtA")</f>
        <v>@tqeV9Wgz5Sr5WtA</v>
      </c>
      <c r="C6184" s="14" t="s">
        <v>14166</v>
      </c>
      <c r="D6184" s="8" t="s">
        <v>14106</v>
      </c>
      <c r="E6184" s="9" t="str">
        <f aca="false">HYPERLINK("https://twitter.com/tqeV9Wgz5Sr5WtA/status/922374842778714112","922374842778714112")</f>
        <v>922374842778714112</v>
      </c>
      <c r="F6184" s="10" t="s">
        <v>25</v>
      </c>
      <c r="G6184" s="10" t="n">
        <v>40</v>
      </c>
      <c r="H6184" s="10" t="n">
        <v>104</v>
      </c>
      <c r="I6184" s="10" t="n">
        <v>30</v>
      </c>
      <c r="J6184" s="10" t="n">
        <v>0</v>
      </c>
      <c r="K6184" s="10" t="s">
        <v>20</v>
      </c>
      <c r="L6184" s="11" t="n">
        <v>43025.1570833333</v>
      </c>
      <c r="M6184" s="12"/>
      <c r="N6184" s="13" t="s">
        <v>14167</v>
      </c>
      <c r="O6184" s="9" t="str">
        <f aca="false">HYPERLINK("https://pbs.twimg.com/profile_images/920658747071938561/h8Usj-r0_normal.jpg","View")</f>
        <v>View</v>
      </c>
      <c r="P6184" s="10"/>
    </row>
    <row r="6185" customFormat="false" ht="15.75" hidden="false" customHeight="false" outlineLevel="0" collapsed="false">
      <c r="A6185" s="6" t="n">
        <v>43031.0494791667</v>
      </c>
      <c r="B6185" s="7" t="str">
        <f aca="false">HYPERLINK("https://twitter.com/TrichiSivasank1","@TrichiSivasank1")</f>
        <v>@TrichiSivasank1</v>
      </c>
      <c r="C6185" s="8" t="s">
        <v>14168</v>
      </c>
      <c r="D6185" s="8" t="s">
        <v>14150</v>
      </c>
      <c r="E6185" s="9" t="str">
        <f aca="false">HYPERLINK("https://twitter.com/TrichiSivasank1/status/922374846855626752","922374846855626752")</f>
        <v>922374846855626752</v>
      </c>
      <c r="F6185" s="10" t="s">
        <v>25</v>
      </c>
      <c r="G6185" s="10" t="n">
        <v>69</v>
      </c>
      <c r="H6185" s="10" t="n">
        <v>976</v>
      </c>
      <c r="I6185" s="10" t="n">
        <v>8</v>
      </c>
      <c r="J6185" s="10" t="n">
        <v>0</v>
      </c>
      <c r="K6185" s="10" t="s">
        <v>20</v>
      </c>
      <c r="L6185" s="11" t="n">
        <v>42763.6702314815</v>
      </c>
      <c r="M6185" s="12" t="s">
        <v>843</v>
      </c>
      <c r="N6185" s="12" t="s">
        <v>14169</v>
      </c>
      <c r="O6185" s="9" t="str">
        <f aca="false">HYPERLINK("https://pbs.twimg.com/profile_images/923050297559203841/neEW7c5G_normal.jpg","View")</f>
        <v>View</v>
      </c>
      <c r="P6185" s="10"/>
    </row>
    <row r="6186" customFormat="false" ht="15.75" hidden="false" customHeight="false" outlineLevel="0" collapsed="false">
      <c r="A6186" s="6" t="n">
        <v>43031.049537037</v>
      </c>
      <c r="B6186" s="7" t="str">
        <f aca="false">HYPERLINK("https://twitter.com/asuka_250","@asuka_250")</f>
        <v>@asuka_250</v>
      </c>
      <c r="C6186" s="8" t="s">
        <v>1235</v>
      </c>
      <c r="D6186" s="8" t="s">
        <v>14106</v>
      </c>
      <c r="E6186" s="9" t="str">
        <f aca="false">HYPERLINK("https://twitter.com/asuka_250/status/922374870243012608","922374870243012608")</f>
        <v>922374870243012608</v>
      </c>
      <c r="F6186" s="10" t="s">
        <v>25</v>
      </c>
      <c r="G6186" s="10" t="n">
        <v>30707</v>
      </c>
      <c r="H6186" s="10" t="n">
        <v>30518</v>
      </c>
      <c r="I6186" s="10" t="n">
        <v>30</v>
      </c>
      <c r="J6186" s="10" t="n">
        <v>0</v>
      </c>
      <c r="K6186" s="10" t="s">
        <v>20</v>
      </c>
      <c r="L6186" s="11" t="n">
        <v>41943.1724768519</v>
      </c>
      <c r="M6186" s="12" t="s">
        <v>186</v>
      </c>
      <c r="N6186" s="12" t="s">
        <v>1236</v>
      </c>
      <c r="O6186" s="9" t="str">
        <f aca="false">HYPERLINK("https://pbs.twimg.com/profile_images/576284037486014464/dhYtI1qZ_normal.jpeg","View")</f>
        <v>View</v>
      </c>
      <c r="P6186" s="10"/>
    </row>
    <row r="6187" customFormat="false" ht="15.75" hidden="false" customHeight="false" outlineLevel="0" collapsed="false">
      <c r="A6187" s="6" t="n">
        <v>43031.0495486111</v>
      </c>
      <c r="B6187" s="7" t="str">
        <f aca="false">HYPERLINK("https://twitter.com/rvrbreeze","@rvrbreeze")</f>
        <v>@rvrbreeze</v>
      </c>
      <c r="C6187" s="8" t="s">
        <v>1549</v>
      </c>
      <c r="D6187" s="8" t="s">
        <v>8538</v>
      </c>
      <c r="E6187" s="9" t="str">
        <f aca="false">HYPERLINK("https://twitter.com/rvrbreeze/status/922374874055589888","922374874055589888")</f>
        <v>922374874055589888</v>
      </c>
      <c r="F6187" s="10" t="s">
        <v>25</v>
      </c>
      <c r="G6187" s="10" t="n">
        <v>276</v>
      </c>
      <c r="H6187" s="10" t="n">
        <v>356</v>
      </c>
      <c r="I6187" s="10" t="n">
        <v>1015</v>
      </c>
      <c r="J6187" s="10" t="n">
        <v>0</v>
      </c>
      <c r="K6187" s="10" t="s">
        <v>20</v>
      </c>
      <c r="L6187" s="11" t="n">
        <v>40897.3656365741</v>
      </c>
      <c r="M6187" s="12" t="s">
        <v>1550</v>
      </c>
      <c r="N6187" s="12" t="s">
        <v>1551</v>
      </c>
      <c r="O6187" s="9" t="str">
        <f aca="false">HYPERLINK("https://pbs.twimg.com/profile_images/770888712699912192/nNYD1LZY_normal.jpg","View")</f>
        <v>View</v>
      </c>
      <c r="P6187" s="10"/>
    </row>
    <row r="6188" customFormat="false" ht="15.75" hidden="false" customHeight="false" outlineLevel="0" collapsed="false">
      <c r="A6188" s="6" t="n">
        <v>43031.0495601852</v>
      </c>
      <c r="B6188" s="7" t="str">
        <f aca="false">HYPERLINK("https://twitter.com/SinghGulav","@SinghGulav")</f>
        <v>@SinghGulav</v>
      </c>
      <c r="C6188" s="8" t="s">
        <v>14170</v>
      </c>
      <c r="D6188" s="8" t="s">
        <v>14150</v>
      </c>
      <c r="E6188" s="9" t="str">
        <f aca="false">HYPERLINK("https://twitter.com/SinghGulav/status/922374876677120000","922374876677120000")</f>
        <v>922374876677120000</v>
      </c>
      <c r="F6188" s="10" t="s">
        <v>25</v>
      </c>
      <c r="G6188" s="10" t="n">
        <v>12</v>
      </c>
      <c r="H6188" s="10" t="n">
        <v>245</v>
      </c>
      <c r="I6188" s="10" t="n">
        <v>8</v>
      </c>
      <c r="J6188" s="10" t="n">
        <v>0</v>
      </c>
      <c r="K6188" s="10" t="s">
        <v>20</v>
      </c>
      <c r="L6188" s="11" t="n">
        <v>42417.9022106482</v>
      </c>
      <c r="M6188" s="12" t="s">
        <v>14171</v>
      </c>
      <c r="N6188" s="12" t="s">
        <v>14172</v>
      </c>
      <c r="O6188" s="9" t="str">
        <f aca="false">HYPERLINK("https://pbs.twimg.com/profile_images/848753806040891393/niCbi12G_normal.jpg","View")</f>
        <v>View</v>
      </c>
      <c r="P6188" s="10"/>
    </row>
    <row r="6189" customFormat="false" ht="15.75" hidden="false" customHeight="false" outlineLevel="0" collapsed="false">
      <c r="A6189" s="6" t="n">
        <v>43031.0500694444</v>
      </c>
      <c r="B6189" s="7" t="str">
        <f aca="false">HYPERLINK("https://twitter.com/phaxyn","@phaxyn")</f>
        <v>@phaxyn</v>
      </c>
      <c r="C6189" s="8" t="s">
        <v>14173</v>
      </c>
      <c r="D6189" s="8" t="s">
        <v>14174</v>
      </c>
      <c r="E6189" s="9" t="str">
        <f aca="false">HYPERLINK("https://twitter.com/phaxyn/status/922375060685455360","922375060685455360")</f>
        <v>922375060685455360</v>
      </c>
      <c r="F6189" s="10" t="s">
        <v>60</v>
      </c>
      <c r="G6189" s="10" t="n">
        <v>2535</v>
      </c>
      <c r="H6189" s="10" t="n">
        <v>2019</v>
      </c>
      <c r="I6189" s="10" t="n">
        <v>0</v>
      </c>
      <c r="J6189" s="10" t="n">
        <v>0</v>
      </c>
      <c r="K6189" s="10" t="s">
        <v>20</v>
      </c>
      <c r="L6189" s="11" t="n">
        <v>39990.3048611111</v>
      </c>
      <c r="M6189" s="12" t="s">
        <v>14175</v>
      </c>
      <c r="N6189" s="12" t="s">
        <v>14176</v>
      </c>
      <c r="O6189" s="9" t="str">
        <f aca="false">HYPERLINK("https://pbs.twimg.com/profile_images/823182659983736832/XAaQ7I1U_normal.jpg","View")</f>
        <v>View</v>
      </c>
      <c r="P6189" s="10"/>
    </row>
    <row r="6190" customFormat="false" ht="15.75" hidden="false" customHeight="false" outlineLevel="0" collapsed="false">
      <c r="A6190" s="6" t="n">
        <v>43031.0502430556</v>
      </c>
      <c r="B6190" s="7" t="str">
        <f aca="false">HYPERLINK("https://twitter.com/DrKynast","@DrKynast")</f>
        <v>@DrKynast</v>
      </c>
      <c r="C6190" s="8" t="s">
        <v>14177</v>
      </c>
      <c r="D6190" s="8" t="s">
        <v>10997</v>
      </c>
      <c r="E6190" s="9" t="str">
        <f aca="false">HYPERLINK("https://twitter.com/DrKynast/status/922375126045294592","922375126045294592")</f>
        <v>922375126045294592</v>
      </c>
      <c r="F6190" s="10" t="s">
        <v>98</v>
      </c>
      <c r="G6190" s="10" t="n">
        <v>2539</v>
      </c>
      <c r="H6190" s="10" t="n">
        <v>2678</v>
      </c>
      <c r="I6190" s="10" t="n">
        <v>27</v>
      </c>
      <c r="J6190" s="10" t="n">
        <v>0</v>
      </c>
      <c r="K6190" s="10" t="s">
        <v>20</v>
      </c>
      <c r="L6190" s="11" t="n">
        <v>42619.7940162037</v>
      </c>
      <c r="M6190" s="12" t="s">
        <v>14178</v>
      </c>
      <c r="N6190" s="12" t="s">
        <v>14179</v>
      </c>
      <c r="O6190" s="9" t="str">
        <f aca="false">HYPERLINK("https://pbs.twimg.com/profile_images/773512285629345792/2AmdEU5W_normal.jpg","View")</f>
        <v>View</v>
      </c>
      <c r="P6190" s="10"/>
    </row>
    <row r="6191" customFormat="false" ht="15.75" hidden="false" customHeight="false" outlineLevel="0" collapsed="false">
      <c r="A6191" s="6" t="n">
        <v>43031.0503935185</v>
      </c>
      <c r="B6191" s="7" t="str">
        <f aca="false">HYPERLINK("https://twitter.com/WorldRumors","@WorldRumors")</f>
        <v>@WorldRumors</v>
      </c>
      <c r="C6191" s="8" t="s">
        <v>14180</v>
      </c>
      <c r="D6191" s="8" t="s">
        <v>14181</v>
      </c>
      <c r="E6191" s="9" t="str">
        <f aca="false">HYPERLINK("https://twitter.com/WorldRumors/status/922375179870851073","922375179870851073")</f>
        <v>922375179870851073</v>
      </c>
      <c r="F6191" s="10" t="s">
        <v>331</v>
      </c>
      <c r="G6191" s="10" t="n">
        <v>176</v>
      </c>
      <c r="H6191" s="10" t="n">
        <v>3</v>
      </c>
      <c r="I6191" s="10" t="n">
        <v>0</v>
      </c>
      <c r="J6191" s="10" t="n">
        <v>0</v>
      </c>
      <c r="K6191" s="10" t="s">
        <v>20</v>
      </c>
      <c r="L6191" s="11" t="n">
        <v>39507.4526851852</v>
      </c>
      <c r="M6191" s="12" t="s">
        <v>14182</v>
      </c>
      <c r="N6191" s="12" t="s">
        <v>14183</v>
      </c>
      <c r="O6191" s="9" t="str">
        <f aca="false">HYPERLINK("https://pbs.twimg.com/profile_images/840632682623225856/Jwl5sWEV_normal.jpg","View")</f>
        <v>View</v>
      </c>
      <c r="P6191" s="10"/>
    </row>
    <row r="6192" customFormat="false" ht="15.75" hidden="false" customHeight="false" outlineLevel="0" collapsed="false">
      <c r="A6192" s="6" t="n">
        <v>43031.0507060185</v>
      </c>
      <c r="B6192" s="7" t="str">
        <f aca="false">HYPERLINK("https://twitter.com/fjohn8882","@fjohn8882")</f>
        <v>@fjohn8882</v>
      </c>
      <c r="C6192" s="8" t="s">
        <v>2883</v>
      </c>
      <c r="D6192" s="8" t="s">
        <v>9696</v>
      </c>
      <c r="E6192" s="9" t="str">
        <f aca="false">HYPERLINK("https://twitter.com/fjohn8882/status/922375292752203776","922375292752203776")</f>
        <v>922375292752203776</v>
      </c>
      <c r="F6192" s="10" t="s">
        <v>25</v>
      </c>
      <c r="G6192" s="10" t="n">
        <v>55</v>
      </c>
      <c r="H6192" s="10" t="n">
        <v>250</v>
      </c>
      <c r="I6192" s="10" t="n">
        <v>7</v>
      </c>
      <c r="J6192" s="10" t="n">
        <v>0</v>
      </c>
      <c r="K6192" s="10" t="s">
        <v>20</v>
      </c>
      <c r="L6192" s="11" t="n">
        <v>42686.2985532407</v>
      </c>
      <c r="M6192" s="12" t="s">
        <v>203</v>
      </c>
      <c r="N6192" s="12"/>
      <c r="O6192" s="9" t="str">
        <f aca="false">HYPERLINK("https://pbs.twimg.com/profile_images/920306103543631872/6lSXlRzd_normal.jpg","View")</f>
        <v>View</v>
      </c>
      <c r="P6192" s="10"/>
    </row>
    <row r="6193" customFormat="false" ht="15.75" hidden="false" customHeight="false" outlineLevel="0" collapsed="false">
      <c r="A6193" s="6" t="n">
        <v>43031.0507060185</v>
      </c>
      <c r="B6193" s="7" t="str">
        <f aca="false">HYPERLINK("https://twitter.com/mig1122","@mig1122")</f>
        <v>@mig1122</v>
      </c>
      <c r="C6193" s="8" t="s">
        <v>14184</v>
      </c>
      <c r="D6193" s="8" t="s">
        <v>8538</v>
      </c>
      <c r="E6193" s="9" t="str">
        <f aca="false">HYPERLINK("https://twitter.com/mig1122/status/922375294995939328","922375294995939328")</f>
        <v>922375294995939328</v>
      </c>
      <c r="F6193" s="10" t="s">
        <v>25</v>
      </c>
      <c r="G6193" s="10" t="n">
        <v>72</v>
      </c>
      <c r="H6193" s="10" t="n">
        <v>171</v>
      </c>
      <c r="I6193" s="10" t="n">
        <v>1015</v>
      </c>
      <c r="J6193" s="10" t="n">
        <v>0</v>
      </c>
      <c r="K6193" s="10" t="s">
        <v>20</v>
      </c>
      <c r="L6193" s="11" t="n">
        <v>40772.590462963</v>
      </c>
      <c r="M6193" s="12"/>
      <c r="N6193" s="12"/>
      <c r="O6193" s="9" t="str">
        <f aca="false">HYPERLINK("https://abs.twimg.com/sticky/default_profile_images/default_profile_normal.png","View")</f>
        <v>View</v>
      </c>
      <c r="P6193" s="10"/>
    </row>
    <row r="6194" customFormat="false" ht="15.75" hidden="false" customHeight="false" outlineLevel="0" collapsed="false">
      <c r="A6194" s="6" t="n">
        <v>43031.0510069444</v>
      </c>
      <c r="B6194" s="7" t="str">
        <f aca="false">HYPERLINK("https://twitter.com/smile_623","@smile_623")</f>
        <v>@smile_623</v>
      </c>
      <c r="C6194" s="8" t="s">
        <v>14185</v>
      </c>
      <c r="D6194" s="8" t="s">
        <v>14106</v>
      </c>
      <c r="E6194" s="9" t="str">
        <f aca="false">HYPERLINK("https://twitter.com/smile_623/status/922375400411430912","922375400411430912")</f>
        <v>922375400411430912</v>
      </c>
      <c r="F6194" s="10" t="s">
        <v>51</v>
      </c>
      <c r="G6194" s="10" t="n">
        <v>83</v>
      </c>
      <c r="H6194" s="10" t="n">
        <v>33</v>
      </c>
      <c r="I6194" s="10" t="n">
        <v>30</v>
      </c>
      <c r="J6194" s="10" t="n">
        <v>0</v>
      </c>
      <c r="K6194" s="10" t="s">
        <v>20</v>
      </c>
      <c r="L6194" s="11" t="n">
        <v>40615.3649421296</v>
      </c>
      <c r="M6194" s="12" t="s">
        <v>14186</v>
      </c>
      <c r="N6194" s="13" t="s">
        <v>14187</v>
      </c>
      <c r="O6194" s="9" t="str">
        <f aca="false">HYPERLINK("https://pbs.twimg.com/profile_images/1542460277/110914_2145_01_normal.jpg","View")</f>
        <v>View</v>
      </c>
      <c r="P6194" s="10"/>
    </row>
    <row r="6195" customFormat="false" ht="15.75" hidden="false" customHeight="false" outlineLevel="0" collapsed="false">
      <c r="A6195" s="6" t="n">
        <v>43031.0510069444</v>
      </c>
      <c r="B6195" s="7" t="str">
        <f aca="false">HYPERLINK("https://twitter.com/india_samvad","@india_samvad")</f>
        <v>@india_samvad</v>
      </c>
      <c r="C6195" s="8" t="s">
        <v>14188</v>
      </c>
      <c r="D6195" s="8" t="s">
        <v>14189</v>
      </c>
      <c r="E6195" s="9" t="str">
        <f aca="false">HYPERLINK("https://twitter.com/india_samvad/status/922375403003510784","922375403003510784")</f>
        <v>922375403003510784</v>
      </c>
      <c r="F6195" s="10" t="s">
        <v>39</v>
      </c>
      <c r="G6195" s="10" t="n">
        <v>14841</v>
      </c>
      <c r="H6195" s="10" t="n">
        <v>1678</v>
      </c>
      <c r="I6195" s="10" t="n">
        <v>1</v>
      </c>
      <c r="J6195" s="10" t="n">
        <v>2</v>
      </c>
      <c r="K6195" s="10" t="s">
        <v>20</v>
      </c>
      <c r="L6195" s="11" t="n">
        <v>42093.4178703704</v>
      </c>
      <c r="M6195" s="12" t="s">
        <v>87</v>
      </c>
      <c r="N6195" s="12" t="s">
        <v>14190</v>
      </c>
      <c r="O6195" s="9" t="str">
        <f aca="false">HYPERLINK("https://pbs.twimg.com/profile_images/638604223920254976/HFibH6lv_normal.jpg","View")</f>
        <v>View</v>
      </c>
      <c r="P6195" s="10"/>
    </row>
    <row r="6196" customFormat="false" ht="15.75" hidden="false" customHeight="false" outlineLevel="0" collapsed="false">
      <c r="A6196" s="6" t="n">
        <v>43031.0513078704</v>
      </c>
      <c r="B6196" s="7" t="str">
        <f aca="false">HYPERLINK("https://twitter.com/PoonamDV1","@PoonamDV1")</f>
        <v>@PoonamDV1</v>
      </c>
      <c r="C6196" s="8" t="s">
        <v>14191</v>
      </c>
      <c r="D6196" s="8" t="s">
        <v>8538</v>
      </c>
      <c r="E6196" s="9" t="str">
        <f aca="false">HYPERLINK("https://twitter.com/PoonamDV1/status/922375510109298688","922375510109298688")</f>
        <v>922375510109298688</v>
      </c>
      <c r="F6196" s="10" t="s">
        <v>25</v>
      </c>
      <c r="G6196" s="10" t="n">
        <v>28</v>
      </c>
      <c r="H6196" s="10" t="n">
        <v>135</v>
      </c>
      <c r="I6196" s="10" t="n">
        <v>1015</v>
      </c>
      <c r="J6196" s="10" t="n">
        <v>0</v>
      </c>
      <c r="K6196" s="10" t="s">
        <v>20</v>
      </c>
      <c r="L6196" s="11" t="n">
        <v>42826.1973958333</v>
      </c>
      <c r="M6196" s="12"/>
      <c r="N6196" s="12" t="s">
        <v>14192</v>
      </c>
      <c r="O6196" s="9" t="str">
        <f aca="false">HYPERLINK("https://pbs.twimg.com/profile_images/900955697931706368/U1lWAMjg_normal.jpg","View")</f>
        <v>View</v>
      </c>
      <c r="P6196" s="10"/>
    </row>
    <row r="6197" customFormat="false" ht="15.75" hidden="false" customHeight="false" outlineLevel="0" collapsed="false">
      <c r="A6197" s="6" t="n">
        <v>43031.0513310185</v>
      </c>
      <c r="B6197" s="7" t="str">
        <f aca="false">HYPERLINK("https://twitter.com/sabahmajujaya","@sabahmajujaya")</f>
        <v>@sabahmajujaya</v>
      </c>
      <c r="C6197" s="8" t="s">
        <v>14193</v>
      </c>
      <c r="D6197" s="8" t="s">
        <v>14194</v>
      </c>
      <c r="E6197" s="9" t="str">
        <f aca="false">HYPERLINK("https://twitter.com/sabahmajujaya/status/922375518464434176","922375518464434176")</f>
        <v>922375518464434176</v>
      </c>
      <c r="F6197" s="10" t="s">
        <v>55</v>
      </c>
      <c r="G6197" s="10" t="n">
        <v>5972</v>
      </c>
      <c r="H6197" s="10" t="n">
        <v>135</v>
      </c>
      <c r="I6197" s="10" t="n">
        <v>0</v>
      </c>
      <c r="J6197" s="10" t="n">
        <v>0</v>
      </c>
      <c r="K6197" s="10" t="s">
        <v>20</v>
      </c>
      <c r="L6197" s="11" t="n">
        <v>40369.9212384259</v>
      </c>
      <c r="M6197" s="12"/>
      <c r="N6197" s="12" t="s">
        <v>14195</v>
      </c>
      <c r="O6197" s="9" t="str">
        <f aca="false">HYPERLINK("https://pbs.twimg.com/profile_images/533847763088187392/_f6Pcsy-_normal.jpeg","View")</f>
        <v>View</v>
      </c>
      <c r="P6197" s="10"/>
    </row>
    <row r="6198" customFormat="false" ht="15.75" hidden="false" customHeight="false" outlineLevel="0" collapsed="false">
      <c r="A6198" s="6" t="n">
        <v>43031.0518287037</v>
      </c>
      <c r="B6198" s="7" t="str">
        <f aca="false">HYPERLINK("https://twitter.com/matan307","@matan307")</f>
        <v>@matan307</v>
      </c>
      <c r="C6198" s="8" t="s">
        <v>14196</v>
      </c>
      <c r="D6198" s="8" t="s">
        <v>14106</v>
      </c>
      <c r="E6198" s="9" t="str">
        <f aca="false">HYPERLINK("https://twitter.com/matan307/status/922375700849491968","922375700849491968")</f>
        <v>922375700849491968</v>
      </c>
      <c r="F6198" s="10" t="s">
        <v>25</v>
      </c>
      <c r="G6198" s="10" t="n">
        <v>8</v>
      </c>
      <c r="H6198" s="10" t="n">
        <v>32</v>
      </c>
      <c r="I6198" s="10" t="n">
        <v>30</v>
      </c>
      <c r="J6198" s="10" t="n">
        <v>0</v>
      </c>
      <c r="K6198" s="10" t="s">
        <v>20</v>
      </c>
      <c r="L6198" s="11" t="n">
        <v>43006.8537268519</v>
      </c>
      <c r="M6198" s="12"/>
      <c r="N6198" s="12"/>
      <c r="O6198" s="9" t="str">
        <f aca="false">HYPERLINK("https://abs.twimg.com/sticky/default_profile_images/default_profile_normal.png","View")</f>
        <v>View</v>
      </c>
      <c r="P6198" s="10"/>
    </row>
    <row r="6199" customFormat="false" ht="15.75" hidden="false" customHeight="false" outlineLevel="0" collapsed="false">
      <c r="A6199" s="6" t="n">
        <v>43031.0519097222</v>
      </c>
      <c r="B6199" s="7" t="str">
        <f aca="false">HYPERLINK("https://twitter.com/Lauren_EdinUni","@Lauren_EdinUni")</f>
        <v>@Lauren_EdinUni</v>
      </c>
      <c r="C6199" s="8" t="s">
        <v>14197</v>
      </c>
      <c r="D6199" s="8" t="s">
        <v>10225</v>
      </c>
      <c r="E6199" s="9" t="str">
        <f aca="false">HYPERLINK("https://twitter.com/Lauren_EdinUni/status/922375728565497857","922375728565497857")</f>
        <v>922375728565497857</v>
      </c>
      <c r="F6199" s="10" t="s">
        <v>39</v>
      </c>
      <c r="G6199" s="10" t="n">
        <v>77</v>
      </c>
      <c r="H6199" s="10" t="n">
        <v>215</v>
      </c>
      <c r="I6199" s="10" t="n">
        <v>16</v>
      </c>
      <c r="J6199" s="10" t="n">
        <v>0</v>
      </c>
      <c r="K6199" s="10" t="s">
        <v>20</v>
      </c>
      <c r="L6199" s="11" t="n">
        <v>42997.3514236111</v>
      </c>
      <c r="M6199" s="12" t="s">
        <v>14198</v>
      </c>
      <c r="N6199" s="12" t="s">
        <v>14199</v>
      </c>
      <c r="O6199" s="9" t="str">
        <f aca="false">HYPERLINK("https://pbs.twimg.com/profile_images/910628243228815361/SFS2v9sb_normal.jpg","View")</f>
        <v>View</v>
      </c>
      <c r="P6199" s="10"/>
    </row>
    <row r="6200" customFormat="false" ht="15.75" hidden="false" customHeight="false" outlineLevel="0" collapsed="false">
      <c r="A6200" s="6" t="n">
        <v>43031.0519560185</v>
      </c>
      <c r="B6200" s="7" t="str">
        <f aca="false">HYPERLINK("https://twitter.com/MonishPatra","@MonishPatra")</f>
        <v>@MonishPatra</v>
      </c>
      <c r="C6200" s="8" t="s">
        <v>14200</v>
      </c>
      <c r="D6200" s="8" t="s">
        <v>14106</v>
      </c>
      <c r="E6200" s="9" t="str">
        <f aca="false">HYPERLINK("https://twitter.com/MonishPatra/status/922375748245008384","922375748245008384")</f>
        <v>922375748245008384</v>
      </c>
      <c r="F6200" s="10" t="s">
        <v>25</v>
      </c>
      <c r="G6200" s="10" t="n">
        <v>84</v>
      </c>
      <c r="H6200" s="10" t="n">
        <v>226</v>
      </c>
      <c r="I6200" s="10" t="n">
        <v>30</v>
      </c>
      <c r="J6200" s="10" t="n">
        <v>0</v>
      </c>
      <c r="K6200" s="10" t="s">
        <v>20</v>
      </c>
      <c r="L6200" s="11" t="n">
        <v>42937.5258912037</v>
      </c>
      <c r="M6200" s="12" t="s">
        <v>14201</v>
      </c>
      <c r="N6200" s="12" t="s">
        <v>14202</v>
      </c>
      <c r="O6200" s="9" t="str">
        <f aca="false">HYPERLINK("https://pbs.twimg.com/profile_images/922093971001679872/Y6IdqEdh_normal.jpg","View")</f>
        <v>View</v>
      </c>
      <c r="P6200" s="10"/>
    </row>
    <row r="6201" customFormat="false" ht="15.75" hidden="false" customHeight="false" outlineLevel="0" collapsed="false">
      <c r="A6201" s="6" t="n">
        <v>43031.0519675926</v>
      </c>
      <c r="B6201" s="7" t="str">
        <f aca="false">HYPERLINK("https://twitter.com/vardanatulshah","@vardanatulshah")</f>
        <v>@vardanatulshah</v>
      </c>
      <c r="C6201" s="8" t="s">
        <v>14203</v>
      </c>
      <c r="D6201" s="8" t="s">
        <v>8538</v>
      </c>
      <c r="E6201" s="9" t="str">
        <f aca="false">HYPERLINK("https://twitter.com/vardanatulshah/status/922375749272612864","922375749272612864")</f>
        <v>922375749272612864</v>
      </c>
      <c r="F6201" s="10" t="s">
        <v>25</v>
      </c>
      <c r="G6201" s="10" t="n">
        <v>942</v>
      </c>
      <c r="H6201" s="10" t="n">
        <v>331</v>
      </c>
      <c r="I6201" s="10" t="n">
        <v>1015</v>
      </c>
      <c r="J6201" s="10" t="n">
        <v>0</v>
      </c>
      <c r="K6201" s="10" t="s">
        <v>20</v>
      </c>
      <c r="L6201" s="11" t="n">
        <v>41549.0044675926</v>
      </c>
      <c r="M6201" s="12" t="s">
        <v>14204</v>
      </c>
      <c r="N6201" s="12" t="s">
        <v>14205</v>
      </c>
      <c r="O6201" s="9" t="str">
        <f aca="false">HYPERLINK("https://pbs.twimg.com/profile_images/876660775905099777/oA2sPx7K_normal.jpg","View")</f>
        <v>View</v>
      </c>
      <c r="P6201" s="10"/>
    </row>
    <row r="6202" customFormat="false" ht="15.75" hidden="false" customHeight="false" outlineLevel="0" collapsed="false">
      <c r="A6202" s="6" t="n">
        <v>43031.0520486111</v>
      </c>
      <c r="B6202" s="7" t="str">
        <f aca="false">HYPERLINK("https://twitter.com/DrIngTRverma","@DrIngTRverma")</f>
        <v>@DrIngTRverma</v>
      </c>
      <c r="C6202" s="8" t="s">
        <v>14206</v>
      </c>
      <c r="D6202" s="8" t="s">
        <v>14207</v>
      </c>
      <c r="E6202" s="9" t="str">
        <f aca="false">HYPERLINK("https://twitter.com/DrIngTRverma/status/922375778569879553","922375778569879553")</f>
        <v>922375778569879553</v>
      </c>
      <c r="F6202" s="10" t="s">
        <v>39</v>
      </c>
      <c r="G6202" s="10" t="n">
        <v>1257</v>
      </c>
      <c r="H6202" s="10" t="n">
        <v>259</v>
      </c>
      <c r="I6202" s="10" t="n">
        <v>0</v>
      </c>
      <c r="J6202" s="10" t="n">
        <v>0</v>
      </c>
      <c r="K6202" s="10" t="s">
        <v>20</v>
      </c>
      <c r="L6202" s="11" t="n">
        <v>41718.0303240741</v>
      </c>
      <c r="M6202" s="12"/>
      <c r="N6202" s="12" t="s">
        <v>14208</v>
      </c>
      <c r="O6202" s="9" t="str">
        <f aca="false">HYPERLINK("https://pbs.twimg.com/profile_images/898126013149749248/RUl3_hET_normal.jpg","View")</f>
        <v>View</v>
      </c>
      <c r="P6202" s="10"/>
    </row>
    <row r="6203" customFormat="false" ht="15.75" hidden="false" customHeight="false" outlineLevel="0" collapsed="false">
      <c r="A6203" s="6" t="n">
        <v>43031.0521296296</v>
      </c>
      <c r="B6203" s="7" t="str">
        <f aca="false">HYPERLINK("https://twitter.com/bdsklpsboy","@bdsklpsboy")</f>
        <v>@bdsklpsboy</v>
      </c>
      <c r="C6203" s="8" t="s">
        <v>14209</v>
      </c>
      <c r="D6203" s="8" t="s">
        <v>14135</v>
      </c>
      <c r="E6203" s="9" t="str">
        <f aca="false">HYPERLINK("https://twitter.com/bdsklpsboy/status/922375807858823168","922375807858823168")</f>
        <v>922375807858823168</v>
      </c>
      <c r="F6203" s="10" t="s">
        <v>25</v>
      </c>
      <c r="G6203" s="10" t="n">
        <v>49</v>
      </c>
      <c r="H6203" s="10" t="n">
        <v>2411</v>
      </c>
      <c r="I6203" s="10" t="n">
        <v>16</v>
      </c>
      <c r="J6203" s="10" t="n">
        <v>0</v>
      </c>
      <c r="K6203" s="10" t="s">
        <v>20</v>
      </c>
      <c r="L6203" s="11" t="n">
        <v>41080.076712963</v>
      </c>
      <c r="M6203" s="12" t="s">
        <v>14210</v>
      </c>
      <c r="N6203" s="12"/>
      <c r="O6203" s="9" t="str">
        <f aca="false">HYPERLINK("https://pbs.twimg.com/profile_images/734522305313902594/tUcsvENB_normal.jpg","View")</f>
        <v>View</v>
      </c>
      <c r="P6203" s="10"/>
    </row>
    <row r="6204" customFormat="false" ht="15.75" hidden="false" customHeight="false" outlineLevel="0" collapsed="false">
      <c r="A6204" s="6" t="n">
        <v>43031.0523726852</v>
      </c>
      <c r="B6204" s="7" t="str">
        <f aca="false">HYPERLINK("https://twitter.com/MarketingGurus2","@MarketingGurus2")</f>
        <v>@MarketingGurus2</v>
      </c>
      <c r="C6204" s="8" t="s">
        <v>14211</v>
      </c>
      <c r="D6204" s="8" t="s">
        <v>14212</v>
      </c>
      <c r="E6204" s="9" t="str">
        <f aca="false">HYPERLINK("https://twitter.com/MarketingGurus2/status/922375895595278336","922375895595278336")</f>
        <v>922375895595278336</v>
      </c>
      <c r="F6204" s="10" t="s">
        <v>110</v>
      </c>
      <c r="G6204" s="10" t="n">
        <v>86143</v>
      </c>
      <c r="H6204" s="10" t="n">
        <v>10005</v>
      </c>
      <c r="I6204" s="10" t="n">
        <v>0</v>
      </c>
      <c r="J6204" s="10" t="n">
        <v>0</v>
      </c>
      <c r="K6204" s="10" t="s">
        <v>20</v>
      </c>
      <c r="L6204" s="11" t="n">
        <v>41162.2883680556</v>
      </c>
      <c r="M6204" s="12" t="s">
        <v>1143</v>
      </c>
      <c r="N6204" s="12" t="s">
        <v>14213</v>
      </c>
      <c r="O6204" s="9" t="str">
        <f aca="false">HYPERLINK("https://pbs.twimg.com/profile_images/904285264457023488/GlKnoWa5_normal.jpg","View")</f>
        <v>View</v>
      </c>
      <c r="P6204" s="10"/>
    </row>
    <row r="6205" customFormat="false" ht="15.75" hidden="false" customHeight="false" outlineLevel="0" collapsed="false">
      <c r="A6205" s="6" t="n">
        <v>43031.0524189815</v>
      </c>
      <c r="B6205" s="7" t="str">
        <f aca="false">HYPERLINK("https://twitter.com/Ismellysgal","@Ismellysgal")</f>
        <v>@Ismellysgal</v>
      </c>
      <c r="C6205" s="8" t="s">
        <v>14214</v>
      </c>
      <c r="D6205" s="8" t="s">
        <v>14215</v>
      </c>
      <c r="E6205" s="9" t="str">
        <f aca="false">HYPERLINK("https://twitter.com/Ismellysgal/status/922375915056885760","922375915056885760")</f>
        <v>922375915056885760</v>
      </c>
      <c r="F6205" s="10" t="s">
        <v>110</v>
      </c>
      <c r="G6205" s="10" t="n">
        <v>442</v>
      </c>
      <c r="H6205" s="10" t="n">
        <v>1076</v>
      </c>
      <c r="I6205" s="10" t="n">
        <v>0</v>
      </c>
      <c r="J6205" s="10" t="n">
        <v>0</v>
      </c>
      <c r="K6205" s="10" t="s">
        <v>20</v>
      </c>
      <c r="L6205" s="11" t="n">
        <v>42762.5210648148</v>
      </c>
      <c r="M6205" s="12" t="s">
        <v>14216</v>
      </c>
      <c r="N6205" s="12" t="s">
        <v>14217</v>
      </c>
      <c r="O6205" s="9" t="str">
        <f aca="false">HYPERLINK("https://pbs.twimg.com/profile_images/825079890479296513/9WsC7GYK_normal.jpg","View")</f>
        <v>View</v>
      </c>
      <c r="P6205" s="10"/>
    </row>
    <row r="6206" customFormat="false" ht="15.75" hidden="false" customHeight="false" outlineLevel="0" collapsed="false">
      <c r="A6206" s="6" t="n">
        <v>43031.0524652778</v>
      </c>
      <c r="B6206" s="7" t="str">
        <f aca="false">HYPERLINK("https://twitter.com/MoreShamLessWow","@MoreShamLessWow")</f>
        <v>@MoreShamLessWow</v>
      </c>
      <c r="C6206" s="8" t="s">
        <v>12028</v>
      </c>
      <c r="D6206" s="8" t="s">
        <v>9696</v>
      </c>
      <c r="E6206" s="9" t="str">
        <f aca="false">HYPERLINK("https://twitter.com/MoreShamLessWow/status/922375929850146817","922375929850146817")</f>
        <v>922375929850146817</v>
      </c>
      <c r="F6206" s="10" t="s">
        <v>12029</v>
      </c>
      <c r="G6206" s="10" t="n">
        <v>476</v>
      </c>
      <c r="H6206" s="10" t="n">
        <v>3620</v>
      </c>
      <c r="I6206" s="10" t="n">
        <v>7</v>
      </c>
      <c r="J6206" s="10" t="n">
        <v>0</v>
      </c>
      <c r="K6206" s="10" t="s">
        <v>20</v>
      </c>
      <c r="L6206" s="11" t="n">
        <v>43015.9462037037</v>
      </c>
      <c r="M6206" s="12"/>
      <c r="N6206" s="12" t="s">
        <v>12030</v>
      </c>
      <c r="O6206" s="9" t="str">
        <f aca="false">HYPERLINK("https://pbs.twimg.com/profile_images/917071167441244165/JhCl4xz1_normal.jpg","View")</f>
        <v>View</v>
      </c>
      <c r="P6206" s="10"/>
    </row>
    <row r="6207" customFormat="false" ht="15.75" hidden="false" customHeight="false" outlineLevel="0" collapsed="false">
      <c r="A6207" s="6" t="n">
        <v>43031.0525347222</v>
      </c>
      <c r="B6207" s="7" t="str">
        <f aca="false">HYPERLINK("https://twitter.com/NtrNatlonalHash","@NtrNatlonalHash")</f>
        <v>@NtrNatlonalHash</v>
      </c>
      <c r="C6207" s="8" t="s">
        <v>14218</v>
      </c>
      <c r="D6207" s="8" t="s">
        <v>14135</v>
      </c>
      <c r="E6207" s="9" t="str">
        <f aca="false">HYPERLINK("https://twitter.com/NtrNatlonalHash/status/922375956718850048","922375956718850048")</f>
        <v>922375956718850048</v>
      </c>
      <c r="F6207" s="10" t="s">
        <v>25</v>
      </c>
      <c r="G6207" s="10" t="n">
        <v>47</v>
      </c>
      <c r="H6207" s="10" t="n">
        <v>1497</v>
      </c>
      <c r="I6207" s="10" t="n">
        <v>16</v>
      </c>
      <c r="J6207" s="10" t="n">
        <v>0</v>
      </c>
      <c r="K6207" s="10" t="s">
        <v>20</v>
      </c>
      <c r="L6207" s="11" t="n">
        <v>41744.0852314815</v>
      </c>
      <c r="M6207" s="12" t="s">
        <v>14219</v>
      </c>
      <c r="N6207" s="12" t="s">
        <v>14220</v>
      </c>
      <c r="O6207" s="9" t="str">
        <f aca="false">HYPERLINK("https://pbs.twimg.com/profile_images/765258088823881728/9vfJu7Ns_normal.jpg","View")</f>
        <v>View</v>
      </c>
      <c r="P6207" s="10"/>
    </row>
    <row r="6208" customFormat="false" ht="15.75" hidden="false" customHeight="false" outlineLevel="0" collapsed="false">
      <c r="A6208" s="6" t="n">
        <v>43031.0525347222</v>
      </c>
      <c r="B6208" s="7" t="str">
        <f aca="false">HYPERLINK("https://twitter.com/acadvisory","@acadvisory")</f>
        <v>@acadvisory</v>
      </c>
      <c r="C6208" s="8" t="s">
        <v>14221</v>
      </c>
      <c r="D6208" s="8" t="s">
        <v>14222</v>
      </c>
      <c r="E6208" s="9" t="str">
        <f aca="false">HYPERLINK("https://twitter.com/acadvisory/status/922375957314441216","922375957314441216")</f>
        <v>922375957314441216</v>
      </c>
      <c r="F6208" s="10" t="s">
        <v>55</v>
      </c>
      <c r="G6208" s="10" t="n">
        <v>4</v>
      </c>
      <c r="H6208" s="10" t="n">
        <v>0</v>
      </c>
      <c r="I6208" s="10" t="n">
        <v>0</v>
      </c>
      <c r="J6208" s="10" t="n">
        <v>0</v>
      </c>
      <c r="K6208" s="10" t="s">
        <v>20</v>
      </c>
      <c r="L6208" s="11" t="n">
        <v>42212.3350810185</v>
      </c>
      <c r="M6208" s="12" t="s">
        <v>9759</v>
      </c>
      <c r="N6208" s="12" t="s">
        <v>14223</v>
      </c>
      <c r="O6208" s="9" t="str">
        <f aca="false">HYPERLINK("https://pbs.twimg.com/profile_images/915988087800500224/OzZqo4aB_normal.jpg","View")</f>
        <v>View</v>
      </c>
      <c r="P6208" s="10"/>
    </row>
    <row r="6209" customFormat="false" ht="15.75" hidden="false" customHeight="false" outlineLevel="0" collapsed="false">
      <c r="A6209" s="6" t="n">
        <v>43031.052662037</v>
      </c>
      <c r="B6209" s="7" t="str">
        <f aca="false">HYPERLINK("https://twitter.com/vikas1689","@vikas1689")</f>
        <v>@vikas1689</v>
      </c>
      <c r="C6209" s="8" t="s">
        <v>8529</v>
      </c>
      <c r="D6209" s="8" t="s">
        <v>8538</v>
      </c>
      <c r="E6209" s="9" t="str">
        <f aca="false">HYPERLINK("https://twitter.com/vikas1689/status/922376000884785154","922376000884785154")</f>
        <v>922376000884785154</v>
      </c>
      <c r="F6209" s="10" t="s">
        <v>25</v>
      </c>
      <c r="G6209" s="10" t="n">
        <v>1065</v>
      </c>
      <c r="H6209" s="10" t="n">
        <v>366</v>
      </c>
      <c r="I6209" s="10" t="n">
        <v>1015</v>
      </c>
      <c r="J6209" s="10" t="n">
        <v>0</v>
      </c>
      <c r="K6209" s="10" t="s">
        <v>20</v>
      </c>
      <c r="L6209" s="11" t="n">
        <v>41477.4131018519</v>
      </c>
      <c r="M6209" s="12"/>
      <c r="N6209" s="12" t="s">
        <v>14224</v>
      </c>
      <c r="O6209" s="9" t="str">
        <f aca="false">HYPERLINK("https://pbs.twimg.com/profile_images/793856726659321856/BPeeAnYq_normal.jpg","View")</f>
        <v>View</v>
      </c>
      <c r="P6209" s="10"/>
    </row>
    <row r="6210" customFormat="false" ht="15.75" hidden="false" customHeight="false" outlineLevel="0" collapsed="false">
      <c r="A6210" s="6" t="n">
        <v>43031.052662037</v>
      </c>
      <c r="B6210" s="7" t="str">
        <f aca="false">HYPERLINK("https://twitter.com/MystiqueBobbie","@MystiqueBobbie")</f>
        <v>@MystiqueBobbie</v>
      </c>
      <c r="C6210" s="8" t="s">
        <v>14225</v>
      </c>
      <c r="D6210" s="8" t="s">
        <v>14150</v>
      </c>
      <c r="E6210" s="9" t="str">
        <f aca="false">HYPERLINK("https://twitter.com/MystiqueBobbie/status/922376002684190720","922376002684190720")</f>
        <v>922376002684190720</v>
      </c>
      <c r="F6210" s="10" t="s">
        <v>51</v>
      </c>
      <c r="G6210" s="10" t="n">
        <v>212</v>
      </c>
      <c r="H6210" s="10" t="n">
        <v>260</v>
      </c>
      <c r="I6210" s="10" t="n">
        <v>8</v>
      </c>
      <c r="J6210" s="10" t="n">
        <v>0</v>
      </c>
      <c r="K6210" s="10" t="s">
        <v>20</v>
      </c>
      <c r="L6210" s="11" t="n">
        <v>42793.6126967593</v>
      </c>
      <c r="M6210" s="12" t="s">
        <v>4097</v>
      </c>
      <c r="N6210" s="12" t="s">
        <v>14226</v>
      </c>
      <c r="O6210" s="9" t="str">
        <f aca="false">HYPERLINK("https://pbs.twimg.com/profile_images/850416455795474432/Ti4RDIFo_normal.jpg","View")</f>
        <v>View</v>
      </c>
      <c r="P6210" s="10"/>
    </row>
    <row r="6211" customFormat="false" ht="15.75" hidden="false" customHeight="false" outlineLevel="0" collapsed="false">
      <c r="A6211" s="6" t="n">
        <v>43031.0526851852</v>
      </c>
      <c r="B6211" s="7" t="str">
        <f aca="false">HYPERLINK("https://twitter.com/bharatvanshi_tw","@bharatvanshi_tw")</f>
        <v>@bharatvanshi_tw</v>
      </c>
      <c r="C6211" s="8" t="s">
        <v>14227</v>
      </c>
      <c r="D6211" s="8" t="s">
        <v>8538</v>
      </c>
      <c r="E6211" s="9" t="str">
        <f aca="false">HYPERLINK("https://twitter.com/bharatvanshi_tw/status/922376011710267392","922376011710267392")</f>
        <v>922376011710267392</v>
      </c>
      <c r="F6211" s="10" t="s">
        <v>39</v>
      </c>
      <c r="G6211" s="10" t="n">
        <v>1599</v>
      </c>
      <c r="H6211" s="10" t="n">
        <v>1335</v>
      </c>
      <c r="I6211" s="10" t="n">
        <v>1015</v>
      </c>
      <c r="J6211" s="10" t="n">
        <v>0</v>
      </c>
      <c r="K6211" s="10" t="s">
        <v>20</v>
      </c>
      <c r="L6211" s="11" t="n">
        <v>41722.4624884259</v>
      </c>
      <c r="M6211" s="12" t="s">
        <v>14228</v>
      </c>
      <c r="N6211" s="12" t="s">
        <v>14229</v>
      </c>
      <c r="O6211" s="9" t="str">
        <f aca="false">HYPERLINK("https://pbs.twimg.com/profile_images/847414371927990272/WyyKGSNF_normal.jpg","View")</f>
        <v>View</v>
      </c>
      <c r="P6211" s="10"/>
    </row>
    <row r="6212" customFormat="false" ht="15.75" hidden="false" customHeight="false" outlineLevel="0" collapsed="false">
      <c r="A6212" s="6" t="n">
        <v>43031.0527893519</v>
      </c>
      <c r="B6212" s="7" t="str">
        <f aca="false">HYPERLINK("https://twitter.com/EBertolaccini","@EBertolaccini")</f>
        <v>@EBertolaccini</v>
      </c>
      <c r="C6212" s="8" t="s">
        <v>4968</v>
      </c>
      <c r="D6212" s="8" t="s">
        <v>14230</v>
      </c>
      <c r="E6212" s="9" t="str">
        <f aca="false">HYPERLINK("https://twitter.com/EBertolaccini/status/922376047353528320","922376047353528320")</f>
        <v>922376047353528320</v>
      </c>
      <c r="F6212" s="10" t="s">
        <v>60</v>
      </c>
      <c r="G6212" s="10" t="n">
        <v>1179</v>
      </c>
      <c r="H6212" s="10" t="n">
        <v>1881</v>
      </c>
      <c r="I6212" s="10" t="n">
        <v>0</v>
      </c>
      <c r="J6212" s="10" t="n">
        <v>0</v>
      </c>
      <c r="K6212" s="10" t="s">
        <v>20</v>
      </c>
      <c r="L6212" s="11" t="n">
        <v>40636.362037037</v>
      </c>
      <c r="M6212" s="12" t="s">
        <v>4970</v>
      </c>
      <c r="N6212" s="12" t="s">
        <v>4971</v>
      </c>
      <c r="O6212" s="9" t="str">
        <f aca="false">HYPERLINK("https://pbs.twimg.com/profile_images/522805721537466368/cbIOXjsD_normal.jpeg","View")</f>
        <v>View</v>
      </c>
      <c r="P6212" s="10"/>
    </row>
    <row r="6213" customFormat="false" ht="15.75" hidden="false" customHeight="false" outlineLevel="0" collapsed="false">
      <c r="A6213" s="6" t="n">
        <v>43031.0528819445</v>
      </c>
      <c r="B6213" s="7" t="str">
        <f aca="false">HYPERLINK("https://twitter.com/aqytha_joobjip","@aqytha_joobjip")</f>
        <v>@aqytha_joobjip</v>
      </c>
      <c r="C6213" s="8" t="s">
        <v>13638</v>
      </c>
      <c r="D6213" s="8" t="s">
        <v>14231</v>
      </c>
      <c r="E6213" s="9" t="str">
        <f aca="false">HYPERLINK("https://twitter.com/aqytha_joobjip/status/922376081545494528","922376081545494528")</f>
        <v>922376081545494528</v>
      </c>
      <c r="F6213" s="10" t="s">
        <v>60</v>
      </c>
      <c r="G6213" s="10" t="n">
        <v>1327</v>
      </c>
      <c r="H6213" s="10" t="n">
        <v>1329</v>
      </c>
      <c r="I6213" s="10" t="n">
        <v>0</v>
      </c>
      <c r="J6213" s="10" t="n">
        <v>0</v>
      </c>
      <c r="K6213" s="10" t="s">
        <v>20</v>
      </c>
      <c r="L6213" s="11" t="n">
        <v>42816.8510648148</v>
      </c>
      <c r="M6213" s="12" t="s">
        <v>13639</v>
      </c>
      <c r="N6213" s="12" t="s">
        <v>13640</v>
      </c>
      <c r="O6213" s="9" t="str">
        <f aca="false">HYPERLINK("https://pbs.twimg.com/profile_images/858603371510542336/I0ZwCR8u_normal.jpg","View")</f>
        <v>View</v>
      </c>
      <c r="P6213" s="10"/>
    </row>
    <row r="6214" customFormat="false" ht="15.75" hidden="false" customHeight="false" outlineLevel="0" collapsed="false">
      <c r="A6214" s="6" t="n">
        <v>43031.0529166667</v>
      </c>
      <c r="B6214" s="7" t="str">
        <f aca="false">HYPERLINK("https://twitter.com/trtworld","@trtworld")</f>
        <v>@trtworld</v>
      </c>
      <c r="C6214" s="8" t="s">
        <v>1552</v>
      </c>
      <c r="D6214" s="8" t="s">
        <v>14232</v>
      </c>
      <c r="E6214" s="9" t="str">
        <f aca="false">HYPERLINK("https://twitter.com/trtworld/status/922376095307124736","922376095307124736")</f>
        <v>922376095307124736</v>
      </c>
      <c r="F6214" s="10" t="s">
        <v>268</v>
      </c>
      <c r="G6214" s="10" t="n">
        <v>113610</v>
      </c>
      <c r="H6214" s="10" t="n">
        <v>9</v>
      </c>
      <c r="I6214" s="10" t="n">
        <v>3</v>
      </c>
      <c r="J6214" s="10" t="n">
        <v>4</v>
      </c>
      <c r="K6214" s="10" t="s">
        <v>20</v>
      </c>
      <c r="L6214" s="11" t="n">
        <v>42076.183125</v>
      </c>
      <c r="M6214" s="12"/>
      <c r="N6214" s="12" t="s">
        <v>1554</v>
      </c>
      <c r="O6214" s="9" t="str">
        <f aca="false">HYPERLINK("https://pbs.twimg.com/profile_images/604916087180754945/1aMHMBIj_normal.png","View")</f>
        <v>View</v>
      </c>
      <c r="P6214" s="10"/>
    </row>
    <row r="6215" customFormat="false" ht="15.75" hidden="false" customHeight="false" outlineLevel="0" collapsed="false">
      <c r="A6215" s="6" t="n">
        <v>43031.052974537</v>
      </c>
      <c r="B6215" s="7" t="str">
        <f aca="false">HYPERLINK("https://twitter.com/hannahariel74","@hannahariel74")</f>
        <v>@hannahariel74</v>
      </c>
      <c r="C6215" s="8" t="s">
        <v>14233</v>
      </c>
      <c r="D6215" s="8" t="s">
        <v>14135</v>
      </c>
      <c r="E6215" s="9" t="str">
        <f aca="false">HYPERLINK("https://twitter.com/hannahariel74/status/922376116475588608","922376116475588608")</f>
        <v>922376116475588608</v>
      </c>
      <c r="F6215" s="10" t="s">
        <v>25</v>
      </c>
      <c r="G6215" s="10" t="n">
        <v>44</v>
      </c>
      <c r="H6215" s="10" t="n">
        <v>1770</v>
      </c>
      <c r="I6215" s="10" t="n">
        <v>16</v>
      </c>
      <c r="J6215" s="10" t="n">
        <v>0</v>
      </c>
      <c r="K6215" s="10" t="s">
        <v>20</v>
      </c>
      <c r="L6215" s="11" t="n">
        <v>41739.6494560185</v>
      </c>
      <c r="M6215" s="12" t="s">
        <v>14234</v>
      </c>
      <c r="N6215" s="12" t="s">
        <v>14235</v>
      </c>
      <c r="O6215" s="9" t="str">
        <f aca="false">HYPERLINK("https://pbs.twimg.com/profile_images/749739195577565184/j7JpUA93_normal.jpg","View")</f>
        <v>View</v>
      </c>
      <c r="P6215" s="10"/>
    </row>
    <row r="6216" customFormat="false" ht="15.75" hidden="false" customHeight="false" outlineLevel="0" collapsed="false">
      <c r="A6216" s="6" t="n">
        <v>43031.0530555556</v>
      </c>
      <c r="B6216" s="7" t="str">
        <f aca="false">HYPERLINK("https://twitter.com/Uegwen","@Uegwen")</f>
        <v>@Uegwen</v>
      </c>
      <c r="C6216" s="8" t="s">
        <v>14236</v>
      </c>
      <c r="D6216" s="8" t="s">
        <v>2061</v>
      </c>
      <c r="E6216" s="9" t="str">
        <f aca="false">HYPERLINK("https://twitter.com/Uegwen/status/922376144426450944","922376144426450944")</f>
        <v>922376144426450944</v>
      </c>
      <c r="F6216" s="10" t="s">
        <v>14237</v>
      </c>
      <c r="G6216" s="10" t="n">
        <v>148</v>
      </c>
      <c r="H6216" s="10" t="n">
        <v>964</v>
      </c>
      <c r="I6216" s="10" t="n">
        <v>12</v>
      </c>
      <c r="J6216" s="10" t="n">
        <v>0</v>
      </c>
      <c r="K6216" s="10" t="s">
        <v>20</v>
      </c>
      <c r="L6216" s="11" t="n">
        <v>41267.7300578704</v>
      </c>
      <c r="M6216" s="12"/>
      <c r="N6216" s="12"/>
      <c r="O6216" s="9" t="str">
        <f aca="false">HYPERLINK("https://abs.twimg.com/sticky/default_profile_images/default_profile_normal.png","View")</f>
        <v>View</v>
      </c>
      <c r="P6216" s="10"/>
    </row>
    <row r="6217" customFormat="false" ht="15.75" hidden="false" customHeight="false" outlineLevel="0" collapsed="false">
      <c r="A6217" s="6" t="n">
        <v>43031.0534490741</v>
      </c>
      <c r="B6217" s="7" t="str">
        <f aca="false">HYPERLINK("https://twitter.com/MsTBlggs","@MsTBlggs")</f>
        <v>@MsTBlggs</v>
      </c>
      <c r="C6217" s="8" t="s">
        <v>14238</v>
      </c>
      <c r="D6217" s="8" t="s">
        <v>14135</v>
      </c>
      <c r="E6217" s="9" t="str">
        <f aca="false">HYPERLINK("https://twitter.com/MsTBlggs/status/922376287674650624","922376287674650624")</f>
        <v>922376287674650624</v>
      </c>
      <c r="F6217" s="10" t="s">
        <v>25</v>
      </c>
      <c r="G6217" s="10" t="n">
        <v>91</v>
      </c>
      <c r="H6217" s="10" t="n">
        <v>4225</v>
      </c>
      <c r="I6217" s="10" t="n">
        <v>16</v>
      </c>
      <c r="J6217" s="10" t="n">
        <v>0</v>
      </c>
      <c r="K6217" s="10" t="s">
        <v>20</v>
      </c>
      <c r="L6217" s="11" t="n">
        <v>41745.7366203704</v>
      </c>
      <c r="M6217" s="12" t="s">
        <v>14239</v>
      </c>
      <c r="N6217" s="12" t="s">
        <v>14240</v>
      </c>
      <c r="O6217" s="9" t="str">
        <f aca="false">HYPERLINK("https://pbs.twimg.com/profile_images/749328524004233216/tetrRW2a_normal.jpg","View")</f>
        <v>View</v>
      </c>
      <c r="P6217" s="10"/>
    </row>
    <row r="6218" customFormat="false" ht="15.75" hidden="false" customHeight="false" outlineLevel="0" collapsed="false">
      <c r="A6218" s="6" t="n">
        <v>43031.0535185185</v>
      </c>
      <c r="B6218" s="7" t="str">
        <f aca="false">HYPERLINK("https://twitter.com/wine_dork","@wine_dork")</f>
        <v>@wine_dork</v>
      </c>
      <c r="C6218" s="8" t="s">
        <v>14241</v>
      </c>
      <c r="D6218" s="8" t="s">
        <v>14106</v>
      </c>
      <c r="E6218" s="9" t="str">
        <f aca="false">HYPERLINK("https://twitter.com/wine_dork/status/922376314170077184","922376314170077184")</f>
        <v>922376314170077184</v>
      </c>
      <c r="F6218" s="10" t="s">
        <v>51</v>
      </c>
      <c r="G6218" s="10" t="n">
        <v>254</v>
      </c>
      <c r="H6218" s="10" t="n">
        <v>166</v>
      </c>
      <c r="I6218" s="10" t="n">
        <v>30</v>
      </c>
      <c r="J6218" s="10" t="n">
        <v>0</v>
      </c>
      <c r="K6218" s="10" t="s">
        <v>20</v>
      </c>
      <c r="L6218" s="11" t="n">
        <v>42936.8085532407</v>
      </c>
      <c r="M6218" s="12" t="s">
        <v>14242</v>
      </c>
      <c r="N6218" s="12"/>
      <c r="O6218" s="9" t="str">
        <f aca="false">HYPERLINK("https://pbs.twimg.com/profile_images/888386357579714561/u7_uq1oD_normal.jpg","View")</f>
        <v>View</v>
      </c>
      <c r="P6218" s="10"/>
    </row>
    <row r="6219" customFormat="false" ht="15.75" hidden="false" customHeight="false" outlineLevel="0" collapsed="false">
      <c r="A6219" s="6" t="n">
        <v>43031.0538425926</v>
      </c>
      <c r="B6219" s="7" t="str">
        <f aca="false">HYPERLINK("https://twitter.com/CLM_net","@CLM_net")</f>
        <v>@CLM_net</v>
      </c>
      <c r="C6219" s="8" t="s">
        <v>5746</v>
      </c>
      <c r="D6219" s="8" t="s">
        <v>14243</v>
      </c>
      <c r="E6219" s="9" t="str">
        <f aca="false">HYPERLINK("https://twitter.com/CLM_net/status/922376429941284865","922376429941284865")</f>
        <v>922376429941284865</v>
      </c>
      <c r="F6219" s="10" t="s">
        <v>55</v>
      </c>
      <c r="G6219" s="10" t="n">
        <v>1530</v>
      </c>
      <c r="H6219" s="10" t="n">
        <v>0</v>
      </c>
      <c r="I6219" s="10" t="n">
        <v>0</v>
      </c>
      <c r="J6219" s="10" t="n">
        <v>0</v>
      </c>
      <c r="K6219" s="10" t="s">
        <v>20</v>
      </c>
      <c r="L6219" s="11" t="n">
        <v>41134.1074421296</v>
      </c>
      <c r="M6219" s="12" t="s">
        <v>230</v>
      </c>
      <c r="N6219" s="12" t="s">
        <v>5748</v>
      </c>
      <c r="O6219" s="9" t="str">
        <f aca="false">HYPERLINK("https://pbs.twimg.com/profile_images/823517749821509632/wURcbkRj_normal.jpg","View")</f>
        <v>View</v>
      </c>
      <c r="P6219" s="10"/>
    </row>
    <row r="6220" customFormat="false" ht="15.75" hidden="false" customHeight="false" outlineLevel="0" collapsed="false">
      <c r="A6220" s="6" t="n">
        <v>43031.0538888889</v>
      </c>
      <c r="B6220" s="7" t="str">
        <f aca="false">HYPERLINK("https://twitter.com/MyraDSirois1","@MyraDSirois1")</f>
        <v>@MyraDSirois1</v>
      </c>
      <c r="C6220" s="8" t="s">
        <v>14244</v>
      </c>
      <c r="D6220" s="8" t="s">
        <v>14106</v>
      </c>
      <c r="E6220" s="9" t="str">
        <f aca="false">HYPERLINK("https://twitter.com/MyraDSirois1/status/922376446567477249","922376446567477249")</f>
        <v>922376446567477249</v>
      </c>
      <c r="F6220" s="10" t="s">
        <v>51</v>
      </c>
      <c r="G6220" s="10" t="n">
        <v>3332</v>
      </c>
      <c r="H6220" s="10" t="n">
        <v>4746</v>
      </c>
      <c r="I6220" s="10" t="n">
        <v>30</v>
      </c>
      <c r="J6220" s="10" t="n">
        <v>0</v>
      </c>
      <c r="K6220" s="10" t="s">
        <v>20</v>
      </c>
      <c r="L6220" s="11" t="n">
        <v>42710.4873726852</v>
      </c>
      <c r="M6220" s="12" t="s">
        <v>14245</v>
      </c>
      <c r="N6220" s="12" t="s">
        <v>14246</v>
      </c>
      <c r="O6220" s="9" t="str">
        <f aca="false">HYPERLINK("https://pbs.twimg.com/profile_images/844889041002737664/hLJMLj2A_normal.jpg","View")</f>
        <v>View</v>
      </c>
      <c r="P6220" s="10"/>
    </row>
    <row r="6221" customFormat="false" ht="15.75" hidden="false" customHeight="false" outlineLevel="0" collapsed="false">
      <c r="A6221" s="6" t="n">
        <v>43031.0541435185</v>
      </c>
      <c r="B6221" s="7" t="str">
        <f aca="false">HYPERLINK("https://twitter.com/jpgl_","@jpgl_")</f>
        <v>@jpgl_</v>
      </c>
      <c r="C6221" s="8" t="s">
        <v>14247</v>
      </c>
      <c r="D6221" s="8" t="s">
        <v>8538</v>
      </c>
      <c r="E6221" s="9" t="str">
        <f aca="false">HYPERLINK("https://twitter.com/jpgl_/status/922376537734709253","922376537734709253")</f>
        <v>922376537734709253</v>
      </c>
      <c r="F6221" s="10" t="s">
        <v>25</v>
      </c>
      <c r="G6221" s="10" t="n">
        <v>253</v>
      </c>
      <c r="H6221" s="10" t="n">
        <v>37</v>
      </c>
      <c r="I6221" s="10" t="n">
        <v>1015</v>
      </c>
      <c r="J6221" s="10" t="n">
        <v>0</v>
      </c>
      <c r="K6221" s="10" t="s">
        <v>20</v>
      </c>
      <c r="L6221" s="11" t="n">
        <v>41429.1485532407</v>
      </c>
      <c r="M6221" s="12"/>
      <c r="N6221" s="12"/>
      <c r="O6221" s="9" t="str">
        <f aca="false">HYPERLINK("https://pbs.twimg.com/profile_images/710516560633270272/XSc4PMTI_normal.jpg","View")</f>
        <v>View</v>
      </c>
      <c r="P6221" s="10"/>
    </row>
    <row r="6222" customFormat="false" ht="15.75" hidden="false" customHeight="false" outlineLevel="0" collapsed="false">
      <c r="A6222" s="6" t="n">
        <v>43031.0547222222</v>
      </c>
      <c r="B6222" s="7" t="str">
        <f aca="false">HYPERLINK("https://twitter.com/wsaidc","@wsaidc")</f>
        <v>@wsaidc</v>
      </c>
      <c r="C6222" s="8" t="s">
        <v>14248</v>
      </c>
      <c r="D6222" s="8" t="s">
        <v>4124</v>
      </c>
      <c r="E6222" s="9" t="str">
        <f aca="false">HYPERLINK("https://twitter.com/wsaidc/status/922376748855123968","922376748855123968")</f>
        <v>922376748855123968</v>
      </c>
      <c r="F6222" s="10" t="s">
        <v>25</v>
      </c>
      <c r="G6222" s="10" t="n">
        <v>254</v>
      </c>
      <c r="H6222" s="10" t="n">
        <v>12</v>
      </c>
      <c r="I6222" s="10" t="n">
        <v>111</v>
      </c>
      <c r="J6222" s="10" t="n">
        <v>0</v>
      </c>
      <c r="K6222" s="10" t="s">
        <v>20</v>
      </c>
      <c r="L6222" s="11" t="n">
        <v>40132.3864930556</v>
      </c>
      <c r="M6222" s="12"/>
      <c r="N6222" s="12"/>
      <c r="O6222" s="9" t="str">
        <f aca="false">HYPERLINK("https://pbs.twimg.com/profile_images/901442635147161601/aBEBLvGx_normal.jpg","View")</f>
        <v>View</v>
      </c>
      <c r="P6222" s="10"/>
    </row>
    <row r="6223" customFormat="false" ht="15.75" hidden="false" customHeight="false" outlineLevel="0" collapsed="false">
      <c r="A6223" s="6" t="n">
        <v>43031.054837963</v>
      </c>
      <c r="B6223" s="7" t="str">
        <f aca="false">HYPERLINK("https://twitter.com/Pelleg1Gabriell","@Pelleg1Gabriell")</f>
        <v>@Pelleg1Gabriell</v>
      </c>
      <c r="C6223" s="8" t="s">
        <v>5824</v>
      </c>
      <c r="D6223" s="8" t="s">
        <v>14106</v>
      </c>
      <c r="E6223" s="9" t="str">
        <f aca="false">HYPERLINK("https://twitter.com/Pelleg1Gabriell/status/922376792253415425","922376792253415425")</f>
        <v>922376792253415425</v>
      </c>
      <c r="F6223" s="10" t="s">
        <v>51</v>
      </c>
      <c r="G6223" s="10" t="n">
        <v>1174</v>
      </c>
      <c r="H6223" s="10" t="n">
        <v>885</v>
      </c>
      <c r="I6223" s="10" t="n">
        <v>30</v>
      </c>
      <c r="J6223" s="10" t="n">
        <v>0</v>
      </c>
      <c r="K6223" s="10" t="s">
        <v>20</v>
      </c>
      <c r="L6223" s="11" t="n">
        <v>42232.2109606482</v>
      </c>
      <c r="M6223" s="12" t="s">
        <v>5825</v>
      </c>
      <c r="N6223" s="12" t="s">
        <v>5826</v>
      </c>
      <c r="O6223" s="9" t="str">
        <f aca="false">HYPERLINK("https://pbs.twimg.com/profile_images/633634811605741569/vvvAX6UL_normal.jpg","View")</f>
        <v>View</v>
      </c>
      <c r="P6223" s="10"/>
    </row>
    <row r="6224" customFormat="false" ht="15.75" hidden="false" customHeight="false" outlineLevel="0" collapsed="false">
      <c r="A6224" s="6" t="n">
        <v>43031.0554513889</v>
      </c>
      <c r="B6224" s="7" t="str">
        <f aca="false">HYPERLINK("https://twitter.com/trlplejarchery","@trlplejarchery")</f>
        <v>@trlplejarchery</v>
      </c>
      <c r="C6224" s="8" t="s">
        <v>14249</v>
      </c>
      <c r="D6224" s="8" t="s">
        <v>14135</v>
      </c>
      <c r="E6224" s="9" t="str">
        <f aca="false">HYPERLINK("https://twitter.com/trlplejarchery/status/922377014958608384","922377014958608384")</f>
        <v>922377014958608384</v>
      </c>
      <c r="F6224" s="10" t="s">
        <v>25</v>
      </c>
      <c r="G6224" s="10" t="n">
        <v>59</v>
      </c>
      <c r="H6224" s="10" t="n">
        <v>1727</v>
      </c>
      <c r="I6224" s="10" t="n">
        <v>16</v>
      </c>
      <c r="J6224" s="10" t="n">
        <v>0</v>
      </c>
      <c r="K6224" s="10" t="s">
        <v>20</v>
      </c>
      <c r="L6224" s="11" t="n">
        <v>41742.9779050926</v>
      </c>
      <c r="M6224" s="12"/>
      <c r="N6224" s="12" t="s">
        <v>14250</v>
      </c>
      <c r="O6224" s="9" t="str">
        <f aca="false">HYPERLINK("https://pbs.twimg.com/profile_images/749781776378302464/GopqynhY_normal.jpg","View")</f>
        <v>View</v>
      </c>
      <c r="P6224" s="10"/>
    </row>
    <row r="6225" customFormat="false" ht="15.75" hidden="false" customHeight="false" outlineLevel="0" collapsed="false">
      <c r="A6225" s="6" t="n">
        <v>43031.0557407407</v>
      </c>
      <c r="B6225" s="7" t="str">
        <f aca="false">HYPERLINK("https://twitter.com/karavadiraghava","@karavadiraghava")</f>
        <v>@karavadiraghava</v>
      </c>
      <c r="C6225" s="8" t="s">
        <v>14251</v>
      </c>
      <c r="D6225" s="8" t="s">
        <v>8538</v>
      </c>
      <c r="E6225" s="9" t="str">
        <f aca="false">HYPERLINK("https://twitter.com/karavadiraghava/status/922377118293438465","922377118293438465")</f>
        <v>922377118293438465</v>
      </c>
      <c r="F6225" s="10" t="s">
        <v>39</v>
      </c>
      <c r="G6225" s="10" t="n">
        <v>361</v>
      </c>
      <c r="H6225" s="10" t="n">
        <v>168</v>
      </c>
      <c r="I6225" s="10" t="n">
        <v>1015</v>
      </c>
      <c r="J6225" s="10" t="n">
        <v>0</v>
      </c>
      <c r="K6225" s="10" t="s">
        <v>20</v>
      </c>
      <c r="L6225" s="11" t="n">
        <v>40401.2467592593</v>
      </c>
      <c r="M6225" s="12" t="s">
        <v>14252</v>
      </c>
      <c r="N6225" s="12" t="s">
        <v>14253</v>
      </c>
      <c r="O6225" s="9" t="str">
        <f aca="false">HYPERLINK("https://pbs.twimg.com/profile_images/1543933166/240781_219337104761859_100000567125721_796956_1836316_o_normal.jpg","View")</f>
        <v>View</v>
      </c>
      <c r="P6225" s="10"/>
    </row>
    <row r="6226" customFormat="false" ht="15.75" hidden="false" customHeight="false" outlineLevel="0" collapsed="false">
      <c r="A6226" s="6" t="n">
        <v>43031.0558217593</v>
      </c>
      <c r="B6226" s="7" t="str">
        <f aca="false">HYPERLINK("https://twitter.com/mubtsuki","@mubtsuki")</f>
        <v>@mubtsuki</v>
      </c>
      <c r="C6226" s="14" t="s">
        <v>14254</v>
      </c>
      <c r="D6226" s="8" t="s">
        <v>14255</v>
      </c>
      <c r="E6226" s="9" t="str">
        <f aca="false">HYPERLINK("https://twitter.com/mubtsuki/status/922377147125194753","922377147125194753")</f>
        <v>922377147125194753</v>
      </c>
      <c r="F6226" s="10" t="s">
        <v>177</v>
      </c>
      <c r="G6226" s="10" t="n">
        <v>410</v>
      </c>
      <c r="H6226" s="10" t="n">
        <v>131</v>
      </c>
      <c r="I6226" s="10" t="n">
        <v>0</v>
      </c>
      <c r="J6226" s="10" t="n">
        <v>0</v>
      </c>
      <c r="K6226" s="10" t="s">
        <v>20</v>
      </c>
      <c r="L6226" s="11" t="n">
        <v>41478.1536689815</v>
      </c>
      <c r="M6226" s="13" t="s">
        <v>14256</v>
      </c>
      <c r="N6226" s="13" t="s">
        <v>14257</v>
      </c>
      <c r="O6226" s="9" t="str">
        <f aca="false">HYPERLINK("https://pbs.twimg.com/profile_images/922836816394207232/TuxePxQo_normal.jpg","View")</f>
        <v>View</v>
      </c>
      <c r="P6226" s="10"/>
    </row>
    <row r="6227" customFormat="false" ht="15.75" hidden="false" customHeight="false" outlineLevel="0" collapsed="false">
      <c r="A6227" s="6" t="n">
        <v>43031.0560300926</v>
      </c>
      <c r="B6227" s="7" t="str">
        <f aca="false">HYPERLINK("https://twitter.com/CoiettePappas","@CoiettePappas")</f>
        <v>@CoiettePappas</v>
      </c>
      <c r="C6227" s="8" t="s">
        <v>14258</v>
      </c>
      <c r="D6227" s="8" t="s">
        <v>14135</v>
      </c>
      <c r="E6227" s="9" t="str">
        <f aca="false">HYPERLINK("https://twitter.com/CoiettePappas/status/922377224778604544","922377224778604544")</f>
        <v>922377224778604544</v>
      </c>
      <c r="F6227" s="10" t="s">
        <v>25</v>
      </c>
      <c r="G6227" s="10" t="n">
        <v>48</v>
      </c>
      <c r="H6227" s="10" t="n">
        <v>1670</v>
      </c>
      <c r="I6227" s="10" t="n">
        <v>16</v>
      </c>
      <c r="J6227" s="10" t="n">
        <v>0</v>
      </c>
      <c r="K6227" s="10" t="s">
        <v>20</v>
      </c>
      <c r="L6227" s="11" t="n">
        <v>41080.4528356482</v>
      </c>
      <c r="M6227" s="12" t="s">
        <v>14259</v>
      </c>
      <c r="N6227" s="12"/>
      <c r="O6227" s="9" t="str">
        <f aca="false">HYPERLINK("https://pbs.twimg.com/profile_images/764410165416304641/lcoaUkfD_normal.jpg","View")</f>
        <v>View</v>
      </c>
      <c r="P6227" s="10"/>
    </row>
    <row r="6228" customFormat="false" ht="15.75" hidden="false" customHeight="false" outlineLevel="0" collapsed="false">
      <c r="A6228" s="6" t="n">
        <v>43031.0565740741</v>
      </c>
      <c r="B6228" s="7" t="str">
        <f aca="false">HYPERLINK("https://twitter.com/baumann_my","@baumann_my")</f>
        <v>@baumann_my</v>
      </c>
      <c r="C6228" s="8" t="s">
        <v>14260</v>
      </c>
      <c r="D6228" s="8" t="s">
        <v>12764</v>
      </c>
      <c r="E6228" s="9" t="str">
        <f aca="false">HYPERLINK("https://twitter.com/baumann_my/status/922377420057055234","922377420057055234")</f>
        <v>922377420057055234</v>
      </c>
      <c r="F6228" s="10" t="s">
        <v>25</v>
      </c>
      <c r="G6228" s="10" t="n">
        <v>820</v>
      </c>
      <c r="H6228" s="10" t="n">
        <v>476</v>
      </c>
      <c r="I6228" s="10" t="n">
        <v>170</v>
      </c>
      <c r="J6228" s="10" t="n">
        <v>0</v>
      </c>
      <c r="K6228" s="10" t="s">
        <v>20</v>
      </c>
      <c r="L6228" s="11" t="n">
        <v>42951.2348726852</v>
      </c>
      <c r="M6228" s="12" t="s">
        <v>230</v>
      </c>
      <c r="N6228" s="12" t="s">
        <v>14261</v>
      </c>
      <c r="O6228" s="9" t="str">
        <f aca="false">HYPERLINK("https://pbs.twimg.com/profile_images/899402845312745473/iKLikl_R_normal.jpg","View")</f>
        <v>View</v>
      </c>
      <c r="P6228" s="10"/>
    </row>
    <row r="6229" customFormat="false" ht="15.75" hidden="false" customHeight="false" outlineLevel="0" collapsed="false">
      <c r="A6229" s="6" t="n">
        <v>43031.0574305556</v>
      </c>
      <c r="B6229" s="7" t="str">
        <f aca="false">HYPERLINK("https://twitter.com/wine_dork","@wine_dork")</f>
        <v>@wine_dork</v>
      </c>
      <c r="C6229" s="8" t="s">
        <v>14241</v>
      </c>
      <c r="D6229" s="8" t="s">
        <v>13595</v>
      </c>
      <c r="E6229" s="9" t="str">
        <f aca="false">HYPERLINK("https://twitter.com/wine_dork/status/922377730364264448","922377730364264448")</f>
        <v>922377730364264448</v>
      </c>
      <c r="F6229" s="10" t="s">
        <v>51</v>
      </c>
      <c r="G6229" s="10" t="n">
        <v>254</v>
      </c>
      <c r="H6229" s="10" t="n">
        <v>166</v>
      </c>
      <c r="I6229" s="10" t="n">
        <v>88</v>
      </c>
      <c r="J6229" s="10" t="n">
        <v>0</v>
      </c>
      <c r="K6229" s="10" t="s">
        <v>20</v>
      </c>
      <c r="L6229" s="11" t="n">
        <v>42936.8085532407</v>
      </c>
      <c r="M6229" s="12" t="s">
        <v>14242</v>
      </c>
      <c r="N6229" s="12"/>
      <c r="O6229" s="9" t="str">
        <f aca="false">HYPERLINK("https://pbs.twimg.com/profile_images/888386357579714561/u7_uq1oD_normal.jpg","View")</f>
        <v>View</v>
      </c>
      <c r="P6229" s="10"/>
    </row>
    <row r="6230" customFormat="false" ht="15.75" hidden="false" customHeight="false" outlineLevel="0" collapsed="false">
      <c r="A6230" s="6" t="n">
        <v>43031.0575578704</v>
      </c>
      <c r="B6230" s="7" t="str">
        <f aca="false">HYPERLINK("https://twitter.com/SitatiWasilwa","@SitatiWasilwa")</f>
        <v>@SitatiWasilwa</v>
      </c>
      <c r="C6230" s="8" t="s">
        <v>14262</v>
      </c>
      <c r="D6230" s="8" t="s">
        <v>13114</v>
      </c>
      <c r="E6230" s="9" t="str">
        <f aca="false">HYPERLINK("https://twitter.com/SitatiWasilwa/status/922377777004851200","922377777004851200")</f>
        <v>922377777004851200</v>
      </c>
      <c r="F6230" s="10" t="s">
        <v>25</v>
      </c>
      <c r="G6230" s="10" t="n">
        <v>700</v>
      </c>
      <c r="H6230" s="10" t="n">
        <v>575</v>
      </c>
      <c r="I6230" s="10" t="n">
        <v>19</v>
      </c>
      <c r="J6230" s="10" t="n">
        <v>0</v>
      </c>
      <c r="K6230" s="10" t="s">
        <v>20</v>
      </c>
      <c r="L6230" s="11" t="n">
        <v>41453.8619328704</v>
      </c>
      <c r="M6230" s="12" t="s">
        <v>1028</v>
      </c>
      <c r="N6230" s="12" t="s">
        <v>14263</v>
      </c>
      <c r="O6230" s="9" t="str">
        <f aca="false">HYPERLINK("https://pbs.twimg.com/profile_images/910850885676347392/wSGbZX_g_normal.jpg","View")</f>
        <v>View</v>
      </c>
      <c r="P6230" s="10"/>
    </row>
    <row r="6231" customFormat="false" ht="15.75" hidden="false" customHeight="false" outlineLevel="0" collapsed="false">
      <c r="A6231" s="6" t="n">
        <v>43031.0577083333</v>
      </c>
      <c r="B6231" s="7" t="str">
        <f aca="false">HYPERLINK("https://twitter.com/BeingGARIFUNA","@BeingGARIFUNA")</f>
        <v>@BeingGARIFUNA</v>
      </c>
      <c r="C6231" s="8" t="s">
        <v>14264</v>
      </c>
      <c r="D6231" s="8" t="s">
        <v>14265</v>
      </c>
      <c r="E6231" s="9" t="str">
        <f aca="false">HYPERLINK("https://twitter.com/BeingGARIFUNA/status/922377832730382337","922377832730382337")</f>
        <v>922377832730382337</v>
      </c>
      <c r="F6231" s="10" t="s">
        <v>39</v>
      </c>
      <c r="G6231" s="10" t="n">
        <v>1365</v>
      </c>
      <c r="H6231" s="10" t="n">
        <v>2163</v>
      </c>
      <c r="I6231" s="10" t="n">
        <v>1</v>
      </c>
      <c r="J6231" s="10" t="n">
        <v>0</v>
      </c>
      <c r="K6231" s="10" t="s">
        <v>20</v>
      </c>
      <c r="L6231" s="11" t="n">
        <v>40298.1528472222</v>
      </c>
      <c r="M6231" s="12" t="s">
        <v>697</v>
      </c>
      <c r="N6231" s="12" t="s">
        <v>14266</v>
      </c>
      <c r="O6231" s="9" t="str">
        <f aca="false">HYPERLINK("https://pbs.twimg.com/profile_images/432505122506027008/mTTw95uI_normal.jpeg","View")</f>
        <v>View</v>
      </c>
      <c r="P6231" s="10"/>
    </row>
    <row r="6232" customFormat="false" ht="15.75" hidden="false" customHeight="false" outlineLevel="0" collapsed="false">
      <c r="A6232" s="6" t="n">
        <v>43031.0578356482</v>
      </c>
      <c r="B6232" s="7" t="str">
        <f aca="false">HYPERLINK("https://twitter.com/NLakshey","@NLakshey")</f>
        <v>@NLakshey</v>
      </c>
      <c r="C6232" s="8" t="s">
        <v>14267</v>
      </c>
      <c r="D6232" s="8" t="s">
        <v>12493</v>
      </c>
      <c r="E6232" s="9" t="str">
        <f aca="false">HYPERLINK("https://twitter.com/NLakshey/status/922377875277283329","922377875277283329")</f>
        <v>922377875277283329</v>
      </c>
      <c r="F6232" s="10" t="s">
        <v>25</v>
      </c>
      <c r="G6232" s="10" t="n">
        <v>312</v>
      </c>
      <c r="H6232" s="10" t="n">
        <v>1032</v>
      </c>
      <c r="I6232" s="10" t="n">
        <v>63</v>
      </c>
      <c r="J6232" s="10" t="n">
        <v>0</v>
      </c>
      <c r="K6232" s="10" t="s">
        <v>20</v>
      </c>
      <c r="L6232" s="11" t="n">
        <v>41658.9728935185</v>
      </c>
      <c r="M6232" s="12" t="s">
        <v>8737</v>
      </c>
      <c r="N6232" s="12" t="s">
        <v>14268</v>
      </c>
      <c r="O6232" s="9" t="str">
        <f aca="false">HYPERLINK("https://pbs.twimg.com/profile_images/911173726997143552/5HzTBWrG_normal.jpg","View")</f>
        <v>View</v>
      </c>
      <c r="P6232" s="10"/>
    </row>
    <row r="6233" customFormat="false" ht="15.75" hidden="false" customHeight="false" outlineLevel="0" collapsed="false">
      <c r="A6233" s="6" t="n">
        <v>43031.0582986111</v>
      </c>
      <c r="B6233" s="7" t="str">
        <f aca="false">HYPERLINK("https://twitter.com/bldiplomatic","@bldiplomatic")</f>
        <v>@bldiplomatic</v>
      </c>
      <c r="C6233" s="8" t="s">
        <v>14269</v>
      </c>
      <c r="D6233" s="8" t="s">
        <v>14270</v>
      </c>
      <c r="E6233" s="9" t="str">
        <f aca="false">HYPERLINK("https://twitter.com/bldiplomatic/status/922378045071286272","922378045071286272")</f>
        <v>922378045071286272</v>
      </c>
      <c r="F6233" s="10" t="s">
        <v>47</v>
      </c>
      <c r="G6233" s="10" t="n">
        <v>1007</v>
      </c>
      <c r="H6233" s="10" t="n">
        <v>1957</v>
      </c>
      <c r="I6233" s="10" t="n">
        <v>0</v>
      </c>
      <c r="J6233" s="10" t="n">
        <v>0</v>
      </c>
      <c r="K6233" s="10" t="s">
        <v>20</v>
      </c>
      <c r="L6233" s="11" t="n">
        <v>41298.1917824074</v>
      </c>
      <c r="M6233" s="12" t="s">
        <v>14271</v>
      </c>
      <c r="N6233" s="12" t="s">
        <v>14272</v>
      </c>
      <c r="O6233" s="9" t="str">
        <f aca="false">HYPERLINK("https://pbs.twimg.com/profile_images/435119090928062464/k-zePIii_normal.png","View")</f>
        <v>View</v>
      </c>
      <c r="P6233" s="10"/>
    </row>
    <row r="6234" customFormat="false" ht="15.75" hidden="false" customHeight="false" outlineLevel="0" collapsed="false">
      <c r="A6234" s="6" t="n">
        <v>43031.0583564815</v>
      </c>
      <c r="B6234" s="7" t="str">
        <f aca="false">HYPERLINK("https://twitter.com/MauthausenGusen","@MauthausenGusen")</f>
        <v>@MauthausenGusen</v>
      </c>
      <c r="C6234" s="8" t="s">
        <v>14273</v>
      </c>
      <c r="D6234" s="8" t="s">
        <v>14274</v>
      </c>
      <c r="E6234" s="9" t="str">
        <f aca="false">HYPERLINK("https://twitter.com/MauthausenGusen/status/922378064650276864","922378064650276864")</f>
        <v>922378064650276864</v>
      </c>
      <c r="F6234" s="10" t="s">
        <v>14275</v>
      </c>
      <c r="G6234" s="10" t="n">
        <v>923</v>
      </c>
      <c r="H6234" s="10" t="n">
        <v>18</v>
      </c>
      <c r="I6234" s="10" t="n">
        <v>0</v>
      </c>
      <c r="J6234" s="10" t="n">
        <v>0</v>
      </c>
      <c r="K6234" s="10" t="s">
        <v>20</v>
      </c>
      <c r="L6234" s="11" t="n">
        <v>40913.5275347222</v>
      </c>
      <c r="M6234" s="12"/>
      <c r="N6234" s="12" t="s">
        <v>14276</v>
      </c>
      <c r="O6234" s="9" t="str">
        <f aca="false">HYPERLINK("https://pbs.twimg.com/profile_images/891290260767899649/WPLMRTDm_normal.jpg","View")</f>
        <v>View</v>
      </c>
      <c r="P6234" s="10"/>
    </row>
    <row r="6235" customFormat="false" ht="15.75" hidden="false" customHeight="false" outlineLevel="0" collapsed="false">
      <c r="A6235" s="6" t="n">
        <v>43031.0584027778</v>
      </c>
      <c r="B6235" s="7" t="str">
        <f aca="false">HYPERLINK("https://twitter.com/uttarakejriwal","@uttarakejriwal")</f>
        <v>@uttarakejriwal</v>
      </c>
      <c r="C6235" s="8" t="s">
        <v>14277</v>
      </c>
      <c r="D6235" s="8" t="s">
        <v>8538</v>
      </c>
      <c r="E6235" s="9" t="str">
        <f aca="false">HYPERLINK("https://twitter.com/uttarakejriwal/status/922378084434583552","922378084434583552")</f>
        <v>922378084434583552</v>
      </c>
      <c r="F6235" s="10" t="s">
        <v>25</v>
      </c>
      <c r="G6235" s="10" t="n">
        <v>11644</v>
      </c>
      <c r="H6235" s="10" t="n">
        <v>2359</v>
      </c>
      <c r="I6235" s="10" t="n">
        <v>1015</v>
      </c>
      <c r="J6235" s="10" t="n">
        <v>0</v>
      </c>
      <c r="K6235" s="10" t="s">
        <v>20</v>
      </c>
      <c r="L6235" s="11" t="n">
        <v>40291.258599537</v>
      </c>
      <c r="M6235" s="12" t="s">
        <v>2340</v>
      </c>
      <c r="N6235" s="12" t="s">
        <v>14278</v>
      </c>
      <c r="O6235" s="9" t="str">
        <f aca="false">HYPERLINK("https://pbs.twimg.com/profile_images/906544010314919936/98zg-dEs_normal.jpg","View")</f>
        <v>View</v>
      </c>
      <c r="P6235" s="10"/>
    </row>
    <row r="6236" customFormat="false" ht="15.75" hidden="false" customHeight="false" outlineLevel="0" collapsed="false">
      <c r="A6236" s="6" t="n">
        <v>43031.0584259259</v>
      </c>
      <c r="B6236" s="7" t="str">
        <f aca="false">HYPERLINK("https://twitter.com/akraghawan","@akraghawan")</f>
        <v>@akraghawan</v>
      </c>
      <c r="C6236" s="8" t="s">
        <v>14279</v>
      </c>
      <c r="D6236" s="8" t="s">
        <v>8538</v>
      </c>
      <c r="E6236" s="9" t="str">
        <f aca="false">HYPERLINK("https://twitter.com/akraghawan/status/922378089794912256","922378089794912256")</f>
        <v>922378089794912256</v>
      </c>
      <c r="F6236" s="10" t="s">
        <v>39</v>
      </c>
      <c r="G6236" s="10" t="n">
        <v>140</v>
      </c>
      <c r="H6236" s="10" t="n">
        <v>370</v>
      </c>
      <c r="I6236" s="10" t="n">
        <v>1015</v>
      </c>
      <c r="J6236" s="10" t="n">
        <v>0</v>
      </c>
      <c r="K6236" s="10" t="s">
        <v>20</v>
      </c>
      <c r="L6236" s="11" t="n">
        <v>41650.2680092593</v>
      </c>
      <c r="M6236" s="12" t="s">
        <v>11124</v>
      </c>
      <c r="N6236" s="12" t="s">
        <v>14280</v>
      </c>
      <c r="O6236" s="9" t="str">
        <f aca="false">HYPERLINK("https://pbs.twimg.com/profile_images/603649097162096640/vcOTROBl_normal.jpg","View")</f>
        <v>View</v>
      </c>
      <c r="P6236" s="10"/>
    </row>
    <row r="6237" customFormat="false" ht="15.75" hidden="false" customHeight="false" outlineLevel="0" collapsed="false">
      <c r="A6237" s="6" t="n">
        <v>43031.0585185185</v>
      </c>
      <c r="B6237" s="7" t="str">
        <f aca="false">HYPERLINK("https://twitter.com/noderakouji","@noderakouji")</f>
        <v>@noderakouji</v>
      </c>
      <c r="C6237" s="14" t="s">
        <v>14281</v>
      </c>
      <c r="D6237" s="8" t="s">
        <v>13954</v>
      </c>
      <c r="E6237" s="9" t="str">
        <f aca="false">HYPERLINK("https://twitter.com/noderakouji/status/922378126050566144","922378126050566144")</f>
        <v>922378126050566144</v>
      </c>
      <c r="F6237" s="10" t="s">
        <v>51</v>
      </c>
      <c r="G6237" s="10" t="n">
        <v>11</v>
      </c>
      <c r="H6237" s="10" t="n">
        <v>49</v>
      </c>
      <c r="I6237" s="10" t="n">
        <v>9</v>
      </c>
      <c r="J6237" s="10" t="n">
        <v>0</v>
      </c>
      <c r="K6237" s="10" t="s">
        <v>20</v>
      </c>
      <c r="L6237" s="11" t="n">
        <v>41751.8858217593</v>
      </c>
      <c r="M6237" s="13" t="s">
        <v>14282</v>
      </c>
      <c r="N6237" s="13" t="s">
        <v>14283</v>
      </c>
      <c r="O6237" s="9" t="str">
        <f aca="false">HYPERLINK("https://pbs.twimg.com/profile_images/762713179658911746/tYD14oXE_normal.jpg","View")</f>
        <v>View</v>
      </c>
      <c r="P6237" s="10"/>
    </row>
    <row r="6238" customFormat="false" ht="15.75" hidden="false" customHeight="false" outlineLevel="0" collapsed="false">
      <c r="A6238" s="6" t="n">
        <v>43031.0585763889</v>
      </c>
      <c r="B6238" s="7" t="str">
        <f aca="false">HYPERLINK("https://twitter.com/StutiSaxenaOGD","@StutiSaxenaOGD")</f>
        <v>@StutiSaxenaOGD</v>
      </c>
      <c r="C6238" s="8" t="s">
        <v>14284</v>
      </c>
      <c r="D6238" s="8" t="s">
        <v>14106</v>
      </c>
      <c r="E6238" s="9" t="str">
        <f aca="false">HYPERLINK("https://twitter.com/StutiSaxenaOGD/status/922378145344274432","922378145344274432")</f>
        <v>922378145344274432</v>
      </c>
      <c r="F6238" s="10" t="s">
        <v>39</v>
      </c>
      <c r="G6238" s="10" t="n">
        <v>90</v>
      </c>
      <c r="H6238" s="10" t="n">
        <v>20</v>
      </c>
      <c r="I6238" s="10" t="n">
        <v>30</v>
      </c>
      <c r="J6238" s="10" t="n">
        <v>0</v>
      </c>
      <c r="K6238" s="10" t="s">
        <v>20</v>
      </c>
      <c r="L6238" s="11" t="n">
        <v>42824.364837963</v>
      </c>
      <c r="M6238" s="12"/>
      <c r="N6238" s="12" t="s">
        <v>14285</v>
      </c>
      <c r="O6238" s="9" t="str">
        <f aca="false">HYPERLINK("https://pbs.twimg.com/profile_images/876354493939564546/_TglxQRF_normal.jpg","View")</f>
        <v>View</v>
      </c>
      <c r="P6238" s="10"/>
    </row>
    <row r="6239" customFormat="false" ht="15.75" hidden="false" customHeight="false" outlineLevel="0" collapsed="false">
      <c r="A6239" s="6" t="n">
        <v>43031.0588310185</v>
      </c>
      <c r="B6239" s="7" t="str">
        <f aca="false">HYPERLINK("https://twitter.com/ravikanth_94","@ravikanth_94")</f>
        <v>@ravikanth_94</v>
      </c>
      <c r="C6239" s="8" t="s">
        <v>14286</v>
      </c>
      <c r="D6239" s="8" t="s">
        <v>8538</v>
      </c>
      <c r="E6239" s="9" t="str">
        <f aca="false">HYPERLINK("https://twitter.com/ravikanth_94/status/922378236625018881","922378236625018881")</f>
        <v>922378236625018881</v>
      </c>
      <c r="F6239" s="10" t="s">
        <v>25</v>
      </c>
      <c r="G6239" s="10" t="n">
        <v>2</v>
      </c>
      <c r="H6239" s="10" t="n">
        <v>12</v>
      </c>
      <c r="I6239" s="10" t="n">
        <v>1015</v>
      </c>
      <c r="J6239" s="10" t="n">
        <v>0</v>
      </c>
      <c r="K6239" s="10" t="s">
        <v>20</v>
      </c>
      <c r="L6239" s="11" t="n">
        <v>41706.4847106481</v>
      </c>
      <c r="M6239" s="12"/>
      <c r="N6239" s="12"/>
      <c r="O6239" s="9" t="str">
        <f aca="false">HYPERLINK("https://pbs.twimg.com/profile_images/460050757304074243/0by8-LfM_normal.jpeg","View")</f>
        <v>View</v>
      </c>
      <c r="P6239" s="10"/>
    </row>
    <row r="6240" customFormat="false" ht="15.75" hidden="false" customHeight="false" outlineLevel="0" collapsed="false">
      <c r="A6240" s="6" t="n">
        <v>43031.0589351852</v>
      </c>
      <c r="B6240" s="7" t="str">
        <f aca="false">HYPERLINK("https://twitter.com/Tretayug","@Tretayug")</f>
        <v>@Tretayug</v>
      </c>
      <c r="C6240" s="8" t="s">
        <v>6677</v>
      </c>
      <c r="D6240" s="8" t="s">
        <v>8538</v>
      </c>
      <c r="E6240" s="9" t="str">
        <f aca="false">HYPERLINK("https://twitter.com/Tretayug/status/922378274667237377","922378274667237377")</f>
        <v>922378274667237377</v>
      </c>
      <c r="F6240" s="10" t="s">
        <v>39</v>
      </c>
      <c r="G6240" s="10" t="n">
        <v>420</v>
      </c>
      <c r="H6240" s="10" t="n">
        <v>1471</v>
      </c>
      <c r="I6240" s="10" t="n">
        <v>1015</v>
      </c>
      <c r="J6240" s="10" t="n">
        <v>0</v>
      </c>
      <c r="K6240" s="10" t="s">
        <v>20</v>
      </c>
      <c r="L6240" s="11" t="n">
        <v>42013.1465625</v>
      </c>
      <c r="M6240" s="12" t="s">
        <v>72</v>
      </c>
      <c r="N6240" s="12" t="s">
        <v>6679</v>
      </c>
      <c r="O6240" s="9" t="str">
        <f aca="false">HYPERLINK("https://pbs.twimg.com/profile_images/921976959390928896/YbOouC6v_normal.jpg","View")</f>
        <v>View</v>
      </c>
      <c r="P6240" s="10"/>
    </row>
    <row r="6241" customFormat="false" ht="15.75" hidden="false" customHeight="false" outlineLevel="0" collapsed="false">
      <c r="A6241" s="6" t="n">
        <v>43031.0598958333</v>
      </c>
      <c r="B6241" s="7" t="str">
        <f aca="false">HYPERLINK("https://twitter.com/sena_narayani","@sena_narayani")</f>
        <v>@sena_narayani</v>
      </c>
      <c r="C6241" s="8" t="s">
        <v>14287</v>
      </c>
      <c r="D6241" s="8" t="s">
        <v>14150</v>
      </c>
      <c r="E6241" s="9" t="str">
        <f aca="false">HYPERLINK("https://twitter.com/sena_narayani/status/922378624212152320","922378624212152320")</f>
        <v>922378624212152320</v>
      </c>
      <c r="F6241" s="10" t="s">
        <v>25</v>
      </c>
      <c r="G6241" s="10" t="n">
        <v>1305</v>
      </c>
      <c r="H6241" s="10" t="n">
        <v>4983</v>
      </c>
      <c r="I6241" s="10" t="n">
        <v>8</v>
      </c>
      <c r="J6241" s="10" t="n">
        <v>0</v>
      </c>
      <c r="K6241" s="10" t="s">
        <v>20</v>
      </c>
      <c r="L6241" s="11" t="n">
        <v>42650.5667361111</v>
      </c>
      <c r="M6241" s="12" t="s">
        <v>14288</v>
      </c>
      <c r="N6241" s="12" t="s">
        <v>14289</v>
      </c>
      <c r="O6241" s="9" t="str">
        <f aca="false">HYPERLINK("https://pbs.twimg.com/profile_images/916611083107844096/y-BpOQ_q_normal.jpg","View")</f>
        <v>View</v>
      </c>
      <c r="P6241" s="10"/>
    </row>
    <row r="6242" customFormat="false" ht="15.75" hidden="false" customHeight="false" outlineLevel="0" collapsed="false">
      <c r="A6242" s="6" t="n">
        <v>43031.0600462963</v>
      </c>
      <c r="B6242" s="7" t="str">
        <f aca="false">HYPERLINK("https://twitter.com/yazy7788","@yazy7788")</f>
        <v>@yazy7788</v>
      </c>
      <c r="C6242" s="8" t="s">
        <v>14290</v>
      </c>
      <c r="D6242" s="8" t="s">
        <v>14135</v>
      </c>
      <c r="E6242" s="9" t="str">
        <f aca="false">HYPERLINK("https://twitter.com/yazy7788/status/922378678385958913","922378678385958913")</f>
        <v>922378678385958913</v>
      </c>
      <c r="F6242" s="10" t="s">
        <v>25</v>
      </c>
      <c r="G6242" s="10" t="n">
        <v>46</v>
      </c>
      <c r="H6242" s="10" t="n">
        <v>1615</v>
      </c>
      <c r="I6242" s="10" t="n">
        <v>16</v>
      </c>
      <c r="J6242" s="10" t="n">
        <v>0</v>
      </c>
      <c r="K6242" s="10" t="s">
        <v>20</v>
      </c>
      <c r="L6242" s="11" t="n">
        <v>41745.9655787037</v>
      </c>
      <c r="M6242" s="12"/>
      <c r="N6242" s="12" t="s">
        <v>14291</v>
      </c>
      <c r="O6242" s="9" t="str">
        <f aca="false">HYPERLINK("https://pbs.twimg.com/profile_images/749734607105454080/iEAFXpw1_normal.jpg","View")</f>
        <v>View</v>
      </c>
      <c r="P6242" s="10"/>
    </row>
    <row r="6243" customFormat="false" ht="15.75" hidden="false" customHeight="false" outlineLevel="0" collapsed="false">
      <c r="A6243" s="6" t="n">
        <v>43031.0601157407</v>
      </c>
      <c r="B6243" s="7" t="str">
        <f aca="false">HYPERLINK("https://twitter.com/PJKot","@PJKot")</f>
        <v>@PJKot</v>
      </c>
      <c r="C6243" s="8" t="s">
        <v>14292</v>
      </c>
      <c r="D6243" s="8" t="s">
        <v>14293</v>
      </c>
      <c r="E6243" s="9" t="str">
        <f aca="false">HYPERLINK("https://twitter.com/PJKot/status/922378703136423936","922378703136423936")</f>
        <v>922378703136423936</v>
      </c>
      <c r="F6243" s="10" t="s">
        <v>39</v>
      </c>
      <c r="G6243" s="10" t="n">
        <v>1243</v>
      </c>
      <c r="H6243" s="10" t="n">
        <v>1870</v>
      </c>
      <c r="I6243" s="10" t="n">
        <v>0</v>
      </c>
      <c r="J6243" s="10" t="n">
        <v>0</v>
      </c>
      <c r="K6243" s="10" t="s">
        <v>20</v>
      </c>
      <c r="L6243" s="11" t="n">
        <v>39944.7938773148</v>
      </c>
      <c r="M6243" s="12" t="s">
        <v>574</v>
      </c>
      <c r="N6243" s="12" t="s">
        <v>14294</v>
      </c>
      <c r="O6243" s="9" t="str">
        <f aca="false">HYPERLINK("https://pbs.twimg.com/profile_images/639322888395358208/JDw9_I1Y_normal.jpg","View")</f>
        <v>View</v>
      </c>
      <c r="P6243" s="10"/>
    </row>
    <row r="6244" customFormat="false" ht="15.75" hidden="false" customHeight="false" outlineLevel="0" collapsed="false">
      <c r="A6244" s="6" t="n">
        <v>43031.0603125</v>
      </c>
      <c r="B6244" s="7" t="str">
        <f aca="false">HYPERLINK("https://twitter.com/tamamokari","@tamamokari")</f>
        <v>@tamamokari</v>
      </c>
      <c r="C6244" s="14" t="s">
        <v>14295</v>
      </c>
      <c r="D6244" s="8" t="s">
        <v>14296</v>
      </c>
      <c r="E6244" s="9" t="str">
        <f aca="false">HYPERLINK("https://twitter.com/tamamokari/status/922378772761808896","922378772761808896")</f>
        <v>922378772761808896</v>
      </c>
      <c r="F6244" s="10" t="s">
        <v>25</v>
      </c>
      <c r="G6244" s="10" t="n">
        <v>124</v>
      </c>
      <c r="H6244" s="10" t="n">
        <v>1165</v>
      </c>
      <c r="I6244" s="10" t="n">
        <v>3</v>
      </c>
      <c r="J6244" s="10" t="n">
        <v>0</v>
      </c>
      <c r="K6244" s="10" t="s">
        <v>20</v>
      </c>
      <c r="L6244" s="11" t="n">
        <v>42566.2902083333</v>
      </c>
      <c r="M6244" s="12"/>
      <c r="N6244" s="13" t="s">
        <v>14297</v>
      </c>
      <c r="O6244" s="9" t="str">
        <f aca="false">HYPERLINK("https://abs.twimg.com/sticky/default_profile_images/default_profile_normal.png","View")</f>
        <v>View</v>
      </c>
      <c r="P6244" s="10"/>
    </row>
    <row r="6245" customFormat="false" ht="15.75" hidden="false" customHeight="false" outlineLevel="0" collapsed="false">
      <c r="A6245" s="6" t="n">
        <v>43031.0608101852</v>
      </c>
      <c r="B6245" s="7" t="str">
        <f aca="false">HYPERLINK("https://twitter.com/michellemonlcx","@michellemonlcx")</f>
        <v>@michellemonlcx</v>
      </c>
      <c r="C6245" s="8" t="s">
        <v>14298</v>
      </c>
      <c r="D6245" s="8" t="s">
        <v>14135</v>
      </c>
      <c r="E6245" s="9" t="str">
        <f aca="false">HYPERLINK("https://twitter.com/michellemonlcx/status/922378957063966722","922378957063966722")</f>
        <v>922378957063966722</v>
      </c>
      <c r="F6245" s="10" t="s">
        <v>25</v>
      </c>
      <c r="G6245" s="10" t="n">
        <v>49</v>
      </c>
      <c r="H6245" s="10" t="n">
        <v>1764</v>
      </c>
      <c r="I6245" s="10" t="n">
        <v>16</v>
      </c>
      <c r="J6245" s="10" t="n">
        <v>0</v>
      </c>
      <c r="K6245" s="10" t="s">
        <v>20</v>
      </c>
      <c r="L6245" s="11" t="n">
        <v>41080.2637847222</v>
      </c>
      <c r="M6245" s="12" t="s">
        <v>1371</v>
      </c>
      <c r="N6245" s="12" t="s">
        <v>14299</v>
      </c>
      <c r="O6245" s="9" t="str">
        <f aca="false">HYPERLINK("https://pbs.twimg.com/profile_images/764409565672800258/wIaM4x1z_normal.jpg","View")</f>
        <v>View</v>
      </c>
      <c r="P6245" s="10"/>
    </row>
    <row r="6246" customFormat="false" ht="15.75" hidden="false" customHeight="false" outlineLevel="0" collapsed="false">
      <c r="A6246" s="6" t="n">
        <v>43031.0608564815</v>
      </c>
      <c r="B6246" s="7" t="str">
        <f aca="false">HYPERLINK("https://twitter.com/mel_med_larson","@mel_med_larson")</f>
        <v>@mel_med_larson</v>
      </c>
      <c r="C6246" s="8" t="s">
        <v>14300</v>
      </c>
      <c r="D6246" s="8" t="s">
        <v>14106</v>
      </c>
      <c r="E6246" s="9" t="str">
        <f aca="false">HYPERLINK("https://twitter.com/mel_med_larson/status/922378973077676032","922378973077676032")</f>
        <v>922378973077676032</v>
      </c>
      <c r="F6246" s="10" t="s">
        <v>51</v>
      </c>
      <c r="G6246" s="10" t="n">
        <v>175</v>
      </c>
      <c r="H6246" s="10" t="n">
        <v>404</v>
      </c>
      <c r="I6246" s="10" t="n">
        <v>30</v>
      </c>
      <c r="J6246" s="10" t="n">
        <v>0</v>
      </c>
      <c r="K6246" s="10" t="s">
        <v>20</v>
      </c>
      <c r="L6246" s="11" t="n">
        <v>41927.9106018519</v>
      </c>
      <c r="M6246" s="12" t="s">
        <v>14301</v>
      </c>
      <c r="N6246" s="12" t="s">
        <v>14302</v>
      </c>
      <c r="O6246" s="9" t="str">
        <f aca="false">HYPERLINK("https://pbs.twimg.com/profile_images/901332781396930560/DT1i3E2J_normal.jpg","View")</f>
        <v>View</v>
      </c>
      <c r="P6246" s="10"/>
    </row>
    <row r="6247" customFormat="false" ht="15.75" hidden="false" customHeight="false" outlineLevel="0" collapsed="false">
      <c r="A6247" s="6" t="n">
        <v>43031.0612268519</v>
      </c>
      <c r="B6247" s="7" t="str">
        <f aca="false">HYPERLINK("https://twitter.com/mubtsuki","@mubtsuki")</f>
        <v>@mubtsuki</v>
      </c>
      <c r="C6247" s="14" t="s">
        <v>14254</v>
      </c>
      <c r="D6247" s="8" t="s">
        <v>14303</v>
      </c>
      <c r="E6247" s="9" t="str">
        <f aca="false">HYPERLINK("https://twitter.com/mubtsuki/status/922379104724254720","922379104724254720")</f>
        <v>922379104724254720</v>
      </c>
      <c r="F6247" s="10" t="s">
        <v>177</v>
      </c>
      <c r="G6247" s="10" t="n">
        <v>410</v>
      </c>
      <c r="H6247" s="10" t="n">
        <v>131</v>
      </c>
      <c r="I6247" s="10" t="n">
        <v>0</v>
      </c>
      <c r="J6247" s="10" t="n">
        <v>0</v>
      </c>
      <c r="K6247" s="10" t="s">
        <v>20</v>
      </c>
      <c r="L6247" s="11" t="n">
        <v>41478.1536689815</v>
      </c>
      <c r="M6247" s="13" t="s">
        <v>14256</v>
      </c>
      <c r="N6247" s="13" t="s">
        <v>14257</v>
      </c>
      <c r="O6247" s="9" t="str">
        <f aca="false">HYPERLINK("https://pbs.twimg.com/profile_images/922836816394207232/TuxePxQo_normal.jpg","View")</f>
        <v>View</v>
      </c>
      <c r="P6247" s="10"/>
    </row>
    <row r="6248" customFormat="false" ht="15.75" hidden="false" customHeight="false" outlineLevel="0" collapsed="false">
      <c r="A6248" s="6" t="n">
        <v>43031.061400463</v>
      </c>
      <c r="B6248" s="7" t="str">
        <f aca="false">HYPERLINK("https://twitter.com/Bearden__Curlin","@Bearden__Curlin")</f>
        <v>@Bearden__Curlin</v>
      </c>
      <c r="C6248" s="8" t="s">
        <v>14304</v>
      </c>
      <c r="D6248" s="8" t="s">
        <v>14135</v>
      </c>
      <c r="E6248" s="9" t="str">
        <f aca="false">HYPERLINK("https://twitter.com/Bearden__Curlin/status/922379169891315712","922379169891315712")</f>
        <v>922379169891315712</v>
      </c>
      <c r="F6248" s="10" t="s">
        <v>25</v>
      </c>
      <c r="G6248" s="10" t="n">
        <v>27</v>
      </c>
      <c r="H6248" s="10" t="n">
        <v>1299</v>
      </c>
      <c r="I6248" s="10" t="n">
        <v>16</v>
      </c>
      <c r="J6248" s="10" t="n">
        <v>0</v>
      </c>
      <c r="K6248" s="10" t="s">
        <v>20</v>
      </c>
      <c r="L6248" s="11" t="n">
        <v>41743.4361342593</v>
      </c>
      <c r="M6248" s="12" t="s">
        <v>14305</v>
      </c>
      <c r="N6248" s="12" t="s">
        <v>14306</v>
      </c>
      <c r="O6248" s="9" t="str">
        <f aca="false">HYPERLINK("https://pbs.twimg.com/profile_images/749768928419778560/C_BJ1Uf9_normal.jpg","View")</f>
        <v>View</v>
      </c>
      <c r="P6248" s="10"/>
    </row>
    <row r="6249" customFormat="false" ht="15.75" hidden="false" customHeight="false" outlineLevel="0" collapsed="false">
      <c r="A6249" s="6" t="n">
        <v>43031.061724537</v>
      </c>
      <c r="B6249" s="7" t="str">
        <f aca="false">HYPERLINK("https://twitter.com/MetcalfMoatIFA","@MetcalfMoatIFA")</f>
        <v>@MetcalfMoatIFA</v>
      </c>
      <c r="C6249" s="8" t="s">
        <v>14307</v>
      </c>
      <c r="D6249" s="8" t="s">
        <v>14308</v>
      </c>
      <c r="E6249" s="9" t="str">
        <f aca="false">HYPERLINK("https://twitter.com/MetcalfMoatIFA/status/922379287742820352","922379287742820352")</f>
        <v>922379287742820352</v>
      </c>
      <c r="F6249" s="10" t="s">
        <v>39</v>
      </c>
      <c r="G6249" s="10" t="n">
        <v>410</v>
      </c>
      <c r="H6249" s="10" t="n">
        <v>493</v>
      </c>
      <c r="I6249" s="10" t="n">
        <v>0</v>
      </c>
      <c r="J6249" s="10" t="n">
        <v>0</v>
      </c>
      <c r="K6249" s="10" t="s">
        <v>20</v>
      </c>
      <c r="L6249" s="11" t="n">
        <v>40730.3048148148</v>
      </c>
      <c r="M6249" s="12" t="s">
        <v>14309</v>
      </c>
      <c r="N6249" s="12" t="s">
        <v>14310</v>
      </c>
      <c r="O6249" s="9" t="str">
        <f aca="false">HYPERLINK("https://pbs.twimg.com/profile_images/715102455906889728/_o5iL6_h_normal.jpg","View")</f>
        <v>View</v>
      </c>
      <c r="P6249" s="10"/>
    </row>
    <row r="6250" customFormat="false" ht="15.75" hidden="false" customHeight="false" outlineLevel="0" collapsed="false">
      <c r="A6250" s="6" t="n">
        <v>43031.0622222222</v>
      </c>
      <c r="B6250" s="7" t="str">
        <f aca="false">HYPERLINK("https://twitter.com/subsharma740","@subsharma740")</f>
        <v>@subsharma740</v>
      </c>
      <c r="C6250" s="8" t="s">
        <v>14311</v>
      </c>
      <c r="D6250" s="8" t="s">
        <v>14150</v>
      </c>
      <c r="E6250" s="9" t="str">
        <f aca="false">HYPERLINK("https://twitter.com/subsharma740/status/922379466130653185","922379466130653185")</f>
        <v>922379466130653185</v>
      </c>
      <c r="F6250" s="10" t="s">
        <v>25</v>
      </c>
      <c r="G6250" s="10" t="n">
        <v>254</v>
      </c>
      <c r="H6250" s="10" t="n">
        <v>626</v>
      </c>
      <c r="I6250" s="10" t="n">
        <v>8</v>
      </c>
      <c r="J6250" s="10" t="n">
        <v>0</v>
      </c>
      <c r="K6250" s="10" t="s">
        <v>20</v>
      </c>
      <c r="L6250" s="11" t="n">
        <v>41416.1797569444</v>
      </c>
      <c r="M6250" s="12" t="s">
        <v>72</v>
      </c>
      <c r="N6250" s="12" t="s">
        <v>14312</v>
      </c>
      <c r="O6250" s="9" t="str">
        <f aca="false">HYPERLINK("https://pbs.twimg.com/profile_images/921651499846942725/xatk6n0f_normal.jpg","View")</f>
        <v>View</v>
      </c>
      <c r="P6250" s="10"/>
    </row>
    <row r="6251" customFormat="false" ht="15.75" hidden="false" customHeight="false" outlineLevel="0" collapsed="false">
      <c r="A6251" s="6" t="n">
        <v>43031.0626851852</v>
      </c>
      <c r="B6251" s="7" t="str">
        <f aca="false">HYPERLINK("https://twitter.com/dhruvbhim","@dhruvbhim")</f>
        <v>@dhruvbhim</v>
      </c>
      <c r="C6251" s="8" t="s">
        <v>7901</v>
      </c>
      <c r="D6251" s="8" t="s">
        <v>8538</v>
      </c>
      <c r="E6251" s="9" t="str">
        <f aca="false">HYPERLINK("https://twitter.com/dhruvbhim/status/922379636369010688","922379636369010688")</f>
        <v>922379636369010688</v>
      </c>
      <c r="F6251" s="10" t="s">
        <v>39</v>
      </c>
      <c r="G6251" s="10" t="n">
        <v>3579</v>
      </c>
      <c r="H6251" s="10" t="n">
        <v>113</v>
      </c>
      <c r="I6251" s="10" t="n">
        <v>1015</v>
      </c>
      <c r="J6251" s="10" t="n">
        <v>0</v>
      </c>
      <c r="K6251" s="10" t="s">
        <v>20</v>
      </c>
      <c r="L6251" s="11" t="n">
        <v>41417.8729976852</v>
      </c>
      <c r="M6251" s="12"/>
      <c r="N6251" s="12" t="s">
        <v>7902</v>
      </c>
      <c r="O6251" s="9" t="str">
        <f aca="false">HYPERLINK("https://pbs.twimg.com/profile_images/869432277402607616/b97FXQPZ_normal.jpg","View")</f>
        <v>View</v>
      </c>
      <c r="P6251" s="10"/>
    </row>
    <row r="6252" customFormat="false" ht="15.75" hidden="false" customHeight="false" outlineLevel="0" collapsed="false">
      <c r="A6252" s="6" t="n">
        <v>43031.0630439815</v>
      </c>
      <c r="B6252" s="7" t="str">
        <f aca="false">HYPERLINK("https://twitter.com/mitrasubrata","@mitrasubrata")</f>
        <v>@mitrasubrata</v>
      </c>
      <c r="C6252" s="8" t="s">
        <v>14313</v>
      </c>
      <c r="D6252" s="8" t="s">
        <v>8538</v>
      </c>
      <c r="E6252" s="9" t="str">
        <f aca="false">HYPERLINK("https://twitter.com/mitrasubrata/status/922379765285232640","922379765285232640")</f>
        <v>922379765285232640</v>
      </c>
      <c r="F6252" s="10" t="s">
        <v>25</v>
      </c>
      <c r="G6252" s="10" t="n">
        <v>258</v>
      </c>
      <c r="H6252" s="10" t="n">
        <v>644</v>
      </c>
      <c r="I6252" s="10" t="n">
        <v>1015</v>
      </c>
      <c r="J6252" s="10" t="n">
        <v>0</v>
      </c>
      <c r="K6252" s="10" t="s">
        <v>20</v>
      </c>
      <c r="L6252" s="11" t="n">
        <v>40078.46875</v>
      </c>
      <c r="M6252" s="12" t="s">
        <v>14314</v>
      </c>
      <c r="N6252" s="12" t="s">
        <v>14315</v>
      </c>
      <c r="O6252" s="9" t="str">
        <f aca="false">HYPERLINK("https://pbs.twimg.com/profile_images/378800000638199262/c6f6511b5536f55baa77715e8e8ba9e8_normal.jpeg","View")</f>
        <v>View</v>
      </c>
      <c r="P6252" s="10"/>
    </row>
    <row r="6253" customFormat="false" ht="15.75" hidden="false" customHeight="false" outlineLevel="0" collapsed="false">
      <c r="A6253" s="6" t="n">
        <v>43031.0632175926</v>
      </c>
      <c r="B6253" s="7" t="str">
        <f aca="false">HYPERLINK("https://twitter.com/richsister08","@richsister08")</f>
        <v>@richsister08</v>
      </c>
      <c r="C6253" s="8" t="s">
        <v>14316</v>
      </c>
      <c r="D6253" s="8" t="s">
        <v>14135</v>
      </c>
      <c r="E6253" s="9" t="str">
        <f aca="false">HYPERLINK("https://twitter.com/richsister08/status/922379828845834243","922379828845834243")</f>
        <v>922379828845834243</v>
      </c>
      <c r="F6253" s="10" t="s">
        <v>25</v>
      </c>
      <c r="G6253" s="10" t="n">
        <v>53</v>
      </c>
      <c r="H6253" s="10" t="n">
        <v>2189</v>
      </c>
      <c r="I6253" s="10" t="n">
        <v>16</v>
      </c>
      <c r="J6253" s="10" t="n">
        <v>0</v>
      </c>
      <c r="K6253" s="10" t="s">
        <v>20</v>
      </c>
      <c r="L6253" s="11" t="n">
        <v>41082.4163078704</v>
      </c>
      <c r="M6253" s="12" t="s">
        <v>1359</v>
      </c>
      <c r="N6253" s="12" t="s">
        <v>14317</v>
      </c>
      <c r="O6253" s="9" t="str">
        <f aca="false">HYPERLINK("https://pbs.twimg.com/profile_images/751516050894839808/n20uPGdu_normal.jpg","View")</f>
        <v>View</v>
      </c>
      <c r="P6253" s="10"/>
    </row>
    <row r="6254" customFormat="false" ht="15.75" hidden="false" customHeight="false" outlineLevel="0" collapsed="false">
      <c r="A6254" s="6" t="n">
        <v>43031.0636342593</v>
      </c>
      <c r="B6254" s="7" t="str">
        <f aca="false">HYPERLINK("https://twitter.com/TheVishalSonara","@TheVishalSonara")</f>
        <v>@TheVishalSonara</v>
      </c>
      <c r="C6254" s="8" t="s">
        <v>14318</v>
      </c>
      <c r="D6254" s="8" t="s">
        <v>14319</v>
      </c>
      <c r="E6254" s="9" t="str">
        <f aca="false">HYPERLINK("https://twitter.com/TheVishalSonara/status/922379979916115968","922379979916115968")</f>
        <v>922379979916115968</v>
      </c>
      <c r="F6254" s="10" t="s">
        <v>25</v>
      </c>
      <c r="G6254" s="10" t="n">
        <v>2544</v>
      </c>
      <c r="H6254" s="10" t="n">
        <v>1909</v>
      </c>
      <c r="I6254" s="10" t="n">
        <v>0</v>
      </c>
      <c r="J6254" s="10" t="n">
        <v>1</v>
      </c>
      <c r="K6254" s="10" t="s">
        <v>20</v>
      </c>
      <c r="L6254" s="11" t="n">
        <v>40645.5095717593</v>
      </c>
      <c r="M6254" s="12" t="s">
        <v>14320</v>
      </c>
      <c r="N6254" s="12" t="s">
        <v>14321</v>
      </c>
      <c r="O6254" s="9" t="str">
        <f aca="false">HYPERLINK("https://pbs.twimg.com/profile_images/914565260459290630/_avx1OLH_normal.jpg","View")</f>
        <v>View</v>
      </c>
      <c r="P6254" s="10"/>
    </row>
    <row r="6255" customFormat="false" ht="15.75" hidden="false" customHeight="false" outlineLevel="0" collapsed="false">
      <c r="A6255" s="6" t="n">
        <v>43031.0639351852</v>
      </c>
      <c r="B6255" s="7" t="str">
        <f aca="false">HYPERLINK("https://twitter.com/charlately","@charlately")</f>
        <v>@charlately</v>
      </c>
      <c r="C6255" s="8" t="s">
        <v>14322</v>
      </c>
      <c r="D6255" s="8" t="s">
        <v>6707</v>
      </c>
      <c r="E6255" s="9" t="str">
        <f aca="false">HYPERLINK("https://twitter.com/charlately/status/922380089387397120","922380089387397120")</f>
        <v>922380089387397120</v>
      </c>
      <c r="F6255" s="10" t="s">
        <v>51</v>
      </c>
      <c r="G6255" s="10" t="n">
        <v>466</v>
      </c>
      <c r="H6255" s="10" t="n">
        <v>194</v>
      </c>
      <c r="I6255" s="10" t="n">
        <v>97</v>
      </c>
      <c r="J6255" s="10" t="n">
        <v>0</v>
      </c>
      <c r="K6255" s="10" t="s">
        <v>20</v>
      </c>
      <c r="L6255" s="11" t="n">
        <v>40959.235625</v>
      </c>
      <c r="M6255" s="12" t="s">
        <v>14323</v>
      </c>
      <c r="N6255" s="12"/>
      <c r="O6255" s="9" t="str">
        <f aca="false">HYPERLINK("https://pbs.twimg.com/profile_images/923457933601411072/J-FgPdUt_normal.jpg","View")</f>
        <v>View</v>
      </c>
      <c r="P6255" s="10"/>
    </row>
    <row r="6256" customFormat="false" ht="15.75" hidden="false" customHeight="false" outlineLevel="0" collapsed="false">
      <c r="A6256" s="6" t="n">
        <v>43031.0639699074</v>
      </c>
      <c r="B6256" s="7" t="str">
        <f aca="false">HYPERLINK("https://twitter.com/MLMANDOWARA","@MLMANDOWARA")</f>
        <v>@MLMANDOWARA</v>
      </c>
      <c r="C6256" s="8" t="s">
        <v>14324</v>
      </c>
      <c r="D6256" s="8" t="s">
        <v>8538</v>
      </c>
      <c r="E6256" s="9" t="str">
        <f aca="false">HYPERLINK("https://twitter.com/MLMANDOWARA/status/922380101878087681","922380101878087681")</f>
        <v>922380101878087681</v>
      </c>
      <c r="F6256" s="10" t="s">
        <v>51</v>
      </c>
      <c r="G6256" s="10" t="n">
        <v>2348</v>
      </c>
      <c r="H6256" s="10" t="n">
        <v>415</v>
      </c>
      <c r="I6256" s="10" t="n">
        <v>1015</v>
      </c>
      <c r="J6256" s="10" t="n">
        <v>0</v>
      </c>
      <c r="K6256" s="10" t="s">
        <v>20</v>
      </c>
      <c r="L6256" s="11" t="n">
        <v>41192.2151736111</v>
      </c>
      <c r="M6256" s="12" t="s">
        <v>14325</v>
      </c>
      <c r="N6256" s="12" t="s">
        <v>14326</v>
      </c>
      <c r="O6256" s="9" t="str">
        <f aca="false">HYPERLINK("https://pbs.twimg.com/profile_images/897811799617097728/LcIJmgBO_normal.jpg","View")</f>
        <v>View</v>
      </c>
      <c r="P6256" s="10"/>
    </row>
    <row r="6257" customFormat="false" ht="15.75" hidden="false" customHeight="false" outlineLevel="0" collapsed="false">
      <c r="A6257" s="6" t="n">
        <v>43031.0651041667</v>
      </c>
      <c r="B6257" s="7" t="str">
        <f aca="false">HYPERLINK("https://twitter.com/nnorty625","@nnorty625")</f>
        <v>@nnorty625</v>
      </c>
      <c r="C6257" s="8" t="s">
        <v>14327</v>
      </c>
      <c r="D6257" s="8" t="s">
        <v>14135</v>
      </c>
      <c r="E6257" s="9" t="str">
        <f aca="false">HYPERLINK("https://twitter.com/nnorty625/status/922380510827106305","922380510827106305")</f>
        <v>922380510827106305</v>
      </c>
      <c r="F6257" s="10" t="s">
        <v>25</v>
      </c>
      <c r="G6257" s="10" t="n">
        <v>50</v>
      </c>
      <c r="H6257" s="10" t="n">
        <v>1639</v>
      </c>
      <c r="I6257" s="10" t="n">
        <v>16</v>
      </c>
      <c r="J6257" s="10" t="n">
        <v>0</v>
      </c>
      <c r="K6257" s="10" t="s">
        <v>20</v>
      </c>
      <c r="L6257" s="11" t="n">
        <v>41742.8710185185</v>
      </c>
      <c r="M6257" s="12" t="s">
        <v>14328</v>
      </c>
      <c r="N6257" s="12" t="s">
        <v>14329</v>
      </c>
      <c r="O6257" s="9" t="str">
        <f aca="false">HYPERLINK("https://pbs.twimg.com/profile_images/751524433731457024/GJ14opOn_normal.jpg","View")</f>
        <v>View</v>
      </c>
      <c r="P6257" s="10"/>
    </row>
    <row r="6258" customFormat="false" ht="15.75" hidden="false" customHeight="false" outlineLevel="0" collapsed="false">
      <c r="A6258" s="6" t="n">
        <v>43031.065625</v>
      </c>
      <c r="B6258" s="7" t="str">
        <f aca="false">HYPERLINK("https://twitter.com/julianknight15","@julianknight15")</f>
        <v>@julianknight15</v>
      </c>
      <c r="C6258" s="8" t="s">
        <v>14330</v>
      </c>
      <c r="D6258" s="8" t="s">
        <v>14331</v>
      </c>
      <c r="E6258" s="9" t="str">
        <f aca="false">HYPERLINK("https://twitter.com/julianknight15/status/922380701399429120","922380701399429120")</f>
        <v>922380701399429120</v>
      </c>
      <c r="F6258" s="10" t="s">
        <v>177</v>
      </c>
      <c r="G6258" s="10" t="n">
        <v>4454</v>
      </c>
      <c r="H6258" s="10" t="n">
        <v>650</v>
      </c>
      <c r="I6258" s="10" t="n">
        <v>0</v>
      </c>
      <c r="J6258" s="10" t="n">
        <v>2</v>
      </c>
      <c r="K6258" s="10" t="s">
        <v>20</v>
      </c>
      <c r="L6258" s="11" t="n">
        <v>41349.0325115741</v>
      </c>
      <c r="M6258" s="12" t="s">
        <v>14332</v>
      </c>
      <c r="N6258" s="12" t="s">
        <v>14333</v>
      </c>
      <c r="O6258" s="9" t="str">
        <f aca="false">HYPERLINK("https://pbs.twimg.com/profile_images/801412483177181184/upFR1u9H_normal.jpg","View")</f>
        <v>View</v>
      </c>
      <c r="P6258" s="10"/>
    </row>
    <row r="6259" customFormat="false" ht="15.75" hidden="false" customHeight="false" outlineLevel="0" collapsed="false">
      <c r="A6259" s="6" t="n">
        <v>43031.0657407407</v>
      </c>
      <c r="B6259" s="7" t="str">
        <f aca="false">HYPERLINK("https://twitter.com/kannan978634553","@kannan978634553")</f>
        <v>@kannan978634553</v>
      </c>
      <c r="C6259" s="8" t="s">
        <v>14334</v>
      </c>
      <c r="D6259" s="8" t="s">
        <v>8538</v>
      </c>
      <c r="E6259" s="9" t="str">
        <f aca="false">HYPERLINK("https://twitter.com/kannan978634553/status/922380740976820224","922380740976820224")</f>
        <v>922380740976820224</v>
      </c>
      <c r="F6259" s="10" t="s">
        <v>25</v>
      </c>
      <c r="G6259" s="10" t="n">
        <v>4120</v>
      </c>
      <c r="H6259" s="10" t="n">
        <v>5001</v>
      </c>
      <c r="I6259" s="10" t="n">
        <v>1015</v>
      </c>
      <c r="J6259" s="10" t="n">
        <v>0</v>
      </c>
      <c r="K6259" s="10" t="s">
        <v>20</v>
      </c>
      <c r="L6259" s="11" t="n">
        <v>41472.9565856482</v>
      </c>
      <c r="M6259" s="12" t="s">
        <v>14335</v>
      </c>
      <c r="N6259" s="12"/>
      <c r="O6259" s="9" t="str">
        <f aca="false">HYPERLINK("https://pbs.twimg.com/profile_images/795714277357260800/DsoUgHQp_normal.jpg","View")</f>
        <v>View</v>
      </c>
      <c r="P6259" s="10"/>
    </row>
    <row r="6260" customFormat="false" ht="15.75" hidden="false" customHeight="false" outlineLevel="0" collapsed="false">
      <c r="A6260" s="6" t="n">
        <v>43031.0659027778</v>
      </c>
      <c r="B6260" s="7" t="str">
        <f aca="false">HYPERLINK("https://twitter.com/NewzBoxOffice","@NewzBoxOffice")</f>
        <v>@NewzBoxOffice</v>
      </c>
      <c r="C6260" s="8" t="s">
        <v>14336</v>
      </c>
      <c r="D6260" s="8" t="s">
        <v>14337</v>
      </c>
      <c r="E6260" s="9" t="str">
        <f aca="false">HYPERLINK("https://twitter.com/NewzBoxOffice/status/922380801718804480","922380801718804480")</f>
        <v>922380801718804480</v>
      </c>
      <c r="F6260" s="10" t="s">
        <v>14338</v>
      </c>
      <c r="G6260" s="10" t="n">
        <v>2235</v>
      </c>
      <c r="H6260" s="10" t="n">
        <v>874</v>
      </c>
      <c r="I6260" s="10" t="n">
        <v>0</v>
      </c>
      <c r="J6260" s="10" t="n">
        <v>0</v>
      </c>
      <c r="K6260" s="10" t="s">
        <v>20</v>
      </c>
      <c r="L6260" s="11" t="n">
        <v>41327.3258796296</v>
      </c>
      <c r="M6260" s="12"/>
      <c r="N6260" s="12" t="s">
        <v>14339</v>
      </c>
      <c r="O6260" s="9" t="str">
        <f aca="false">HYPERLINK("https://pbs.twimg.com/profile_images/3771449721/283f324d48438c2b267d1ed9b229f675_normal.jpeg","View")</f>
        <v>View</v>
      </c>
      <c r="P6260" s="10"/>
    </row>
    <row r="6261" customFormat="false" ht="15.75" hidden="false" customHeight="false" outlineLevel="0" collapsed="false">
      <c r="A6261" s="6" t="n">
        <v>43031.0661342593</v>
      </c>
      <c r="B6261" s="7" t="str">
        <f aca="false">HYPERLINK("https://twitter.com/t_hisashi","@t_hisashi")</f>
        <v>@t_hisashi</v>
      </c>
      <c r="C6261" s="14" t="s">
        <v>1062</v>
      </c>
      <c r="D6261" s="8" t="s">
        <v>12764</v>
      </c>
      <c r="E6261" s="9" t="str">
        <f aca="false">HYPERLINK("https://twitter.com/t_hisashi/status/922380883046277120","922380883046277120")</f>
        <v>922380883046277120</v>
      </c>
      <c r="F6261" s="10" t="s">
        <v>1063</v>
      </c>
      <c r="G6261" s="10" t="n">
        <v>5170</v>
      </c>
      <c r="H6261" s="10" t="n">
        <v>551</v>
      </c>
      <c r="I6261" s="10" t="n">
        <v>170</v>
      </c>
      <c r="J6261" s="10" t="n">
        <v>0</v>
      </c>
      <c r="K6261" s="10" t="s">
        <v>20</v>
      </c>
      <c r="L6261" s="11" t="n">
        <v>40145.284537037</v>
      </c>
      <c r="M6261" s="13" t="s">
        <v>1064</v>
      </c>
      <c r="N6261" s="12" t="s">
        <v>1065</v>
      </c>
      <c r="O6261" s="9" t="str">
        <f aca="false">HYPERLINK("https://pbs.twimg.com/profile_images/863264860145983489/BfUWjAYp_normal.jpg","View")</f>
        <v>View</v>
      </c>
      <c r="P6261" s="10"/>
    </row>
    <row r="6262" customFormat="false" ht="15.75" hidden="false" customHeight="false" outlineLevel="0" collapsed="false">
      <c r="A6262" s="6" t="n">
        <v>43031.0662037037</v>
      </c>
      <c r="B6262" s="7" t="str">
        <f aca="false">HYPERLINK("https://twitter.com/Katelyn__Anna","@Katelyn__Anna")</f>
        <v>@Katelyn__Anna</v>
      </c>
      <c r="C6262" s="8" t="s">
        <v>14340</v>
      </c>
      <c r="D6262" s="8" t="s">
        <v>14135</v>
      </c>
      <c r="E6262" s="9" t="str">
        <f aca="false">HYPERLINK("https://twitter.com/Katelyn__Anna/status/922380910506463232","922380910506463232")</f>
        <v>922380910506463232</v>
      </c>
      <c r="F6262" s="10" t="s">
        <v>25</v>
      </c>
      <c r="G6262" s="10" t="n">
        <v>35</v>
      </c>
      <c r="H6262" s="10" t="n">
        <v>846</v>
      </c>
      <c r="I6262" s="10" t="n">
        <v>16</v>
      </c>
      <c r="J6262" s="10" t="n">
        <v>0</v>
      </c>
      <c r="K6262" s="10" t="s">
        <v>20</v>
      </c>
      <c r="L6262" s="11" t="n">
        <v>41740.3206134259</v>
      </c>
      <c r="M6262" s="12" t="s">
        <v>14341</v>
      </c>
      <c r="N6262" s="12" t="s">
        <v>14342</v>
      </c>
      <c r="O6262" s="9" t="str">
        <f aca="false">HYPERLINK("https://pbs.twimg.com/profile_images/750414250389143552/XxaEBLrt_normal.jpg","View")</f>
        <v>View</v>
      </c>
      <c r="P6262" s="10"/>
    </row>
    <row r="6263" customFormat="false" ht="15.75" hidden="false" customHeight="false" outlineLevel="0" collapsed="false">
      <c r="A6263" s="6" t="n">
        <v>43031.0662384259</v>
      </c>
      <c r="B6263" s="7" t="str">
        <f aca="false">HYPERLINK("https://twitter.com/EaAotzclbAHPriS","@EaAotzclbAHPriS")</f>
        <v>@EaAotzclbAHPriS</v>
      </c>
      <c r="C6263" s="14" t="s">
        <v>14343</v>
      </c>
      <c r="D6263" s="8" t="s">
        <v>12493</v>
      </c>
      <c r="E6263" s="9" t="str">
        <f aca="false">HYPERLINK("https://twitter.com/EaAotzclbAHPriS/status/922380921357008896","922380921357008896")</f>
        <v>922380921357008896</v>
      </c>
      <c r="F6263" s="10" t="s">
        <v>25</v>
      </c>
      <c r="G6263" s="10" t="n">
        <v>247</v>
      </c>
      <c r="H6263" s="10" t="n">
        <v>349</v>
      </c>
      <c r="I6263" s="10" t="n">
        <v>63</v>
      </c>
      <c r="J6263" s="10" t="n">
        <v>0</v>
      </c>
      <c r="K6263" s="10" t="s">
        <v>20</v>
      </c>
      <c r="L6263" s="11" t="n">
        <v>42811.7010648148</v>
      </c>
      <c r="M6263" s="12"/>
      <c r="N6263" s="12"/>
      <c r="O6263" s="9" t="str">
        <f aca="false">HYPERLINK("https://abs.twimg.com/sticky/default_profile_images/default_profile_normal.png","View")</f>
        <v>View</v>
      </c>
      <c r="P6263" s="10"/>
    </row>
    <row r="6264" customFormat="false" ht="15.75" hidden="false" customHeight="false" outlineLevel="0" collapsed="false">
      <c r="A6264" s="6" t="n">
        <v>43031.0667824074</v>
      </c>
      <c r="B6264" s="7" t="str">
        <f aca="false">HYPERLINK("https://twitter.com/Mikatan14344872","@Mikatan14344872")</f>
        <v>@Mikatan14344872</v>
      </c>
      <c r="C6264" s="8" t="s">
        <v>14344</v>
      </c>
      <c r="D6264" s="8" t="s">
        <v>12493</v>
      </c>
      <c r="E6264" s="9" t="str">
        <f aca="false">HYPERLINK("https://twitter.com/Mikatan14344872/status/922381120750084097","922381120750084097")</f>
        <v>922381120750084097</v>
      </c>
      <c r="F6264" s="10" t="s">
        <v>25</v>
      </c>
      <c r="G6264" s="10" t="n">
        <v>250</v>
      </c>
      <c r="H6264" s="10" t="n">
        <v>339</v>
      </c>
      <c r="I6264" s="10" t="n">
        <v>63</v>
      </c>
      <c r="J6264" s="10" t="n">
        <v>0</v>
      </c>
      <c r="K6264" s="10" t="s">
        <v>20</v>
      </c>
      <c r="L6264" s="11" t="n">
        <v>43007.38</v>
      </c>
      <c r="M6264" s="13" t="s">
        <v>14345</v>
      </c>
      <c r="N6264" s="13" t="s">
        <v>14346</v>
      </c>
      <c r="O6264" s="9" t="str">
        <f aca="false">HYPERLINK("https://pbs.twimg.com/profile_images/915054454767890432/xtc6dGaB_normal.jpg","View")</f>
        <v>View</v>
      </c>
      <c r="P6264" s="10"/>
    </row>
    <row r="6265" customFormat="false" ht="15.75" hidden="false" customHeight="false" outlineLevel="0" collapsed="false">
      <c r="A6265" s="6" t="n">
        <v>43031.0680671296</v>
      </c>
      <c r="B6265" s="7" t="str">
        <f aca="false">HYPERLINK("https://twitter.com/OneNdOniyV","@OneNdOniyV")</f>
        <v>@OneNdOniyV</v>
      </c>
      <c r="C6265" s="8" t="s">
        <v>14347</v>
      </c>
      <c r="D6265" s="8" t="s">
        <v>14135</v>
      </c>
      <c r="E6265" s="9" t="str">
        <f aca="false">HYPERLINK("https://twitter.com/OneNdOniyV/status/922381585072222208","922381585072222208")</f>
        <v>922381585072222208</v>
      </c>
      <c r="F6265" s="10" t="s">
        <v>25</v>
      </c>
      <c r="G6265" s="10" t="n">
        <v>46</v>
      </c>
      <c r="H6265" s="10" t="n">
        <v>1461</v>
      </c>
      <c r="I6265" s="10" t="n">
        <v>16</v>
      </c>
      <c r="J6265" s="10" t="n">
        <v>0</v>
      </c>
      <c r="K6265" s="10" t="s">
        <v>20</v>
      </c>
      <c r="L6265" s="11" t="n">
        <v>41742.4337268518</v>
      </c>
      <c r="M6265" s="12" t="s">
        <v>14348</v>
      </c>
      <c r="N6265" s="12" t="s">
        <v>14349</v>
      </c>
      <c r="O6265" s="9" t="str">
        <f aca="false">HYPERLINK("https://pbs.twimg.com/profile_images/750420794606518272/kVZyAZM3_normal.jpg","View")</f>
        <v>View</v>
      </c>
      <c r="P6265" s="10"/>
    </row>
    <row r="6266" customFormat="false" ht="15.75" hidden="false" customHeight="false" outlineLevel="0" collapsed="false">
      <c r="A6266" s="6" t="n">
        <v>43031.0683680556</v>
      </c>
      <c r="B6266" s="7" t="str">
        <f aca="false">HYPERLINK("https://twitter.com/insumit","@insumit")</f>
        <v>@insumit</v>
      </c>
      <c r="C6266" s="8" t="s">
        <v>14350</v>
      </c>
      <c r="D6266" s="8" t="s">
        <v>8538</v>
      </c>
      <c r="E6266" s="9" t="str">
        <f aca="false">HYPERLINK("https://twitter.com/insumit/status/922381691938684929","922381691938684929")</f>
        <v>922381691938684929</v>
      </c>
      <c r="F6266" s="10" t="s">
        <v>25</v>
      </c>
      <c r="G6266" s="10" t="n">
        <v>1222</v>
      </c>
      <c r="H6266" s="10" t="n">
        <v>660</v>
      </c>
      <c r="I6266" s="10" t="n">
        <v>1015</v>
      </c>
      <c r="J6266" s="10" t="n">
        <v>0</v>
      </c>
      <c r="K6266" s="10" t="s">
        <v>20</v>
      </c>
      <c r="L6266" s="11" t="n">
        <v>40219.9760185185</v>
      </c>
      <c r="M6266" s="12"/>
      <c r="N6266" s="12" t="s">
        <v>14351</v>
      </c>
      <c r="O6266" s="9" t="str">
        <f aca="false">HYPERLINK("https://pbs.twimg.com/profile_images/700617361393516545/DTGLhGD4_normal.jpg","View")</f>
        <v>View</v>
      </c>
      <c r="P6266" s="10"/>
    </row>
    <row r="6267" customFormat="false" ht="15.75" hidden="false" customHeight="false" outlineLevel="0" collapsed="false">
      <c r="A6267" s="6" t="n">
        <v>43031.0686342593</v>
      </c>
      <c r="B6267" s="7" t="str">
        <f aca="false">HYPERLINK("https://twitter.com/BrooksMacdonald","@BrooksMacdonald")</f>
        <v>@BrooksMacdonald</v>
      </c>
      <c r="C6267" s="8" t="s">
        <v>14352</v>
      </c>
      <c r="D6267" s="8" t="s">
        <v>14353</v>
      </c>
      <c r="E6267" s="9" t="str">
        <f aca="false">HYPERLINK("https://twitter.com/BrooksMacdonald/status/922381789271920640","922381789271920640")</f>
        <v>922381789271920640</v>
      </c>
      <c r="F6267" s="10" t="s">
        <v>39</v>
      </c>
      <c r="G6267" s="10" t="n">
        <v>1793</v>
      </c>
      <c r="H6267" s="10" t="n">
        <v>1107</v>
      </c>
      <c r="I6267" s="10" t="n">
        <v>2</v>
      </c>
      <c r="J6267" s="10" t="n">
        <v>3</v>
      </c>
      <c r="K6267" s="10" t="s">
        <v>20</v>
      </c>
      <c r="L6267" s="11" t="n">
        <v>41158.1592013889</v>
      </c>
      <c r="M6267" s="12" t="s">
        <v>203</v>
      </c>
      <c r="N6267" s="12" t="s">
        <v>14354</v>
      </c>
      <c r="O6267" s="9" t="str">
        <f aca="false">HYPERLINK("https://pbs.twimg.com/profile_images/877101053602398208/L7SS2DOa_normal.jpg","View")</f>
        <v>View</v>
      </c>
      <c r="P6267" s="10"/>
    </row>
    <row r="6268" customFormat="false" ht="15.75" hidden="false" customHeight="false" outlineLevel="0" collapsed="false">
      <c r="A6268" s="6" t="n">
        <v>43031.0686574074</v>
      </c>
      <c r="B6268" s="7" t="str">
        <f aca="false">HYPERLINK("https://twitter.com/RameshPatibanda","@RameshPatibanda")</f>
        <v>@RameshPatibanda</v>
      </c>
      <c r="C6268" s="8" t="s">
        <v>14355</v>
      </c>
      <c r="D6268" s="8" t="s">
        <v>8538</v>
      </c>
      <c r="E6268" s="9" t="str">
        <f aca="false">HYPERLINK("https://twitter.com/RameshPatibanda/status/922381797974880261","922381797974880261")</f>
        <v>922381797974880261</v>
      </c>
      <c r="F6268" s="10" t="s">
        <v>25</v>
      </c>
      <c r="G6268" s="10" t="n">
        <v>35</v>
      </c>
      <c r="H6268" s="10" t="n">
        <v>181</v>
      </c>
      <c r="I6268" s="10" t="n">
        <v>1015</v>
      </c>
      <c r="J6268" s="10" t="n">
        <v>0</v>
      </c>
      <c r="K6268" s="10" t="s">
        <v>20</v>
      </c>
      <c r="L6268" s="11" t="n">
        <v>41042.1189930556</v>
      </c>
      <c r="M6268" s="12"/>
      <c r="N6268" s="12" t="s">
        <v>14356</v>
      </c>
      <c r="O6268" s="9" t="str">
        <f aca="false">HYPERLINK("https://abs.twimg.com/sticky/default_profile_images/default_profile_normal.png","View")</f>
        <v>View</v>
      </c>
      <c r="P6268" s="10"/>
    </row>
    <row r="6269" customFormat="false" ht="15.75" hidden="false" customHeight="false" outlineLevel="0" collapsed="false">
      <c r="A6269" s="6" t="n">
        <v>43031.0688541667</v>
      </c>
      <c r="B6269" s="7" t="str">
        <f aca="false">HYPERLINK("https://twitter.com/McHarryboyy","@McHarryboyy")</f>
        <v>@McHarryboyy</v>
      </c>
      <c r="C6269" s="8" t="s">
        <v>13348</v>
      </c>
      <c r="D6269" s="8" t="s">
        <v>14357</v>
      </c>
      <c r="E6269" s="9" t="str">
        <f aca="false">HYPERLINK("https://twitter.com/McHarryboyy/status/922381869219565568","922381869219565568")</f>
        <v>922381869219565568</v>
      </c>
      <c r="F6269" s="10" t="s">
        <v>55</v>
      </c>
      <c r="G6269" s="10" t="n">
        <v>351</v>
      </c>
      <c r="H6269" s="10" t="n">
        <v>447</v>
      </c>
      <c r="I6269" s="10" t="n">
        <v>0</v>
      </c>
      <c r="J6269" s="10" t="n">
        <v>0</v>
      </c>
      <c r="K6269" s="10" t="s">
        <v>20</v>
      </c>
      <c r="L6269" s="11" t="n">
        <v>40965.9512615741</v>
      </c>
      <c r="M6269" s="12" t="s">
        <v>13350</v>
      </c>
      <c r="N6269" s="12" t="s">
        <v>13351</v>
      </c>
      <c r="O6269" s="9" t="str">
        <f aca="false">HYPERLINK("https://pbs.twimg.com/profile_images/742452919866396672/KrreM7Hd_normal.jpg","View")</f>
        <v>View</v>
      </c>
      <c r="P6269" s="10"/>
    </row>
    <row r="6270" customFormat="false" ht="15.75" hidden="false" customHeight="false" outlineLevel="0" collapsed="false">
      <c r="A6270" s="6" t="n">
        <v>43031.0689930556</v>
      </c>
      <c r="B6270" s="7" t="str">
        <f aca="false">HYPERLINK("https://twitter.com/baygui","@baygui")</f>
        <v>@baygui</v>
      </c>
      <c r="C6270" s="8" t="s">
        <v>903</v>
      </c>
      <c r="D6270" s="8" t="s">
        <v>14296</v>
      </c>
      <c r="E6270" s="9" t="str">
        <f aca="false">HYPERLINK("https://twitter.com/baygui/status/922381921442844673","922381921442844673")</f>
        <v>922381921442844673</v>
      </c>
      <c r="F6270" s="10" t="s">
        <v>25</v>
      </c>
      <c r="G6270" s="10" t="n">
        <v>1184</v>
      </c>
      <c r="H6270" s="10" t="n">
        <v>1212</v>
      </c>
      <c r="I6270" s="10" t="n">
        <v>3</v>
      </c>
      <c r="J6270" s="10" t="n">
        <v>0</v>
      </c>
      <c r="K6270" s="10" t="s">
        <v>20</v>
      </c>
      <c r="L6270" s="11" t="n">
        <v>41574.7904861111</v>
      </c>
      <c r="M6270" s="12" t="s">
        <v>904</v>
      </c>
      <c r="N6270" s="12" t="s">
        <v>905</v>
      </c>
      <c r="O6270" s="9" t="str">
        <f aca="false">HYPERLINK("https://pbs.twimg.com/profile_images/716120290695192576/yCipZdVs_normal.jpg","View")</f>
        <v>View</v>
      </c>
      <c r="P6270" s="10"/>
    </row>
    <row r="6271" customFormat="false" ht="15.75" hidden="false" customHeight="false" outlineLevel="0" collapsed="false">
      <c r="A6271" s="6" t="n">
        <v>43031.0690162037</v>
      </c>
      <c r="B6271" s="7" t="str">
        <f aca="false">HYPERLINK("https://twitter.com/RonnieChopra1","@RonnieChopra1")</f>
        <v>@RonnieChopra1</v>
      </c>
      <c r="C6271" s="8" t="s">
        <v>3272</v>
      </c>
      <c r="D6271" s="8" t="s">
        <v>14358</v>
      </c>
      <c r="E6271" s="9" t="str">
        <f aca="false">HYPERLINK("https://twitter.com/RonnieChopra1/status/922381929021952000","922381929021952000")</f>
        <v>922381929021952000</v>
      </c>
      <c r="F6271" s="10" t="s">
        <v>39</v>
      </c>
      <c r="G6271" s="10" t="n">
        <v>341</v>
      </c>
      <c r="H6271" s="10" t="n">
        <v>340</v>
      </c>
      <c r="I6271" s="10" t="n">
        <v>2</v>
      </c>
      <c r="J6271" s="10" t="n">
        <v>0</v>
      </c>
      <c r="K6271" s="10" t="s">
        <v>20</v>
      </c>
      <c r="L6271" s="11" t="n">
        <v>41331.9768287037</v>
      </c>
      <c r="M6271" s="12" t="s">
        <v>182</v>
      </c>
      <c r="N6271" s="12" t="s">
        <v>3274</v>
      </c>
      <c r="O6271" s="9" t="str">
        <f aca="false">HYPERLINK("https://pbs.twimg.com/profile_images/3313936859/e9c0e1009ee15e8f9e5d5f37ffa845a5_normal.jpeg","View")</f>
        <v>View</v>
      </c>
      <c r="P6271" s="10"/>
    </row>
    <row r="6272" customFormat="false" ht="15.75" hidden="false" customHeight="false" outlineLevel="0" collapsed="false">
      <c r="A6272" s="6" t="n">
        <v>43031.0697453704</v>
      </c>
      <c r="B6272" s="7" t="str">
        <f aca="false">HYPERLINK("https://twitter.com/KPGanesh","@KPGanesh")</f>
        <v>@KPGanesh</v>
      </c>
      <c r="C6272" s="8" t="s">
        <v>14359</v>
      </c>
      <c r="D6272" s="8" t="s">
        <v>8538</v>
      </c>
      <c r="E6272" s="9" t="str">
        <f aca="false">HYPERLINK("https://twitter.com/KPGanesh/status/922382193946607617","922382193946607617")</f>
        <v>922382193946607617</v>
      </c>
      <c r="F6272" s="10" t="s">
        <v>25</v>
      </c>
      <c r="G6272" s="10" t="n">
        <v>3575</v>
      </c>
      <c r="H6272" s="10" t="n">
        <v>947</v>
      </c>
      <c r="I6272" s="10" t="n">
        <v>1015</v>
      </c>
      <c r="J6272" s="10" t="n">
        <v>0</v>
      </c>
      <c r="K6272" s="10" t="s">
        <v>20</v>
      </c>
      <c r="L6272" s="11" t="n">
        <v>40743.2769907407</v>
      </c>
      <c r="M6272" s="12"/>
      <c r="N6272" s="12" t="s">
        <v>14360</v>
      </c>
      <c r="O6272" s="9" t="str">
        <f aca="false">HYPERLINK("https://pbs.twimg.com/profile_images/708212599968501760/m8e44drn_normal.jpg","View")</f>
        <v>View</v>
      </c>
      <c r="P6272" s="10"/>
    </row>
    <row r="6273" customFormat="false" ht="15.75" hidden="false" customHeight="false" outlineLevel="0" collapsed="false">
      <c r="A6273" s="6" t="n">
        <v>43031.0699768519</v>
      </c>
      <c r="B6273" s="7" t="str">
        <f aca="false">HYPERLINK("https://twitter.com/NoktsungL","@NoktsungL")</f>
        <v>@NoktsungL</v>
      </c>
      <c r="C6273" s="8" t="s">
        <v>14361</v>
      </c>
      <c r="D6273" s="8" t="s">
        <v>12764</v>
      </c>
      <c r="E6273" s="9" t="str">
        <f aca="false">HYPERLINK("https://twitter.com/NoktsungL/status/922382276616339462","922382276616339462")</f>
        <v>922382276616339462</v>
      </c>
      <c r="F6273" s="10" t="s">
        <v>25</v>
      </c>
      <c r="G6273" s="10" t="n">
        <v>29</v>
      </c>
      <c r="H6273" s="10" t="n">
        <v>138</v>
      </c>
      <c r="I6273" s="10" t="n">
        <v>170</v>
      </c>
      <c r="J6273" s="10" t="n">
        <v>0</v>
      </c>
      <c r="K6273" s="10" t="s">
        <v>20</v>
      </c>
      <c r="L6273" s="11" t="n">
        <v>41319.9022222222</v>
      </c>
      <c r="M6273" s="12"/>
      <c r="N6273" s="12" t="s">
        <v>14362</v>
      </c>
      <c r="O6273" s="9" t="str">
        <f aca="false">HYPERLINK("https://pbs.twimg.com/profile_images/478661619547795456/1J5zNZ1b_normal.jpeg","View")</f>
        <v>View</v>
      </c>
      <c r="P6273" s="10"/>
    </row>
    <row r="6274" customFormat="false" ht="15.75" hidden="false" customHeight="false" outlineLevel="0" collapsed="false">
      <c r="A6274" s="6" t="n">
        <v>43031.0699768519</v>
      </c>
      <c r="B6274" s="7" t="str">
        <f aca="false">HYPERLINK("https://twitter.com/z_noboru","@z_noboru")</f>
        <v>@z_noboru</v>
      </c>
      <c r="C6274" s="8" t="s">
        <v>14363</v>
      </c>
      <c r="D6274" s="8" t="s">
        <v>14106</v>
      </c>
      <c r="E6274" s="9" t="str">
        <f aca="false">HYPERLINK("https://twitter.com/z_noboru/status/922382277283233792","922382277283233792")</f>
        <v>922382277283233792</v>
      </c>
      <c r="F6274" s="10" t="s">
        <v>177</v>
      </c>
      <c r="G6274" s="10" t="n">
        <v>457</v>
      </c>
      <c r="H6274" s="10" t="n">
        <v>524</v>
      </c>
      <c r="I6274" s="10" t="n">
        <v>30</v>
      </c>
      <c r="J6274" s="10" t="n">
        <v>0</v>
      </c>
      <c r="K6274" s="10" t="s">
        <v>20</v>
      </c>
      <c r="L6274" s="11" t="n">
        <v>41066.7541435185</v>
      </c>
      <c r="M6274" s="12"/>
      <c r="N6274" s="13" t="s">
        <v>14364</v>
      </c>
      <c r="O6274" s="9" t="str">
        <f aca="false">HYPERLINK("https://pbs.twimg.com/profile_images/3765043791/1fd560cb3ae11d46af27a4eac89f8711_normal.jpeg","View")</f>
        <v>View</v>
      </c>
      <c r="P6274" s="10"/>
    </row>
    <row r="6275" customFormat="false" ht="15.75" hidden="false" customHeight="false" outlineLevel="0" collapsed="false">
      <c r="A6275" s="6" t="n">
        <v>43031.0701041667</v>
      </c>
      <c r="B6275" s="7" t="str">
        <f aca="false">HYPERLINK("https://twitter.com/StandardKenya","@StandardKenya")</f>
        <v>@StandardKenya</v>
      </c>
      <c r="C6275" s="8" t="s">
        <v>14365</v>
      </c>
      <c r="D6275" s="8" t="s">
        <v>14366</v>
      </c>
      <c r="E6275" s="9" t="str">
        <f aca="false">HYPERLINK("https://twitter.com/StandardKenya/status/922382323693309952","922382323693309952")</f>
        <v>922382323693309952</v>
      </c>
      <c r="F6275" s="10" t="s">
        <v>276</v>
      </c>
      <c r="G6275" s="10" t="n">
        <v>865179</v>
      </c>
      <c r="H6275" s="10" t="n">
        <v>115</v>
      </c>
      <c r="I6275" s="10" t="n">
        <v>7</v>
      </c>
      <c r="J6275" s="10" t="n">
        <v>5</v>
      </c>
      <c r="K6275" s="10" t="s">
        <v>20</v>
      </c>
      <c r="L6275" s="11" t="n">
        <v>39996.1867013889</v>
      </c>
      <c r="M6275" s="12" t="s">
        <v>14367</v>
      </c>
      <c r="N6275" s="12" t="s">
        <v>14368</v>
      </c>
      <c r="O6275" s="9" t="str">
        <f aca="false">HYPERLINK("https://pbs.twimg.com/profile_images/458516690435715072/zGEfBbUv_normal.png","View")</f>
        <v>View</v>
      </c>
      <c r="P6275" s="10"/>
    </row>
    <row r="6276" customFormat="false" ht="15.75" hidden="false" customHeight="false" outlineLevel="0" collapsed="false">
      <c r="A6276" s="6" t="n">
        <v>43031.0701041667</v>
      </c>
      <c r="B6276" s="7" t="str">
        <f aca="false">HYPERLINK("https://twitter.com/KTNKenya","@KTNKenya")</f>
        <v>@KTNKenya</v>
      </c>
      <c r="C6276" s="8" t="s">
        <v>14369</v>
      </c>
      <c r="D6276" s="8" t="s">
        <v>14370</v>
      </c>
      <c r="E6276" s="9" t="str">
        <f aca="false">HYPERLINK("https://twitter.com/KTNKenya/status/922382323726856193","922382323726856193")</f>
        <v>922382323726856193</v>
      </c>
      <c r="F6276" s="10" t="s">
        <v>276</v>
      </c>
      <c r="G6276" s="10" t="n">
        <v>1482564</v>
      </c>
      <c r="H6276" s="10" t="n">
        <v>88</v>
      </c>
      <c r="I6276" s="10" t="n">
        <v>2</v>
      </c>
      <c r="J6276" s="10" t="n">
        <v>6</v>
      </c>
      <c r="K6276" s="10" t="s">
        <v>20</v>
      </c>
      <c r="L6276" s="11" t="n">
        <v>40226.4575</v>
      </c>
      <c r="M6276" s="12" t="s">
        <v>1028</v>
      </c>
      <c r="N6276" s="12" t="s">
        <v>14371</v>
      </c>
      <c r="O6276" s="9" t="str">
        <f aca="false">HYPERLINK("https://pbs.twimg.com/profile_images/803462362485424128/1_maie9z_normal.jpg","View")</f>
        <v>View</v>
      </c>
      <c r="P6276" s="10"/>
    </row>
    <row r="6277" customFormat="false" ht="15.75" hidden="false" customHeight="false" outlineLevel="0" collapsed="false">
      <c r="A6277" s="6" t="n">
        <v>43031.0705208333</v>
      </c>
      <c r="B6277" s="7" t="str">
        <f aca="false">HYPERLINK("https://twitter.com/AfricaElects","@AfricaElects")</f>
        <v>@AfricaElects</v>
      </c>
      <c r="C6277" s="8" t="s">
        <v>14372</v>
      </c>
      <c r="D6277" s="8" t="s">
        <v>14373</v>
      </c>
      <c r="E6277" s="9" t="str">
        <f aca="false">HYPERLINK("https://twitter.com/AfricaElects/status/922382472502902784","922382472502902784")</f>
        <v>922382472502902784</v>
      </c>
      <c r="F6277" s="10" t="s">
        <v>1024</v>
      </c>
      <c r="G6277" s="10" t="n">
        <v>1218</v>
      </c>
      <c r="H6277" s="10" t="n">
        <v>2125</v>
      </c>
      <c r="I6277" s="10" t="n">
        <v>7</v>
      </c>
      <c r="J6277" s="10" t="n">
        <v>0</v>
      </c>
      <c r="K6277" s="10" t="s">
        <v>20</v>
      </c>
      <c r="L6277" s="11" t="n">
        <v>42841.43125</v>
      </c>
      <c r="M6277" s="12"/>
      <c r="N6277" s="12" t="s">
        <v>14374</v>
      </c>
      <c r="O6277" s="9" t="str">
        <f aca="false">HYPERLINK("https://pbs.twimg.com/profile_images/859689614394753024/U5C7Bkbv_normal.jpg","View")</f>
        <v>View</v>
      </c>
      <c r="P6277" s="10"/>
    </row>
    <row r="6278" customFormat="false" ht="15.75" hidden="false" customHeight="false" outlineLevel="0" collapsed="false">
      <c r="A6278" s="6" t="n">
        <v>43031.0705671296</v>
      </c>
      <c r="B6278" s="7" t="str">
        <f aca="false">HYPERLINK("https://twitter.com/GKZorbas_PhD","@GKZorbas_PhD")</f>
        <v>@GKZorbas_PhD</v>
      </c>
      <c r="C6278" s="8" t="s">
        <v>14375</v>
      </c>
      <c r="D6278" s="8" t="s">
        <v>13741</v>
      </c>
      <c r="E6278" s="9" t="str">
        <f aca="false">HYPERLINK("https://twitter.com/GKZorbas_PhD/status/922382491339689984","922382491339689984")</f>
        <v>922382491339689984</v>
      </c>
      <c r="F6278" s="10" t="s">
        <v>98</v>
      </c>
      <c r="G6278" s="10" t="n">
        <v>11937</v>
      </c>
      <c r="H6278" s="10" t="n">
        <v>420</v>
      </c>
      <c r="I6278" s="10" t="n">
        <v>17</v>
      </c>
      <c r="J6278" s="10" t="n">
        <v>0</v>
      </c>
      <c r="K6278" s="10" t="s">
        <v>20</v>
      </c>
      <c r="L6278" s="11" t="n">
        <v>40006.1835416667</v>
      </c>
      <c r="M6278" s="12" t="s">
        <v>14376</v>
      </c>
      <c r="N6278" s="12" t="s">
        <v>14377</v>
      </c>
      <c r="O6278" s="9" t="str">
        <f aca="false">HYPERLINK("https://pbs.twimg.com/profile_images/1795474125/853002ff-7dcd-4de2-a2fe-0846dd2e5d4f_normal.png","View")</f>
        <v>View</v>
      </c>
      <c r="P6278" s="10"/>
    </row>
    <row r="6279" customFormat="false" ht="15.75" hidden="false" customHeight="false" outlineLevel="0" collapsed="false">
      <c r="A6279" s="6" t="n">
        <v>43031.0706018519</v>
      </c>
      <c r="B6279" s="7" t="str">
        <f aca="false">HYPERLINK("https://twitter.com/cajainpranav","@cajainpranav")</f>
        <v>@cajainpranav</v>
      </c>
      <c r="C6279" s="8" t="s">
        <v>14378</v>
      </c>
      <c r="D6279" s="8" t="s">
        <v>8538</v>
      </c>
      <c r="E6279" s="9" t="str">
        <f aca="false">HYPERLINK("https://twitter.com/cajainpranav/status/922382505323274241","922382505323274241")</f>
        <v>922382505323274241</v>
      </c>
      <c r="F6279" s="10" t="s">
        <v>51</v>
      </c>
      <c r="G6279" s="10" t="n">
        <v>124</v>
      </c>
      <c r="H6279" s="10" t="n">
        <v>41</v>
      </c>
      <c r="I6279" s="10" t="n">
        <v>1015</v>
      </c>
      <c r="J6279" s="10" t="n">
        <v>0</v>
      </c>
      <c r="K6279" s="10" t="s">
        <v>20</v>
      </c>
      <c r="L6279" s="11" t="n">
        <v>40786.0130324074</v>
      </c>
      <c r="M6279" s="12" t="s">
        <v>64</v>
      </c>
      <c r="N6279" s="12" t="s">
        <v>14379</v>
      </c>
      <c r="O6279" s="9" t="str">
        <f aca="false">HYPERLINK("https://pbs.twimg.com/profile_images/880445630543523840/zt1xfTvk_normal.jpg","View")</f>
        <v>View</v>
      </c>
      <c r="P6279" s="10"/>
    </row>
    <row r="6280" customFormat="false" ht="15.75" hidden="false" customHeight="false" outlineLevel="0" collapsed="false">
      <c r="A6280" s="6" t="n">
        <v>43031.0707175926</v>
      </c>
      <c r="B6280" s="7" t="str">
        <f aca="false">HYPERLINK("https://twitter.com/BlackJesuus","@BlackJesuus")</f>
        <v>@BlackJesuus</v>
      </c>
      <c r="C6280" s="8" t="s">
        <v>14380</v>
      </c>
      <c r="D6280" s="8" t="s">
        <v>12764</v>
      </c>
      <c r="E6280" s="9" t="str">
        <f aca="false">HYPERLINK("https://twitter.com/BlackJesuus/status/922382546016628737","922382546016628737")</f>
        <v>922382546016628737</v>
      </c>
      <c r="F6280" s="10" t="s">
        <v>39</v>
      </c>
      <c r="G6280" s="10" t="n">
        <v>992</v>
      </c>
      <c r="H6280" s="10" t="n">
        <v>2312</v>
      </c>
      <c r="I6280" s="10" t="n">
        <v>170</v>
      </c>
      <c r="J6280" s="10" t="n">
        <v>0</v>
      </c>
      <c r="K6280" s="10" t="s">
        <v>20</v>
      </c>
      <c r="L6280" s="11" t="n">
        <v>41106.4318287037</v>
      </c>
      <c r="M6280" s="12" t="s">
        <v>1635</v>
      </c>
      <c r="N6280" s="12" t="s">
        <v>14381</v>
      </c>
      <c r="O6280" s="9" t="str">
        <f aca="false">HYPERLINK("https://pbs.twimg.com/profile_images/558689185112920064/5fshesdx_normal.png","View")</f>
        <v>View</v>
      </c>
      <c r="P6280" s="10"/>
    </row>
    <row r="6281" customFormat="false" ht="15.75" hidden="false" customHeight="false" outlineLevel="0" collapsed="false">
      <c r="A6281" s="6" t="n">
        <v>43031.0708449074</v>
      </c>
      <c r="B6281" s="7" t="str">
        <f aca="false">HYPERLINK("https://twitter.com/spcd65b9","@spcd65b9")</f>
        <v>@spcd65b9</v>
      </c>
      <c r="C6281" s="14" t="s">
        <v>14382</v>
      </c>
      <c r="D6281" s="8" t="s">
        <v>12493</v>
      </c>
      <c r="E6281" s="9" t="str">
        <f aca="false">HYPERLINK("https://twitter.com/spcd65b9/status/922382589712785408","922382589712785408")</f>
        <v>922382589712785408</v>
      </c>
      <c r="F6281" s="10" t="s">
        <v>39</v>
      </c>
      <c r="G6281" s="10" t="n">
        <v>142</v>
      </c>
      <c r="H6281" s="10" t="n">
        <v>214</v>
      </c>
      <c r="I6281" s="10" t="n">
        <v>63</v>
      </c>
      <c r="J6281" s="10" t="n">
        <v>0</v>
      </c>
      <c r="K6281" s="10" t="s">
        <v>20</v>
      </c>
      <c r="L6281" s="11" t="n">
        <v>42857.1597916667</v>
      </c>
      <c r="M6281" s="12"/>
      <c r="N6281" s="13" t="s">
        <v>14383</v>
      </c>
      <c r="O6281" s="9" t="str">
        <f aca="false">HYPERLINK("https://pbs.twimg.com/profile_images/859858966830043146/tmMkuCtm_normal.jpg","View")</f>
        <v>View</v>
      </c>
      <c r="P6281" s="10"/>
    </row>
    <row r="6282" customFormat="false" ht="15.75" hidden="false" customHeight="false" outlineLevel="0" collapsed="false">
      <c r="A6282" s="6" t="n">
        <v>43031.0712731481</v>
      </c>
      <c r="B6282" s="7" t="str">
        <f aca="false">HYPERLINK("https://twitter.com/AntiEU2","@AntiEU2")</f>
        <v>@AntiEU2</v>
      </c>
      <c r="C6282" s="8" t="s">
        <v>14384</v>
      </c>
      <c r="D6282" s="8" t="s">
        <v>10630</v>
      </c>
      <c r="E6282" s="9" t="str">
        <f aca="false">HYPERLINK("https://twitter.com/AntiEU2/status/922382747972272128","922382747972272128")</f>
        <v>922382747972272128</v>
      </c>
      <c r="F6282" s="10" t="s">
        <v>98</v>
      </c>
      <c r="G6282" s="10" t="n">
        <v>168</v>
      </c>
      <c r="H6282" s="10" t="n">
        <v>27</v>
      </c>
      <c r="I6282" s="10" t="n">
        <v>8</v>
      </c>
      <c r="J6282" s="10" t="n">
        <v>0</v>
      </c>
      <c r="K6282" s="10" t="s">
        <v>20</v>
      </c>
      <c r="L6282" s="11" t="n">
        <v>42376.3407291667</v>
      </c>
      <c r="M6282" s="12"/>
      <c r="N6282" s="12"/>
      <c r="O6282" s="9" t="str">
        <f aca="false">HYPERLINK("https://abs.twimg.com/sticky/default_profile_images/default_profile_normal.png","View")</f>
        <v>View</v>
      </c>
      <c r="P6282" s="10"/>
    </row>
    <row r="6283" customFormat="false" ht="15.75" hidden="false" customHeight="false" outlineLevel="0" collapsed="false">
      <c r="A6283" s="6" t="n">
        <v>43031.0714351852</v>
      </c>
      <c r="B6283" s="7" t="str">
        <f aca="false">HYPERLINK("https://twitter.com/kuboalex46","@kuboalex46")</f>
        <v>@kuboalex46</v>
      </c>
      <c r="C6283" s="8" t="s">
        <v>14385</v>
      </c>
      <c r="D6283" s="8" t="s">
        <v>14386</v>
      </c>
      <c r="E6283" s="9" t="str">
        <f aca="false">HYPERLINK("https://twitter.com/kuboalex46/status/922382807258804224","922382807258804224")</f>
        <v>922382807258804224</v>
      </c>
      <c r="F6283" s="10" t="s">
        <v>25</v>
      </c>
      <c r="G6283" s="10" t="n">
        <v>625</v>
      </c>
      <c r="H6283" s="10" t="n">
        <v>1000</v>
      </c>
      <c r="I6283" s="10" t="n">
        <v>2</v>
      </c>
      <c r="J6283" s="10" t="n">
        <v>0</v>
      </c>
      <c r="K6283" s="10" t="s">
        <v>20</v>
      </c>
      <c r="L6283" s="11" t="n">
        <v>42024.3306365741</v>
      </c>
      <c r="M6283" s="12" t="s">
        <v>14387</v>
      </c>
      <c r="N6283" s="12" t="s">
        <v>14388</v>
      </c>
      <c r="O6283" s="9" t="str">
        <f aca="false">HYPERLINK("https://pbs.twimg.com/profile_images/718429049056600064/GWqVFtPn_normal.jpg","View")</f>
        <v>View</v>
      </c>
      <c r="P6283" s="10"/>
    </row>
    <row r="6284" customFormat="false" ht="15.75" hidden="false" customHeight="false" outlineLevel="0" collapsed="false">
      <c r="A6284" s="6" t="n">
        <v>43031.0718055556</v>
      </c>
      <c r="B6284" s="7" t="str">
        <f aca="false">HYPERLINK("https://twitter.com/Pink_Knight25","@Pink_Knight25")</f>
        <v>@Pink_Knight25</v>
      </c>
      <c r="C6284" s="8" t="s">
        <v>14389</v>
      </c>
      <c r="D6284" s="8" t="s">
        <v>12764</v>
      </c>
      <c r="E6284" s="9" t="str">
        <f aca="false">HYPERLINK("https://twitter.com/Pink_Knight25/status/922382939597324288","922382939597324288")</f>
        <v>922382939597324288</v>
      </c>
      <c r="F6284" s="10" t="s">
        <v>25</v>
      </c>
      <c r="G6284" s="10" t="n">
        <v>109</v>
      </c>
      <c r="H6284" s="10" t="n">
        <v>100</v>
      </c>
      <c r="I6284" s="10" t="n">
        <v>170</v>
      </c>
      <c r="J6284" s="10" t="n">
        <v>0</v>
      </c>
      <c r="K6284" s="10" t="s">
        <v>20</v>
      </c>
      <c r="L6284" s="11" t="n">
        <v>40673.0188888889</v>
      </c>
      <c r="M6284" s="12" t="s">
        <v>14390</v>
      </c>
      <c r="N6284" s="12" t="s">
        <v>14391</v>
      </c>
      <c r="O6284" s="9" t="str">
        <f aca="false">HYPERLINK("https://pbs.twimg.com/profile_images/921725630013566977/ifuLYb3i_normal.jpg","View")</f>
        <v>View</v>
      </c>
      <c r="P6284" s="10"/>
    </row>
    <row r="6285" customFormat="false" ht="15.75" hidden="false" customHeight="false" outlineLevel="0" collapsed="false">
      <c r="A6285" s="6" t="n">
        <v>43031.0720717593</v>
      </c>
      <c r="B6285" s="7" t="str">
        <f aca="false">HYPERLINK("https://twitter.com/AliwaOkello","@AliwaOkello")</f>
        <v>@AliwaOkello</v>
      </c>
      <c r="C6285" s="8" t="s">
        <v>14392</v>
      </c>
      <c r="D6285" s="8" t="s">
        <v>14393</v>
      </c>
      <c r="E6285" s="9" t="str">
        <f aca="false">HYPERLINK("https://twitter.com/AliwaOkello/status/922383034799788032","922383034799788032")</f>
        <v>922383034799788032</v>
      </c>
      <c r="F6285" s="9" t="s">
        <v>979</v>
      </c>
      <c r="G6285" s="10" t="n">
        <v>199</v>
      </c>
      <c r="H6285" s="10" t="n">
        <v>30</v>
      </c>
      <c r="I6285" s="10" t="n">
        <v>0</v>
      </c>
      <c r="J6285" s="10" t="n">
        <v>0</v>
      </c>
      <c r="K6285" s="10" t="s">
        <v>20</v>
      </c>
      <c r="L6285" s="11" t="n">
        <v>41411.1703587963</v>
      </c>
      <c r="M6285" s="12" t="s">
        <v>1028</v>
      </c>
      <c r="N6285" s="12" t="s">
        <v>14394</v>
      </c>
      <c r="O6285" s="9" t="str">
        <f aca="false">HYPERLINK("https://pbs.twimg.com/profile_images/796582872782094337/y1nb7iEB_normal.jpg","View")</f>
        <v>View</v>
      </c>
      <c r="P6285" s="10"/>
    </row>
    <row r="6286" customFormat="false" ht="15.75" hidden="false" customHeight="false" outlineLevel="0" collapsed="false">
      <c r="A6286" s="6" t="n">
        <v>43031.0720949074</v>
      </c>
      <c r="B6286" s="7" t="str">
        <f aca="false">HYPERLINK("https://twitter.com/Eastasianewsnet","@Eastasianewsnet")</f>
        <v>@Eastasianewsnet</v>
      </c>
      <c r="C6286" s="8" t="s">
        <v>8391</v>
      </c>
      <c r="D6286" s="8" t="s">
        <v>14395</v>
      </c>
      <c r="E6286" s="9" t="str">
        <f aca="false">HYPERLINK("https://twitter.com/Eastasianewsnet/status/922383043943206912","922383043943206912")</f>
        <v>922383043943206912</v>
      </c>
      <c r="F6286" s="10" t="s">
        <v>8393</v>
      </c>
      <c r="G6286" s="10" t="n">
        <v>978</v>
      </c>
      <c r="H6286" s="10" t="n">
        <v>749</v>
      </c>
      <c r="I6286" s="10" t="n">
        <v>0</v>
      </c>
      <c r="J6286" s="10" t="n">
        <v>0</v>
      </c>
      <c r="K6286" s="10" t="s">
        <v>20</v>
      </c>
      <c r="L6286" s="11" t="n">
        <v>41607.2244444444</v>
      </c>
      <c r="M6286" s="13" t="s">
        <v>152</v>
      </c>
      <c r="N6286" s="13" t="s">
        <v>8394</v>
      </c>
      <c r="O6286" s="9" t="str">
        <f aca="false">HYPERLINK("https://pbs.twimg.com/profile_images/378800000809605806/f5179eb39984c67c55fd2ad0d06a6532_normal.png","View")</f>
        <v>View</v>
      </c>
      <c r="P6286" s="10"/>
    </row>
    <row r="6287" customFormat="false" ht="15.75" hidden="false" customHeight="false" outlineLevel="0" collapsed="false">
      <c r="A6287" s="6" t="n">
        <v>43031.0722337963</v>
      </c>
      <c r="B6287" s="7" t="str">
        <f aca="false">HYPERLINK("https://twitter.com/InvestDiva","@InvestDiva")</f>
        <v>@InvestDiva</v>
      </c>
      <c r="C6287" s="8" t="s">
        <v>14396</v>
      </c>
      <c r="D6287" s="8" t="s">
        <v>14397</v>
      </c>
      <c r="E6287" s="9" t="str">
        <f aca="false">HYPERLINK("https://twitter.com/InvestDiva/status/922383094706929664","922383094706929664")</f>
        <v>922383094706929664</v>
      </c>
      <c r="F6287" s="10" t="s">
        <v>276</v>
      </c>
      <c r="G6287" s="10" t="n">
        <v>4898</v>
      </c>
      <c r="H6287" s="10" t="n">
        <v>108</v>
      </c>
      <c r="I6287" s="10" t="n">
        <v>10</v>
      </c>
      <c r="J6287" s="10" t="n">
        <v>11</v>
      </c>
      <c r="K6287" s="10" t="s">
        <v>20</v>
      </c>
      <c r="L6287" s="11" t="n">
        <v>41118.3682523148</v>
      </c>
      <c r="M6287" s="12" t="s">
        <v>4425</v>
      </c>
      <c r="N6287" s="12" t="s">
        <v>14398</v>
      </c>
      <c r="O6287" s="9" t="str">
        <f aca="false">HYPERLINK("https://pbs.twimg.com/profile_images/686940605465948161/NCNT1VIM_normal.jpg","View")</f>
        <v>View</v>
      </c>
      <c r="P6287" s="10"/>
    </row>
    <row r="6288" customFormat="false" ht="15.75" hidden="false" customHeight="false" outlineLevel="0" collapsed="false">
      <c r="A6288" s="6" t="n">
        <v>43031.0728935185</v>
      </c>
      <c r="B6288" s="7" t="str">
        <f aca="false">HYPERLINK("https://twitter.com/hassanfahad888","@hassanfahad888")</f>
        <v>@hassanfahad888</v>
      </c>
      <c r="C6288" s="8" t="s">
        <v>14399</v>
      </c>
      <c r="D6288" s="8" t="s">
        <v>14400</v>
      </c>
      <c r="E6288" s="9" t="str">
        <f aca="false">HYPERLINK("https://twitter.com/hassanfahad888/status/922383335468552192","922383335468552192")</f>
        <v>922383335468552192</v>
      </c>
      <c r="F6288" s="10" t="s">
        <v>25</v>
      </c>
      <c r="G6288" s="10" t="n">
        <v>46</v>
      </c>
      <c r="H6288" s="10" t="n">
        <v>128</v>
      </c>
      <c r="I6288" s="10" t="n">
        <v>0</v>
      </c>
      <c r="J6288" s="10" t="n">
        <v>0</v>
      </c>
      <c r="K6288" s="10" t="s">
        <v>20</v>
      </c>
      <c r="L6288" s="11" t="n">
        <v>41322.0070138889</v>
      </c>
      <c r="M6288" s="12" t="s">
        <v>14401</v>
      </c>
      <c r="N6288" s="12" t="s">
        <v>14402</v>
      </c>
      <c r="O6288" s="9" t="str">
        <f aca="false">HYPERLINK("https://pbs.twimg.com/profile_images/884333819909767168/gnHmvL96_normal.jpg","View")</f>
        <v>View</v>
      </c>
      <c r="P6288" s="10"/>
    </row>
    <row r="6289" customFormat="false" ht="15.75" hidden="false" customHeight="false" outlineLevel="0" collapsed="false">
      <c r="A6289" s="6" t="n">
        <v>43031.0731018519</v>
      </c>
      <c r="B6289" s="7" t="str">
        <f aca="false">HYPERLINK("https://twitter.com/blue_democrats","@blue_democrats")</f>
        <v>@blue_democrats</v>
      </c>
      <c r="C6289" s="8" t="s">
        <v>14403</v>
      </c>
      <c r="D6289" s="8" t="s">
        <v>14404</v>
      </c>
      <c r="E6289" s="9" t="str">
        <f aca="false">HYPERLINK("https://twitter.com/blue_democrats/status/922383409313300480","922383409313300480")</f>
        <v>922383409313300480</v>
      </c>
      <c r="F6289" s="10" t="s">
        <v>39</v>
      </c>
      <c r="G6289" s="10" t="n">
        <v>2398</v>
      </c>
      <c r="H6289" s="10" t="n">
        <v>5001</v>
      </c>
      <c r="I6289" s="10" t="n">
        <v>0</v>
      </c>
      <c r="J6289" s="10" t="n">
        <v>2</v>
      </c>
      <c r="K6289" s="10" t="s">
        <v>20</v>
      </c>
      <c r="L6289" s="11" t="n">
        <v>42671.3050231481</v>
      </c>
      <c r="M6289" s="12" t="s">
        <v>295</v>
      </c>
      <c r="N6289" s="12" t="s">
        <v>14405</v>
      </c>
      <c r="O6289" s="9" t="str">
        <f aca="false">HYPERLINK("https://pbs.twimg.com/profile_images/923406695723761665/5pUaQX5f_normal.jpg","View")</f>
        <v>View</v>
      </c>
      <c r="P6289" s="10"/>
    </row>
    <row r="6290" customFormat="false" ht="15.75" hidden="false" customHeight="false" outlineLevel="0" collapsed="false">
      <c r="A6290" s="6" t="n">
        <v>43031.0731828704</v>
      </c>
      <c r="B6290" s="7" t="str">
        <f aca="false">HYPERLINK("https://twitter.com/ZyiteGadgets","@ZyiteGadgets")</f>
        <v>@ZyiteGadgets</v>
      </c>
      <c r="C6290" s="8" t="s">
        <v>171</v>
      </c>
      <c r="D6290" s="8" t="s">
        <v>14406</v>
      </c>
      <c r="E6290" s="9" t="str">
        <f aca="false">HYPERLINK("https://twitter.com/ZyiteGadgets/status/922383437452980226","922383437452980226")</f>
        <v>922383437452980226</v>
      </c>
      <c r="F6290" s="10" t="s">
        <v>110</v>
      </c>
      <c r="G6290" s="10" t="n">
        <v>3542</v>
      </c>
      <c r="H6290" s="10" t="n">
        <v>4844</v>
      </c>
      <c r="I6290" s="10" t="n">
        <v>0</v>
      </c>
      <c r="J6290" s="10" t="n">
        <v>0</v>
      </c>
      <c r="K6290" s="10" t="s">
        <v>20</v>
      </c>
      <c r="L6290" s="11" t="n">
        <v>41470.6147800926</v>
      </c>
      <c r="M6290" s="15" t="s">
        <v>173</v>
      </c>
      <c r="N6290" s="12" t="s">
        <v>174</v>
      </c>
      <c r="O6290" s="9" t="str">
        <f aca="false">HYPERLINK("https://pbs.twimg.com/profile_images/487701633489313793/pIxJHFt5_normal.jpeg","View")</f>
        <v>View</v>
      </c>
      <c r="P6290" s="10"/>
    </row>
    <row r="6291" customFormat="false" ht="15.75" hidden="false" customHeight="false" outlineLevel="0" collapsed="false">
      <c r="A6291" s="6" t="n">
        <v>43031.0734837963</v>
      </c>
      <c r="B6291" s="7" t="str">
        <f aca="false">HYPERLINK("https://twitter.com/MarthaKarua","@MarthaKarua")</f>
        <v>@MarthaKarua</v>
      </c>
      <c r="C6291" s="8" t="s">
        <v>14407</v>
      </c>
      <c r="D6291" s="8" t="s">
        <v>14373</v>
      </c>
      <c r="E6291" s="9" t="str">
        <f aca="false">HYPERLINK("https://twitter.com/MarthaKarua/status/922383549252231168","922383549252231168")</f>
        <v>922383549252231168</v>
      </c>
      <c r="F6291" s="10" t="s">
        <v>177</v>
      </c>
      <c r="G6291" s="10" t="n">
        <v>680361</v>
      </c>
      <c r="H6291" s="10" t="n">
        <v>256</v>
      </c>
      <c r="I6291" s="10" t="n">
        <v>7</v>
      </c>
      <c r="J6291" s="10" t="n">
        <v>0</v>
      </c>
      <c r="K6291" s="10" t="s">
        <v>20</v>
      </c>
      <c r="L6291" s="11" t="n">
        <v>40241.7549421296</v>
      </c>
      <c r="M6291" s="12" t="s">
        <v>13780</v>
      </c>
      <c r="N6291" s="12" t="s">
        <v>14408</v>
      </c>
      <c r="O6291" s="9" t="str">
        <f aca="false">HYPERLINK("https://pbs.twimg.com/profile_images/870387144677883904/czUtEKl5_normal.jpg","View")</f>
        <v>View</v>
      </c>
      <c r="P6291" s="10"/>
    </row>
    <row r="6292" customFormat="false" ht="15.75" hidden="false" customHeight="false" outlineLevel="0" collapsed="false">
      <c r="A6292" s="6" t="n">
        <v>43031.0737847222</v>
      </c>
      <c r="B6292" s="7" t="str">
        <f aca="false">HYPERLINK("https://twitter.com/unseen_wall","@unseen_wall")</f>
        <v>@unseen_wall</v>
      </c>
      <c r="C6292" s="14" t="s">
        <v>14409</v>
      </c>
      <c r="D6292" s="8" t="s">
        <v>14106</v>
      </c>
      <c r="E6292" s="9" t="str">
        <f aca="false">HYPERLINK("https://twitter.com/unseen_wall/status/922383656714252288","922383656714252288")</f>
        <v>922383656714252288</v>
      </c>
      <c r="F6292" s="10" t="s">
        <v>39</v>
      </c>
      <c r="G6292" s="10" t="n">
        <v>257</v>
      </c>
      <c r="H6292" s="10" t="n">
        <v>285</v>
      </c>
      <c r="I6292" s="10" t="n">
        <v>30</v>
      </c>
      <c r="J6292" s="10" t="n">
        <v>0</v>
      </c>
      <c r="K6292" s="10" t="s">
        <v>20</v>
      </c>
      <c r="L6292" s="11" t="n">
        <v>40403.7739351852</v>
      </c>
      <c r="M6292" s="13" t="s">
        <v>14410</v>
      </c>
      <c r="N6292" s="13" t="s">
        <v>14411</v>
      </c>
      <c r="O6292" s="9" t="str">
        <f aca="false">HYPERLINK("https://pbs.twimg.com/profile_images/1215883961/______normal.jpg","View")</f>
        <v>View</v>
      </c>
      <c r="P6292" s="10"/>
    </row>
    <row r="6293" customFormat="false" ht="15.75" hidden="false" customHeight="false" outlineLevel="0" collapsed="false">
      <c r="A6293" s="6" t="n">
        <v>43031.0738310185</v>
      </c>
      <c r="B6293" s="7" t="str">
        <f aca="false">HYPERLINK("https://twitter.com/TIMEWorld","@TIMEWorld")</f>
        <v>@TIMEWorld</v>
      </c>
      <c r="C6293" s="8" t="s">
        <v>937</v>
      </c>
      <c r="D6293" s="8" t="s">
        <v>14412</v>
      </c>
      <c r="E6293" s="9" t="str">
        <f aca="false">HYPERLINK("https://twitter.com/TIMEWorld/status/922383675395903488","922383675395903488")</f>
        <v>922383675395903488</v>
      </c>
      <c r="F6293" s="10" t="s">
        <v>268</v>
      </c>
      <c r="G6293" s="10" t="n">
        <v>63955</v>
      </c>
      <c r="H6293" s="10" t="n">
        <v>117</v>
      </c>
      <c r="I6293" s="10" t="n">
        <v>4</v>
      </c>
      <c r="J6293" s="10" t="n">
        <v>0</v>
      </c>
      <c r="K6293" s="10" t="s">
        <v>20</v>
      </c>
      <c r="L6293" s="11" t="n">
        <v>39664.3483912037</v>
      </c>
      <c r="M6293" s="12"/>
      <c r="N6293" s="12" t="s">
        <v>939</v>
      </c>
      <c r="O6293" s="9" t="str">
        <f aca="false">HYPERLINK("https://pbs.twimg.com/profile_images/481138361441079298/97ZgTF1Y_normal.jpeg","View")</f>
        <v>View</v>
      </c>
      <c r="P6293" s="10"/>
    </row>
    <row r="6294" customFormat="false" ht="15.75" hidden="false" customHeight="false" outlineLevel="0" collapsed="false">
      <c r="A6294" s="6" t="n">
        <v>43031.0739351852</v>
      </c>
      <c r="B6294" s="7" t="str">
        <f aca="false">HYPERLINK("https://twitter.com/NagrathRob","@NagrathRob")</f>
        <v>@NagrathRob</v>
      </c>
      <c r="C6294" s="8" t="s">
        <v>14413</v>
      </c>
      <c r="D6294" s="8" t="s">
        <v>8538</v>
      </c>
      <c r="E6294" s="9" t="str">
        <f aca="false">HYPERLINK("https://twitter.com/NagrathRob/status/922383709273124864","922383709273124864")</f>
        <v>922383709273124864</v>
      </c>
      <c r="F6294" s="10" t="s">
        <v>51</v>
      </c>
      <c r="G6294" s="10" t="n">
        <v>227</v>
      </c>
      <c r="H6294" s="10" t="n">
        <v>308</v>
      </c>
      <c r="I6294" s="10" t="n">
        <v>1015</v>
      </c>
      <c r="J6294" s="10" t="n">
        <v>0</v>
      </c>
      <c r="K6294" s="10" t="s">
        <v>20</v>
      </c>
      <c r="L6294" s="11" t="n">
        <v>42083.7402314815</v>
      </c>
      <c r="M6294" s="12"/>
      <c r="N6294" s="12" t="s">
        <v>14414</v>
      </c>
      <c r="O6294" s="9" t="str">
        <f aca="false">HYPERLINK("https://pbs.twimg.com/profile_images/905034890185326592/PfmPt-Zw_normal.jpg","View")</f>
        <v>View</v>
      </c>
      <c r="P6294" s="10"/>
    </row>
    <row r="6295" customFormat="false" ht="15.75" hidden="false" customHeight="false" outlineLevel="0" collapsed="false">
      <c r="A6295" s="6" t="n">
        <v>43031.0740972222</v>
      </c>
      <c r="B6295" s="7" t="str">
        <f aca="false">HYPERLINK("https://twitter.com/valvane","@valvane")</f>
        <v>@valvane</v>
      </c>
      <c r="C6295" s="8" t="s">
        <v>14415</v>
      </c>
      <c r="D6295" s="8" t="s">
        <v>13903</v>
      </c>
      <c r="E6295" s="9" t="str">
        <f aca="false">HYPERLINK("https://twitter.com/valvane/status/922383771869044736","922383771869044736")</f>
        <v>922383771869044736</v>
      </c>
      <c r="F6295" s="10" t="s">
        <v>98</v>
      </c>
      <c r="G6295" s="10" t="n">
        <v>543</v>
      </c>
      <c r="H6295" s="10" t="n">
        <v>86</v>
      </c>
      <c r="I6295" s="10" t="n">
        <v>7</v>
      </c>
      <c r="J6295" s="10" t="n">
        <v>0</v>
      </c>
      <c r="K6295" s="10" t="s">
        <v>20</v>
      </c>
      <c r="L6295" s="11" t="n">
        <v>39561.4095023148</v>
      </c>
      <c r="M6295" s="13" t="s">
        <v>14416</v>
      </c>
      <c r="N6295" s="13" t="s">
        <v>14417</v>
      </c>
      <c r="O6295" s="9" t="str">
        <f aca="false">HYPERLINK("https://pbs.twimg.com/profile_images/531366324887228416/tMiXKXPb_normal.jpeg","View")</f>
        <v>View</v>
      </c>
      <c r="P6295" s="10"/>
    </row>
    <row r="6296" customFormat="false" ht="15.75" hidden="false" customHeight="false" outlineLevel="0" collapsed="false">
      <c r="A6296" s="6" t="n">
        <v>43031.0745833333</v>
      </c>
      <c r="B6296" s="7" t="str">
        <f aca="false">HYPERLINK("https://twitter.com/shoonya_0","@shoonya_0")</f>
        <v>@shoonya_0</v>
      </c>
      <c r="C6296" s="8" t="s">
        <v>14418</v>
      </c>
      <c r="D6296" s="8" t="s">
        <v>8538</v>
      </c>
      <c r="E6296" s="9" t="str">
        <f aca="false">HYPERLINK("https://twitter.com/shoonya_0/status/922383945521434624","922383945521434624")</f>
        <v>922383945521434624</v>
      </c>
      <c r="F6296" s="10" t="s">
        <v>39</v>
      </c>
      <c r="G6296" s="10" t="n">
        <v>1948</v>
      </c>
      <c r="H6296" s="10" t="n">
        <v>933</v>
      </c>
      <c r="I6296" s="10" t="n">
        <v>1015</v>
      </c>
      <c r="J6296" s="10" t="n">
        <v>0</v>
      </c>
      <c r="K6296" s="10" t="s">
        <v>20</v>
      </c>
      <c r="L6296" s="11" t="n">
        <v>41470.2593055556</v>
      </c>
      <c r="M6296" s="12" t="s">
        <v>14419</v>
      </c>
      <c r="N6296" s="12" t="s">
        <v>14420</v>
      </c>
      <c r="O6296" s="9" t="str">
        <f aca="false">HYPERLINK("https://pbs.twimg.com/profile_images/860483718053412864/59WuD6Lp_normal.jpg","View")</f>
        <v>View</v>
      </c>
      <c r="P6296" s="10"/>
    </row>
    <row r="6297" customFormat="false" ht="15.75" hidden="false" customHeight="false" outlineLevel="0" collapsed="false">
      <c r="A6297" s="6" t="n">
        <v>43031.0747569444</v>
      </c>
      <c r="B6297" s="7" t="str">
        <f aca="false">HYPERLINK("https://twitter.com/muraliks_11","@muraliks_11")</f>
        <v>@muraliks_11</v>
      </c>
      <c r="C6297" s="8" t="s">
        <v>5262</v>
      </c>
      <c r="D6297" s="8" t="s">
        <v>8538</v>
      </c>
      <c r="E6297" s="9" t="str">
        <f aca="false">HYPERLINK("https://twitter.com/muraliks_11/status/922384011040665600","922384011040665600")</f>
        <v>922384011040665600</v>
      </c>
      <c r="F6297" s="10" t="s">
        <v>25</v>
      </c>
      <c r="G6297" s="10" t="n">
        <v>439</v>
      </c>
      <c r="H6297" s="10" t="n">
        <v>680</v>
      </c>
      <c r="I6297" s="10" t="n">
        <v>1015</v>
      </c>
      <c r="J6297" s="10" t="n">
        <v>0</v>
      </c>
      <c r="K6297" s="10" t="s">
        <v>20</v>
      </c>
      <c r="L6297" s="11" t="n">
        <v>42699.1954282407</v>
      </c>
      <c r="M6297" s="12" t="s">
        <v>5263</v>
      </c>
      <c r="N6297" s="12" t="s">
        <v>5264</v>
      </c>
      <c r="O6297" s="9" t="str">
        <f aca="false">HYPERLINK("https://pbs.twimg.com/profile_images/922154007883218945/ZVh24l1d_normal.jpg","View")</f>
        <v>View</v>
      </c>
      <c r="P6297" s="10"/>
    </row>
    <row r="6298" customFormat="false" ht="15.75" hidden="false" customHeight="false" outlineLevel="0" collapsed="false">
      <c r="A6298" s="6" t="n">
        <v>43031.0752893519</v>
      </c>
      <c r="B6298" s="7" t="str">
        <f aca="false">HYPERLINK("https://twitter.com/pablorodas","@pablorodas")</f>
        <v>@pablorodas</v>
      </c>
      <c r="C6298" s="8" t="s">
        <v>14421</v>
      </c>
      <c r="D6298" s="8" t="s">
        <v>12764</v>
      </c>
      <c r="E6298" s="9" t="str">
        <f aca="false">HYPERLINK("https://twitter.com/pablorodas/status/922384200224903169","922384200224903169")</f>
        <v>922384200224903169</v>
      </c>
      <c r="F6298" s="10" t="s">
        <v>51</v>
      </c>
      <c r="G6298" s="10" t="n">
        <v>45436</v>
      </c>
      <c r="H6298" s="10" t="n">
        <v>34461</v>
      </c>
      <c r="I6298" s="10" t="n">
        <v>170</v>
      </c>
      <c r="J6298" s="10" t="n">
        <v>0</v>
      </c>
      <c r="K6298" s="10" t="s">
        <v>20</v>
      </c>
      <c r="L6298" s="11" t="n">
        <v>39993.4262037037</v>
      </c>
      <c r="M6298" s="12" t="s">
        <v>13219</v>
      </c>
      <c r="N6298" s="12" t="s">
        <v>14422</v>
      </c>
      <c r="O6298" s="9" t="str">
        <f aca="false">HYPERLINK("https://pbs.twimg.com/profile_images/921490387625267201/HIuoXZV9_normal.jpg","View")</f>
        <v>View</v>
      </c>
      <c r="P6298" s="10"/>
    </row>
    <row r="6299" customFormat="false" ht="15.75" hidden="false" customHeight="false" outlineLevel="0" collapsed="false">
      <c r="A6299" s="6" t="n">
        <v>43031.075625</v>
      </c>
      <c r="B6299" s="7" t="str">
        <f aca="false">HYPERLINK("https://twitter.com/sassenvanelsloo","@sassenvanelsloo")</f>
        <v>@sassenvanelsloo</v>
      </c>
      <c r="C6299" s="8" t="s">
        <v>14423</v>
      </c>
      <c r="D6299" s="8" t="s">
        <v>13172</v>
      </c>
      <c r="E6299" s="9" t="str">
        <f aca="false">HYPERLINK("https://twitter.com/sassenvanelsloo/status/922384323575255042","922384323575255042")</f>
        <v>922384323575255042</v>
      </c>
      <c r="F6299" s="10" t="s">
        <v>25</v>
      </c>
      <c r="G6299" s="10" t="n">
        <v>4808</v>
      </c>
      <c r="H6299" s="10" t="n">
        <v>5208</v>
      </c>
      <c r="I6299" s="10" t="n">
        <v>26</v>
      </c>
      <c r="J6299" s="10" t="n">
        <v>0</v>
      </c>
      <c r="K6299" s="10" t="s">
        <v>20</v>
      </c>
      <c r="L6299" s="11" t="n">
        <v>40618.1193287037</v>
      </c>
      <c r="M6299" s="12"/>
      <c r="N6299" s="12" t="s">
        <v>14424</v>
      </c>
      <c r="O6299" s="9" t="str">
        <f aca="false">HYPERLINK("https://pbs.twimg.com/profile_images/887988029264203776/zNQtwZJg_normal.jpg","View")</f>
        <v>View</v>
      </c>
      <c r="P6299" s="10"/>
    </row>
    <row r="6300" customFormat="false" ht="15.75" hidden="false" customHeight="false" outlineLevel="0" collapsed="false">
      <c r="A6300" s="6" t="n">
        <v>43031.0756712963</v>
      </c>
      <c r="B6300" s="7" t="str">
        <f aca="false">HYPERLINK("https://twitter.com/rob3knews","@rob3knews")</f>
        <v>@rob3knews</v>
      </c>
      <c r="C6300" s="8" t="s">
        <v>13449</v>
      </c>
      <c r="D6300" s="8" t="s">
        <v>14425</v>
      </c>
      <c r="E6300" s="9" t="str">
        <f aca="false">HYPERLINK("https://twitter.com/rob3knews/status/922384338632704000","922384338632704000")</f>
        <v>922384338632704000</v>
      </c>
      <c r="F6300" s="10" t="s">
        <v>55</v>
      </c>
      <c r="G6300" s="10" t="n">
        <v>23</v>
      </c>
      <c r="H6300" s="10" t="n">
        <v>0</v>
      </c>
      <c r="I6300" s="10" t="n">
        <v>0</v>
      </c>
      <c r="J6300" s="10" t="n">
        <v>0</v>
      </c>
      <c r="K6300" s="10" t="s">
        <v>20</v>
      </c>
      <c r="L6300" s="11" t="n">
        <v>40659.2846527778</v>
      </c>
      <c r="M6300" s="12"/>
      <c r="N6300" s="12"/>
      <c r="O6300" s="9" t="str">
        <f aca="false">HYPERLINK("https://abs.twimg.com/sticky/default_profile_images/default_profile_normal.png","View")</f>
        <v>View</v>
      </c>
      <c r="P6300" s="10"/>
    </row>
    <row r="6301" customFormat="false" ht="15.75" hidden="false" customHeight="false" outlineLevel="0" collapsed="false">
      <c r="A6301" s="6" t="n">
        <v>43031.0756828704</v>
      </c>
      <c r="B6301" s="7" t="str">
        <f aca="false">HYPERLINK("https://twitter.com/libertad717","@libertad717")</f>
        <v>@libertad717</v>
      </c>
      <c r="C6301" s="8" t="s">
        <v>14426</v>
      </c>
      <c r="D6301" s="8" t="s">
        <v>9519</v>
      </c>
      <c r="E6301" s="9" t="str">
        <f aca="false">HYPERLINK("https://twitter.com/libertad717/status/922384343980564480","922384343980564480")</f>
        <v>922384343980564480</v>
      </c>
      <c r="F6301" s="10" t="s">
        <v>25</v>
      </c>
      <c r="G6301" s="10" t="n">
        <v>1044</v>
      </c>
      <c r="H6301" s="10" t="n">
        <v>1063</v>
      </c>
      <c r="I6301" s="10" t="n">
        <v>11</v>
      </c>
      <c r="J6301" s="10" t="n">
        <v>0</v>
      </c>
      <c r="K6301" s="10" t="s">
        <v>20</v>
      </c>
      <c r="L6301" s="11" t="n">
        <v>40681.7012037037</v>
      </c>
      <c r="M6301" s="12"/>
      <c r="N6301" s="12"/>
      <c r="O6301" s="9" t="str">
        <f aca="false">HYPERLINK("https://pbs.twimg.com/profile_images/378800000709612949/cfd1435ac2c89df971f95fff2d2610a6_normal.jpeg","View")</f>
        <v>View</v>
      </c>
      <c r="P6301" s="10"/>
    </row>
    <row r="6302" customFormat="false" ht="15.75" hidden="false" customHeight="false" outlineLevel="0" collapsed="false">
      <c r="A6302" s="6" t="n">
        <v>43031.0758680556</v>
      </c>
      <c r="B6302" s="7" t="str">
        <f aca="false">HYPERLINK("https://twitter.com/NickD72601197","@NickD72601197")</f>
        <v>@NickD72601197</v>
      </c>
      <c r="C6302" s="8" t="s">
        <v>14427</v>
      </c>
      <c r="D6302" s="8" t="s">
        <v>9696</v>
      </c>
      <c r="E6302" s="9" t="str">
        <f aca="false">HYPERLINK("https://twitter.com/NickD72601197/status/922384413123543041","922384413123543041")</f>
        <v>922384413123543041</v>
      </c>
      <c r="F6302" s="10" t="s">
        <v>14428</v>
      </c>
      <c r="G6302" s="10" t="n">
        <v>254</v>
      </c>
      <c r="H6302" s="10" t="n">
        <v>2312</v>
      </c>
      <c r="I6302" s="10" t="n">
        <v>7</v>
      </c>
      <c r="J6302" s="10" t="n">
        <v>0</v>
      </c>
      <c r="K6302" s="10" t="s">
        <v>20</v>
      </c>
      <c r="L6302" s="11" t="n">
        <v>42904.5274074074</v>
      </c>
      <c r="M6302" s="12" t="s">
        <v>230</v>
      </c>
      <c r="N6302" s="12" t="s">
        <v>14429</v>
      </c>
      <c r="O6302" s="9" t="str">
        <f aca="false">HYPERLINK("https://pbs.twimg.com/profile_images/876525064207966210/JF-OGieZ_normal.jpg","View")</f>
        <v>View</v>
      </c>
      <c r="P6302" s="10"/>
    </row>
    <row r="6303" customFormat="false" ht="15.75" hidden="false" customHeight="false" outlineLevel="0" collapsed="false">
      <c r="A6303" s="6" t="n">
        <v>43031.0758796296</v>
      </c>
      <c r="B6303" s="7" t="str">
        <f aca="false">HYPERLINK("https://twitter.com/Ivanevans254","@Ivanevans254")</f>
        <v>@Ivanevans254</v>
      </c>
      <c r="C6303" s="8" t="s">
        <v>14430</v>
      </c>
      <c r="D6303" s="8" t="s">
        <v>14386</v>
      </c>
      <c r="E6303" s="9" t="str">
        <f aca="false">HYPERLINK("https://twitter.com/Ivanevans254/status/922384414797172737","922384414797172737")</f>
        <v>922384414797172737</v>
      </c>
      <c r="F6303" s="10" t="s">
        <v>25</v>
      </c>
      <c r="G6303" s="10" t="n">
        <v>239</v>
      </c>
      <c r="H6303" s="10" t="n">
        <v>819</v>
      </c>
      <c r="I6303" s="10" t="n">
        <v>2</v>
      </c>
      <c r="J6303" s="10" t="n">
        <v>0</v>
      </c>
      <c r="K6303" s="10" t="s">
        <v>20</v>
      </c>
      <c r="L6303" s="11" t="n">
        <v>42923.2274768519</v>
      </c>
      <c r="M6303" s="12" t="s">
        <v>14431</v>
      </c>
      <c r="N6303" s="12" t="s">
        <v>14432</v>
      </c>
      <c r="O6303" s="9" t="str">
        <f aca="false">HYPERLINK("https://pbs.twimg.com/profile_images/920652937709477888/CrgzEEMq_normal.jpg","View")</f>
        <v>View</v>
      </c>
      <c r="P6303" s="10"/>
    </row>
    <row r="6304" customFormat="false" ht="15.75" hidden="false" customHeight="false" outlineLevel="0" collapsed="false">
      <c r="A6304" s="6" t="n">
        <v>43031.0758796296</v>
      </c>
      <c r="B6304" s="7" t="str">
        <f aca="false">HYPERLINK("https://twitter.com/JudithAkolo","@JudithAkolo")</f>
        <v>@JudithAkolo</v>
      </c>
      <c r="C6304" s="8" t="s">
        <v>14433</v>
      </c>
      <c r="D6304" s="8" t="s">
        <v>14434</v>
      </c>
      <c r="E6304" s="9" t="str">
        <f aca="false">HYPERLINK("https://twitter.com/JudithAkolo/status/922384415635931136","922384415635931136")</f>
        <v>922384415635931136</v>
      </c>
      <c r="F6304" s="10" t="s">
        <v>39</v>
      </c>
      <c r="G6304" s="10" t="n">
        <v>3473</v>
      </c>
      <c r="H6304" s="10" t="n">
        <v>1000</v>
      </c>
      <c r="I6304" s="10" t="n">
        <v>4</v>
      </c>
      <c r="J6304" s="10" t="n">
        <v>0</v>
      </c>
      <c r="K6304" s="10" t="s">
        <v>20</v>
      </c>
      <c r="L6304" s="11" t="n">
        <v>40738.139224537</v>
      </c>
      <c r="M6304" s="12" t="s">
        <v>2400</v>
      </c>
      <c r="N6304" s="12" t="s">
        <v>14435</v>
      </c>
      <c r="O6304" s="9" t="str">
        <f aca="false">HYPERLINK("https://pbs.twimg.com/profile_images/862594393743785985/9UN7ab-r_normal.jpg","View")</f>
        <v>View</v>
      </c>
      <c r="P6304" s="10"/>
    </row>
    <row r="6305" customFormat="false" ht="15.75" hidden="false" customHeight="false" outlineLevel="0" collapsed="false">
      <c r="A6305" s="6" t="n">
        <v>43031.0758912037</v>
      </c>
      <c r="B6305" s="7" t="str">
        <f aca="false">HYPERLINK("https://twitter.com/Spurrconsult","@Spurrconsult")</f>
        <v>@Spurrconsult</v>
      </c>
      <c r="C6305" s="8" t="s">
        <v>14436</v>
      </c>
      <c r="D6305" s="8" t="s">
        <v>11084</v>
      </c>
      <c r="E6305" s="9" t="str">
        <f aca="false">HYPERLINK("https://twitter.com/Spurrconsult/status/922384419083685888","922384419083685888")</f>
        <v>922384419083685888</v>
      </c>
      <c r="F6305" s="10" t="s">
        <v>39</v>
      </c>
      <c r="G6305" s="10" t="n">
        <v>535</v>
      </c>
      <c r="H6305" s="10" t="n">
        <v>473</v>
      </c>
      <c r="I6305" s="10" t="n">
        <v>13</v>
      </c>
      <c r="J6305" s="10" t="n">
        <v>0</v>
      </c>
      <c r="K6305" s="10" t="s">
        <v>20</v>
      </c>
      <c r="L6305" s="11" t="n">
        <v>42535.2686805556</v>
      </c>
      <c r="M6305" s="12" t="s">
        <v>3597</v>
      </c>
      <c r="N6305" s="12" t="s">
        <v>14437</v>
      </c>
      <c r="O6305" s="9" t="str">
        <f aca="false">HYPERLINK("https://pbs.twimg.com/profile_images/748245440408264705/KTJdsgll_normal.jpg","View")</f>
        <v>View</v>
      </c>
      <c r="P6305" s="10"/>
    </row>
    <row r="6306" customFormat="false" ht="15.75" hidden="false" customHeight="false" outlineLevel="0" collapsed="false">
      <c r="A6306" s="6" t="n">
        <v>43031.0762152778</v>
      </c>
      <c r="B6306" s="7" t="str">
        <f aca="false">HYPERLINK("https://twitter.com/Monalisazelf","@Monalisazelf")</f>
        <v>@Monalisazelf</v>
      </c>
      <c r="C6306" s="8" t="s">
        <v>4264</v>
      </c>
      <c r="D6306" s="8" t="s">
        <v>13595</v>
      </c>
      <c r="E6306" s="9" t="str">
        <f aca="false">HYPERLINK("https://twitter.com/Monalisazelf/status/922384538206130177","922384538206130177")</f>
        <v>922384538206130177</v>
      </c>
      <c r="F6306" s="10" t="s">
        <v>25</v>
      </c>
      <c r="G6306" s="10" t="n">
        <v>1534</v>
      </c>
      <c r="H6306" s="10" t="n">
        <v>4397</v>
      </c>
      <c r="I6306" s="10" t="n">
        <v>88</v>
      </c>
      <c r="J6306" s="10" t="n">
        <v>0</v>
      </c>
      <c r="K6306" s="10" t="s">
        <v>20</v>
      </c>
      <c r="L6306" s="11" t="n">
        <v>40142.1908449074</v>
      </c>
      <c r="M6306" s="12"/>
      <c r="N6306" s="12" t="s">
        <v>4265</v>
      </c>
      <c r="O6306" s="9" t="str">
        <f aca="false">HYPERLINK("https://pbs.twimg.com/profile_images/843806789003042816/_YrsHDLc_normal.jpg","View")</f>
        <v>View</v>
      </c>
      <c r="P6306" s="10"/>
    </row>
    <row r="6307" customFormat="false" ht="15.75" hidden="false" customHeight="false" outlineLevel="0" collapsed="false">
      <c r="A6307" s="6" t="n">
        <v>43031.0766319444</v>
      </c>
      <c r="B6307" s="7" t="str">
        <f aca="false">HYPERLINK("https://twitter.com/ungubunugu1274","@ungubunugu1274")</f>
        <v>@ungubunugu1274</v>
      </c>
      <c r="C6307" s="8" t="s">
        <v>14438</v>
      </c>
      <c r="D6307" s="8" t="s">
        <v>12764</v>
      </c>
      <c r="E6307" s="9" t="str">
        <f aca="false">HYPERLINK("https://twitter.com/ungubunugu1274/status/922384690471948288","922384690471948288")</f>
        <v>922384690471948288</v>
      </c>
      <c r="F6307" s="10" t="s">
        <v>25</v>
      </c>
      <c r="G6307" s="10" t="n">
        <v>929</v>
      </c>
      <c r="H6307" s="10" t="n">
        <v>1599</v>
      </c>
      <c r="I6307" s="10" t="n">
        <v>170</v>
      </c>
      <c r="J6307" s="10" t="n">
        <v>0</v>
      </c>
      <c r="K6307" s="10" t="s">
        <v>20</v>
      </c>
      <c r="L6307" s="11" t="n">
        <v>42575.6902199074</v>
      </c>
      <c r="M6307" s="12" t="s">
        <v>14439</v>
      </c>
      <c r="N6307" s="12" t="s">
        <v>14440</v>
      </c>
      <c r="O6307" s="9" t="str">
        <f aca="false">HYPERLINK("https://pbs.twimg.com/profile_images/819018184644849664/MDkBTuFz_normal.jpg","View")</f>
        <v>View</v>
      </c>
      <c r="P6307" s="10"/>
    </row>
    <row r="6308" customFormat="false" ht="15.75" hidden="false" customHeight="false" outlineLevel="0" collapsed="false">
      <c r="A6308" s="6" t="n">
        <v>43031.0766550926</v>
      </c>
      <c r="B6308" s="7" t="str">
        <f aca="false">HYPERLINK("https://twitter.com/biren_b","@biren_b")</f>
        <v>@biren_b</v>
      </c>
      <c r="C6308" s="8" t="s">
        <v>14441</v>
      </c>
      <c r="D6308" s="8" t="s">
        <v>8538</v>
      </c>
      <c r="E6308" s="9" t="str">
        <f aca="false">HYPERLINK("https://twitter.com/biren_b/status/922384697774129152","922384697774129152")</f>
        <v>922384697774129152</v>
      </c>
      <c r="F6308" s="10" t="s">
        <v>25</v>
      </c>
      <c r="G6308" s="10" t="n">
        <v>335</v>
      </c>
      <c r="H6308" s="10" t="n">
        <v>718</v>
      </c>
      <c r="I6308" s="10" t="n">
        <v>1015</v>
      </c>
      <c r="J6308" s="10" t="n">
        <v>0</v>
      </c>
      <c r="K6308" s="10" t="s">
        <v>20</v>
      </c>
      <c r="L6308" s="11" t="n">
        <v>41680.2568402778</v>
      </c>
      <c r="M6308" s="12"/>
      <c r="N6308" s="12" t="s">
        <v>14442</v>
      </c>
      <c r="O6308" s="9" t="str">
        <f aca="false">HYPERLINK("https://pbs.twimg.com/profile_images/835388689530380289/s_IZO5zM_normal.jpg","View")</f>
        <v>View</v>
      </c>
      <c r="P6308" s="10"/>
    </row>
    <row r="6309" customFormat="false" ht="15.75" hidden="false" customHeight="false" outlineLevel="0" collapsed="false">
      <c r="A6309" s="6" t="n">
        <v>43031.0767013889</v>
      </c>
      <c r="B6309" s="7" t="str">
        <f aca="false">HYPERLINK("https://twitter.com/twittFliy","@twittFliy")</f>
        <v>@twittFliy</v>
      </c>
      <c r="C6309" s="8" t="s">
        <v>2883</v>
      </c>
      <c r="D6309" s="8" t="s">
        <v>13595</v>
      </c>
      <c r="E6309" s="9" t="str">
        <f aca="false">HYPERLINK("https://twitter.com/twittFliy/status/922384714933178369","922384714933178369")</f>
        <v>922384714933178369</v>
      </c>
      <c r="F6309" s="10" t="s">
        <v>2884</v>
      </c>
      <c r="G6309" s="10" t="n">
        <v>5606</v>
      </c>
      <c r="H6309" s="10" t="n">
        <v>1782</v>
      </c>
      <c r="I6309" s="10" t="n">
        <v>88</v>
      </c>
      <c r="J6309" s="10" t="n">
        <v>0</v>
      </c>
      <c r="K6309" s="10" t="s">
        <v>20</v>
      </c>
      <c r="L6309" s="11" t="n">
        <v>42240.4918981481</v>
      </c>
      <c r="M6309" s="12"/>
      <c r="N6309" s="12" t="s">
        <v>2885</v>
      </c>
      <c r="O6309" s="9" t="str">
        <f aca="false">HYPERLINK("https://pbs.twimg.com/profile_images/635931039215583232/NLUpEzNY_normal.jpg","View")</f>
        <v>View</v>
      </c>
      <c r="P6309" s="10"/>
    </row>
    <row r="6310" customFormat="false" ht="15.75" hidden="false" customHeight="false" outlineLevel="0" collapsed="false">
      <c r="A6310" s="6" t="n">
        <v>43031.0768518519</v>
      </c>
      <c r="B6310" s="7" t="str">
        <f aca="false">HYPERLINK("https://twitter.com/MAXBennette","@MAXBennette")</f>
        <v>@MAXBennette</v>
      </c>
      <c r="C6310" s="8" t="s">
        <v>14443</v>
      </c>
      <c r="D6310" s="8" t="s">
        <v>14444</v>
      </c>
      <c r="E6310" s="9" t="str">
        <f aca="false">HYPERLINK("https://twitter.com/MAXBennette/status/922384770100875264","922384770100875264")</f>
        <v>922384770100875264</v>
      </c>
      <c r="F6310" s="10" t="s">
        <v>25</v>
      </c>
      <c r="G6310" s="10" t="n">
        <v>51</v>
      </c>
      <c r="H6310" s="10" t="n">
        <v>26</v>
      </c>
      <c r="I6310" s="10" t="n">
        <v>0</v>
      </c>
      <c r="J6310" s="10" t="n">
        <v>0</v>
      </c>
      <c r="K6310" s="10" t="s">
        <v>20</v>
      </c>
      <c r="L6310" s="11" t="n">
        <v>42651.3820601852</v>
      </c>
      <c r="M6310" s="12" t="s">
        <v>312</v>
      </c>
      <c r="N6310" s="12" t="s">
        <v>14445</v>
      </c>
      <c r="O6310" s="9" t="str">
        <f aca="false">HYPERLINK("https://pbs.twimg.com/profile_images/785565943216926720/bYfOE733_normal.jpg","View")</f>
        <v>View</v>
      </c>
      <c r="P6310" s="10"/>
    </row>
    <row r="6311" customFormat="false" ht="15.75" hidden="false" customHeight="false" outlineLevel="0" collapsed="false">
      <c r="A6311" s="6" t="n">
        <v>43031.0769791667</v>
      </c>
      <c r="B6311" s="7" t="str">
        <f aca="false">HYPERLINK("https://twitter.com/epsilonc2","@epsilonc2")</f>
        <v>@epsilonc2</v>
      </c>
      <c r="C6311" s="8" t="s">
        <v>14446</v>
      </c>
      <c r="D6311" s="8" t="s">
        <v>14447</v>
      </c>
      <c r="E6311" s="9" t="str">
        <f aca="false">HYPERLINK("https://twitter.com/epsilonc2/status/922384815881678848","922384815881678848")</f>
        <v>922384815881678848</v>
      </c>
      <c r="F6311" s="10" t="s">
        <v>39</v>
      </c>
      <c r="G6311" s="10" t="n">
        <v>101</v>
      </c>
      <c r="H6311" s="10" t="n">
        <v>876</v>
      </c>
      <c r="I6311" s="10" t="n">
        <v>0</v>
      </c>
      <c r="J6311" s="10" t="n">
        <v>0</v>
      </c>
      <c r="K6311" s="10" t="s">
        <v>20</v>
      </c>
      <c r="L6311" s="11" t="n">
        <v>41561.6117824074</v>
      </c>
      <c r="M6311" s="12" t="s">
        <v>3508</v>
      </c>
      <c r="N6311" s="12"/>
      <c r="O6311" s="9" t="str">
        <f aca="false">HYPERLINK("https://pbs.twimg.com/profile_images/443011134186979328/6PoqVovc_normal.jpeg","View")</f>
        <v>View</v>
      </c>
      <c r="P6311" s="10"/>
    </row>
    <row r="6312" customFormat="false" ht="15.75" hidden="false" customHeight="false" outlineLevel="0" collapsed="false">
      <c r="A6312" s="6" t="n">
        <v>43031.0770023148</v>
      </c>
      <c r="B6312" s="7" t="str">
        <f aca="false">HYPERLINK("https://twitter.com/YodaCon","@YodaCon")</f>
        <v>@YodaCon</v>
      </c>
      <c r="C6312" s="8" t="s">
        <v>14448</v>
      </c>
      <c r="D6312" s="8" t="s">
        <v>14449</v>
      </c>
      <c r="E6312" s="9" t="str">
        <f aca="false">HYPERLINK("https://twitter.com/YodaCon/status/922384822810677248","922384822810677248")</f>
        <v>922384822810677248</v>
      </c>
      <c r="F6312" s="9" t="s">
        <v>14450</v>
      </c>
      <c r="G6312" s="10" t="n">
        <v>8543</v>
      </c>
      <c r="H6312" s="10" t="n">
        <v>5646</v>
      </c>
      <c r="I6312" s="10" t="n">
        <v>23</v>
      </c>
      <c r="J6312" s="10" t="n">
        <v>20</v>
      </c>
      <c r="K6312" s="10" t="s">
        <v>20</v>
      </c>
      <c r="L6312" s="11" t="n">
        <v>41487.4342939815</v>
      </c>
      <c r="M6312" s="12" t="s">
        <v>14451</v>
      </c>
      <c r="N6312" s="12" t="s">
        <v>14452</v>
      </c>
      <c r="O6312" s="9" t="str">
        <f aca="false">HYPERLINK("https://pbs.twimg.com/profile_images/378800000706993634/5042f1290b2454b25e0cecc47d97ee29_normal.jpeg","View")</f>
        <v>View</v>
      </c>
      <c r="P6312" s="10"/>
    </row>
    <row r="6313" customFormat="false" ht="15.75" hidden="false" customHeight="false" outlineLevel="0" collapsed="false">
      <c r="A6313" s="6" t="n">
        <v>43031.0777662037</v>
      </c>
      <c r="B6313" s="7" t="str">
        <f aca="false">HYPERLINK("https://twitter.com/Tusk8rman","@Tusk8rman")</f>
        <v>@Tusk8rman</v>
      </c>
      <c r="C6313" s="8" t="s">
        <v>14453</v>
      </c>
      <c r="D6313" s="8" t="s">
        <v>14373</v>
      </c>
      <c r="E6313" s="9" t="str">
        <f aca="false">HYPERLINK("https://twitter.com/Tusk8rman/status/922385101211734016","922385101211734016")</f>
        <v>922385101211734016</v>
      </c>
      <c r="F6313" s="10" t="s">
        <v>51</v>
      </c>
      <c r="G6313" s="10" t="n">
        <v>3051</v>
      </c>
      <c r="H6313" s="10" t="n">
        <v>1032</v>
      </c>
      <c r="I6313" s="10" t="n">
        <v>7</v>
      </c>
      <c r="J6313" s="10" t="n">
        <v>0</v>
      </c>
      <c r="K6313" s="10" t="s">
        <v>20</v>
      </c>
      <c r="L6313" s="11" t="n">
        <v>40036.4014699074</v>
      </c>
      <c r="M6313" s="12" t="s">
        <v>14454</v>
      </c>
      <c r="N6313" s="12" t="s">
        <v>14455</v>
      </c>
      <c r="O6313" s="9" t="str">
        <f aca="false">HYPERLINK("https://pbs.twimg.com/profile_images/873348900127727616/GncNTv5b_normal.jpg","View")</f>
        <v>View</v>
      </c>
      <c r="P6313" s="10"/>
    </row>
    <row r="6314" customFormat="false" ht="15.75" hidden="false" customHeight="false" outlineLevel="0" collapsed="false">
      <c r="A6314" s="6" t="n">
        <v>43031.0778125</v>
      </c>
      <c r="B6314" s="7" t="str">
        <f aca="false">HYPERLINK("https://twitter.com/AHA1R","@AHA1R")</f>
        <v>@AHA1R</v>
      </c>
      <c r="C6314" s="8" t="s">
        <v>961</v>
      </c>
      <c r="D6314" s="8" t="s">
        <v>14456</v>
      </c>
      <c r="E6314" s="9" t="str">
        <f aca="false">HYPERLINK("https://twitter.com/AHA1R/status/922385118383235072","922385118383235072")</f>
        <v>922385118383235072</v>
      </c>
      <c r="F6314" s="10" t="s">
        <v>60</v>
      </c>
      <c r="G6314" s="10" t="n">
        <v>6016</v>
      </c>
      <c r="H6314" s="10" t="n">
        <v>292</v>
      </c>
      <c r="I6314" s="10" t="n">
        <v>0</v>
      </c>
      <c r="J6314" s="10" t="n">
        <v>0</v>
      </c>
      <c r="K6314" s="10" t="s">
        <v>20</v>
      </c>
      <c r="L6314" s="11" t="n">
        <v>41866.115462963</v>
      </c>
      <c r="M6314" s="12" t="s">
        <v>963</v>
      </c>
      <c r="N6314" s="12" t="s">
        <v>964</v>
      </c>
      <c r="O6314" s="9" t="str">
        <f aca="false">HYPERLINK("https://pbs.twimg.com/profile_images/921412196591996928/bAd4X5Yt_normal.jpg","View")</f>
        <v>View</v>
      </c>
      <c r="P6314" s="10"/>
    </row>
    <row r="6315" customFormat="false" ht="15.75" hidden="false" customHeight="false" outlineLevel="0" collapsed="false">
      <c r="A6315" s="6" t="n">
        <v>43031.0778703704</v>
      </c>
      <c r="B6315" s="7" t="str">
        <f aca="false">HYPERLINK("https://twitter.com/TIME","@TIME")</f>
        <v>@TIME</v>
      </c>
      <c r="C6315" s="8" t="s">
        <v>1003</v>
      </c>
      <c r="D6315" s="8" t="s">
        <v>14457</v>
      </c>
      <c r="E6315" s="9" t="str">
        <f aca="false">HYPERLINK("https://twitter.com/TIME/status/922385135592443904","922385135592443904")</f>
        <v>922385135592443904</v>
      </c>
      <c r="F6315" s="10" t="s">
        <v>268</v>
      </c>
      <c r="G6315" s="10" t="n">
        <v>14839469</v>
      </c>
      <c r="H6315" s="10" t="n">
        <v>848</v>
      </c>
      <c r="I6315" s="10" t="n">
        <v>51</v>
      </c>
      <c r="J6315" s="10" t="n">
        <v>64</v>
      </c>
      <c r="K6315" s="10" t="s">
        <v>20</v>
      </c>
      <c r="L6315" s="11" t="n">
        <v>39541.2878472222</v>
      </c>
      <c r="M6315" s="12"/>
      <c r="N6315" s="12" t="s">
        <v>1005</v>
      </c>
      <c r="O6315" s="9" t="str">
        <f aca="false">HYPERLINK("https://pbs.twimg.com/profile_images/1700796190/Picture_24_normal.png","View")</f>
        <v>View</v>
      </c>
      <c r="P6315" s="10"/>
    </row>
    <row r="6316" customFormat="false" ht="15.75" hidden="false" customHeight="false" outlineLevel="0" collapsed="false">
      <c r="A6316" s="6" t="n">
        <v>43031.0779166667</v>
      </c>
      <c r="B6316" s="7" t="str">
        <f aca="false">HYPERLINK("https://twitter.com/lucchaoui","@lucchaoui")</f>
        <v>@lucchaoui</v>
      </c>
      <c r="C6316" s="8" t="s">
        <v>952</v>
      </c>
      <c r="D6316" s="8" t="s">
        <v>14458</v>
      </c>
      <c r="E6316" s="9" t="str">
        <f aca="false">HYPERLINK("https://twitter.com/lucchaoui/status/922385154538123266","922385154538123266")</f>
        <v>922385154538123266</v>
      </c>
      <c r="F6316" s="10" t="s">
        <v>60</v>
      </c>
      <c r="G6316" s="10" t="n">
        <v>397093</v>
      </c>
      <c r="H6316" s="10" t="n">
        <v>393</v>
      </c>
      <c r="I6316" s="10" t="n">
        <v>0</v>
      </c>
      <c r="J6316" s="10" t="n">
        <v>0</v>
      </c>
      <c r="K6316" s="10" t="s">
        <v>20</v>
      </c>
      <c r="L6316" s="11" t="n">
        <v>39932.4051967593</v>
      </c>
      <c r="M6316" s="12" t="s">
        <v>954</v>
      </c>
      <c r="N6316" s="12" t="s">
        <v>955</v>
      </c>
      <c r="O6316" s="9" t="str">
        <f aca="false">HYPERLINK("https://pbs.twimg.com/profile_images/845679875734196224/DS22r1ae_normal.jpg","View")</f>
        <v>View</v>
      </c>
      <c r="P6316" s="10"/>
    </row>
    <row r="6317" customFormat="false" ht="15.75" hidden="false" customHeight="false" outlineLevel="0" collapsed="false">
      <c r="A6317" s="6" t="n">
        <v>43031.0779513889</v>
      </c>
      <c r="B6317" s="7" t="str">
        <f aca="false">HYPERLINK("https://twitter.com/NewzBoxOffice","@NewzBoxOffice")</f>
        <v>@NewzBoxOffice</v>
      </c>
      <c r="C6317" s="8" t="s">
        <v>14336</v>
      </c>
      <c r="D6317" s="8" t="s">
        <v>14459</v>
      </c>
      <c r="E6317" s="9" t="str">
        <f aca="false">HYPERLINK("https://twitter.com/NewzBoxOffice/status/922385168626868224","922385168626868224")</f>
        <v>922385168626868224</v>
      </c>
      <c r="F6317" s="10" t="s">
        <v>14338</v>
      </c>
      <c r="G6317" s="10" t="n">
        <v>2235</v>
      </c>
      <c r="H6317" s="10" t="n">
        <v>874</v>
      </c>
      <c r="I6317" s="10" t="n">
        <v>1</v>
      </c>
      <c r="J6317" s="10" t="n">
        <v>1</v>
      </c>
      <c r="K6317" s="10" t="s">
        <v>20</v>
      </c>
      <c r="L6317" s="11" t="n">
        <v>41327.3258796296</v>
      </c>
      <c r="M6317" s="12"/>
      <c r="N6317" s="12" t="s">
        <v>14339</v>
      </c>
      <c r="O6317" s="9" t="str">
        <f aca="false">HYPERLINK("https://pbs.twimg.com/profile_images/3771449721/283f324d48438c2b267d1ed9b229f675_normal.jpeg","View")</f>
        <v>View</v>
      </c>
      <c r="P6317" s="10"/>
    </row>
    <row r="6318" customFormat="false" ht="15.75" hidden="false" customHeight="false" outlineLevel="0" collapsed="false">
      <c r="A6318" s="6" t="n">
        <v>43031.077974537</v>
      </c>
      <c r="B6318" s="7" t="str">
        <f aca="false">HYPERLINK("https://twitter.com/PrivateTeacher","@PrivateTeacher")</f>
        <v>@PrivateTeacher</v>
      </c>
      <c r="C6318" s="8" t="s">
        <v>1006</v>
      </c>
      <c r="D6318" s="8" t="s">
        <v>14460</v>
      </c>
      <c r="E6318" s="9" t="str">
        <f aca="false">HYPERLINK("https://twitter.com/PrivateTeacher/status/922385174087774208","922385174087774208")</f>
        <v>922385174087774208</v>
      </c>
      <c r="F6318" s="10" t="s">
        <v>60</v>
      </c>
      <c r="G6318" s="10" t="n">
        <v>79297</v>
      </c>
      <c r="H6318" s="10" t="n">
        <v>72454</v>
      </c>
      <c r="I6318" s="10" t="n">
        <v>0</v>
      </c>
      <c r="J6318" s="10" t="n">
        <v>0</v>
      </c>
      <c r="K6318" s="10" t="s">
        <v>20</v>
      </c>
      <c r="L6318" s="11" t="n">
        <v>40013.4946296296</v>
      </c>
      <c r="M6318" s="12" t="s">
        <v>1008</v>
      </c>
      <c r="N6318" s="12" t="s">
        <v>1009</v>
      </c>
      <c r="O6318" s="9" t="str">
        <f aca="false">HYPERLINK("https://pbs.twimg.com/profile_images/795794703337816065/ji5gptzj_normal.jpg","View")</f>
        <v>View</v>
      </c>
      <c r="P6318" s="10"/>
    </row>
    <row r="6319" customFormat="false" ht="15.75" hidden="false" customHeight="false" outlineLevel="0" collapsed="false">
      <c r="A6319" s="6" t="n">
        <v>43031.0780787037</v>
      </c>
      <c r="B6319" s="7" t="str">
        <f aca="false">HYPERLINK("https://twitter.com/mentalediciones","@mentalediciones")</f>
        <v>@mentalediciones</v>
      </c>
      <c r="C6319" s="8" t="s">
        <v>14461</v>
      </c>
      <c r="D6319" s="8" t="s">
        <v>14462</v>
      </c>
      <c r="E6319" s="9" t="str">
        <f aca="false">HYPERLINK("https://twitter.com/mentalediciones/status/922385211530399745","922385211530399745")</f>
        <v>922385211530399745</v>
      </c>
      <c r="F6319" s="10" t="s">
        <v>60</v>
      </c>
      <c r="G6319" s="10" t="n">
        <v>50</v>
      </c>
      <c r="H6319" s="10" t="n">
        <v>138</v>
      </c>
      <c r="I6319" s="10" t="n">
        <v>0</v>
      </c>
      <c r="J6319" s="10" t="n">
        <v>0</v>
      </c>
      <c r="K6319" s="10" t="s">
        <v>20</v>
      </c>
      <c r="L6319" s="11" t="n">
        <v>42569.1058101852</v>
      </c>
      <c r="M6319" s="12" t="s">
        <v>14463</v>
      </c>
      <c r="N6319" s="12" t="s">
        <v>14464</v>
      </c>
      <c r="O6319" s="9" t="str">
        <f aca="false">HYPERLINK("https://pbs.twimg.com/profile_images/755342682084499456/be5GD_eF_normal.jpg","View")</f>
        <v>View</v>
      </c>
      <c r="P6319" s="10"/>
    </row>
    <row r="6320" customFormat="false" ht="15.75" hidden="false" customHeight="false" outlineLevel="0" collapsed="false">
      <c r="A6320" s="6" t="n">
        <v>43031.0781481482</v>
      </c>
      <c r="B6320" s="7" t="str">
        <f aca="false">HYPERLINK("https://twitter.com/mirogeorgiev97","@mirogeorgiev97")</f>
        <v>@mirogeorgiev97</v>
      </c>
      <c r="C6320" s="8" t="s">
        <v>971</v>
      </c>
      <c r="D6320" s="8" t="s">
        <v>14465</v>
      </c>
      <c r="E6320" s="9" t="str">
        <f aca="false">HYPERLINK("https://twitter.com/mirogeorgiev97/status/922385237153402880","922385237153402880")</f>
        <v>922385237153402880</v>
      </c>
      <c r="F6320" s="10" t="s">
        <v>60</v>
      </c>
      <c r="G6320" s="10" t="n">
        <v>946</v>
      </c>
      <c r="H6320" s="10" t="n">
        <v>4974</v>
      </c>
      <c r="I6320" s="10" t="n">
        <v>0</v>
      </c>
      <c r="J6320" s="10" t="n">
        <v>0</v>
      </c>
      <c r="K6320" s="10" t="s">
        <v>20</v>
      </c>
      <c r="L6320" s="11" t="n">
        <v>41999.3802199074</v>
      </c>
      <c r="M6320" s="12" t="s">
        <v>973</v>
      </c>
      <c r="N6320" s="12" t="s">
        <v>974</v>
      </c>
      <c r="O6320" s="9" t="str">
        <f aca="false">HYPERLINK("https://pbs.twimg.com/profile_images/790650212452802560/yknMqKWs_normal.jpg","View")</f>
        <v>View</v>
      </c>
      <c r="P6320" s="10"/>
    </row>
    <row r="6321" customFormat="false" ht="15.75" hidden="false" customHeight="false" outlineLevel="0" collapsed="false">
      <c r="A6321" s="6" t="n">
        <v>43031.0781597222</v>
      </c>
      <c r="B6321" s="7" t="str">
        <f aca="false">HYPERLINK("https://twitter.com/Kingmakertweet","@Kingmakertweet")</f>
        <v>@Kingmakertweet</v>
      </c>
      <c r="C6321" s="8" t="s">
        <v>719</v>
      </c>
      <c r="D6321" s="8" t="s">
        <v>14466</v>
      </c>
      <c r="E6321" s="9" t="str">
        <f aca="false">HYPERLINK("https://twitter.com/Kingmakertweet/status/922385243247493121","922385243247493121")</f>
        <v>922385243247493121</v>
      </c>
      <c r="F6321" s="10" t="s">
        <v>39</v>
      </c>
      <c r="G6321" s="10" t="n">
        <v>139</v>
      </c>
      <c r="H6321" s="10" t="n">
        <v>67</v>
      </c>
      <c r="I6321" s="10" t="n">
        <v>51</v>
      </c>
      <c r="J6321" s="10" t="n">
        <v>0</v>
      </c>
      <c r="K6321" s="10" t="s">
        <v>20</v>
      </c>
      <c r="L6321" s="11" t="n">
        <v>41053.0465046296</v>
      </c>
      <c r="M6321" s="12"/>
      <c r="N6321" s="13" t="s">
        <v>720</v>
      </c>
      <c r="O6321" s="9" t="str">
        <f aca="false">HYPERLINK("https://pbs.twimg.com/profile_images/836959111707123712/vw98l-VT_normal.jpg","View")</f>
        <v>View</v>
      </c>
      <c r="P6321" s="10"/>
    </row>
    <row r="6322" customFormat="false" ht="15.75" hidden="false" customHeight="false" outlineLevel="0" collapsed="false">
      <c r="A6322" s="6" t="n">
        <v>43031.0786226852</v>
      </c>
      <c r="B6322" s="7" t="str">
        <f aca="false">HYPERLINK("https://twitter.com/GboruM","@GboruM")</f>
        <v>@GboruM</v>
      </c>
      <c r="C6322" s="8" t="s">
        <v>2206</v>
      </c>
      <c r="D6322" s="8" t="s">
        <v>14467</v>
      </c>
      <c r="E6322" s="9" t="str">
        <f aca="false">HYPERLINK("https://twitter.com/GboruM/status/922385408608129024","922385408608129024")</f>
        <v>922385408608129024</v>
      </c>
      <c r="F6322" s="10" t="s">
        <v>55</v>
      </c>
      <c r="G6322" s="10" t="n">
        <v>12129</v>
      </c>
      <c r="H6322" s="10" t="n">
        <v>287</v>
      </c>
      <c r="I6322" s="10" t="n">
        <v>0</v>
      </c>
      <c r="J6322" s="10" t="n">
        <v>0</v>
      </c>
      <c r="K6322" s="10" t="s">
        <v>20</v>
      </c>
      <c r="L6322" s="11" t="n">
        <v>41246.9268518519</v>
      </c>
      <c r="M6322" s="12" t="s">
        <v>1670</v>
      </c>
      <c r="N6322" s="12" t="s">
        <v>2208</v>
      </c>
      <c r="O6322" s="9" t="str">
        <f aca="false">HYPERLINK("https://pbs.twimg.com/profile_images/923809863121166336/FPYIgixr_normal.jpg","View")</f>
        <v>View</v>
      </c>
      <c r="P6322" s="10"/>
    </row>
    <row r="6323" customFormat="false" ht="15.75" hidden="false" customHeight="false" outlineLevel="0" collapsed="false">
      <c r="A6323" s="6" t="n">
        <v>43031.0787268518</v>
      </c>
      <c r="B6323" s="7" t="str">
        <f aca="false">HYPERLINK("https://twitter.com/cforce4success","@cforce4success")</f>
        <v>@cforce4success</v>
      </c>
      <c r="C6323" s="8" t="s">
        <v>14468</v>
      </c>
      <c r="D6323" s="8" t="s">
        <v>14466</v>
      </c>
      <c r="E6323" s="9" t="str">
        <f aca="false">HYPERLINK("https://twitter.com/cforce4success/status/922385449783525376","922385449783525376")</f>
        <v>922385449783525376</v>
      </c>
      <c r="F6323" s="10" t="s">
        <v>25</v>
      </c>
      <c r="G6323" s="10" t="n">
        <v>405</v>
      </c>
      <c r="H6323" s="10" t="n">
        <v>1804</v>
      </c>
      <c r="I6323" s="10" t="n">
        <v>51</v>
      </c>
      <c r="J6323" s="10" t="n">
        <v>0</v>
      </c>
      <c r="K6323" s="10" t="s">
        <v>20</v>
      </c>
      <c r="L6323" s="11" t="n">
        <v>39916.9290740741</v>
      </c>
      <c r="M6323" s="12" t="s">
        <v>502</v>
      </c>
      <c r="N6323" s="12"/>
      <c r="O6323" s="9" t="str">
        <f aca="false">HYPERLINK("https://pbs.twimg.com/profile_images/633974529237323776/PHNktHoD_normal.jpg","View")</f>
        <v>View</v>
      </c>
      <c r="P6323" s="10"/>
    </row>
    <row r="6324" customFormat="false" ht="15.75" hidden="false" customHeight="false" outlineLevel="0" collapsed="false">
      <c r="A6324" s="6" t="n">
        <v>43031.0787615741</v>
      </c>
      <c r="B6324" s="7" t="str">
        <f aca="false">HYPERLINK("https://twitter.com/ZAbdoolcarim","@ZAbdoolcarim")</f>
        <v>@ZAbdoolcarim</v>
      </c>
      <c r="C6324" s="8" t="s">
        <v>14469</v>
      </c>
      <c r="D6324" s="8" t="s">
        <v>14466</v>
      </c>
      <c r="E6324" s="9" t="str">
        <f aca="false">HYPERLINK("https://twitter.com/ZAbdoolcarim/status/922385460390903808","922385460390903808")</f>
        <v>922385460390903808</v>
      </c>
      <c r="F6324" s="10" t="s">
        <v>39</v>
      </c>
      <c r="G6324" s="10" t="n">
        <v>1588</v>
      </c>
      <c r="H6324" s="10" t="n">
        <v>453</v>
      </c>
      <c r="I6324" s="10" t="n">
        <v>51</v>
      </c>
      <c r="J6324" s="10" t="n">
        <v>0</v>
      </c>
      <c r="K6324" s="10" t="s">
        <v>20</v>
      </c>
      <c r="L6324" s="11" t="n">
        <v>41451.0673611111</v>
      </c>
      <c r="M6324" s="12"/>
      <c r="N6324" s="12" t="s">
        <v>14470</v>
      </c>
      <c r="O6324" s="9" t="str">
        <f aca="false">HYPERLINK("https://pbs.twimg.com/profile_images/378800000049162639/a69946cacb61ff0a8a2be8c5ba4076c2_normal.jpeg","View")</f>
        <v>View</v>
      </c>
      <c r="P6324" s="10"/>
    </row>
    <row r="6325" customFormat="false" ht="15.75" hidden="false" customHeight="false" outlineLevel="0" collapsed="false">
      <c r="A6325" s="6" t="n">
        <v>43031.0789236111</v>
      </c>
      <c r="B6325" s="7" t="str">
        <f aca="false">HYPERLINK("https://twitter.com/timothyjoreilly","@timothyjoreilly")</f>
        <v>@timothyjoreilly</v>
      </c>
      <c r="C6325" s="8" t="s">
        <v>14471</v>
      </c>
      <c r="D6325" s="8" t="s">
        <v>12764</v>
      </c>
      <c r="E6325" s="9" t="str">
        <f aca="false">HYPERLINK("https://twitter.com/timothyjoreilly/status/922385519115255810","922385519115255810")</f>
        <v>922385519115255810</v>
      </c>
      <c r="F6325" s="10" t="s">
        <v>51</v>
      </c>
      <c r="G6325" s="10" t="n">
        <v>1067</v>
      </c>
      <c r="H6325" s="10" t="n">
        <v>335</v>
      </c>
      <c r="I6325" s="10" t="n">
        <v>170</v>
      </c>
      <c r="J6325" s="10" t="n">
        <v>0</v>
      </c>
      <c r="K6325" s="10" t="s">
        <v>20</v>
      </c>
      <c r="L6325" s="11" t="n">
        <v>40518.79375</v>
      </c>
      <c r="M6325" s="12" t="s">
        <v>230</v>
      </c>
      <c r="N6325" s="12" t="s">
        <v>14472</v>
      </c>
      <c r="O6325" s="9" t="str">
        <f aca="false">HYPERLINK("https://pbs.twimg.com/profile_images/673020953564082176/7p9UGHFK_normal.jpg","View")</f>
        <v>View</v>
      </c>
      <c r="P6325" s="10"/>
    </row>
    <row r="6326" customFormat="false" ht="15.75" hidden="false" customHeight="false" outlineLevel="0" collapsed="false">
      <c r="A6326" s="6" t="n">
        <v>43031.0789236111</v>
      </c>
      <c r="B6326" s="7" t="str">
        <f aca="false">HYPERLINK("https://twitter.com/LOVELETTERS0716","@LOVELETTERS0716")</f>
        <v>@LOVELETTERS0716</v>
      </c>
      <c r="C6326" s="8" t="s">
        <v>14473</v>
      </c>
      <c r="D6326" s="8" t="s">
        <v>14466</v>
      </c>
      <c r="E6326" s="9" t="str">
        <f aca="false">HYPERLINK("https://twitter.com/LOVELETTERS0716/status/922385519475957760","922385519475957760")</f>
        <v>922385519475957760</v>
      </c>
      <c r="F6326" s="10" t="s">
        <v>51</v>
      </c>
      <c r="G6326" s="10" t="n">
        <v>611</v>
      </c>
      <c r="H6326" s="10" t="n">
        <v>288</v>
      </c>
      <c r="I6326" s="10" t="n">
        <v>51</v>
      </c>
      <c r="J6326" s="10" t="n">
        <v>0</v>
      </c>
      <c r="K6326" s="10" t="s">
        <v>20</v>
      </c>
      <c r="L6326" s="11" t="n">
        <v>40586.0187037037</v>
      </c>
      <c r="M6326" s="12" t="s">
        <v>1670</v>
      </c>
      <c r="N6326" s="12" t="s">
        <v>14474</v>
      </c>
      <c r="O6326" s="9" t="str">
        <f aca="false">HYPERLINK("https://pbs.twimg.com/profile_images/903633060121288705/mPQveTR0_normal.jpg","View")</f>
        <v>View</v>
      </c>
      <c r="P6326" s="10"/>
    </row>
    <row r="6327" customFormat="false" ht="15.75" hidden="false" customHeight="false" outlineLevel="0" collapsed="false">
      <c r="A6327" s="6" t="n">
        <v>43031.0790509259</v>
      </c>
      <c r="B6327" s="7" t="str">
        <f aca="false">HYPERLINK("https://twitter.com/Rick4312","@Rick4312")</f>
        <v>@Rick4312</v>
      </c>
      <c r="C6327" s="8" t="s">
        <v>279</v>
      </c>
      <c r="D6327" s="8" t="s">
        <v>14466</v>
      </c>
      <c r="E6327" s="9" t="str">
        <f aca="false">HYPERLINK("https://twitter.com/Rick4312/status/922385566049685504","922385566049685504")</f>
        <v>922385566049685504</v>
      </c>
      <c r="F6327" s="10" t="s">
        <v>25</v>
      </c>
      <c r="G6327" s="10" t="n">
        <v>354</v>
      </c>
      <c r="H6327" s="10" t="n">
        <v>342</v>
      </c>
      <c r="I6327" s="10" t="n">
        <v>51</v>
      </c>
      <c r="J6327" s="10" t="n">
        <v>0</v>
      </c>
      <c r="K6327" s="10" t="s">
        <v>20</v>
      </c>
      <c r="L6327" s="11" t="n">
        <v>39926.1991898148</v>
      </c>
      <c r="M6327" s="12"/>
      <c r="N6327" s="12" t="s">
        <v>280</v>
      </c>
      <c r="O6327" s="9" t="str">
        <f aca="false">HYPERLINK("https://pbs.twimg.com/profile_images/378800000606169554/baf9e73de18cf5538945e01f8656543c_normal.png","View")</f>
        <v>View</v>
      </c>
      <c r="P6327" s="10"/>
    </row>
    <row r="6328" customFormat="false" ht="15.75" hidden="false" customHeight="false" outlineLevel="0" collapsed="false">
      <c r="A6328" s="6" t="n">
        <v>43031.0791782407</v>
      </c>
      <c r="B6328" s="7" t="str">
        <f aca="false">HYPERLINK("https://twitter.com/UnmeiNihongoCtr","@UnmeiNihongoCtr")</f>
        <v>@UnmeiNihongoCtr</v>
      </c>
      <c r="C6328" s="8" t="s">
        <v>14475</v>
      </c>
      <c r="D6328" s="8" t="s">
        <v>14476</v>
      </c>
      <c r="E6328" s="9" t="str">
        <f aca="false">HYPERLINK("https://twitter.com/UnmeiNihongoCtr/status/922385611016884225","922385611016884225")</f>
        <v>922385611016884225</v>
      </c>
      <c r="F6328" s="10" t="s">
        <v>47</v>
      </c>
      <c r="G6328" s="10" t="n">
        <v>235</v>
      </c>
      <c r="H6328" s="10" t="n">
        <v>197</v>
      </c>
      <c r="I6328" s="10" t="n">
        <v>0</v>
      </c>
      <c r="J6328" s="10" t="n">
        <v>0</v>
      </c>
      <c r="K6328" s="10" t="s">
        <v>20</v>
      </c>
      <c r="L6328" s="11" t="n">
        <v>40122.0534722222</v>
      </c>
      <c r="M6328" s="12" t="s">
        <v>14477</v>
      </c>
      <c r="N6328" s="12" t="s">
        <v>14478</v>
      </c>
      <c r="O6328" s="9" t="str">
        <f aca="false">HYPERLINK("https://pbs.twimg.com/profile_images/344513261575605891/e41af79b90d75a1e48d2c6cac7bfea3e_normal.jpeg","View")</f>
        <v>View</v>
      </c>
      <c r="P6328" s="10"/>
    </row>
    <row r="6329" customFormat="false" ht="15.75" hidden="false" customHeight="false" outlineLevel="0" collapsed="false">
      <c r="A6329" s="6" t="n">
        <v>43031.0792824074</v>
      </c>
      <c r="B6329" s="7" t="str">
        <f aca="false">HYPERLINK("https://twitter.com/lynx55","@lynx55")</f>
        <v>@lynx55</v>
      </c>
      <c r="C6329" s="8" t="s">
        <v>14479</v>
      </c>
      <c r="D6329" s="8" t="s">
        <v>12764</v>
      </c>
      <c r="E6329" s="9" t="str">
        <f aca="false">HYPERLINK("https://twitter.com/lynx55/status/922385649747013633","922385649747013633")</f>
        <v>922385649747013633</v>
      </c>
      <c r="F6329" s="10" t="s">
        <v>25</v>
      </c>
      <c r="G6329" s="10" t="n">
        <v>4243</v>
      </c>
      <c r="H6329" s="10" t="n">
        <v>4441</v>
      </c>
      <c r="I6329" s="10" t="n">
        <v>170</v>
      </c>
      <c r="J6329" s="10" t="n">
        <v>0</v>
      </c>
      <c r="K6329" s="10" t="s">
        <v>20</v>
      </c>
      <c r="L6329" s="11" t="n">
        <v>39363.8998726852</v>
      </c>
      <c r="M6329" s="12" t="s">
        <v>14480</v>
      </c>
      <c r="N6329" s="12" t="s">
        <v>14481</v>
      </c>
      <c r="O6329" s="9" t="str">
        <f aca="false">HYPERLINK("https://pbs.twimg.com/profile_images/917384747403370496/4k9Tip0C_normal.jpg","View")</f>
        <v>View</v>
      </c>
      <c r="P6329" s="10"/>
    </row>
    <row r="6330" customFormat="false" ht="15.75" hidden="false" customHeight="false" outlineLevel="0" collapsed="false">
      <c r="A6330" s="6" t="n">
        <v>43031.0796875</v>
      </c>
      <c r="B6330" s="7" t="str">
        <f aca="false">HYPERLINK("https://twitter.com/Ivanevans254","@Ivanevans254")</f>
        <v>@Ivanevans254</v>
      </c>
      <c r="C6330" s="8" t="s">
        <v>14430</v>
      </c>
      <c r="D6330" s="8" t="s">
        <v>14373</v>
      </c>
      <c r="E6330" s="9" t="str">
        <f aca="false">HYPERLINK("https://twitter.com/Ivanevans254/status/922385794823806976","922385794823806976")</f>
        <v>922385794823806976</v>
      </c>
      <c r="F6330" s="10" t="s">
        <v>25</v>
      </c>
      <c r="G6330" s="10" t="n">
        <v>239</v>
      </c>
      <c r="H6330" s="10" t="n">
        <v>819</v>
      </c>
      <c r="I6330" s="10" t="n">
        <v>7</v>
      </c>
      <c r="J6330" s="10" t="n">
        <v>0</v>
      </c>
      <c r="K6330" s="10" t="s">
        <v>20</v>
      </c>
      <c r="L6330" s="11" t="n">
        <v>42923.2274768519</v>
      </c>
      <c r="M6330" s="12" t="s">
        <v>14431</v>
      </c>
      <c r="N6330" s="12" t="s">
        <v>14432</v>
      </c>
      <c r="O6330" s="9" t="str">
        <f aca="false">HYPERLINK("https://pbs.twimg.com/profile_images/920652937709477888/CrgzEEMq_normal.jpg","View")</f>
        <v>View</v>
      </c>
      <c r="P6330" s="10"/>
    </row>
    <row r="6331" customFormat="false" ht="15.75" hidden="false" customHeight="false" outlineLevel="0" collapsed="false">
      <c r="A6331" s="6" t="n">
        <v>43031.0797106482</v>
      </c>
      <c r="B6331" s="7" t="str">
        <f aca="false">HYPERLINK("https://twitter.com/gnngnngg","@gnngnngg")</f>
        <v>@gnngnngg</v>
      </c>
      <c r="C6331" s="14" t="s">
        <v>1041</v>
      </c>
      <c r="D6331" s="8" t="s">
        <v>14466</v>
      </c>
      <c r="E6331" s="9" t="str">
        <f aca="false">HYPERLINK("https://twitter.com/gnngnngg/status/922385804856406016","922385804856406016")</f>
        <v>922385804856406016</v>
      </c>
      <c r="F6331" s="10" t="s">
        <v>51</v>
      </c>
      <c r="G6331" s="10" t="n">
        <v>187</v>
      </c>
      <c r="H6331" s="10" t="n">
        <v>248</v>
      </c>
      <c r="I6331" s="10" t="n">
        <v>51</v>
      </c>
      <c r="J6331" s="10" t="n">
        <v>0</v>
      </c>
      <c r="K6331" s="10" t="s">
        <v>20</v>
      </c>
      <c r="L6331" s="11" t="n">
        <v>42797.9042361111</v>
      </c>
      <c r="M6331" s="12" t="s">
        <v>1042</v>
      </c>
      <c r="N6331" s="13" t="s">
        <v>1043</v>
      </c>
      <c r="O6331" s="9" t="str">
        <f aca="false">HYPERLINK("https://pbs.twimg.com/profile_images/910682760288772097/fusKyK4y_normal.jpg","View")</f>
        <v>View</v>
      </c>
      <c r="P6331" s="10"/>
    </row>
    <row r="6332" customFormat="false" ht="15.75" hidden="false" customHeight="false" outlineLevel="0" collapsed="false">
      <c r="A6332" s="6" t="n">
        <v>43031.079849537</v>
      </c>
      <c r="B6332" s="7" t="str">
        <f aca="false">HYPERLINK("https://twitter.com/abosife2010","@abosife2010")</f>
        <v>@abosife2010</v>
      </c>
      <c r="C6332" s="8" t="s">
        <v>1783</v>
      </c>
      <c r="D6332" s="8" t="s">
        <v>14466</v>
      </c>
      <c r="E6332" s="9" t="str">
        <f aca="false">HYPERLINK("https://twitter.com/abosife2010/status/922385856685625345","922385856685625345")</f>
        <v>922385856685625345</v>
      </c>
      <c r="F6332" s="10" t="s">
        <v>98</v>
      </c>
      <c r="G6332" s="10" t="n">
        <v>1164</v>
      </c>
      <c r="H6332" s="10" t="n">
        <v>3105</v>
      </c>
      <c r="I6332" s="10" t="n">
        <v>51</v>
      </c>
      <c r="J6332" s="10" t="n">
        <v>0</v>
      </c>
      <c r="K6332" s="10" t="s">
        <v>20</v>
      </c>
      <c r="L6332" s="11" t="n">
        <v>40712.519224537</v>
      </c>
      <c r="M6332" s="12" t="s">
        <v>1784</v>
      </c>
      <c r="N6332" s="12" t="s">
        <v>1785</v>
      </c>
      <c r="O6332" s="9" t="str">
        <f aca="false">HYPERLINK("https://pbs.twimg.com/profile_images/869146010953682944/tD96CxJ8_normal.jpg","View")</f>
        <v>View</v>
      </c>
      <c r="P6332" s="10"/>
    </row>
    <row r="6333" customFormat="false" ht="15.75" hidden="false" customHeight="false" outlineLevel="0" collapsed="false">
      <c r="A6333" s="6" t="n">
        <v>43031.0798611111</v>
      </c>
      <c r="B6333" s="7" t="str">
        <f aca="false">HYPERLINK("https://twitter.com/nakashima1106","@nakashima1106")</f>
        <v>@nakashima1106</v>
      </c>
      <c r="C6333" s="14" t="s">
        <v>14482</v>
      </c>
      <c r="D6333" s="8" t="s">
        <v>14466</v>
      </c>
      <c r="E6333" s="9" t="str">
        <f aca="false">HYPERLINK("https://twitter.com/nakashima1106/status/922385856819691520","922385856819691520")</f>
        <v>922385856819691520</v>
      </c>
      <c r="F6333" s="10" t="s">
        <v>177</v>
      </c>
      <c r="G6333" s="10" t="n">
        <v>1013</v>
      </c>
      <c r="H6333" s="10" t="n">
        <v>1894</v>
      </c>
      <c r="I6333" s="10" t="n">
        <v>51</v>
      </c>
      <c r="J6333" s="10" t="n">
        <v>0</v>
      </c>
      <c r="K6333" s="10" t="s">
        <v>20</v>
      </c>
      <c r="L6333" s="11" t="n">
        <v>40870.0051041667</v>
      </c>
      <c r="M6333" s="13" t="s">
        <v>14483</v>
      </c>
      <c r="N6333" s="13" t="s">
        <v>14484</v>
      </c>
      <c r="O6333" s="9" t="str">
        <f aca="false">HYPERLINK("https://pbs.twimg.com/profile_images/673135978073067520/iNAt7cIB_normal.jpg","View")</f>
        <v>View</v>
      </c>
      <c r="P6333" s="10"/>
    </row>
    <row r="6334" customFormat="false" ht="15.75" hidden="false" customHeight="false" outlineLevel="0" collapsed="false">
      <c r="A6334" s="6" t="n">
        <v>43031.0800810185</v>
      </c>
      <c r="B6334" s="7" t="str">
        <f aca="false">HYPERLINK("https://twitter.com/zoquaiy","@zoquaiy")</f>
        <v>@zoquaiy</v>
      </c>
      <c r="C6334" s="8" t="s">
        <v>756</v>
      </c>
      <c r="D6334" s="8" t="s">
        <v>4124</v>
      </c>
      <c r="E6334" s="9" t="str">
        <f aca="false">HYPERLINK("https://twitter.com/zoquaiy/status/922385938990243840","922385938990243840")</f>
        <v>922385938990243840</v>
      </c>
      <c r="F6334" s="10" t="s">
        <v>25</v>
      </c>
      <c r="G6334" s="10" t="n">
        <v>228</v>
      </c>
      <c r="H6334" s="10" t="n">
        <v>79</v>
      </c>
      <c r="I6334" s="10" t="n">
        <v>111</v>
      </c>
      <c r="J6334" s="10" t="n">
        <v>0</v>
      </c>
      <c r="K6334" s="10" t="s">
        <v>20</v>
      </c>
      <c r="L6334" s="11" t="n">
        <v>42943.3029398148</v>
      </c>
      <c r="M6334" s="12" t="n">
        <v>5034</v>
      </c>
      <c r="N6334" s="12" t="s">
        <v>757</v>
      </c>
      <c r="O6334" s="9" t="str">
        <f aca="false">HYPERLINK("https://pbs.twimg.com/profile_images/914820528665325568/gk_EH6Ki_normal.jpg","View")</f>
        <v>View</v>
      </c>
      <c r="P6334" s="10"/>
    </row>
    <row r="6335" customFormat="false" ht="15.75" hidden="false" customHeight="false" outlineLevel="0" collapsed="false">
      <c r="A6335" s="6" t="n">
        <v>43031.0800810185</v>
      </c>
      <c r="B6335" s="7" t="str">
        <f aca="false">HYPERLINK("https://twitter.com/nakhon224","@nakhon224")</f>
        <v>@nakhon224</v>
      </c>
      <c r="C6335" s="8" t="s">
        <v>1087</v>
      </c>
      <c r="D6335" s="8" t="s">
        <v>14485</v>
      </c>
      <c r="E6335" s="9" t="str">
        <f aca="false">HYPERLINK("https://twitter.com/nakhon224/status/922385939577692160","922385939577692160")</f>
        <v>922385939577692160</v>
      </c>
      <c r="F6335" s="10" t="s">
        <v>60</v>
      </c>
      <c r="G6335" s="10" t="n">
        <v>16976</v>
      </c>
      <c r="H6335" s="10" t="n">
        <v>5082</v>
      </c>
      <c r="I6335" s="10" t="n">
        <v>0</v>
      </c>
      <c r="J6335" s="10" t="n">
        <v>0</v>
      </c>
      <c r="K6335" s="10" t="s">
        <v>20</v>
      </c>
      <c r="L6335" s="11" t="n">
        <v>40115.9020949074</v>
      </c>
      <c r="M6335" s="12" t="s">
        <v>1089</v>
      </c>
      <c r="N6335" s="12" t="s">
        <v>1090</v>
      </c>
      <c r="O6335" s="9" t="str">
        <f aca="false">HYPERLINK("https://pbs.twimg.com/profile_images/2399245020/niwo2t05j664oldr5izd_normal.gif","View")</f>
        <v>View</v>
      </c>
      <c r="P6335" s="10"/>
    </row>
    <row r="6336" customFormat="false" ht="15.75" hidden="false" customHeight="false" outlineLevel="0" collapsed="false">
      <c r="A6336" s="6" t="n">
        <v>43031.0801736111</v>
      </c>
      <c r="B6336" s="7" t="str">
        <f aca="false">HYPERLINK("https://twitter.com/mazla_n","@mazla_n")</f>
        <v>@mazla_n</v>
      </c>
      <c r="C6336" s="8" t="s">
        <v>14486</v>
      </c>
      <c r="D6336" s="8" t="s">
        <v>14466</v>
      </c>
      <c r="E6336" s="9" t="str">
        <f aca="false">HYPERLINK("https://twitter.com/mazla_n/status/922385970019758080","922385970019758080")</f>
        <v>922385970019758080</v>
      </c>
      <c r="F6336" s="10" t="s">
        <v>25</v>
      </c>
      <c r="G6336" s="10" t="n">
        <v>791</v>
      </c>
      <c r="H6336" s="10" t="n">
        <v>2324</v>
      </c>
      <c r="I6336" s="10" t="n">
        <v>51</v>
      </c>
      <c r="J6336" s="10" t="n">
        <v>0</v>
      </c>
      <c r="K6336" s="10" t="s">
        <v>20</v>
      </c>
      <c r="L6336" s="11" t="n">
        <v>41722.1648611111</v>
      </c>
      <c r="M6336" s="12" t="s">
        <v>3173</v>
      </c>
      <c r="N6336" s="12" t="s">
        <v>14487</v>
      </c>
      <c r="O6336" s="9" t="str">
        <f aca="false">HYPERLINK("https://pbs.twimg.com/profile_images/919615044207353858/WJ7QOPn__normal.jpg","View")</f>
        <v>View</v>
      </c>
      <c r="P6336" s="10"/>
    </row>
    <row r="6337" customFormat="false" ht="15.75" hidden="false" customHeight="false" outlineLevel="0" collapsed="false">
      <c r="A6337" s="6" t="n">
        <v>43031.0802083333</v>
      </c>
      <c r="B6337" s="7" t="str">
        <f aca="false">HYPERLINK("https://twitter.com/christophe022","@christophe022")</f>
        <v>@christophe022</v>
      </c>
      <c r="C6337" s="8" t="s">
        <v>13635</v>
      </c>
      <c r="D6337" s="8" t="s">
        <v>14466</v>
      </c>
      <c r="E6337" s="9" t="str">
        <f aca="false">HYPERLINK("https://twitter.com/christophe022/status/922385982837596160","922385982837596160")</f>
        <v>922385982837596160</v>
      </c>
      <c r="F6337" s="10" t="s">
        <v>25</v>
      </c>
      <c r="G6337" s="10" t="n">
        <v>408</v>
      </c>
      <c r="H6337" s="10" t="n">
        <v>1295</v>
      </c>
      <c r="I6337" s="10" t="n">
        <v>51</v>
      </c>
      <c r="J6337" s="10" t="n">
        <v>0</v>
      </c>
      <c r="K6337" s="10" t="s">
        <v>20</v>
      </c>
      <c r="L6337" s="11" t="n">
        <v>41246.6690972222</v>
      </c>
      <c r="M6337" s="12" t="s">
        <v>13636</v>
      </c>
      <c r="N6337" s="12" t="s">
        <v>13637</v>
      </c>
      <c r="O6337" s="9" t="str">
        <f aca="false">HYPERLINK("https://pbs.twimg.com/profile_images/378800000377063113/878caee4436c2485f849746b76dc8742_normal.png","View")</f>
        <v>View</v>
      </c>
      <c r="P6337" s="10"/>
    </row>
    <row r="6338" customFormat="false" ht="15.75" hidden="false" customHeight="false" outlineLevel="0" collapsed="false">
      <c r="A6338" s="6" t="n">
        <v>43031.0803009259</v>
      </c>
      <c r="B6338" s="7" t="str">
        <f aca="false">HYPERLINK("https://twitter.com/Dieng67","@Dieng67")</f>
        <v>@Dieng67</v>
      </c>
      <c r="C6338" s="8" t="s">
        <v>14488</v>
      </c>
      <c r="D6338" s="8" t="s">
        <v>14466</v>
      </c>
      <c r="E6338" s="9" t="str">
        <f aca="false">HYPERLINK("https://twitter.com/Dieng67/status/922386019797708800","922386019797708800")</f>
        <v>922386019797708800</v>
      </c>
      <c r="F6338" s="10" t="s">
        <v>25</v>
      </c>
      <c r="G6338" s="10" t="n">
        <v>678</v>
      </c>
      <c r="H6338" s="10" t="n">
        <v>1123</v>
      </c>
      <c r="I6338" s="10" t="n">
        <v>51</v>
      </c>
      <c r="J6338" s="10" t="n">
        <v>0</v>
      </c>
      <c r="K6338" s="10" t="s">
        <v>20</v>
      </c>
      <c r="L6338" s="11" t="n">
        <v>41249.8783564815</v>
      </c>
      <c r="M6338" s="12" t="s">
        <v>14489</v>
      </c>
      <c r="N6338" s="12" t="s">
        <v>14490</v>
      </c>
      <c r="O6338" s="9" t="str">
        <f aca="false">HYPERLINK("https://pbs.twimg.com/profile_images/3129843688/e5500180112e68d60587dc38d23e470f_normal.jpeg","View")</f>
        <v>View</v>
      </c>
      <c r="P6338" s="10"/>
    </row>
    <row r="6339" customFormat="false" ht="15.75" hidden="false" customHeight="false" outlineLevel="0" collapsed="false">
      <c r="A6339" s="6" t="n">
        <v>43031.0803125</v>
      </c>
      <c r="B6339" s="7" t="str">
        <f aca="false">HYPERLINK("https://twitter.com/marynicolefox","@marynicolefox")</f>
        <v>@marynicolefox</v>
      </c>
      <c r="C6339" s="8" t="s">
        <v>14491</v>
      </c>
      <c r="D6339" s="8" t="s">
        <v>14466</v>
      </c>
      <c r="E6339" s="9" t="str">
        <f aca="false">HYPERLINK("https://twitter.com/marynicolefox/status/922386021429506048","922386021429506048")</f>
        <v>922386021429506048</v>
      </c>
      <c r="F6339" s="10" t="s">
        <v>51</v>
      </c>
      <c r="G6339" s="10" t="n">
        <v>1532</v>
      </c>
      <c r="H6339" s="10" t="n">
        <v>2171</v>
      </c>
      <c r="I6339" s="10" t="n">
        <v>51</v>
      </c>
      <c r="J6339" s="10" t="n">
        <v>0</v>
      </c>
      <c r="K6339" s="10" t="s">
        <v>20</v>
      </c>
      <c r="L6339" s="11" t="n">
        <v>40197.5550231481</v>
      </c>
      <c r="M6339" s="12" t="s">
        <v>14492</v>
      </c>
      <c r="N6339" s="12"/>
      <c r="O6339" s="9" t="str">
        <f aca="false">HYPERLINK("https://pbs.twimg.com/profile_images/898002956301336576/A7LyZUxv_normal.jpg","View")</f>
        <v>View</v>
      </c>
      <c r="P6339" s="10"/>
    </row>
    <row r="6340" customFormat="false" ht="15.75" hidden="false" customHeight="false" outlineLevel="0" collapsed="false">
      <c r="A6340" s="6" t="n">
        <v>43031.0803356482</v>
      </c>
      <c r="B6340" s="7" t="str">
        <f aca="false">HYPERLINK("https://twitter.com/Mash_the_freaks","@Mash_the_freaks")</f>
        <v>@Mash_the_freaks</v>
      </c>
      <c r="C6340" s="8" t="s">
        <v>14493</v>
      </c>
      <c r="D6340" s="8" t="s">
        <v>14466</v>
      </c>
      <c r="E6340" s="9" t="str">
        <f aca="false">HYPERLINK("https://twitter.com/Mash_the_freaks/status/922386030027620352","922386030027620352")</f>
        <v>922386030027620352</v>
      </c>
      <c r="F6340" s="10" t="s">
        <v>25</v>
      </c>
      <c r="G6340" s="10" t="n">
        <v>1293</v>
      </c>
      <c r="H6340" s="10" t="n">
        <v>3234</v>
      </c>
      <c r="I6340" s="10" t="n">
        <v>51</v>
      </c>
      <c r="J6340" s="10" t="n">
        <v>0</v>
      </c>
      <c r="K6340" s="10" t="s">
        <v>20</v>
      </c>
      <c r="L6340" s="11" t="n">
        <v>40400.3412268519</v>
      </c>
      <c r="M6340" s="13" t="s">
        <v>14494</v>
      </c>
      <c r="N6340" s="13" t="s">
        <v>14495</v>
      </c>
      <c r="O6340" s="9" t="str">
        <f aca="false">HYPERLINK("https://pbs.twimg.com/profile_images/589824780896837632/dfaxrmV6_normal.jpg","View")</f>
        <v>View</v>
      </c>
      <c r="P6340" s="10"/>
    </row>
    <row r="6341" customFormat="false" ht="15.75" hidden="false" customHeight="false" outlineLevel="0" collapsed="false">
      <c r="A6341" s="6" t="n">
        <v>43031.080462963</v>
      </c>
      <c r="B6341" s="7" t="str">
        <f aca="false">HYPERLINK("https://twitter.com/CharlieCamp6ell","@CharlieCamp6ell")</f>
        <v>@CharlieCamp6ell</v>
      </c>
      <c r="C6341" s="8" t="s">
        <v>1158</v>
      </c>
      <c r="D6341" s="8" t="s">
        <v>14496</v>
      </c>
      <c r="E6341" s="9" t="str">
        <f aca="false">HYPERLINK("https://twitter.com/CharlieCamp6ell/status/922386075271675904","922386075271675904")</f>
        <v>922386075271675904</v>
      </c>
      <c r="F6341" s="10" t="s">
        <v>39</v>
      </c>
      <c r="G6341" s="10" t="n">
        <v>2939</v>
      </c>
      <c r="H6341" s="10" t="n">
        <v>650</v>
      </c>
      <c r="I6341" s="10" t="n">
        <v>0</v>
      </c>
      <c r="J6341" s="10" t="n">
        <v>0</v>
      </c>
      <c r="K6341" s="10" t="s">
        <v>20</v>
      </c>
      <c r="L6341" s="11" t="n">
        <v>41250.0352893519</v>
      </c>
      <c r="M6341" s="12" t="s">
        <v>1160</v>
      </c>
      <c r="N6341" s="12" t="s">
        <v>1161</v>
      </c>
      <c r="O6341" s="9" t="str">
        <f aca="false">HYPERLINK("https://pbs.twimg.com/profile_images/473840190037848065/7QITZR_o_normal.jpeg","View")</f>
        <v>View</v>
      </c>
      <c r="P6341" s="10"/>
    </row>
    <row r="6342" customFormat="false" ht="15.75" hidden="false" customHeight="false" outlineLevel="0" collapsed="false">
      <c r="A6342" s="6" t="n">
        <v>43031.0806365741</v>
      </c>
      <c r="B6342" s="7" t="str">
        <f aca="false">HYPERLINK("https://twitter.com/mikeglasgowuk","@mikeglasgowuk")</f>
        <v>@mikeglasgowuk</v>
      </c>
      <c r="C6342" s="8" t="s">
        <v>14497</v>
      </c>
      <c r="D6342" s="8" t="s">
        <v>14466</v>
      </c>
      <c r="E6342" s="9" t="str">
        <f aca="false">HYPERLINK("https://twitter.com/mikeglasgowuk/status/922386141076246528","922386141076246528")</f>
        <v>922386141076246528</v>
      </c>
      <c r="F6342" s="10" t="s">
        <v>51</v>
      </c>
      <c r="G6342" s="10" t="n">
        <v>1069</v>
      </c>
      <c r="H6342" s="10" t="n">
        <v>856</v>
      </c>
      <c r="I6342" s="10" t="n">
        <v>51</v>
      </c>
      <c r="J6342" s="10" t="n">
        <v>0</v>
      </c>
      <c r="K6342" s="10" t="s">
        <v>20</v>
      </c>
      <c r="L6342" s="11" t="n">
        <v>41525.4839467593</v>
      </c>
      <c r="M6342" s="12"/>
      <c r="N6342" s="12" t="s">
        <v>14498</v>
      </c>
      <c r="O6342" s="9" t="str">
        <f aca="false">HYPERLINK("https://pbs.twimg.com/profile_images/569849743292256256/hJvoFUIB_normal.jpeg","View")</f>
        <v>View</v>
      </c>
      <c r="P6342" s="10"/>
    </row>
    <row r="6343" customFormat="false" ht="15.75" hidden="false" customHeight="false" outlineLevel="0" collapsed="false">
      <c r="A6343" s="6" t="n">
        <v>43031.0806828704</v>
      </c>
      <c r="B6343" s="7" t="str">
        <f aca="false">HYPERLINK("https://twitter.com/aj_jobs","@aj_jobs")</f>
        <v>@aj_jobs</v>
      </c>
      <c r="C6343" s="8" t="s">
        <v>14499</v>
      </c>
      <c r="D6343" s="8" t="s">
        <v>14500</v>
      </c>
      <c r="E6343" s="9" t="str">
        <f aca="false">HYPERLINK("https://twitter.com/aj_jobs/status/922386157761126401","922386157761126401")</f>
        <v>922386157761126401</v>
      </c>
      <c r="F6343" s="10" t="s">
        <v>25</v>
      </c>
      <c r="G6343" s="10" t="n">
        <v>12382</v>
      </c>
      <c r="H6343" s="10" t="n">
        <v>1248</v>
      </c>
      <c r="I6343" s="10" t="n">
        <v>4</v>
      </c>
      <c r="J6343" s="10" t="n">
        <v>1</v>
      </c>
      <c r="K6343" s="10" t="s">
        <v>20</v>
      </c>
      <c r="L6343" s="11" t="n">
        <v>40778.1205439815</v>
      </c>
      <c r="M6343" s="12" t="s">
        <v>14501</v>
      </c>
      <c r="N6343" s="12" t="s">
        <v>14502</v>
      </c>
      <c r="O6343" s="9" t="str">
        <f aca="false">HYPERLINK("https://pbs.twimg.com/profile_images/914054617989767170/jIg5udZ2_normal.jpg","View")</f>
        <v>View</v>
      </c>
      <c r="P6343" s="10"/>
    </row>
    <row r="6344" customFormat="false" ht="15.75" hidden="false" customHeight="false" outlineLevel="0" collapsed="false">
      <c r="A6344" s="6" t="n">
        <v>43031.0809606482</v>
      </c>
      <c r="B6344" s="7" t="str">
        <f aca="false">HYPERLINK("https://twitter.com/varunsingh03","@varunsingh03")</f>
        <v>@varunsingh03</v>
      </c>
      <c r="C6344" s="8" t="s">
        <v>14503</v>
      </c>
      <c r="D6344" s="8" t="s">
        <v>8538</v>
      </c>
      <c r="E6344" s="9" t="str">
        <f aca="false">HYPERLINK("https://twitter.com/varunsingh03/status/922386255958048769","922386255958048769")</f>
        <v>922386255958048769</v>
      </c>
      <c r="F6344" s="10" t="s">
        <v>25</v>
      </c>
      <c r="G6344" s="10" t="n">
        <v>62</v>
      </c>
      <c r="H6344" s="10" t="n">
        <v>145</v>
      </c>
      <c r="I6344" s="10" t="n">
        <v>1015</v>
      </c>
      <c r="J6344" s="10" t="n">
        <v>0</v>
      </c>
      <c r="K6344" s="10" t="s">
        <v>20</v>
      </c>
      <c r="L6344" s="11" t="n">
        <v>40001.3276388889</v>
      </c>
      <c r="M6344" s="12" t="s">
        <v>14504</v>
      </c>
      <c r="N6344" s="12"/>
      <c r="O6344" s="9" t="str">
        <f aca="false">HYPERLINK("https://pbs.twimg.com/profile_images/463310967586033664/gpb8PcYp_normal.jpeg","View")</f>
        <v>View</v>
      </c>
      <c r="P6344" s="10"/>
    </row>
    <row r="6345" customFormat="false" ht="15.75" hidden="false" customHeight="false" outlineLevel="0" collapsed="false">
      <c r="A6345" s="6" t="n">
        <v>43031.0810416667</v>
      </c>
      <c r="B6345" s="7" t="str">
        <f aca="false">HYPERLINK("https://twitter.com/naz_YKH","@naz_YKH")</f>
        <v>@naz_YKH</v>
      </c>
      <c r="C6345" s="14" t="s">
        <v>14505</v>
      </c>
      <c r="D6345" s="8" t="s">
        <v>14466</v>
      </c>
      <c r="E6345" s="9" t="str">
        <f aca="false">HYPERLINK("https://twitter.com/naz_YKH/status/922386284751884288","922386284751884288")</f>
        <v>922386284751884288</v>
      </c>
      <c r="F6345" s="10" t="s">
        <v>177</v>
      </c>
      <c r="G6345" s="10" t="n">
        <v>750</v>
      </c>
      <c r="H6345" s="10" t="n">
        <v>2752</v>
      </c>
      <c r="I6345" s="10" t="n">
        <v>51</v>
      </c>
      <c r="J6345" s="10" t="n">
        <v>0</v>
      </c>
      <c r="K6345" s="10" t="s">
        <v>20</v>
      </c>
      <c r="L6345" s="11" t="n">
        <v>40341.7541435185</v>
      </c>
      <c r="M6345" s="12"/>
      <c r="N6345" s="12" t="s">
        <v>14506</v>
      </c>
      <c r="O6345" s="9" t="str">
        <f aca="false">HYPERLINK("https://pbs.twimg.com/profile_images/854870521204297728/SUuiEFyK_normal.jpg","View")</f>
        <v>View</v>
      </c>
      <c r="P6345" s="10"/>
    </row>
    <row r="6346" customFormat="false" ht="15.75" hidden="false" customHeight="false" outlineLevel="0" collapsed="false">
      <c r="A6346" s="6" t="n">
        <v>43031.0812037037</v>
      </c>
      <c r="B6346" s="7" t="str">
        <f aca="false">HYPERLINK("https://twitter.com/Ahurastan","@Ahurastan")</f>
        <v>@Ahurastan</v>
      </c>
      <c r="C6346" s="8" t="s">
        <v>14507</v>
      </c>
      <c r="D6346" s="8" t="s">
        <v>14466</v>
      </c>
      <c r="E6346" s="9" t="str">
        <f aca="false">HYPERLINK("https://twitter.com/Ahurastan/status/922386343925346305","922386343925346305")</f>
        <v>922386343925346305</v>
      </c>
      <c r="F6346" s="10" t="s">
        <v>14508</v>
      </c>
      <c r="G6346" s="10" t="n">
        <v>4000</v>
      </c>
      <c r="H6346" s="10" t="n">
        <v>4860</v>
      </c>
      <c r="I6346" s="10" t="n">
        <v>51</v>
      </c>
      <c r="J6346" s="10" t="n">
        <v>0</v>
      </c>
      <c r="K6346" s="10" t="s">
        <v>20</v>
      </c>
      <c r="L6346" s="11" t="n">
        <v>41778.4107291667</v>
      </c>
      <c r="M6346" s="12" t="s">
        <v>14509</v>
      </c>
      <c r="N6346" s="12" t="s">
        <v>14510</v>
      </c>
      <c r="O6346" s="9" t="str">
        <f aca="false">HYPERLINK("https://pbs.twimg.com/profile_images/901644653660966913/uNoPtfG1_normal.jpg","View")</f>
        <v>View</v>
      </c>
      <c r="P6346" s="10"/>
    </row>
    <row r="6347" customFormat="false" ht="15.75" hidden="false" customHeight="false" outlineLevel="0" collapsed="false">
      <c r="A6347" s="6" t="n">
        <v>43031.0813310185</v>
      </c>
      <c r="B6347" s="7" t="str">
        <f aca="false">HYPERLINK("https://twitter.com/Rick4312","@Rick4312")</f>
        <v>@Rick4312</v>
      </c>
      <c r="C6347" s="8" t="s">
        <v>279</v>
      </c>
      <c r="D6347" s="8" t="s">
        <v>14434</v>
      </c>
      <c r="E6347" s="9" t="str">
        <f aca="false">HYPERLINK("https://twitter.com/Rick4312/status/922386391622979584","922386391622979584")</f>
        <v>922386391622979584</v>
      </c>
      <c r="F6347" s="10" t="s">
        <v>25</v>
      </c>
      <c r="G6347" s="10" t="n">
        <v>354</v>
      </c>
      <c r="H6347" s="10" t="n">
        <v>342</v>
      </c>
      <c r="I6347" s="10" t="n">
        <v>4</v>
      </c>
      <c r="J6347" s="10" t="n">
        <v>0</v>
      </c>
      <c r="K6347" s="10" t="s">
        <v>20</v>
      </c>
      <c r="L6347" s="11" t="n">
        <v>39926.1991898148</v>
      </c>
      <c r="M6347" s="12"/>
      <c r="N6347" s="12" t="s">
        <v>280</v>
      </c>
      <c r="O6347" s="9" t="str">
        <f aca="false">HYPERLINK("https://pbs.twimg.com/profile_images/378800000606169554/baf9e73de18cf5538945e01f8656543c_normal.png","View")</f>
        <v>View</v>
      </c>
      <c r="P6347" s="10"/>
    </row>
    <row r="6348" customFormat="false" ht="15.75" hidden="false" customHeight="false" outlineLevel="0" collapsed="false">
      <c r="A6348" s="6" t="n">
        <v>43031.0813541667</v>
      </c>
      <c r="B6348" s="7" t="str">
        <f aca="false">HYPERLINK("https://twitter.com/ceica_rocha","@ceica_rocha")</f>
        <v>@ceica_rocha</v>
      </c>
      <c r="C6348" s="8" t="s">
        <v>14511</v>
      </c>
      <c r="D6348" s="8" t="s">
        <v>14466</v>
      </c>
      <c r="E6348" s="9" t="str">
        <f aca="false">HYPERLINK("https://twitter.com/ceica_rocha/status/922386399508221959","922386399508221959")</f>
        <v>922386399508221959</v>
      </c>
      <c r="F6348" s="10" t="s">
        <v>25</v>
      </c>
      <c r="G6348" s="10" t="n">
        <v>542</v>
      </c>
      <c r="H6348" s="10" t="n">
        <v>1176</v>
      </c>
      <c r="I6348" s="10" t="n">
        <v>51</v>
      </c>
      <c r="J6348" s="10" t="n">
        <v>0</v>
      </c>
      <c r="K6348" s="10" t="s">
        <v>20</v>
      </c>
      <c r="L6348" s="11" t="n">
        <v>42158.5917708333</v>
      </c>
      <c r="M6348" s="12"/>
      <c r="N6348" s="12" t="s">
        <v>14512</v>
      </c>
      <c r="O6348" s="9" t="str">
        <f aca="false">HYPERLINK("https://pbs.twimg.com/profile_images/804690602738745346/obqwSdO8_normal.jpg","View")</f>
        <v>View</v>
      </c>
      <c r="P6348" s="10"/>
    </row>
    <row r="6349" customFormat="false" ht="15.75" hidden="false" customHeight="false" outlineLevel="0" collapsed="false">
      <c r="A6349" s="6" t="n">
        <v>43031.0814699074</v>
      </c>
      <c r="B6349" s="7" t="str">
        <f aca="false">HYPERLINK("https://twitter.com/Lawsonbulk","@Lawsonbulk")</f>
        <v>@Lawsonbulk</v>
      </c>
      <c r="C6349" s="8" t="s">
        <v>1181</v>
      </c>
      <c r="D6349" s="8" t="s">
        <v>14513</v>
      </c>
      <c r="E6349" s="9" t="str">
        <f aca="false">HYPERLINK("https://twitter.com/Lawsonbulk/status/922386442948632576","922386442948632576")</f>
        <v>922386442948632576</v>
      </c>
      <c r="F6349" s="10" t="s">
        <v>39</v>
      </c>
      <c r="G6349" s="10" t="n">
        <v>11661</v>
      </c>
      <c r="H6349" s="10" t="n">
        <v>8130</v>
      </c>
      <c r="I6349" s="10" t="n">
        <v>1</v>
      </c>
      <c r="J6349" s="10" t="n">
        <v>0</v>
      </c>
      <c r="K6349" s="10" t="s">
        <v>20</v>
      </c>
      <c r="L6349" s="11" t="n">
        <v>39892.7152199074</v>
      </c>
      <c r="M6349" s="12" t="s">
        <v>1183</v>
      </c>
      <c r="N6349" s="12" t="s">
        <v>1184</v>
      </c>
      <c r="O6349" s="9" t="str">
        <f aca="false">HYPERLINK("https://pbs.twimg.com/profile_images/1165717176/e2fd589b-9cda-4f29-a669-e97f5283d76d_normal.jpg","View")</f>
        <v>View</v>
      </c>
      <c r="P6349" s="10"/>
    </row>
    <row r="6350" customFormat="false" ht="15.75" hidden="false" customHeight="false" outlineLevel="0" collapsed="false">
      <c r="A6350" s="6" t="n">
        <v>43031.0815393519</v>
      </c>
      <c r="B6350" s="7" t="str">
        <f aca="false">HYPERLINK("https://twitter.com/NewzBoxOffice","@NewzBoxOffice")</f>
        <v>@NewzBoxOffice</v>
      </c>
      <c r="C6350" s="8" t="s">
        <v>14336</v>
      </c>
      <c r="D6350" s="8" t="s">
        <v>14514</v>
      </c>
      <c r="E6350" s="9" t="str">
        <f aca="false">HYPERLINK("https://twitter.com/NewzBoxOffice/status/922386468034826247","922386468034826247")</f>
        <v>922386468034826247</v>
      </c>
      <c r="F6350" s="10" t="s">
        <v>14338</v>
      </c>
      <c r="G6350" s="10" t="n">
        <v>2235</v>
      </c>
      <c r="H6350" s="10" t="n">
        <v>874</v>
      </c>
      <c r="I6350" s="10" t="n">
        <v>1</v>
      </c>
      <c r="J6350" s="10" t="n">
        <v>0</v>
      </c>
      <c r="K6350" s="10" t="s">
        <v>20</v>
      </c>
      <c r="L6350" s="11" t="n">
        <v>41327.3258796296</v>
      </c>
      <c r="M6350" s="12"/>
      <c r="N6350" s="12" t="s">
        <v>14339</v>
      </c>
      <c r="O6350" s="9" t="str">
        <f aca="false">HYPERLINK("https://pbs.twimg.com/profile_images/3771449721/283f324d48438c2b267d1ed9b229f675_normal.jpeg","View")</f>
        <v>View</v>
      </c>
      <c r="P6350" s="10"/>
    </row>
    <row r="6351" customFormat="false" ht="15.75" hidden="false" customHeight="false" outlineLevel="0" collapsed="false">
      <c r="A6351" s="6" t="n">
        <v>43031.0819791667</v>
      </c>
      <c r="B6351" s="7" t="str">
        <f aca="false">HYPERLINK("https://twitter.com/Chickenrap2","@Chickenrap2")</f>
        <v>@Chickenrap2</v>
      </c>
      <c r="C6351" s="8" t="s">
        <v>14515</v>
      </c>
      <c r="D6351" s="8" t="s">
        <v>14466</v>
      </c>
      <c r="E6351" s="9" t="str">
        <f aca="false">HYPERLINK("https://twitter.com/Chickenrap2/status/922386624977108992","922386624977108992")</f>
        <v>922386624977108992</v>
      </c>
      <c r="F6351" s="10" t="s">
        <v>25</v>
      </c>
      <c r="G6351" s="10" t="n">
        <v>33</v>
      </c>
      <c r="H6351" s="10" t="n">
        <v>319</v>
      </c>
      <c r="I6351" s="10" t="n">
        <v>51</v>
      </c>
      <c r="J6351" s="10" t="n">
        <v>0</v>
      </c>
      <c r="K6351" s="10" t="s">
        <v>20</v>
      </c>
      <c r="L6351" s="11" t="n">
        <v>43011.1327083333</v>
      </c>
      <c r="M6351" s="12" t="s">
        <v>10091</v>
      </c>
      <c r="N6351" s="12" t="s">
        <v>14516</v>
      </c>
      <c r="O6351" s="9" t="str">
        <f aca="false">HYPERLINK("https://pbs.twimg.com/profile_images/922820231889805312/8PzgN8_W_normal.jpg","View")</f>
        <v>View</v>
      </c>
      <c r="P6351" s="10"/>
    </row>
    <row r="6352" customFormat="false" ht="15.75" hidden="false" customHeight="false" outlineLevel="0" collapsed="false">
      <c r="A6352" s="6" t="n">
        <v>43031.082025463</v>
      </c>
      <c r="B6352" s="7" t="str">
        <f aca="false">HYPERLINK("https://twitter.com/krunox123","@krunox123")</f>
        <v>@krunox123</v>
      </c>
      <c r="C6352" s="8" t="s">
        <v>1049</v>
      </c>
      <c r="D6352" s="8" t="s">
        <v>14517</v>
      </c>
      <c r="E6352" s="9" t="str">
        <f aca="false">HYPERLINK("https://twitter.com/krunox123/status/922386643348344832","922386643348344832")</f>
        <v>922386643348344832</v>
      </c>
      <c r="F6352" s="10" t="s">
        <v>60</v>
      </c>
      <c r="G6352" s="10" t="n">
        <v>10225</v>
      </c>
      <c r="H6352" s="10" t="n">
        <v>2</v>
      </c>
      <c r="I6352" s="10" t="n">
        <v>0</v>
      </c>
      <c r="J6352" s="10" t="n">
        <v>0</v>
      </c>
      <c r="K6352" s="10" t="s">
        <v>20</v>
      </c>
      <c r="L6352" s="11" t="n">
        <v>40938.2278935185</v>
      </c>
      <c r="M6352" s="12" t="s">
        <v>1051</v>
      </c>
      <c r="N6352" s="12" t="s">
        <v>1052</v>
      </c>
      <c r="O6352" s="9" t="str">
        <f aca="false">HYPERLINK("https://pbs.twimg.com/profile_images/824952382618349568/2SFIkM2x_normal.jpg","View")</f>
        <v>View</v>
      </c>
      <c r="P6352" s="10"/>
    </row>
    <row r="6353" customFormat="false" ht="15.75" hidden="false" customHeight="false" outlineLevel="0" collapsed="false">
      <c r="A6353" s="6" t="n">
        <v>43031.0821296296</v>
      </c>
      <c r="B6353" s="7" t="str">
        <f aca="false">HYPERLINK("https://twitter.com/seina_moe","@seina_moe")</f>
        <v>@seina_moe</v>
      </c>
      <c r="C6353" s="8" t="s">
        <v>14518</v>
      </c>
      <c r="D6353" s="8" t="s">
        <v>14466</v>
      </c>
      <c r="E6353" s="9" t="str">
        <f aca="false">HYPERLINK("https://twitter.com/seina_moe/status/922386679884689409","922386679884689409")</f>
        <v>922386679884689409</v>
      </c>
      <c r="F6353" s="10" t="s">
        <v>51</v>
      </c>
      <c r="G6353" s="10" t="n">
        <v>187</v>
      </c>
      <c r="H6353" s="10" t="n">
        <v>369</v>
      </c>
      <c r="I6353" s="10" t="n">
        <v>51</v>
      </c>
      <c r="J6353" s="10" t="n">
        <v>0</v>
      </c>
      <c r="K6353" s="10" t="s">
        <v>20</v>
      </c>
      <c r="L6353" s="11" t="n">
        <v>41989.9375810185</v>
      </c>
      <c r="M6353" s="12" t="s">
        <v>4301</v>
      </c>
      <c r="N6353" s="12" t="s">
        <v>14519</v>
      </c>
      <c r="O6353" s="9" t="str">
        <f aca="false">HYPERLINK("https://pbs.twimg.com/profile_images/804858446931574784/WWktH1VS_normal.jpg","View")</f>
        <v>View</v>
      </c>
      <c r="P6353" s="10"/>
    </row>
    <row r="6354" customFormat="false" ht="15.75" hidden="false" customHeight="false" outlineLevel="0" collapsed="false">
      <c r="A6354" s="6" t="n">
        <v>43031.0821990741</v>
      </c>
      <c r="B6354" s="7" t="str">
        <f aca="false">HYPERLINK("https://twitter.com/tracyashish","@tracyashish")</f>
        <v>@tracyashish</v>
      </c>
      <c r="C6354" s="8" t="s">
        <v>14520</v>
      </c>
      <c r="D6354" s="8" t="s">
        <v>13538</v>
      </c>
      <c r="E6354" s="9" t="str">
        <f aca="false">HYPERLINK("https://twitter.com/tracyashish/status/922386707269292037","922386707269292037")</f>
        <v>922386707269292037</v>
      </c>
      <c r="F6354" s="10" t="s">
        <v>98</v>
      </c>
      <c r="G6354" s="10" t="n">
        <v>413</v>
      </c>
      <c r="H6354" s="10" t="n">
        <v>1979</v>
      </c>
      <c r="I6354" s="10" t="n">
        <v>2</v>
      </c>
      <c r="J6354" s="10" t="n">
        <v>0</v>
      </c>
      <c r="K6354" s="10" t="s">
        <v>20</v>
      </c>
      <c r="L6354" s="11" t="n">
        <v>42209.9261226852</v>
      </c>
      <c r="M6354" s="12" t="s">
        <v>14521</v>
      </c>
      <c r="N6354" s="12" t="s">
        <v>14522</v>
      </c>
      <c r="O6354" s="9" t="str">
        <f aca="false">HYPERLINK("https://pbs.twimg.com/profile_images/923910820349689858/QaPjFuM7_normal.jpg","View")</f>
        <v>View</v>
      </c>
      <c r="P6354" s="10"/>
    </row>
    <row r="6355" customFormat="false" ht="15.75" hidden="false" customHeight="false" outlineLevel="0" collapsed="false">
      <c r="A6355" s="6" t="n">
        <v>43031.082337963</v>
      </c>
      <c r="B6355" s="7" t="str">
        <f aca="false">HYPERLINK("https://twitter.com/BZeTn2FH09xcAMF","@BZeTn2FH09xcAMF")</f>
        <v>@BZeTn2FH09xcAMF</v>
      </c>
      <c r="C6355" s="8" t="s">
        <v>14523</v>
      </c>
      <c r="D6355" s="8" t="s">
        <v>14466</v>
      </c>
      <c r="E6355" s="9" t="str">
        <f aca="false">HYPERLINK("https://twitter.com/BZeTn2FH09xcAMF/status/922386754333585408","922386754333585408")</f>
        <v>922386754333585408</v>
      </c>
      <c r="F6355" s="10" t="s">
        <v>98</v>
      </c>
      <c r="G6355" s="10" t="n">
        <v>180</v>
      </c>
      <c r="H6355" s="10" t="n">
        <v>966</v>
      </c>
      <c r="I6355" s="10" t="n">
        <v>51</v>
      </c>
      <c r="J6355" s="10" t="n">
        <v>0</v>
      </c>
      <c r="K6355" s="10" t="s">
        <v>20</v>
      </c>
      <c r="L6355" s="11" t="n">
        <v>42908.4617476852</v>
      </c>
      <c r="M6355" s="12" t="s">
        <v>14524</v>
      </c>
      <c r="N6355" s="12"/>
      <c r="O6355" s="9" t="str">
        <f aca="false">HYPERLINK("https://pbs.twimg.com/profile_images/908908679994281988/jTPk6rvO_normal.jpg","View")</f>
        <v>View</v>
      </c>
      <c r="P6355" s="10"/>
    </row>
    <row r="6356" customFormat="false" ht="15.75" hidden="false" customHeight="false" outlineLevel="0" collapsed="false">
      <c r="A6356" s="6" t="n">
        <v>43031.082349537</v>
      </c>
      <c r="B6356" s="7" t="str">
        <f aca="false">HYPERLINK("https://twitter.com/sgbreakingnews","@sgbreakingnews")</f>
        <v>@sgbreakingnews</v>
      </c>
      <c r="C6356" s="8" t="s">
        <v>14525</v>
      </c>
      <c r="D6356" s="8" t="s">
        <v>14526</v>
      </c>
      <c r="E6356" s="9" t="str">
        <f aca="false">HYPERLINK("https://twitter.com/sgbreakingnews/status/922386761824825344","922386761824825344")</f>
        <v>922386761824825344</v>
      </c>
      <c r="F6356" s="10" t="s">
        <v>60</v>
      </c>
      <c r="G6356" s="10" t="n">
        <v>4255</v>
      </c>
      <c r="H6356" s="10" t="n">
        <v>50</v>
      </c>
      <c r="I6356" s="10" t="n">
        <v>0</v>
      </c>
      <c r="J6356" s="10" t="n">
        <v>0</v>
      </c>
      <c r="K6356" s="10" t="s">
        <v>20</v>
      </c>
      <c r="L6356" s="11" t="n">
        <v>40208.2123958333</v>
      </c>
      <c r="M6356" s="12" t="s">
        <v>186</v>
      </c>
      <c r="N6356" s="12" t="s">
        <v>14527</v>
      </c>
      <c r="O6356" s="9" t="str">
        <f aca="false">HYPERLINK("https://pbs.twimg.com/profile_images/667203471/singapore-breaking-news_normal.jpg","View")</f>
        <v>View</v>
      </c>
      <c r="P6356" s="10"/>
    </row>
    <row r="6357" customFormat="false" ht="15.75" hidden="false" customHeight="false" outlineLevel="0" collapsed="false">
      <c r="A6357" s="6" t="n">
        <v>43031.0824768519</v>
      </c>
      <c r="B6357" s="7" t="str">
        <f aca="false">HYPERLINK("https://twitter.com/one_luv_1","@one_luv_1")</f>
        <v>@one_luv_1</v>
      </c>
      <c r="C6357" s="14" t="s">
        <v>14528</v>
      </c>
      <c r="D6357" s="8" t="s">
        <v>14466</v>
      </c>
      <c r="E6357" s="9" t="str">
        <f aca="false">HYPERLINK("https://twitter.com/one_luv_1/status/922386805906796544","922386805906796544")</f>
        <v>922386805906796544</v>
      </c>
      <c r="F6357" s="10" t="s">
        <v>51</v>
      </c>
      <c r="G6357" s="10" t="n">
        <v>126</v>
      </c>
      <c r="H6357" s="10" t="n">
        <v>234</v>
      </c>
      <c r="I6357" s="10" t="n">
        <v>51</v>
      </c>
      <c r="J6357" s="10" t="n">
        <v>0</v>
      </c>
      <c r="K6357" s="10" t="s">
        <v>20</v>
      </c>
      <c r="L6357" s="11" t="n">
        <v>42258.7916666667</v>
      </c>
      <c r="M6357" s="12"/>
      <c r="N6357" s="12" t="s">
        <v>14529</v>
      </c>
      <c r="O6357" s="9" t="str">
        <f aca="false">HYPERLINK("https://pbs.twimg.com/profile_images/920291179693989888/C2ZDdkHQ_normal.jpg","View")</f>
        <v>View</v>
      </c>
      <c r="P6357" s="10"/>
    </row>
    <row r="6358" customFormat="false" ht="15.75" hidden="false" customHeight="false" outlineLevel="0" collapsed="false">
      <c r="A6358" s="6" t="n">
        <v>43031.0826736111</v>
      </c>
      <c r="B6358" s="7" t="str">
        <f aca="false">HYPERLINK("https://twitter.com/baatar05","@baatar05")</f>
        <v>@baatar05</v>
      </c>
      <c r="C6358" s="8" t="s">
        <v>14530</v>
      </c>
      <c r="D6358" s="8" t="s">
        <v>7046</v>
      </c>
      <c r="E6358" s="9" t="str">
        <f aca="false">HYPERLINK("https://twitter.com/baatar05/status/922386879365898240","922386879365898240")</f>
        <v>922386879365898240</v>
      </c>
      <c r="F6358" s="10" t="s">
        <v>25</v>
      </c>
      <c r="G6358" s="10" t="n">
        <v>316</v>
      </c>
      <c r="H6358" s="10" t="n">
        <v>80</v>
      </c>
      <c r="I6358" s="10" t="n">
        <v>53</v>
      </c>
      <c r="J6358" s="10" t="n">
        <v>0</v>
      </c>
      <c r="K6358" s="10" t="s">
        <v>20</v>
      </c>
      <c r="L6358" s="11" t="n">
        <v>42648.1399074074</v>
      </c>
      <c r="M6358" s="12"/>
      <c r="N6358" s="12"/>
      <c r="O6358" s="9" t="str">
        <f aca="false">HYPERLINK("https://pbs.twimg.com/profile_images/783616127331016704/w91y2gss_normal.jpg","View")</f>
        <v>View</v>
      </c>
      <c r="P6358" s="10"/>
    </row>
    <row r="6359" customFormat="false" ht="15.75" hidden="false" customHeight="false" outlineLevel="0" collapsed="false">
      <c r="A6359" s="6" t="n">
        <v>43031.0827546296</v>
      </c>
      <c r="B6359" s="7" t="str">
        <f aca="false">HYPERLINK("https://twitter.com/lucchaoui","@lucchaoui")</f>
        <v>@lucchaoui</v>
      </c>
      <c r="C6359" s="8" t="s">
        <v>952</v>
      </c>
      <c r="D6359" s="8" t="s">
        <v>14531</v>
      </c>
      <c r="E6359" s="9" t="str">
        <f aca="false">HYPERLINK("https://twitter.com/lucchaoui/status/922386906389909504","922386906389909504")</f>
        <v>922386906389909504</v>
      </c>
      <c r="F6359" s="10" t="s">
        <v>60</v>
      </c>
      <c r="G6359" s="10" t="n">
        <v>397093</v>
      </c>
      <c r="H6359" s="10" t="n">
        <v>393</v>
      </c>
      <c r="I6359" s="10" t="n">
        <v>0</v>
      </c>
      <c r="J6359" s="10" t="n">
        <v>0</v>
      </c>
      <c r="K6359" s="10" t="s">
        <v>20</v>
      </c>
      <c r="L6359" s="11" t="n">
        <v>39932.4051967593</v>
      </c>
      <c r="M6359" s="12" t="s">
        <v>954</v>
      </c>
      <c r="N6359" s="12" t="s">
        <v>955</v>
      </c>
      <c r="O6359" s="9" t="str">
        <f aca="false">HYPERLINK("https://pbs.twimg.com/profile_images/845679875734196224/DS22r1ae_normal.jpg","View")</f>
        <v>View</v>
      </c>
      <c r="P6359" s="10"/>
    </row>
    <row r="6360" customFormat="false" ht="15.75" hidden="false" customHeight="false" outlineLevel="0" collapsed="false">
      <c r="A6360" s="6" t="n">
        <v>43031.0828819444</v>
      </c>
      <c r="B6360" s="7" t="str">
        <f aca="false">HYPERLINK("https://twitter.com/SaudiLink","@SaudiLink")</f>
        <v>@SaudiLink</v>
      </c>
      <c r="C6360" s="8" t="s">
        <v>14532</v>
      </c>
      <c r="D6360" s="8" t="s">
        <v>14533</v>
      </c>
      <c r="E6360" s="9" t="str">
        <f aca="false">HYPERLINK("https://twitter.com/SaudiLink/status/922386952829186048","922386952829186048")</f>
        <v>922386952829186048</v>
      </c>
      <c r="F6360" s="10" t="s">
        <v>563</v>
      </c>
      <c r="G6360" s="10" t="n">
        <v>2194</v>
      </c>
      <c r="H6360" s="10" t="n">
        <v>3</v>
      </c>
      <c r="I6360" s="10" t="n">
        <v>4</v>
      </c>
      <c r="J6360" s="10" t="n">
        <v>0</v>
      </c>
      <c r="K6360" s="10" t="s">
        <v>20</v>
      </c>
      <c r="L6360" s="11" t="n">
        <v>41708.7711574074</v>
      </c>
      <c r="M6360" s="12" t="s">
        <v>3269</v>
      </c>
      <c r="N6360" s="12" t="s">
        <v>14534</v>
      </c>
      <c r="O6360" s="9" t="str">
        <f aca="false">HYPERLINK("https://pbs.twimg.com/profile_images/750740496192983040/Lg6Ci7cU_normal.jpg","View")</f>
        <v>View</v>
      </c>
      <c r="P6360" s="10"/>
    </row>
    <row r="6361" customFormat="false" ht="15.75" hidden="false" customHeight="false" outlineLevel="0" collapsed="false">
      <c r="A6361" s="6" t="n">
        <v>43031.0832175926</v>
      </c>
      <c r="B6361" s="7" t="str">
        <f aca="false">HYPERLINK("https://twitter.com/Yjka0103","@Yjka0103")</f>
        <v>@Yjka0103</v>
      </c>
      <c r="C6361" s="8" t="s">
        <v>14535</v>
      </c>
      <c r="D6361" s="8" t="s">
        <v>14106</v>
      </c>
      <c r="E6361" s="9" t="str">
        <f aca="false">HYPERLINK("https://twitter.com/Yjka0103/status/922387074753314817","922387074753314817")</f>
        <v>922387074753314817</v>
      </c>
      <c r="F6361" s="10" t="s">
        <v>51</v>
      </c>
      <c r="G6361" s="10" t="n">
        <v>50</v>
      </c>
      <c r="H6361" s="10" t="n">
        <v>268</v>
      </c>
      <c r="I6361" s="10" t="n">
        <v>30</v>
      </c>
      <c r="J6361" s="10" t="n">
        <v>0</v>
      </c>
      <c r="K6361" s="10" t="s">
        <v>20</v>
      </c>
      <c r="L6361" s="11" t="n">
        <v>42646.8374305556</v>
      </c>
      <c r="M6361" s="12"/>
      <c r="N6361" s="12" t="s">
        <v>14536</v>
      </c>
      <c r="O6361" s="9" t="str">
        <f aca="false">HYPERLINK("https://pbs.twimg.com/profile_images/916971174201921537/cKsePEZU_normal.jpg","View")</f>
        <v>View</v>
      </c>
      <c r="P6361" s="10"/>
    </row>
    <row r="6362" customFormat="false" ht="15.75" hidden="false" customHeight="false" outlineLevel="0" collapsed="false">
      <c r="A6362" s="6" t="n">
        <v>43031.083275463</v>
      </c>
      <c r="B6362" s="7" t="str">
        <f aca="false">HYPERLINK("https://twitter.com/prem15951","@prem15951")</f>
        <v>@prem15951</v>
      </c>
      <c r="C6362" s="8" t="s">
        <v>14537</v>
      </c>
      <c r="D6362" s="8" t="s">
        <v>8538</v>
      </c>
      <c r="E6362" s="9" t="str">
        <f aca="false">HYPERLINK("https://twitter.com/prem15951/status/922387096547020800","922387096547020800")</f>
        <v>922387096547020800</v>
      </c>
      <c r="F6362" s="10" t="s">
        <v>25</v>
      </c>
      <c r="G6362" s="10" t="n">
        <v>211</v>
      </c>
      <c r="H6362" s="10" t="n">
        <v>278</v>
      </c>
      <c r="I6362" s="10" t="n">
        <v>1015</v>
      </c>
      <c r="J6362" s="10" t="n">
        <v>0</v>
      </c>
      <c r="K6362" s="10" t="s">
        <v>20</v>
      </c>
      <c r="L6362" s="11" t="n">
        <v>40414.301875</v>
      </c>
      <c r="M6362" s="12"/>
      <c r="N6362" s="12" t="s">
        <v>14538</v>
      </c>
      <c r="O6362" s="9" t="str">
        <f aca="false">HYPERLINK("https://pbs.twimg.com/profile_images/901333946314641408/3-vcd-X4_normal.jpg","View")</f>
        <v>View</v>
      </c>
      <c r="P6362" s="10"/>
    </row>
    <row r="6363" customFormat="false" ht="15.75" hidden="false" customHeight="false" outlineLevel="0" collapsed="false">
      <c r="A6363" s="6" t="n">
        <v>43031.0832986111</v>
      </c>
      <c r="B6363" s="7" t="str">
        <f aca="false">HYPERLINK("https://twitter.com/dev_sundeep","@dev_sundeep")</f>
        <v>@dev_sundeep</v>
      </c>
      <c r="C6363" s="8" t="s">
        <v>14539</v>
      </c>
      <c r="D6363" s="8" t="s">
        <v>8538</v>
      </c>
      <c r="E6363" s="9" t="str">
        <f aca="false">HYPERLINK("https://twitter.com/dev_sundeep/status/922387105665265664","922387105665265664")</f>
        <v>922387105665265664</v>
      </c>
      <c r="F6363" s="10" t="s">
        <v>25</v>
      </c>
      <c r="G6363" s="10" t="n">
        <v>4676</v>
      </c>
      <c r="H6363" s="10" t="n">
        <v>3684</v>
      </c>
      <c r="I6363" s="10" t="n">
        <v>1015</v>
      </c>
      <c r="J6363" s="10" t="n">
        <v>0</v>
      </c>
      <c r="K6363" s="10" t="s">
        <v>20</v>
      </c>
      <c r="L6363" s="11" t="n">
        <v>40147.0699768519</v>
      </c>
      <c r="M6363" s="12" t="s">
        <v>14540</v>
      </c>
      <c r="N6363" s="12" t="s">
        <v>14541</v>
      </c>
      <c r="O6363" s="9" t="str">
        <f aca="false">HYPERLINK("https://pbs.twimg.com/profile_images/910309196184223745/BMIh9xFS_normal.jpg","View")</f>
        <v>View</v>
      </c>
      <c r="P6363" s="10"/>
    </row>
    <row r="6364" customFormat="false" ht="15.75" hidden="false" customHeight="false" outlineLevel="0" collapsed="false">
      <c r="A6364" s="6" t="n">
        <v>43031.0837152778</v>
      </c>
      <c r="B6364" s="7" t="str">
        <f aca="false">HYPERLINK("https://twitter.com/SaudiGates","@SaudiGates")</f>
        <v>@SaudiGates</v>
      </c>
      <c r="C6364" s="8" t="s">
        <v>14542</v>
      </c>
      <c r="D6364" s="8" t="s">
        <v>14533</v>
      </c>
      <c r="E6364" s="9" t="str">
        <f aca="false">HYPERLINK("https://twitter.com/SaudiGates/status/922387254223482883","922387254223482883")</f>
        <v>922387254223482883</v>
      </c>
      <c r="F6364" s="10" t="s">
        <v>563</v>
      </c>
      <c r="G6364" s="10" t="n">
        <v>1717</v>
      </c>
      <c r="H6364" s="10" t="n">
        <v>21</v>
      </c>
      <c r="I6364" s="10" t="n">
        <v>4</v>
      </c>
      <c r="J6364" s="10" t="n">
        <v>0</v>
      </c>
      <c r="K6364" s="10" t="s">
        <v>20</v>
      </c>
      <c r="L6364" s="11" t="n">
        <v>41246.178587963</v>
      </c>
      <c r="M6364" s="12" t="s">
        <v>3269</v>
      </c>
      <c r="N6364" s="12" t="s">
        <v>14543</v>
      </c>
      <c r="O6364" s="9" t="str">
        <f aca="false">HYPERLINK("https://pbs.twimg.com/profile_images/498374218950508546/qsX-SnpL_normal.jpeg","View")</f>
        <v>View</v>
      </c>
      <c r="P6364" s="10"/>
    </row>
    <row r="6365" customFormat="false" ht="15.75" hidden="false" customHeight="false" outlineLevel="0" collapsed="false">
      <c r="A6365" s="6" t="n">
        <v>43031.0838541667</v>
      </c>
      <c r="B6365" s="7" t="str">
        <f aca="false">HYPERLINK("https://twitter.com/Taxtreats","@Taxtreats")</f>
        <v>@Taxtreats</v>
      </c>
      <c r="C6365" s="8" t="s">
        <v>1000</v>
      </c>
      <c r="D6365" s="8" t="s">
        <v>14544</v>
      </c>
      <c r="E6365" s="9" t="str">
        <f aca="false">HYPERLINK("https://twitter.com/Taxtreats/status/922387307776434176","922387307776434176")</f>
        <v>922387307776434176</v>
      </c>
      <c r="F6365" s="10" t="s">
        <v>60</v>
      </c>
      <c r="G6365" s="10" t="n">
        <v>16833</v>
      </c>
      <c r="H6365" s="10" t="n">
        <v>11486</v>
      </c>
      <c r="I6365" s="10" t="n">
        <v>0</v>
      </c>
      <c r="J6365" s="10" t="n">
        <v>0</v>
      </c>
      <c r="K6365" s="10" t="s">
        <v>20</v>
      </c>
      <c r="L6365" s="11" t="n">
        <v>40856.9059027778</v>
      </c>
      <c r="M6365" s="12"/>
      <c r="N6365" s="12" t="s">
        <v>1002</v>
      </c>
      <c r="O6365" s="9" t="str">
        <f aca="false">HYPERLINK("https://pbs.twimg.com/profile_images/751613438179192832/XQMqihpl_normal.jpg","View")</f>
        <v>View</v>
      </c>
      <c r="P6365" s="10"/>
    </row>
    <row r="6366" customFormat="false" ht="15.75" hidden="false" customHeight="false" outlineLevel="0" collapsed="false">
      <c r="A6366" s="6" t="n">
        <v>43031.0839467593</v>
      </c>
      <c r="B6366" s="7" t="str">
        <f aca="false">HYPERLINK("https://twitter.com/SaudiLinks","@SaudiLinks")</f>
        <v>@SaudiLinks</v>
      </c>
      <c r="C6366" s="8" t="s">
        <v>14545</v>
      </c>
      <c r="D6366" s="8" t="s">
        <v>14533</v>
      </c>
      <c r="E6366" s="9" t="str">
        <f aca="false">HYPERLINK("https://twitter.com/SaudiLinks/status/922387339451752449","922387339451752449")</f>
        <v>922387339451752449</v>
      </c>
      <c r="F6366" s="10" t="s">
        <v>563</v>
      </c>
      <c r="G6366" s="10" t="n">
        <v>12510</v>
      </c>
      <c r="H6366" s="10" t="n">
        <v>1057</v>
      </c>
      <c r="I6366" s="10" t="n">
        <v>4</v>
      </c>
      <c r="J6366" s="10" t="n">
        <v>0</v>
      </c>
      <c r="K6366" s="10" t="s">
        <v>20</v>
      </c>
      <c r="L6366" s="11" t="n">
        <v>41320.8385185185</v>
      </c>
      <c r="M6366" s="12" t="s">
        <v>14546</v>
      </c>
      <c r="N6366" s="12" t="s">
        <v>14547</v>
      </c>
      <c r="O6366" s="9" t="str">
        <f aca="false">HYPERLINK("https://pbs.twimg.com/profile_images/750345426285367296/1gPv-H6W_normal.jpg","View")</f>
        <v>View</v>
      </c>
      <c r="P6366" s="10"/>
    </row>
    <row r="6367" customFormat="false" ht="15.75" hidden="false" customHeight="false" outlineLevel="0" collapsed="false">
      <c r="A6367" s="6" t="n">
        <v>43031.0839699074</v>
      </c>
      <c r="B6367" s="7" t="str">
        <f aca="false">HYPERLINK("https://twitter.com/Immaculatemwa11","@Immaculatemwa11")</f>
        <v>@Immaculatemwa11</v>
      </c>
      <c r="C6367" s="8" t="s">
        <v>14548</v>
      </c>
      <c r="D6367" s="8" t="s">
        <v>14373</v>
      </c>
      <c r="E6367" s="9" t="str">
        <f aca="false">HYPERLINK("https://twitter.com/Immaculatemwa11/status/922387347785830401","922387347785830401")</f>
        <v>922387347785830401</v>
      </c>
      <c r="F6367" s="10" t="s">
        <v>25</v>
      </c>
      <c r="G6367" s="10" t="n">
        <v>22</v>
      </c>
      <c r="H6367" s="10" t="n">
        <v>250</v>
      </c>
      <c r="I6367" s="10" t="n">
        <v>7</v>
      </c>
      <c r="J6367" s="10" t="n">
        <v>0</v>
      </c>
      <c r="K6367" s="10" t="s">
        <v>20</v>
      </c>
      <c r="L6367" s="11" t="n">
        <v>42952.3256944444</v>
      </c>
      <c r="M6367" s="12" t="s">
        <v>1028</v>
      </c>
      <c r="N6367" s="12"/>
      <c r="O6367" s="9" t="str">
        <f aca="false">HYPERLINK("https://pbs.twimg.com/profile_images/921684030797631488/-2nGZ4RS_normal.jpg","View")</f>
        <v>View</v>
      </c>
      <c r="P6367" s="10"/>
    </row>
    <row r="6368" customFormat="false" ht="15.75" hidden="false" customHeight="false" outlineLevel="0" collapsed="false">
      <c r="A6368" s="6" t="n">
        <v>43031.0841319445</v>
      </c>
      <c r="B6368" s="7" t="str">
        <f aca="false">HYPERLINK("https://twitter.com/wildfirered98","@wildfirered98")</f>
        <v>@wildfirered98</v>
      </c>
      <c r="C6368" s="8" t="s">
        <v>14549</v>
      </c>
      <c r="D6368" s="8" t="s">
        <v>14550</v>
      </c>
      <c r="E6368" s="9" t="str">
        <f aca="false">HYPERLINK("https://twitter.com/wildfirered98/status/922387408359915520","922387408359915520")</f>
        <v>922387408359915520</v>
      </c>
      <c r="F6368" s="10" t="s">
        <v>25</v>
      </c>
      <c r="G6368" s="10" t="n">
        <v>3109</v>
      </c>
      <c r="H6368" s="10" t="n">
        <v>4995</v>
      </c>
      <c r="I6368" s="10" t="n">
        <v>1</v>
      </c>
      <c r="J6368" s="10" t="n">
        <v>0</v>
      </c>
      <c r="K6368" s="10" t="s">
        <v>20</v>
      </c>
      <c r="L6368" s="11" t="n">
        <v>39954.8646412037</v>
      </c>
      <c r="M6368" s="12" t="s">
        <v>502</v>
      </c>
      <c r="N6368" s="12" t="s">
        <v>14551</v>
      </c>
      <c r="O6368" s="9" t="str">
        <f aca="false">HYPERLINK("https://pbs.twimg.com/profile_images/822327428685000705/j6jr-hM6_normal.jpg","View")</f>
        <v>View</v>
      </c>
      <c r="P6368" s="10"/>
    </row>
    <row r="6369" customFormat="false" ht="15.75" hidden="false" customHeight="false" outlineLevel="0" collapsed="false">
      <c r="A6369" s="6" t="n">
        <v>43031.0843287037</v>
      </c>
      <c r="B6369" s="7" t="str">
        <f aca="false">HYPERLINK("https://twitter.com/thaar","@thaar")</f>
        <v>@thaar</v>
      </c>
      <c r="C6369" s="8" t="s">
        <v>995</v>
      </c>
      <c r="D6369" s="8" t="s">
        <v>14552</v>
      </c>
      <c r="E6369" s="9" t="str">
        <f aca="false">HYPERLINK("https://twitter.com/thaar/status/922387475837980675","922387475837980675")</f>
        <v>922387475837980675</v>
      </c>
      <c r="F6369" s="10" t="s">
        <v>60</v>
      </c>
      <c r="G6369" s="10" t="n">
        <v>28502</v>
      </c>
      <c r="H6369" s="10" t="n">
        <v>31291</v>
      </c>
      <c r="I6369" s="10" t="n">
        <v>1</v>
      </c>
      <c r="J6369" s="10" t="n">
        <v>0</v>
      </c>
      <c r="K6369" s="10" t="s">
        <v>20</v>
      </c>
      <c r="L6369" s="11" t="n">
        <v>39912.589849537</v>
      </c>
      <c r="M6369" s="12" t="s">
        <v>230</v>
      </c>
      <c r="N6369" s="12" t="s">
        <v>997</v>
      </c>
      <c r="O6369" s="9" t="str">
        <f aca="false">HYPERLINK("https://pbs.twimg.com/profile_images/835478043569307648/RNv4z1CE_normal.jpg","View")</f>
        <v>View</v>
      </c>
      <c r="P6369" s="10"/>
    </row>
    <row r="6370" customFormat="false" ht="15.75" hidden="false" customHeight="false" outlineLevel="0" collapsed="false">
      <c r="A6370" s="6" t="n">
        <v>43031.0847685185</v>
      </c>
      <c r="B6370" s="7" t="str">
        <f aca="false">HYPERLINK("https://twitter.com/mirogeorgiev97","@mirogeorgiev97")</f>
        <v>@mirogeorgiev97</v>
      </c>
      <c r="C6370" s="8" t="s">
        <v>971</v>
      </c>
      <c r="D6370" s="8" t="s">
        <v>14553</v>
      </c>
      <c r="E6370" s="9" t="str">
        <f aca="false">HYPERLINK("https://twitter.com/mirogeorgiev97/status/922387638123974658","922387638123974658")</f>
        <v>922387638123974658</v>
      </c>
      <c r="F6370" s="10" t="s">
        <v>60</v>
      </c>
      <c r="G6370" s="10" t="n">
        <v>946</v>
      </c>
      <c r="H6370" s="10" t="n">
        <v>4974</v>
      </c>
      <c r="I6370" s="10" t="n">
        <v>0</v>
      </c>
      <c r="J6370" s="10" t="n">
        <v>0</v>
      </c>
      <c r="K6370" s="10" t="s">
        <v>20</v>
      </c>
      <c r="L6370" s="11" t="n">
        <v>41999.3802199074</v>
      </c>
      <c r="M6370" s="12" t="s">
        <v>973</v>
      </c>
      <c r="N6370" s="12" t="s">
        <v>974</v>
      </c>
      <c r="O6370" s="9" t="str">
        <f aca="false">HYPERLINK("https://pbs.twimg.com/profile_images/790650212452802560/yknMqKWs_normal.jpg","View")</f>
        <v>View</v>
      </c>
      <c r="P6370" s="10"/>
    </row>
    <row r="6371" customFormat="false" ht="15.75" hidden="false" customHeight="false" outlineLevel="0" collapsed="false">
      <c r="A6371" s="6" t="n">
        <v>43031.0848842593</v>
      </c>
      <c r="B6371" s="7" t="str">
        <f aca="false">HYPERLINK("https://twitter.com/Hiroyuki0205","@Hiroyuki0205")</f>
        <v>@Hiroyuki0205</v>
      </c>
      <c r="C6371" s="14" t="s">
        <v>14554</v>
      </c>
      <c r="D6371" s="8" t="s">
        <v>14466</v>
      </c>
      <c r="E6371" s="9" t="str">
        <f aca="false">HYPERLINK("https://twitter.com/Hiroyuki0205/status/922387677126672384","922387677126672384")</f>
        <v>922387677126672384</v>
      </c>
      <c r="F6371" s="10" t="s">
        <v>51</v>
      </c>
      <c r="G6371" s="10" t="n">
        <v>5</v>
      </c>
      <c r="H6371" s="10" t="n">
        <v>9</v>
      </c>
      <c r="I6371" s="10" t="n">
        <v>51</v>
      </c>
      <c r="J6371" s="10" t="n">
        <v>0</v>
      </c>
      <c r="K6371" s="10" t="s">
        <v>20</v>
      </c>
      <c r="L6371" s="11" t="n">
        <v>40092.9114351852</v>
      </c>
      <c r="M6371" s="13" t="s">
        <v>14555</v>
      </c>
      <c r="N6371" s="13" t="s">
        <v>14556</v>
      </c>
      <c r="O6371" s="9" t="str">
        <f aca="false">HYPERLINK("https://pbs.twimg.com/profile_images/730582979240558592/YJMFz_d2_normal.jpg","View")</f>
        <v>View</v>
      </c>
      <c r="P6371" s="10"/>
    </row>
    <row r="6372" customFormat="false" ht="15.75" hidden="false" customHeight="false" outlineLevel="0" collapsed="false">
      <c r="A6372" s="6" t="n">
        <v>43031.0853472222</v>
      </c>
      <c r="B6372" s="7" t="str">
        <f aca="false">HYPERLINK("https://twitter.com/pushandpulljlm","@pushandpulljlm")</f>
        <v>@pushandpulljlm</v>
      </c>
      <c r="C6372" s="8" t="s">
        <v>14557</v>
      </c>
      <c r="D6372" s="8" t="s">
        <v>14466</v>
      </c>
      <c r="E6372" s="9" t="str">
        <f aca="false">HYPERLINK("https://twitter.com/pushandpulljlm/status/922387848472522752","922387848472522752")</f>
        <v>922387848472522752</v>
      </c>
      <c r="F6372" s="10" t="s">
        <v>51</v>
      </c>
      <c r="G6372" s="10" t="n">
        <v>747</v>
      </c>
      <c r="H6372" s="10" t="n">
        <v>1380</v>
      </c>
      <c r="I6372" s="10" t="n">
        <v>51</v>
      </c>
      <c r="J6372" s="10" t="n">
        <v>0</v>
      </c>
      <c r="K6372" s="10" t="s">
        <v>20</v>
      </c>
      <c r="L6372" s="11" t="n">
        <v>41875.559525463</v>
      </c>
      <c r="M6372" s="12" t="s">
        <v>9331</v>
      </c>
      <c r="N6372" s="12" t="s">
        <v>14558</v>
      </c>
      <c r="O6372" s="9" t="str">
        <f aca="false">HYPERLINK("https://pbs.twimg.com/profile_images/921351785066958849/vgWS7HR-_normal.jpg","View")</f>
        <v>View</v>
      </c>
      <c r="P6372" s="10"/>
    </row>
    <row r="6373" customFormat="false" ht="15.75" hidden="false" customHeight="false" outlineLevel="0" collapsed="false">
      <c r="A6373" s="6" t="n">
        <v>43031.0854513889</v>
      </c>
      <c r="B6373" s="7" t="str">
        <f aca="false">HYPERLINK("https://twitter.com/GboruM","@GboruM")</f>
        <v>@GboruM</v>
      </c>
      <c r="C6373" s="8" t="s">
        <v>2206</v>
      </c>
      <c r="D6373" s="8" t="s">
        <v>14559</v>
      </c>
      <c r="E6373" s="9" t="str">
        <f aca="false">HYPERLINK("https://twitter.com/GboruM/status/922387885638275072","922387885638275072")</f>
        <v>922387885638275072</v>
      </c>
      <c r="F6373" s="10" t="s">
        <v>55</v>
      </c>
      <c r="G6373" s="10" t="n">
        <v>12129</v>
      </c>
      <c r="H6373" s="10" t="n">
        <v>287</v>
      </c>
      <c r="I6373" s="10" t="n">
        <v>0</v>
      </c>
      <c r="J6373" s="10" t="n">
        <v>0</v>
      </c>
      <c r="K6373" s="10" t="s">
        <v>20</v>
      </c>
      <c r="L6373" s="11" t="n">
        <v>41246.9268518519</v>
      </c>
      <c r="M6373" s="12" t="s">
        <v>1670</v>
      </c>
      <c r="N6373" s="12" t="s">
        <v>2208</v>
      </c>
      <c r="O6373" s="9" t="str">
        <f aca="false">HYPERLINK("https://pbs.twimg.com/profile_images/923809863121166336/FPYIgixr_normal.jpg","View")</f>
        <v>View</v>
      </c>
      <c r="P6373" s="10"/>
    </row>
    <row r="6374" customFormat="false" ht="15.75" hidden="false" customHeight="false" outlineLevel="0" collapsed="false">
      <c r="A6374" s="6" t="n">
        <v>43031.0856018519</v>
      </c>
      <c r="B6374" s="7" t="str">
        <f aca="false">HYPERLINK("https://twitter.com/NannySaysNah","@NannySaysNah")</f>
        <v>@NannySaysNah</v>
      </c>
      <c r="C6374" s="8" t="s">
        <v>13877</v>
      </c>
      <c r="D6374" s="8" t="s">
        <v>14466</v>
      </c>
      <c r="E6374" s="9" t="str">
        <f aca="false">HYPERLINK("https://twitter.com/NannySaysNah/status/922387940449198080","922387940449198080")</f>
        <v>922387940449198080</v>
      </c>
      <c r="F6374" s="10" t="s">
        <v>177</v>
      </c>
      <c r="G6374" s="10" t="n">
        <v>520</v>
      </c>
      <c r="H6374" s="10" t="n">
        <v>3206</v>
      </c>
      <c r="I6374" s="10" t="n">
        <v>51</v>
      </c>
      <c r="J6374" s="10" t="n">
        <v>0</v>
      </c>
      <c r="K6374" s="10" t="s">
        <v>20</v>
      </c>
      <c r="L6374" s="11" t="n">
        <v>41195.1681597222</v>
      </c>
      <c r="M6374" s="12" t="s">
        <v>13878</v>
      </c>
      <c r="N6374" s="12"/>
      <c r="O6374" s="9" t="str">
        <f aca="false">HYPERLINK("https://pbs.twimg.com/profile_images/722626308237369344/BNPFfIeP_normal.jpg","View")</f>
        <v>View</v>
      </c>
      <c r="P6374" s="10"/>
    </row>
    <row r="6375" customFormat="false" ht="15.75" hidden="false" customHeight="false" outlineLevel="0" collapsed="false">
      <c r="A6375" s="6" t="n">
        <v>43031.0865856482</v>
      </c>
      <c r="B6375" s="7" t="str">
        <f aca="false">HYPERLINK("https://twitter.com/tracyashish","@tracyashish")</f>
        <v>@tracyashish</v>
      </c>
      <c r="C6375" s="8" t="s">
        <v>14520</v>
      </c>
      <c r="D6375" s="8" t="s">
        <v>13922</v>
      </c>
      <c r="E6375" s="9" t="str">
        <f aca="false">HYPERLINK("https://twitter.com/tracyashish/status/922388295769767937","922388295769767937")</f>
        <v>922388295769767937</v>
      </c>
      <c r="F6375" s="10" t="s">
        <v>98</v>
      </c>
      <c r="G6375" s="10" t="n">
        <v>413</v>
      </c>
      <c r="H6375" s="10" t="n">
        <v>1979</v>
      </c>
      <c r="I6375" s="10" t="n">
        <v>2</v>
      </c>
      <c r="J6375" s="10" t="n">
        <v>0</v>
      </c>
      <c r="K6375" s="10" t="s">
        <v>20</v>
      </c>
      <c r="L6375" s="11" t="n">
        <v>42209.9261226852</v>
      </c>
      <c r="M6375" s="12" t="s">
        <v>14521</v>
      </c>
      <c r="N6375" s="12" t="s">
        <v>14522</v>
      </c>
      <c r="O6375" s="9" t="str">
        <f aca="false">HYPERLINK("https://pbs.twimg.com/profile_images/923910820349689858/QaPjFuM7_normal.jpg","View")</f>
        <v>View</v>
      </c>
      <c r="P6375" s="10"/>
    </row>
    <row r="6376" customFormat="false" ht="15.75" hidden="false" customHeight="false" outlineLevel="0" collapsed="false">
      <c r="A6376" s="6" t="n">
        <v>43031.0868865741</v>
      </c>
      <c r="B6376" s="7" t="str">
        <f aca="false">HYPERLINK("https://twitter.com/lassesviland","@lassesviland")</f>
        <v>@lassesviland</v>
      </c>
      <c r="C6376" s="8" t="s">
        <v>14560</v>
      </c>
      <c r="D6376" s="8" t="s">
        <v>14561</v>
      </c>
      <c r="E6376" s="9" t="str">
        <f aca="false">HYPERLINK("https://twitter.com/lassesviland/status/922388404750319616","922388404750319616")</f>
        <v>922388404750319616</v>
      </c>
      <c r="F6376" s="10" t="s">
        <v>14562</v>
      </c>
      <c r="G6376" s="10" t="n">
        <v>2</v>
      </c>
      <c r="H6376" s="10" t="n">
        <v>2</v>
      </c>
      <c r="I6376" s="10" t="n">
        <v>0</v>
      </c>
      <c r="J6376" s="10" t="n">
        <v>0</v>
      </c>
      <c r="K6376" s="10" t="s">
        <v>20</v>
      </c>
      <c r="L6376" s="11" t="n">
        <v>41754.1249884259</v>
      </c>
      <c r="M6376" s="12"/>
      <c r="N6376" s="12"/>
      <c r="O6376" s="9" t="str">
        <f aca="false">HYPERLINK("https://abs.twimg.com/sticky/default_profile_images/default_profile_normal.png","View")</f>
        <v>View</v>
      </c>
      <c r="P6376" s="10"/>
    </row>
    <row r="6377" customFormat="false" ht="15.75" hidden="false" customHeight="false" outlineLevel="0" collapsed="false">
      <c r="A6377" s="6" t="n">
        <v>43031.0874305556</v>
      </c>
      <c r="B6377" s="7" t="str">
        <f aca="false">HYPERLINK("https://twitter.com/LilianaSnchez9","@LilianaSnchez9")</f>
        <v>@LilianaSnchez9</v>
      </c>
      <c r="C6377" s="8" t="s">
        <v>14563</v>
      </c>
      <c r="D6377" s="8" t="s">
        <v>14564</v>
      </c>
      <c r="E6377" s="9" t="str">
        <f aca="false">HYPERLINK("https://twitter.com/LilianaSnchez9/status/922388601824038913","922388601824038913")</f>
        <v>922388601824038913</v>
      </c>
      <c r="F6377" s="10" t="s">
        <v>25</v>
      </c>
      <c r="G6377" s="10" t="n">
        <v>22069</v>
      </c>
      <c r="H6377" s="10" t="n">
        <v>8394</v>
      </c>
      <c r="I6377" s="10" t="n">
        <v>1</v>
      </c>
      <c r="J6377" s="10" t="n">
        <v>0</v>
      </c>
      <c r="K6377" s="10" t="s">
        <v>20</v>
      </c>
      <c r="L6377" s="11" t="n">
        <v>41599.5110532407</v>
      </c>
      <c r="M6377" s="12" t="s">
        <v>14565</v>
      </c>
      <c r="N6377" s="12" t="s">
        <v>14566</v>
      </c>
      <c r="O6377" s="9" t="str">
        <f aca="false">HYPERLINK("https://pbs.twimg.com/profile_images/892186345757704193/23LZUCxN_normal.jpg","View")</f>
        <v>View</v>
      </c>
      <c r="P6377" s="10"/>
    </row>
    <row r="6378" customFormat="false" ht="15.75" hidden="false" customHeight="false" outlineLevel="0" collapsed="false">
      <c r="A6378" s="6" t="n">
        <v>43031.0875</v>
      </c>
      <c r="B6378" s="7" t="str">
        <f aca="false">HYPERLINK("https://twitter.com/lakshmisrikant7","@lakshmisrikant7")</f>
        <v>@lakshmisrikant7</v>
      </c>
      <c r="C6378" s="8" t="s">
        <v>14567</v>
      </c>
      <c r="D6378" s="8" t="s">
        <v>8538</v>
      </c>
      <c r="E6378" s="9" t="str">
        <f aca="false">HYPERLINK("https://twitter.com/lakshmisrikant7/status/922388626251460608","922388626251460608")</f>
        <v>922388626251460608</v>
      </c>
      <c r="F6378" s="10" t="s">
        <v>25</v>
      </c>
      <c r="G6378" s="10" t="n">
        <v>541</v>
      </c>
      <c r="H6378" s="10" t="n">
        <v>365</v>
      </c>
      <c r="I6378" s="10" t="n">
        <v>1015</v>
      </c>
      <c r="J6378" s="10" t="n">
        <v>0</v>
      </c>
      <c r="K6378" s="10" t="s">
        <v>20</v>
      </c>
      <c r="L6378" s="11" t="n">
        <v>41947.3905092593</v>
      </c>
      <c r="M6378" s="12"/>
      <c r="N6378" s="12"/>
      <c r="O6378" s="9" t="str">
        <f aca="false">HYPERLINK("https://pbs.twimg.com/profile_images/897057289131114496/K7dNLuDA_normal.jpg","View")</f>
        <v>View</v>
      </c>
      <c r="P6378" s="10"/>
    </row>
    <row r="6379" customFormat="false" ht="15.75" hidden="false" customHeight="false" outlineLevel="0" collapsed="false">
      <c r="A6379" s="6" t="n">
        <v>43031.0877546296</v>
      </c>
      <c r="B6379" s="7" t="str">
        <f aca="false">HYPERLINK("https://twitter.com/Husmo","@Husmo")</f>
        <v>@Husmo</v>
      </c>
      <c r="C6379" s="8" t="s">
        <v>14568</v>
      </c>
      <c r="D6379" s="8" t="s">
        <v>14466</v>
      </c>
      <c r="E6379" s="9" t="str">
        <f aca="false">HYPERLINK("https://twitter.com/Husmo/status/922388717842690050","922388717842690050")</f>
        <v>922388717842690050</v>
      </c>
      <c r="F6379" s="10" t="s">
        <v>25</v>
      </c>
      <c r="G6379" s="10" t="n">
        <v>914</v>
      </c>
      <c r="H6379" s="10" t="n">
        <v>566</v>
      </c>
      <c r="I6379" s="10" t="n">
        <v>51</v>
      </c>
      <c r="J6379" s="10" t="n">
        <v>0</v>
      </c>
      <c r="K6379" s="10" t="s">
        <v>20</v>
      </c>
      <c r="L6379" s="11" t="n">
        <v>40097.6353472222</v>
      </c>
      <c r="M6379" s="12" t="s">
        <v>2400</v>
      </c>
      <c r="N6379" s="12" t="s">
        <v>14569</v>
      </c>
      <c r="O6379" s="9" t="str">
        <f aca="false">HYPERLINK("https://pbs.twimg.com/profile_images/378800000747390284/c5016a88531b74417c0fc4671fb1056f_normal.jpeg","View")</f>
        <v>View</v>
      </c>
      <c r="P6379" s="10"/>
    </row>
    <row r="6380" customFormat="false" ht="15.75" hidden="false" customHeight="false" outlineLevel="0" collapsed="false">
      <c r="A6380" s="6" t="n">
        <v>43031.0880787037</v>
      </c>
      <c r="B6380" s="7" t="str">
        <f aca="false">HYPERLINK("https://twitter.com/SunilalSuku","@SunilalSuku")</f>
        <v>@SunilalSuku</v>
      </c>
      <c r="C6380" s="8" t="s">
        <v>14570</v>
      </c>
      <c r="D6380" s="8" t="s">
        <v>8538</v>
      </c>
      <c r="E6380" s="9" t="str">
        <f aca="false">HYPERLINK("https://twitter.com/SunilalSuku/status/922388834741923840","922388834741923840")</f>
        <v>922388834741923840</v>
      </c>
      <c r="F6380" s="10" t="s">
        <v>25</v>
      </c>
      <c r="G6380" s="10" t="n">
        <v>141</v>
      </c>
      <c r="H6380" s="10" t="n">
        <v>368</v>
      </c>
      <c r="I6380" s="10" t="n">
        <v>1015</v>
      </c>
      <c r="J6380" s="10" t="n">
        <v>0</v>
      </c>
      <c r="K6380" s="10" t="s">
        <v>20</v>
      </c>
      <c r="L6380" s="11" t="n">
        <v>41593.3120601852</v>
      </c>
      <c r="M6380" s="12"/>
      <c r="N6380" s="12"/>
      <c r="O6380" s="9" t="str">
        <f aca="false">HYPERLINK("https://pbs.twimg.com/profile_images/378800000743336017/ac4c084adf1c5ebdbd577964a076500c_normal.jpeg","View")</f>
        <v>View</v>
      </c>
      <c r="P6380" s="10"/>
    </row>
    <row r="6381" customFormat="false" ht="15.75" hidden="false" customHeight="false" outlineLevel="0" collapsed="false">
      <c r="A6381" s="6" t="n">
        <v>43031.088125</v>
      </c>
      <c r="B6381" s="7" t="str">
        <f aca="false">HYPERLINK("https://twitter.com/laquialene69","@laquialene69")</f>
        <v>@laquialene69</v>
      </c>
      <c r="C6381" s="8" t="s">
        <v>14571</v>
      </c>
      <c r="D6381" s="8" t="s">
        <v>14466</v>
      </c>
      <c r="E6381" s="9" t="str">
        <f aca="false">HYPERLINK("https://twitter.com/laquialene69/status/922388852693716992","922388852693716992")</f>
        <v>922388852693716992</v>
      </c>
      <c r="F6381" s="10" t="s">
        <v>25</v>
      </c>
      <c r="G6381" s="10" t="n">
        <v>1332</v>
      </c>
      <c r="H6381" s="10" t="n">
        <v>1832</v>
      </c>
      <c r="I6381" s="10" t="n">
        <v>51</v>
      </c>
      <c r="J6381" s="10" t="n">
        <v>0</v>
      </c>
      <c r="K6381" s="10" t="s">
        <v>20</v>
      </c>
      <c r="L6381" s="11" t="n">
        <v>41171.8465740741</v>
      </c>
      <c r="M6381" s="12" t="s">
        <v>14572</v>
      </c>
      <c r="N6381" s="12" t="s">
        <v>14573</v>
      </c>
      <c r="O6381" s="9" t="str">
        <f aca="false">HYPERLINK("https://pbs.twimg.com/profile_images/910699700117938178/iuT_ozIC_normal.jpg","View")</f>
        <v>View</v>
      </c>
      <c r="P6381" s="10"/>
    </row>
    <row r="6382" customFormat="false" ht="15.75" hidden="false" customHeight="false" outlineLevel="0" collapsed="false">
      <c r="A6382" s="6" t="n">
        <v>43031.0882407407</v>
      </c>
      <c r="B6382" s="7" t="str">
        <f aca="false">HYPERLINK("https://twitter.com/AmitaPatel226","@AmitaPatel226")</f>
        <v>@AmitaPatel226</v>
      </c>
      <c r="C6382" s="8" t="s">
        <v>14574</v>
      </c>
      <c r="D6382" s="8" t="s">
        <v>8538</v>
      </c>
      <c r="E6382" s="9" t="str">
        <f aca="false">HYPERLINK("https://twitter.com/AmitaPatel226/status/922388894427082752","922388894427082752")</f>
        <v>922388894427082752</v>
      </c>
      <c r="F6382" s="10" t="s">
        <v>25</v>
      </c>
      <c r="G6382" s="10" t="n">
        <v>12</v>
      </c>
      <c r="H6382" s="10" t="n">
        <v>120</v>
      </c>
      <c r="I6382" s="10" t="n">
        <v>1015</v>
      </c>
      <c r="J6382" s="10" t="n">
        <v>0</v>
      </c>
      <c r="K6382" s="10" t="s">
        <v>20</v>
      </c>
      <c r="L6382" s="11" t="n">
        <v>41711.5353935185</v>
      </c>
      <c r="M6382" s="12" t="s">
        <v>14575</v>
      </c>
      <c r="N6382" s="12"/>
      <c r="O6382" s="9" t="str">
        <f aca="false">HYPERLINK("https://pbs.twimg.com/profile_images/882478390695141376/dEk56mhj_normal.jpg","View")</f>
        <v>View</v>
      </c>
      <c r="P6382" s="10"/>
    </row>
    <row r="6383" customFormat="false" ht="15.75" hidden="false" customHeight="false" outlineLevel="0" collapsed="false">
      <c r="A6383" s="6" t="n">
        <v>43031.0895949074</v>
      </c>
      <c r="B6383" s="7" t="str">
        <f aca="false">HYPERLINK("https://twitter.com/Roshan_Punch","@Roshan_Punch")</f>
        <v>@Roshan_Punch</v>
      </c>
      <c r="C6383" s="8" t="s">
        <v>14576</v>
      </c>
      <c r="D6383" s="8" t="s">
        <v>8538</v>
      </c>
      <c r="E6383" s="9" t="str">
        <f aca="false">HYPERLINK("https://twitter.com/Roshan_Punch/status/922389387479887873","922389387479887873")</f>
        <v>922389387479887873</v>
      </c>
      <c r="F6383" s="10" t="s">
        <v>25</v>
      </c>
      <c r="G6383" s="10" t="n">
        <v>24</v>
      </c>
      <c r="H6383" s="10" t="n">
        <v>277</v>
      </c>
      <c r="I6383" s="10" t="n">
        <v>1015</v>
      </c>
      <c r="J6383" s="10" t="n">
        <v>0</v>
      </c>
      <c r="K6383" s="10" t="s">
        <v>20</v>
      </c>
      <c r="L6383" s="11" t="n">
        <v>42986.9617013889</v>
      </c>
      <c r="M6383" s="12" t="s">
        <v>14577</v>
      </c>
      <c r="N6383" s="12" t="s">
        <v>14578</v>
      </c>
      <c r="O6383" s="9" t="str">
        <f aca="false">HYPERLINK("https://pbs.twimg.com/profile_images/921829184950870016/39Api8Jq_normal.jpg","View")</f>
        <v>View</v>
      </c>
      <c r="P6383" s="10"/>
    </row>
    <row r="6384" customFormat="false" ht="15.75" hidden="false" customHeight="false" outlineLevel="0" collapsed="false">
      <c r="A6384" s="6" t="n">
        <v>43031.0897453704</v>
      </c>
      <c r="B6384" s="7" t="str">
        <f aca="false">HYPERLINK("https://twitter.com/Oshilo","@Oshilo")</f>
        <v>@Oshilo</v>
      </c>
      <c r="C6384" s="8" t="s">
        <v>13566</v>
      </c>
      <c r="D6384" s="8" t="s">
        <v>14579</v>
      </c>
      <c r="E6384" s="9" t="str">
        <f aca="false">HYPERLINK("https://twitter.com/Oshilo/status/922389442568089600","922389442568089600")</f>
        <v>922389442568089600</v>
      </c>
      <c r="F6384" s="10" t="s">
        <v>55</v>
      </c>
      <c r="G6384" s="10" t="n">
        <v>172</v>
      </c>
      <c r="H6384" s="10" t="n">
        <v>62</v>
      </c>
      <c r="I6384" s="10" t="n">
        <v>0</v>
      </c>
      <c r="J6384" s="10" t="n">
        <v>0</v>
      </c>
      <c r="K6384" s="10" t="s">
        <v>20</v>
      </c>
      <c r="L6384" s="11" t="n">
        <v>40007.0868402778</v>
      </c>
      <c r="M6384" s="12" t="s">
        <v>13568</v>
      </c>
      <c r="N6384" s="12"/>
      <c r="O6384" s="9" t="str">
        <f aca="false">HYPERLINK("https://pbs.twimg.com/profile_images/719706937923756032/6LX9DMMH_normal.jpg","View")</f>
        <v>View</v>
      </c>
      <c r="P6384" s="10"/>
    </row>
    <row r="6385" customFormat="false" ht="15.75" hidden="false" customHeight="false" outlineLevel="0" collapsed="false">
      <c r="A6385" s="6" t="n">
        <v>43031.0898726852</v>
      </c>
      <c r="B6385" s="7" t="str">
        <f aca="false">HYPERLINK("https://twitter.com/JOHNoholics","@JOHNoholics")</f>
        <v>@JOHNoholics</v>
      </c>
      <c r="C6385" s="8" t="s">
        <v>14580</v>
      </c>
      <c r="D6385" s="8" t="s">
        <v>14466</v>
      </c>
      <c r="E6385" s="9" t="str">
        <f aca="false">HYPERLINK("https://twitter.com/JOHNoholics/status/922389485308039168","922389485308039168")</f>
        <v>922389485308039168</v>
      </c>
      <c r="F6385" s="10" t="s">
        <v>51</v>
      </c>
      <c r="G6385" s="10" t="n">
        <v>287</v>
      </c>
      <c r="H6385" s="10" t="n">
        <v>689</v>
      </c>
      <c r="I6385" s="10" t="n">
        <v>51</v>
      </c>
      <c r="J6385" s="10" t="n">
        <v>0</v>
      </c>
      <c r="K6385" s="10" t="s">
        <v>20</v>
      </c>
      <c r="L6385" s="11" t="n">
        <v>39913.1733449074</v>
      </c>
      <c r="M6385" s="12" t="s">
        <v>14581</v>
      </c>
      <c r="N6385" s="12" t="s">
        <v>14582</v>
      </c>
      <c r="O6385" s="9" t="str">
        <f aca="false">HYPERLINK("https://pbs.twimg.com/profile_images/752583753596362752/nQsgcwXq_normal.jpg","View")</f>
        <v>View</v>
      </c>
      <c r="P6385" s="10"/>
    </row>
    <row r="6386" customFormat="false" ht="15.75" hidden="false" customHeight="false" outlineLevel="0" collapsed="false">
      <c r="A6386" s="6" t="n">
        <v>43031.0911805556</v>
      </c>
      <c r="B6386" s="7" t="str">
        <f aca="false">HYPERLINK("https://twitter.com/Politics9_","@Politics9_")</f>
        <v>@Politics9_</v>
      </c>
      <c r="C6386" s="8" t="s">
        <v>14583</v>
      </c>
      <c r="D6386" s="8" t="s">
        <v>8538</v>
      </c>
      <c r="E6386" s="9" t="str">
        <f aca="false">HYPERLINK("https://twitter.com/Politics9_/status/922389961340485632","922389961340485632")</f>
        <v>922389961340485632</v>
      </c>
      <c r="F6386" s="10" t="s">
        <v>25</v>
      </c>
      <c r="G6386" s="10" t="n">
        <v>94</v>
      </c>
      <c r="H6386" s="10" t="n">
        <v>1799</v>
      </c>
      <c r="I6386" s="10" t="n">
        <v>1015</v>
      </c>
      <c r="J6386" s="10" t="n">
        <v>0</v>
      </c>
      <c r="K6386" s="10" t="s">
        <v>20</v>
      </c>
      <c r="L6386" s="11" t="n">
        <v>42633.189849537</v>
      </c>
      <c r="M6386" s="12"/>
      <c r="N6386" s="12"/>
      <c r="O6386" s="9" t="str">
        <f aca="false">HYPERLINK("https://abs.twimg.com/sticky/default_profile_images/default_profile_normal.png","View")</f>
        <v>View</v>
      </c>
      <c r="P6386" s="10"/>
    </row>
    <row r="6387" customFormat="false" ht="15.75" hidden="false" customHeight="false" outlineLevel="0" collapsed="false">
      <c r="A6387" s="6" t="n">
        <v>43031.0921180556</v>
      </c>
      <c r="B6387" s="7" t="str">
        <f aca="false">HYPERLINK("https://twitter.com/Alshaikh1","@Alshaikh1")</f>
        <v>@Alshaikh1</v>
      </c>
      <c r="C6387" s="8" t="s">
        <v>14584</v>
      </c>
      <c r="D6387" s="8" t="s">
        <v>14533</v>
      </c>
      <c r="E6387" s="9" t="str">
        <f aca="false">HYPERLINK("https://twitter.com/Alshaikh1/status/922390298520629249","922390298520629249")</f>
        <v>922390298520629249</v>
      </c>
      <c r="F6387" s="10" t="s">
        <v>563</v>
      </c>
      <c r="G6387" s="10" t="n">
        <v>3168</v>
      </c>
      <c r="H6387" s="10" t="n">
        <v>1087</v>
      </c>
      <c r="I6387" s="10" t="n">
        <v>4</v>
      </c>
      <c r="J6387" s="10" t="n">
        <v>0</v>
      </c>
      <c r="K6387" s="10" t="s">
        <v>20</v>
      </c>
      <c r="L6387" s="11" t="n">
        <v>39898.9628356481</v>
      </c>
      <c r="M6387" s="12" t="s">
        <v>14585</v>
      </c>
      <c r="N6387" s="12" t="s">
        <v>14586</v>
      </c>
      <c r="O6387" s="9" t="str">
        <f aca="false">HYPERLINK("https://pbs.twimg.com/profile_images/750348098132537344/3wZMrELu_normal.jpg","View")</f>
        <v>View</v>
      </c>
      <c r="P6387" s="10"/>
    </row>
    <row r="6388" customFormat="false" ht="15.75" hidden="false" customHeight="false" outlineLevel="0" collapsed="false">
      <c r="A6388" s="6" t="n">
        <v>43031.0927777778</v>
      </c>
      <c r="B6388" s="7" t="str">
        <f aca="false">HYPERLINK("https://twitter.com/vbence","@vbence")</f>
        <v>@vbence</v>
      </c>
      <c r="C6388" s="8" t="s">
        <v>14587</v>
      </c>
      <c r="D6388" s="8" t="s">
        <v>13595</v>
      </c>
      <c r="E6388" s="9" t="str">
        <f aca="false">HYPERLINK("https://twitter.com/vbence/status/922390539500171265","922390539500171265")</f>
        <v>922390539500171265</v>
      </c>
      <c r="F6388" s="10" t="s">
        <v>39</v>
      </c>
      <c r="G6388" s="10" t="n">
        <v>48</v>
      </c>
      <c r="H6388" s="10" t="n">
        <v>108</v>
      </c>
      <c r="I6388" s="10" t="n">
        <v>88</v>
      </c>
      <c r="J6388" s="10" t="n">
        <v>0</v>
      </c>
      <c r="K6388" s="10" t="s">
        <v>20</v>
      </c>
      <c r="L6388" s="11" t="n">
        <v>41930.3329513889</v>
      </c>
      <c r="M6388" s="12" t="s">
        <v>14588</v>
      </c>
      <c r="N6388" s="12" t="s">
        <v>14589</v>
      </c>
      <c r="O6388" s="9" t="str">
        <f aca="false">HYPERLINK("https://pbs.twimg.com/profile_images/878583606037401600/yAJlj4ad_normal.jpg","View")</f>
        <v>View</v>
      </c>
      <c r="P6388" s="10"/>
    </row>
    <row r="6389" customFormat="false" ht="15.75" hidden="false" customHeight="false" outlineLevel="0" collapsed="false">
      <c r="A6389" s="6" t="n">
        <v>43031.0933101852</v>
      </c>
      <c r="B6389" s="7" t="str">
        <f aca="false">HYPERLINK("https://twitter.com/RRamgovind","@RRamgovind")</f>
        <v>@RRamgovind</v>
      </c>
      <c r="C6389" s="8" t="s">
        <v>14590</v>
      </c>
      <c r="D6389" s="8" t="s">
        <v>8538</v>
      </c>
      <c r="E6389" s="9" t="str">
        <f aca="false">HYPERLINK("https://twitter.com/RRamgovind/status/922390732148654082","922390732148654082")</f>
        <v>922390732148654082</v>
      </c>
      <c r="F6389" s="10" t="s">
        <v>25</v>
      </c>
      <c r="G6389" s="10" t="n">
        <v>595</v>
      </c>
      <c r="H6389" s="10" t="n">
        <v>832</v>
      </c>
      <c r="I6389" s="10" t="n">
        <v>1015</v>
      </c>
      <c r="J6389" s="10" t="n">
        <v>0</v>
      </c>
      <c r="K6389" s="10" t="s">
        <v>20</v>
      </c>
      <c r="L6389" s="11" t="n">
        <v>40698.9793634259</v>
      </c>
      <c r="M6389" s="12" t="s">
        <v>14591</v>
      </c>
      <c r="N6389" s="12" t="s">
        <v>14592</v>
      </c>
      <c r="O6389" s="9" t="str">
        <f aca="false">HYPERLINK("https://pbs.twimg.com/profile_images/608635266849374208/Zn5vRJvc_normal.jpg","View")</f>
        <v>View</v>
      </c>
      <c r="P6389" s="10"/>
    </row>
    <row r="6390" customFormat="false" ht="15.75" hidden="false" customHeight="false" outlineLevel="0" collapsed="false">
      <c r="A6390" s="6" t="n">
        <v>43031.0933101852</v>
      </c>
      <c r="B6390" s="7" t="str">
        <f aca="false">HYPERLINK("https://twitter.com/wittich","@wittich")</f>
        <v>@wittich</v>
      </c>
      <c r="C6390" s="8" t="s">
        <v>1151</v>
      </c>
      <c r="D6390" s="8" t="s">
        <v>14593</v>
      </c>
      <c r="E6390" s="9" t="str">
        <f aca="false">HYPERLINK("https://twitter.com/wittich/status/922390734606667776","922390734606667776")</f>
        <v>922390734606667776</v>
      </c>
      <c r="F6390" s="10" t="s">
        <v>55</v>
      </c>
      <c r="G6390" s="10" t="n">
        <v>2611</v>
      </c>
      <c r="H6390" s="10" t="n">
        <v>1727</v>
      </c>
      <c r="I6390" s="10" t="n">
        <v>0</v>
      </c>
      <c r="J6390" s="10" t="n">
        <v>0</v>
      </c>
      <c r="K6390" s="10" t="s">
        <v>20</v>
      </c>
      <c r="L6390" s="11" t="n">
        <v>39375.5249768519</v>
      </c>
      <c r="M6390" s="12" t="s">
        <v>1153</v>
      </c>
      <c r="N6390" s="12" t="s">
        <v>1154</v>
      </c>
      <c r="O6390" s="9" t="str">
        <f aca="false">HYPERLINK("https://pbs.twimg.com/profile_images/840685455729446912/M8OlVjm3_normal.jpg","View")</f>
        <v>View</v>
      </c>
      <c r="P6390" s="10"/>
    </row>
    <row r="6391" customFormat="false" ht="15.75" hidden="false" customHeight="false" outlineLevel="0" collapsed="false">
      <c r="A6391" s="6" t="n">
        <v>43031.0934027778</v>
      </c>
      <c r="B6391" s="7" t="str">
        <f aca="false">HYPERLINK("https://twitter.com/vjsingh878","@vjsingh878")</f>
        <v>@vjsingh878</v>
      </c>
      <c r="C6391" s="8" t="s">
        <v>9650</v>
      </c>
      <c r="D6391" s="8" t="s">
        <v>8538</v>
      </c>
      <c r="E6391" s="9" t="str">
        <f aca="false">HYPERLINK("https://twitter.com/vjsingh878/status/922390765585645568","922390765585645568")</f>
        <v>922390765585645568</v>
      </c>
      <c r="F6391" s="10" t="s">
        <v>25</v>
      </c>
      <c r="G6391" s="10" t="n">
        <v>245</v>
      </c>
      <c r="H6391" s="10" t="n">
        <v>120</v>
      </c>
      <c r="I6391" s="10" t="n">
        <v>1015</v>
      </c>
      <c r="J6391" s="10" t="n">
        <v>0</v>
      </c>
      <c r="K6391" s="10" t="s">
        <v>20</v>
      </c>
      <c r="L6391" s="11" t="n">
        <v>40729.3774768518</v>
      </c>
      <c r="M6391" s="12" t="s">
        <v>9651</v>
      </c>
      <c r="N6391" s="12"/>
      <c r="O6391" s="9" t="str">
        <f aca="false">HYPERLINK("https://pbs.twimg.com/profile_images/818444800403918848/t3NbLIfe_normal.jpg","View")</f>
        <v>View</v>
      </c>
      <c r="P6391" s="10"/>
    </row>
    <row r="6392" customFormat="false" ht="15.75" hidden="false" customHeight="false" outlineLevel="0" collapsed="false">
      <c r="A6392" s="6" t="n">
        <v>43031.0934259259</v>
      </c>
      <c r="B6392" s="7" t="str">
        <f aca="false">HYPERLINK("https://twitter.com/Inokori335","@Inokori335")</f>
        <v>@Inokori335</v>
      </c>
      <c r="C6392" s="14" t="s">
        <v>14594</v>
      </c>
      <c r="D6392" s="8" t="s">
        <v>12493</v>
      </c>
      <c r="E6392" s="9" t="str">
        <f aca="false">HYPERLINK("https://twitter.com/Inokori335/status/922390773135417344","922390773135417344")</f>
        <v>922390773135417344</v>
      </c>
      <c r="F6392" s="10" t="s">
        <v>51</v>
      </c>
      <c r="G6392" s="10" t="n">
        <v>515</v>
      </c>
      <c r="H6392" s="10" t="n">
        <v>273</v>
      </c>
      <c r="I6392" s="10" t="n">
        <v>63</v>
      </c>
      <c r="J6392" s="10" t="n">
        <v>0</v>
      </c>
      <c r="K6392" s="10" t="s">
        <v>20</v>
      </c>
      <c r="L6392" s="11" t="n">
        <v>40321.2344328704</v>
      </c>
      <c r="M6392" s="13" t="s">
        <v>14595</v>
      </c>
      <c r="N6392" s="13" t="s">
        <v>14596</v>
      </c>
      <c r="O6392" s="9" t="str">
        <f aca="false">HYPERLINK("https://pbs.twimg.com/profile_images/2054112279/Inokori335_normal.jpeg","View")</f>
        <v>View</v>
      </c>
      <c r="P6392" s="10"/>
    </row>
    <row r="6393" customFormat="false" ht="15.75" hidden="false" customHeight="false" outlineLevel="0" collapsed="false">
      <c r="A6393" s="6" t="n">
        <v>43031.0937152778</v>
      </c>
      <c r="B6393" s="7" t="str">
        <f aca="false">HYPERLINK("https://twitter.com/futboicelesteet","@futboicelesteet")</f>
        <v>@futboicelesteet</v>
      </c>
      <c r="C6393" s="8" t="s">
        <v>14597</v>
      </c>
      <c r="D6393" s="8" t="s">
        <v>14598</v>
      </c>
      <c r="E6393" s="9" t="str">
        <f aca="false">HYPERLINK("https://twitter.com/futboicelesteet/status/922390878060195840","922390878060195840")</f>
        <v>922390878060195840</v>
      </c>
      <c r="F6393" s="10" t="s">
        <v>25</v>
      </c>
      <c r="G6393" s="10" t="n">
        <v>71</v>
      </c>
      <c r="H6393" s="10" t="n">
        <v>2274</v>
      </c>
      <c r="I6393" s="10" t="n">
        <v>23</v>
      </c>
      <c r="J6393" s="10" t="n">
        <v>0</v>
      </c>
      <c r="K6393" s="10" t="s">
        <v>20</v>
      </c>
      <c r="L6393" s="11" t="n">
        <v>40647.0789814815</v>
      </c>
      <c r="M6393" s="12" t="s">
        <v>14599</v>
      </c>
      <c r="N6393" s="12" t="s">
        <v>14600</v>
      </c>
      <c r="O6393" s="9" t="str">
        <f aca="false">HYPERLINK("https://pbs.twimg.com/profile_images/763004402269642754/HZ9lLRYN_normal.jpg","View")</f>
        <v>View</v>
      </c>
      <c r="P6393" s="10"/>
    </row>
    <row r="6394" customFormat="false" ht="15.75" hidden="false" customHeight="false" outlineLevel="0" collapsed="false">
      <c r="A6394" s="6" t="n">
        <v>43031.0940625</v>
      </c>
      <c r="B6394" s="7" t="str">
        <f aca="false">HYPERLINK("https://twitter.com/DrAlexConcorde","@DrAlexConcorde")</f>
        <v>@DrAlexConcorde</v>
      </c>
      <c r="C6394" s="8" t="s">
        <v>1079</v>
      </c>
      <c r="D6394" s="8" t="s">
        <v>14601</v>
      </c>
      <c r="E6394" s="9" t="str">
        <f aca="false">HYPERLINK("https://twitter.com/DrAlexConcorde/status/922391004338106368","922391004338106368")</f>
        <v>922391004338106368</v>
      </c>
      <c r="F6394" s="10" t="s">
        <v>110</v>
      </c>
      <c r="G6394" s="10" t="n">
        <v>53862</v>
      </c>
      <c r="H6394" s="10" t="n">
        <v>18446</v>
      </c>
      <c r="I6394" s="10" t="n">
        <v>0</v>
      </c>
      <c r="J6394" s="10" t="n">
        <v>0</v>
      </c>
      <c r="K6394" s="10" t="s">
        <v>20</v>
      </c>
      <c r="L6394" s="11" t="n">
        <v>40404.7397800926</v>
      </c>
      <c r="M6394" s="12" t="s">
        <v>1081</v>
      </c>
      <c r="N6394" s="12" t="s">
        <v>1082</v>
      </c>
      <c r="O6394" s="9" t="str">
        <f aca="false">HYPERLINK("https://pbs.twimg.com/profile_images/797176625989382148/l1GiEKWh_normal.jpg","View")</f>
        <v>View</v>
      </c>
      <c r="P6394" s="10"/>
    </row>
    <row r="6395" customFormat="false" ht="15.75" hidden="false" customHeight="false" outlineLevel="0" collapsed="false">
      <c r="A6395" s="6" t="n">
        <v>43031.0940972222</v>
      </c>
      <c r="B6395" s="7" t="str">
        <f aca="false">HYPERLINK("https://twitter.com/claraisajayde","@claraisajayde")</f>
        <v>@claraisajayde</v>
      </c>
      <c r="C6395" s="8" t="s">
        <v>14602</v>
      </c>
      <c r="D6395" s="8" t="s">
        <v>10225</v>
      </c>
      <c r="E6395" s="9" t="str">
        <f aca="false">HYPERLINK("https://twitter.com/claraisajayde/status/922391018611314693","922391018611314693")</f>
        <v>922391018611314693</v>
      </c>
      <c r="F6395" s="10" t="s">
        <v>51</v>
      </c>
      <c r="G6395" s="10" t="n">
        <v>55</v>
      </c>
      <c r="H6395" s="10" t="n">
        <v>629</v>
      </c>
      <c r="I6395" s="10" t="n">
        <v>16</v>
      </c>
      <c r="J6395" s="10" t="n">
        <v>0</v>
      </c>
      <c r="K6395" s="10" t="s">
        <v>20</v>
      </c>
      <c r="L6395" s="11" t="n">
        <v>42982.6260648148</v>
      </c>
      <c r="M6395" s="12" t="s">
        <v>14603</v>
      </c>
      <c r="N6395" s="12" t="s">
        <v>14604</v>
      </c>
      <c r="O6395" s="9" t="str">
        <f aca="false">HYPERLINK("https://pbs.twimg.com/profile_images/904829832315461632/5t9--B-Z_normal.jpg","View")</f>
        <v>View</v>
      </c>
      <c r="P6395" s="10"/>
    </row>
    <row r="6396" customFormat="false" ht="15.75" hidden="false" customHeight="false" outlineLevel="0" collapsed="false">
      <c r="A6396" s="6" t="n">
        <v>43031.0955671296</v>
      </c>
      <c r="B6396" s="7" t="str">
        <f aca="false">HYPERLINK("https://twitter.com/Stephen5njogu","@Stephen5njogu")</f>
        <v>@Stephen5njogu</v>
      </c>
      <c r="C6396" s="8" t="s">
        <v>14605</v>
      </c>
      <c r="D6396" s="8" t="s">
        <v>14373</v>
      </c>
      <c r="E6396" s="9" t="str">
        <f aca="false">HYPERLINK("https://twitter.com/Stephen5njogu/status/922391552558882816","922391552558882816")</f>
        <v>922391552558882816</v>
      </c>
      <c r="F6396" s="10" t="s">
        <v>25</v>
      </c>
      <c r="G6396" s="10" t="n">
        <v>82</v>
      </c>
      <c r="H6396" s="10" t="n">
        <v>268</v>
      </c>
      <c r="I6396" s="10" t="n">
        <v>7</v>
      </c>
      <c r="J6396" s="10" t="n">
        <v>0</v>
      </c>
      <c r="K6396" s="10" t="s">
        <v>20</v>
      </c>
      <c r="L6396" s="11" t="n">
        <v>42985.4856481482</v>
      </c>
      <c r="M6396" s="12" t="s">
        <v>1028</v>
      </c>
      <c r="N6396" s="12" t="s">
        <v>14606</v>
      </c>
      <c r="O6396" s="9" t="str">
        <f aca="false">HYPERLINK("https://pbs.twimg.com/profile_images/913464796326055936/7jdTFeT1_normal.jpg","View")</f>
        <v>View</v>
      </c>
      <c r="P6396" s="10"/>
    </row>
    <row r="6397" customFormat="false" ht="15.75" hidden="false" customHeight="false" outlineLevel="0" collapsed="false">
      <c r="A6397" s="6" t="n">
        <v>43031.095775463</v>
      </c>
      <c r="B6397" s="7" t="str">
        <f aca="false">HYPERLINK("https://twitter.com/_Super_Man_1981","@_Super_Man_1981")</f>
        <v>@_Super_Man_1981</v>
      </c>
      <c r="C6397" s="8" t="s">
        <v>11758</v>
      </c>
      <c r="D6397" s="8" t="s">
        <v>7627</v>
      </c>
      <c r="E6397" s="9" t="str">
        <f aca="false">HYPERLINK("https://twitter.com/_Super_Man_1981/status/922391626907045889","922391626907045889")</f>
        <v>922391626907045889</v>
      </c>
      <c r="F6397" s="10" t="s">
        <v>11759</v>
      </c>
      <c r="G6397" s="10" t="n">
        <v>213</v>
      </c>
      <c r="H6397" s="10" t="n">
        <v>1216</v>
      </c>
      <c r="I6397" s="10" t="n">
        <v>20</v>
      </c>
      <c r="J6397" s="10" t="n">
        <v>0</v>
      </c>
      <c r="K6397" s="10" t="s">
        <v>20</v>
      </c>
      <c r="L6397" s="11" t="n">
        <v>42961.5489699074</v>
      </c>
      <c r="M6397" s="12"/>
      <c r="N6397" s="12"/>
      <c r="O6397" s="9" t="str">
        <f aca="false">HYPERLINK("https://pbs.twimg.com/profile_images/899033216870481920/b2tg2GRF_normal.jpg","View")</f>
        <v>View</v>
      </c>
      <c r="P6397" s="10"/>
    </row>
    <row r="6398" customFormat="false" ht="15.75" hidden="false" customHeight="false" outlineLevel="0" collapsed="false">
      <c r="A6398" s="6" t="n">
        <v>43031.0959375</v>
      </c>
      <c r="B6398" s="7" t="str">
        <f aca="false">HYPERLINK("https://twitter.com/AutomobilN","@AutomobilN")</f>
        <v>@AutomobilN</v>
      </c>
      <c r="C6398" s="8" t="s">
        <v>12346</v>
      </c>
      <c r="D6398" s="8" t="s">
        <v>14607</v>
      </c>
      <c r="E6398" s="9" t="str">
        <f aca="false">HYPERLINK("https://twitter.com/AutomobilN/status/922391684687810560","922391684687810560")</f>
        <v>922391684687810560</v>
      </c>
      <c r="F6398" s="9" t="s">
        <v>979</v>
      </c>
      <c r="G6398" s="10" t="n">
        <v>257</v>
      </c>
      <c r="H6398" s="10" t="n">
        <v>785</v>
      </c>
      <c r="I6398" s="10" t="n">
        <v>0</v>
      </c>
      <c r="J6398" s="10" t="n">
        <v>0</v>
      </c>
      <c r="K6398" s="10" t="s">
        <v>20</v>
      </c>
      <c r="L6398" s="11" t="n">
        <v>42767.3383101852</v>
      </c>
      <c r="M6398" s="12" t="s">
        <v>12344</v>
      </c>
      <c r="N6398" s="12" t="s">
        <v>12348</v>
      </c>
      <c r="O6398" s="9" t="str">
        <f aca="false">HYPERLINK("https://pbs.twimg.com/profile_images/827181212389240832/Ud8Bp8Vo_normal.jpg","View")</f>
        <v>View</v>
      </c>
      <c r="P6398" s="10"/>
    </row>
    <row r="6399" customFormat="false" ht="15.75" hidden="false" customHeight="false" outlineLevel="0" collapsed="false">
      <c r="A6399" s="6" t="n">
        <v>43031.096087963</v>
      </c>
      <c r="B6399" s="7" t="str">
        <f aca="false">HYPERLINK("https://twitter.com/FeMan321","@FeMan321")</f>
        <v>@FeMan321</v>
      </c>
      <c r="C6399" s="8" t="s">
        <v>14608</v>
      </c>
      <c r="D6399" s="8" t="s">
        <v>8538</v>
      </c>
      <c r="E6399" s="9" t="str">
        <f aca="false">HYPERLINK("https://twitter.com/FeMan321/status/922391740274888704","922391740274888704")</f>
        <v>922391740274888704</v>
      </c>
      <c r="F6399" s="10" t="s">
        <v>51</v>
      </c>
      <c r="G6399" s="10" t="n">
        <v>107</v>
      </c>
      <c r="H6399" s="10" t="n">
        <v>553</v>
      </c>
      <c r="I6399" s="10" t="n">
        <v>1015</v>
      </c>
      <c r="J6399" s="10" t="n">
        <v>0</v>
      </c>
      <c r="K6399" s="10" t="s">
        <v>20</v>
      </c>
      <c r="L6399" s="11" t="n">
        <v>41398.8337268519</v>
      </c>
      <c r="M6399" s="12"/>
      <c r="N6399" s="12" t="s">
        <v>14609</v>
      </c>
      <c r="O6399" s="9" t="str">
        <f aca="false">HYPERLINK("https://pbs.twimg.com/profile_images/808270333677445121/4EwHH00X_normal.jpg","View")</f>
        <v>View</v>
      </c>
      <c r="P6399" s="10"/>
    </row>
    <row r="6400" customFormat="false" ht="15.75" hidden="false" customHeight="false" outlineLevel="0" collapsed="false">
      <c r="A6400" s="6" t="n">
        <v>43031.0962152778</v>
      </c>
      <c r="B6400" s="7" t="str">
        <f aca="false">HYPERLINK("https://twitter.com/PaulusIoannes23","@PaulusIoannes23")</f>
        <v>@PaulusIoannes23</v>
      </c>
      <c r="C6400" s="8" t="s">
        <v>14610</v>
      </c>
      <c r="D6400" s="8" t="s">
        <v>14466</v>
      </c>
      <c r="E6400" s="9" t="str">
        <f aca="false">HYPERLINK("https://twitter.com/PaulusIoannes23/status/922391783874609153","922391783874609153")</f>
        <v>922391783874609153</v>
      </c>
      <c r="F6400" s="10" t="s">
        <v>25</v>
      </c>
      <c r="G6400" s="10" t="n">
        <v>139</v>
      </c>
      <c r="H6400" s="10" t="n">
        <v>274</v>
      </c>
      <c r="I6400" s="10" t="n">
        <v>51</v>
      </c>
      <c r="J6400" s="10" t="n">
        <v>0</v>
      </c>
      <c r="K6400" s="10" t="s">
        <v>20</v>
      </c>
      <c r="L6400" s="11" t="n">
        <v>43029.0589814815</v>
      </c>
      <c r="M6400" s="12" t="s">
        <v>14611</v>
      </c>
      <c r="N6400" s="12" t="s">
        <v>14612</v>
      </c>
      <c r="O6400" s="9" t="str">
        <f aca="false">HYPERLINK("https://pbs.twimg.com/profile_images/921657545713795072/VoQSDxVZ_normal.jpg","View")</f>
        <v>View</v>
      </c>
      <c r="P6400" s="10"/>
    </row>
    <row r="6401" customFormat="false" ht="15.75" hidden="false" customHeight="false" outlineLevel="0" collapsed="false">
      <c r="A6401" s="6" t="n">
        <v>43031.09625</v>
      </c>
      <c r="B6401" s="7" t="str">
        <f aca="false">HYPERLINK("https://twitter.com/base_thai","@base_thai")</f>
        <v>@base_thai</v>
      </c>
      <c r="C6401" s="8" t="s">
        <v>3702</v>
      </c>
      <c r="D6401" s="8" t="s">
        <v>14613</v>
      </c>
      <c r="E6401" s="9" t="str">
        <f aca="false">HYPERLINK("https://twitter.com/base_thai/status/922391797791444994","922391797791444994")</f>
        <v>922391797791444994</v>
      </c>
      <c r="F6401" s="10" t="s">
        <v>39</v>
      </c>
      <c r="G6401" s="10" t="n">
        <v>4380</v>
      </c>
      <c r="H6401" s="10" t="n">
        <v>4138</v>
      </c>
      <c r="I6401" s="10" t="n">
        <v>0</v>
      </c>
      <c r="J6401" s="10" t="n">
        <v>0</v>
      </c>
      <c r="K6401" s="10" t="s">
        <v>20</v>
      </c>
      <c r="L6401" s="11" t="n">
        <v>41825.1043634259</v>
      </c>
      <c r="M6401" s="12"/>
      <c r="N6401" s="12" t="s">
        <v>3703</v>
      </c>
      <c r="O6401" s="9" t="str">
        <f aca="false">HYPERLINK("https://pbs.twimg.com/profile_images/878138126891220992/4GvuA4YU_normal.jpg","View")</f>
        <v>View</v>
      </c>
      <c r="P6401" s="10"/>
    </row>
    <row r="6402" customFormat="false" ht="15.75" hidden="false" customHeight="false" outlineLevel="0" collapsed="false">
      <c r="A6402" s="6" t="n">
        <v>43031.0967013889</v>
      </c>
      <c r="B6402" s="7" t="str">
        <f aca="false">HYPERLINK("https://twitter.com/ChristinaVnrd","@ChristinaVnrd")</f>
        <v>@ChristinaVnrd</v>
      </c>
      <c r="C6402" s="8" t="s">
        <v>14614</v>
      </c>
      <c r="D6402" s="8" t="s">
        <v>9627</v>
      </c>
      <c r="E6402" s="9" t="str">
        <f aca="false">HYPERLINK("https://twitter.com/ChristinaVnrd/status/922391963428671488","922391963428671488")</f>
        <v>922391963428671488</v>
      </c>
      <c r="F6402" s="10" t="s">
        <v>39</v>
      </c>
      <c r="G6402" s="10" t="n">
        <v>735</v>
      </c>
      <c r="H6402" s="10" t="n">
        <v>1856</v>
      </c>
      <c r="I6402" s="10" t="n">
        <v>2</v>
      </c>
      <c r="J6402" s="10" t="n">
        <v>0</v>
      </c>
      <c r="K6402" s="10" t="s">
        <v>20</v>
      </c>
      <c r="L6402" s="11" t="n">
        <v>40728.5333680556</v>
      </c>
      <c r="M6402" s="12" t="s">
        <v>805</v>
      </c>
      <c r="N6402" s="12" t="s">
        <v>14615</v>
      </c>
      <c r="O6402" s="9" t="str">
        <f aca="false">HYPERLINK("https://pbs.twimg.com/profile_images/483663813820964864/_Zzmbmt__normal.jpeg","View")</f>
        <v>View</v>
      </c>
      <c r="P6402" s="10"/>
    </row>
    <row r="6403" customFormat="false" ht="15.75" hidden="false" customHeight="false" outlineLevel="0" collapsed="false">
      <c r="A6403" s="6" t="n">
        <v>43031.0969675926</v>
      </c>
      <c r="B6403" s="7" t="str">
        <f aca="false">HYPERLINK("https://twitter.com/caedristi","@caedristi")</f>
        <v>@caedristi</v>
      </c>
      <c r="C6403" s="8" t="s">
        <v>14616</v>
      </c>
      <c r="D6403" s="8" t="s">
        <v>14617</v>
      </c>
      <c r="E6403" s="9" t="str">
        <f aca="false">HYPERLINK("https://twitter.com/caedristi/status/922392058517581824","922392058517581824")</f>
        <v>922392058517581824</v>
      </c>
      <c r="F6403" s="10" t="s">
        <v>47</v>
      </c>
      <c r="G6403" s="10" t="n">
        <v>166</v>
      </c>
      <c r="H6403" s="10" t="n">
        <v>30</v>
      </c>
      <c r="I6403" s="10" t="n">
        <v>0</v>
      </c>
      <c r="J6403" s="10" t="n">
        <v>0</v>
      </c>
      <c r="K6403" s="10" t="s">
        <v>20</v>
      </c>
      <c r="L6403" s="11" t="n">
        <v>41933.0748032407</v>
      </c>
      <c r="M6403" s="12"/>
      <c r="N6403" s="12"/>
      <c r="O6403" s="9" t="str">
        <f aca="false">HYPERLINK("https://abs.twimg.com/sticky/default_profile_images/default_profile_normal.png","View")</f>
        <v>View</v>
      </c>
      <c r="P6403" s="10"/>
    </row>
    <row r="6404" customFormat="false" ht="15.75" hidden="false" customHeight="false" outlineLevel="0" collapsed="false">
      <c r="A6404" s="6" t="n">
        <v>43031.0970138889</v>
      </c>
      <c r="B6404" s="7" t="str">
        <f aca="false">HYPERLINK("https://twitter.com/Dineshagrawal16","@Dineshagrawal16")</f>
        <v>@Dineshagrawal16</v>
      </c>
      <c r="C6404" s="8" t="s">
        <v>14618</v>
      </c>
      <c r="D6404" s="8" t="s">
        <v>8538</v>
      </c>
      <c r="E6404" s="9" t="str">
        <f aca="false">HYPERLINK("https://twitter.com/Dineshagrawal16/status/922392076410638336","922392076410638336")</f>
        <v>922392076410638336</v>
      </c>
      <c r="F6404" s="10" t="s">
        <v>177</v>
      </c>
      <c r="G6404" s="10" t="n">
        <v>735</v>
      </c>
      <c r="H6404" s="10" t="n">
        <v>279</v>
      </c>
      <c r="I6404" s="10" t="n">
        <v>1015</v>
      </c>
      <c r="J6404" s="10" t="n">
        <v>0</v>
      </c>
      <c r="K6404" s="10" t="s">
        <v>20</v>
      </c>
      <c r="L6404" s="11" t="n">
        <v>40211.5455439815</v>
      </c>
      <c r="M6404" s="12" t="s">
        <v>502</v>
      </c>
      <c r="N6404" s="12" t="s">
        <v>14619</v>
      </c>
      <c r="O6404" s="9" t="str">
        <f aca="false">HYPERLINK("https://pbs.twimg.com/profile_images/378800000128786666/3b08ba98f0196ec6aa411585c0ce5c92_normal.jpeg","View")</f>
        <v>View</v>
      </c>
      <c r="P6404" s="10"/>
    </row>
    <row r="6405" customFormat="false" ht="15.75" hidden="false" customHeight="false" outlineLevel="0" collapsed="false">
      <c r="A6405" s="6" t="n">
        <v>43031.0971296296</v>
      </c>
      <c r="B6405" s="7" t="str">
        <f aca="false">HYPERLINK("https://twitter.com/ssv8980","@ssv8980")</f>
        <v>@ssv8980</v>
      </c>
      <c r="C6405" s="8" t="s">
        <v>14620</v>
      </c>
      <c r="D6405" s="8" t="s">
        <v>14621</v>
      </c>
      <c r="E6405" s="9" t="str">
        <f aca="false">HYPERLINK("https://twitter.com/ssv8980/status/922392118445801472","922392118445801472")</f>
        <v>922392118445801472</v>
      </c>
      <c r="F6405" s="10" t="s">
        <v>39</v>
      </c>
      <c r="G6405" s="10" t="n">
        <v>437</v>
      </c>
      <c r="H6405" s="10" t="n">
        <v>1157</v>
      </c>
      <c r="I6405" s="10" t="n">
        <v>0</v>
      </c>
      <c r="J6405" s="10" t="n">
        <v>0</v>
      </c>
      <c r="K6405" s="10" t="s">
        <v>20</v>
      </c>
      <c r="L6405" s="11" t="n">
        <v>42699.9054513889</v>
      </c>
      <c r="M6405" s="12" t="s">
        <v>14622</v>
      </c>
      <c r="N6405" s="12" t="s">
        <v>14623</v>
      </c>
      <c r="O6405" s="9" t="str">
        <f aca="false">HYPERLINK("https://pbs.twimg.com/profile_images/802390838932226049/sPVBxJ0s_normal.jpg","View")</f>
        <v>View</v>
      </c>
      <c r="P6405" s="10"/>
    </row>
    <row r="6406" customFormat="false" ht="15.75" hidden="false" customHeight="false" outlineLevel="0" collapsed="false">
      <c r="A6406" s="6" t="n">
        <v>43031.0980671296</v>
      </c>
      <c r="B6406" s="7" t="str">
        <f aca="false">HYPERLINK("https://twitter.com/pickooo","@pickooo")</f>
        <v>@pickooo</v>
      </c>
      <c r="C6406" s="8" t="s">
        <v>12466</v>
      </c>
      <c r="D6406" s="8" t="s">
        <v>12662</v>
      </c>
      <c r="E6406" s="9" t="str">
        <f aca="false">HYPERLINK("https://twitter.com/pickooo/status/922392456737386498","922392456737386498")</f>
        <v>922392456737386498</v>
      </c>
      <c r="F6406" s="10" t="s">
        <v>25</v>
      </c>
      <c r="G6406" s="10" t="n">
        <v>4587</v>
      </c>
      <c r="H6406" s="10" t="n">
        <v>395</v>
      </c>
      <c r="I6406" s="10" t="n">
        <v>8</v>
      </c>
      <c r="J6406" s="10" t="n">
        <v>0</v>
      </c>
      <c r="K6406" s="10" t="s">
        <v>20</v>
      </c>
      <c r="L6406" s="11" t="n">
        <v>40153.1281365741</v>
      </c>
      <c r="M6406" s="12" t="s">
        <v>64</v>
      </c>
      <c r="N6406" s="12" t="s">
        <v>12467</v>
      </c>
      <c r="O6406" s="9" t="str">
        <f aca="false">HYPERLINK("https://pbs.twimg.com/profile_images/923711395077558272/8O2ROwwk_normal.jpg","View")</f>
        <v>View</v>
      </c>
      <c r="P6406" s="10"/>
    </row>
    <row r="6407" customFormat="false" ht="15.75" hidden="false" customHeight="false" outlineLevel="0" collapsed="false">
      <c r="A6407" s="6" t="n">
        <v>43031.0982638889</v>
      </c>
      <c r="B6407" s="7" t="str">
        <f aca="false">HYPERLINK("https://twitter.com/unlewis","@unlewis")</f>
        <v>@unlewis</v>
      </c>
      <c r="C6407" s="8" t="s">
        <v>3038</v>
      </c>
      <c r="D6407" s="8" t="s">
        <v>14466</v>
      </c>
      <c r="E6407" s="9" t="str">
        <f aca="false">HYPERLINK("https://twitter.com/unlewis/status/922392528212463619","922392528212463619")</f>
        <v>922392528212463619</v>
      </c>
      <c r="F6407" s="10" t="s">
        <v>177</v>
      </c>
      <c r="G6407" s="10" t="n">
        <v>2986</v>
      </c>
      <c r="H6407" s="10" t="n">
        <v>2099</v>
      </c>
      <c r="I6407" s="10" t="n">
        <v>51</v>
      </c>
      <c r="J6407" s="10" t="n">
        <v>0</v>
      </c>
      <c r="K6407" s="10" t="s">
        <v>20</v>
      </c>
      <c r="L6407" s="11" t="n">
        <v>41159.8328356482</v>
      </c>
      <c r="M6407" s="12"/>
      <c r="N6407" s="12" t="s">
        <v>3039</v>
      </c>
      <c r="O6407" s="9" t="str">
        <f aca="false">HYPERLINK("https://pbs.twimg.com/profile_images/862117304196255744/4KSB5b7P_normal.jpg","View")</f>
        <v>View</v>
      </c>
      <c r="P6407" s="10"/>
    </row>
    <row r="6408" customFormat="false" ht="15.75" hidden="false" customHeight="false" outlineLevel="0" collapsed="false">
      <c r="A6408" s="6" t="n">
        <v>43031.0986574074</v>
      </c>
      <c r="B6408" s="7" t="str">
        <f aca="false">HYPERLINK("https://twitter.com/nnas_otown","@nnas_otown")</f>
        <v>@nnas_otown</v>
      </c>
      <c r="C6408" s="8" t="s">
        <v>14624</v>
      </c>
      <c r="D6408" s="8" t="s">
        <v>14466</v>
      </c>
      <c r="E6408" s="9" t="str">
        <f aca="false">HYPERLINK("https://twitter.com/nnas_otown/status/922392669581709312","922392669581709312")</f>
        <v>922392669581709312</v>
      </c>
      <c r="F6408" s="10" t="s">
        <v>51</v>
      </c>
      <c r="G6408" s="10" t="n">
        <v>315</v>
      </c>
      <c r="H6408" s="10" t="n">
        <v>302</v>
      </c>
      <c r="I6408" s="10" t="n">
        <v>51</v>
      </c>
      <c r="J6408" s="10" t="n">
        <v>0</v>
      </c>
      <c r="K6408" s="10" t="s">
        <v>20</v>
      </c>
      <c r="L6408" s="11" t="n">
        <v>40475.4826851852</v>
      </c>
      <c r="M6408" s="12" t="s">
        <v>14625</v>
      </c>
      <c r="N6408" s="12" t="s">
        <v>14626</v>
      </c>
      <c r="O6408" s="9" t="str">
        <f aca="false">HYPERLINK("https://pbs.twimg.com/profile_images/875528430065987584/kRXwsVSL_normal.jpg","View")</f>
        <v>View</v>
      </c>
      <c r="P6408" s="10"/>
    </row>
    <row r="6409" customFormat="false" ht="15.75" hidden="false" customHeight="false" outlineLevel="0" collapsed="false">
      <c r="A6409" s="6" t="n">
        <v>43031.0987152778</v>
      </c>
      <c r="B6409" s="7" t="str">
        <f aca="false">HYPERLINK("https://twitter.com/indiatvnews","@indiatvnews")</f>
        <v>@indiatvnews</v>
      </c>
      <c r="C6409" s="8" t="s">
        <v>14145</v>
      </c>
      <c r="D6409" s="8" t="s">
        <v>14627</v>
      </c>
      <c r="E6409" s="9" t="str">
        <f aca="false">HYPERLINK("https://twitter.com/indiatvnews/status/922392689936515074","922392689936515074")</f>
        <v>922392689936515074</v>
      </c>
      <c r="F6409" s="10" t="s">
        <v>39</v>
      </c>
      <c r="G6409" s="10" t="n">
        <v>420334</v>
      </c>
      <c r="H6409" s="10" t="n">
        <v>41</v>
      </c>
      <c r="I6409" s="10" t="n">
        <v>7</v>
      </c>
      <c r="J6409" s="10" t="n">
        <v>29</v>
      </c>
      <c r="K6409" s="10" t="s">
        <v>20</v>
      </c>
      <c r="L6409" s="11" t="n">
        <v>39925.1851157407</v>
      </c>
      <c r="M6409" s="12" t="s">
        <v>72</v>
      </c>
      <c r="N6409" s="12" t="s">
        <v>14147</v>
      </c>
      <c r="O6409" s="9" t="str">
        <f aca="false">HYPERLINK("https://pbs.twimg.com/profile_images/438346326007234560/YyvWcpAf_normal.jpeg","View")</f>
        <v>View</v>
      </c>
      <c r="P6409" s="10"/>
    </row>
    <row r="6410" customFormat="false" ht="15.75" hidden="false" customHeight="false" outlineLevel="0" collapsed="false">
      <c r="A6410" s="6" t="n">
        <v>43031.0988888889</v>
      </c>
      <c r="B6410" s="7" t="str">
        <f aca="false">HYPERLINK("https://twitter.com/kotaknaren","@kotaknaren")</f>
        <v>@kotaknaren</v>
      </c>
      <c r="C6410" s="8" t="s">
        <v>14628</v>
      </c>
      <c r="D6410" s="8" t="s">
        <v>14629</v>
      </c>
      <c r="E6410" s="9" t="str">
        <f aca="false">HYPERLINK("https://twitter.com/kotaknaren/status/922392752423350272","922392752423350272")</f>
        <v>922392752423350272</v>
      </c>
      <c r="F6410" s="10" t="s">
        <v>60</v>
      </c>
      <c r="G6410" s="10" t="n">
        <v>1023</v>
      </c>
      <c r="H6410" s="10" t="n">
        <v>2700</v>
      </c>
      <c r="I6410" s="10" t="n">
        <v>0</v>
      </c>
      <c r="J6410" s="10" t="n">
        <v>0</v>
      </c>
      <c r="K6410" s="10" t="s">
        <v>20</v>
      </c>
      <c r="L6410" s="11" t="n">
        <v>40248.484849537</v>
      </c>
      <c r="M6410" s="12" t="s">
        <v>860</v>
      </c>
      <c r="N6410" s="12" t="s">
        <v>14630</v>
      </c>
      <c r="O6410" s="9" t="str">
        <f aca="false">HYPERLINK("https://pbs.twimg.com/profile_images/923280279812362240/hDLmoPnz_normal.jpg","View")</f>
        <v>View</v>
      </c>
      <c r="P6410" s="10"/>
    </row>
    <row r="6411" customFormat="false" ht="15.75" hidden="false" customHeight="false" outlineLevel="0" collapsed="false">
      <c r="A6411" s="6" t="n">
        <v>43031.0989467593</v>
      </c>
      <c r="B6411" s="7" t="str">
        <f aca="false">HYPERLINK("https://twitter.com/pranav9983","@pranav9983")</f>
        <v>@pranav9983</v>
      </c>
      <c r="C6411" s="8" t="s">
        <v>14149</v>
      </c>
      <c r="D6411" s="8" t="s">
        <v>14631</v>
      </c>
      <c r="E6411" s="9" t="str">
        <f aca="false">HYPERLINK("https://twitter.com/pranav9983/status/922392776871788544","922392776871788544")</f>
        <v>922392776871788544</v>
      </c>
      <c r="F6411" s="10" t="s">
        <v>39</v>
      </c>
      <c r="G6411" s="10" t="n">
        <v>555</v>
      </c>
      <c r="H6411" s="10" t="n">
        <v>852</v>
      </c>
      <c r="I6411" s="10" t="n">
        <v>7</v>
      </c>
      <c r="J6411" s="10" t="n">
        <v>0</v>
      </c>
      <c r="K6411" s="10" t="s">
        <v>20</v>
      </c>
      <c r="L6411" s="11" t="n">
        <v>42367.8900462963</v>
      </c>
      <c r="M6411" s="12" t="s">
        <v>4414</v>
      </c>
      <c r="N6411" s="12" t="s">
        <v>14151</v>
      </c>
      <c r="O6411" s="9" t="str">
        <f aca="false">HYPERLINK("https://pbs.twimg.com/profile_images/682069542713999361/JXyU4R-V_normal.jpg","View")</f>
        <v>View</v>
      </c>
      <c r="P6411" s="10"/>
    </row>
    <row r="6412" customFormat="false" ht="15.75" hidden="false" customHeight="false" outlineLevel="0" collapsed="false">
      <c r="A6412" s="6" t="n">
        <v>43031.0989583333</v>
      </c>
      <c r="B6412" s="7" t="str">
        <f aca="false">HYPERLINK("https://twitter.com/ToraSanDeSyo","@ToraSanDeSyo")</f>
        <v>@ToraSanDeSyo</v>
      </c>
      <c r="C6412" s="14" t="s">
        <v>14632</v>
      </c>
      <c r="D6412" s="8" t="s">
        <v>12493</v>
      </c>
      <c r="E6412" s="9" t="str">
        <f aca="false">HYPERLINK("https://twitter.com/ToraSanDeSyo/status/922392777702260736","922392777702260736")</f>
        <v>922392777702260736</v>
      </c>
      <c r="F6412" s="10" t="s">
        <v>177</v>
      </c>
      <c r="G6412" s="10" t="n">
        <v>1453</v>
      </c>
      <c r="H6412" s="10" t="n">
        <v>1548</v>
      </c>
      <c r="I6412" s="10" t="n">
        <v>63</v>
      </c>
      <c r="J6412" s="10" t="n">
        <v>0</v>
      </c>
      <c r="K6412" s="10" t="s">
        <v>20</v>
      </c>
      <c r="L6412" s="11" t="n">
        <v>41023.2980902778</v>
      </c>
      <c r="M6412" s="12"/>
      <c r="N6412" s="13" t="s">
        <v>14633</v>
      </c>
      <c r="O6412" s="9" t="str">
        <f aca="false">HYPERLINK("https://pbs.twimg.com/profile_images/3366283560/15bb88d16123bfe9a438bc4261227b48_normal.jpeg","View")</f>
        <v>View</v>
      </c>
      <c r="P6412" s="10"/>
    </row>
    <row r="6413" customFormat="false" ht="15.75" hidden="false" customHeight="false" outlineLevel="0" collapsed="false">
      <c r="A6413" s="6" t="n">
        <v>43031.0989699074</v>
      </c>
      <c r="B6413" s="7" t="str">
        <f aca="false">HYPERLINK("https://twitter.com/BloombergAsia","@BloombergAsia")</f>
        <v>@BloombergAsia</v>
      </c>
      <c r="C6413" s="8" t="s">
        <v>1399</v>
      </c>
      <c r="D6413" s="8" t="s">
        <v>14634</v>
      </c>
      <c r="E6413" s="9" t="str">
        <f aca="false">HYPERLINK("https://twitter.com/BloombergAsia/status/922392783733735425","922392783733735425")</f>
        <v>922392783733735425</v>
      </c>
      <c r="F6413" s="9" t="s">
        <v>198</v>
      </c>
      <c r="G6413" s="10" t="n">
        <v>28824</v>
      </c>
      <c r="H6413" s="10" t="n">
        <v>97</v>
      </c>
      <c r="I6413" s="10" t="n">
        <v>0</v>
      </c>
      <c r="J6413" s="10" t="n">
        <v>0</v>
      </c>
      <c r="K6413" s="10" t="s">
        <v>20</v>
      </c>
      <c r="L6413" s="11" t="n">
        <v>41052.2384837963</v>
      </c>
      <c r="M6413" s="12"/>
      <c r="N6413" s="12" t="s">
        <v>1401</v>
      </c>
      <c r="O6413" s="9" t="str">
        <f aca="false">HYPERLINK("https://pbs.twimg.com/profile_images/778129630284902401/gXjFkqGM_normal.jpg","View")</f>
        <v>View</v>
      </c>
      <c r="P6413" s="10"/>
    </row>
    <row r="6414" customFormat="false" ht="15.75" hidden="false" customHeight="false" outlineLevel="0" collapsed="false">
      <c r="A6414" s="6" t="n">
        <v>43031.0993402778</v>
      </c>
      <c r="B6414" s="7" t="str">
        <f aca="false">HYPERLINK("https://twitter.com/BloombergTV","@BloombergTV")</f>
        <v>@BloombergTV</v>
      </c>
      <c r="C6414" s="8" t="s">
        <v>317</v>
      </c>
      <c r="D6414" s="8" t="s">
        <v>14635</v>
      </c>
      <c r="E6414" s="9" t="str">
        <f aca="false">HYPERLINK("https://twitter.com/BloombergTV/status/922392919771770880","922392919771770880")</f>
        <v>922392919771770880</v>
      </c>
      <c r="F6414" s="9" t="s">
        <v>198</v>
      </c>
      <c r="G6414" s="10" t="n">
        <v>452918</v>
      </c>
      <c r="H6414" s="10" t="n">
        <v>458</v>
      </c>
      <c r="I6414" s="10" t="n">
        <v>1</v>
      </c>
      <c r="J6414" s="10" t="n">
        <v>4</v>
      </c>
      <c r="K6414" s="10" t="s">
        <v>20</v>
      </c>
      <c r="L6414" s="11" t="n">
        <v>39927.4899768519</v>
      </c>
      <c r="M6414" s="12" t="s">
        <v>319</v>
      </c>
      <c r="N6414" s="12" t="s">
        <v>320</v>
      </c>
      <c r="O6414" s="9" t="str">
        <f aca="false">HYPERLINK("https://pbs.twimg.com/profile_images/714801760632770560/7My2hMBt_normal.jpg","View")</f>
        <v>View</v>
      </c>
      <c r="P6414" s="10"/>
    </row>
    <row r="6415" customFormat="false" ht="15.75" hidden="false" customHeight="false" outlineLevel="0" collapsed="false">
      <c r="A6415" s="6" t="n">
        <v>43031.0994097222</v>
      </c>
      <c r="B6415" s="7" t="str">
        <f aca="false">HYPERLINK("https://twitter.com/sitifatimahnet","@sitifatimahnet")</f>
        <v>@sitifatimahnet</v>
      </c>
      <c r="C6415" s="8" t="s">
        <v>11184</v>
      </c>
      <c r="D6415" s="8" t="s">
        <v>14636</v>
      </c>
      <c r="E6415" s="9" t="str">
        <f aca="false">HYPERLINK("https://twitter.com/sitifatimahnet/status/922392944526622720","922392944526622720")</f>
        <v>922392944526622720</v>
      </c>
      <c r="F6415" s="10" t="s">
        <v>60</v>
      </c>
      <c r="G6415" s="10" t="n">
        <v>312</v>
      </c>
      <c r="H6415" s="10" t="n">
        <v>27</v>
      </c>
      <c r="I6415" s="10" t="n">
        <v>0</v>
      </c>
      <c r="J6415" s="10" t="n">
        <v>0</v>
      </c>
      <c r="K6415" s="10" t="s">
        <v>20</v>
      </c>
      <c r="L6415" s="11" t="n">
        <v>42698.4371990741</v>
      </c>
      <c r="M6415" s="12" t="s">
        <v>11186</v>
      </c>
      <c r="N6415" s="12" t="s">
        <v>11187</v>
      </c>
      <c r="O6415" s="9" t="str">
        <f aca="false">HYPERLINK("https://pbs.twimg.com/profile_images/897683241594912769/-rSDzg9T_normal.jpg","View")</f>
        <v>View</v>
      </c>
      <c r="P6415" s="10"/>
    </row>
    <row r="6416" customFormat="false" ht="15.75" hidden="false" customHeight="false" outlineLevel="0" collapsed="false">
      <c r="A6416" s="6" t="n">
        <v>43031.0994560185</v>
      </c>
      <c r="B6416" s="7" t="str">
        <f aca="false">HYPERLINK("https://twitter.com/NewsNumberFlash","@NewsNumberFlash")</f>
        <v>@NewsNumberFlash</v>
      </c>
      <c r="C6416" s="7" t="s">
        <v>14637</v>
      </c>
      <c r="D6416" s="8" t="s">
        <v>14638</v>
      </c>
      <c r="E6416" s="9" t="str">
        <f aca="false">HYPERLINK("https://twitter.com/NewsNumberFlash/status/922392959667945473","922392959667945473")</f>
        <v>922392959667945473</v>
      </c>
      <c r="F6416" s="10" t="s">
        <v>47</v>
      </c>
      <c r="G6416" s="10" t="n">
        <v>72</v>
      </c>
      <c r="H6416" s="10" t="n">
        <v>71</v>
      </c>
      <c r="I6416" s="10" t="n">
        <v>0</v>
      </c>
      <c r="J6416" s="10" t="n">
        <v>0</v>
      </c>
      <c r="K6416" s="10" t="s">
        <v>20</v>
      </c>
      <c r="L6416" s="11" t="n">
        <v>41996.6737152778</v>
      </c>
      <c r="M6416" s="12"/>
      <c r="N6416" s="12" t="s">
        <v>14639</v>
      </c>
      <c r="O6416" s="9" t="str">
        <f aca="false">HYPERLINK("https://pbs.twimg.com/profile_images/602234476391964672/vsGUUP6F_normal.jpg","View")</f>
        <v>View</v>
      </c>
      <c r="P6416" s="10"/>
    </row>
    <row r="6417" customFormat="false" ht="15.75" hidden="false" customHeight="false" outlineLevel="0" collapsed="false">
      <c r="A6417" s="6" t="n">
        <v>43031.0994791667</v>
      </c>
      <c r="B6417" s="7" t="str">
        <f aca="false">HYPERLINK("https://twitter.com/deepsaikia14","@deepsaikia14")</f>
        <v>@deepsaikia14</v>
      </c>
      <c r="C6417" s="8" t="s">
        <v>14640</v>
      </c>
      <c r="D6417" s="8" t="s">
        <v>14631</v>
      </c>
      <c r="E6417" s="9" t="str">
        <f aca="false">HYPERLINK("https://twitter.com/deepsaikia14/status/922392967159062528","922392967159062528")</f>
        <v>922392967159062528</v>
      </c>
      <c r="F6417" s="10" t="s">
        <v>3790</v>
      </c>
      <c r="G6417" s="10" t="n">
        <v>156</v>
      </c>
      <c r="H6417" s="10" t="n">
        <v>543</v>
      </c>
      <c r="I6417" s="10" t="n">
        <v>7</v>
      </c>
      <c r="J6417" s="10" t="n">
        <v>0</v>
      </c>
      <c r="K6417" s="10" t="s">
        <v>20</v>
      </c>
      <c r="L6417" s="11" t="n">
        <v>41734.3230902778</v>
      </c>
      <c r="M6417" s="12"/>
      <c r="N6417" s="13" t="s">
        <v>14641</v>
      </c>
      <c r="O6417" s="9" t="str">
        <f aca="false">HYPERLINK("https://pbs.twimg.com/profile_images/897320204086026241/-qLZvzf6_normal.jpg","View")</f>
        <v>View</v>
      </c>
      <c r="P6417" s="10"/>
    </row>
    <row r="6418" customFormat="false" ht="15.75" hidden="false" customHeight="false" outlineLevel="0" collapsed="false">
      <c r="A6418" s="6" t="n">
        <v>43031.0997106482</v>
      </c>
      <c r="B6418" s="7" t="str">
        <f aca="false">HYPERLINK("https://twitter.com/Raghven21133786","@Raghven21133786")</f>
        <v>@Raghven21133786</v>
      </c>
      <c r="C6418" s="8" t="s">
        <v>14642</v>
      </c>
      <c r="D6418" s="8" t="s">
        <v>14631</v>
      </c>
      <c r="E6418" s="9" t="str">
        <f aca="false">HYPERLINK("https://twitter.com/Raghven21133786/status/922393053544947712","922393053544947712")</f>
        <v>922393053544947712</v>
      </c>
      <c r="F6418" s="10" t="s">
        <v>25</v>
      </c>
      <c r="G6418" s="10" t="n">
        <v>81</v>
      </c>
      <c r="H6418" s="10" t="n">
        <v>453</v>
      </c>
      <c r="I6418" s="10" t="n">
        <v>7</v>
      </c>
      <c r="J6418" s="10" t="n">
        <v>0</v>
      </c>
      <c r="K6418" s="10" t="s">
        <v>20</v>
      </c>
      <c r="L6418" s="11" t="n">
        <v>42996.7670486111</v>
      </c>
      <c r="M6418" s="12" t="s">
        <v>8603</v>
      </c>
      <c r="N6418" s="12" t="s">
        <v>14643</v>
      </c>
      <c r="O6418" s="9" t="str">
        <f aca="false">HYPERLINK("https://pbs.twimg.com/profile_images/909994391560790016/hDLx09o-_normal.jpg","View")</f>
        <v>View</v>
      </c>
      <c r="P6418" s="10"/>
    </row>
    <row r="6419" customFormat="false" ht="15.75" hidden="false" customHeight="false" outlineLevel="0" collapsed="false">
      <c r="A6419" s="6" t="n">
        <v>43031.1000462963</v>
      </c>
      <c r="B6419" s="7" t="str">
        <f aca="false">HYPERLINK("https://twitter.com/gmanewsfacebook","@gmanewsfacebook")</f>
        <v>@gmanewsfacebook</v>
      </c>
      <c r="C6419" s="8" t="s">
        <v>14644</v>
      </c>
      <c r="D6419" s="8" t="s">
        <v>14645</v>
      </c>
      <c r="E6419" s="9" t="str">
        <f aca="false">HYPERLINK("https://twitter.com/gmanewsfacebook/status/922393172898062337","922393172898062337")</f>
        <v>922393172898062337</v>
      </c>
      <c r="F6419" s="10" t="s">
        <v>47</v>
      </c>
      <c r="G6419" s="10" t="n">
        <v>1573</v>
      </c>
      <c r="H6419" s="10" t="n">
        <v>0</v>
      </c>
      <c r="I6419" s="10" t="n">
        <v>0</v>
      </c>
      <c r="J6419" s="10" t="n">
        <v>0</v>
      </c>
      <c r="K6419" s="10" t="s">
        <v>20</v>
      </c>
      <c r="L6419" s="11" t="n">
        <v>42284.4248611111</v>
      </c>
      <c r="M6419" s="12"/>
      <c r="N6419" s="12"/>
      <c r="O6419" s="9" t="str">
        <f aca="false">HYPERLINK("https://abs.twimg.com/sticky/default_profile_images/default_profile_normal.png","View")</f>
        <v>View</v>
      </c>
      <c r="P6419" s="10"/>
    </row>
    <row r="6420" customFormat="false" ht="15.75" hidden="false" customHeight="false" outlineLevel="0" collapsed="false">
      <c r="A6420" s="6" t="n">
        <v>43031.1001041667</v>
      </c>
      <c r="B6420" s="7" t="str">
        <f aca="false">HYPERLINK("https://twitter.com/Kul2_skl","@Kul2_skl")</f>
        <v>@Kul2_skl</v>
      </c>
      <c r="C6420" s="8" t="s">
        <v>14646</v>
      </c>
      <c r="D6420" s="8" t="s">
        <v>8538</v>
      </c>
      <c r="E6420" s="9" t="str">
        <f aca="false">HYPERLINK("https://twitter.com/Kul2_skl/status/922393193123074048","922393193123074048")</f>
        <v>922393193123074048</v>
      </c>
      <c r="F6420" s="10" t="s">
        <v>39</v>
      </c>
      <c r="G6420" s="10" t="n">
        <v>26</v>
      </c>
      <c r="H6420" s="10" t="n">
        <v>237</v>
      </c>
      <c r="I6420" s="10" t="n">
        <v>1015</v>
      </c>
      <c r="J6420" s="10" t="n">
        <v>0</v>
      </c>
      <c r="K6420" s="10" t="s">
        <v>20</v>
      </c>
      <c r="L6420" s="11" t="n">
        <v>42622.3407523148</v>
      </c>
      <c r="M6420" s="12"/>
      <c r="N6420" s="12" t="s">
        <v>14647</v>
      </c>
      <c r="O6420" s="9" t="str">
        <f aca="false">HYPERLINK("https://abs.twimg.com/sticky/default_profile_images/default_profile_normal.png","View")</f>
        <v>View</v>
      </c>
      <c r="P6420" s="10"/>
    </row>
    <row r="6421" customFormat="false" ht="15.75" hidden="false" customHeight="false" outlineLevel="0" collapsed="false">
      <c r="A6421" s="6" t="n">
        <v>43031.1004398148</v>
      </c>
      <c r="B6421" s="7" t="str">
        <f aca="false">HYPERLINK("https://twitter.com/TopFiveTraders","@TopFiveTraders")</f>
        <v>@TopFiveTraders</v>
      </c>
      <c r="C6421" s="8" t="s">
        <v>321</v>
      </c>
      <c r="D6421" s="8" t="s">
        <v>14648</v>
      </c>
      <c r="E6421" s="9" t="str">
        <f aca="false">HYPERLINK("https://twitter.com/TopFiveTraders/status/922393316238528512","922393316238528512")</f>
        <v>922393316238528512</v>
      </c>
      <c r="F6421" s="10" t="s">
        <v>60</v>
      </c>
      <c r="G6421" s="10" t="n">
        <v>8181</v>
      </c>
      <c r="H6421" s="10" t="n">
        <v>6774</v>
      </c>
      <c r="I6421" s="10" t="n">
        <v>0</v>
      </c>
      <c r="J6421" s="10" t="n">
        <v>0</v>
      </c>
      <c r="K6421" s="10" t="s">
        <v>20</v>
      </c>
      <c r="L6421" s="11" t="n">
        <v>41573.4842013889</v>
      </c>
      <c r="M6421" s="12" t="s">
        <v>323</v>
      </c>
      <c r="N6421" s="12" t="s">
        <v>324</v>
      </c>
      <c r="O6421" s="9" t="str">
        <f aca="false">HYPERLINK("https://pbs.twimg.com/profile_images/729113141444026370/hi202Ffp_normal.jpg","View")</f>
        <v>View</v>
      </c>
      <c r="P6421" s="10"/>
    </row>
    <row r="6422" customFormat="false" ht="15.75" hidden="false" customHeight="false" outlineLevel="0" collapsed="false">
      <c r="A6422" s="6" t="n">
        <v>43031.1006018519</v>
      </c>
      <c r="B6422" s="7" t="str">
        <f aca="false">HYPERLINK("https://twitter.com/marekingu","@marekingu")</f>
        <v>@marekingu</v>
      </c>
      <c r="C6422" s="14" t="s">
        <v>14649</v>
      </c>
      <c r="D6422" s="8" t="s">
        <v>14650</v>
      </c>
      <c r="E6422" s="9" t="str">
        <f aca="false">HYPERLINK("https://twitter.com/marekingu/status/922393375306686465","922393375306686465")</f>
        <v>922393375306686465</v>
      </c>
      <c r="F6422" s="10" t="s">
        <v>6652</v>
      </c>
      <c r="G6422" s="10" t="n">
        <v>11004</v>
      </c>
      <c r="H6422" s="10" t="n">
        <v>12114</v>
      </c>
      <c r="I6422" s="10" t="n">
        <v>0</v>
      </c>
      <c r="J6422" s="10" t="n">
        <v>0</v>
      </c>
      <c r="K6422" s="10" t="s">
        <v>20</v>
      </c>
      <c r="L6422" s="11" t="n">
        <v>40258.6831481482</v>
      </c>
      <c r="M6422" s="13" t="s">
        <v>14651</v>
      </c>
      <c r="N6422" s="13" t="s">
        <v>14652</v>
      </c>
      <c r="O6422" s="9" t="str">
        <f aca="false">HYPERLINK("https://pbs.twimg.com/profile_images/824628323/___2_normal.jpg","View")</f>
        <v>View</v>
      </c>
      <c r="P6422" s="10"/>
    </row>
    <row r="6423" customFormat="false" ht="15.75" hidden="false" customHeight="false" outlineLevel="0" collapsed="false">
      <c r="A6423" s="6" t="n">
        <v>43031.1007060185</v>
      </c>
      <c r="B6423" s="7" t="str">
        <f aca="false">HYPERLINK("https://twitter.com/munish_2003","@munish_2003")</f>
        <v>@munish_2003</v>
      </c>
      <c r="C6423" s="8" t="s">
        <v>14653</v>
      </c>
      <c r="D6423" s="8" t="s">
        <v>8538</v>
      </c>
      <c r="E6423" s="9" t="str">
        <f aca="false">HYPERLINK("https://twitter.com/munish_2003/status/922393414674423808","922393414674423808")</f>
        <v>922393414674423808</v>
      </c>
      <c r="F6423" s="10" t="s">
        <v>51</v>
      </c>
      <c r="G6423" s="10" t="n">
        <v>2026</v>
      </c>
      <c r="H6423" s="10" t="n">
        <v>963</v>
      </c>
      <c r="I6423" s="10" t="n">
        <v>1015</v>
      </c>
      <c r="J6423" s="10" t="n">
        <v>0</v>
      </c>
      <c r="K6423" s="10" t="s">
        <v>20</v>
      </c>
      <c r="L6423" s="11" t="n">
        <v>40526.7037847222</v>
      </c>
      <c r="M6423" s="12" t="s">
        <v>72</v>
      </c>
      <c r="N6423" s="12"/>
      <c r="O6423" s="9" t="str">
        <f aca="false">HYPERLINK("https://pbs.twimg.com/profile_images/896210280220196864/iYSH83Go_normal.jpg","View")</f>
        <v>View</v>
      </c>
      <c r="P6423" s="10"/>
    </row>
    <row r="6424" customFormat="false" ht="15.75" hidden="false" customHeight="false" outlineLevel="0" collapsed="false">
      <c r="A6424" s="6" t="n">
        <v>43031.1008680556</v>
      </c>
      <c r="B6424" s="7" t="str">
        <f aca="false">HYPERLINK("https://twitter.com/TFTCS","@TFTCS")</f>
        <v>@TFTCS</v>
      </c>
      <c r="C6424" s="8" t="s">
        <v>338</v>
      </c>
      <c r="D6424" s="8" t="s">
        <v>14654</v>
      </c>
      <c r="E6424" s="9" t="str">
        <f aca="false">HYPERLINK("https://twitter.com/TFTCS/status/922393471754874880","922393471754874880")</f>
        <v>922393471754874880</v>
      </c>
      <c r="F6424" s="10" t="s">
        <v>60</v>
      </c>
      <c r="G6424" s="10" t="n">
        <v>4435</v>
      </c>
      <c r="H6424" s="10" t="n">
        <v>4613</v>
      </c>
      <c r="I6424" s="10" t="n">
        <v>0</v>
      </c>
      <c r="J6424" s="10" t="n">
        <v>0</v>
      </c>
      <c r="K6424" s="10" t="s">
        <v>20</v>
      </c>
      <c r="L6424" s="11" t="n">
        <v>41868.7681018518</v>
      </c>
      <c r="M6424" s="12" t="s">
        <v>340</v>
      </c>
      <c r="N6424" s="12" t="s">
        <v>341</v>
      </c>
      <c r="O6424" s="9" t="str">
        <f aca="false">HYPERLINK("https://pbs.twimg.com/profile_images/736027772800368640/DdLGgNNU_normal.jpg","View")</f>
        <v>View</v>
      </c>
      <c r="P6424" s="10"/>
    </row>
    <row r="6425" customFormat="false" ht="15.75" hidden="false" customHeight="false" outlineLevel="0" collapsed="false">
      <c r="A6425" s="6" t="n">
        <v>43031.1012037037</v>
      </c>
      <c r="B6425" s="7" t="str">
        <f aca="false">HYPERLINK("https://twitter.com/kurir_eu","@kurir_eu")</f>
        <v>@kurir_eu</v>
      </c>
      <c r="C6425" s="8" t="s">
        <v>14655</v>
      </c>
      <c r="D6425" s="8" t="s">
        <v>14656</v>
      </c>
      <c r="E6425" s="9" t="str">
        <f aca="false">HYPERLINK("https://twitter.com/kurir_eu/status/922393591867232257","922393591867232257")</f>
        <v>922393591867232257</v>
      </c>
      <c r="F6425" s="10" t="s">
        <v>39</v>
      </c>
      <c r="G6425" s="10" t="n">
        <v>69</v>
      </c>
      <c r="H6425" s="10" t="n">
        <v>62</v>
      </c>
      <c r="I6425" s="10" t="n">
        <v>0</v>
      </c>
      <c r="J6425" s="10" t="n">
        <v>1</v>
      </c>
      <c r="K6425" s="10" t="s">
        <v>20</v>
      </c>
      <c r="L6425" s="11" t="n">
        <v>42452.1480555556</v>
      </c>
      <c r="M6425" s="12"/>
      <c r="N6425" s="12"/>
      <c r="O6425" s="9" t="str">
        <f aca="false">HYPERLINK("https://pbs.twimg.com/profile_images/712588776069935104/Y2Q4ANNA_normal.jpg","View")</f>
        <v>View</v>
      </c>
      <c r="P6425" s="10"/>
    </row>
    <row r="6426" customFormat="false" ht="15.75" hidden="false" customHeight="false" outlineLevel="0" collapsed="false">
      <c r="A6426" s="6" t="n">
        <v>43031.102037037</v>
      </c>
      <c r="B6426" s="7" t="str">
        <f aca="false">HYPERLINK("https://twitter.com/PWagre","@PWagre")</f>
        <v>@PWagre</v>
      </c>
      <c r="C6426" s="8" t="s">
        <v>14657</v>
      </c>
      <c r="D6426" s="8" t="s">
        <v>8538</v>
      </c>
      <c r="E6426" s="9" t="str">
        <f aca="false">HYPERLINK("https://twitter.com/PWagre/status/922393893060014080","922393893060014080")</f>
        <v>922393893060014080</v>
      </c>
      <c r="F6426" s="10" t="s">
        <v>25</v>
      </c>
      <c r="G6426" s="10" t="n">
        <v>310</v>
      </c>
      <c r="H6426" s="10" t="n">
        <v>911</v>
      </c>
      <c r="I6426" s="10" t="n">
        <v>1015</v>
      </c>
      <c r="J6426" s="10" t="n">
        <v>0</v>
      </c>
      <c r="K6426" s="10" t="s">
        <v>20</v>
      </c>
      <c r="L6426" s="11" t="n">
        <v>41840.418125</v>
      </c>
      <c r="M6426" s="12"/>
      <c r="N6426" s="12" t="s">
        <v>14658</v>
      </c>
      <c r="O6426" s="9" t="str">
        <f aca="false">HYPERLINK("https://pbs.twimg.com/profile_images/902220680032374785/n2ZXwv7V_normal.jpg","View")</f>
        <v>View</v>
      </c>
      <c r="P6426" s="10"/>
    </row>
    <row r="6427" customFormat="false" ht="15.75" hidden="false" customHeight="false" outlineLevel="0" collapsed="false">
      <c r="A6427" s="6" t="n">
        <v>43031.1022453704</v>
      </c>
      <c r="B6427" s="7" t="str">
        <f aca="false">HYPERLINK("https://twitter.com/CNBCTradersFan","@CNBCTradersFan")</f>
        <v>@CNBCTradersFan</v>
      </c>
      <c r="C6427" s="8" t="s">
        <v>325</v>
      </c>
      <c r="D6427" s="8" t="s">
        <v>14659</v>
      </c>
      <c r="E6427" s="9" t="str">
        <f aca="false">HYPERLINK("https://twitter.com/CNBCTradersFan/status/922393970361229313","922393970361229313")</f>
        <v>922393970361229313</v>
      </c>
      <c r="F6427" s="10" t="s">
        <v>60</v>
      </c>
      <c r="G6427" s="10" t="n">
        <v>17155</v>
      </c>
      <c r="H6427" s="10" t="n">
        <v>11641</v>
      </c>
      <c r="I6427" s="10" t="n">
        <v>0</v>
      </c>
      <c r="J6427" s="10" t="n">
        <v>0</v>
      </c>
      <c r="K6427" s="10" t="s">
        <v>20</v>
      </c>
      <c r="L6427" s="11" t="n">
        <v>40922.5054282407</v>
      </c>
      <c r="M6427" s="12" t="s">
        <v>327</v>
      </c>
      <c r="N6427" s="12" t="s">
        <v>328</v>
      </c>
      <c r="O6427" s="9" t="str">
        <f aca="false">HYPERLINK("https://pbs.twimg.com/profile_images/731870469318684672/Ckf7rDdJ_normal.jpg","View")</f>
        <v>View</v>
      </c>
      <c r="P6427" s="10"/>
    </row>
    <row r="6428" customFormat="false" ht="15.75" hidden="false" customHeight="false" outlineLevel="0" collapsed="false">
      <c r="A6428" s="6" t="n">
        <v>43031.1024537037</v>
      </c>
      <c r="B6428" s="7" t="str">
        <f aca="false">HYPERLINK("https://twitter.com/kapilnaren","@kapilnaren")</f>
        <v>@kapilnaren</v>
      </c>
      <c r="C6428" s="8" t="s">
        <v>14660</v>
      </c>
      <c r="D6428" s="8" t="s">
        <v>8538</v>
      </c>
      <c r="E6428" s="9" t="str">
        <f aca="false">HYPERLINK("https://twitter.com/kapilnaren/status/922394046634569728","922394046634569728")</f>
        <v>922394046634569728</v>
      </c>
      <c r="F6428" s="10" t="s">
        <v>51</v>
      </c>
      <c r="G6428" s="10" t="n">
        <v>192</v>
      </c>
      <c r="H6428" s="10" t="n">
        <v>362</v>
      </c>
      <c r="I6428" s="10" t="n">
        <v>1015</v>
      </c>
      <c r="J6428" s="10" t="n">
        <v>0</v>
      </c>
      <c r="K6428" s="10" t="s">
        <v>20</v>
      </c>
      <c r="L6428" s="11" t="n">
        <v>41927.7870601852</v>
      </c>
      <c r="M6428" s="12"/>
      <c r="N6428" s="12"/>
      <c r="O6428" s="9" t="str">
        <f aca="false">HYPERLINK("https://pbs.twimg.com/profile_images/883471088805662721/dRB3a39b_normal.jpg","View")</f>
        <v>View</v>
      </c>
      <c r="P6428" s="10"/>
    </row>
    <row r="6429" customFormat="false" ht="15.75" hidden="false" customHeight="false" outlineLevel="0" collapsed="false">
      <c r="A6429" s="6" t="n">
        <v>43031.1025578704</v>
      </c>
      <c r="B6429" s="7" t="str">
        <f aca="false">HYPERLINK("https://twitter.com/rameshagrawal95","@rameshagrawal95")</f>
        <v>@rameshagrawal95</v>
      </c>
      <c r="C6429" s="8" t="s">
        <v>12412</v>
      </c>
      <c r="D6429" s="8" t="s">
        <v>14631</v>
      </c>
      <c r="E6429" s="9" t="str">
        <f aca="false">HYPERLINK("https://twitter.com/rameshagrawal95/status/922394083481460736","922394083481460736")</f>
        <v>922394083481460736</v>
      </c>
      <c r="F6429" s="10" t="s">
        <v>25</v>
      </c>
      <c r="G6429" s="10" t="n">
        <v>8223</v>
      </c>
      <c r="H6429" s="10" t="n">
        <v>648</v>
      </c>
      <c r="I6429" s="10" t="n">
        <v>7</v>
      </c>
      <c r="J6429" s="10" t="n">
        <v>0</v>
      </c>
      <c r="K6429" s="10" t="s">
        <v>20</v>
      </c>
      <c r="L6429" s="11" t="n">
        <v>41653.8269328704</v>
      </c>
      <c r="M6429" s="12" t="s">
        <v>7908</v>
      </c>
      <c r="N6429" s="12" t="s">
        <v>12413</v>
      </c>
      <c r="O6429" s="9" t="str">
        <f aca="false">HYPERLINK("https://pbs.twimg.com/profile_images/900249706843873280/DFSUf3Vm_normal.jpg","View")</f>
        <v>View</v>
      </c>
      <c r="P6429" s="10"/>
    </row>
    <row r="6430" customFormat="false" ht="15.75" hidden="false" customHeight="false" outlineLevel="0" collapsed="false">
      <c r="A6430" s="6" t="n">
        <v>43031.1029050926</v>
      </c>
      <c r="B6430" s="7" t="str">
        <f aca="false">HYPERLINK("https://twitter.com/vrai777","@vrai777")</f>
        <v>@vrai777</v>
      </c>
      <c r="C6430" s="8" t="s">
        <v>335</v>
      </c>
      <c r="D6430" s="8" t="s">
        <v>14661</v>
      </c>
      <c r="E6430" s="9" t="str">
        <f aca="false">HYPERLINK("https://twitter.com/vrai777/status/922394210577338368","922394210577338368")</f>
        <v>922394210577338368</v>
      </c>
      <c r="F6430" s="10" t="s">
        <v>60</v>
      </c>
      <c r="G6430" s="10" t="n">
        <v>7959</v>
      </c>
      <c r="H6430" s="10" t="n">
        <v>71</v>
      </c>
      <c r="I6430" s="10" t="n">
        <v>0</v>
      </c>
      <c r="J6430" s="10" t="n">
        <v>0</v>
      </c>
      <c r="K6430" s="10" t="s">
        <v>20</v>
      </c>
      <c r="L6430" s="11" t="n">
        <v>39878.7593287037</v>
      </c>
      <c r="M6430" s="12" t="s">
        <v>295</v>
      </c>
      <c r="N6430" s="12" t="s">
        <v>337</v>
      </c>
      <c r="O6430" s="9" t="str">
        <f aca="false">HYPERLINK("https://pbs.twimg.com/profile_images/688775800284266496/qhWTo08H_normal.png","View")</f>
        <v>View</v>
      </c>
      <c r="P6430" s="10"/>
    </row>
    <row r="6431" customFormat="false" ht="15.75" hidden="false" customHeight="false" outlineLevel="0" collapsed="false">
      <c r="A6431" s="6" t="n">
        <v>43031.1030208333</v>
      </c>
      <c r="B6431" s="7" t="str">
        <f aca="false">HYPERLINK("https://twitter.com/ProxyInsight","@ProxyInsight")</f>
        <v>@ProxyInsight</v>
      </c>
      <c r="C6431" s="8" t="s">
        <v>14662</v>
      </c>
      <c r="D6431" s="8" t="s">
        <v>14663</v>
      </c>
      <c r="E6431" s="9" t="str">
        <f aca="false">HYPERLINK("https://twitter.com/ProxyInsight/status/922394250490335233","922394250490335233")</f>
        <v>922394250490335233</v>
      </c>
      <c r="F6431" s="10" t="s">
        <v>39</v>
      </c>
      <c r="G6431" s="10" t="n">
        <v>799</v>
      </c>
      <c r="H6431" s="10" t="n">
        <v>241</v>
      </c>
      <c r="I6431" s="10" t="n">
        <v>4</v>
      </c>
      <c r="J6431" s="10" t="n">
        <v>0</v>
      </c>
      <c r="K6431" s="10" t="s">
        <v>20</v>
      </c>
      <c r="L6431" s="11" t="n">
        <v>41448.4937847222</v>
      </c>
      <c r="M6431" s="12" t="s">
        <v>14664</v>
      </c>
      <c r="N6431" s="12" t="s">
        <v>14665</v>
      </c>
      <c r="O6431" s="9" t="str">
        <f aca="false">HYPERLINK("https://pbs.twimg.com/profile_images/378800000035650977/0cecdd9695336f9396024114c078a475_normal.jpeg","View")</f>
        <v>View</v>
      </c>
      <c r="P6431" s="10"/>
    </row>
    <row r="6432" customFormat="false" ht="15.75" hidden="false" customHeight="false" outlineLevel="0" collapsed="false">
      <c r="A6432" s="6" t="n">
        <v>43031.1033217593</v>
      </c>
      <c r="B6432" s="7" t="str">
        <f aca="false">HYPERLINK("https://twitter.com/timelivenews","@timelivenews")</f>
        <v>@timelivenews</v>
      </c>
      <c r="C6432" s="8" t="s">
        <v>3083</v>
      </c>
      <c r="D6432" s="8" t="s">
        <v>14666</v>
      </c>
      <c r="E6432" s="9" t="str">
        <f aca="false">HYPERLINK("https://twitter.com/timelivenews/status/922394359949033473","922394359949033473")</f>
        <v>922394359949033473</v>
      </c>
      <c r="F6432" s="10" t="s">
        <v>39</v>
      </c>
      <c r="G6432" s="10" t="n">
        <v>1008</v>
      </c>
      <c r="H6432" s="10" t="n">
        <v>1998</v>
      </c>
      <c r="I6432" s="10" t="n">
        <v>0</v>
      </c>
      <c r="J6432" s="10" t="n">
        <v>0</v>
      </c>
      <c r="K6432" s="10" t="s">
        <v>20</v>
      </c>
      <c r="L6432" s="11" t="n">
        <v>41173.318912037</v>
      </c>
      <c r="M6432" s="12"/>
      <c r="N6432" s="12"/>
      <c r="O6432" s="9" t="str">
        <f aca="false">HYPERLINK("https://pbs.twimg.com/profile_images/2645914047/c79803e0dea4e4b85f99f5b019bf0f4c_normal.png","View")</f>
        <v>View</v>
      </c>
      <c r="P6432" s="10"/>
    </row>
    <row r="6433" customFormat="false" ht="15.75" hidden="false" customHeight="false" outlineLevel="0" collapsed="false">
      <c r="A6433" s="6" t="n">
        <v>43031.1034606482</v>
      </c>
      <c r="B6433" s="7" t="str">
        <f aca="false">HYPERLINK("https://twitter.com/bka_84","@bka_84")</f>
        <v>@bka_84</v>
      </c>
      <c r="C6433" s="8" t="s">
        <v>14667</v>
      </c>
      <c r="D6433" s="8" t="s">
        <v>14466</v>
      </c>
      <c r="E6433" s="9" t="str">
        <f aca="false">HYPERLINK("https://twitter.com/bka_84/status/922394410729349120","922394410729349120")</f>
        <v>922394410729349120</v>
      </c>
      <c r="F6433" s="10" t="s">
        <v>51</v>
      </c>
      <c r="G6433" s="10" t="n">
        <v>72</v>
      </c>
      <c r="H6433" s="10" t="n">
        <v>92</v>
      </c>
      <c r="I6433" s="10" t="n">
        <v>51</v>
      </c>
      <c r="J6433" s="10" t="n">
        <v>0</v>
      </c>
      <c r="K6433" s="10" t="s">
        <v>20</v>
      </c>
      <c r="L6433" s="11" t="n">
        <v>41711.3718981482</v>
      </c>
      <c r="M6433" s="13" t="s">
        <v>14668</v>
      </c>
      <c r="N6433" s="12" t="s">
        <v>14669</v>
      </c>
      <c r="O6433" s="9" t="str">
        <f aca="false">HYPERLINK("https://pbs.twimg.com/profile_images/487543594471784449/mc039ao9_normal.jpeg","View")</f>
        <v>View</v>
      </c>
      <c r="P6433" s="10"/>
    </row>
    <row r="6434" customFormat="false" ht="15.75" hidden="false" customHeight="false" outlineLevel="0" collapsed="false">
      <c r="A6434" s="6" t="n">
        <v>43031.1034953704</v>
      </c>
      <c r="B6434" s="7" t="str">
        <f aca="false">HYPERLINK("https://twitter.com/jks7159","@jks7159")</f>
        <v>@jks7159</v>
      </c>
      <c r="C6434" s="8" t="s">
        <v>14670</v>
      </c>
      <c r="D6434" s="8" t="s">
        <v>8538</v>
      </c>
      <c r="E6434" s="9" t="str">
        <f aca="false">HYPERLINK("https://twitter.com/jks7159/status/922394424146931712","922394424146931712")</f>
        <v>922394424146931712</v>
      </c>
      <c r="F6434" s="10" t="s">
        <v>51</v>
      </c>
      <c r="G6434" s="10" t="n">
        <v>1188</v>
      </c>
      <c r="H6434" s="10" t="n">
        <v>2343</v>
      </c>
      <c r="I6434" s="10" t="n">
        <v>1015</v>
      </c>
      <c r="J6434" s="10" t="n">
        <v>0</v>
      </c>
      <c r="K6434" s="10" t="s">
        <v>20</v>
      </c>
      <c r="L6434" s="11" t="n">
        <v>40136.3060532407</v>
      </c>
      <c r="M6434" s="12" t="s">
        <v>14671</v>
      </c>
      <c r="N6434" s="12" t="s">
        <v>14672</v>
      </c>
      <c r="O6434" s="9" t="str">
        <f aca="false">HYPERLINK("https://pbs.twimg.com/profile_images/1206681623/jks_normal.JPG","View")</f>
        <v>View</v>
      </c>
      <c r="P6434" s="10"/>
    </row>
    <row r="6435" customFormat="false" ht="15.75" hidden="false" customHeight="false" outlineLevel="0" collapsed="false">
      <c r="A6435" s="6" t="n">
        <v>43031.1036574074</v>
      </c>
      <c r="B6435" s="7" t="str">
        <f aca="false">HYPERLINK("https://twitter.com/GRD247","@GRD247")</f>
        <v>@GRD247</v>
      </c>
      <c r="C6435" s="8" t="s">
        <v>14673</v>
      </c>
      <c r="D6435" s="8" t="s">
        <v>14674</v>
      </c>
      <c r="E6435" s="9" t="str">
        <f aca="false">HYPERLINK("https://twitter.com/GRD247/status/922394480929415168","922394480929415168")</f>
        <v>922394480929415168</v>
      </c>
      <c r="F6435" s="10" t="s">
        <v>39</v>
      </c>
      <c r="G6435" s="10" t="n">
        <v>74</v>
      </c>
      <c r="H6435" s="10" t="n">
        <v>958</v>
      </c>
      <c r="I6435" s="10" t="n">
        <v>0</v>
      </c>
      <c r="J6435" s="10" t="n">
        <v>0</v>
      </c>
      <c r="K6435" s="10" t="s">
        <v>20</v>
      </c>
      <c r="L6435" s="11" t="n">
        <v>41000.2212731482</v>
      </c>
      <c r="M6435" s="12"/>
      <c r="N6435" s="12"/>
      <c r="O6435" s="9" t="str">
        <f aca="false">HYPERLINK("https://pbs.twimg.com/profile_images/746560865390862336/IEJXKaF3_normal.jpg","View")</f>
        <v>View</v>
      </c>
      <c r="P6435" s="10"/>
    </row>
    <row r="6436" customFormat="false" ht="15.75" hidden="false" customHeight="false" outlineLevel="0" collapsed="false">
      <c r="A6436" s="6" t="n">
        <v>43031.1038773148</v>
      </c>
      <c r="B6436" s="7" t="str">
        <f aca="false">HYPERLINK("https://twitter.com/saaymQ","@saaymQ")</f>
        <v>@saaymQ</v>
      </c>
      <c r="C6436" s="8" t="s">
        <v>14675</v>
      </c>
      <c r="D6436" s="8" t="s">
        <v>14676</v>
      </c>
      <c r="E6436" s="9" t="str">
        <f aca="false">HYPERLINK("https://twitter.com/saaymQ/status/922394560738754560","922394560738754560")</f>
        <v>922394560738754560</v>
      </c>
      <c r="F6436" s="10" t="s">
        <v>25</v>
      </c>
      <c r="G6436" s="10" t="n">
        <v>88</v>
      </c>
      <c r="H6436" s="10" t="n">
        <v>28</v>
      </c>
      <c r="I6436" s="10" t="n">
        <v>6</v>
      </c>
      <c r="J6436" s="10" t="n">
        <v>0</v>
      </c>
      <c r="K6436" s="10" t="s">
        <v>20</v>
      </c>
      <c r="L6436" s="11" t="n">
        <v>40391.2597337963</v>
      </c>
      <c r="M6436" s="12" t="s">
        <v>516</v>
      </c>
      <c r="N6436" s="12" t="s">
        <v>14677</v>
      </c>
      <c r="O6436" s="9" t="str">
        <f aca="false">HYPERLINK("https://pbs.twimg.com/profile_images/649608447344820224/9a1sfM9o_normal.jpg","View")</f>
        <v>View</v>
      </c>
      <c r="P6436" s="10"/>
    </row>
    <row r="6437" customFormat="false" ht="15.75" hidden="false" customHeight="false" outlineLevel="0" collapsed="false">
      <c r="A6437" s="6" t="n">
        <v>43031.1039351852</v>
      </c>
      <c r="B6437" s="7" t="str">
        <f aca="false">HYPERLINK("https://twitter.com/WillSmirk4Food","@WillSmirk4Food")</f>
        <v>@WillSmirk4Food</v>
      </c>
      <c r="C6437" s="8" t="s">
        <v>1113</v>
      </c>
      <c r="D6437" s="8" t="s">
        <v>14678</v>
      </c>
      <c r="E6437" s="9" t="str">
        <f aca="false">HYPERLINK("https://twitter.com/WillSmirk4Food/status/922394584939941889","922394584939941889")</f>
        <v>922394584939941889</v>
      </c>
      <c r="F6437" s="10" t="s">
        <v>60</v>
      </c>
      <c r="G6437" s="10" t="n">
        <v>911</v>
      </c>
      <c r="H6437" s="10" t="n">
        <v>1226</v>
      </c>
      <c r="I6437" s="10" t="n">
        <v>0</v>
      </c>
      <c r="J6437" s="10" t="n">
        <v>0</v>
      </c>
      <c r="K6437" s="10" t="s">
        <v>20</v>
      </c>
      <c r="L6437" s="11" t="n">
        <v>39812.7607523148</v>
      </c>
      <c r="M6437" s="12" t="s">
        <v>1115</v>
      </c>
      <c r="N6437" s="12" t="s">
        <v>1116</v>
      </c>
      <c r="O6437" s="9" t="str">
        <f aca="false">HYPERLINK("https://pbs.twimg.com/profile_images/2518253402/mjg6f34ipqr1mik3a4td_normal.jpeg","View")</f>
        <v>View</v>
      </c>
      <c r="P6437" s="10"/>
    </row>
    <row r="6438" customFormat="false" ht="15.75" hidden="false" customHeight="false" outlineLevel="0" collapsed="false">
      <c r="A6438" s="6" t="n">
        <v>43031.104224537</v>
      </c>
      <c r="B6438" s="7" t="str">
        <f aca="false">HYPERLINK("https://twitter.com/bizdailies","@bizdailies")</f>
        <v>@bizdailies</v>
      </c>
      <c r="C6438" s="8" t="s">
        <v>7181</v>
      </c>
      <c r="D6438" s="8" t="s">
        <v>14679</v>
      </c>
      <c r="E6438" s="9" t="str">
        <f aca="false">HYPERLINK("https://twitter.com/bizdailies/status/922394686119075840","922394686119075840")</f>
        <v>922394686119075840</v>
      </c>
      <c r="F6438" s="10" t="s">
        <v>7181</v>
      </c>
      <c r="G6438" s="10" t="n">
        <v>2513</v>
      </c>
      <c r="H6438" s="10" t="n">
        <v>1173</v>
      </c>
      <c r="I6438" s="10" t="n">
        <v>0</v>
      </c>
      <c r="J6438" s="10" t="n">
        <v>0</v>
      </c>
      <c r="K6438" s="10" t="s">
        <v>20</v>
      </c>
      <c r="L6438" s="11" t="n">
        <v>41996.8695601852</v>
      </c>
      <c r="M6438" s="12"/>
      <c r="N6438" s="12" t="s">
        <v>7183</v>
      </c>
      <c r="O6438" s="9" t="str">
        <f aca="false">HYPERLINK("https://pbs.twimg.com/profile_images/547616103069782016/4M4P1R4i_normal.png","View")</f>
        <v>View</v>
      </c>
      <c r="P6438" s="10"/>
    </row>
    <row r="6439" customFormat="false" ht="15.75" hidden="false" customHeight="false" outlineLevel="0" collapsed="false">
      <c r="A6439" s="6" t="n">
        <v>43031.1045949074</v>
      </c>
      <c r="B6439" s="7" t="str">
        <f aca="false">HYPERLINK("https://twitter.com/PolticsNewz","@PolticsNewz")</f>
        <v>@PolticsNewz</v>
      </c>
      <c r="C6439" s="8" t="s">
        <v>1121</v>
      </c>
      <c r="D6439" s="8" t="s">
        <v>14680</v>
      </c>
      <c r="E6439" s="9" t="str">
        <f aca="false">HYPERLINK("https://twitter.com/PolticsNewz/status/922394821347639297","922394821347639297")</f>
        <v>922394821347639297</v>
      </c>
      <c r="F6439" s="10" t="s">
        <v>1123</v>
      </c>
      <c r="G6439" s="10" t="n">
        <v>26441</v>
      </c>
      <c r="H6439" s="10" t="n">
        <v>23998</v>
      </c>
      <c r="I6439" s="10" t="n">
        <v>0</v>
      </c>
      <c r="J6439" s="10" t="n">
        <v>0</v>
      </c>
      <c r="K6439" s="10" t="s">
        <v>20</v>
      </c>
      <c r="L6439" s="11" t="n">
        <v>42509.1547569445</v>
      </c>
      <c r="M6439" s="12" t="s">
        <v>230</v>
      </c>
      <c r="N6439" s="12" t="s">
        <v>1124</v>
      </c>
      <c r="O6439" s="9" t="str">
        <f aca="false">HYPERLINK("https://pbs.twimg.com/profile_images/733247246314131456/M6u2U4GO_normal.jpg","View")</f>
        <v>View</v>
      </c>
      <c r="P6439" s="10"/>
    </row>
    <row r="6440" customFormat="false" ht="15.75" hidden="false" customHeight="false" outlineLevel="0" collapsed="false">
      <c r="A6440" s="6" t="n">
        <v>43031.1053819445</v>
      </c>
      <c r="B6440" s="7" t="str">
        <f aca="false">HYPERLINK("https://twitter.com/timeseek1970","@timeseek1970")</f>
        <v>@timeseek1970</v>
      </c>
      <c r="C6440" s="8" t="s">
        <v>14681</v>
      </c>
      <c r="D6440" s="8" t="s">
        <v>8538</v>
      </c>
      <c r="E6440" s="9" t="str">
        <f aca="false">HYPERLINK("https://twitter.com/timeseek1970/status/922395105193091072","922395105193091072")</f>
        <v>922395105193091072</v>
      </c>
      <c r="F6440" s="10" t="s">
        <v>51</v>
      </c>
      <c r="G6440" s="10" t="n">
        <v>263</v>
      </c>
      <c r="H6440" s="10" t="n">
        <v>979</v>
      </c>
      <c r="I6440" s="10" t="n">
        <v>1015</v>
      </c>
      <c r="J6440" s="10" t="n">
        <v>0</v>
      </c>
      <c r="K6440" s="10" t="s">
        <v>20</v>
      </c>
      <c r="L6440" s="11" t="n">
        <v>40399.5822222222</v>
      </c>
      <c r="M6440" s="12" t="s">
        <v>14682</v>
      </c>
      <c r="N6440" s="12"/>
      <c r="O6440" s="9" t="str">
        <f aca="false">HYPERLINK("https://pbs.twimg.com/profile_images/1119290414/mypicture_normal.jpg","View")</f>
        <v>View</v>
      </c>
      <c r="P6440" s="10"/>
    </row>
    <row r="6441" customFormat="false" ht="15.75" hidden="false" customHeight="false" outlineLevel="0" collapsed="false">
      <c r="A6441" s="6" t="n">
        <v>43031.1054166667</v>
      </c>
      <c r="B6441" s="7" t="str">
        <f aca="false">HYPERLINK("https://twitter.com/athreyaTW","@athreyaTW")</f>
        <v>@athreyaTW</v>
      </c>
      <c r="C6441" s="8" t="s">
        <v>14683</v>
      </c>
      <c r="D6441" s="8" t="s">
        <v>8538</v>
      </c>
      <c r="E6441" s="9" t="str">
        <f aca="false">HYPERLINK("https://twitter.com/athreyaTW/status/922395119382183937","922395119382183937")</f>
        <v>922395119382183937</v>
      </c>
      <c r="F6441" s="10" t="s">
        <v>25</v>
      </c>
      <c r="G6441" s="10" t="n">
        <v>189</v>
      </c>
      <c r="H6441" s="10" t="n">
        <v>118</v>
      </c>
      <c r="I6441" s="10" t="n">
        <v>1015</v>
      </c>
      <c r="J6441" s="10" t="n">
        <v>0</v>
      </c>
      <c r="K6441" s="10" t="s">
        <v>20</v>
      </c>
      <c r="L6441" s="11" t="n">
        <v>42238.2109143519</v>
      </c>
      <c r="M6441" s="12" t="s">
        <v>14684</v>
      </c>
      <c r="N6441" s="12"/>
      <c r="O6441" s="9" t="str">
        <f aca="false">HYPERLINK("https://pbs.twimg.com/profile_images/861993258959896577/kh46feBk_normal.jpg","View")</f>
        <v>View</v>
      </c>
      <c r="P6441" s="10"/>
    </row>
    <row r="6442" customFormat="false" ht="15.75" hidden="false" customHeight="false" outlineLevel="0" collapsed="false">
      <c r="A6442" s="6" t="n">
        <v>43031.105625</v>
      </c>
      <c r="B6442" s="7" t="str">
        <f aca="false">HYPERLINK("https://twitter.com/CNBCTradersFan","@CNBCTradersFan")</f>
        <v>@CNBCTradersFan</v>
      </c>
      <c r="C6442" s="8" t="s">
        <v>325</v>
      </c>
      <c r="D6442" s="8" t="s">
        <v>14685</v>
      </c>
      <c r="E6442" s="9" t="str">
        <f aca="false">HYPERLINK("https://twitter.com/CNBCTradersFan/status/922395196050100225","922395196050100225")</f>
        <v>922395196050100225</v>
      </c>
      <c r="F6442" s="10" t="s">
        <v>60</v>
      </c>
      <c r="G6442" s="10" t="n">
        <v>17155</v>
      </c>
      <c r="H6442" s="10" t="n">
        <v>11641</v>
      </c>
      <c r="I6442" s="10" t="n">
        <v>0</v>
      </c>
      <c r="J6442" s="10" t="n">
        <v>0</v>
      </c>
      <c r="K6442" s="10" t="s">
        <v>20</v>
      </c>
      <c r="L6442" s="11" t="n">
        <v>40922.5054282407</v>
      </c>
      <c r="M6442" s="12" t="s">
        <v>327</v>
      </c>
      <c r="N6442" s="12" t="s">
        <v>328</v>
      </c>
      <c r="O6442" s="9" t="str">
        <f aca="false">HYPERLINK("https://pbs.twimg.com/profile_images/731870469318684672/Ckf7rDdJ_normal.jpg","View")</f>
        <v>View</v>
      </c>
      <c r="P6442" s="10"/>
    </row>
    <row r="6443" customFormat="false" ht="15.75" hidden="false" customHeight="false" outlineLevel="0" collapsed="false">
      <c r="A6443" s="6" t="n">
        <v>43031.1057060185</v>
      </c>
      <c r="B6443" s="7" t="str">
        <f aca="false">HYPERLINK("https://twitter.com/sometimesspikey","@sometimesspikey")</f>
        <v>@sometimesspikey</v>
      </c>
      <c r="C6443" s="8" t="s">
        <v>14686</v>
      </c>
      <c r="D6443" s="8" t="s">
        <v>14466</v>
      </c>
      <c r="E6443" s="9" t="str">
        <f aca="false">HYPERLINK("https://twitter.com/sometimesspikey/status/922395225116610560","922395225116610560")</f>
        <v>922395225116610560</v>
      </c>
      <c r="F6443" s="10" t="s">
        <v>25</v>
      </c>
      <c r="G6443" s="10" t="n">
        <v>96</v>
      </c>
      <c r="H6443" s="10" t="n">
        <v>427</v>
      </c>
      <c r="I6443" s="10" t="n">
        <v>51</v>
      </c>
      <c r="J6443" s="10" t="n">
        <v>0</v>
      </c>
      <c r="K6443" s="10" t="s">
        <v>20</v>
      </c>
      <c r="L6443" s="11" t="n">
        <v>42983.1253356482</v>
      </c>
      <c r="M6443" s="12" t="s">
        <v>14687</v>
      </c>
      <c r="N6443" s="12" t="s">
        <v>14688</v>
      </c>
      <c r="O6443" s="9" t="str">
        <f aca="false">HYPERLINK("https://pbs.twimg.com/profile_images/905011829793017857/fDRG0QFi_normal.jpg","View")</f>
        <v>View</v>
      </c>
      <c r="P6443" s="10"/>
    </row>
    <row r="6444" customFormat="false" ht="15.75" hidden="false" customHeight="false" outlineLevel="0" collapsed="false">
      <c r="A6444" s="6" t="n">
        <v>43031.1060763889</v>
      </c>
      <c r="B6444" s="7" t="str">
        <f aca="false">HYPERLINK("https://twitter.com/PoliticsNewz","@PoliticsNewz")</f>
        <v>@PoliticsNewz</v>
      </c>
      <c r="C6444" s="8" t="s">
        <v>1132</v>
      </c>
      <c r="D6444" s="8" t="s">
        <v>14689</v>
      </c>
      <c r="E6444" s="9" t="str">
        <f aca="false">HYPERLINK("https://twitter.com/PoliticsNewz/status/922395356893237249","922395356893237249")</f>
        <v>922395356893237249</v>
      </c>
      <c r="F6444" s="10" t="s">
        <v>1134</v>
      </c>
      <c r="G6444" s="10" t="n">
        <v>56467</v>
      </c>
      <c r="H6444" s="10" t="n">
        <v>48950</v>
      </c>
      <c r="I6444" s="10" t="n">
        <v>1</v>
      </c>
      <c r="J6444" s="10" t="n">
        <v>0</v>
      </c>
      <c r="K6444" s="10" t="s">
        <v>20</v>
      </c>
      <c r="L6444" s="11" t="n">
        <v>40980.5404976852</v>
      </c>
      <c r="M6444" s="12" t="s">
        <v>230</v>
      </c>
      <c r="N6444" s="12" t="s">
        <v>1124</v>
      </c>
      <c r="O6444" s="9" t="str">
        <f aca="false">HYPERLINK("https://pbs.twimg.com/profile_images/1892022292/logo-politicnewz_normal.jpg","View")</f>
        <v>View</v>
      </c>
      <c r="P6444" s="10"/>
    </row>
    <row r="6445" customFormat="false" ht="15.75" hidden="false" customHeight="false" outlineLevel="0" collapsed="false">
      <c r="A6445" s="6" t="n">
        <v>43031.1061111111</v>
      </c>
      <c r="B6445" s="7" t="str">
        <f aca="false">HYPERLINK("https://twitter.com/Brooklinewise","@Brooklinewise")</f>
        <v>@Brooklinewise</v>
      </c>
      <c r="C6445" s="8" t="s">
        <v>10435</v>
      </c>
      <c r="D6445" s="8" t="s">
        <v>13172</v>
      </c>
      <c r="E6445" s="9" t="str">
        <f aca="false">HYPERLINK("https://twitter.com/Brooklinewise/status/922395372026191873","922395372026191873")</f>
        <v>922395372026191873</v>
      </c>
      <c r="F6445" s="10" t="s">
        <v>51</v>
      </c>
      <c r="G6445" s="10" t="n">
        <v>666</v>
      </c>
      <c r="H6445" s="10" t="n">
        <v>902</v>
      </c>
      <c r="I6445" s="10" t="n">
        <v>26</v>
      </c>
      <c r="J6445" s="10" t="n">
        <v>0</v>
      </c>
      <c r="K6445" s="10" t="s">
        <v>20</v>
      </c>
      <c r="L6445" s="11" t="n">
        <v>41679.7372685185</v>
      </c>
      <c r="M6445" s="12"/>
      <c r="N6445" s="13" t="s">
        <v>10437</v>
      </c>
      <c r="O6445" s="9" t="str">
        <f aca="false">HYPERLINK("https://pbs.twimg.com/profile_images/597878384895533057/e7TfJcy8_normal.jpg","View")</f>
        <v>View</v>
      </c>
      <c r="P6445" s="10"/>
    </row>
    <row r="6446" customFormat="false" ht="15.75" hidden="false" customHeight="false" outlineLevel="0" collapsed="false">
      <c r="A6446" s="6" t="n">
        <v>43031.1064236111</v>
      </c>
      <c r="B6446" s="7" t="str">
        <f aca="false">HYPERLINK("https://twitter.com/anal0gr","@anal0gr")</f>
        <v>@anal0gr</v>
      </c>
      <c r="C6446" s="8" t="s">
        <v>1106</v>
      </c>
      <c r="D6446" s="8" t="s">
        <v>14690</v>
      </c>
      <c r="E6446" s="9" t="str">
        <f aca="false">HYPERLINK("https://twitter.com/anal0gr/status/922395486639808512","922395486639808512")</f>
        <v>922395486639808512</v>
      </c>
      <c r="F6446" s="10" t="s">
        <v>60</v>
      </c>
      <c r="G6446" s="10" t="n">
        <v>266</v>
      </c>
      <c r="H6446" s="10" t="n">
        <v>249</v>
      </c>
      <c r="I6446" s="10" t="n">
        <v>0</v>
      </c>
      <c r="J6446" s="10" t="n">
        <v>0</v>
      </c>
      <c r="K6446" s="10" t="s">
        <v>20</v>
      </c>
      <c r="L6446" s="11" t="n">
        <v>40029.1031944444</v>
      </c>
      <c r="M6446" s="12" t="s">
        <v>1108</v>
      </c>
      <c r="N6446" s="12" t="s">
        <v>1109</v>
      </c>
      <c r="O6446" s="9" t="str">
        <f aca="false">HYPERLINK("https://pbs.twimg.com/profile_images/2881480750/e85c86dd5f4d2a30e1b676241d40f3d7_normal.jpeg","View")</f>
        <v>View</v>
      </c>
      <c r="P6446" s="10"/>
    </row>
    <row r="6447" customFormat="false" ht="15.75" hidden="false" customHeight="false" outlineLevel="0" collapsed="false">
      <c r="A6447" s="6" t="n">
        <v>43031.1064814815</v>
      </c>
      <c r="B6447" s="7" t="str">
        <f aca="false">HYPERLINK("https://twitter.com/TopFiveTraders","@TopFiveTraders")</f>
        <v>@TopFiveTraders</v>
      </c>
      <c r="C6447" s="8" t="s">
        <v>321</v>
      </c>
      <c r="D6447" s="8" t="s">
        <v>14691</v>
      </c>
      <c r="E6447" s="9" t="str">
        <f aca="false">HYPERLINK("https://twitter.com/TopFiveTraders/status/922395505728081920","922395505728081920")</f>
        <v>922395505728081920</v>
      </c>
      <c r="F6447" s="10" t="s">
        <v>60</v>
      </c>
      <c r="G6447" s="10" t="n">
        <v>8181</v>
      </c>
      <c r="H6447" s="10" t="n">
        <v>6774</v>
      </c>
      <c r="I6447" s="10" t="n">
        <v>0</v>
      </c>
      <c r="J6447" s="10" t="n">
        <v>0</v>
      </c>
      <c r="K6447" s="10" t="s">
        <v>20</v>
      </c>
      <c r="L6447" s="11" t="n">
        <v>41573.4842013889</v>
      </c>
      <c r="M6447" s="12" t="s">
        <v>323</v>
      </c>
      <c r="N6447" s="12" t="s">
        <v>324</v>
      </c>
      <c r="O6447" s="9" t="str">
        <f aca="false">HYPERLINK("https://pbs.twimg.com/profile_images/729113141444026370/hi202Ffp_normal.jpg","View")</f>
        <v>View</v>
      </c>
      <c r="P6447" s="10"/>
    </row>
    <row r="6448" customFormat="false" ht="15.75" hidden="false" customHeight="false" outlineLevel="0" collapsed="false">
      <c r="A6448" s="6" t="n">
        <v>43031.1081365741</v>
      </c>
      <c r="B6448" s="7" t="str">
        <f aca="false">HYPERLINK("https://twitter.com/drhussein_ismal","@drhussein_ismal")</f>
        <v>@drhussein_ismal</v>
      </c>
      <c r="C6448" s="8" t="s">
        <v>10004</v>
      </c>
      <c r="D6448" s="8" t="s">
        <v>14106</v>
      </c>
      <c r="E6448" s="9" t="str">
        <f aca="false">HYPERLINK("https://twitter.com/drhussein_ismal/status/922396105815609344","922396105815609344")</f>
        <v>922396105815609344</v>
      </c>
      <c r="F6448" s="10" t="s">
        <v>51</v>
      </c>
      <c r="G6448" s="10" t="n">
        <v>234</v>
      </c>
      <c r="H6448" s="10" t="n">
        <v>566</v>
      </c>
      <c r="I6448" s="10" t="n">
        <v>30</v>
      </c>
      <c r="J6448" s="10" t="n">
        <v>0</v>
      </c>
      <c r="K6448" s="10" t="s">
        <v>20</v>
      </c>
      <c r="L6448" s="11" t="n">
        <v>41521.5224537037</v>
      </c>
      <c r="M6448" s="12"/>
      <c r="N6448" s="12"/>
      <c r="O6448" s="9" t="str">
        <f aca="false">HYPERLINK("https://pbs.twimg.com/profile_images/378800000612583753/311c0309fcc8e0f53d99cd42a9440d46_normal.jpeg","View")</f>
        <v>View</v>
      </c>
      <c r="P6448" s="10"/>
    </row>
    <row r="6449" customFormat="false" ht="15.75" hidden="false" customHeight="false" outlineLevel="0" collapsed="false">
      <c r="A6449" s="6" t="n">
        <v>43031.1086342593</v>
      </c>
      <c r="B6449" s="7" t="str">
        <f aca="false">HYPERLINK("https://twitter.com/KCTV5","@KCTV5")</f>
        <v>@KCTV5</v>
      </c>
      <c r="C6449" s="8" t="s">
        <v>14692</v>
      </c>
      <c r="D6449" s="8" t="s">
        <v>14693</v>
      </c>
      <c r="E6449" s="9" t="str">
        <f aca="false">HYPERLINK("https://twitter.com/KCTV5/status/922396285608562688","922396285608562688")</f>
        <v>922396285608562688</v>
      </c>
      <c r="F6449" s="10" t="s">
        <v>3677</v>
      </c>
      <c r="G6449" s="10" t="n">
        <v>142019</v>
      </c>
      <c r="H6449" s="10" t="n">
        <v>921</v>
      </c>
      <c r="I6449" s="10" t="n">
        <v>0</v>
      </c>
      <c r="J6449" s="10" t="n">
        <v>1</v>
      </c>
      <c r="K6449" s="10" t="s">
        <v>20</v>
      </c>
      <c r="L6449" s="11" t="n">
        <v>39589.5288541667</v>
      </c>
      <c r="M6449" s="12" t="s">
        <v>14694</v>
      </c>
      <c r="N6449" s="12" t="s">
        <v>14695</v>
      </c>
      <c r="O6449" s="9" t="str">
        <f aca="false">HYPERLINK("https://pbs.twimg.com/profile_images/899972143068450816/KcrocRbh_normal.jpg","View")</f>
        <v>View</v>
      </c>
      <c r="P6449" s="10"/>
    </row>
    <row r="6450" customFormat="false" ht="15.75" hidden="false" customHeight="false" outlineLevel="0" collapsed="false">
      <c r="A6450" s="6" t="n">
        <v>43031.1086458333</v>
      </c>
      <c r="B6450" s="7" t="str">
        <f aca="false">HYPERLINK("https://twitter.com/walkileaks","@walkileaks")</f>
        <v>@walkileaks</v>
      </c>
      <c r="C6450" s="8" t="s">
        <v>1267</v>
      </c>
      <c r="D6450" s="8" t="s">
        <v>14696</v>
      </c>
      <c r="E6450" s="9" t="str">
        <f aca="false">HYPERLINK("https://twitter.com/walkileaks/status/922396290750799872","922396290750799872")</f>
        <v>922396290750799872</v>
      </c>
      <c r="F6450" s="9" t="s">
        <v>979</v>
      </c>
      <c r="G6450" s="10" t="n">
        <v>533</v>
      </c>
      <c r="H6450" s="10" t="n">
        <v>738</v>
      </c>
      <c r="I6450" s="10" t="n">
        <v>0</v>
      </c>
      <c r="J6450" s="10" t="n">
        <v>0</v>
      </c>
      <c r="K6450" s="10" t="s">
        <v>20</v>
      </c>
      <c r="L6450" s="11" t="n">
        <v>41239.3942361111</v>
      </c>
      <c r="M6450" s="12" t="s">
        <v>230</v>
      </c>
      <c r="N6450" s="12" t="s">
        <v>1269</v>
      </c>
      <c r="O6450" s="9" t="str">
        <f aca="false">HYPERLINK("https://pbs.twimg.com/profile_images/782945569501286401/BOfnIaHw_normal.jpg","View")</f>
        <v>View</v>
      </c>
      <c r="P6450" s="10"/>
    </row>
    <row r="6451" customFormat="false" ht="15.75" hidden="false" customHeight="false" outlineLevel="0" collapsed="false">
      <c r="A6451" s="6" t="n">
        <v>43031.1089699074</v>
      </c>
      <c r="B6451" s="7" t="str">
        <f aca="false">HYPERLINK("https://twitter.com/rizza_mohammad","@rizza_mohammad")</f>
        <v>@rizza_mohammad</v>
      </c>
      <c r="C6451" s="8" t="s">
        <v>14697</v>
      </c>
      <c r="D6451" s="8" t="s">
        <v>14466</v>
      </c>
      <c r="E6451" s="9" t="str">
        <f aca="false">HYPERLINK("https://twitter.com/rizza_mohammad/status/922396405741756416","922396405741756416")</f>
        <v>922396405741756416</v>
      </c>
      <c r="F6451" s="10" t="s">
        <v>25</v>
      </c>
      <c r="G6451" s="10" t="n">
        <v>5</v>
      </c>
      <c r="H6451" s="10" t="n">
        <v>207</v>
      </c>
      <c r="I6451" s="10" t="n">
        <v>51</v>
      </c>
      <c r="J6451" s="10" t="n">
        <v>0</v>
      </c>
      <c r="K6451" s="10" t="s">
        <v>20</v>
      </c>
      <c r="L6451" s="11" t="n">
        <v>41551.1996759259</v>
      </c>
      <c r="M6451" s="12" t="s">
        <v>11207</v>
      </c>
      <c r="N6451" s="12" t="s">
        <v>14698</v>
      </c>
      <c r="O6451" s="9" t="str">
        <f aca="false">HYPERLINK("https://pbs.twimg.com/profile_images/695487952307130368/ASNWqkJx_normal.jpg","View")</f>
        <v>View</v>
      </c>
      <c r="P6451" s="10"/>
    </row>
    <row r="6452" customFormat="false" ht="15.75" hidden="false" customHeight="false" outlineLevel="0" collapsed="false">
      <c r="A6452" s="6" t="n">
        <v>43031.1097569444</v>
      </c>
      <c r="B6452" s="7" t="str">
        <f aca="false">HYPERLINK("https://twitter.com/axi_art","@axi_art")</f>
        <v>@axi_art</v>
      </c>
      <c r="C6452" s="8" t="s">
        <v>14699</v>
      </c>
      <c r="D6452" s="8" t="s">
        <v>14700</v>
      </c>
      <c r="E6452" s="9" t="str">
        <f aca="false">HYPERLINK("https://twitter.com/axi_art/status/922396691424337920","922396691424337920")</f>
        <v>922396691424337920</v>
      </c>
      <c r="F6452" s="10" t="s">
        <v>177</v>
      </c>
      <c r="G6452" s="10" t="n">
        <v>127</v>
      </c>
      <c r="H6452" s="10" t="n">
        <v>410</v>
      </c>
      <c r="I6452" s="10" t="n">
        <v>0</v>
      </c>
      <c r="J6452" s="10" t="n">
        <v>0</v>
      </c>
      <c r="K6452" s="10" t="s">
        <v>20</v>
      </c>
      <c r="L6452" s="11" t="n">
        <v>40979.1640625</v>
      </c>
      <c r="M6452" s="17" t="s">
        <v>14701</v>
      </c>
      <c r="N6452" s="12" t="s">
        <v>14702</v>
      </c>
      <c r="O6452" s="9" t="str">
        <f aca="false">HYPERLINK("https://pbs.twimg.com/profile_images/802285725995716608/KGJx17nD_normal.jpg","View")</f>
        <v>View</v>
      </c>
      <c r="P6452" s="10"/>
    </row>
    <row r="6453" customFormat="false" ht="15.75" hidden="false" customHeight="false" outlineLevel="0" collapsed="false">
      <c r="A6453" s="6" t="n">
        <v>43031.1098842593</v>
      </c>
      <c r="B6453" s="7" t="str">
        <f aca="false">HYPERLINK("https://twitter.com/firstpost","@firstpost")</f>
        <v>@firstpost</v>
      </c>
      <c r="C6453" s="8" t="s">
        <v>2287</v>
      </c>
      <c r="D6453" s="8" t="s">
        <v>14703</v>
      </c>
      <c r="E6453" s="9" t="str">
        <f aca="false">HYPERLINK("https://twitter.com/firstpost/status/922396738224136192","922396738224136192")</f>
        <v>922396738224136192</v>
      </c>
      <c r="F6453" s="10" t="s">
        <v>39</v>
      </c>
      <c r="G6453" s="10" t="n">
        <v>1872019</v>
      </c>
      <c r="H6453" s="10" t="n">
        <v>1000</v>
      </c>
      <c r="I6453" s="10" t="n">
        <v>3</v>
      </c>
      <c r="J6453" s="10" t="n">
        <v>6</v>
      </c>
      <c r="K6453" s="10" t="s">
        <v>20</v>
      </c>
      <c r="L6453" s="11" t="n">
        <v>40597.214837963</v>
      </c>
      <c r="M6453" s="12" t="s">
        <v>253</v>
      </c>
      <c r="N6453" s="12" t="s">
        <v>2289</v>
      </c>
      <c r="O6453" s="9" t="str">
        <f aca="false">HYPERLINK("https://pbs.twimg.com/profile_images/696601463322075137/svSxRGyn_normal.jpg","View")</f>
        <v>View</v>
      </c>
      <c r="P6453" s="10"/>
    </row>
    <row r="6454" customFormat="false" ht="15.75" hidden="false" customHeight="false" outlineLevel="0" collapsed="false">
      <c r="A6454" s="6" t="n">
        <v>43031.1099305556</v>
      </c>
      <c r="B6454" s="7" t="str">
        <f aca="false">HYPERLINK("https://twitter.com/MuhammadOsama86","@MuhammadOsama86")</f>
        <v>@MuhammadOsama86</v>
      </c>
      <c r="C6454" s="8" t="s">
        <v>14704</v>
      </c>
      <c r="D6454" s="8" t="s">
        <v>14705</v>
      </c>
      <c r="E6454" s="9" t="str">
        <f aca="false">HYPERLINK("https://twitter.com/MuhammadOsama86/status/922396754833678343","922396754833678343")</f>
        <v>922396754833678343</v>
      </c>
      <c r="F6454" s="10" t="s">
        <v>60</v>
      </c>
      <c r="G6454" s="10" t="n">
        <v>301</v>
      </c>
      <c r="H6454" s="10" t="n">
        <v>1186</v>
      </c>
      <c r="I6454" s="10" t="n">
        <v>0</v>
      </c>
      <c r="J6454" s="10" t="n">
        <v>0</v>
      </c>
      <c r="K6454" s="10" t="s">
        <v>20</v>
      </c>
      <c r="L6454" s="11" t="n">
        <v>42454.512337963</v>
      </c>
      <c r="M6454" s="12"/>
      <c r="N6454" s="12"/>
      <c r="O6454" s="9" t="str">
        <f aca="false">HYPERLINK("https://pbs.twimg.com/profile_images/713445800735555585/CaeHw_C6_normal.jpg","View")</f>
        <v>View</v>
      </c>
      <c r="P6454" s="10"/>
    </row>
    <row r="6455" customFormat="false" ht="15.75" hidden="false" customHeight="false" outlineLevel="0" collapsed="false">
      <c r="A6455" s="6" t="n">
        <v>43031.1102314815</v>
      </c>
      <c r="B6455" s="7" t="str">
        <f aca="false">HYPERLINK("https://twitter.com/Shunnsasaki","@Shunnsasaki")</f>
        <v>@Shunnsasaki</v>
      </c>
      <c r="C6455" s="8" t="s">
        <v>14706</v>
      </c>
      <c r="D6455" s="8" t="s">
        <v>14707</v>
      </c>
      <c r="E6455" s="9" t="str">
        <f aca="false">HYPERLINK("https://twitter.com/Shunnsasaki/status/922396862685908997","922396862685908997")</f>
        <v>922396862685908997</v>
      </c>
      <c r="F6455" s="10" t="s">
        <v>39</v>
      </c>
      <c r="G6455" s="10" t="n">
        <v>104</v>
      </c>
      <c r="H6455" s="10" t="n">
        <v>268</v>
      </c>
      <c r="I6455" s="10" t="n">
        <v>0</v>
      </c>
      <c r="J6455" s="10" t="n">
        <v>1</v>
      </c>
      <c r="K6455" s="10" t="s">
        <v>20</v>
      </c>
      <c r="L6455" s="11" t="n">
        <v>40673.3080208333</v>
      </c>
      <c r="M6455" s="12"/>
      <c r="N6455" s="12" t="s">
        <v>14708</v>
      </c>
      <c r="O6455" s="9" t="str">
        <f aca="false">HYPERLINK("https://pbs.twimg.com/profile_images/1347039387/imagesCACP37Q7_-_____normal.jpg","View")</f>
        <v>View</v>
      </c>
      <c r="P6455" s="10"/>
    </row>
    <row r="6456" customFormat="false" ht="15.75" hidden="false" customHeight="false" outlineLevel="0" collapsed="false">
      <c r="A6456" s="6" t="n">
        <v>43031.1106712963</v>
      </c>
      <c r="B6456" s="7" t="str">
        <f aca="false">HYPERLINK("https://twitter.com/_kranga","@_kranga")</f>
        <v>@_kranga</v>
      </c>
      <c r="C6456" s="8" t="s">
        <v>8408</v>
      </c>
      <c r="D6456" s="8" t="s">
        <v>14709</v>
      </c>
      <c r="E6456" s="9" t="str">
        <f aca="false">HYPERLINK("https://twitter.com/_kranga/status/922397024045199361","922397024045199361")</f>
        <v>922397024045199361</v>
      </c>
      <c r="F6456" s="10" t="s">
        <v>51</v>
      </c>
      <c r="G6456" s="10" t="n">
        <v>114</v>
      </c>
      <c r="H6456" s="10" t="n">
        <v>75</v>
      </c>
      <c r="I6456" s="10" t="n">
        <v>3</v>
      </c>
      <c r="J6456" s="10" t="n">
        <v>0</v>
      </c>
      <c r="K6456" s="10" t="s">
        <v>20</v>
      </c>
      <c r="L6456" s="11" t="n">
        <v>41784.0769907407</v>
      </c>
      <c r="M6456" s="12" t="s">
        <v>64</v>
      </c>
      <c r="N6456" s="12" t="s">
        <v>8409</v>
      </c>
      <c r="O6456" s="9" t="str">
        <f aca="false">HYPERLINK("https://abs.twimg.com/sticky/default_profile_images/default_profile_normal.png","View")</f>
        <v>View</v>
      </c>
      <c r="P6456" s="10"/>
    </row>
    <row r="6457" customFormat="false" ht="15.75" hidden="false" customHeight="false" outlineLevel="0" collapsed="false">
      <c r="A6457" s="6" t="n">
        <v>43031.1107638889</v>
      </c>
      <c r="B6457" s="7" t="str">
        <f aca="false">HYPERLINK("https://twitter.com/LibDem_News","@LibDem_News")</f>
        <v>@LibDem_News</v>
      </c>
      <c r="C6457" s="8" t="s">
        <v>14710</v>
      </c>
      <c r="D6457" s="8" t="s">
        <v>14711</v>
      </c>
      <c r="E6457" s="9" t="str">
        <f aca="false">HYPERLINK("https://twitter.com/LibDem_News/status/922397056064516097","922397056064516097")</f>
        <v>922397056064516097</v>
      </c>
      <c r="F6457" s="10" t="s">
        <v>14712</v>
      </c>
      <c r="G6457" s="10" t="n">
        <v>9950</v>
      </c>
      <c r="H6457" s="10" t="n">
        <v>10221</v>
      </c>
      <c r="I6457" s="10" t="n">
        <v>0</v>
      </c>
      <c r="J6457" s="10" t="n">
        <v>0</v>
      </c>
      <c r="K6457" s="10" t="s">
        <v>20</v>
      </c>
      <c r="L6457" s="11" t="n">
        <v>40363.3621527778</v>
      </c>
      <c r="M6457" s="12"/>
      <c r="N6457" s="12" t="s">
        <v>14713</v>
      </c>
      <c r="O6457" s="9" t="str">
        <f aca="false">HYPERLINK("https://pbs.twimg.com/profile_images/1050633160/LIBDEM_normal.png","View")</f>
        <v>View</v>
      </c>
      <c r="P6457" s="10"/>
    </row>
    <row r="6458" customFormat="false" ht="15.75" hidden="false" customHeight="false" outlineLevel="0" collapsed="false">
      <c r="A6458" s="6" t="n">
        <v>43031.1112268519</v>
      </c>
      <c r="B6458" s="7" t="str">
        <f aca="false">HYPERLINK("https://twitter.com/toshi_wildlife","@toshi_wildlife")</f>
        <v>@toshi_wildlife</v>
      </c>
      <c r="C6458" s="8" t="s">
        <v>14714</v>
      </c>
      <c r="D6458" s="8" t="s">
        <v>12493</v>
      </c>
      <c r="E6458" s="9" t="str">
        <f aca="false">HYPERLINK("https://twitter.com/toshi_wildlife/status/922397224213950465","922397224213950465")</f>
        <v>922397224213950465</v>
      </c>
      <c r="F6458" s="10" t="s">
        <v>25</v>
      </c>
      <c r="G6458" s="10" t="n">
        <v>1052</v>
      </c>
      <c r="H6458" s="10" t="n">
        <v>1627</v>
      </c>
      <c r="I6458" s="10" t="n">
        <v>63</v>
      </c>
      <c r="J6458" s="10" t="n">
        <v>0</v>
      </c>
      <c r="K6458" s="10" t="s">
        <v>20</v>
      </c>
      <c r="L6458" s="11" t="n">
        <v>41867.1291087963</v>
      </c>
      <c r="M6458" s="13" t="s">
        <v>14715</v>
      </c>
      <c r="N6458" s="13" t="s">
        <v>14716</v>
      </c>
      <c r="O6458" s="9" t="str">
        <f aca="false">HYPERLINK("https://pbs.twimg.com/profile_images/897523323701149696/DyXUcz4k_normal.jpg","View")</f>
        <v>View</v>
      </c>
      <c r="P6458" s="10"/>
    </row>
    <row r="6459" customFormat="false" ht="15.75" hidden="false" customHeight="false" outlineLevel="0" collapsed="false">
      <c r="A6459" s="6" t="n">
        <v>43031.1113888889</v>
      </c>
      <c r="B6459" s="7" t="str">
        <f aca="false">HYPERLINK("https://twitter.com/bpolitics","@bpolitics")</f>
        <v>@bpolitics</v>
      </c>
      <c r="C6459" s="8" t="s">
        <v>266</v>
      </c>
      <c r="D6459" s="8" t="s">
        <v>14717</v>
      </c>
      <c r="E6459" s="9" t="str">
        <f aca="false">HYPERLINK("https://twitter.com/bpolitics/status/922397283714441216","922397283714441216")</f>
        <v>922397283714441216</v>
      </c>
      <c r="F6459" s="9" t="s">
        <v>198</v>
      </c>
      <c r="G6459" s="10" t="n">
        <v>221392</v>
      </c>
      <c r="H6459" s="10" t="n">
        <v>868</v>
      </c>
      <c r="I6459" s="10" t="n">
        <v>3</v>
      </c>
      <c r="J6459" s="10" t="n">
        <v>3</v>
      </c>
      <c r="K6459" s="10" t="s">
        <v>20</v>
      </c>
      <c r="L6459" s="11" t="n">
        <v>41025.576400463</v>
      </c>
      <c r="M6459" s="12"/>
      <c r="N6459" s="12" t="s">
        <v>269</v>
      </c>
      <c r="O6459" s="9" t="str">
        <f aca="false">HYPERLINK("https://pbs.twimg.com/profile_images/714804098890133504/cUO4gD1A_normal.jpg","View")</f>
        <v>View</v>
      </c>
      <c r="P6459" s="10"/>
    </row>
    <row r="6460" customFormat="false" ht="15.75" hidden="false" customHeight="false" outlineLevel="0" collapsed="false">
      <c r="A6460" s="6" t="n">
        <v>43031.1115046296</v>
      </c>
      <c r="B6460" s="7" t="str">
        <f aca="false">HYPERLINK("https://twitter.com/BloombergTV","@BloombergTV")</f>
        <v>@BloombergTV</v>
      </c>
      <c r="C6460" s="8" t="s">
        <v>317</v>
      </c>
      <c r="D6460" s="8" t="s">
        <v>14718</v>
      </c>
      <c r="E6460" s="9" t="str">
        <f aca="false">HYPERLINK("https://twitter.com/BloombergTV/status/922397327649775616","922397327649775616")</f>
        <v>922397327649775616</v>
      </c>
      <c r="F6460" s="9" t="s">
        <v>198</v>
      </c>
      <c r="G6460" s="10" t="n">
        <v>452918</v>
      </c>
      <c r="H6460" s="10" t="n">
        <v>458</v>
      </c>
      <c r="I6460" s="10" t="n">
        <v>6</v>
      </c>
      <c r="J6460" s="10" t="n">
        <v>3</v>
      </c>
      <c r="K6460" s="10" t="s">
        <v>20</v>
      </c>
      <c r="L6460" s="11" t="n">
        <v>39927.4899768519</v>
      </c>
      <c r="M6460" s="12" t="s">
        <v>319</v>
      </c>
      <c r="N6460" s="12" t="s">
        <v>320</v>
      </c>
      <c r="O6460" s="9" t="str">
        <f aca="false">HYPERLINK("https://pbs.twimg.com/profile_images/714801760632770560/7My2hMBt_normal.jpg","View")</f>
        <v>View</v>
      </c>
      <c r="P6460" s="10"/>
    </row>
    <row r="6461" customFormat="false" ht="15.75" hidden="false" customHeight="false" outlineLevel="0" collapsed="false">
      <c r="A6461" s="6" t="n">
        <v>43031.1115625</v>
      </c>
      <c r="B6461" s="7" t="str">
        <f aca="false">HYPERLINK("https://twitter.com/BloombergAsia","@BloombergAsia")</f>
        <v>@BloombergAsia</v>
      </c>
      <c r="C6461" s="8" t="s">
        <v>1399</v>
      </c>
      <c r="D6461" s="8" t="s">
        <v>14719</v>
      </c>
      <c r="E6461" s="9" t="str">
        <f aca="false">HYPERLINK("https://twitter.com/BloombergAsia/status/922397346641666048","922397346641666048")</f>
        <v>922397346641666048</v>
      </c>
      <c r="F6461" s="10" t="s">
        <v>268</v>
      </c>
      <c r="G6461" s="10" t="n">
        <v>28824</v>
      </c>
      <c r="H6461" s="10" t="n">
        <v>97</v>
      </c>
      <c r="I6461" s="10" t="n">
        <v>2</v>
      </c>
      <c r="J6461" s="10" t="n">
        <v>1</v>
      </c>
      <c r="K6461" s="10" t="s">
        <v>20</v>
      </c>
      <c r="L6461" s="11" t="n">
        <v>41052.2384837963</v>
      </c>
      <c r="M6461" s="12"/>
      <c r="N6461" s="12" t="s">
        <v>1401</v>
      </c>
      <c r="O6461" s="9" t="str">
        <f aca="false">HYPERLINK("https://pbs.twimg.com/profile_images/778129630284902401/gXjFkqGM_normal.jpg","View")</f>
        <v>View</v>
      </c>
      <c r="P6461" s="10"/>
    </row>
    <row r="6462" customFormat="false" ht="15.75" hidden="false" customHeight="false" outlineLevel="0" collapsed="false">
      <c r="A6462" s="6" t="n">
        <v>43031.1117708333</v>
      </c>
      <c r="B6462" s="7" t="str">
        <f aca="false">HYPERLINK("https://twitter.com/Norni2L","@Norni2L")</f>
        <v>@Norni2L</v>
      </c>
      <c r="C6462" s="8" t="s">
        <v>14720</v>
      </c>
      <c r="D6462" s="8" t="s">
        <v>14721</v>
      </c>
      <c r="E6462" s="9" t="str">
        <f aca="false">HYPERLINK("https://twitter.com/Norni2L/status/922397424609570816","922397424609570816")</f>
        <v>922397424609570816</v>
      </c>
      <c r="F6462" s="10" t="s">
        <v>39</v>
      </c>
      <c r="G6462" s="10" t="n">
        <v>145</v>
      </c>
      <c r="H6462" s="10" t="n">
        <v>753</v>
      </c>
      <c r="I6462" s="10" t="n">
        <v>3</v>
      </c>
      <c r="J6462" s="10" t="n">
        <v>0</v>
      </c>
      <c r="K6462" s="10" t="s">
        <v>20</v>
      </c>
      <c r="L6462" s="11" t="n">
        <v>42733.0180324074</v>
      </c>
      <c r="M6462" s="12"/>
      <c r="N6462" s="12" t="s">
        <v>14722</v>
      </c>
      <c r="O6462" s="9" t="str">
        <f aca="false">HYPERLINK("https://pbs.twimg.com/profile_images/848654574089064448/Oe2m6o2t_normal.jpg","View")</f>
        <v>View</v>
      </c>
      <c r="P6462" s="10"/>
    </row>
    <row r="6463" customFormat="false" ht="15.75" hidden="false" customHeight="false" outlineLevel="0" collapsed="false">
      <c r="A6463" s="6" t="n">
        <v>43031.1118981482</v>
      </c>
      <c r="B6463" s="7" t="str">
        <f aca="false">HYPERLINK("https://twitter.com/Anon_Eu","@Anon_Eu")</f>
        <v>@Anon_Eu</v>
      </c>
      <c r="C6463" s="8" t="s">
        <v>1270</v>
      </c>
      <c r="D6463" s="8" t="s">
        <v>14723</v>
      </c>
      <c r="E6463" s="9" t="str">
        <f aca="false">HYPERLINK("https://twitter.com/Anon_Eu/status/922397470105092097","922397470105092097")</f>
        <v>922397470105092097</v>
      </c>
      <c r="F6463" s="9" t="s">
        <v>1147</v>
      </c>
      <c r="G6463" s="10" t="n">
        <v>13150</v>
      </c>
      <c r="H6463" s="10" t="n">
        <v>6968</v>
      </c>
      <c r="I6463" s="10" t="n">
        <v>1</v>
      </c>
      <c r="J6463" s="10" t="n">
        <v>1</v>
      </c>
      <c r="K6463" s="10" t="s">
        <v>20</v>
      </c>
      <c r="L6463" s="11" t="n">
        <v>41161.5910416667</v>
      </c>
      <c r="M6463" s="12" t="s">
        <v>1272</v>
      </c>
      <c r="N6463" s="12" t="s">
        <v>1273</v>
      </c>
      <c r="O6463" s="9" t="str">
        <f aca="false">HYPERLINK("https://pbs.twimg.com/profile_images/839870179282669570/K5jLYmlF_normal.jpg","View")</f>
        <v>View</v>
      </c>
      <c r="P6463" s="10"/>
    </row>
    <row r="6464" customFormat="false" ht="15.75" hidden="false" customHeight="false" outlineLevel="0" collapsed="false">
      <c r="A6464" s="6" t="n">
        <v>43031.1119560185</v>
      </c>
      <c r="B6464" s="7" t="str">
        <f aca="false">HYPERLINK("https://twitter.com/AIDIndia3","@AIDIndia3")</f>
        <v>@AIDIndia3</v>
      </c>
      <c r="C6464" s="8" t="s">
        <v>14724</v>
      </c>
      <c r="D6464" s="8" t="s">
        <v>14725</v>
      </c>
      <c r="E6464" s="9" t="str">
        <f aca="false">HYPERLINK("https://twitter.com/AIDIndia3/status/922397489185124352","922397489185124352")</f>
        <v>922397489185124352</v>
      </c>
      <c r="F6464" s="10" t="s">
        <v>14726</v>
      </c>
      <c r="G6464" s="10" t="n">
        <v>294</v>
      </c>
      <c r="H6464" s="10" t="n">
        <v>154</v>
      </c>
      <c r="I6464" s="10" t="n">
        <v>4</v>
      </c>
      <c r="J6464" s="10" t="n">
        <v>0</v>
      </c>
      <c r="K6464" s="10" t="s">
        <v>20</v>
      </c>
      <c r="L6464" s="11" t="n">
        <v>42625.2062962963</v>
      </c>
      <c r="M6464" s="12" t="s">
        <v>64</v>
      </c>
      <c r="N6464" s="12" t="s">
        <v>14727</v>
      </c>
      <c r="O6464" s="9" t="str">
        <f aca="false">HYPERLINK("https://pbs.twimg.com/profile_images/775305592504217600/Ea7UL5A7_normal.jpg","View")</f>
        <v>View</v>
      </c>
      <c r="P6464" s="10"/>
    </row>
    <row r="6465" customFormat="false" ht="15.75" hidden="false" customHeight="false" outlineLevel="0" collapsed="false">
      <c r="A6465" s="6" t="n">
        <v>43031.1122569444</v>
      </c>
      <c r="B6465" s="7" t="str">
        <f aca="false">HYPERLINK("https://twitter.com/BloombergAsia","@BloombergAsia")</f>
        <v>@BloombergAsia</v>
      </c>
      <c r="C6465" s="8" t="s">
        <v>1399</v>
      </c>
      <c r="D6465" s="8" t="s">
        <v>14728</v>
      </c>
      <c r="E6465" s="9" t="str">
        <f aca="false">HYPERLINK("https://twitter.com/BloombergAsia/status/922397597540655104","922397597540655104")</f>
        <v>922397597540655104</v>
      </c>
      <c r="F6465" s="9" t="s">
        <v>198</v>
      </c>
      <c r="G6465" s="10" t="n">
        <v>28824</v>
      </c>
      <c r="H6465" s="10" t="n">
        <v>97</v>
      </c>
      <c r="I6465" s="10" t="n">
        <v>4</v>
      </c>
      <c r="J6465" s="10" t="n">
        <v>3</v>
      </c>
      <c r="K6465" s="10" t="s">
        <v>20</v>
      </c>
      <c r="L6465" s="11" t="n">
        <v>41052.2384837963</v>
      </c>
      <c r="M6465" s="12"/>
      <c r="N6465" s="12" t="s">
        <v>1401</v>
      </c>
      <c r="O6465" s="9" t="str">
        <f aca="false">HYPERLINK("https://pbs.twimg.com/profile_images/778129630284902401/gXjFkqGM_normal.jpg","View")</f>
        <v>View</v>
      </c>
      <c r="P6465" s="10"/>
    </row>
    <row r="6466" customFormat="false" ht="15.75" hidden="false" customHeight="false" outlineLevel="0" collapsed="false">
      <c r="A6466" s="6" t="n">
        <v>43031.1126157407</v>
      </c>
      <c r="B6466" s="7" t="str">
        <f aca="false">HYPERLINK("https://twitter.com/BrMassami","@BrMassami")</f>
        <v>@BrMassami</v>
      </c>
      <c r="C6466" s="8" t="s">
        <v>14729</v>
      </c>
      <c r="D6466" s="8" t="s">
        <v>14721</v>
      </c>
      <c r="E6466" s="9" t="str">
        <f aca="false">HYPERLINK("https://twitter.com/BrMassami/status/922397727144665088","922397727144665088")</f>
        <v>922397727144665088</v>
      </c>
      <c r="F6466" s="10" t="s">
        <v>25</v>
      </c>
      <c r="G6466" s="10" t="n">
        <v>3127</v>
      </c>
      <c r="H6466" s="10" t="n">
        <v>3077</v>
      </c>
      <c r="I6466" s="10" t="n">
        <v>3</v>
      </c>
      <c r="J6466" s="10" t="n">
        <v>0</v>
      </c>
      <c r="K6466" s="10" t="s">
        <v>20</v>
      </c>
      <c r="L6466" s="11" t="n">
        <v>40333.8141898148</v>
      </c>
      <c r="M6466" s="12" t="s">
        <v>14730</v>
      </c>
      <c r="N6466" s="12" t="s">
        <v>14731</v>
      </c>
      <c r="O6466" s="9" t="str">
        <f aca="false">HYPERLINK("https://pbs.twimg.com/profile_images/782227205552152577/H94nn0Cf_normal.jpg","View")</f>
        <v>View</v>
      </c>
      <c r="P6466" s="10"/>
    </row>
    <row r="6467" customFormat="false" ht="15.75" hidden="false" customHeight="false" outlineLevel="0" collapsed="false">
      <c r="A6467" s="6" t="n">
        <v>43031.1126967593</v>
      </c>
      <c r="B6467" s="7" t="str">
        <f aca="false">HYPERLINK("https://twitter.com/DJJC137","@DJJC137")</f>
        <v>@DJJC137</v>
      </c>
      <c r="C6467" s="8" t="s">
        <v>11251</v>
      </c>
      <c r="D6467" s="8" t="s">
        <v>14732</v>
      </c>
      <c r="E6467" s="9" t="str">
        <f aca="false">HYPERLINK("https://twitter.com/DJJC137/status/922397756198547457","922397756198547457")</f>
        <v>922397756198547457</v>
      </c>
      <c r="F6467" s="10" t="s">
        <v>39</v>
      </c>
      <c r="G6467" s="10" t="n">
        <v>3286</v>
      </c>
      <c r="H6467" s="10" t="n">
        <v>4998</v>
      </c>
      <c r="I6467" s="10" t="n">
        <v>0</v>
      </c>
      <c r="J6467" s="10" t="n">
        <v>0</v>
      </c>
      <c r="K6467" s="10" t="s">
        <v>20</v>
      </c>
      <c r="L6467" s="11" t="n">
        <v>42743.8081018519</v>
      </c>
      <c r="M6467" s="12" t="s">
        <v>11253</v>
      </c>
      <c r="N6467" s="12" t="s">
        <v>11254</v>
      </c>
      <c r="O6467" s="9" t="str">
        <f aca="false">HYPERLINK("https://pbs.twimg.com/profile_images/825181412647014401/vKHYFehN_normal.jpg","View")</f>
        <v>View</v>
      </c>
      <c r="P6467" s="10"/>
    </row>
    <row r="6468" customFormat="false" ht="15.75" hidden="false" customHeight="false" outlineLevel="0" collapsed="false">
      <c r="A6468" s="6" t="n">
        <v>43031.1127662037</v>
      </c>
      <c r="B6468" s="7" t="str">
        <f aca="false">HYPERLINK("https://twitter.com/PaginaNuova","@PaginaNuova")</f>
        <v>@PaginaNuova</v>
      </c>
      <c r="C6468" s="8" t="s">
        <v>991</v>
      </c>
      <c r="D6468" s="8" t="s">
        <v>14733</v>
      </c>
      <c r="E6468" s="9" t="str">
        <f aca="false">HYPERLINK("https://twitter.com/PaginaNuova/status/922397784183115776","922397784183115776")</f>
        <v>922397784183115776</v>
      </c>
      <c r="F6468" s="10" t="s">
        <v>60</v>
      </c>
      <c r="G6468" s="10" t="n">
        <v>1162</v>
      </c>
      <c r="H6468" s="10" t="n">
        <v>512</v>
      </c>
      <c r="I6468" s="10" t="n">
        <v>0</v>
      </c>
      <c r="J6468" s="10" t="n">
        <v>0</v>
      </c>
      <c r="K6468" s="10" t="s">
        <v>20</v>
      </c>
      <c r="L6468" s="11" t="n">
        <v>39795.7385416667</v>
      </c>
      <c r="M6468" s="12" t="s">
        <v>993</v>
      </c>
      <c r="N6468" s="12" t="s">
        <v>994</v>
      </c>
      <c r="O6468" s="9" t="str">
        <f aca="false">HYPERLINK("https://pbs.twimg.com/profile_images/733085909457993728/CNCcL-S7_normal.jpg","View")</f>
        <v>View</v>
      </c>
      <c r="P6468" s="10"/>
    </row>
    <row r="6469" customFormat="false" ht="15.75" hidden="false" customHeight="false" outlineLevel="0" collapsed="false">
      <c r="A6469" s="6" t="n">
        <v>43031.1134143519</v>
      </c>
      <c r="B6469" s="7" t="str">
        <f aca="false">HYPERLINK("https://twitter.com/sitifatimahnet","@sitifatimahnet")</f>
        <v>@sitifatimahnet</v>
      </c>
      <c r="C6469" s="8" t="s">
        <v>11184</v>
      </c>
      <c r="D6469" s="8" t="s">
        <v>14734</v>
      </c>
      <c r="E6469" s="9" t="str">
        <f aca="false">HYPERLINK("https://twitter.com/sitifatimahnet/status/922398016513986560","922398016513986560")</f>
        <v>922398016513986560</v>
      </c>
      <c r="F6469" s="10" t="s">
        <v>60</v>
      </c>
      <c r="G6469" s="10" t="n">
        <v>312</v>
      </c>
      <c r="H6469" s="10" t="n">
        <v>27</v>
      </c>
      <c r="I6469" s="10" t="n">
        <v>0</v>
      </c>
      <c r="J6469" s="10" t="n">
        <v>0</v>
      </c>
      <c r="K6469" s="10" t="s">
        <v>20</v>
      </c>
      <c r="L6469" s="11" t="n">
        <v>42698.4371990741</v>
      </c>
      <c r="M6469" s="12" t="s">
        <v>11186</v>
      </c>
      <c r="N6469" s="12" t="s">
        <v>11187</v>
      </c>
      <c r="O6469" s="9" t="str">
        <f aca="false">HYPERLINK("https://pbs.twimg.com/profile_images/897683241594912769/-rSDzg9T_normal.jpg","View")</f>
        <v>View</v>
      </c>
      <c r="P6469" s="10"/>
    </row>
    <row r="6470" customFormat="false" ht="15.75" hidden="false" customHeight="false" outlineLevel="0" collapsed="false">
      <c r="A6470" s="6" t="n">
        <v>43031.1134259259</v>
      </c>
      <c r="B6470" s="7" t="str">
        <f aca="false">HYPERLINK("https://twitter.com/sitifatimahnet","@sitifatimahnet")</f>
        <v>@sitifatimahnet</v>
      </c>
      <c r="C6470" s="8" t="s">
        <v>11184</v>
      </c>
      <c r="D6470" s="8" t="s">
        <v>14735</v>
      </c>
      <c r="E6470" s="9" t="str">
        <f aca="false">HYPERLINK("https://twitter.com/sitifatimahnet/status/922398021366833152","922398021366833152")</f>
        <v>922398021366833152</v>
      </c>
      <c r="F6470" s="10" t="s">
        <v>60</v>
      </c>
      <c r="G6470" s="10" t="n">
        <v>312</v>
      </c>
      <c r="H6470" s="10" t="n">
        <v>27</v>
      </c>
      <c r="I6470" s="10" t="n">
        <v>0</v>
      </c>
      <c r="J6470" s="10" t="n">
        <v>0</v>
      </c>
      <c r="K6470" s="10" t="s">
        <v>20</v>
      </c>
      <c r="L6470" s="11" t="n">
        <v>42698.4371990741</v>
      </c>
      <c r="M6470" s="12" t="s">
        <v>11186</v>
      </c>
      <c r="N6470" s="12" t="s">
        <v>11187</v>
      </c>
      <c r="O6470" s="9" t="str">
        <f aca="false">HYPERLINK("https://pbs.twimg.com/profile_images/897683241594912769/-rSDzg9T_normal.jpg","View")</f>
        <v>View</v>
      </c>
      <c r="P6470" s="10"/>
    </row>
    <row r="6471" customFormat="false" ht="15.75" hidden="false" customHeight="false" outlineLevel="0" collapsed="false">
      <c r="A6471" s="6" t="n">
        <v>43031.1134837963</v>
      </c>
      <c r="B6471" s="7" t="str">
        <f aca="false">HYPERLINK("https://twitter.com/GiroCarlo","@GiroCarlo")</f>
        <v>@GiroCarlo</v>
      </c>
      <c r="C6471" s="8" t="s">
        <v>14736</v>
      </c>
      <c r="D6471" s="8" t="s">
        <v>14737</v>
      </c>
      <c r="E6471" s="9" t="str">
        <f aca="false">HYPERLINK("https://twitter.com/GiroCarlo/status/922398041923039232","922398041923039232")</f>
        <v>922398041923039232</v>
      </c>
      <c r="F6471" s="10" t="s">
        <v>39</v>
      </c>
      <c r="G6471" s="10" t="n">
        <v>47</v>
      </c>
      <c r="H6471" s="10" t="n">
        <v>403</v>
      </c>
      <c r="I6471" s="10" t="n">
        <v>4</v>
      </c>
      <c r="J6471" s="10" t="n">
        <v>0</v>
      </c>
      <c r="K6471" s="10" t="s">
        <v>20</v>
      </c>
      <c r="L6471" s="11" t="n">
        <v>41835.5479050926</v>
      </c>
      <c r="M6471" s="12" t="s">
        <v>1168</v>
      </c>
      <c r="N6471" s="12" t="s">
        <v>14738</v>
      </c>
      <c r="O6471" s="9" t="str">
        <f aca="false">HYPERLINK("https://abs.twimg.com/sticky/default_profile_images/default_profile_normal.png","View")</f>
        <v>View</v>
      </c>
      <c r="P6471" s="10"/>
    </row>
    <row r="6472" customFormat="false" ht="15.75" hidden="false" customHeight="false" outlineLevel="0" collapsed="false">
      <c r="A6472" s="6" t="n">
        <v>43031.1136111111</v>
      </c>
      <c r="B6472" s="7" t="str">
        <f aca="false">HYPERLINK("https://twitter.com/newsly","@newsly")</f>
        <v>@newsly</v>
      </c>
      <c r="C6472" s="8" t="s">
        <v>1281</v>
      </c>
      <c r="D6472" s="8" t="s">
        <v>14739</v>
      </c>
      <c r="E6472" s="9" t="str">
        <f aca="false">HYPERLINK("https://twitter.com/newsly/status/922398089327071233","922398089327071233")</f>
        <v>922398089327071233</v>
      </c>
      <c r="F6472" s="10" t="s">
        <v>60</v>
      </c>
      <c r="G6472" s="10" t="n">
        <v>313</v>
      </c>
      <c r="H6472" s="10" t="n">
        <v>2</v>
      </c>
      <c r="I6472" s="10" t="n">
        <v>0</v>
      </c>
      <c r="J6472" s="10" t="n">
        <v>0</v>
      </c>
      <c r="K6472" s="10" t="s">
        <v>20</v>
      </c>
      <c r="L6472" s="11" t="n">
        <v>42393.464224537</v>
      </c>
      <c r="M6472" s="12" t="s">
        <v>203</v>
      </c>
      <c r="N6472" s="12" t="s">
        <v>1283</v>
      </c>
      <c r="O6472" s="9" t="str">
        <f aca="false">HYPERLINK("https://pbs.twimg.com/profile_images/776195317549105152/HsppNplW_normal.jpg","View")</f>
        <v>View</v>
      </c>
      <c r="P6472" s="10"/>
    </row>
    <row r="6473" customFormat="false" ht="15.75" hidden="false" customHeight="false" outlineLevel="0" collapsed="false">
      <c r="A6473" s="6" t="n">
        <v>43031.113912037</v>
      </c>
      <c r="B6473" s="7" t="str">
        <f aca="false">HYPERLINK("https://twitter.com/Wealth_FM","@Wealth_FM")</f>
        <v>@Wealth_FM</v>
      </c>
      <c r="C6473" s="8" t="s">
        <v>14740</v>
      </c>
      <c r="D6473" s="8" t="s">
        <v>14741</v>
      </c>
      <c r="E6473" s="9" t="str">
        <f aca="false">HYPERLINK("https://twitter.com/Wealth_FM/status/922398196998873089","922398196998873089")</f>
        <v>922398196998873089</v>
      </c>
      <c r="F6473" s="10" t="s">
        <v>39</v>
      </c>
      <c r="G6473" s="10" t="n">
        <v>135</v>
      </c>
      <c r="H6473" s="10" t="n">
        <v>239</v>
      </c>
      <c r="I6473" s="10" t="n">
        <v>6</v>
      </c>
      <c r="J6473" s="10" t="n">
        <v>0</v>
      </c>
      <c r="K6473" s="10" t="s">
        <v>20</v>
      </c>
      <c r="L6473" s="11" t="n">
        <v>42808.9661689815</v>
      </c>
      <c r="M6473" s="12" t="s">
        <v>14742</v>
      </c>
      <c r="N6473" s="12" t="s">
        <v>14743</v>
      </c>
      <c r="O6473" s="9" t="str">
        <f aca="false">HYPERLINK("https://pbs.twimg.com/profile_images/841896867587866624/oywl8sKi_normal.jpg","View")</f>
        <v>View</v>
      </c>
      <c r="P6473" s="10"/>
    </row>
    <row r="6474" customFormat="false" ht="15.75" hidden="false" customHeight="false" outlineLevel="0" collapsed="false">
      <c r="A6474" s="6" t="n">
        <v>43031.1140277778</v>
      </c>
      <c r="B6474" s="7" t="str">
        <f aca="false">HYPERLINK("https://twitter.com/TopFiveTraders","@TopFiveTraders")</f>
        <v>@TopFiveTraders</v>
      </c>
      <c r="C6474" s="8" t="s">
        <v>321</v>
      </c>
      <c r="D6474" s="8" t="s">
        <v>14744</v>
      </c>
      <c r="E6474" s="9" t="str">
        <f aca="false">HYPERLINK("https://twitter.com/TopFiveTraders/status/922398238593908737","922398238593908737")</f>
        <v>922398238593908737</v>
      </c>
      <c r="F6474" s="10" t="s">
        <v>60</v>
      </c>
      <c r="G6474" s="10" t="n">
        <v>8181</v>
      </c>
      <c r="H6474" s="10" t="n">
        <v>6774</v>
      </c>
      <c r="I6474" s="10" t="n">
        <v>1</v>
      </c>
      <c r="J6474" s="10" t="n">
        <v>0</v>
      </c>
      <c r="K6474" s="10" t="s">
        <v>20</v>
      </c>
      <c r="L6474" s="11" t="n">
        <v>41573.4842013889</v>
      </c>
      <c r="M6474" s="12" t="s">
        <v>323</v>
      </c>
      <c r="N6474" s="12" t="s">
        <v>324</v>
      </c>
      <c r="O6474" s="9" t="str">
        <f aca="false">HYPERLINK("https://pbs.twimg.com/profile_images/729113141444026370/hi202Ffp_normal.jpg","View")</f>
        <v>View</v>
      </c>
      <c r="P6474" s="10"/>
    </row>
    <row r="6475" customFormat="false" ht="15.75" hidden="false" customHeight="false" outlineLevel="0" collapsed="false">
      <c r="A6475" s="6" t="n">
        <v>43031.1140972222</v>
      </c>
      <c r="B6475" s="7" t="str">
        <f aca="false">HYPERLINK("https://twitter.com/alanatpaterra","@alanatpaterra")</f>
        <v>@alanatpaterra</v>
      </c>
      <c r="C6475" s="8" t="s">
        <v>14745</v>
      </c>
      <c r="D6475" s="8" t="s">
        <v>14746</v>
      </c>
      <c r="E6475" s="9" t="str">
        <f aca="false">HYPERLINK("https://twitter.com/alanatpaterra/status/922398264455860224","922398264455860224")</f>
        <v>922398264455860224</v>
      </c>
      <c r="F6475" s="10" t="s">
        <v>39</v>
      </c>
      <c r="G6475" s="10" t="n">
        <v>434</v>
      </c>
      <c r="H6475" s="10" t="n">
        <v>353</v>
      </c>
      <c r="I6475" s="10" t="n">
        <v>0</v>
      </c>
      <c r="J6475" s="10" t="n">
        <v>0</v>
      </c>
      <c r="K6475" s="10" t="s">
        <v>20</v>
      </c>
      <c r="L6475" s="11" t="n">
        <v>39917.6477199074</v>
      </c>
      <c r="M6475" s="12" t="s">
        <v>574</v>
      </c>
      <c r="N6475" s="12" t="s">
        <v>14747</v>
      </c>
      <c r="O6475" s="9" t="str">
        <f aca="false">HYPERLINK("https://pbs.twimg.com/profile_images/819387066525986816/hoPDkB6Q_normal.jpg","View")</f>
        <v>View</v>
      </c>
      <c r="P6475" s="10"/>
    </row>
    <row r="6476" customFormat="false" ht="15.75" hidden="false" customHeight="false" outlineLevel="0" collapsed="false">
      <c r="A6476" s="6" t="n">
        <v>43031.1142013889</v>
      </c>
      <c r="B6476" s="7" t="str">
        <f aca="false">HYPERLINK("https://twitter.com/hawken_john","@hawken_john")</f>
        <v>@hawken_john</v>
      </c>
      <c r="C6476" s="8" t="s">
        <v>14748</v>
      </c>
      <c r="D6476" s="8" t="s">
        <v>14466</v>
      </c>
      <c r="E6476" s="9" t="str">
        <f aca="false">HYPERLINK("https://twitter.com/hawken_john/status/922398304570302464","922398304570302464")</f>
        <v>922398304570302464</v>
      </c>
      <c r="F6476" s="10" t="s">
        <v>25</v>
      </c>
      <c r="G6476" s="10" t="n">
        <v>32</v>
      </c>
      <c r="H6476" s="10" t="n">
        <v>39</v>
      </c>
      <c r="I6476" s="10" t="n">
        <v>51</v>
      </c>
      <c r="J6476" s="10" t="n">
        <v>0</v>
      </c>
      <c r="K6476" s="10" t="s">
        <v>20</v>
      </c>
      <c r="L6476" s="11" t="n">
        <v>41933.8506365741</v>
      </c>
      <c r="M6476" s="12"/>
      <c r="N6476" s="12"/>
      <c r="O6476" s="9" t="str">
        <f aca="false">HYPERLINK("https://pbs.twimg.com/profile_images/524803617891438593/2lvoIzds_normal.jpeg","View")</f>
        <v>View</v>
      </c>
      <c r="P6476" s="10"/>
    </row>
    <row r="6477" customFormat="false" ht="15.75" hidden="false" customHeight="false" outlineLevel="0" collapsed="false">
      <c r="A6477" s="6" t="n">
        <v>43031.1147916667</v>
      </c>
      <c r="B6477" s="7" t="str">
        <f aca="false">HYPERLINK("https://twitter.com/akshaychandorka","@akshaychandorka")</f>
        <v>@akshaychandorka</v>
      </c>
      <c r="C6477" s="8" t="s">
        <v>14749</v>
      </c>
      <c r="D6477" s="8" t="s">
        <v>8538</v>
      </c>
      <c r="E6477" s="9" t="str">
        <f aca="false">HYPERLINK("https://twitter.com/akshaychandorka/status/922398515694731264","922398515694731264")</f>
        <v>922398515694731264</v>
      </c>
      <c r="F6477" s="10" t="s">
        <v>25</v>
      </c>
      <c r="G6477" s="10" t="n">
        <v>702</v>
      </c>
      <c r="H6477" s="10" t="n">
        <v>166</v>
      </c>
      <c r="I6477" s="10" t="n">
        <v>1015</v>
      </c>
      <c r="J6477" s="10" t="n">
        <v>0</v>
      </c>
      <c r="K6477" s="10" t="s">
        <v>20</v>
      </c>
      <c r="L6477" s="11" t="n">
        <v>40780.1312731481</v>
      </c>
      <c r="M6477" s="12"/>
      <c r="N6477" s="12"/>
      <c r="O6477" s="9" t="str">
        <f aca="false">HYPERLINK("https://pbs.twimg.com/profile_images/900599926819704832/AgzQHIYg_normal.jpg","View")</f>
        <v>View</v>
      </c>
      <c r="P6477" s="10"/>
    </row>
    <row r="6478" customFormat="false" ht="15.75" hidden="false" customHeight="false" outlineLevel="0" collapsed="false">
      <c r="A6478" s="6" t="n">
        <v>43031.114837963</v>
      </c>
      <c r="B6478" s="7" t="str">
        <f aca="false">HYPERLINK("https://twitter.com/TFTCS","@TFTCS")</f>
        <v>@TFTCS</v>
      </c>
      <c r="C6478" s="8" t="s">
        <v>338</v>
      </c>
      <c r="D6478" s="8" t="s">
        <v>14750</v>
      </c>
      <c r="E6478" s="9" t="str">
        <f aca="false">HYPERLINK("https://twitter.com/TFTCS/status/922398534019805184","922398534019805184")</f>
        <v>922398534019805184</v>
      </c>
      <c r="F6478" s="10" t="s">
        <v>60</v>
      </c>
      <c r="G6478" s="10" t="n">
        <v>4435</v>
      </c>
      <c r="H6478" s="10" t="n">
        <v>4613</v>
      </c>
      <c r="I6478" s="10" t="n">
        <v>0</v>
      </c>
      <c r="J6478" s="10" t="n">
        <v>0</v>
      </c>
      <c r="K6478" s="10" t="s">
        <v>20</v>
      </c>
      <c r="L6478" s="11" t="n">
        <v>41868.7681018518</v>
      </c>
      <c r="M6478" s="12" t="s">
        <v>340</v>
      </c>
      <c r="N6478" s="12" t="s">
        <v>341</v>
      </c>
      <c r="O6478" s="9" t="str">
        <f aca="false">HYPERLINK("https://pbs.twimg.com/profile_images/736027772800368640/DdLGgNNU_normal.jpg","View")</f>
        <v>View</v>
      </c>
      <c r="P6478" s="10"/>
    </row>
    <row r="6479" customFormat="false" ht="15.75" hidden="false" customHeight="false" outlineLevel="0" collapsed="false">
      <c r="A6479" s="6" t="n">
        <v>43031.1149652778</v>
      </c>
      <c r="B6479" s="7" t="str">
        <f aca="false">HYPERLINK("https://twitter.com/Jochen_mn","@Jochen_mn")</f>
        <v>@Jochen_mn</v>
      </c>
      <c r="C6479" s="8" t="s">
        <v>14751</v>
      </c>
      <c r="D6479" s="8" t="s">
        <v>14741</v>
      </c>
      <c r="E6479" s="9" t="str">
        <f aca="false">HYPERLINK("https://twitter.com/Jochen_mn/status/922398580165496832","922398580165496832")</f>
        <v>922398580165496832</v>
      </c>
      <c r="F6479" s="10" t="s">
        <v>25</v>
      </c>
      <c r="G6479" s="10" t="n">
        <v>13064</v>
      </c>
      <c r="H6479" s="10" t="n">
        <v>14172</v>
      </c>
      <c r="I6479" s="10" t="n">
        <v>6</v>
      </c>
      <c r="J6479" s="10" t="n">
        <v>0</v>
      </c>
      <c r="K6479" s="10" t="s">
        <v>20</v>
      </c>
      <c r="L6479" s="11" t="n">
        <v>40855.8166782407</v>
      </c>
      <c r="M6479" s="12"/>
      <c r="N6479" s="12" t="s">
        <v>14752</v>
      </c>
      <c r="O6479" s="9" t="str">
        <f aca="false">HYPERLINK("https://pbs.twimg.com/profile_images/902515969473503232/64jbHjD0_normal.jpg","View")</f>
        <v>View</v>
      </c>
      <c r="P6479" s="10"/>
    </row>
    <row r="6480" customFormat="false" ht="15.75" hidden="false" customHeight="false" outlineLevel="0" collapsed="false">
      <c r="A6480" s="6" t="n">
        <v>43031.1151157407</v>
      </c>
      <c r="B6480" s="7" t="str">
        <f aca="false">HYPERLINK("https://twitter.com/BagchiGorakhpur","@BagchiGorakhpur")</f>
        <v>@BagchiGorakhpur</v>
      </c>
      <c r="C6480" s="8" t="s">
        <v>14753</v>
      </c>
      <c r="D6480" s="8" t="s">
        <v>8538</v>
      </c>
      <c r="E6480" s="9" t="str">
        <f aca="false">HYPERLINK("https://twitter.com/BagchiGorakhpur/status/922398636297850880","922398636297850880")</f>
        <v>922398636297850880</v>
      </c>
      <c r="F6480" s="10" t="s">
        <v>51</v>
      </c>
      <c r="G6480" s="10" t="n">
        <v>789</v>
      </c>
      <c r="H6480" s="10" t="n">
        <v>965</v>
      </c>
      <c r="I6480" s="10" t="n">
        <v>1015</v>
      </c>
      <c r="J6480" s="10" t="n">
        <v>0</v>
      </c>
      <c r="K6480" s="10" t="s">
        <v>20</v>
      </c>
      <c r="L6480" s="11" t="n">
        <v>40354.3187384259</v>
      </c>
      <c r="M6480" s="12" t="s">
        <v>14754</v>
      </c>
      <c r="N6480" s="12" t="s">
        <v>14755</v>
      </c>
      <c r="O6480" s="9" t="str">
        <f aca="false">HYPERLINK("https://pbs.twimg.com/profile_images/797854947501109248/BZIiCaPG_normal.jpg","View")</f>
        <v>View</v>
      </c>
      <c r="P6480" s="10"/>
    </row>
    <row r="6481" customFormat="false" ht="15.75" hidden="false" customHeight="false" outlineLevel="0" collapsed="false">
      <c r="A6481" s="6" t="n">
        <v>43031.115150463</v>
      </c>
      <c r="B6481" s="7" t="str">
        <f aca="false">HYPERLINK("https://twitter.com/emet_news_press","@emet_news_press")</f>
        <v>@emet_news_press</v>
      </c>
      <c r="C6481" s="8" t="s">
        <v>1141</v>
      </c>
      <c r="D6481" s="8" t="s">
        <v>14756</v>
      </c>
      <c r="E6481" s="9" t="str">
        <f aca="false">HYPERLINK("https://twitter.com/emet_news_press/status/922398646691356674","922398646691356674")</f>
        <v>922398646691356674</v>
      </c>
      <c r="F6481" s="10" t="s">
        <v>110</v>
      </c>
      <c r="G6481" s="10" t="n">
        <v>14266</v>
      </c>
      <c r="H6481" s="10" t="n">
        <v>3082</v>
      </c>
      <c r="I6481" s="10" t="n">
        <v>0</v>
      </c>
      <c r="J6481" s="10" t="n">
        <v>0</v>
      </c>
      <c r="K6481" s="10" t="s">
        <v>20</v>
      </c>
      <c r="L6481" s="11" t="n">
        <v>42457.1097685185</v>
      </c>
      <c r="M6481" s="12" t="s">
        <v>1143</v>
      </c>
      <c r="N6481" s="12" t="s">
        <v>1144</v>
      </c>
      <c r="O6481" s="9" t="str">
        <f aca="false">HYPERLINK("https://pbs.twimg.com/profile_images/867494379308687362/en57rgx2_normal.jpg","View")</f>
        <v>View</v>
      </c>
      <c r="P6481" s="10"/>
    </row>
    <row r="6482" customFormat="false" ht="15.75" hidden="false" customHeight="false" outlineLevel="0" collapsed="false">
      <c r="A6482" s="6" t="n">
        <v>43031.1152199074</v>
      </c>
      <c r="B6482" s="7" t="str">
        <f aca="false">HYPERLINK("https://twitter.com/Wealth_FM","@Wealth_FM")</f>
        <v>@Wealth_FM</v>
      </c>
      <c r="C6482" s="8" t="s">
        <v>14740</v>
      </c>
      <c r="D6482" s="8" t="s">
        <v>14757</v>
      </c>
      <c r="E6482" s="9" t="str">
        <f aca="false">HYPERLINK("https://twitter.com/Wealth_FM/status/922398672314187777","922398672314187777")</f>
        <v>922398672314187777</v>
      </c>
      <c r="F6482" s="10" t="s">
        <v>39</v>
      </c>
      <c r="G6482" s="10" t="n">
        <v>135</v>
      </c>
      <c r="H6482" s="10" t="n">
        <v>239</v>
      </c>
      <c r="I6482" s="10" t="n">
        <v>1</v>
      </c>
      <c r="J6482" s="10" t="n">
        <v>0</v>
      </c>
      <c r="K6482" s="10" t="s">
        <v>20</v>
      </c>
      <c r="L6482" s="11" t="n">
        <v>42808.9661689815</v>
      </c>
      <c r="M6482" s="12" t="s">
        <v>14742</v>
      </c>
      <c r="N6482" s="12" t="s">
        <v>14743</v>
      </c>
      <c r="O6482" s="9" t="str">
        <f aca="false">HYPERLINK("https://pbs.twimg.com/profile_images/841896867587866624/oywl8sKi_normal.jpg","View")</f>
        <v>View</v>
      </c>
      <c r="P6482" s="10"/>
    </row>
    <row r="6483" customFormat="false" ht="15.75" hidden="false" customHeight="false" outlineLevel="0" collapsed="false">
      <c r="A6483" s="6" t="n">
        <v>43031.1154513889</v>
      </c>
      <c r="B6483" s="7" t="str">
        <f aca="false">HYPERLINK("https://twitter.com/MoeedNj","@MoeedNj")</f>
        <v>@MoeedNj</v>
      </c>
      <c r="C6483" s="8" t="s">
        <v>14758</v>
      </c>
      <c r="D6483" s="8" t="s">
        <v>14676</v>
      </c>
      <c r="E6483" s="9" t="str">
        <f aca="false">HYPERLINK("https://twitter.com/MoeedNj/status/922398758289240069","922398758289240069")</f>
        <v>922398758289240069</v>
      </c>
      <c r="F6483" s="10" t="s">
        <v>39</v>
      </c>
      <c r="G6483" s="10" t="n">
        <v>1448544</v>
      </c>
      <c r="H6483" s="10" t="n">
        <v>723</v>
      </c>
      <c r="I6483" s="10" t="n">
        <v>6</v>
      </c>
      <c r="J6483" s="10" t="n">
        <v>0</v>
      </c>
      <c r="K6483" s="10" t="s">
        <v>20</v>
      </c>
      <c r="L6483" s="11" t="n">
        <v>41040.5871412037</v>
      </c>
      <c r="M6483" s="12" t="s">
        <v>9347</v>
      </c>
      <c r="N6483" s="12" t="s">
        <v>14759</v>
      </c>
      <c r="O6483" s="9" t="str">
        <f aca="false">HYPERLINK("https://pbs.twimg.com/profile_images/2218850823/Dr._Moeed_Pirzada_normal.jpg","View")</f>
        <v>View</v>
      </c>
      <c r="P6483" s="10"/>
    </row>
    <row r="6484" customFormat="false" ht="15.75" hidden="false" customHeight="false" outlineLevel="0" collapsed="false">
      <c r="A6484" s="6" t="n">
        <v>43031.1155787037</v>
      </c>
      <c r="B6484" s="7" t="str">
        <f aca="false">HYPERLINK("https://twitter.com/Apocrifos","@Apocrifos")</f>
        <v>@Apocrifos</v>
      </c>
      <c r="C6484" s="8" t="s">
        <v>1297</v>
      </c>
      <c r="D6484" s="8" t="s">
        <v>14739</v>
      </c>
      <c r="E6484" s="9" t="str">
        <f aca="false">HYPERLINK("https://twitter.com/Apocrifos/status/922398803252187137","922398803252187137")</f>
        <v>922398803252187137</v>
      </c>
      <c r="F6484" s="10" t="s">
        <v>60</v>
      </c>
      <c r="G6484" s="10" t="n">
        <v>777</v>
      </c>
      <c r="H6484" s="10" t="n">
        <v>508</v>
      </c>
      <c r="I6484" s="10" t="n">
        <v>0</v>
      </c>
      <c r="J6484" s="10" t="n">
        <v>0</v>
      </c>
      <c r="K6484" s="10" t="s">
        <v>20</v>
      </c>
      <c r="L6484" s="11" t="n">
        <v>39961.4268287037</v>
      </c>
      <c r="M6484" s="12" t="s">
        <v>551</v>
      </c>
      <c r="N6484" s="12" t="s">
        <v>1299</v>
      </c>
      <c r="O6484" s="9" t="str">
        <f aca="false">HYPERLINK("https://pbs.twimg.com/profile_images/3672960453/ea0d6104e1c4773a26d48d5437e962d8_normal.jpeg","View")</f>
        <v>View</v>
      </c>
      <c r="P6484" s="10"/>
    </row>
    <row r="6485" customFormat="false" ht="15.75" hidden="false" customHeight="false" outlineLevel="0" collapsed="false">
      <c r="A6485" s="6" t="n">
        <v>43031.1158680556</v>
      </c>
      <c r="B6485" s="7" t="str">
        <f aca="false">HYPERLINK("https://twitter.com/McHarryboyy","@McHarryboyy")</f>
        <v>@McHarryboyy</v>
      </c>
      <c r="C6485" s="8" t="s">
        <v>13348</v>
      </c>
      <c r="D6485" s="8" t="s">
        <v>14760</v>
      </c>
      <c r="E6485" s="9" t="str">
        <f aca="false">HYPERLINK("https://twitter.com/McHarryboyy/status/922398908806057984","922398908806057984")</f>
        <v>922398908806057984</v>
      </c>
      <c r="F6485" s="10" t="s">
        <v>55</v>
      </c>
      <c r="G6485" s="10" t="n">
        <v>351</v>
      </c>
      <c r="H6485" s="10" t="n">
        <v>447</v>
      </c>
      <c r="I6485" s="10" t="n">
        <v>0</v>
      </c>
      <c r="J6485" s="10" t="n">
        <v>0</v>
      </c>
      <c r="K6485" s="10" t="s">
        <v>20</v>
      </c>
      <c r="L6485" s="11" t="n">
        <v>40965.9512615741</v>
      </c>
      <c r="M6485" s="12" t="s">
        <v>13350</v>
      </c>
      <c r="N6485" s="12" t="s">
        <v>13351</v>
      </c>
      <c r="O6485" s="9" t="str">
        <f aca="false">HYPERLINK("https://pbs.twimg.com/profile_images/742452919866396672/KrreM7Hd_normal.jpg","View")</f>
        <v>View</v>
      </c>
      <c r="P6485" s="10"/>
    </row>
    <row r="6486" customFormat="false" ht="15.75" hidden="false" customHeight="false" outlineLevel="0" collapsed="false">
      <c r="A6486" s="6" t="n">
        <v>43031.1162615741</v>
      </c>
      <c r="B6486" s="7" t="str">
        <f aca="false">HYPERLINK("https://twitter.com/CNBCTradersFan","@CNBCTradersFan")</f>
        <v>@CNBCTradersFan</v>
      </c>
      <c r="C6486" s="8" t="s">
        <v>325</v>
      </c>
      <c r="D6486" s="8" t="s">
        <v>14761</v>
      </c>
      <c r="E6486" s="9" t="str">
        <f aca="false">HYPERLINK("https://twitter.com/CNBCTradersFan/status/922399051102019585","922399051102019585")</f>
        <v>922399051102019585</v>
      </c>
      <c r="F6486" s="10" t="s">
        <v>60</v>
      </c>
      <c r="G6486" s="10" t="n">
        <v>17155</v>
      </c>
      <c r="H6486" s="10" t="n">
        <v>11641</v>
      </c>
      <c r="I6486" s="10" t="n">
        <v>0</v>
      </c>
      <c r="J6486" s="10" t="n">
        <v>0</v>
      </c>
      <c r="K6486" s="10" t="s">
        <v>20</v>
      </c>
      <c r="L6486" s="11" t="n">
        <v>40922.5054282407</v>
      </c>
      <c r="M6486" s="12" t="s">
        <v>327</v>
      </c>
      <c r="N6486" s="12" t="s">
        <v>328</v>
      </c>
      <c r="O6486" s="9" t="str">
        <f aca="false">HYPERLINK("https://pbs.twimg.com/profile_images/731870469318684672/Ckf7rDdJ_normal.jpg","View")</f>
        <v>View</v>
      </c>
      <c r="P6486" s="10"/>
    </row>
    <row r="6487" customFormat="false" ht="15.75" hidden="false" customHeight="false" outlineLevel="0" collapsed="false">
      <c r="A6487" s="6" t="n">
        <v>43031.1163078704</v>
      </c>
      <c r="B6487" s="7" t="str">
        <f aca="false">HYPERLINK("https://twitter.com/standardnews","@standardnews")</f>
        <v>@standardnews</v>
      </c>
      <c r="C6487" s="8" t="s">
        <v>14762</v>
      </c>
      <c r="D6487" s="8" t="s">
        <v>14763</v>
      </c>
      <c r="E6487" s="9" t="str">
        <f aca="false">HYPERLINK("https://twitter.com/standardnews/status/922399067824705536","922399067824705536")</f>
        <v>922399067824705536</v>
      </c>
      <c r="F6487" s="10" t="s">
        <v>268</v>
      </c>
      <c r="G6487" s="10" t="n">
        <v>560559</v>
      </c>
      <c r="H6487" s="10" t="n">
        <v>889</v>
      </c>
      <c r="I6487" s="10" t="n">
        <v>5</v>
      </c>
      <c r="J6487" s="10" t="n">
        <v>6</v>
      </c>
      <c r="K6487" s="10" t="s">
        <v>20</v>
      </c>
      <c r="L6487" s="11" t="n">
        <v>39939.0744097222</v>
      </c>
      <c r="M6487" s="12" t="s">
        <v>893</v>
      </c>
      <c r="N6487" s="12" t="s">
        <v>14764</v>
      </c>
      <c r="O6487" s="9" t="str">
        <f aca="false">HYPERLINK("https://pbs.twimg.com/profile_images/880423025249837057/nLJje0A8_normal.jpg","View")</f>
        <v>View</v>
      </c>
      <c r="P6487" s="10"/>
    </row>
    <row r="6488" customFormat="false" ht="15.75" hidden="false" customHeight="false" outlineLevel="0" collapsed="false">
      <c r="A6488" s="6" t="n">
        <v>43031.1164351852</v>
      </c>
      <c r="B6488" s="7" t="str">
        <f aca="false">HYPERLINK("https://twitter.com/MoneyWeek","@MoneyWeek")</f>
        <v>@MoneyWeek</v>
      </c>
      <c r="C6488" s="8" t="s">
        <v>14765</v>
      </c>
      <c r="D6488" s="8" t="s">
        <v>14766</v>
      </c>
      <c r="E6488" s="9" t="str">
        <f aca="false">HYPERLINK("https://twitter.com/MoneyWeek/status/922399111671877634","922399111671877634")</f>
        <v>922399111671877634</v>
      </c>
      <c r="F6488" s="10" t="s">
        <v>110</v>
      </c>
      <c r="G6488" s="10" t="n">
        <v>19402</v>
      </c>
      <c r="H6488" s="10" t="n">
        <v>293</v>
      </c>
      <c r="I6488" s="10" t="n">
        <v>4</v>
      </c>
      <c r="J6488" s="10" t="n">
        <v>2</v>
      </c>
      <c r="K6488" s="10" t="s">
        <v>20</v>
      </c>
      <c r="L6488" s="11" t="n">
        <v>39798.0438194444</v>
      </c>
      <c r="M6488" s="12" t="s">
        <v>893</v>
      </c>
      <c r="N6488" s="12" t="s">
        <v>14767</v>
      </c>
      <c r="O6488" s="9" t="str">
        <f aca="false">HYPERLINK("https://pbs.twimg.com/profile_images/648856894434607104/gO3YexCh_normal.png","View")</f>
        <v>View</v>
      </c>
      <c r="P6488" s="10"/>
    </row>
    <row r="6489" customFormat="false" ht="15.75" hidden="false" customHeight="false" outlineLevel="0" collapsed="false">
      <c r="A6489" s="6" t="n">
        <v>43031.1164930556</v>
      </c>
      <c r="B6489" s="7" t="str">
        <f aca="false">HYPERLINK("https://twitter.com/sandeepms3","@sandeepms3")</f>
        <v>@sandeepms3</v>
      </c>
      <c r="C6489" s="8" t="s">
        <v>14768</v>
      </c>
      <c r="D6489" s="8" t="s">
        <v>8538</v>
      </c>
      <c r="E6489" s="9" t="str">
        <f aca="false">HYPERLINK("https://twitter.com/sandeepms3/status/922399134039998464","922399134039998464")</f>
        <v>922399134039998464</v>
      </c>
      <c r="F6489" s="10" t="s">
        <v>25</v>
      </c>
      <c r="G6489" s="10" t="n">
        <v>55</v>
      </c>
      <c r="H6489" s="10" t="n">
        <v>355</v>
      </c>
      <c r="I6489" s="10" t="n">
        <v>1015</v>
      </c>
      <c r="J6489" s="10" t="n">
        <v>0</v>
      </c>
      <c r="K6489" s="10" t="s">
        <v>20</v>
      </c>
      <c r="L6489" s="11" t="n">
        <v>40567.2781597222</v>
      </c>
      <c r="M6489" s="12" t="s">
        <v>14769</v>
      </c>
      <c r="N6489" s="12" t="s">
        <v>14770</v>
      </c>
      <c r="O6489" s="9" t="str">
        <f aca="false">HYPERLINK("https://pbs.twimg.com/profile_images/1226904682/fc_barcelona_normal.jpg","View")</f>
        <v>View</v>
      </c>
      <c r="P6489" s="10"/>
    </row>
    <row r="6490" customFormat="false" ht="15.75" hidden="false" customHeight="false" outlineLevel="0" collapsed="false">
      <c r="A6490" s="6" t="n">
        <v>43031.1165162037</v>
      </c>
      <c r="B6490" s="7" t="str">
        <f aca="false">HYPERLINK("https://twitter.com/sainaaevelyn","@sainaaevelyn")</f>
        <v>@sainaaevelyn</v>
      </c>
      <c r="C6490" s="8" t="s">
        <v>14771</v>
      </c>
      <c r="D6490" s="8" t="s">
        <v>14741</v>
      </c>
      <c r="E6490" s="9" t="str">
        <f aca="false">HYPERLINK("https://twitter.com/sainaaevelyn/status/922399143544340480","922399143544340480")</f>
        <v>922399143544340480</v>
      </c>
      <c r="F6490" s="10" t="s">
        <v>39</v>
      </c>
      <c r="G6490" s="10" t="n">
        <v>9155</v>
      </c>
      <c r="H6490" s="10" t="n">
        <v>4975</v>
      </c>
      <c r="I6490" s="10" t="n">
        <v>6</v>
      </c>
      <c r="J6490" s="10" t="n">
        <v>0</v>
      </c>
      <c r="K6490" s="10" t="s">
        <v>20</v>
      </c>
      <c r="L6490" s="11" t="n">
        <v>42096.0331018518</v>
      </c>
      <c r="M6490" s="12" t="s">
        <v>14772</v>
      </c>
      <c r="N6490" s="12" t="s">
        <v>14773</v>
      </c>
      <c r="O6490" s="9" t="str">
        <f aca="false">HYPERLINK("https://pbs.twimg.com/profile_images/818708099007557632/ot07xbzy_normal.jpg","View")</f>
        <v>View</v>
      </c>
      <c r="P6490" s="10"/>
    </row>
    <row r="6491" customFormat="false" ht="15.75" hidden="false" customHeight="false" outlineLevel="0" collapsed="false">
      <c r="A6491" s="6" t="n">
        <v>43031.1167013889</v>
      </c>
      <c r="B6491" s="7" t="str">
        <f aca="false">HYPERLINK("https://twitter.com/EmmanuelVyronas","@EmmanuelVyronas")</f>
        <v>@EmmanuelVyronas</v>
      </c>
      <c r="C6491" s="8" t="s">
        <v>13764</v>
      </c>
      <c r="D6491" s="8" t="s">
        <v>14774</v>
      </c>
      <c r="E6491" s="9" t="str">
        <f aca="false">HYPERLINK("https://twitter.com/EmmanuelVyronas/status/922399208929398784","922399208929398784")</f>
        <v>922399208929398784</v>
      </c>
      <c r="F6491" s="10" t="s">
        <v>39</v>
      </c>
      <c r="G6491" s="10" t="n">
        <v>464</v>
      </c>
      <c r="H6491" s="10" t="n">
        <v>619</v>
      </c>
      <c r="I6491" s="10" t="n">
        <v>5</v>
      </c>
      <c r="J6491" s="10" t="n">
        <v>0</v>
      </c>
      <c r="K6491" s="10" t="s">
        <v>20</v>
      </c>
      <c r="L6491" s="11" t="n">
        <v>40661.2427893519</v>
      </c>
      <c r="M6491" s="12" t="s">
        <v>13765</v>
      </c>
      <c r="N6491" s="12"/>
      <c r="O6491" s="9" t="str">
        <f aca="false">HYPERLINK("https://pbs.twimg.com/profile_images/913352225593942017/_cjJSgDn_normal.jpg","View")</f>
        <v>View</v>
      </c>
      <c r="P6491" s="10"/>
    </row>
    <row r="6492" customFormat="false" ht="15.75" hidden="false" customHeight="false" outlineLevel="0" collapsed="false">
      <c r="A6492" s="6" t="n">
        <v>43031.1168171296</v>
      </c>
      <c r="B6492" s="7" t="str">
        <f aca="false">HYPERLINK("https://twitter.com/losriley","@losriley")</f>
        <v>@losriley</v>
      </c>
      <c r="C6492" s="8" t="s">
        <v>14775</v>
      </c>
      <c r="D6492" s="8" t="s">
        <v>14774</v>
      </c>
      <c r="E6492" s="9" t="str">
        <f aca="false">HYPERLINK("https://twitter.com/losriley/status/922399252512460800","922399252512460800")</f>
        <v>922399252512460800</v>
      </c>
      <c r="F6492" s="10" t="s">
        <v>39</v>
      </c>
      <c r="G6492" s="10" t="n">
        <v>5952</v>
      </c>
      <c r="H6492" s="10" t="n">
        <v>5437</v>
      </c>
      <c r="I6492" s="10" t="n">
        <v>5</v>
      </c>
      <c r="J6492" s="10" t="n">
        <v>0</v>
      </c>
      <c r="K6492" s="10" t="s">
        <v>20</v>
      </c>
      <c r="L6492" s="11" t="n">
        <v>40363.1982523148</v>
      </c>
      <c r="M6492" s="12" t="s">
        <v>14776</v>
      </c>
      <c r="N6492" s="12" t="s">
        <v>14777</v>
      </c>
      <c r="O6492" s="9" t="str">
        <f aca="false">HYPERLINK("https://pbs.twimg.com/profile_images/807255533350686720/r9fKHy8d_normal.jpg","View")</f>
        <v>View</v>
      </c>
      <c r="P6492" s="10"/>
    </row>
    <row r="6493" customFormat="false" ht="15.75" hidden="false" customHeight="false" outlineLevel="0" collapsed="false">
      <c r="A6493" s="6" t="n">
        <v>43031.1168865741</v>
      </c>
      <c r="B6493" s="7" t="str">
        <f aca="false">HYPERLINK("https://twitter.com/vrai777","@vrai777")</f>
        <v>@vrai777</v>
      </c>
      <c r="C6493" s="8" t="s">
        <v>335</v>
      </c>
      <c r="D6493" s="8" t="s">
        <v>14778</v>
      </c>
      <c r="E6493" s="9" t="str">
        <f aca="false">HYPERLINK("https://twitter.com/vrai777/status/922399276461907970","922399276461907970")</f>
        <v>922399276461907970</v>
      </c>
      <c r="F6493" s="10" t="s">
        <v>60</v>
      </c>
      <c r="G6493" s="10" t="n">
        <v>7959</v>
      </c>
      <c r="H6493" s="10" t="n">
        <v>71</v>
      </c>
      <c r="I6493" s="10" t="n">
        <v>0</v>
      </c>
      <c r="J6493" s="10" t="n">
        <v>0</v>
      </c>
      <c r="K6493" s="10" t="s">
        <v>20</v>
      </c>
      <c r="L6493" s="11" t="n">
        <v>39878.7593287037</v>
      </c>
      <c r="M6493" s="12" t="s">
        <v>295</v>
      </c>
      <c r="N6493" s="12" t="s">
        <v>337</v>
      </c>
      <c r="O6493" s="9" t="str">
        <f aca="false">HYPERLINK("https://pbs.twimg.com/profile_images/688775800284266496/qhWTo08H_normal.png","View")</f>
        <v>View</v>
      </c>
      <c r="P6493" s="10"/>
    </row>
    <row r="6494" customFormat="false" ht="15.75" hidden="false" customHeight="false" outlineLevel="0" collapsed="false">
      <c r="A6494" s="6" t="n">
        <v>43031.1169328704</v>
      </c>
      <c r="B6494" s="7" t="str">
        <f aca="false">HYPERLINK("https://twitter.com/unlewis","@unlewis")</f>
        <v>@unlewis</v>
      </c>
      <c r="C6494" s="8" t="s">
        <v>3038</v>
      </c>
      <c r="D6494" s="8" t="s">
        <v>14721</v>
      </c>
      <c r="E6494" s="9" t="str">
        <f aca="false">HYPERLINK("https://twitter.com/unlewis/status/922399293545242624","922399293545242624")</f>
        <v>922399293545242624</v>
      </c>
      <c r="F6494" s="10" t="s">
        <v>177</v>
      </c>
      <c r="G6494" s="10" t="n">
        <v>2986</v>
      </c>
      <c r="H6494" s="10" t="n">
        <v>2099</v>
      </c>
      <c r="I6494" s="10" t="n">
        <v>3</v>
      </c>
      <c r="J6494" s="10" t="n">
        <v>0</v>
      </c>
      <c r="K6494" s="10" t="s">
        <v>20</v>
      </c>
      <c r="L6494" s="11" t="n">
        <v>41159.8328356482</v>
      </c>
      <c r="M6494" s="12"/>
      <c r="N6494" s="12" t="s">
        <v>3039</v>
      </c>
      <c r="O6494" s="9" t="str">
        <f aca="false">HYPERLINK("https://pbs.twimg.com/profile_images/862117304196255744/4KSB5b7P_normal.jpg","View")</f>
        <v>View</v>
      </c>
      <c r="P6494" s="10"/>
    </row>
    <row r="6495" customFormat="false" ht="15.75" hidden="false" customHeight="false" outlineLevel="0" collapsed="false">
      <c r="A6495" s="6" t="n">
        <v>43031.1169675926</v>
      </c>
      <c r="B6495" s="7" t="str">
        <f aca="false">HYPERLINK("https://twitter.com/TopFiveTraders","@TopFiveTraders")</f>
        <v>@TopFiveTraders</v>
      </c>
      <c r="C6495" s="8" t="s">
        <v>321</v>
      </c>
      <c r="D6495" s="8" t="s">
        <v>14779</v>
      </c>
      <c r="E6495" s="9" t="str">
        <f aca="false">HYPERLINK("https://twitter.com/TopFiveTraders/status/922399304454737921","922399304454737921")</f>
        <v>922399304454737921</v>
      </c>
      <c r="F6495" s="10" t="s">
        <v>60</v>
      </c>
      <c r="G6495" s="10" t="n">
        <v>8181</v>
      </c>
      <c r="H6495" s="10" t="n">
        <v>6774</v>
      </c>
      <c r="I6495" s="10" t="n">
        <v>0</v>
      </c>
      <c r="J6495" s="10" t="n">
        <v>0</v>
      </c>
      <c r="K6495" s="10" t="s">
        <v>20</v>
      </c>
      <c r="L6495" s="11" t="n">
        <v>41573.4842013889</v>
      </c>
      <c r="M6495" s="12" t="s">
        <v>323</v>
      </c>
      <c r="N6495" s="12" t="s">
        <v>324</v>
      </c>
      <c r="O6495" s="9" t="str">
        <f aca="false">HYPERLINK("https://pbs.twimg.com/profile_images/729113141444026370/hi202Ffp_normal.jpg","View")</f>
        <v>View</v>
      </c>
      <c r="P6495" s="10"/>
    </row>
    <row r="6496" customFormat="false" ht="15.75" hidden="false" customHeight="false" outlineLevel="0" collapsed="false">
      <c r="A6496" s="6" t="n">
        <v>43031.1171643518</v>
      </c>
      <c r="B6496" s="7" t="str">
        <f aca="false">HYPERLINK("https://twitter.com/janardan4646","@janardan4646")</f>
        <v>@janardan4646</v>
      </c>
      <c r="C6496" s="8" t="s">
        <v>14780</v>
      </c>
      <c r="D6496" s="8" t="s">
        <v>12398</v>
      </c>
      <c r="E6496" s="9" t="str">
        <f aca="false">HYPERLINK("https://twitter.com/janardan4646/status/922399375824793601","922399375824793601")</f>
        <v>922399375824793601</v>
      </c>
      <c r="F6496" s="10" t="s">
        <v>25</v>
      </c>
      <c r="G6496" s="10" t="n">
        <v>7</v>
      </c>
      <c r="H6496" s="10" t="n">
        <v>109</v>
      </c>
      <c r="I6496" s="10" t="n">
        <v>25</v>
      </c>
      <c r="J6496" s="10" t="n">
        <v>0</v>
      </c>
      <c r="K6496" s="10" t="s">
        <v>20</v>
      </c>
      <c r="L6496" s="11" t="n">
        <v>42986.1021990741</v>
      </c>
      <c r="M6496" s="12" t="s">
        <v>11124</v>
      </c>
      <c r="N6496" s="12" t="s">
        <v>14781</v>
      </c>
      <c r="O6496" s="9" t="str">
        <f aca="false">HYPERLINK("https://pbs.twimg.com/profile_images/918900896842391552/u5TVbyGl_normal.jpg","View")</f>
        <v>View</v>
      </c>
      <c r="P6496" s="10"/>
    </row>
    <row r="6497" customFormat="false" ht="15.75" hidden="false" customHeight="false" outlineLevel="0" collapsed="false">
      <c r="A6497" s="6" t="n">
        <v>43031.1173726852</v>
      </c>
      <c r="B6497" s="7" t="str">
        <f aca="false">HYPERLINK("https://twitter.com/ayaz_khan007","@ayaz_khan007")</f>
        <v>@ayaz_khan007</v>
      </c>
      <c r="C6497" s="8" t="s">
        <v>14782</v>
      </c>
      <c r="D6497" s="8" t="s">
        <v>14676</v>
      </c>
      <c r="E6497" s="9" t="str">
        <f aca="false">HYPERLINK("https://twitter.com/ayaz_khan007/status/922399453788635136","922399453788635136")</f>
        <v>922399453788635136</v>
      </c>
      <c r="F6497" s="10" t="s">
        <v>25</v>
      </c>
      <c r="G6497" s="10" t="n">
        <v>3349</v>
      </c>
      <c r="H6497" s="10" t="n">
        <v>2235</v>
      </c>
      <c r="I6497" s="10" t="n">
        <v>6</v>
      </c>
      <c r="J6497" s="10" t="n">
        <v>0</v>
      </c>
      <c r="K6497" s="10" t="s">
        <v>20</v>
      </c>
      <c r="L6497" s="11" t="n">
        <v>41018.5192939815</v>
      </c>
      <c r="M6497" s="12" t="s">
        <v>14783</v>
      </c>
      <c r="N6497" s="12" t="s">
        <v>14784</v>
      </c>
      <c r="O6497" s="9" t="str">
        <f aca="false">HYPERLINK("https://pbs.twimg.com/profile_images/836524909086015489/juVaXEYi_normal.jpg","View")</f>
        <v>View</v>
      </c>
      <c r="P6497" s="10"/>
    </row>
    <row r="6498" customFormat="false" ht="15.75" hidden="false" customHeight="false" outlineLevel="0" collapsed="false">
      <c r="A6498" s="6" t="n">
        <v>43031.1175462963</v>
      </c>
      <c r="B6498" s="7" t="str">
        <f aca="false">HYPERLINK("https://twitter.com/Rashikasomani1","@Rashikasomani1")</f>
        <v>@Rashikasomani1</v>
      </c>
      <c r="C6498" s="8" t="s">
        <v>8279</v>
      </c>
      <c r="D6498" s="8" t="s">
        <v>14785</v>
      </c>
      <c r="E6498" s="9" t="str">
        <f aca="false">HYPERLINK("https://twitter.com/Rashikasomani1/status/922399514874580992","922399514874580992")</f>
        <v>922399514874580992</v>
      </c>
      <c r="F6498" s="10" t="s">
        <v>8280</v>
      </c>
      <c r="G6498" s="10" t="n">
        <v>2</v>
      </c>
      <c r="H6498" s="10" t="n">
        <v>100</v>
      </c>
      <c r="I6498" s="10" t="n">
        <v>2</v>
      </c>
      <c r="J6498" s="10" t="n">
        <v>0</v>
      </c>
      <c r="K6498" s="10" t="s">
        <v>20</v>
      </c>
      <c r="L6498" s="11" t="n">
        <v>43028.2541666667</v>
      </c>
      <c r="M6498" s="12"/>
      <c r="N6498" s="12"/>
      <c r="O6498" s="9" t="str">
        <f aca="false">HYPERLINK("https://abs.twimg.com/sticky/default_profile_images/default_profile_normal.png","View")</f>
        <v>View</v>
      </c>
      <c r="P6498" s="10"/>
    </row>
    <row r="6499" customFormat="false" ht="15.75" hidden="false" customHeight="false" outlineLevel="0" collapsed="false">
      <c r="A6499" s="6" t="n">
        <v>43031.1178356481</v>
      </c>
      <c r="B6499" s="7" t="str">
        <f aca="false">HYPERLINK("https://twitter.com/jhajiten","@jhajiten")</f>
        <v>@jhajiten</v>
      </c>
      <c r="C6499" s="8" t="s">
        <v>8494</v>
      </c>
      <c r="D6499" s="8" t="s">
        <v>14631</v>
      </c>
      <c r="E6499" s="9" t="str">
        <f aca="false">HYPERLINK("https://twitter.com/jhajiten/status/922399619773972480","922399619773972480")</f>
        <v>922399619773972480</v>
      </c>
      <c r="F6499" s="10" t="s">
        <v>25</v>
      </c>
      <c r="G6499" s="10" t="n">
        <v>308</v>
      </c>
      <c r="H6499" s="10" t="n">
        <v>124</v>
      </c>
      <c r="I6499" s="10" t="n">
        <v>7</v>
      </c>
      <c r="J6499" s="10" t="n">
        <v>0</v>
      </c>
      <c r="K6499" s="10" t="s">
        <v>20</v>
      </c>
      <c r="L6499" s="11" t="n">
        <v>41486.0875115741</v>
      </c>
      <c r="M6499" s="12" t="s">
        <v>87</v>
      </c>
      <c r="N6499" s="12" t="s">
        <v>8495</v>
      </c>
      <c r="O6499" s="9" t="str">
        <f aca="false">HYPERLINK("https://pbs.twimg.com/profile_images/421887209608728577/RBdDkeJG_normal.jpeg","View")</f>
        <v>View</v>
      </c>
      <c r="P6499" s="10"/>
    </row>
    <row r="6500" customFormat="false" ht="15.75" hidden="false" customHeight="false" outlineLevel="0" collapsed="false">
      <c r="A6500" s="6" t="n">
        <v>43031.1178587963</v>
      </c>
      <c r="B6500" s="7" t="str">
        <f aca="false">HYPERLINK("https://twitter.com/dennisjgreene","@dennisjgreene")</f>
        <v>@dennisjgreene</v>
      </c>
      <c r="C6500" s="8" t="s">
        <v>14786</v>
      </c>
      <c r="D6500" s="8" t="s">
        <v>14774</v>
      </c>
      <c r="E6500" s="9" t="str">
        <f aca="false">HYPERLINK("https://twitter.com/dennisjgreene/status/922399628271665152","922399628271665152")</f>
        <v>922399628271665152</v>
      </c>
      <c r="F6500" s="10" t="s">
        <v>51</v>
      </c>
      <c r="G6500" s="10" t="n">
        <v>128</v>
      </c>
      <c r="H6500" s="10" t="n">
        <v>293</v>
      </c>
      <c r="I6500" s="10" t="n">
        <v>5</v>
      </c>
      <c r="J6500" s="10" t="n">
        <v>0</v>
      </c>
      <c r="K6500" s="10" t="s">
        <v>20</v>
      </c>
      <c r="L6500" s="11" t="n">
        <v>39156.0385069444</v>
      </c>
      <c r="M6500" s="12"/>
      <c r="N6500" s="12" t="s">
        <v>14787</v>
      </c>
      <c r="O6500" s="9" t="str">
        <f aca="false">HYPERLINK("https://pbs.twimg.com/profile_images/616305609730838528/nGvcNmID_normal.jpg","View")</f>
        <v>View</v>
      </c>
      <c r="P6500" s="10"/>
    </row>
    <row r="6501" customFormat="false" ht="15.75" hidden="false" customHeight="false" outlineLevel="0" collapsed="false">
      <c r="A6501" s="6" t="n">
        <v>43031.1179282407</v>
      </c>
      <c r="B6501" s="7" t="str">
        <f aca="false">HYPERLINK("https://twitter.com/VIJAYraghavSING","@VIJAYraghavSING")</f>
        <v>@VIJAYraghavSING</v>
      </c>
      <c r="C6501" s="8" t="s">
        <v>12763</v>
      </c>
      <c r="D6501" s="8" t="s">
        <v>14150</v>
      </c>
      <c r="E6501" s="9" t="str">
        <f aca="false">HYPERLINK("https://twitter.com/VIJAYraghavSING/status/922399655152910336","922399655152910336")</f>
        <v>922399655152910336</v>
      </c>
      <c r="F6501" s="10" t="s">
        <v>25</v>
      </c>
      <c r="G6501" s="10" t="n">
        <v>279</v>
      </c>
      <c r="H6501" s="10" t="n">
        <v>305</v>
      </c>
      <c r="I6501" s="10" t="n">
        <v>8</v>
      </c>
      <c r="J6501" s="10" t="n">
        <v>0</v>
      </c>
      <c r="K6501" s="10" t="s">
        <v>20</v>
      </c>
      <c r="L6501" s="11" t="n">
        <v>40551.1875694444</v>
      </c>
      <c r="M6501" s="12"/>
      <c r="N6501" s="12"/>
      <c r="O6501" s="9" t="str">
        <f aca="false">HYPERLINK("https://pbs.twimg.com/profile_images/1210043003/VIJAY_normal.jpg","View")</f>
        <v>View</v>
      </c>
      <c r="P6501" s="10"/>
    </row>
    <row r="6502" customFormat="false" ht="15.75" hidden="false" customHeight="false" outlineLevel="0" collapsed="false">
      <c r="A6502" s="6" t="n">
        <v>43031.1179976852</v>
      </c>
      <c r="B6502" s="7" t="str">
        <f aca="false">HYPERLINK("https://twitter.com/sumangalama","@sumangalama")</f>
        <v>@sumangalama</v>
      </c>
      <c r="C6502" s="8" t="s">
        <v>14788</v>
      </c>
      <c r="D6502" s="8" t="s">
        <v>8538</v>
      </c>
      <c r="E6502" s="9" t="str">
        <f aca="false">HYPERLINK("https://twitter.com/sumangalama/status/922399681052684290","922399681052684290")</f>
        <v>922399681052684290</v>
      </c>
      <c r="F6502" s="10" t="s">
        <v>25</v>
      </c>
      <c r="G6502" s="10" t="n">
        <v>209</v>
      </c>
      <c r="H6502" s="10" t="n">
        <v>460</v>
      </c>
      <c r="I6502" s="10" t="n">
        <v>1015</v>
      </c>
      <c r="J6502" s="10" t="n">
        <v>0</v>
      </c>
      <c r="K6502" s="10" t="s">
        <v>20</v>
      </c>
      <c r="L6502" s="11" t="n">
        <v>40160.9689351852</v>
      </c>
      <c r="M6502" s="12"/>
      <c r="N6502" s="12" t="s">
        <v>14789</v>
      </c>
      <c r="O6502" s="9" t="str">
        <f aca="false">HYPERLINK("https://pbs.twimg.com/profile_images/755265307019767808/r_fy7vJH_normal.jpg","View")</f>
        <v>View</v>
      </c>
      <c r="P6502" s="10"/>
    </row>
    <row r="6503" customFormat="false" ht="15.75" hidden="false" customHeight="false" outlineLevel="0" collapsed="false">
      <c r="A6503" s="6" t="n">
        <v>43031.1180555556</v>
      </c>
      <c r="B6503" s="7" t="str">
        <f aca="false">HYPERLINK("https://twitter.com/jackhammer3853","@jackhammer3853")</f>
        <v>@jackhammer3853</v>
      </c>
      <c r="C6503" s="8" t="s">
        <v>14790</v>
      </c>
      <c r="D6503" s="8" t="s">
        <v>14791</v>
      </c>
      <c r="E6503" s="9" t="str">
        <f aca="false">HYPERLINK("https://twitter.com/jackhammer3853/status/922399702083129344","922399702083129344")</f>
        <v>922399702083129344</v>
      </c>
      <c r="F6503" s="10" t="s">
        <v>51</v>
      </c>
      <c r="G6503" s="10" t="n">
        <v>1652</v>
      </c>
      <c r="H6503" s="10" t="n">
        <v>4767</v>
      </c>
      <c r="I6503" s="10" t="n">
        <v>1</v>
      </c>
      <c r="J6503" s="10" t="n">
        <v>0</v>
      </c>
      <c r="K6503" s="10" t="s">
        <v>20</v>
      </c>
      <c r="L6503" s="11" t="n">
        <v>39775.4260300926</v>
      </c>
      <c r="M6503" s="12" t="s">
        <v>14792</v>
      </c>
      <c r="N6503" s="12" t="s">
        <v>14793</v>
      </c>
      <c r="O6503" s="9" t="str">
        <f aca="false">HYPERLINK("https://pbs.twimg.com/profile_images/882821583181676544/3NlayQ1s_normal.jpg","View")</f>
        <v>View</v>
      </c>
      <c r="P6503" s="10"/>
    </row>
    <row r="6504" customFormat="false" ht="15.75" hidden="false" customHeight="false" outlineLevel="0" collapsed="false">
      <c r="A6504" s="6" t="n">
        <v>43031.1181712963</v>
      </c>
      <c r="B6504" s="7" t="str">
        <f aca="false">HYPERLINK("https://twitter.com/londonpopbox","@londonpopbox")</f>
        <v>@londonpopbox</v>
      </c>
      <c r="C6504" s="8" t="s">
        <v>14794</v>
      </c>
      <c r="D6504" s="8" t="s">
        <v>14774</v>
      </c>
      <c r="E6504" s="9" t="str">
        <f aca="false">HYPERLINK("https://twitter.com/londonpopbox/status/922399740184154112","922399740184154112")</f>
        <v>922399740184154112</v>
      </c>
      <c r="F6504" s="10" t="s">
        <v>39</v>
      </c>
      <c r="G6504" s="10" t="n">
        <v>1209</v>
      </c>
      <c r="H6504" s="10" t="n">
        <v>1722</v>
      </c>
      <c r="I6504" s="10" t="n">
        <v>5</v>
      </c>
      <c r="J6504" s="10" t="n">
        <v>0</v>
      </c>
      <c r="K6504" s="10" t="s">
        <v>20</v>
      </c>
      <c r="L6504" s="11" t="n">
        <v>42763.6388425926</v>
      </c>
      <c r="M6504" s="12" t="s">
        <v>3110</v>
      </c>
      <c r="N6504" s="12" t="s">
        <v>14795</v>
      </c>
      <c r="O6504" s="9" t="str">
        <f aca="false">HYPERLINK("https://pbs.twimg.com/profile_images/840992166256222208/p8tn1Sic_normal.jpg","View")</f>
        <v>View</v>
      </c>
      <c r="P6504" s="10"/>
    </row>
    <row r="6505" customFormat="false" ht="15.75" hidden="false" customHeight="false" outlineLevel="0" collapsed="false">
      <c r="A6505" s="6" t="n">
        <v>43031.1181828704</v>
      </c>
      <c r="B6505" s="7" t="str">
        <f aca="false">HYPERLINK("https://twitter.com/m7m5ea","@m7m5ea")</f>
        <v>@m7m5ea</v>
      </c>
      <c r="C6505" s="8" t="s">
        <v>5840</v>
      </c>
      <c r="D6505" s="8" t="s">
        <v>14741</v>
      </c>
      <c r="E6505" s="9" t="str">
        <f aca="false">HYPERLINK("https://twitter.com/m7m5ea/status/922399746374770688","922399746374770688")</f>
        <v>922399746374770688</v>
      </c>
      <c r="F6505" s="10" t="s">
        <v>25</v>
      </c>
      <c r="G6505" s="10" t="n">
        <v>146</v>
      </c>
      <c r="H6505" s="10" t="n">
        <v>810</v>
      </c>
      <c r="I6505" s="10" t="n">
        <v>6</v>
      </c>
      <c r="J6505" s="10" t="n">
        <v>0</v>
      </c>
      <c r="K6505" s="10" t="s">
        <v>20</v>
      </c>
      <c r="L6505" s="11" t="n">
        <v>42568.2016203704</v>
      </c>
      <c r="M6505" s="12"/>
      <c r="N6505" s="12" t="s">
        <v>5841</v>
      </c>
      <c r="O6505" s="9" t="str">
        <f aca="false">HYPERLINK("https://pbs.twimg.com/profile_images/856484077456601088/sUHTZafL_normal.jpg","View")</f>
        <v>View</v>
      </c>
      <c r="P6505" s="10"/>
    </row>
    <row r="6506" customFormat="false" ht="15.75" hidden="false" customHeight="false" outlineLevel="0" collapsed="false">
      <c r="A6506" s="6" t="n">
        <v>43031.1183449074</v>
      </c>
      <c r="B6506" s="7" t="str">
        <f aca="false">HYPERLINK("https://twitter.com/MNNtweet","@MNNtweet")</f>
        <v>@MNNtweet</v>
      </c>
      <c r="C6506" s="8" t="s">
        <v>14796</v>
      </c>
      <c r="D6506" s="8" t="s">
        <v>14741</v>
      </c>
      <c r="E6506" s="9" t="str">
        <f aca="false">HYPERLINK("https://twitter.com/MNNtweet/status/922399805321695232","922399805321695232")</f>
        <v>922399805321695232</v>
      </c>
      <c r="F6506" s="10" t="s">
        <v>39</v>
      </c>
      <c r="G6506" s="10" t="n">
        <v>55444</v>
      </c>
      <c r="H6506" s="10" t="n">
        <v>13370</v>
      </c>
      <c r="I6506" s="10" t="n">
        <v>6</v>
      </c>
      <c r="J6506" s="10" t="n">
        <v>0</v>
      </c>
      <c r="K6506" s="10" t="s">
        <v>20</v>
      </c>
      <c r="L6506" s="11" t="n">
        <v>41135.8990972222</v>
      </c>
      <c r="M6506" s="12"/>
      <c r="N6506" s="12" t="s">
        <v>14797</v>
      </c>
      <c r="O6506" s="9" t="str">
        <f aca="false">HYPERLINK("https://pbs.twimg.com/profile_images/665843242739630080/7R3ZFxqa_normal.jpg","View")</f>
        <v>View</v>
      </c>
      <c r="P6506" s="10"/>
    </row>
    <row r="6507" customFormat="false" ht="15.75" hidden="false" customHeight="false" outlineLevel="0" collapsed="false">
      <c r="A6507" s="6" t="n">
        <v>43031.1183449074</v>
      </c>
      <c r="B6507" s="7" t="str">
        <f aca="false">HYPERLINK("https://twitter.com/Zotac6","@Zotac6")</f>
        <v>@Zotac6</v>
      </c>
      <c r="C6507" s="8" t="s">
        <v>14798</v>
      </c>
      <c r="D6507" s="8" t="s">
        <v>14598</v>
      </c>
      <c r="E6507" s="9" t="str">
        <f aca="false">HYPERLINK("https://twitter.com/Zotac6/status/922399806189965312","922399806189965312")</f>
        <v>922399806189965312</v>
      </c>
      <c r="F6507" s="10" t="s">
        <v>14799</v>
      </c>
      <c r="G6507" s="10" t="n">
        <v>91</v>
      </c>
      <c r="H6507" s="10" t="n">
        <v>1033</v>
      </c>
      <c r="I6507" s="10" t="n">
        <v>23</v>
      </c>
      <c r="J6507" s="10" t="n">
        <v>0</v>
      </c>
      <c r="K6507" s="10" t="s">
        <v>20</v>
      </c>
      <c r="L6507" s="11" t="n">
        <v>42935.3468634259</v>
      </c>
      <c r="M6507" s="12" t="s">
        <v>230</v>
      </c>
      <c r="N6507" s="12"/>
      <c r="O6507" s="9" t="str">
        <f aca="false">HYPERLINK("https://pbs.twimg.com/profile_images/887693908750237697/wrgYF88C_normal.jpg","View")</f>
        <v>View</v>
      </c>
      <c r="P6507" s="10"/>
    </row>
    <row r="6508" customFormat="false" ht="15.75" hidden="false" customHeight="false" outlineLevel="0" collapsed="false">
      <c r="A6508" s="6" t="n">
        <v>43031.1184953704</v>
      </c>
      <c r="B6508" s="7" t="str">
        <f aca="false">HYPERLINK("https://twitter.com/GreaterLDN","@GreaterLDN")</f>
        <v>@GreaterLDN</v>
      </c>
      <c r="C6508" s="8" t="s">
        <v>14800</v>
      </c>
      <c r="D6508" s="8" t="s">
        <v>14801</v>
      </c>
      <c r="E6508" s="9" t="str">
        <f aca="false">HYPERLINK("https://twitter.com/GreaterLDN/status/922399858954260480","922399858954260480")</f>
        <v>922399858954260480</v>
      </c>
      <c r="F6508" s="10" t="s">
        <v>60</v>
      </c>
      <c r="G6508" s="10" t="n">
        <v>796</v>
      </c>
      <c r="H6508" s="10" t="n">
        <v>100</v>
      </c>
      <c r="I6508" s="10" t="n">
        <v>0</v>
      </c>
      <c r="J6508" s="10" t="n">
        <v>0</v>
      </c>
      <c r="K6508" s="10" t="s">
        <v>20</v>
      </c>
      <c r="L6508" s="11" t="n">
        <v>42680.3705787037</v>
      </c>
      <c r="M6508" s="12" t="s">
        <v>14802</v>
      </c>
      <c r="N6508" s="12" t="s">
        <v>14803</v>
      </c>
      <c r="O6508" s="9" t="str">
        <f aca="false">HYPERLINK("https://pbs.twimg.com/profile_images/795310199800266752/j69eJkFy_normal.jpg","View")</f>
        <v>View</v>
      </c>
      <c r="P6508" s="10"/>
    </row>
    <row r="6509" customFormat="false" ht="15.75" hidden="false" customHeight="false" outlineLevel="0" collapsed="false">
      <c r="A6509" s="6" t="n">
        <v>43031.1190046296</v>
      </c>
      <c r="B6509" s="7" t="str">
        <f aca="false">HYPERLINK("https://twitter.com/bsurveillance","@bsurveillance")</f>
        <v>@bsurveillance</v>
      </c>
      <c r="C6509" s="8" t="s">
        <v>14804</v>
      </c>
      <c r="D6509" s="8" t="s">
        <v>14805</v>
      </c>
      <c r="E6509" s="9" t="str">
        <f aca="false">HYPERLINK("https://twitter.com/bsurveillance/status/922400042148941825","922400042148941825")</f>
        <v>922400042148941825</v>
      </c>
      <c r="F6509" s="10" t="s">
        <v>39</v>
      </c>
      <c r="G6509" s="10" t="n">
        <v>32465</v>
      </c>
      <c r="H6509" s="10" t="n">
        <v>1339</v>
      </c>
      <c r="I6509" s="10" t="n">
        <v>1</v>
      </c>
      <c r="J6509" s="10" t="n">
        <v>0</v>
      </c>
      <c r="K6509" s="10" t="s">
        <v>20</v>
      </c>
      <c r="L6509" s="11" t="n">
        <v>39926.4638425926</v>
      </c>
      <c r="M6509" s="12"/>
      <c r="N6509" s="12" t="s">
        <v>14806</v>
      </c>
      <c r="O6509" s="9" t="str">
        <f aca="false">HYPERLINK("https://pbs.twimg.com/profile_images/653948597742997504/oyd0AD7O_normal.jpg","View")</f>
        <v>View</v>
      </c>
      <c r="P6509" s="10"/>
    </row>
    <row r="6510" customFormat="false" ht="15.75" hidden="false" customHeight="false" outlineLevel="0" collapsed="false">
      <c r="A6510" s="6" t="n">
        <v>43031.1191666667</v>
      </c>
      <c r="B6510" s="7" t="str">
        <f aca="false">HYPERLINK("https://twitter.com/timelivenews","@timelivenews")</f>
        <v>@timelivenews</v>
      </c>
      <c r="C6510" s="8" t="s">
        <v>3083</v>
      </c>
      <c r="D6510" s="8" t="s">
        <v>14807</v>
      </c>
      <c r="E6510" s="9" t="str">
        <f aca="false">HYPERLINK("https://twitter.com/timelivenews/status/922400102886420480","922400102886420480")</f>
        <v>922400102886420480</v>
      </c>
      <c r="F6510" s="10" t="s">
        <v>39</v>
      </c>
      <c r="G6510" s="10" t="n">
        <v>1008</v>
      </c>
      <c r="H6510" s="10" t="n">
        <v>1998</v>
      </c>
      <c r="I6510" s="10" t="n">
        <v>0</v>
      </c>
      <c r="J6510" s="10" t="n">
        <v>0</v>
      </c>
      <c r="K6510" s="10" t="s">
        <v>20</v>
      </c>
      <c r="L6510" s="11" t="n">
        <v>41173.318912037</v>
      </c>
      <c r="M6510" s="12"/>
      <c r="N6510" s="12"/>
      <c r="O6510" s="9" t="str">
        <f aca="false">HYPERLINK("https://pbs.twimg.com/profile_images/2645914047/c79803e0dea4e4b85f99f5b019bf0f4c_normal.png","View")</f>
        <v>View</v>
      </c>
      <c r="P6510" s="10"/>
    </row>
    <row r="6511" customFormat="false" ht="15.75" hidden="false" customHeight="false" outlineLevel="0" collapsed="false">
      <c r="A6511" s="6" t="n">
        <v>43031.1196412037</v>
      </c>
      <c r="B6511" s="7" t="str">
        <f aca="false">HYPERLINK("https://twitter.com/3X04N0N","@3X04N0N")</f>
        <v>@3X04N0N</v>
      </c>
      <c r="C6511" s="8" t="s">
        <v>1278</v>
      </c>
      <c r="D6511" s="8" t="s">
        <v>14808</v>
      </c>
      <c r="E6511" s="9" t="str">
        <f aca="false">HYPERLINK("https://twitter.com/3X04N0N/status/922400272659505152","922400272659505152")</f>
        <v>922400272659505152</v>
      </c>
      <c r="F6511" s="10" t="s">
        <v>60</v>
      </c>
      <c r="G6511" s="10" t="n">
        <v>922</v>
      </c>
      <c r="H6511" s="10" t="n">
        <v>295</v>
      </c>
      <c r="I6511" s="10" t="n">
        <v>0</v>
      </c>
      <c r="J6511" s="10" t="n">
        <v>0</v>
      </c>
      <c r="K6511" s="10" t="s">
        <v>20</v>
      </c>
      <c r="L6511" s="11" t="n">
        <v>42066.5668518519</v>
      </c>
      <c r="M6511" s="12"/>
      <c r="N6511" s="12" t="s">
        <v>1280</v>
      </c>
      <c r="O6511" s="9" t="str">
        <f aca="false">HYPERLINK("https://pbs.twimg.com/profile_images/793550507205914625/qBVxzsrU_normal.jpg","View")</f>
        <v>View</v>
      </c>
      <c r="P6511" s="10"/>
    </row>
    <row r="6512" customFormat="false" ht="15.75" hidden="false" customHeight="false" outlineLevel="0" collapsed="false">
      <c r="A6512" s="6" t="n">
        <v>43031.1196643519</v>
      </c>
      <c r="B6512" s="7" t="str">
        <f aca="false">HYPERLINK("https://twitter.com/CNBCTradersFan","@CNBCTradersFan")</f>
        <v>@CNBCTradersFan</v>
      </c>
      <c r="C6512" s="8" t="s">
        <v>325</v>
      </c>
      <c r="D6512" s="8" t="s">
        <v>14809</v>
      </c>
      <c r="E6512" s="9" t="str">
        <f aca="false">HYPERLINK("https://twitter.com/CNBCTradersFan/status/922400283891847168","922400283891847168")</f>
        <v>922400283891847168</v>
      </c>
      <c r="F6512" s="10" t="s">
        <v>60</v>
      </c>
      <c r="G6512" s="10" t="n">
        <v>17155</v>
      </c>
      <c r="H6512" s="10" t="n">
        <v>11641</v>
      </c>
      <c r="I6512" s="10" t="n">
        <v>0</v>
      </c>
      <c r="J6512" s="10" t="n">
        <v>0</v>
      </c>
      <c r="K6512" s="10" t="s">
        <v>20</v>
      </c>
      <c r="L6512" s="11" t="n">
        <v>40922.5054282407</v>
      </c>
      <c r="M6512" s="12" t="s">
        <v>327</v>
      </c>
      <c r="N6512" s="12" t="s">
        <v>328</v>
      </c>
      <c r="O6512" s="9" t="str">
        <f aca="false">HYPERLINK("https://pbs.twimg.com/profile_images/731870469318684672/Ckf7rDdJ_normal.jpg","View")</f>
        <v>View</v>
      </c>
      <c r="P6512" s="10"/>
    </row>
    <row r="6513" customFormat="false" ht="15.75" hidden="false" customHeight="false" outlineLevel="0" collapsed="false">
      <c r="A6513" s="6" t="n">
        <v>43031.1200462963</v>
      </c>
      <c r="B6513" s="7" t="str">
        <f aca="false">HYPERLINK("https://twitter.com/business","@business")</f>
        <v>@business</v>
      </c>
      <c r="C6513" s="8" t="s">
        <v>196</v>
      </c>
      <c r="D6513" s="8" t="s">
        <v>14810</v>
      </c>
      <c r="E6513" s="9" t="str">
        <f aca="false">HYPERLINK("https://twitter.com/business/status/922400419418116096","922400419418116096")</f>
        <v>922400419418116096</v>
      </c>
      <c r="F6513" s="10" t="s">
        <v>268</v>
      </c>
      <c r="G6513" s="10" t="n">
        <v>4344212</v>
      </c>
      <c r="H6513" s="10" t="n">
        <v>1088</v>
      </c>
      <c r="I6513" s="10" t="n">
        <v>14</v>
      </c>
      <c r="J6513" s="10" t="n">
        <v>20</v>
      </c>
      <c r="K6513" s="10" t="s">
        <v>20</v>
      </c>
      <c r="L6513" s="11" t="n">
        <v>39926.5453356481</v>
      </c>
      <c r="M6513" s="12" t="s">
        <v>199</v>
      </c>
      <c r="N6513" s="12" t="s">
        <v>200</v>
      </c>
      <c r="O6513" s="9" t="str">
        <f aca="false">HYPERLINK("https://pbs.twimg.com/profile_images/714946924105883648/4fgNVF4H_normal.jpg","View")</f>
        <v>View</v>
      </c>
      <c r="P6513" s="10"/>
    </row>
    <row r="6514" customFormat="false" ht="15.75" hidden="false" customHeight="false" outlineLevel="0" collapsed="false">
      <c r="A6514" s="6" t="n">
        <v>43031.1202893518</v>
      </c>
      <c r="B6514" s="7" t="str">
        <f aca="false">HYPERLINK("https://twitter.com/KoreaCenterHQ","@KoreaCenterHQ")</f>
        <v>@KoreaCenterHQ</v>
      </c>
      <c r="C6514" s="8" t="s">
        <v>1311</v>
      </c>
      <c r="D6514" s="8" t="s">
        <v>14811</v>
      </c>
      <c r="E6514" s="9" t="str">
        <f aca="false">HYPERLINK("https://twitter.com/KoreaCenterHQ/status/922400508576501760","922400508576501760")</f>
        <v>922400508576501760</v>
      </c>
      <c r="F6514" s="10" t="s">
        <v>60</v>
      </c>
      <c r="G6514" s="10" t="n">
        <v>70</v>
      </c>
      <c r="H6514" s="10" t="n">
        <v>5</v>
      </c>
      <c r="I6514" s="10" t="n">
        <v>0</v>
      </c>
      <c r="J6514" s="10" t="n">
        <v>0</v>
      </c>
      <c r="K6514" s="10" t="s">
        <v>20</v>
      </c>
      <c r="L6514" s="11" t="n">
        <v>42259.7855092593</v>
      </c>
      <c r="M6514" s="12" t="s">
        <v>1313</v>
      </c>
      <c r="N6514" s="12" t="s">
        <v>1314</v>
      </c>
      <c r="O6514" s="9" t="str">
        <f aca="false">HYPERLINK("https://pbs.twimg.com/profile_images/902288054987182080/2Zsh6ms3_normal.jpg","View")</f>
        <v>View</v>
      </c>
      <c r="P6514" s="10"/>
    </row>
    <row r="6515" customFormat="false" ht="15.75" hidden="false" customHeight="false" outlineLevel="0" collapsed="false">
      <c r="A6515" s="6" t="n">
        <v>43031.1203587963</v>
      </c>
      <c r="B6515" s="7" t="str">
        <f aca="false">HYPERLINK("https://twitter.com/jaimeotero_","@jaimeotero_")</f>
        <v>@jaimeotero_</v>
      </c>
      <c r="C6515" s="8" t="s">
        <v>205</v>
      </c>
      <c r="D6515" s="8" t="s">
        <v>14812</v>
      </c>
      <c r="E6515" s="9" t="str">
        <f aca="false">HYPERLINK("https://twitter.com/jaimeotero_/status/922400533247418368","922400533247418368")</f>
        <v>922400533247418368</v>
      </c>
      <c r="F6515" s="10" t="s">
        <v>60</v>
      </c>
      <c r="G6515" s="10" t="n">
        <v>34492</v>
      </c>
      <c r="H6515" s="10" t="n">
        <v>31252</v>
      </c>
      <c r="I6515" s="10" t="n">
        <v>0</v>
      </c>
      <c r="J6515" s="10" t="n">
        <v>0</v>
      </c>
      <c r="K6515" s="10" t="s">
        <v>20</v>
      </c>
      <c r="L6515" s="11" t="n">
        <v>42531.0121990741</v>
      </c>
      <c r="M6515" s="12" t="s">
        <v>207</v>
      </c>
      <c r="N6515" s="12" t="s">
        <v>208</v>
      </c>
      <c r="O6515" s="9" t="str">
        <f aca="false">HYPERLINK("https://pbs.twimg.com/profile_images/849817561281818626/acAU04SD_normal.jpg","View")</f>
        <v>View</v>
      </c>
      <c r="P6515" s="10"/>
    </row>
    <row r="6516" customFormat="false" ht="15.75" hidden="false" customHeight="false" outlineLevel="0" collapsed="false">
      <c r="A6516" s="6" t="n">
        <v>43031.1203587963</v>
      </c>
      <c r="B6516" s="7" t="str">
        <f aca="false">HYPERLINK("https://twitter.com/lekh27","@lekh27")</f>
        <v>@lekh27</v>
      </c>
      <c r="C6516" s="8" t="s">
        <v>14813</v>
      </c>
      <c r="D6516" s="8" t="s">
        <v>14814</v>
      </c>
      <c r="E6516" s="9" t="str">
        <f aca="false">HYPERLINK("https://twitter.com/lekh27/status/922400533574508544","922400533574508544")</f>
        <v>922400533574508544</v>
      </c>
      <c r="F6516" s="10" t="s">
        <v>1024</v>
      </c>
      <c r="G6516" s="10" t="n">
        <v>568</v>
      </c>
      <c r="H6516" s="10" t="n">
        <v>1003</v>
      </c>
      <c r="I6516" s="10" t="n">
        <v>14</v>
      </c>
      <c r="J6516" s="10" t="n">
        <v>0</v>
      </c>
      <c r="K6516" s="10" t="s">
        <v>20</v>
      </c>
      <c r="L6516" s="11" t="n">
        <v>40514.0255902778</v>
      </c>
      <c r="M6516" s="12" t="s">
        <v>6735</v>
      </c>
      <c r="N6516" s="12" t="s">
        <v>14815</v>
      </c>
      <c r="O6516" s="9" t="str">
        <f aca="false">HYPERLINK("https://pbs.twimg.com/profile_images/694521215331889152/IhzXDQHr_normal.jpg","View")</f>
        <v>View</v>
      </c>
      <c r="P6516" s="10"/>
    </row>
    <row r="6517" customFormat="false" ht="15.75" hidden="false" customHeight="false" outlineLevel="0" collapsed="false">
      <c r="A6517" s="6" t="n">
        <v>43031.1203703704</v>
      </c>
      <c r="B6517" s="7" t="str">
        <f aca="false">HYPERLINK("https://twitter.com/swissifg","@swissifg")</f>
        <v>@swissifg</v>
      </c>
      <c r="C6517" s="8" t="s">
        <v>247</v>
      </c>
      <c r="D6517" s="8" t="s">
        <v>14816</v>
      </c>
      <c r="E6517" s="9" t="str">
        <f aca="false">HYPERLINK("https://twitter.com/swissifg/status/922400536858710016","922400536858710016")</f>
        <v>922400536858710016</v>
      </c>
      <c r="F6517" s="10" t="s">
        <v>60</v>
      </c>
      <c r="G6517" s="10" t="n">
        <v>1202</v>
      </c>
      <c r="H6517" s="10" t="n">
        <v>670</v>
      </c>
      <c r="I6517" s="10" t="n">
        <v>0</v>
      </c>
      <c r="J6517" s="10" t="n">
        <v>0</v>
      </c>
      <c r="K6517" s="10" t="s">
        <v>20</v>
      </c>
      <c r="L6517" s="11" t="n">
        <v>42499.2341087963</v>
      </c>
      <c r="M6517" s="12" t="s">
        <v>249</v>
      </c>
      <c r="N6517" s="12" t="s">
        <v>250</v>
      </c>
      <c r="O6517" s="9" t="str">
        <f aca="false">HYPERLINK("https://pbs.twimg.com/profile_images/729681805088063489/N4ls5vb8_normal.jpg","View")</f>
        <v>View</v>
      </c>
      <c r="P6517" s="10"/>
    </row>
    <row r="6518" customFormat="false" ht="15.75" hidden="false" customHeight="false" outlineLevel="0" collapsed="false">
      <c r="A6518" s="6" t="n">
        <v>43031.1204282407</v>
      </c>
      <c r="B6518" s="7" t="str">
        <f aca="false">HYPERLINK("https://twitter.com/akemmapapa","@akemmapapa")</f>
        <v>@akemmapapa</v>
      </c>
      <c r="C6518" s="8" t="s">
        <v>5680</v>
      </c>
      <c r="D6518" s="8" t="s">
        <v>14774</v>
      </c>
      <c r="E6518" s="9" t="str">
        <f aca="false">HYPERLINK("https://twitter.com/akemmapapa/status/922400558580985856","922400558580985856")</f>
        <v>922400558580985856</v>
      </c>
      <c r="F6518" s="10" t="s">
        <v>51</v>
      </c>
      <c r="G6518" s="10" t="n">
        <v>739</v>
      </c>
      <c r="H6518" s="10" t="n">
        <v>1444</v>
      </c>
      <c r="I6518" s="10" t="n">
        <v>5</v>
      </c>
      <c r="J6518" s="10" t="n">
        <v>0</v>
      </c>
      <c r="K6518" s="10" t="s">
        <v>20</v>
      </c>
      <c r="L6518" s="11" t="n">
        <v>40493.5064699074</v>
      </c>
      <c r="M6518" s="12"/>
      <c r="N6518" s="12"/>
      <c r="O6518" s="9" t="str">
        <f aca="false">HYPERLINK("https://pbs.twimg.com/profile_images/598097212355272704/P6FCYoqb_normal.jpg","View")</f>
        <v>View</v>
      </c>
      <c r="P6518" s="10"/>
    </row>
    <row r="6519" customFormat="false" ht="15.75" hidden="false" customHeight="false" outlineLevel="0" collapsed="false">
      <c r="A6519" s="6" t="n">
        <v>43031.1205787037</v>
      </c>
      <c r="B6519" s="7" t="str">
        <f aca="false">HYPERLINK("https://twitter.com/JakWit","@JakWit")</f>
        <v>@JakWit</v>
      </c>
      <c r="C6519" s="8" t="s">
        <v>14817</v>
      </c>
      <c r="D6519" s="8" t="s">
        <v>14814</v>
      </c>
      <c r="E6519" s="9" t="str">
        <f aca="false">HYPERLINK("https://twitter.com/JakWit/status/922400615040462848","922400615040462848")</f>
        <v>922400615040462848</v>
      </c>
      <c r="F6519" s="10" t="s">
        <v>39</v>
      </c>
      <c r="G6519" s="10" t="n">
        <v>1770</v>
      </c>
      <c r="H6519" s="10" t="n">
        <v>1389</v>
      </c>
      <c r="I6519" s="10" t="n">
        <v>14</v>
      </c>
      <c r="J6519" s="10" t="n">
        <v>0</v>
      </c>
      <c r="K6519" s="10" t="s">
        <v>20</v>
      </c>
      <c r="L6519" s="11" t="n">
        <v>41260.8810648148</v>
      </c>
      <c r="M6519" s="12"/>
      <c r="N6519" s="12" t="s">
        <v>14818</v>
      </c>
      <c r="O6519" s="9" t="str">
        <f aca="false">HYPERLINK("https://pbs.twimg.com/profile_images/520615756808327169/4vhwCbH7_normal.jpeg","View")</f>
        <v>View</v>
      </c>
      <c r="P6519" s="10"/>
    </row>
    <row r="6520" customFormat="false" ht="15.75" hidden="false" customHeight="false" outlineLevel="0" collapsed="false">
      <c r="A6520" s="6" t="n">
        <v>43031.1206828704</v>
      </c>
      <c r="B6520" s="7" t="str">
        <f aca="false">HYPERLINK("https://twitter.com/15MikeMike15","@15MikeMike15")</f>
        <v>@15MikeMike15</v>
      </c>
      <c r="C6520" s="8" t="s">
        <v>14819</v>
      </c>
      <c r="D6520" s="8" t="s">
        <v>13595</v>
      </c>
      <c r="E6520" s="9" t="str">
        <f aca="false">HYPERLINK("https://twitter.com/15MikeMike15/status/922400650100662272","922400650100662272")</f>
        <v>922400650100662272</v>
      </c>
      <c r="F6520" s="10" t="s">
        <v>14820</v>
      </c>
      <c r="G6520" s="10" t="n">
        <v>1044</v>
      </c>
      <c r="H6520" s="10" t="n">
        <v>1950</v>
      </c>
      <c r="I6520" s="10" t="n">
        <v>88</v>
      </c>
      <c r="J6520" s="10" t="n">
        <v>0</v>
      </c>
      <c r="K6520" s="10" t="s">
        <v>20</v>
      </c>
      <c r="L6520" s="11" t="n">
        <v>42809.5834027778</v>
      </c>
      <c r="M6520" s="12"/>
      <c r="N6520" s="12"/>
      <c r="O6520" s="9" t="str">
        <f aca="false">HYPERLINK("https://pbs.twimg.com/profile_images/864951920045289473/bAoGibet_normal.jpg","View")</f>
        <v>View</v>
      </c>
      <c r="P6520" s="10"/>
    </row>
    <row r="6521" customFormat="false" ht="15.75" hidden="false" customHeight="false" outlineLevel="0" collapsed="false">
      <c r="A6521" s="6" t="n">
        <v>43031.120775463</v>
      </c>
      <c r="B6521" s="7" t="str">
        <f aca="false">HYPERLINK("https://twitter.com/alokarukha","@alokarukha")</f>
        <v>@alokarukha</v>
      </c>
      <c r="C6521" s="8" t="s">
        <v>14821</v>
      </c>
      <c r="D6521" s="8" t="s">
        <v>8538</v>
      </c>
      <c r="E6521" s="9" t="str">
        <f aca="false">HYPERLINK("https://twitter.com/alokarukha/status/922400686133747712","922400686133747712")</f>
        <v>922400686133747712</v>
      </c>
      <c r="F6521" s="10" t="s">
        <v>25</v>
      </c>
      <c r="G6521" s="10" t="n">
        <v>217</v>
      </c>
      <c r="H6521" s="10" t="n">
        <v>472</v>
      </c>
      <c r="I6521" s="10" t="n">
        <v>1015</v>
      </c>
      <c r="J6521" s="10" t="n">
        <v>0</v>
      </c>
      <c r="K6521" s="10" t="s">
        <v>20</v>
      </c>
      <c r="L6521" s="11" t="n">
        <v>41341.40375</v>
      </c>
      <c r="M6521" s="12" t="s">
        <v>14822</v>
      </c>
      <c r="N6521" s="12" t="s">
        <v>14823</v>
      </c>
      <c r="O6521" s="9" t="str">
        <f aca="false">HYPERLINK("https://pbs.twimg.com/profile_images/922800161952112642/evrNHa27_normal.jpg","View")</f>
        <v>View</v>
      </c>
      <c r="P6521" s="10"/>
    </row>
    <row r="6522" customFormat="false" ht="15.75" hidden="false" customHeight="false" outlineLevel="0" collapsed="false">
      <c r="A6522" s="6" t="n">
        <v>43031.1210532407</v>
      </c>
      <c r="B6522" s="7" t="str">
        <f aca="false">HYPERLINK("https://twitter.com/prepzilla","@prepzilla")</f>
        <v>@prepzilla</v>
      </c>
      <c r="C6522" s="8" t="s">
        <v>235</v>
      </c>
      <c r="D6522" s="8" t="s">
        <v>14824</v>
      </c>
      <c r="E6522" s="9" t="str">
        <f aca="false">HYPERLINK("https://twitter.com/prepzilla/status/922400787917164544","922400787917164544")</f>
        <v>922400787917164544</v>
      </c>
      <c r="F6522" s="10" t="s">
        <v>60</v>
      </c>
      <c r="G6522" s="10" t="n">
        <v>7686</v>
      </c>
      <c r="H6522" s="10" t="n">
        <v>477</v>
      </c>
      <c r="I6522" s="10" t="n">
        <v>0</v>
      </c>
      <c r="J6522" s="10" t="n">
        <v>0</v>
      </c>
      <c r="K6522" s="10" t="s">
        <v>20</v>
      </c>
      <c r="L6522" s="11" t="n">
        <v>41299.7417361111</v>
      </c>
      <c r="M6522" s="12" t="s">
        <v>237</v>
      </c>
      <c r="N6522" s="12" t="s">
        <v>238</v>
      </c>
      <c r="O6522" s="9" t="str">
        <f aca="false">HYPERLINK("https://pbs.twimg.com/profile_images/900797880516005888/1bWN5qbC_normal.jpg","View")</f>
        <v>View</v>
      </c>
      <c r="P6522" s="10"/>
    </row>
    <row r="6523" customFormat="false" ht="15.75" hidden="false" customHeight="false" outlineLevel="0" collapsed="false">
      <c r="A6523" s="6" t="n">
        <v>43031.1212152778</v>
      </c>
      <c r="B6523" s="7" t="str">
        <f aca="false">HYPERLINK("https://twitter.com/serge_poznanski","@serge_poznanski")</f>
        <v>@serge_poznanski</v>
      </c>
      <c r="C6523" s="8" t="s">
        <v>212</v>
      </c>
      <c r="D6523" s="8" t="s">
        <v>14825</v>
      </c>
      <c r="E6523" s="9" t="str">
        <f aca="false">HYPERLINK("https://twitter.com/serge_poznanski/status/922400844254973954","922400844254973954")</f>
        <v>922400844254973954</v>
      </c>
      <c r="F6523" s="10" t="s">
        <v>60</v>
      </c>
      <c r="G6523" s="10" t="n">
        <v>1424</v>
      </c>
      <c r="H6523" s="10" t="n">
        <v>2136</v>
      </c>
      <c r="I6523" s="10" t="n">
        <v>0</v>
      </c>
      <c r="J6523" s="10" t="n">
        <v>0</v>
      </c>
      <c r="K6523" s="10" t="s">
        <v>20</v>
      </c>
      <c r="L6523" s="11" t="n">
        <v>42271.4744560185</v>
      </c>
      <c r="M6523" s="12"/>
      <c r="N6523" s="12"/>
      <c r="O6523" s="9" t="str">
        <f aca="false">HYPERLINK("https://pbs.twimg.com/profile_images/647277253240291328/3GezjFCJ_normal.jpg","View")</f>
        <v>View</v>
      </c>
      <c r="P6523" s="10"/>
    </row>
    <row r="6524" customFormat="false" ht="15.75" hidden="false" customHeight="false" outlineLevel="0" collapsed="false">
      <c r="A6524" s="6" t="n">
        <v>43031.1212615741</v>
      </c>
      <c r="B6524" s="7" t="str">
        <f aca="false">HYPERLINK("https://twitter.com/Hail_ram","@Hail_ram")</f>
        <v>@Hail_ram</v>
      </c>
      <c r="C6524" s="8" t="s">
        <v>14826</v>
      </c>
      <c r="D6524" s="8" t="s">
        <v>8538</v>
      </c>
      <c r="E6524" s="9" t="str">
        <f aca="false">HYPERLINK("https://twitter.com/Hail_ram/status/922400861216632832","922400861216632832")</f>
        <v>922400861216632832</v>
      </c>
      <c r="F6524" s="10" t="s">
        <v>51</v>
      </c>
      <c r="G6524" s="10" t="n">
        <v>324</v>
      </c>
      <c r="H6524" s="10" t="n">
        <v>684</v>
      </c>
      <c r="I6524" s="10" t="n">
        <v>1015</v>
      </c>
      <c r="J6524" s="10" t="n">
        <v>0</v>
      </c>
      <c r="K6524" s="10" t="s">
        <v>20</v>
      </c>
      <c r="L6524" s="11" t="n">
        <v>40006.2904166667</v>
      </c>
      <c r="M6524" s="12" t="s">
        <v>14827</v>
      </c>
      <c r="N6524" s="12" t="s">
        <v>14828</v>
      </c>
      <c r="O6524" s="9" t="str">
        <f aca="false">HYPERLINK("https://pbs.twimg.com/profile_images/487266089756160000/svrDuRrL_normal.jpeg","View")</f>
        <v>View</v>
      </c>
      <c r="P6524" s="10"/>
    </row>
    <row r="6525" customFormat="false" ht="15.75" hidden="false" customHeight="false" outlineLevel="0" collapsed="false">
      <c r="A6525" s="6" t="n">
        <v>43031.1215393519</v>
      </c>
      <c r="B6525" s="7" t="str">
        <f aca="false">HYPERLINK("https://twitter.com/SallamaariM","@SallamaariM")</f>
        <v>@SallamaariM</v>
      </c>
      <c r="C6525" s="8" t="s">
        <v>14829</v>
      </c>
      <c r="D6525" s="8" t="s">
        <v>14814</v>
      </c>
      <c r="E6525" s="9" t="str">
        <f aca="false">HYPERLINK("https://twitter.com/SallamaariM/status/922400964425986049","922400964425986049")</f>
        <v>922400964425986049</v>
      </c>
      <c r="F6525" s="10" t="s">
        <v>39</v>
      </c>
      <c r="G6525" s="10" t="n">
        <v>3110</v>
      </c>
      <c r="H6525" s="10" t="n">
        <v>1557</v>
      </c>
      <c r="I6525" s="10" t="n">
        <v>14</v>
      </c>
      <c r="J6525" s="10" t="n">
        <v>0</v>
      </c>
      <c r="K6525" s="10" t="s">
        <v>20</v>
      </c>
      <c r="L6525" s="11" t="n">
        <v>40859.3965509259</v>
      </c>
      <c r="M6525" s="12" t="s">
        <v>14830</v>
      </c>
      <c r="N6525" s="12" t="s">
        <v>14831</v>
      </c>
      <c r="O6525" s="9" t="str">
        <f aca="false">HYPERLINK("https://pbs.twimg.com/profile_images/776345809667391488/Egn417OV_normal.jpg","View")</f>
        <v>View</v>
      </c>
      <c r="P6525" s="10"/>
    </row>
    <row r="6526" customFormat="false" ht="15.75" hidden="false" customHeight="false" outlineLevel="0" collapsed="false">
      <c r="A6526" s="6" t="n">
        <v>43031.1215740741</v>
      </c>
      <c r="B6526" s="7" t="str">
        <f aca="false">HYPERLINK("https://twitter.com/Bambism","@Bambism")</f>
        <v>@Bambism</v>
      </c>
      <c r="C6526" s="8" t="s">
        <v>4976</v>
      </c>
      <c r="D6526" s="8" t="s">
        <v>12493</v>
      </c>
      <c r="E6526" s="9" t="str">
        <f aca="false">HYPERLINK("https://twitter.com/Bambism/status/922400976593600513","922400976593600513")</f>
        <v>922400976593600513</v>
      </c>
      <c r="F6526" s="10" t="s">
        <v>39</v>
      </c>
      <c r="G6526" s="10" t="n">
        <v>936</v>
      </c>
      <c r="H6526" s="10" t="n">
        <v>1453</v>
      </c>
      <c r="I6526" s="10" t="n">
        <v>63</v>
      </c>
      <c r="J6526" s="10" t="n">
        <v>0</v>
      </c>
      <c r="K6526" s="10" t="s">
        <v>20</v>
      </c>
      <c r="L6526" s="11" t="n">
        <v>39985.936875</v>
      </c>
      <c r="M6526" s="12"/>
      <c r="N6526" s="13" t="s">
        <v>4977</v>
      </c>
      <c r="O6526" s="9" t="str">
        <f aca="false">HYPERLINK("https://pbs.twimg.com/profile_images/860771476802162688/uL6QqKNu_normal.jpg","View")</f>
        <v>View</v>
      </c>
      <c r="P6526" s="10"/>
    </row>
    <row r="6527" customFormat="false" ht="15.75" hidden="false" customHeight="false" outlineLevel="0" collapsed="false">
      <c r="A6527" s="6" t="n">
        <v>43031.1216550926</v>
      </c>
      <c r="B6527" s="7" t="str">
        <f aca="false">HYPERLINK("https://twitter.com/FairyBallington","@FairyBallington")</f>
        <v>@FairyBallington</v>
      </c>
      <c r="C6527" s="8" t="s">
        <v>14832</v>
      </c>
      <c r="D6527" s="8" t="s">
        <v>13595</v>
      </c>
      <c r="E6527" s="9" t="str">
        <f aca="false">HYPERLINK("https://twitter.com/FairyBallington/status/922401003479191554","922401003479191554")</f>
        <v>922401003479191554</v>
      </c>
      <c r="F6527" s="10" t="s">
        <v>14833</v>
      </c>
      <c r="G6527" s="10" t="n">
        <v>419</v>
      </c>
      <c r="H6527" s="10" t="n">
        <v>2609</v>
      </c>
      <c r="I6527" s="10" t="n">
        <v>88</v>
      </c>
      <c r="J6527" s="10" t="n">
        <v>0</v>
      </c>
      <c r="K6527" s="10" t="s">
        <v>20</v>
      </c>
      <c r="L6527" s="11" t="n">
        <v>41674.9630555556</v>
      </c>
      <c r="M6527" s="12"/>
      <c r="N6527" s="12"/>
      <c r="O6527" s="9" t="str">
        <f aca="false">HYPERLINK("https://abs.twimg.com/sticky/default_profile_images/default_profile_normal.png","View")</f>
        <v>View</v>
      </c>
      <c r="P6527" s="10"/>
    </row>
    <row r="6528" customFormat="false" ht="15.75" hidden="false" customHeight="false" outlineLevel="0" collapsed="false">
      <c r="A6528" s="6" t="n">
        <v>43031.1218981482</v>
      </c>
      <c r="B6528" s="7" t="str">
        <f aca="false">HYPERLINK("https://twitter.com/Tekki_VR","@Tekki_VR")</f>
        <v>@Tekki_VR</v>
      </c>
      <c r="C6528" s="8" t="s">
        <v>225</v>
      </c>
      <c r="D6528" s="8" t="s">
        <v>14834</v>
      </c>
      <c r="E6528" s="9" t="str">
        <f aca="false">HYPERLINK("https://twitter.com/Tekki_VR/status/922401093887381505","922401093887381505")</f>
        <v>922401093887381505</v>
      </c>
      <c r="F6528" s="10" t="s">
        <v>60</v>
      </c>
      <c r="G6528" s="10" t="n">
        <v>1895</v>
      </c>
      <c r="H6528" s="10" t="n">
        <v>2479</v>
      </c>
      <c r="I6528" s="10" t="n">
        <v>0</v>
      </c>
      <c r="J6528" s="10" t="n">
        <v>0</v>
      </c>
      <c r="K6528" s="10" t="s">
        <v>20</v>
      </c>
      <c r="L6528" s="11" t="n">
        <v>42263.5455324074</v>
      </c>
      <c r="M6528" s="12" t="s">
        <v>227</v>
      </c>
      <c r="N6528" s="12" t="s">
        <v>228</v>
      </c>
      <c r="O6528" s="9" t="str">
        <f aca="false">HYPERLINK("https://pbs.twimg.com/profile_images/760662770694098944/h1nSBfE8_normal.jpg","View")</f>
        <v>View</v>
      </c>
      <c r="P6528" s="10"/>
    </row>
    <row r="6529" customFormat="false" ht="15.75" hidden="false" customHeight="false" outlineLevel="0" collapsed="false">
      <c r="A6529" s="6" t="n">
        <v>43031.1219328704</v>
      </c>
      <c r="B6529" s="7" t="str">
        <f aca="false">HYPERLINK("https://twitter.com/abhishekmontu","@abhishekmontu")</f>
        <v>@abhishekmontu</v>
      </c>
      <c r="C6529" s="8" t="s">
        <v>14835</v>
      </c>
      <c r="D6529" s="8" t="s">
        <v>8538</v>
      </c>
      <c r="E6529" s="9" t="str">
        <f aca="false">HYPERLINK("https://twitter.com/abhishekmontu/status/922401104226164736","922401104226164736")</f>
        <v>922401104226164736</v>
      </c>
      <c r="F6529" s="10" t="s">
        <v>25</v>
      </c>
      <c r="G6529" s="10" t="n">
        <v>1346</v>
      </c>
      <c r="H6529" s="10" t="n">
        <v>1149</v>
      </c>
      <c r="I6529" s="10" t="n">
        <v>1015</v>
      </c>
      <c r="J6529" s="10" t="n">
        <v>0</v>
      </c>
      <c r="K6529" s="10" t="s">
        <v>20</v>
      </c>
      <c r="L6529" s="11" t="n">
        <v>40168.4821875</v>
      </c>
      <c r="M6529" s="12" t="s">
        <v>14836</v>
      </c>
      <c r="N6529" s="12"/>
      <c r="O6529" s="9" t="str">
        <f aca="false">HYPERLINK("https://pbs.twimg.com/profile_images/1867117929/Photo1698_normal.jpg","View")</f>
        <v>View</v>
      </c>
      <c r="P6529" s="10"/>
    </row>
    <row r="6530" customFormat="false" ht="15.75" hidden="false" customHeight="false" outlineLevel="0" collapsed="false">
      <c r="A6530" s="6" t="n">
        <v>43031.1220486111</v>
      </c>
      <c r="B6530" s="7" t="str">
        <f aca="false">HYPERLINK("https://twitter.com/JunkieNews_News","@JunkieNews_News")</f>
        <v>@JunkieNews_News</v>
      </c>
      <c r="C6530" s="8" t="s">
        <v>14837</v>
      </c>
      <c r="D6530" s="8" t="s">
        <v>13595</v>
      </c>
      <c r="E6530" s="9" t="str">
        <f aca="false">HYPERLINK("https://twitter.com/JunkieNews_News/status/922401148736327681","922401148736327681")</f>
        <v>922401148736327681</v>
      </c>
      <c r="F6530" s="10" t="s">
        <v>177</v>
      </c>
      <c r="G6530" s="10" t="n">
        <v>84635</v>
      </c>
      <c r="H6530" s="10" t="n">
        <v>84337</v>
      </c>
      <c r="I6530" s="10" t="n">
        <v>88</v>
      </c>
      <c r="J6530" s="10" t="n">
        <v>0</v>
      </c>
      <c r="K6530" s="10" t="s">
        <v>20</v>
      </c>
      <c r="L6530" s="11" t="n">
        <v>41971.3104282408</v>
      </c>
      <c r="M6530" s="12" t="s">
        <v>1143</v>
      </c>
      <c r="N6530" s="12" t="s">
        <v>14838</v>
      </c>
      <c r="O6530" s="9" t="str">
        <f aca="false">HYPERLINK("https://pbs.twimg.com/profile_images/541309825683304449/ek6xnjtB_normal.jpeg","View")</f>
        <v>View</v>
      </c>
      <c r="P6530" s="10"/>
    </row>
    <row r="6531" customFormat="false" ht="15.75" hidden="false" customHeight="false" outlineLevel="0" collapsed="false">
      <c r="A6531" s="6" t="n">
        <v>43031.1222685185</v>
      </c>
      <c r="B6531" s="7" t="str">
        <f aca="false">HYPERLINK("https://twitter.com/Rick4312","@Rick4312")</f>
        <v>@Rick4312</v>
      </c>
      <c r="C6531" s="8" t="s">
        <v>279</v>
      </c>
      <c r="D6531" s="8" t="s">
        <v>14814</v>
      </c>
      <c r="E6531" s="9" t="str">
        <f aca="false">HYPERLINK("https://twitter.com/Rick4312/status/922401228268756992","922401228268756992")</f>
        <v>922401228268756992</v>
      </c>
      <c r="F6531" s="10" t="s">
        <v>25</v>
      </c>
      <c r="G6531" s="10" t="n">
        <v>353</v>
      </c>
      <c r="H6531" s="10" t="n">
        <v>342</v>
      </c>
      <c r="I6531" s="10" t="n">
        <v>14</v>
      </c>
      <c r="J6531" s="10" t="n">
        <v>0</v>
      </c>
      <c r="K6531" s="10" t="s">
        <v>20</v>
      </c>
      <c r="L6531" s="11" t="n">
        <v>39926.1991898148</v>
      </c>
      <c r="M6531" s="12"/>
      <c r="N6531" s="12" t="s">
        <v>280</v>
      </c>
      <c r="O6531" s="9" t="str">
        <f aca="false">HYPERLINK("https://pbs.twimg.com/profile_images/378800000606169554/baf9e73de18cf5538945e01f8656543c_normal.png","View")</f>
        <v>View</v>
      </c>
      <c r="P6531" s="10"/>
    </row>
    <row r="6532" customFormat="false" ht="15.75" hidden="false" customHeight="false" outlineLevel="0" collapsed="false">
      <c r="A6532" s="6" t="n">
        <v>43031.1223148148</v>
      </c>
      <c r="B6532" s="7" t="str">
        <f aca="false">HYPERLINK("https://twitter.com/shailendra_nair","@shailendra_nair")</f>
        <v>@shailendra_nair</v>
      </c>
      <c r="C6532" s="8" t="s">
        <v>251</v>
      </c>
      <c r="D6532" s="8" t="s">
        <v>14839</v>
      </c>
      <c r="E6532" s="9" t="str">
        <f aca="false">HYPERLINK("https://twitter.com/shailendra_nair/status/922401244307697664","922401244307697664")</f>
        <v>922401244307697664</v>
      </c>
      <c r="F6532" s="10" t="s">
        <v>60</v>
      </c>
      <c r="G6532" s="10" t="n">
        <v>3987</v>
      </c>
      <c r="H6532" s="10" t="n">
        <v>1042</v>
      </c>
      <c r="I6532" s="10" t="n">
        <v>0</v>
      </c>
      <c r="J6532" s="10" t="n">
        <v>0</v>
      </c>
      <c r="K6532" s="10" t="s">
        <v>20</v>
      </c>
      <c r="L6532" s="11" t="n">
        <v>40362.4379861111</v>
      </c>
      <c r="M6532" s="12" t="s">
        <v>253</v>
      </c>
      <c r="N6532" s="12" t="s">
        <v>254</v>
      </c>
      <c r="O6532" s="9" t="str">
        <f aca="false">HYPERLINK("https://pbs.twimg.com/profile_images/884758468879466497/M_w6UjD3_normal.jpg","View")</f>
        <v>View</v>
      </c>
      <c r="P6532" s="10"/>
    </row>
    <row r="6533" customFormat="false" ht="15.75" hidden="false" customHeight="false" outlineLevel="0" collapsed="false">
      <c r="A6533" s="6" t="n">
        <v>43031.122349537</v>
      </c>
      <c r="B6533" s="7" t="str">
        <f aca="false">HYPERLINK("https://twitter.com/BSAFunds","@BSAFunds")</f>
        <v>@BSAFunds</v>
      </c>
      <c r="C6533" s="8" t="s">
        <v>924</v>
      </c>
      <c r="D6533" s="8" t="s">
        <v>14840</v>
      </c>
      <c r="E6533" s="9" t="str">
        <f aca="false">HYPERLINK("https://twitter.com/BSAFunds/status/922401256110374912","922401256110374912")</f>
        <v>922401256110374912</v>
      </c>
      <c r="F6533" s="10" t="s">
        <v>60</v>
      </c>
      <c r="G6533" s="10" t="n">
        <v>20871</v>
      </c>
      <c r="H6533" s="10" t="n">
        <v>8926</v>
      </c>
      <c r="I6533" s="10" t="n">
        <v>0</v>
      </c>
      <c r="J6533" s="10" t="n">
        <v>0</v>
      </c>
      <c r="K6533" s="10" t="s">
        <v>20</v>
      </c>
      <c r="L6533" s="11" t="n">
        <v>42601.9481828704</v>
      </c>
      <c r="M6533" s="12" t="s">
        <v>312</v>
      </c>
      <c r="N6533" s="12" t="s">
        <v>926</v>
      </c>
      <c r="O6533" s="9" t="str">
        <f aca="false">HYPERLINK("https://pbs.twimg.com/profile_images/912769166960033792/N4LAmrTs_normal.jpg","View")</f>
        <v>View</v>
      </c>
      <c r="P6533" s="10"/>
    </row>
    <row r="6534" customFormat="false" ht="15.75" hidden="false" customHeight="false" outlineLevel="0" collapsed="false">
      <c r="A6534" s="6" t="n">
        <v>43031.1224074074</v>
      </c>
      <c r="B6534" s="7" t="str">
        <f aca="false">HYPERLINK("https://twitter.com/rob3knews","@rob3knews")</f>
        <v>@rob3knews</v>
      </c>
      <c r="C6534" s="8" t="s">
        <v>13449</v>
      </c>
      <c r="D6534" s="8" t="s">
        <v>14841</v>
      </c>
      <c r="E6534" s="9" t="str">
        <f aca="false">HYPERLINK("https://twitter.com/rob3knews/status/922401276117356544","922401276117356544")</f>
        <v>922401276117356544</v>
      </c>
      <c r="F6534" s="10" t="s">
        <v>55</v>
      </c>
      <c r="G6534" s="10" t="n">
        <v>23</v>
      </c>
      <c r="H6534" s="10" t="n">
        <v>0</v>
      </c>
      <c r="I6534" s="10" t="n">
        <v>0</v>
      </c>
      <c r="J6534" s="10" t="n">
        <v>0</v>
      </c>
      <c r="K6534" s="10" t="s">
        <v>20</v>
      </c>
      <c r="L6534" s="11" t="n">
        <v>40659.2846527778</v>
      </c>
      <c r="M6534" s="12"/>
      <c r="N6534" s="12"/>
      <c r="O6534" s="9" t="str">
        <f aca="false">HYPERLINK("https://abs.twimg.com/sticky/default_profile_images/default_profile_normal.png","View")</f>
        <v>View</v>
      </c>
      <c r="P6534" s="10"/>
    </row>
    <row r="6535" customFormat="false" ht="15.75" hidden="false" customHeight="false" outlineLevel="0" collapsed="false">
      <c r="A6535" s="6" t="n">
        <v>43031.1224074074</v>
      </c>
      <c r="B6535" s="7" t="str">
        <f aca="false">HYPERLINK("https://twitter.com/martisys","@martisys")</f>
        <v>@martisys</v>
      </c>
      <c r="C6535" s="8" t="s">
        <v>14842</v>
      </c>
      <c r="D6535" s="8" t="s">
        <v>14741</v>
      </c>
      <c r="E6535" s="9" t="str">
        <f aca="false">HYPERLINK("https://twitter.com/martisys/status/922401276910030848","922401276910030848")</f>
        <v>922401276910030848</v>
      </c>
      <c r="F6535" s="10" t="s">
        <v>14843</v>
      </c>
      <c r="G6535" s="10" t="n">
        <v>32</v>
      </c>
      <c r="H6535" s="10" t="n">
        <v>105</v>
      </c>
      <c r="I6535" s="10" t="n">
        <v>6</v>
      </c>
      <c r="J6535" s="10" t="n">
        <v>0</v>
      </c>
      <c r="K6535" s="10" t="s">
        <v>20</v>
      </c>
      <c r="L6535" s="11" t="n">
        <v>39637.9778472222</v>
      </c>
      <c r="M6535" s="12" t="s">
        <v>14844</v>
      </c>
      <c r="N6535" s="12"/>
      <c r="O6535" s="9" t="str">
        <f aca="false">HYPERLINK("https://pbs.twimg.com/profile_images/469465712486936576/6RlRpqje_normal.jpeg","View")</f>
        <v>View</v>
      </c>
      <c r="P6535" s="10"/>
    </row>
    <row r="6536" customFormat="false" ht="15.75" hidden="false" customHeight="false" outlineLevel="0" collapsed="false">
      <c r="A6536" s="6" t="n">
        <v>43031.1224537037</v>
      </c>
      <c r="B6536" s="7" t="str">
        <f aca="false">HYPERLINK("https://twitter.com/mlnangalama","@mlnangalama")</f>
        <v>@mlnangalama</v>
      </c>
      <c r="C6536" s="8" t="s">
        <v>255</v>
      </c>
      <c r="D6536" s="8" t="s">
        <v>14845</v>
      </c>
      <c r="E6536" s="9" t="str">
        <f aca="false">HYPERLINK("https://twitter.com/mlnangalama/status/922401292126965760","922401292126965760")</f>
        <v>922401292126965760</v>
      </c>
      <c r="F6536" s="10" t="s">
        <v>60</v>
      </c>
      <c r="G6536" s="10" t="n">
        <v>2370</v>
      </c>
      <c r="H6536" s="10" t="n">
        <v>1584</v>
      </c>
      <c r="I6536" s="10" t="n">
        <v>0</v>
      </c>
      <c r="J6536" s="10" t="n">
        <v>0</v>
      </c>
      <c r="K6536" s="10" t="s">
        <v>20</v>
      </c>
      <c r="L6536" s="11" t="n">
        <v>41041.5437847222</v>
      </c>
      <c r="M6536" s="12" t="s">
        <v>257</v>
      </c>
      <c r="N6536" s="12" t="s">
        <v>258</v>
      </c>
      <c r="O6536" s="9" t="str">
        <f aca="false">HYPERLINK("https://pbs.twimg.com/profile_images/900915882444173313/biUHzvpx_normal.jpg","View")</f>
        <v>View</v>
      </c>
      <c r="P6536" s="10"/>
    </row>
    <row r="6537" customFormat="false" ht="15.75" hidden="false" customHeight="false" outlineLevel="0" collapsed="false">
      <c r="A6537" s="6" t="n">
        <v>43031.1225462963</v>
      </c>
      <c r="B6537" s="7" t="str">
        <f aca="false">HYPERLINK("https://twitter.com/Hvemerdu","@Hvemerdu")</f>
        <v>@Hvemerdu</v>
      </c>
      <c r="C6537" s="8" t="s">
        <v>14846</v>
      </c>
      <c r="D6537" s="8" t="s">
        <v>14814</v>
      </c>
      <c r="E6537" s="9" t="str">
        <f aca="false">HYPERLINK("https://twitter.com/Hvemerdu/status/922401327501557765","922401327501557765")</f>
        <v>922401327501557765</v>
      </c>
      <c r="F6537" s="10" t="s">
        <v>1017</v>
      </c>
      <c r="G6537" s="10" t="n">
        <v>554</v>
      </c>
      <c r="H6537" s="10" t="n">
        <v>672</v>
      </c>
      <c r="I6537" s="10" t="n">
        <v>14</v>
      </c>
      <c r="J6537" s="10" t="n">
        <v>0</v>
      </c>
      <c r="K6537" s="10" t="s">
        <v>20</v>
      </c>
      <c r="L6537" s="11" t="n">
        <v>40129.1363773148</v>
      </c>
      <c r="M6537" s="13" t="s">
        <v>14847</v>
      </c>
      <c r="N6537" s="13" t="s">
        <v>14848</v>
      </c>
      <c r="O6537" s="9" t="str">
        <f aca="false">HYPERLINK("https://pbs.twimg.com/profile_images/1879003714/_____2________________something-like-hikonyan-is-arrested_normal.jpg","View")</f>
        <v>View</v>
      </c>
      <c r="P6537" s="10"/>
    </row>
    <row r="6538" customFormat="false" ht="15.75" hidden="false" customHeight="false" outlineLevel="0" collapsed="false">
      <c r="A6538" s="6" t="n">
        <v>43031.1226967593</v>
      </c>
      <c r="B6538" s="7" t="str">
        <f aca="false">HYPERLINK("https://twitter.com/mparadiso29877","@mparadiso29877")</f>
        <v>@mparadiso29877</v>
      </c>
      <c r="C6538" s="8" t="s">
        <v>14849</v>
      </c>
      <c r="D6538" s="8" t="s">
        <v>13595</v>
      </c>
      <c r="E6538" s="9" t="str">
        <f aca="false">HYPERLINK("https://twitter.com/mparadiso29877/status/922401380840722432","922401380840722432")</f>
        <v>922401380840722432</v>
      </c>
      <c r="F6538" s="10" t="s">
        <v>51</v>
      </c>
      <c r="G6538" s="10" t="n">
        <v>76</v>
      </c>
      <c r="H6538" s="10" t="n">
        <v>504</v>
      </c>
      <c r="I6538" s="10" t="n">
        <v>88</v>
      </c>
      <c r="J6538" s="10" t="n">
        <v>0</v>
      </c>
      <c r="K6538" s="10" t="s">
        <v>20</v>
      </c>
      <c r="L6538" s="11" t="n">
        <v>39538.3875925926</v>
      </c>
      <c r="M6538" s="12" t="s">
        <v>14850</v>
      </c>
      <c r="N6538" s="12" t="s">
        <v>14851</v>
      </c>
      <c r="O6538" s="9" t="str">
        <f aca="false">HYPERLINK("https://pbs.twimg.com/profile_images/967946810/little_me_normal.jpg","View")</f>
        <v>View</v>
      </c>
      <c r="P6538" s="10"/>
    </row>
    <row r="6539" customFormat="false" ht="15.75" hidden="false" customHeight="false" outlineLevel="0" collapsed="false">
      <c r="A6539" s="6" t="n">
        <v>43031.1230671296</v>
      </c>
      <c r="B6539" s="7" t="str">
        <f aca="false">HYPERLINK("https://twitter.com/Bullish","@Bullish")</f>
        <v>@Bullish</v>
      </c>
      <c r="C6539" s="8" t="s">
        <v>223</v>
      </c>
      <c r="D6539" s="8" t="s">
        <v>14852</v>
      </c>
      <c r="E6539" s="9" t="str">
        <f aca="false">HYPERLINK("https://twitter.com/Bullish/status/922401516862038016","922401516862038016")</f>
        <v>922401516862038016</v>
      </c>
      <c r="F6539" s="10" t="s">
        <v>60</v>
      </c>
      <c r="G6539" s="10" t="n">
        <v>184</v>
      </c>
      <c r="H6539" s="10" t="n">
        <v>87</v>
      </c>
      <c r="I6539" s="10" t="n">
        <v>0</v>
      </c>
      <c r="J6539" s="10" t="n">
        <v>0</v>
      </c>
      <c r="K6539" s="10" t="s">
        <v>20</v>
      </c>
      <c r="L6539" s="11" t="n">
        <v>42618.7530439815</v>
      </c>
      <c r="M6539" s="12"/>
      <c r="N6539" s="12"/>
      <c r="O6539" s="9" t="str">
        <f aca="false">HYPERLINK("https://pbs.twimg.com/profile_images/798692093736599552/UikI9dNE_normal.jpg","View")</f>
        <v>View</v>
      </c>
      <c r="P6539" s="10"/>
    </row>
    <row r="6540" customFormat="false" ht="15.75" hidden="false" customHeight="false" outlineLevel="0" collapsed="false">
      <c r="A6540" s="6" t="n">
        <v>43031.1232060185</v>
      </c>
      <c r="B6540" s="7" t="str">
        <f aca="false">HYPERLINK("https://twitter.com/warriorrajputs","@warriorrajputs")</f>
        <v>@warriorrajputs</v>
      </c>
      <c r="C6540" s="8" t="s">
        <v>14853</v>
      </c>
      <c r="D6540" s="8" t="s">
        <v>8538</v>
      </c>
      <c r="E6540" s="9" t="str">
        <f aca="false">HYPERLINK("https://twitter.com/warriorrajputs/status/922401565557665792","922401565557665792")</f>
        <v>922401565557665792</v>
      </c>
      <c r="F6540" s="10" t="s">
        <v>25</v>
      </c>
      <c r="G6540" s="10" t="n">
        <v>516</v>
      </c>
      <c r="H6540" s="10" t="n">
        <v>2372</v>
      </c>
      <c r="I6540" s="10" t="n">
        <v>1015</v>
      </c>
      <c r="J6540" s="10" t="n">
        <v>0</v>
      </c>
      <c r="K6540" s="10" t="s">
        <v>20</v>
      </c>
      <c r="L6540" s="11" t="n">
        <v>39933.0814699074</v>
      </c>
      <c r="M6540" s="12"/>
      <c r="N6540" s="12" t="s">
        <v>14854</v>
      </c>
      <c r="O6540" s="9" t="str">
        <f aca="false">HYPERLINK("https://pbs.twimg.com/profile_images/921416614473428992/PfVKjRni_normal.jpg","View")</f>
        <v>View</v>
      </c>
      <c r="P6540" s="10"/>
    </row>
    <row r="6541" customFormat="false" ht="15.75" hidden="false" customHeight="false" outlineLevel="0" collapsed="false">
      <c r="A6541" s="6" t="n">
        <v>43031.1238310185</v>
      </c>
      <c r="B6541" s="7" t="str">
        <f aca="false">HYPERLINK("https://twitter.com/Iamsalman_k","@Iamsalman_k")</f>
        <v>@Iamsalman_k</v>
      </c>
      <c r="C6541" s="8" t="s">
        <v>14855</v>
      </c>
      <c r="D6541" s="8" t="s">
        <v>14814</v>
      </c>
      <c r="E6541" s="9" t="str">
        <f aca="false">HYPERLINK("https://twitter.com/Iamsalman_k/status/922401792880648192","922401792880648192")</f>
        <v>922401792880648192</v>
      </c>
      <c r="F6541" s="10" t="s">
        <v>39</v>
      </c>
      <c r="G6541" s="10" t="n">
        <v>1710</v>
      </c>
      <c r="H6541" s="10" t="n">
        <v>1419</v>
      </c>
      <c r="I6541" s="10" t="n">
        <v>14</v>
      </c>
      <c r="J6541" s="10" t="n">
        <v>0</v>
      </c>
      <c r="K6541" s="10" t="s">
        <v>20</v>
      </c>
      <c r="L6541" s="11" t="n">
        <v>41987.4109606482</v>
      </c>
      <c r="M6541" s="12" t="s">
        <v>72</v>
      </c>
      <c r="N6541" s="12" t="s">
        <v>14856</v>
      </c>
      <c r="O6541" s="9" t="str">
        <f aca="false">HYPERLINK("https://pbs.twimg.com/profile_images/917745530507112448/IVW0ZbLn_normal.jpg","View")</f>
        <v>View</v>
      </c>
      <c r="P6541" s="10"/>
    </row>
    <row r="6542" customFormat="false" ht="15.75" hidden="false" customHeight="false" outlineLevel="0" collapsed="false">
      <c r="A6542" s="6" t="n">
        <v>43031.123900463</v>
      </c>
      <c r="B6542" s="7" t="str">
        <f aca="false">HYPERLINK("https://twitter.com/rolandlim","@rolandlim")</f>
        <v>@rolandlim</v>
      </c>
      <c r="C6542" s="8" t="s">
        <v>14857</v>
      </c>
      <c r="D6542" s="8" t="s">
        <v>14466</v>
      </c>
      <c r="E6542" s="9" t="str">
        <f aca="false">HYPERLINK("https://twitter.com/rolandlim/status/922401817522139136","922401817522139136")</f>
        <v>922401817522139136</v>
      </c>
      <c r="F6542" s="10" t="s">
        <v>25</v>
      </c>
      <c r="G6542" s="10" t="n">
        <v>60</v>
      </c>
      <c r="H6542" s="10" t="n">
        <v>142</v>
      </c>
      <c r="I6542" s="10" t="n">
        <v>51</v>
      </c>
      <c r="J6542" s="10" t="n">
        <v>0</v>
      </c>
      <c r="K6542" s="10" t="s">
        <v>20</v>
      </c>
      <c r="L6542" s="11" t="n">
        <v>39854.1346412037</v>
      </c>
      <c r="M6542" s="12"/>
      <c r="N6542" s="12"/>
      <c r="O6542" s="9" t="str">
        <f aca="false">HYPERLINK("https://abs.twimg.com/sticky/default_profile_images/default_profile_normal.png","View")</f>
        <v>View</v>
      </c>
      <c r="P6542" s="10"/>
    </row>
    <row r="6543" customFormat="false" ht="15.75" hidden="false" customHeight="false" outlineLevel="0" collapsed="false">
      <c r="A6543" s="6" t="n">
        <v>43031.1245023148</v>
      </c>
      <c r="B6543" s="7" t="str">
        <f aca="false">HYPERLINK("https://twitter.com/DayAsiaTraders","@DayAsiaTraders")</f>
        <v>@DayAsiaTraders</v>
      </c>
      <c r="C6543" s="8" t="s">
        <v>14858</v>
      </c>
      <c r="D6543" s="8" t="s">
        <v>14814</v>
      </c>
      <c r="E6543" s="9" t="str">
        <f aca="false">HYPERLINK("https://twitter.com/DayAsiaTraders/status/922402035424673793","922402035424673793")</f>
        <v>922402035424673793</v>
      </c>
      <c r="F6543" s="10" t="s">
        <v>39</v>
      </c>
      <c r="G6543" s="10" t="n">
        <v>1604</v>
      </c>
      <c r="H6543" s="10" t="n">
        <v>4078</v>
      </c>
      <c r="I6543" s="10" t="n">
        <v>14</v>
      </c>
      <c r="J6543" s="10" t="n">
        <v>0</v>
      </c>
      <c r="K6543" s="10" t="s">
        <v>20</v>
      </c>
      <c r="L6543" s="11" t="n">
        <v>42887.304837963</v>
      </c>
      <c r="M6543" s="12" t="s">
        <v>14859</v>
      </c>
      <c r="N6543" s="12" t="s">
        <v>14860</v>
      </c>
      <c r="O6543" s="9" t="str">
        <f aca="false">HYPERLINK("https://pbs.twimg.com/profile_images/920828791265533953/Fvmezblw_normal.jpg","View")</f>
        <v>View</v>
      </c>
      <c r="P6543" s="10"/>
    </row>
    <row r="6544" customFormat="false" ht="15.75" hidden="false" customHeight="false" outlineLevel="0" collapsed="false">
      <c r="A6544" s="6" t="n">
        <v>43031.1245486111</v>
      </c>
      <c r="B6544" s="7" t="str">
        <f aca="false">HYPERLINK("https://twitter.com/bdnews24","@bdnews24")</f>
        <v>@bdnews24</v>
      </c>
      <c r="C6544" s="8" t="s">
        <v>216</v>
      </c>
      <c r="D6544" s="8" t="s">
        <v>14861</v>
      </c>
      <c r="E6544" s="9" t="str">
        <f aca="false">HYPERLINK("https://twitter.com/bdnews24/status/922402051270770691","922402051270770691")</f>
        <v>922402051270770691</v>
      </c>
      <c r="F6544" s="10" t="s">
        <v>60</v>
      </c>
      <c r="G6544" s="10" t="n">
        <v>215604</v>
      </c>
      <c r="H6544" s="10" t="n">
        <v>67887</v>
      </c>
      <c r="I6544" s="10" t="n">
        <v>0</v>
      </c>
      <c r="J6544" s="10" t="n">
        <v>0</v>
      </c>
      <c r="K6544" s="10" t="s">
        <v>20</v>
      </c>
      <c r="L6544" s="11" t="n">
        <v>39844.4680439815</v>
      </c>
      <c r="M6544" s="12" t="s">
        <v>218</v>
      </c>
      <c r="N6544" s="12" t="s">
        <v>219</v>
      </c>
      <c r="O6544" s="9" t="str">
        <f aca="false">HYPERLINK("https://pbs.twimg.com/profile_images/718433521509994497/4iW9RC_r_normal.jpg","View")</f>
        <v>View</v>
      </c>
      <c r="P6544" s="10"/>
    </row>
    <row r="6545" customFormat="false" ht="15.75" hidden="false" customHeight="false" outlineLevel="0" collapsed="false">
      <c r="A6545" s="6" t="n">
        <v>43031.1246180556</v>
      </c>
      <c r="B6545" s="7" t="str">
        <f aca="false">HYPERLINK("https://twitter.com/Sam4delhi","@Sam4delhi")</f>
        <v>@Sam4delhi</v>
      </c>
      <c r="C6545" s="8" t="s">
        <v>14862</v>
      </c>
      <c r="D6545" s="8" t="s">
        <v>8538</v>
      </c>
      <c r="E6545" s="9" t="str">
        <f aca="false">HYPERLINK("https://twitter.com/Sam4delhi/status/922402076604301312","922402076604301312")</f>
        <v>922402076604301312</v>
      </c>
      <c r="F6545" s="10" t="s">
        <v>51</v>
      </c>
      <c r="G6545" s="10" t="n">
        <v>934</v>
      </c>
      <c r="H6545" s="10" t="n">
        <v>1213</v>
      </c>
      <c r="I6545" s="10" t="n">
        <v>1015</v>
      </c>
      <c r="J6545" s="10" t="n">
        <v>0</v>
      </c>
      <c r="K6545" s="10" t="s">
        <v>20</v>
      </c>
      <c r="L6545" s="11" t="n">
        <v>41456.3965740741</v>
      </c>
      <c r="M6545" s="12" t="s">
        <v>14863</v>
      </c>
      <c r="N6545" s="12" t="s">
        <v>14864</v>
      </c>
      <c r="O6545" s="9" t="str">
        <f aca="false">HYPERLINK("https://pbs.twimg.com/profile_images/917232257672265728/WLJyCn_k_normal.jpg","View")</f>
        <v>View</v>
      </c>
      <c r="P6545" s="10"/>
    </row>
    <row r="6546" customFormat="false" ht="15.75" hidden="false" customHeight="false" outlineLevel="0" collapsed="false">
      <c r="A6546" s="6" t="n">
        <v>43031.1249652778</v>
      </c>
      <c r="B6546" s="7" t="str">
        <f aca="false">HYPERLINK("https://twitter.com/kvijayb1","@kvijayb1")</f>
        <v>@kvijayb1</v>
      </c>
      <c r="C6546" s="8" t="s">
        <v>8605</v>
      </c>
      <c r="D6546" s="8" t="s">
        <v>8538</v>
      </c>
      <c r="E6546" s="9" t="str">
        <f aca="false">HYPERLINK("https://twitter.com/kvijayb1/status/922402202433417216","922402202433417216")</f>
        <v>922402202433417216</v>
      </c>
      <c r="F6546" s="10" t="s">
        <v>177</v>
      </c>
      <c r="G6546" s="10" t="n">
        <v>475</v>
      </c>
      <c r="H6546" s="10" t="n">
        <v>313</v>
      </c>
      <c r="I6546" s="10" t="n">
        <v>1015</v>
      </c>
      <c r="J6546" s="10" t="n">
        <v>0</v>
      </c>
      <c r="K6546" s="10" t="s">
        <v>20</v>
      </c>
      <c r="L6546" s="11" t="n">
        <v>41879.2445717593</v>
      </c>
      <c r="M6546" s="12" t="s">
        <v>1199</v>
      </c>
      <c r="N6546" s="12" t="s">
        <v>14865</v>
      </c>
      <c r="O6546" s="9" t="str">
        <f aca="false">HYPERLINK("https://pbs.twimg.com/profile_images/528417580898209792/ZXEIJMQA_normal.jpeg","View")</f>
        <v>View</v>
      </c>
      <c r="P6546" s="10"/>
    </row>
    <row r="6547" customFormat="false" ht="15.75" hidden="false" customHeight="false" outlineLevel="0" collapsed="false">
      <c r="A6547" s="6" t="n">
        <v>43031.1255092593</v>
      </c>
      <c r="B6547" s="7" t="str">
        <f aca="false">HYPERLINK("https://twitter.com/GboruM","@GboruM")</f>
        <v>@GboruM</v>
      </c>
      <c r="C6547" s="8" t="s">
        <v>2206</v>
      </c>
      <c r="D6547" s="8" t="s">
        <v>14866</v>
      </c>
      <c r="E6547" s="9" t="str">
        <f aca="false">HYPERLINK("https://twitter.com/GboruM/status/922402399154769920","922402399154769920")</f>
        <v>922402399154769920</v>
      </c>
      <c r="F6547" s="10" t="s">
        <v>55</v>
      </c>
      <c r="G6547" s="10" t="n">
        <v>12129</v>
      </c>
      <c r="H6547" s="10" t="n">
        <v>287</v>
      </c>
      <c r="I6547" s="10" t="n">
        <v>0</v>
      </c>
      <c r="J6547" s="10" t="n">
        <v>0</v>
      </c>
      <c r="K6547" s="10" t="s">
        <v>20</v>
      </c>
      <c r="L6547" s="11" t="n">
        <v>41246.9268518519</v>
      </c>
      <c r="M6547" s="12" t="s">
        <v>1670</v>
      </c>
      <c r="N6547" s="12" t="s">
        <v>2208</v>
      </c>
      <c r="O6547" s="9" t="str">
        <f aca="false">HYPERLINK("https://pbs.twimg.com/profile_images/923809863121166336/FPYIgixr_normal.jpg","View")</f>
        <v>View</v>
      </c>
      <c r="P6547" s="10"/>
    </row>
    <row r="6548" customFormat="false" ht="15.75" hidden="false" customHeight="false" outlineLevel="0" collapsed="false">
      <c r="A6548" s="6" t="n">
        <v>43031.1255671296</v>
      </c>
      <c r="B6548" s="7" t="str">
        <f aca="false">HYPERLINK("https://twitter.com/DrElnora","@DrElnora")</f>
        <v>@DrElnora</v>
      </c>
      <c r="C6548" s="8" t="s">
        <v>14867</v>
      </c>
      <c r="D6548" s="8" t="s">
        <v>14814</v>
      </c>
      <c r="E6548" s="9" t="str">
        <f aca="false">HYPERLINK("https://twitter.com/DrElnora/status/922402422156296195","922402422156296195")</f>
        <v>922402422156296195</v>
      </c>
      <c r="F6548" s="10" t="s">
        <v>25</v>
      </c>
      <c r="G6548" s="10" t="n">
        <v>6428</v>
      </c>
      <c r="H6548" s="10" t="n">
        <v>4893</v>
      </c>
      <c r="I6548" s="10" t="n">
        <v>14</v>
      </c>
      <c r="J6548" s="10" t="n">
        <v>0</v>
      </c>
      <c r="K6548" s="10" t="s">
        <v>20</v>
      </c>
      <c r="L6548" s="11" t="n">
        <v>41403.6549421296</v>
      </c>
      <c r="M6548" s="12"/>
      <c r="N6548" s="12" t="s">
        <v>14868</v>
      </c>
      <c r="O6548" s="9" t="str">
        <f aca="false">HYPERLINK("https://pbs.twimg.com/profile_images/378800000020664644/363a8e7ca064cbd7611800d362cbf9f0_normal.jpeg","View")</f>
        <v>View</v>
      </c>
      <c r="P6548" s="10"/>
    </row>
    <row r="6549" customFormat="false" ht="15.75" hidden="false" customHeight="false" outlineLevel="0" collapsed="false">
      <c r="A6549" s="6" t="n">
        <v>43031.1256481482</v>
      </c>
      <c r="B6549" s="7" t="str">
        <f aca="false">HYPERLINK("https://twitter.com/ronakshah","@ronakshah")</f>
        <v>@ronakshah</v>
      </c>
      <c r="C6549" s="8" t="s">
        <v>14869</v>
      </c>
      <c r="D6549" s="8" t="s">
        <v>14814</v>
      </c>
      <c r="E6549" s="9" t="str">
        <f aca="false">HYPERLINK("https://twitter.com/ronakshah/status/922402451516407808","922402451516407808")</f>
        <v>922402451516407808</v>
      </c>
      <c r="F6549" s="10" t="s">
        <v>25</v>
      </c>
      <c r="G6549" s="10" t="n">
        <v>2556</v>
      </c>
      <c r="H6549" s="10" t="n">
        <v>5001</v>
      </c>
      <c r="I6549" s="10" t="n">
        <v>14</v>
      </c>
      <c r="J6549" s="10" t="n">
        <v>0</v>
      </c>
      <c r="K6549" s="10" t="s">
        <v>20</v>
      </c>
      <c r="L6549" s="11" t="n">
        <v>39411.9368055556</v>
      </c>
      <c r="M6549" s="12" t="s">
        <v>72</v>
      </c>
      <c r="N6549" s="12" t="s">
        <v>14870</v>
      </c>
      <c r="O6549" s="9" t="str">
        <f aca="false">HYPERLINK("https://pbs.twimg.com/profile_images/3053522310/2dcf1b729a0c7da03c33cb323a132643_normal.jpeg","View")</f>
        <v>View</v>
      </c>
      <c r="P6549" s="10"/>
    </row>
    <row r="6550" customFormat="false" ht="15.75" hidden="false" customHeight="false" outlineLevel="0" collapsed="false">
      <c r="A6550" s="6" t="n">
        <v>43031.1256828704</v>
      </c>
      <c r="B6550" s="7" t="str">
        <f aca="false">HYPERLINK("https://twitter.com/WMALDC","@WMALDC")</f>
        <v>@WMALDC</v>
      </c>
      <c r="C6550" s="8" t="s">
        <v>14871</v>
      </c>
      <c r="D6550" s="8" t="s">
        <v>14872</v>
      </c>
      <c r="E6550" s="9" t="str">
        <f aca="false">HYPERLINK("https://twitter.com/WMALDC/status/922402462966910976","922402462966910976")</f>
        <v>922402462966910976</v>
      </c>
      <c r="F6550" s="10" t="s">
        <v>110</v>
      </c>
      <c r="G6550" s="10" t="n">
        <v>6607</v>
      </c>
      <c r="H6550" s="10" t="n">
        <v>2907</v>
      </c>
      <c r="I6550" s="10" t="n">
        <v>0</v>
      </c>
      <c r="J6550" s="10" t="n">
        <v>0</v>
      </c>
      <c r="K6550" s="10" t="s">
        <v>20</v>
      </c>
      <c r="L6550" s="11" t="n">
        <v>39720.095775463</v>
      </c>
      <c r="M6550" s="12" t="s">
        <v>6370</v>
      </c>
      <c r="N6550" s="12" t="s">
        <v>14873</v>
      </c>
      <c r="O6550" s="9" t="str">
        <f aca="false">HYPERLINK("https://pbs.twimg.com/profile_images/378800000484349706/9d261aa8bb8f664d40b62be5e2c004db_normal.png","View")</f>
        <v>View</v>
      </c>
      <c r="P6550" s="10"/>
    </row>
    <row r="6551" customFormat="false" ht="15.75" hidden="false" customHeight="false" outlineLevel="0" collapsed="false">
      <c r="A6551" s="6" t="n">
        <v>43031.1256944445</v>
      </c>
      <c r="B6551" s="7" t="str">
        <f aca="false">HYPERLINK("https://twitter.com/wmalnews","@wmalnews")</f>
        <v>@wmalnews</v>
      </c>
      <c r="C6551" s="8" t="s">
        <v>14874</v>
      </c>
      <c r="D6551" s="8" t="s">
        <v>14875</v>
      </c>
      <c r="E6551" s="9" t="str">
        <f aca="false">HYPERLINK("https://twitter.com/wmalnews/status/922402469975642112","922402469975642112")</f>
        <v>922402469975642112</v>
      </c>
      <c r="F6551" s="10" t="s">
        <v>110</v>
      </c>
      <c r="G6551" s="10" t="n">
        <v>4425</v>
      </c>
      <c r="H6551" s="10" t="n">
        <v>829</v>
      </c>
      <c r="I6551" s="10" t="n">
        <v>0</v>
      </c>
      <c r="J6551" s="10" t="n">
        <v>0</v>
      </c>
      <c r="K6551" s="10" t="s">
        <v>20</v>
      </c>
      <c r="L6551" s="11" t="n">
        <v>39615.5247685185</v>
      </c>
      <c r="M6551" s="12" t="s">
        <v>6370</v>
      </c>
      <c r="N6551" s="12" t="s">
        <v>14876</v>
      </c>
      <c r="O6551" s="9" t="str">
        <f aca="false">HYPERLINK("https://pbs.twimg.com/profile_images/1551839115/wmal_new_logo_200x200_normal.gif","View")</f>
        <v>View</v>
      </c>
      <c r="P6551" s="10"/>
    </row>
    <row r="6552" customFormat="false" ht="15.75" hidden="false" customHeight="false" outlineLevel="0" collapsed="false">
      <c r="A6552" s="6" t="n">
        <v>43031.1258449074</v>
      </c>
      <c r="B6552" s="7" t="str">
        <f aca="false">HYPERLINK("https://twitter.com/FairyBallington","@FairyBallington")</f>
        <v>@FairyBallington</v>
      </c>
      <c r="C6552" s="8" t="s">
        <v>14832</v>
      </c>
      <c r="D6552" s="8" t="s">
        <v>13741</v>
      </c>
      <c r="E6552" s="9" t="str">
        <f aca="false">HYPERLINK("https://twitter.com/FairyBallington/status/922402521779523584","922402521779523584")</f>
        <v>922402521779523584</v>
      </c>
      <c r="F6552" s="10" t="s">
        <v>14833</v>
      </c>
      <c r="G6552" s="10" t="n">
        <v>419</v>
      </c>
      <c r="H6552" s="10" t="n">
        <v>2609</v>
      </c>
      <c r="I6552" s="10" t="n">
        <v>17</v>
      </c>
      <c r="J6552" s="10" t="n">
        <v>0</v>
      </c>
      <c r="K6552" s="10" t="s">
        <v>20</v>
      </c>
      <c r="L6552" s="11" t="n">
        <v>41674.9630555556</v>
      </c>
      <c r="M6552" s="12"/>
      <c r="N6552" s="12"/>
      <c r="O6552" s="9" t="str">
        <f aca="false">HYPERLINK("https://abs.twimg.com/sticky/default_profile_images/default_profile_normal.png","View")</f>
        <v>View</v>
      </c>
      <c r="P6552" s="10"/>
    </row>
    <row r="6553" customFormat="false" ht="15.75" hidden="false" customHeight="false" outlineLevel="0" collapsed="false">
      <c r="A6553" s="6" t="n">
        <v>43031.1258796296</v>
      </c>
      <c r="B6553" s="7" t="str">
        <f aca="false">HYPERLINK("https://twitter.com/LesegoThinane","@LesegoThinane")</f>
        <v>@LesegoThinane</v>
      </c>
      <c r="C6553" s="8" t="s">
        <v>14877</v>
      </c>
      <c r="D6553" s="8" t="s">
        <v>14106</v>
      </c>
      <c r="E6553" s="9" t="str">
        <f aca="false">HYPERLINK("https://twitter.com/LesegoThinane/status/922402536409231360","922402536409231360")</f>
        <v>922402536409231360</v>
      </c>
      <c r="F6553" s="10" t="s">
        <v>51</v>
      </c>
      <c r="G6553" s="10" t="n">
        <v>564</v>
      </c>
      <c r="H6553" s="10" t="n">
        <v>521</v>
      </c>
      <c r="I6553" s="10" t="n">
        <v>30</v>
      </c>
      <c r="J6553" s="10" t="n">
        <v>0</v>
      </c>
      <c r="K6553" s="10" t="s">
        <v>20</v>
      </c>
      <c r="L6553" s="11" t="n">
        <v>40421.6420486111</v>
      </c>
      <c r="M6553" s="12" t="s">
        <v>14878</v>
      </c>
      <c r="N6553" s="12" t="s">
        <v>14879</v>
      </c>
      <c r="O6553" s="9" t="str">
        <f aca="false">HYPERLINK("https://pbs.twimg.com/profile_images/919275975581552646/3QuemXOS_normal.jpg","View")</f>
        <v>View</v>
      </c>
      <c r="P6553" s="10"/>
    </row>
    <row r="6554" customFormat="false" ht="15.75" hidden="false" customHeight="false" outlineLevel="0" collapsed="false">
      <c r="A6554" s="6" t="n">
        <v>43031.1259259259</v>
      </c>
      <c r="B6554" s="7" t="str">
        <f aca="false">HYPERLINK("https://twitter.com/bpolitics","@bpolitics")</f>
        <v>@bpolitics</v>
      </c>
      <c r="C6554" s="8" t="s">
        <v>266</v>
      </c>
      <c r="D6554" s="8" t="s">
        <v>14880</v>
      </c>
      <c r="E6554" s="9" t="str">
        <f aca="false">HYPERLINK("https://twitter.com/bpolitics/status/922402550787084288","922402550787084288")</f>
        <v>922402550787084288</v>
      </c>
      <c r="F6554" s="9" t="s">
        <v>198</v>
      </c>
      <c r="G6554" s="10" t="n">
        <v>221392</v>
      </c>
      <c r="H6554" s="10" t="n">
        <v>868</v>
      </c>
      <c r="I6554" s="10" t="n">
        <v>3</v>
      </c>
      <c r="J6554" s="10" t="n">
        <v>2</v>
      </c>
      <c r="K6554" s="10" t="s">
        <v>20</v>
      </c>
      <c r="L6554" s="11" t="n">
        <v>41025.576400463</v>
      </c>
      <c r="M6554" s="12"/>
      <c r="N6554" s="12" t="s">
        <v>269</v>
      </c>
      <c r="O6554" s="9" t="str">
        <f aca="false">HYPERLINK("https://pbs.twimg.com/profile_images/714804098890133504/cUO4gD1A_normal.jpg","View")</f>
        <v>View</v>
      </c>
      <c r="P6554" s="10"/>
    </row>
    <row r="6555" customFormat="false" ht="15.75" hidden="false" customHeight="false" outlineLevel="0" collapsed="false">
      <c r="A6555" s="6" t="n">
        <v>43031.1260069444</v>
      </c>
      <c r="B6555" s="7" t="str">
        <f aca="false">HYPERLINK("https://twitter.com/Orgetorix","@Orgetorix")</f>
        <v>@Orgetorix</v>
      </c>
      <c r="C6555" s="8" t="s">
        <v>14881</v>
      </c>
      <c r="D6555" s="8" t="s">
        <v>14882</v>
      </c>
      <c r="E6555" s="9" t="str">
        <f aca="false">HYPERLINK("https://twitter.com/Orgetorix/status/922402579572813824","922402579572813824")</f>
        <v>922402579572813824</v>
      </c>
      <c r="F6555" s="10" t="s">
        <v>39</v>
      </c>
      <c r="G6555" s="10" t="n">
        <v>3411</v>
      </c>
      <c r="H6555" s="10" t="n">
        <v>4999</v>
      </c>
      <c r="I6555" s="10" t="n">
        <v>0</v>
      </c>
      <c r="J6555" s="10" t="n">
        <v>0</v>
      </c>
      <c r="K6555" s="10" t="s">
        <v>20</v>
      </c>
      <c r="L6555" s="11" t="n">
        <v>39888.9191087963</v>
      </c>
      <c r="M6555" s="12" t="s">
        <v>182</v>
      </c>
      <c r="N6555" s="12" t="s">
        <v>14883</v>
      </c>
      <c r="O6555" s="9" t="str">
        <f aca="false">HYPERLINK("https://pbs.twimg.com/profile_images/3082717867/20845cf67d93f95a09bf879b63c61c74_normal.jpeg","View")</f>
        <v>View</v>
      </c>
      <c r="P6555" s="10"/>
    </row>
    <row r="6556" customFormat="false" ht="15.75" hidden="false" customHeight="false" outlineLevel="0" collapsed="false">
      <c r="A6556" s="6" t="n">
        <v>43031.1263078704</v>
      </c>
      <c r="B6556" s="7" t="str">
        <f aca="false">HYPERLINK("https://twitter.com/Pramod1902","@Pramod1902")</f>
        <v>@Pramod1902</v>
      </c>
      <c r="C6556" s="8" t="s">
        <v>14884</v>
      </c>
      <c r="D6556" s="8" t="s">
        <v>8538</v>
      </c>
      <c r="E6556" s="9" t="str">
        <f aca="false">HYPERLINK("https://twitter.com/Pramod1902/status/922402689761271809","922402689761271809")</f>
        <v>922402689761271809</v>
      </c>
      <c r="F6556" s="10" t="s">
        <v>25</v>
      </c>
      <c r="G6556" s="10" t="n">
        <v>399</v>
      </c>
      <c r="H6556" s="10" t="n">
        <v>239</v>
      </c>
      <c r="I6556" s="10" t="n">
        <v>1015</v>
      </c>
      <c r="J6556" s="10" t="n">
        <v>0</v>
      </c>
      <c r="K6556" s="10" t="s">
        <v>20</v>
      </c>
      <c r="L6556" s="11" t="n">
        <v>40479.0247453704</v>
      </c>
      <c r="M6556" s="12" t="s">
        <v>2340</v>
      </c>
      <c r="N6556" s="12" t="s">
        <v>14885</v>
      </c>
      <c r="O6556" s="9" t="str">
        <f aca="false">HYPERLINK("https://pbs.twimg.com/profile_images/921715546613153793/Y-0AXWaX_normal.jpg","View")</f>
        <v>View</v>
      </c>
      <c r="P6556" s="10"/>
    </row>
    <row r="6557" customFormat="false" ht="15.75" hidden="false" customHeight="false" outlineLevel="0" collapsed="false">
      <c r="A6557" s="6" t="n">
        <v>43031.1263425926</v>
      </c>
      <c r="B6557" s="7" t="str">
        <f aca="false">HYPERLINK("https://twitter.com/BloombergTV","@BloombergTV")</f>
        <v>@BloombergTV</v>
      </c>
      <c r="C6557" s="8" t="s">
        <v>317</v>
      </c>
      <c r="D6557" s="8" t="s">
        <v>14886</v>
      </c>
      <c r="E6557" s="9" t="str">
        <f aca="false">HYPERLINK("https://twitter.com/BloombergTV/status/922402704550395904","922402704550395904")</f>
        <v>922402704550395904</v>
      </c>
      <c r="F6557" s="10" t="s">
        <v>268</v>
      </c>
      <c r="G6557" s="10" t="n">
        <v>452918</v>
      </c>
      <c r="H6557" s="10" t="n">
        <v>458</v>
      </c>
      <c r="I6557" s="10" t="n">
        <v>3</v>
      </c>
      <c r="J6557" s="10" t="n">
        <v>0</v>
      </c>
      <c r="K6557" s="10" t="s">
        <v>20</v>
      </c>
      <c r="L6557" s="11" t="n">
        <v>39927.4899768519</v>
      </c>
      <c r="M6557" s="12" t="s">
        <v>319</v>
      </c>
      <c r="N6557" s="12" t="s">
        <v>320</v>
      </c>
      <c r="O6557" s="9" t="str">
        <f aca="false">HYPERLINK("https://pbs.twimg.com/profile_images/714801760632770560/7My2hMBt_normal.jpg","View")</f>
        <v>View</v>
      </c>
      <c r="P6557" s="10"/>
    </row>
    <row r="6558" customFormat="false" ht="15.75" hidden="false" customHeight="false" outlineLevel="0" collapsed="false">
      <c r="A6558" s="6" t="n">
        <v>43031.1265625</v>
      </c>
      <c r="B6558" s="7" t="str">
        <f aca="false">HYPERLINK("https://twitter.com/3novices","@3novices")</f>
        <v>@3novices</v>
      </c>
      <c r="C6558" s="8" t="s">
        <v>2597</v>
      </c>
      <c r="D6558" s="8" t="s">
        <v>14887</v>
      </c>
      <c r="E6558" s="9" t="str">
        <f aca="false">HYPERLINK("https://twitter.com/3novices/status/922402781868232704","922402781868232704")</f>
        <v>922402781868232704</v>
      </c>
      <c r="F6558" s="10" t="s">
        <v>60</v>
      </c>
      <c r="G6558" s="10" t="n">
        <v>908</v>
      </c>
      <c r="H6558" s="10" t="n">
        <v>1121</v>
      </c>
      <c r="I6558" s="10" t="n">
        <v>0</v>
      </c>
      <c r="J6558" s="10" t="n">
        <v>0</v>
      </c>
      <c r="K6558" s="10" t="s">
        <v>20</v>
      </c>
      <c r="L6558" s="11" t="n">
        <v>41858.8617476852</v>
      </c>
      <c r="M6558" s="12"/>
      <c r="N6558" s="12" t="s">
        <v>2599</v>
      </c>
      <c r="O6558" s="9" t="str">
        <f aca="false">HYPERLINK("https://pbs.twimg.com/profile_images/497588842510053376/67AA7E5K_normal.jpeg","View")</f>
        <v>View</v>
      </c>
      <c r="P6558" s="10"/>
    </row>
    <row r="6559" customFormat="false" ht="15.75" hidden="false" customHeight="false" outlineLevel="0" collapsed="false">
      <c r="A6559" s="6" t="n">
        <v>43031.1266319444</v>
      </c>
      <c r="B6559" s="7" t="str">
        <f aca="false">HYPERLINK("https://twitter.com/venksaiyan","@venksaiyan")</f>
        <v>@venksaiyan</v>
      </c>
      <c r="C6559" s="8" t="s">
        <v>14888</v>
      </c>
      <c r="D6559" s="8" t="s">
        <v>8538</v>
      </c>
      <c r="E6559" s="9" t="str">
        <f aca="false">HYPERLINK("https://twitter.com/venksaiyan/status/922402807335890944","922402807335890944")</f>
        <v>922402807335890944</v>
      </c>
      <c r="F6559" s="10" t="s">
        <v>39</v>
      </c>
      <c r="G6559" s="10" t="n">
        <v>175</v>
      </c>
      <c r="H6559" s="10" t="n">
        <v>518</v>
      </c>
      <c r="I6559" s="10" t="n">
        <v>1015</v>
      </c>
      <c r="J6559" s="10" t="n">
        <v>0</v>
      </c>
      <c r="K6559" s="10" t="s">
        <v>20</v>
      </c>
      <c r="L6559" s="11" t="n">
        <v>41367.4409722222</v>
      </c>
      <c r="M6559" s="12" t="s">
        <v>868</v>
      </c>
      <c r="N6559" s="12" t="s">
        <v>14889</v>
      </c>
      <c r="O6559" s="9" t="str">
        <f aca="false">HYPERLINK("https://pbs.twimg.com/profile_images/819942068256505856/iLFt87Pt_normal.jpg","View")</f>
        <v>View</v>
      </c>
      <c r="P6559" s="10"/>
    </row>
    <row r="6560" customFormat="false" ht="15.75" hidden="false" customHeight="false" outlineLevel="0" collapsed="false">
      <c r="A6560" s="6" t="n">
        <v>43031.126724537</v>
      </c>
      <c r="B6560" s="7" t="str">
        <f aca="false">HYPERLINK("https://twitter.com/_silversmith","@_silversmith")</f>
        <v>@_silversmith</v>
      </c>
      <c r="C6560" s="8" t="s">
        <v>14890</v>
      </c>
      <c r="D6560" s="8" t="s">
        <v>14891</v>
      </c>
      <c r="E6560" s="9" t="str">
        <f aca="false">HYPERLINK("https://twitter.com/_silversmith/status/922402841842606081","922402841842606081")</f>
        <v>922402841842606081</v>
      </c>
      <c r="F6560" s="10" t="s">
        <v>51</v>
      </c>
      <c r="G6560" s="10" t="n">
        <v>2099</v>
      </c>
      <c r="H6560" s="10" t="n">
        <v>815</v>
      </c>
      <c r="I6560" s="10" t="n">
        <v>3</v>
      </c>
      <c r="J6560" s="10" t="n">
        <v>0</v>
      </c>
      <c r="K6560" s="10" t="s">
        <v>20</v>
      </c>
      <c r="L6560" s="11" t="n">
        <v>40295.3325694444</v>
      </c>
      <c r="M6560" s="12" t="s">
        <v>4684</v>
      </c>
      <c r="N6560" s="12" t="s">
        <v>14892</v>
      </c>
      <c r="O6560" s="9" t="str">
        <f aca="false">HYPERLINK("https://pbs.twimg.com/profile_images/3558219501/b73a7becd3ee44014917010c3d3c696d_normal.jpeg","View")</f>
        <v>View</v>
      </c>
      <c r="P6560" s="10"/>
    </row>
    <row r="6561" customFormat="false" ht="15.75" hidden="false" customHeight="false" outlineLevel="0" collapsed="false">
      <c r="A6561" s="6" t="n">
        <v>43031.1268865741</v>
      </c>
      <c r="B6561" s="7" t="str">
        <f aca="false">HYPERLINK("https://twitter.com/aniruddh_kewat","@aniruddh_kewat")</f>
        <v>@aniruddh_kewat</v>
      </c>
      <c r="C6561" s="8" t="s">
        <v>14893</v>
      </c>
      <c r="D6561" s="8" t="s">
        <v>14709</v>
      </c>
      <c r="E6561" s="9" t="str">
        <f aca="false">HYPERLINK("https://twitter.com/aniruddh_kewat/status/922402899329564672","922402899329564672")</f>
        <v>922402899329564672</v>
      </c>
      <c r="F6561" s="10" t="s">
        <v>25</v>
      </c>
      <c r="G6561" s="10" t="n">
        <v>207</v>
      </c>
      <c r="H6561" s="10" t="n">
        <v>263</v>
      </c>
      <c r="I6561" s="10" t="n">
        <v>3</v>
      </c>
      <c r="J6561" s="10" t="n">
        <v>0</v>
      </c>
      <c r="K6561" s="10" t="s">
        <v>20</v>
      </c>
      <c r="L6561" s="11" t="n">
        <v>41143.3427430556</v>
      </c>
      <c r="M6561" s="12" t="s">
        <v>13327</v>
      </c>
      <c r="N6561" s="12"/>
      <c r="O6561" s="9" t="str">
        <f aca="false">HYPERLINK("https://pbs.twimg.com/profile_images/917965235063001088/V817Cyqu_normal.jpg","View")</f>
        <v>View</v>
      </c>
      <c r="P6561" s="10"/>
    </row>
    <row r="6562" customFormat="false" ht="15.75" hidden="false" customHeight="false" outlineLevel="0" collapsed="false">
      <c r="A6562" s="6" t="n">
        <v>43031.1269097222</v>
      </c>
      <c r="B6562" s="7" t="str">
        <f aca="false">HYPERLINK("https://twitter.com/Gabriel_Espana","@Gabriel_Espana")</f>
        <v>@Gabriel_Espana</v>
      </c>
      <c r="C6562" s="8" t="s">
        <v>14894</v>
      </c>
      <c r="D6562" s="8" t="s">
        <v>14895</v>
      </c>
      <c r="E6562" s="9" t="str">
        <f aca="false">HYPERLINK("https://twitter.com/Gabriel_Espana/status/922402910167863296","922402910167863296")</f>
        <v>922402910167863296</v>
      </c>
      <c r="F6562" s="10" t="s">
        <v>60</v>
      </c>
      <c r="G6562" s="10" t="n">
        <v>1328</v>
      </c>
      <c r="H6562" s="10" t="n">
        <v>2635</v>
      </c>
      <c r="I6562" s="10" t="n">
        <v>0</v>
      </c>
      <c r="J6562" s="10" t="n">
        <v>0</v>
      </c>
      <c r="K6562" s="10" t="s">
        <v>20</v>
      </c>
      <c r="L6562" s="11" t="n">
        <v>39930.3024652778</v>
      </c>
      <c r="M6562" s="12" t="s">
        <v>6370</v>
      </c>
      <c r="N6562" s="12" t="s">
        <v>14896</v>
      </c>
      <c r="O6562" s="9" t="str">
        <f aca="false">HYPERLINK("https://pbs.twimg.com/profile_images/782980312263434240/UkE9GrfP_normal.jpg","View")</f>
        <v>View</v>
      </c>
      <c r="P6562" s="10"/>
    </row>
    <row r="6563" customFormat="false" ht="15.75" hidden="false" customHeight="false" outlineLevel="0" collapsed="false">
      <c r="A6563" s="6" t="n">
        <v>43031.1270023148</v>
      </c>
      <c r="B6563" s="7" t="str">
        <f aca="false">HYPERLINK("https://twitter.com/newslivenetwork","@newslivenetwork")</f>
        <v>@newslivenetwork</v>
      </c>
      <c r="C6563" s="8" t="s">
        <v>1668</v>
      </c>
      <c r="D6563" s="8" t="s">
        <v>14897</v>
      </c>
      <c r="E6563" s="9" t="str">
        <f aca="false">HYPERLINK("https://twitter.com/newslivenetwork/status/922402940123602944","922402940123602944")</f>
        <v>922402940123602944</v>
      </c>
      <c r="F6563" s="10" t="s">
        <v>55</v>
      </c>
      <c r="G6563" s="10" t="n">
        <v>272</v>
      </c>
      <c r="H6563" s="10" t="n">
        <v>87</v>
      </c>
      <c r="I6563" s="10" t="n">
        <v>0</v>
      </c>
      <c r="J6563" s="10" t="n">
        <v>0</v>
      </c>
      <c r="K6563" s="10" t="s">
        <v>20</v>
      </c>
      <c r="L6563" s="11" t="n">
        <v>42741.4719675926</v>
      </c>
      <c r="M6563" s="12" t="s">
        <v>1670</v>
      </c>
      <c r="N6563" s="12" t="s">
        <v>1671</v>
      </c>
      <c r="O6563" s="9" t="str">
        <f aca="false">HYPERLINK("https://pbs.twimg.com/profile_images/877414144424660992/scfhocj3_normal.jpg","View")</f>
        <v>View</v>
      </c>
      <c r="P6563" s="10"/>
    </row>
    <row r="6564" customFormat="false" ht="15.75" hidden="false" customHeight="false" outlineLevel="0" collapsed="false">
      <c r="A6564" s="6" t="n">
        <v>43031.1271643519</v>
      </c>
      <c r="B6564" s="7" t="str">
        <f aca="false">HYPERLINK("https://twitter.com/_MuzieB","@_MuzieB")</f>
        <v>@_MuzieB</v>
      </c>
      <c r="C6564" s="8" t="s">
        <v>14898</v>
      </c>
      <c r="D6564" s="8" t="s">
        <v>9783</v>
      </c>
      <c r="E6564" s="9" t="str">
        <f aca="false">HYPERLINK("https://twitter.com/_MuzieB/status/922403001343586307","922403001343586307")</f>
        <v>922403001343586307</v>
      </c>
      <c r="F6564" s="10" t="s">
        <v>25</v>
      </c>
      <c r="G6564" s="10" t="n">
        <v>6316</v>
      </c>
      <c r="H6564" s="10" t="n">
        <v>5596</v>
      </c>
      <c r="I6564" s="10" t="n">
        <v>17</v>
      </c>
      <c r="J6564" s="10" t="n">
        <v>0</v>
      </c>
      <c r="K6564" s="10" t="s">
        <v>20</v>
      </c>
      <c r="L6564" s="11" t="n">
        <v>42020.3594907407</v>
      </c>
      <c r="M6564" s="12" t="s">
        <v>14899</v>
      </c>
      <c r="N6564" s="12" t="s">
        <v>14900</v>
      </c>
      <c r="O6564" s="9" t="str">
        <f aca="false">HYPERLINK("https://pbs.twimg.com/profile_images/922943548487557120/C8H5eJPQ_normal.jpg","View")</f>
        <v>View</v>
      </c>
      <c r="P6564" s="10"/>
    </row>
    <row r="6565" customFormat="false" ht="15.75" hidden="false" customHeight="false" outlineLevel="0" collapsed="false">
      <c r="A6565" s="6" t="n">
        <v>43031.1272800926</v>
      </c>
      <c r="B6565" s="7" t="str">
        <f aca="false">HYPERLINK("https://twitter.com/FallySomboNkhwa","@FallySomboNkhwa")</f>
        <v>@FallySomboNkhwa</v>
      </c>
      <c r="C6565" s="8" t="s">
        <v>260</v>
      </c>
      <c r="D6565" s="8" t="s">
        <v>14901</v>
      </c>
      <c r="E6565" s="9" t="str">
        <f aca="false">HYPERLINK("https://twitter.com/FallySomboNkhwa/status/922403042225459200","922403042225459200")</f>
        <v>922403042225459200</v>
      </c>
      <c r="F6565" s="10" t="s">
        <v>60</v>
      </c>
      <c r="G6565" s="10" t="n">
        <v>421</v>
      </c>
      <c r="H6565" s="10" t="n">
        <v>2195</v>
      </c>
      <c r="I6565" s="10" t="n">
        <v>0</v>
      </c>
      <c r="J6565" s="10" t="n">
        <v>0</v>
      </c>
      <c r="K6565" s="10" t="s">
        <v>20</v>
      </c>
      <c r="L6565" s="11" t="n">
        <v>41551.8204166667</v>
      </c>
      <c r="M6565" s="12" t="s">
        <v>262</v>
      </c>
      <c r="N6565" s="12" t="s">
        <v>263</v>
      </c>
      <c r="O6565" s="9" t="str">
        <f aca="false">HYPERLINK("https://pbs.twimg.com/profile_images/543761133505503235/pKcg8bc2_normal.jpeg","View")</f>
        <v>View</v>
      </c>
      <c r="P6565" s="10"/>
    </row>
    <row r="6566" customFormat="false" ht="15.75" hidden="false" customHeight="false" outlineLevel="0" collapsed="false">
      <c r="A6566" s="6" t="n">
        <v>43031.127349537</v>
      </c>
      <c r="B6566" s="7" t="str">
        <f aca="false">HYPERLINK("https://twitter.com/LinkedInTutors","@LinkedInTutors")</f>
        <v>@LinkedInTutors</v>
      </c>
      <c r="C6566" s="8" t="s">
        <v>14902</v>
      </c>
      <c r="D6566" s="8" t="s">
        <v>14903</v>
      </c>
      <c r="E6566" s="9" t="str">
        <f aca="false">HYPERLINK("https://twitter.com/LinkedInTutors/status/922403066980241408","922403066980241408")</f>
        <v>922403066980241408</v>
      </c>
      <c r="F6566" s="10" t="s">
        <v>39</v>
      </c>
      <c r="G6566" s="10" t="n">
        <v>4481</v>
      </c>
      <c r="H6566" s="10" t="n">
        <v>4858</v>
      </c>
      <c r="I6566" s="10" t="n">
        <v>4</v>
      </c>
      <c r="J6566" s="10" t="n">
        <v>0</v>
      </c>
      <c r="K6566" s="10" t="s">
        <v>20</v>
      </c>
      <c r="L6566" s="11" t="n">
        <v>40350.0292708333</v>
      </c>
      <c r="M6566" s="12" t="s">
        <v>893</v>
      </c>
      <c r="N6566" s="12" t="s">
        <v>14904</v>
      </c>
      <c r="O6566" s="9" t="str">
        <f aca="false">HYPERLINK("https://pbs.twimg.com/profile_images/659015283592581120/wT5zieQL_normal.jpg","View")</f>
        <v>View</v>
      </c>
      <c r="P6566" s="10"/>
    </row>
    <row r="6567" customFormat="false" ht="15.75" hidden="false" customHeight="false" outlineLevel="0" collapsed="false">
      <c r="A6567" s="6" t="n">
        <v>43031.1274884259</v>
      </c>
      <c r="B6567" s="7" t="str">
        <f aca="false">HYPERLINK("https://twitter.com/patrikakis","@patrikakis")</f>
        <v>@patrikakis</v>
      </c>
      <c r="C6567" s="8" t="s">
        <v>14905</v>
      </c>
      <c r="D6567" s="8" t="s">
        <v>14906</v>
      </c>
      <c r="E6567" s="9" t="str">
        <f aca="false">HYPERLINK("https://twitter.com/patrikakis/status/922403119249657856","922403119249657856")</f>
        <v>922403119249657856</v>
      </c>
      <c r="F6567" s="10" t="s">
        <v>39</v>
      </c>
      <c r="G6567" s="10" t="n">
        <v>626</v>
      </c>
      <c r="H6567" s="10" t="n">
        <v>894</v>
      </c>
      <c r="I6567" s="10" t="n">
        <v>3</v>
      </c>
      <c r="J6567" s="10" t="n">
        <v>0</v>
      </c>
      <c r="K6567" s="10" t="s">
        <v>20</v>
      </c>
      <c r="L6567" s="11" t="n">
        <v>40641.2522916667</v>
      </c>
      <c r="M6567" s="12" t="s">
        <v>14907</v>
      </c>
      <c r="N6567" s="12" t="s">
        <v>14908</v>
      </c>
      <c r="O6567" s="9" t="str">
        <f aca="false">HYPERLINK("https://pbs.twimg.com/profile_images/750459861541027840/oGhj4BoF_normal.jpg","View")</f>
        <v>View</v>
      </c>
      <c r="P6567" s="10"/>
    </row>
    <row r="6568" customFormat="false" ht="15.75" hidden="false" customHeight="false" outlineLevel="0" collapsed="false">
      <c r="A6568" s="6" t="n">
        <v>43031.1276157407</v>
      </c>
      <c r="B6568" s="7" t="str">
        <f aca="false">HYPERLINK("https://twitter.com/NorthKorea_Newz","@NorthKorea_Newz")</f>
        <v>@NorthKorea_Newz</v>
      </c>
      <c r="C6568" s="8" t="s">
        <v>14909</v>
      </c>
      <c r="D6568" s="8" t="s">
        <v>14910</v>
      </c>
      <c r="E6568" s="9" t="str">
        <f aca="false">HYPERLINK("https://twitter.com/NorthKorea_Newz/status/922403165126918144","922403165126918144")</f>
        <v>922403165126918144</v>
      </c>
      <c r="F6568" s="10" t="s">
        <v>3458</v>
      </c>
      <c r="G6568" s="10" t="n">
        <v>3759</v>
      </c>
      <c r="H6568" s="10" t="n">
        <v>1978</v>
      </c>
      <c r="I6568" s="10" t="n">
        <v>0</v>
      </c>
      <c r="J6568" s="10" t="n">
        <v>0</v>
      </c>
      <c r="K6568" s="10" t="s">
        <v>20</v>
      </c>
      <c r="L6568" s="11" t="n">
        <v>42926.267025463</v>
      </c>
      <c r="M6568" s="12" t="s">
        <v>1143</v>
      </c>
      <c r="N6568" s="12" t="s">
        <v>14911</v>
      </c>
      <c r="O6568" s="9" t="str">
        <f aca="false">HYPERLINK("https://pbs.twimg.com/profile_images/884405567611170820/vNHrPIXs_normal.jpg","View")</f>
        <v>View</v>
      </c>
      <c r="P6568" s="10"/>
    </row>
    <row r="6569" customFormat="false" ht="15.75" hidden="false" customHeight="false" outlineLevel="0" collapsed="false">
      <c r="A6569" s="6" t="n">
        <v>43031.1276388889</v>
      </c>
      <c r="B6569" s="7" t="str">
        <f aca="false">HYPERLINK("https://twitter.com/Marysblues","@Marysblues")</f>
        <v>@Marysblues</v>
      </c>
      <c r="C6569" s="8" t="s">
        <v>14912</v>
      </c>
      <c r="D6569" s="8" t="s">
        <v>14891</v>
      </c>
      <c r="E6569" s="9" t="str">
        <f aca="false">HYPERLINK("https://twitter.com/Marysblues/status/922403174945886208","922403174945886208")</f>
        <v>922403174945886208</v>
      </c>
      <c r="F6569" s="10" t="s">
        <v>177</v>
      </c>
      <c r="G6569" s="10" t="n">
        <v>1078</v>
      </c>
      <c r="H6569" s="10" t="n">
        <v>3628</v>
      </c>
      <c r="I6569" s="10" t="n">
        <v>3</v>
      </c>
      <c r="J6569" s="10" t="n">
        <v>0</v>
      </c>
      <c r="K6569" s="10" t="s">
        <v>20</v>
      </c>
      <c r="L6569" s="11" t="n">
        <v>39925.643900463</v>
      </c>
      <c r="M6569" s="12" t="s">
        <v>14913</v>
      </c>
      <c r="N6569" s="12" t="s">
        <v>14914</v>
      </c>
      <c r="O6569" s="9" t="str">
        <f aca="false">HYPERLINK("https://pbs.twimg.com/profile_images/453831440166162432/ZJMobcvU_normal.jpeg","View")</f>
        <v>View</v>
      </c>
      <c r="P6569" s="10"/>
    </row>
    <row r="6570" customFormat="false" ht="15.75" hidden="false" customHeight="false" outlineLevel="0" collapsed="false">
      <c r="A6570" s="6" t="n">
        <v>43031.1278125</v>
      </c>
      <c r="B6570" s="7" t="str">
        <f aca="false">HYPERLINK("https://twitter.com/TopFiveTraders","@TopFiveTraders")</f>
        <v>@TopFiveTraders</v>
      </c>
      <c r="C6570" s="8" t="s">
        <v>321</v>
      </c>
      <c r="D6570" s="8" t="s">
        <v>14915</v>
      </c>
      <c r="E6570" s="9" t="str">
        <f aca="false">HYPERLINK("https://twitter.com/TopFiveTraders/status/922403235490615297","922403235490615297")</f>
        <v>922403235490615297</v>
      </c>
      <c r="F6570" s="10" t="s">
        <v>60</v>
      </c>
      <c r="G6570" s="10" t="n">
        <v>8181</v>
      </c>
      <c r="H6570" s="10" t="n">
        <v>6774</v>
      </c>
      <c r="I6570" s="10" t="n">
        <v>0</v>
      </c>
      <c r="J6570" s="10" t="n">
        <v>0</v>
      </c>
      <c r="K6570" s="10" t="s">
        <v>20</v>
      </c>
      <c r="L6570" s="11" t="n">
        <v>41573.4842013889</v>
      </c>
      <c r="M6570" s="12" t="s">
        <v>323</v>
      </c>
      <c r="N6570" s="12" t="s">
        <v>324</v>
      </c>
      <c r="O6570" s="9" t="str">
        <f aca="false">HYPERLINK("https://pbs.twimg.com/profile_images/729113141444026370/hi202Ffp_normal.jpg","View")</f>
        <v>View</v>
      </c>
      <c r="P6570" s="10"/>
    </row>
    <row r="6571" customFormat="false" ht="15.75" hidden="false" customHeight="false" outlineLevel="0" collapsed="false">
      <c r="A6571" s="6" t="n">
        <v>43031.128287037</v>
      </c>
      <c r="B6571" s="7" t="str">
        <f aca="false">HYPERLINK("https://twitter.com/radioritson","@radioritson")</f>
        <v>@radioritson</v>
      </c>
      <c r="C6571" s="8" t="s">
        <v>14916</v>
      </c>
      <c r="D6571" s="8" t="s">
        <v>14917</v>
      </c>
      <c r="E6571" s="9" t="str">
        <f aca="false">HYPERLINK("https://twitter.com/radioritson/status/922403406458834945","922403406458834945")</f>
        <v>922403406458834945</v>
      </c>
      <c r="F6571" s="10" t="s">
        <v>39</v>
      </c>
      <c r="G6571" s="10" t="n">
        <v>253</v>
      </c>
      <c r="H6571" s="10" t="n">
        <v>211</v>
      </c>
      <c r="I6571" s="10" t="n">
        <v>0</v>
      </c>
      <c r="J6571" s="10" t="n">
        <v>0</v>
      </c>
      <c r="K6571" s="10" t="s">
        <v>20</v>
      </c>
      <c r="L6571" s="11" t="n">
        <v>41894.180775463</v>
      </c>
      <c r="M6571" s="12" t="s">
        <v>14918</v>
      </c>
      <c r="N6571" s="12" t="s">
        <v>14919</v>
      </c>
      <c r="O6571" s="9" t="str">
        <f aca="false">HYPERLINK("https://pbs.twimg.com/profile_images/511474563998158848/SZsoHT3x_normal.jpeg","View")</f>
        <v>View</v>
      </c>
      <c r="P6571" s="10"/>
    </row>
    <row r="6572" customFormat="false" ht="15.75" hidden="false" customHeight="false" outlineLevel="0" collapsed="false">
      <c r="A6572" s="6" t="n">
        <v>43031.1286805556</v>
      </c>
      <c r="B6572" s="7" t="str">
        <f aca="false">HYPERLINK("https://twitter.com/TFTCS","@TFTCS")</f>
        <v>@TFTCS</v>
      </c>
      <c r="C6572" s="8" t="s">
        <v>338</v>
      </c>
      <c r="D6572" s="8" t="s">
        <v>14920</v>
      </c>
      <c r="E6572" s="9" t="str">
        <f aca="false">HYPERLINK("https://twitter.com/TFTCS/status/922403549472010241","922403549472010241")</f>
        <v>922403549472010241</v>
      </c>
      <c r="F6572" s="10" t="s">
        <v>60</v>
      </c>
      <c r="G6572" s="10" t="n">
        <v>4435</v>
      </c>
      <c r="H6572" s="10" t="n">
        <v>4613</v>
      </c>
      <c r="I6572" s="10" t="n">
        <v>0</v>
      </c>
      <c r="J6572" s="10" t="n">
        <v>0</v>
      </c>
      <c r="K6572" s="10" t="s">
        <v>20</v>
      </c>
      <c r="L6572" s="11" t="n">
        <v>41868.7681018518</v>
      </c>
      <c r="M6572" s="12" t="s">
        <v>340</v>
      </c>
      <c r="N6572" s="12" t="s">
        <v>341</v>
      </c>
      <c r="O6572" s="9" t="str">
        <f aca="false">HYPERLINK("https://pbs.twimg.com/profile_images/736027772800368640/DdLGgNNU_normal.jpg","View")</f>
        <v>View</v>
      </c>
      <c r="P6572" s="10"/>
    </row>
    <row r="6573" customFormat="false" ht="15.75" hidden="false" customHeight="false" outlineLevel="0" collapsed="false">
      <c r="A6573" s="6" t="n">
        <v>43031.1288773148</v>
      </c>
      <c r="B6573" s="7" t="str">
        <f aca="false">HYPERLINK("https://twitter.com/jmhamiltonblog","@jmhamiltonblog")</f>
        <v>@jmhamiltonblog</v>
      </c>
      <c r="C6573" s="8" t="s">
        <v>1155</v>
      </c>
      <c r="D6573" s="8" t="s">
        <v>12764</v>
      </c>
      <c r="E6573" s="9" t="str">
        <f aca="false">HYPERLINK("https://twitter.com/jmhamiltonblog/status/922403623656706049","922403623656706049")</f>
        <v>922403623656706049</v>
      </c>
      <c r="F6573" s="10" t="s">
        <v>39</v>
      </c>
      <c r="G6573" s="10" t="n">
        <v>5960</v>
      </c>
      <c r="H6573" s="10" t="n">
        <v>5484</v>
      </c>
      <c r="I6573" s="10" t="n">
        <v>170</v>
      </c>
      <c r="J6573" s="10" t="n">
        <v>0</v>
      </c>
      <c r="K6573" s="10" t="s">
        <v>20</v>
      </c>
      <c r="L6573" s="11" t="n">
        <v>40565.4844675926</v>
      </c>
      <c r="M6573" s="12" t="s">
        <v>1156</v>
      </c>
      <c r="N6573" s="12" t="s">
        <v>1157</v>
      </c>
      <c r="O6573" s="9" t="str">
        <f aca="false">HYPERLINK("https://pbs.twimg.com/profile_images/1261161568/Camera_Phone_009_normal.jpg","View")</f>
        <v>View</v>
      </c>
      <c r="P6573" s="10"/>
    </row>
    <row r="6574" customFormat="false" ht="15.75" hidden="false" customHeight="false" outlineLevel="0" collapsed="false">
      <c r="A6574" s="6" t="n">
        <v>43031.1291203704</v>
      </c>
      <c r="B6574" s="7" t="str">
        <f aca="false">HYPERLINK("https://twitter.com/Kyu_Batau","@Kyu_Batau")</f>
        <v>@Kyu_Batau</v>
      </c>
      <c r="C6574" s="8" t="s">
        <v>14921</v>
      </c>
      <c r="D6574" s="8" t="s">
        <v>8538</v>
      </c>
      <c r="E6574" s="9" t="str">
        <f aca="false">HYPERLINK("https://twitter.com/Kyu_Batau/status/922403708947664898","922403708947664898")</f>
        <v>922403708947664898</v>
      </c>
      <c r="F6574" s="10" t="s">
        <v>25</v>
      </c>
      <c r="G6574" s="10" t="n">
        <v>205</v>
      </c>
      <c r="H6574" s="10" t="n">
        <v>525</v>
      </c>
      <c r="I6574" s="10" t="n">
        <v>1015</v>
      </c>
      <c r="J6574" s="10" t="n">
        <v>0</v>
      </c>
      <c r="K6574" s="10" t="s">
        <v>20</v>
      </c>
      <c r="L6574" s="11" t="n">
        <v>42334.269537037</v>
      </c>
      <c r="M6574" s="12"/>
      <c r="N6574" s="12"/>
      <c r="O6574" s="9" t="str">
        <f aca="false">HYPERLINK("https://pbs.twimg.com/profile_images/706524169828077568/B3l9cvdF_normal.jpg","View")</f>
        <v>View</v>
      </c>
      <c r="P6574" s="10"/>
    </row>
    <row r="6575" customFormat="false" ht="15.75" hidden="false" customHeight="false" outlineLevel="0" collapsed="false">
      <c r="A6575" s="6" t="n">
        <v>43031.1295138889</v>
      </c>
      <c r="B6575" s="7" t="str">
        <f aca="false">HYPERLINK("https://twitter.com/JayCrane83","@JayCrane83")</f>
        <v>@JayCrane83</v>
      </c>
      <c r="C6575" s="8" t="s">
        <v>3789</v>
      </c>
      <c r="D6575" s="8" t="s">
        <v>13229</v>
      </c>
      <c r="E6575" s="9" t="str">
        <f aca="false">HYPERLINK("https://twitter.com/JayCrane83/status/922403852468572160","922403852468572160")</f>
        <v>922403852468572160</v>
      </c>
      <c r="F6575" s="10" t="s">
        <v>3790</v>
      </c>
      <c r="G6575" s="10" t="n">
        <v>6469</v>
      </c>
      <c r="H6575" s="10" t="n">
        <v>2617</v>
      </c>
      <c r="I6575" s="10" t="n">
        <v>18</v>
      </c>
      <c r="J6575" s="10" t="n">
        <v>0</v>
      </c>
      <c r="K6575" s="10" t="s">
        <v>20</v>
      </c>
      <c r="L6575" s="11" t="n">
        <v>42588.395787037</v>
      </c>
      <c r="M6575" s="12" t="s">
        <v>3791</v>
      </c>
      <c r="N6575" s="12" t="s">
        <v>3792</v>
      </c>
      <c r="O6575" s="9" t="str">
        <f aca="false">HYPERLINK("https://pbs.twimg.com/profile_images/922482564220248065/c9wSb0Kz_normal.jpg","View")</f>
        <v>View</v>
      </c>
      <c r="P6575" s="10"/>
    </row>
    <row r="6576" customFormat="false" ht="15.75" hidden="false" customHeight="false" outlineLevel="0" collapsed="false">
      <c r="A6576" s="6" t="n">
        <v>43031.1298611111</v>
      </c>
      <c r="B6576" s="7" t="str">
        <f aca="false">HYPERLINK("https://twitter.com/Independent","@Independent")</f>
        <v>@Independent</v>
      </c>
      <c r="C6576" s="8" t="s">
        <v>1284</v>
      </c>
      <c r="D6576" s="8" t="s">
        <v>14922</v>
      </c>
      <c r="E6576" s="9" t="str">
        <f aca="false">HYPERLINK("https://twitter.com/Independent/status/922403980185042946","922403980185042946")</f>
        <v>922403980185042946</v>
      </c>
      <c r="F6576" s="10" t="s">
        <v>276</v>
      </c>
      <c r="G6576" s="10" t="n">
        <v>2392804</v>
      </c>
      <c r="H6576" s="10" t="n">
        <v>1105</v>
      </c>
      <c r="I6576" s="10" t="n">
        <v>16</v>
      </c>
      <c r="J6576" s="10" t="n">
        <v>10</v>
      </c>
      <c r="K6576" s="10" t="s">
        <v>20</v>
      </c>
      <c r="L6576" s="11" t="n">
        <v>39746.7086689815</v>
      </c>
      <c r="M6576" s="12" t="s">
        <v>893</v>
      </c>
      <c r="N6576" s="12" t="s">
        <v>1286</v>
      </c>
      <c r="O6576" s="9" t="str">
        <f aca="false">HYPERLINK("https://pbs.twimg.com/profile_images/583628771972018176/ztJn926g_normal.png","View")</f>
        <v>View</v>
      </c>
      <c r="P6576" s="10"/>
    </row>
    <row r="6577" customFormat="false" ht="15.75" hidden="false" customHeight="false" outlineLevel="0" collapsed="false">
      <c r="A6577" s="6" t="n">
        <v>43031.1298958333</v>
      </c>
      <c r="B6577" s="7" t="str">
        <f aca="false">HYPERLINK("https://twitter.com/KoreanDictator2","@KoreanDictator2")</f>
        <v>@KoreanDictator2</v>
      </c>
      <c r="C6577" s="8" t="s">
        <v>14923</v>
      </c>
      <c r="D6577" s="8" t="s">
        <v>8538</v>
      </c>
      <c r="E6577" s="9" t="str">
        <f aca="false">HYPERLINK("https://twitter.com/KoreanDictator2/status/922403991316611072","922403991316611072")</f>
        <v>922403991316611072</v>
      </c>
      <c r="F6577" s="10" t="s">
        <v>51</v>
      </c>
      <c r="G6577" s="10" t="n">
        <v>279</v>
      </c>
      <c r="H6577" s="10" t="n">
        <v>114</v>
      </c>
      <c r="I6577" s="10" t="n">
        <v>1015</v>
      </c>
      <c r="J6577" s="10" t="n">
        <v>0</v>
      </c>
      <c r="K6577" s="10" t="s">
        <v>20</v>
      </c>
      <c r="L6577" s="11" t="n">
        <v>41977.5669675926</v>
      </c>
      <c r="M6577" s="12" t="s">
        <v>14924</v>
      </c>
      <c r="N6577" s="12"/>
      <c r="O6577" s="9" t="str">
        <f aca="false">HYPERLINK("https://pbs.twimg.com/profile_images/876339706950148096/KNmG9gqF_normal.jpg","View")</f>
        <v>View</v>
      </c>
      <c r="P6577" s="10"/>
    </row>
    <row r="6578" customFormat="false" ht="15.75" hidden="false" customHeight="false" outlineLevel="0" collapsed="false">
      <c r="A6578" s="6" t="n">
        <v>43031.1300694445</v>
      </c>
      <c r="B6578" s="7" t="str">
        <f aca="false">HYPERLINK("https://twitter.com/lnarasi","@lnarasi")</f>
        <v>@lnarasi</v>
      </c>
      <c r="C6578" s="8" t="s">
        <v>14925</v>
      </c>
      <c r="D6578" s="8" t="s">
        <v>8538</v>
      </c>
      <c r="E6578" s="9" t="str">
        <f aca="false">HYPERLINK("https://twitter.com/lnarasi/status/922404052897542145","922404052897542145")</f>
        <v>922404052897542145</v>
      </c>
      <c r="F6578" s="10" t="s">
        <v>25</v>
      </c>
      <c r="G6578" s="10" t="n">
        <v>41</v>
      </c>
      <c r="H6578" s="10" t="n">
        <v>333</v>
      </c>
      <c r="I6578" s="10" t="n">
        <v>1015</v>
      </c>
      <c r="J6578" s="10" t="n">
        <v>0</v>
      </c>
      <c r="K6578" s="10" t="s">
        <v>20</v>
      </c>
      <c r="L6578" s="11" t="n">
        <v>40181.4215046296</v>
      </c>
      <c r="M6578" s="12"/>
      <c r="N6578" s="12" t="s">
        <v>14926</v>
      </c>
      <c r="O6578" s="9" t="str">
        <f aca="false">HYPERLINK("https://pbs.twimg.com/profile_images/913458583886532610/-0r3Rp9V_normal.jpg","View")</f>
        <v>View</v>
      </c>
      <c r="P6578" s="10"/>
    </row>
    <row r="6579" customFormat="false" ht="15.75" hidden="false" customHeight="false" outlineLevel="0" collapsed="false">
      <c r="A6579" s="6" t="n">
        <v>43031.1301273148</v>
      </c>
      <c r="B6579" s="7" t="str">
        <f aca="false">HYPERLINK("https://twitter.com/CNBCTradersFan","@CNBCTradersFan")</f>
        <v>@CNBCTradersFan</v>
      </c>
      <c r="C6579" s="8" t="s">
        <v>325</v>
      </c>
      <c r="D6579" s="8" t="s">
        <v>14927</v>
      </c>
      <c r="E6579" s="9" t="str">
        <f aca="false">HYPERLINK("https://twitter.com/CNBCTradersFan/status/922404073999163392","922404073999163392")</f>
        <v>922404073999163392</v>
      </c>
      <c r="F6579" s="10" t="s">
        <v>60</v>
      </c>
      <c r="G6579" s="10" t="n">
        <v>17155</v>
      </c>
      <c r="H6579" s="10" t="n">
        <v>11641</v>
      </c>
      <c r="I6579" s="10" t="n">
        <v>0</v>
      </c>
      <c r="J6579" s="10" t="n">
        <v>0</v>
      </c>
      <c r="K6579" s="10" t="s">
        <v>20</v>
      </c>
      <c r="L6579" s="11" t="n">
        <v>40922.5054282407</v>
      </c>
      <c r="M6579" s="12" t="s">
        <v>327</v>
      </c>
      <c r="N6579" s="12" t="s">
        <v>328</v>
      </c>
      <c r="O6579" s="9" t="str">
        <f aca="false">HYPERLINK("https://pbs.twimg.com/profile_images/731870469318684672/Ckf7rDdJ_normal.jpg","View")</f>
        <v>View</v>
      </c>
      <c r="P6579" s="10"/>
    </row>
    <row r="6580" customFormat="false" ht="15.75" hidden="false" customHeight="false" outlineLevel="0" collapsed="false">
      <c r="A6580" s="6" t="n">
        <v>43031.1301851852</v>
      </c>
      <c r="B6580" s="7" t="str">
        <f aca="false">HYPERLINK("https://twitter.com/itsmeGeorginaB","@itsmeGeorginaB")</f>
        <v>@itsmeGeorginaB</v>
      </c>
      <c r="C6580" s="8" t="s">
        <v>14928</v>
      </c>
      <c r="D6580" s="8" t="s">
        <v>14929</v>
      </c>
      <c r="E6580" s="9" t="str">
        <f aca="false">HYPERLINK("https://twitter.com/itsmeGeorginaB/status/922404095092146177","922404095092146177")</f>
        <v>922404095092146177</v>
      </c>
      <c r="F6580" s="10" t="s">
        <v>39</v>
      </c>
      <c r="G6580" s="10" t="n">
        <v>278</v>
      </c>
      <c r="H6580" s="10" t="n">
        <v>2100</v>
      </c>
      <c r="I6580" s="10" t="n">
        <v>16</v>
      </c>
      <c r="J6580" s="10" t="n">
        <v>0</v>
      </c>
      <c r="K6580" s="10" t="s">
        <v>20</v>
      </c>
      <c r="L6580" s="11" t="n">
        <v>41807.0737847222</v>
      </c>
      <c r="M6580" s="12"/>
      <c r="N6580" s="12" t="s">
        <v>14930</v>
      </c>
      <c r="O6580" s="9" t="str">
        <f aca="false">HYPERLINK("https://pbs.twimg.com/profile_images/633219376070574080/Gv_JLBHx_normal.jpg","View")</f>
        <v>View</v>
      </c>
      <c r="P6580" s="10"/>
    </row>
    <row r="6581" customFormat="false" ht="15.75" hidden="false" customHeight="false" outlineLevel="0" collapsed="false">
      <c r="A6581" s="6" t="n">
        <v>43031.1303472222</v>
      </c>
      <c r="B6581" s="7" t="str">
        <f aca="false">HYPERLINK("https://twitter.com/LondonCanucks","@LondonCanucks")</f>
        <v>@LondonCanucks</v>
      </c>
      <c r="C6581" s="8" t="s">
        <v>14931</v>
      </c>
      <c r="D6581" s="8" t="s">
        <v>14929</v>
      </c>
      <c r="E6581" s="9" t="str">
        <f aca="false">HYPERLINK("https://twitter.com/LondonCanucks/status/922404155213348864","922404155213348864")</f>
        <v>922404155213348864</v>
      </c>
      <c r="F6581" s="10" t="s">
        <v>51</v>
      </c>
      <c r="G6581" s="10" t="n">
        <v>391</v>
      </c>
      <c r="H6581" s="10" t="n">
        <v>662</v>
      </c>
      <c r="I6581" s="10" t="n">
        <v>16</v>
      </c>
      <c r="J6581" s="10" t="n">
        <v>0</v>
      </c>
      <c r="K6581" s="10" t="s">
        <v>20</v>
      </c>
      <c r="L6581" s="11" t="n">
        <v>42379.1907291667</v>
      </c>
      <c r="M6581" s="12"/>
      <c r="N6581" s="12" t="s">
        <v>14932</v>
      </c>
      <c r="O6581" s="9" t="str">
        <f aca="false">HYPERLINK("https://pbs.twimg.com/profile_images/921176378762059777/baH-8AjW_normal.jpg","View")</f>
        <v>View</v>
      </c>
      <c r="P6581" s="10"/>
    </row>
    <row r="6582" customFormat="false" ht="15.75" hidden="false" customHeight="false" outlineLevel="0" collapsed="false">
      <c r="A6582" s="6" t="n">
        <v>43031.1305439815</v>
      </c>
      <c r="B6582" s="7" t="str">
        <f aca="false">HYPERLINK("https://twitter.com/alan_rosario69","@alan_rosario69")</f>
        <v>@alan_rosario69</v>
      </c>
      <c r="C6582" s="8" t="s">
        <v>3279</v>
      </c>
      <c r="D6582" s="8" t="s">
        <v>14933</v>
      </c>
      <c r="E6582" s="9" t="str">
        <f aca="false">HYPERLINK("https://twitter.com/alan_rosario69/status/922404226629849089","922404226629849089")</f>
        <v>922404226629849089</v>
      </c>
      <c r="F6582" s="10" t="s">
        <v>51</v>
      </c>
      <c r="G6582" s="10" t="n">
        <v>3460</v>
      </c>
      <c r="H6582" s="10" t="n">
        <v>4894</v>
      </c>
      <c r="I6582" s="10" t="n">
        <v>0</v>
      </c>
      <c r="J6582" s="10" t="n">
        <v>2</v>
      </c>
      <c r="K6582" s="10" t="s">
        <v>20</v>
      </c>
      <c r="L6582" s="11" t="n">
        <v>42822.6507638889</v>
      </c>
      <c r="M6582" s="12" t="s">
        <v>601</v>
      </c>
      <c r="N6582" s="12" t="s">
        <v>3281</v>
      </c>
      <c r="O6582" s="9" t="str">
        <f aca="false">HYPERLINK("https://pbs.twimg.com/profile_images/846871249800302592/gFA-7_I0_normal.jpg","View")</f>
        <v>View</v>
      </c>
      <c r="P6582" s="10"/>
    </row>
    <row r="6583" customFormat="false" ht="15.75" hidden="false" customHeight="false" outlineLevel="0" collapsed="false">
      <c r="A6583" s="6" t="n">
        <v>43031.1306018519</v>
      </c>
      <c r="B6583" s="7" t="str">
        <f aca="false">HYPERLINK("https://twitter.com/CalluyWalt","@CalluyWalt")</f>
        <v>@CalluyWalt</v>
      </c>
      <c r="C6583" s="8" t="s">
        <v>1287</v>
      </c>
      <c r="D6583" s="8" t="s">
        <v>14929</v>
      </c>
      <c r="E6583" s="9" t="str">
        <f aca="false">HYPERLINK("https://twitter.com/CalluyWalt/status/922404245969793025","922404245969793025")</f>
        <v>922404245969793025</v>
      </c>
      <c r="F6583" s="10" t="s">
        <v>1289</v>
      </c>
      <c r="G6583" s="10" t="n">
        <v>198</v>
      </c>
      <c r="H6583" s="10" t="n">
        <v>352</v>
      </c>
      <c r="I6583" s="10" t="n">
        <v>16</v>
      </c>
      <c r="J6583" s="10" t="n">
        <v>0</v>
      </c>
      <c r="K6583" s="10" t="s">
        <v>20</v>
      </c>
      <c r="L6583" s="11" t="n">
        <v>40885.265</v>
      </c>
      <c r="M6583" s="12" t="s">
        <v>1290</v>
      </c>
      <c r="N6583" s="12" t="s">
        <v>1291</v>
      </c>
      <c r="O6583" s="9" t="str">
        <f aca="false">HYPERLINK("https://pbs.twimg.com/profile_images/1680923654/IMG_0218_normal.jpg","View")</f>
        <v>View</v>
      </c>
      <c r="P6583" s="10"/>
    </row>
    <row r="6584" customFormat="false" ht="15.75" hidden="false" customHeight="false" outlineLevel="0" collapsed="false">
      <c r="A6584" s="6" t="n">
        <v>43031.1308217593</v>
      </c>
      <c r="B6584" s="7" t="str">
        <f aca="false">HYPERLINK("https://twitter.com/vrai777","@vrai777")</f>
        <v>@vrai777</v>
      </c>
      <c r="C6584" s="8" t="s">
        <v>335</v>
      </c>
      <c r="D6584" s="8" t="s">
        <v>14934</v>
      </c>
      <c r="E6584" s="9" t="str">
        <f aca="false">HYPERLINK("https://twitter.com/vrai777/status/922404325128855552","922404325128855552")</f>
        <v>922404325128855552</v>
      </c>
      <c r="F6584" s="10" t="s">
        <v>60</v>
      </c>
      <c r="G6584" s="10" t="n">
        <v>7959</v>
      </c>
      <c r="H6584" s="10" t="n">
        <v>71</v>
      </c>
      <c r="I6584" s="10" t="n">
        <v>0</v>
      </c>
      <c r="J6584" s="10" t="n">
        <v>0</v>
      </c>
      <c r="K6584" s="10" t="s">
        <v>20</v>
      </c>
      <c r="L6584" s="11" t="n">
        <v>39878.7593287037</v>
      </c>
      <c r="M6584" s="12" t="s">
        <v>295</v>
      </c>
      <c r="N6584" s="12" t="s">
        <v>337</v>
      </c>
      <c r="O6584" s="9" t="str">
        <f aca="false">HYPERLINK("https://pbs.twimg.com/profile_images/688775800284266496/qhWTo08H_normal.png","View")</f>
        <v>View</v>
      </c>
      <c r="P6584" s="10"/>
    </row>
    <row r="6585" customFormat="false" ht="15.75" hidden="false" customHeight="false" outlineLevel="0" collapsed="false">
      <c r="A6585" s="6" t="n">
        <v>43031.1308680556</v>
      </c>
      <c r="B6585" s="7" t="str">
        <f aca="false">HYPERLINK("https://twitter.com/funvavahna","@funvavahna")</f>
        <v>@funvavahna</v>
      </c>
      <c r="C6585" s="14" t="s">
        <v>14935</v>
      </c>
      <c r="D6585" s="8" t="s">
        <v>14929</v>
      </c>
      <c r="E6585" s="9" t="str">
        <f aca="false">HYPERLINK("https://twitter.com/funvavahna/status/922404344061816832","922404344061816832")</f>
        <v>922404344061816832</v>
      </c>
      <c r="F6585" s="10" t="s">
        <v>51</v>
      </c>
      <c r="G6585" s="10" t="n">
        <v>560</v>
      </c>
      <c r="H6585" s="10" t="n">
        <v>529</v>
      </c>
      <c r="I6585" s="10" t="n">
        <v>16</v>
      </c>
      <c r="J6585" s="10" t="n">
        <v>0</v>
      </c>
      <c r="K6585" s="10" t="s">
        <v>20</v>
      </c>
      <c r="L6585" s="11" t="n">
        <v>41830.3727199074</v>
      </c>
      <c r="M6585" s="13" t="s">
        <v>14936</v>
      </c>
      <c r="N6585" s="13" t="s">
        <v>14937</v>
      </c>
      <c r="O6585" s="9" t="str">
        <f aca="false">HYPERLINK("https://pbs.twimg.com/profile_images/816856133700722688/B-9ZGT2f_normal.jpg","View")</f>
        <v>View</v>
      </c>
      <c r="P6585" s="10"/>
    </row>
    <row r="6586" customFormat="false" ht="15.75" hidden="false" customHeight="false" outlineLevel="0" collapsed="false">
      <c r="A6586" s="6" t="n">
        <v>43031.1309375</v>
      </c>
      <c r="B6586" s="7" t="str">
        <f aca="false">HYPERLINK("https://twitter.com/TopFiveTraders","@TopFiveTraders")</f>
        <v>@TopFiveTraders</v>
      </c>
      <c r="C6586" s="8" t="s">
        <v>321</v>
      </c>
      <c r="D6586" s="8" t="s">
        <v>14938</v>
      </c>
      <c r="E6586" s="9" t="str">
        <f aca="false">HYPERLINK("https://twitter.com/TopFiveTraders/status/922404370091859969","922404370091859969")</f>
        <v>922404370091859969</v>
      </c>
      <c r="F6586" s="10" t="s">
        <v>60</v>
      </c>
      <c r="G6586" s="10" t="n">
        <v>8181</v>
      </c>
      <c r="H6586" s="10" t="n">
        <v>6774</v>
      </c>
      <c r="I6586" s="10" t="n">
        <v>0</v>
      </c>
      <c r="J6586" s="10" t="n">
        <v>0</v>
      </c>
      <c r="K6586" s="10" t="s">
        <v>20</v>
      </c>
      <c r="L6586" s="11" t="n">
        <v>41573.4842013889</v>
      </c>
      <c r="M6586" s="12" t="s">
        <v>323</v>
      </c>
      <c r="N6586" s="12" t="s">
        <v>324</v>
      </c>
      <c r="O6586" s="9" t="str">
        <f aca="false">HYPERLINK("https://pbs.twimg.com/profile_images/729113141444026370/hi202Ffp_normal.jpg","View")</f>
        <v>View</v>
      </c>
      <c r="P6586" s="10"/>
    </row>
    <row r="6587" customFormat="false" ht="15.75" hidden="false" customHeight="false" outlineLevel="0" collapsed="false">
      <c r="A6587" s="6" t="n">
        <v>43031.1309490741</v>
      </c>
      <c r="B6587" s="7" t="str">
        <f aca="false">HYPERLINK("https://twitter.com/Belindagallman","@Belindagallman")</f>
        <v>@Belindagallman</v>
      </c>
      <c r="C6587" s="8" t="s">
        <v>14939</v>
      </c>
      <c r="D6587" s="8" t="s">
        <v>14929</v>
      </c>
      <c r="E6587" s="9" t="str">
        <f aca="false">HYPERLINK("https://twitter.com/Belindagallman/status/922404371710783488","922404371710783488")</f>
        <v>922404371710783488</v>
      </c>
      <c r="F6587" s="10" t="s">
        <v>14940</v>
      </c>
      <c r="G6587" s="10" t="n">
        <v>1501</v>
      </c>
      <c r="H6587" s="10" t="n">
        <v>1361</v>
      </c>
      <c r="I6587" s="10" t="n">
        <v>16</v>
      </c>
      <c r="J6587" s="10" t="n">
        <v>0</v>
      </c>
      <c r="K6587" s="10" t="s">
        <v>20</v>
      </c>
      <c r="L6587" s="11" t="n">
        <v>41532.7018865741</v>
      </c>
      <c r="M6587" s="12" t="s">
        <v>14941</v>
      </c>
      <c r="N6587" s="12" t="s">
        <v>14942</v>
      </c>
      <c r="O6587" s="9" t="str">
        <f aca="false">HYPERLINK("https://pbs.twimg.com/profile_images/378800000463762086/5dd7ce25514728cb72a2afa9150bec23_normal.jpeg","View")</f>
        <v>View</v>
      </c>
      <c r="P6587" s="10"/>
    </row>
    <row r="6588" customFormat="false" ht="15.75" hidden="false" customHeight="false" outlineLevel="0" collapsed="false">
      <c r="A6588" s="6" t="n">
        <v>43031.1309837963</v>
      </c>
      <c r="B6588" s="7" t="str">
        <f aca="false">HYPERLINK("https://twitter.com/_MichaelHart","@_MichaelHart")</f>
        <v>@_MichaelHart</v>
      </c>
      <c r="C6588" s="8" t="s">
        <v>14943</v>
      </c>
      <c r="D6588" s="8" t="s">
        <v>14929</v>
      </c>
      <c r="E6588" s="9" t="str">
        <f aca="false">HYPERLINK("https://twitter.com/_MichaelHart/status/922404386864812033","922404386864812033")</f>
        <v>922404386864812033</v>
      </c>
      <c r="F6588" s="10" t="s">
        <v>39</v>
      </c>
      <c r="G6588" s="10" t="n">
        <v>19</v>
      </c>
      <c r="H6588" s="10" t="n">
        <v>125</v>
      </c>
      <c r="I6588" s="10" t="n">
        <v>16</v>
      </c>
      <c r="J6588" s="10" t="n">
        <v>0</v>
      </c>
      <c r="K6588" s="10" t="s">
        <v>20</v>
      </c>
      <c r="L6588" s="11" t="n">
        <v>42992.2443865741</v>
      </c>
      <c r="M6588" s="12" t="s">
        <v>203</v>
      </c>
      <c r="N6588" s="12" t="s">
        <v>14944</v>
      </c>
      <c r="O6588" s="9" t="str">
        <f aca="false">HYPERLINK("https://pbs.twimg.com/profile_images/908316868481560576/5LFB4MGd_normal.jpg","View")</f>
        <v>View</v>
      </c>
      <c r="P6588" s="10"/>
    </row>
    <row r="6589" customFormat="false" ht="15.75" hidden="false" customHeight="false" outlineLevel="0" collapsed="false">
      <c r="A6589" s="6" t="n">
        <v>43031.1309953704</v>
      </c>
      <c r="B6589" s="7" t="str">
        <f aca="false">HYPERLINK("https://twitter.com/ChristinaLongfe","@ChristinaLongfe")</f>
        <v>@ChristinaLongfe</v>
      </c>
      <c r="C6589" s="8" t="s">
        <v>14945</v>
      </c>
      <c r="D6589" s="8" t="s">
        <v>14929</v>
      </c>
      <c r="E6589" s="9" t="str">
        <f aca="false">HYPERLINK("https://twitter.com/ChristinaLongfe/status/922404391059185664","922404391059185664")</f>
        <v>922404391059185664</v>
      </c>
      <c r="F6589" s="10" t="s">
        <v>14946</v>
      </c>
      <c r="G6589" s="10" t="n">
        <v>1721</v>
      </c>
      <c r="H6589" s="10" t="n">
        <v>1592</v>
      </c>
      <c r="I6589" s="10" t="n">
        <v>16</v>
      </c>
      <c r="J6589" s="10" t="n">
        <v>0</v>
      </c>
      <c r="K6589" s="10" t="s">
        <v>20</v>
      </c>
      <c r="L6589" s="11" t="n">
        <v>41447.2056828704</v>
      </c>
      <c r="M6589" s="12" t="s">
        <v>14947</v>
      </c>
      <c r="N6589" s="12" t="s">
        <v>14948</v>
      </c>
      <c r="O6589" s="9" t="str">
        <f aca="false">HYPERLINK("https://pbs.twimg.com/profile_images/378800000029064184/f6bdfb7251d3e8417ac8a8f75ab60850_normal.jpeg","View")</f>
        <v>View</v>
      </c>
      <c r="P6589" s="10"/>
    </row>
    <row r="6590" customFormat="false" ht="15.75" hidden="false" customHeight="false" outlineLevel="0" collapsed="false">
      <c r="A6590" s="6" t="n">
        <v>43031.1311574074</v>
      </c>
      <c r="B6590" s="7" t="str">
        <f aca="false">HYPERLINK("https://twitter.com/CrossbridgeView","@CrossbridgeView")</f>
        <v>@CrossbridgeView</v>
      </c>
      <c r="C6590" s="8" t="s">
        <v>14949</v>
      </c>
      <c r="D6590" s="8" t="s">
        <v>14950</v>
      </c>
      <c r="E6590" s="9" t="str">
        <f aca="false">HYPERLINK("https://twitter.com/CrossbridgeView/status/922404448902766592","922404448902766592")</f>
        <v>922404448902766592</v>
      </c>
      <c r="F6590" s="10" t="s">
        <v>39</v>
      </c>
      <c r="G6590" s="10" t="n">
        <v>222</v>
      </c>
      <c r="H6590" s="10" t="n">
        <v>291</v>
      </c>
      <c r="I6590" s="10" t="n">
        <v>1</v>
      </c>
      <c r="J6590" s="10" t="n">
        <v>1</v>
      </c>
      <c r="K6590" s="10" t="s">
        <v>20</v>
      </c>
      <c r="L6590" s="11" t="n">
        <v>40928.380150463</v>
      </c>
      <c r="M6590" s="12" t="s">
        <v>1319</v>
      </c>
      <c r="N6590" s="12" t="s">
        <v>14951</v>
      </c>
      <c r="O6590" s="9" t="str">
        <f aca="false">HYPERLINK("https://pbs.twimg.com/profile_images/1785026172/crossbridgecapital_normal.jpg","View")</f>
        <v>View</v>
      </c>
      <c r="P6590" s="10"/>
    </row>
    <row r="6591" customFormat="false" ht="15.75" hidden="false" customHeight="false" outlineLevel="0" collapsed="false">
      <c r="A6591" s="6" t="n">
        <v>43031.1311805556</v>
      </c>
      <c r="B6591" s="7" t="str">
        <f aca="false">HYPERLINK("https://twitter.com/Barasa89","@Barasa89")</f>
        <v>@Barasa89</v>
      </c>
      <c r="C6591" s="8" t="s">
        <v>14952</v>
      </c>
      <c r="D6591" s="8" t="s">
        <v>14891</v>
      </c>
      <c r="E6591" s="9" t="str">
        <f aca="false">HYPERLINK("https://twitter.com/Barasa89/status/922404457568198656","922404457568198656")</f>
        <v>922404457568198656</v>
      </c>
      <c r="F6591" s="10" t="s">
        <v>25</v>
      </c>
      <c r="G6591" s="10" t="n">
        <v>646</v>
      </c>
      <c r="H6591" s="10" t="n">
        <v>464</v>
      </c>
      <c r="I6591" s="10" t="n">
        <v>3</v>
      </c>
      <c r="J6591" s="10" t="n">
        <v>0</v>
      </c>
      <c r="K6591" s="10" t="s">
        <v>20</v>
      </c>
      <c r="L6591" s="11" t="n">
        <v>41730.1536805556</v>
      </c>
      <c r="M6591" s="12"/>
      <c r="N6591" s="12" t="s">
        <v>14953</v>
      </c>
      <c r="O6591" s="9" t="str">
        <f aca="false">HYPERLINK("https://pbs.twimg.com/profile_images/819845661172658176/NhXCjfVm_normal.jpg","View")</f>
        <v>View</v>
      </c>
      <c r="P6591" s="10"/>
    </row>
    <row r="6592" customFormat="false" ht="15.75" hidden="false" customHeight="false" outlineLevel="0" collapsed="false">
      <c r="A6592" s="6" t="n">
        <v>43031.1311921296</v>
      </c>
      <c r="B6592" s="7" t="str">
        <f aca="false">HYPERLINK("https://twitter.com/abosife2010","@abosife2010")</f>
        <v>@abosife2010</v>
      </c>
      <c r="C6592" s="8" t="s">
        <v>1783</v>
      </c>
      <c r="D6592" s="8" t="s">
        <v>14906</v>
      </c>
      <c r="E6592" s="9" t="str">
        <f aca="false">HYPERLINK("https://twitter.com/abosife2010/status/922404459975766016","922404459975766016")</f>
        <v>922404459975766016</v>
      </c>
      <c r="F6592" s="10" t="s">
        <v>98</v>
      </c>
      <c r="G6592" s="10" t="n">
        <v>1164</v>
      </c>
      <c r="H6592" s="10" t="n">
        <v>3105</v>
      </c>
      <c r="I6592" s="10" t="n">
        <v>3</v>
      </c>
      <c r="J6592" s="10" t="n">
        <v>0</v>
      </c>
      <c r="K6592" s="10" t="s">
        <v>20</v>
      </c>
      <c r="L6592" s="11" t="n">
        <v>40712.519224537</v>
      </c>
      <c r="M6592" s="12" t="s">
        <v>1784</v>
      </c>
      <c r="N6592" s="12" t="s">
        <v>1785</v>
      </c>
      <c r="O6592" s="9" t="str">
        <f aca="false">HYPERLINK("https://pbs.twimg.com/profile_images/869146010953682944/tD96CxJ8_normal.jpg","View")</f>
        <v>View</v>
      </c>
      <c r="P6592" s="10"/>
    </row>
    <row r="6593" customFormat="false" ht="15.75" hidden="false" customHeight="false" outlineLevel="0" collapsed="false">
      <c r="A6593" s="6" t="n">
        <v>43031.1313657407</v>
      </c>
      <c r="B6593" s="7" t="str">
        <f aca="false">HYPERLINK("https://twitter.com/rafaelangel0812","@rafaelangel0812")</f>
        <v>@rafaelangel0812</v>
      </c>
      <c r="C6593" s="8" t="s">
        <v>438</v>
      </c>
      <c r="D6593" s="8" t="s">
        <v>14954</v>
      </c>
      <c r="E6593" s="9" t="str">
        <f aca="false">HYPERLINK("https://twitter.com/rafaelangel0812/status/922404524630925312","922404524630925312")</f>
        <v>922404524630925312</v>
      </c>
      <c r="F6593" s="10" t="s">
        <v>60</v>
      </c>
      <c r="G6593" s="10" t="n">
        <v>280</v>
      </c>
      <c r="H6593" s="10" t="n">
        <v>285</v>
      </c>
      <c r="I6593" s="10" t="n">
        <v>0</v>
      </c>
      <c r="J6593" s="10" t="n">
        <v>0</v>
      </c>
      <c r="K6593" s="10" t="s">
        <v>20</v>
      </c>
      <c r="L6593" s="11" t="n">
        <v>42695.8406597222</v>
      </c>
      <c r="M6593" s="12" t="s">
        <v>440</v>
      </c>
      <c r="N6593" s="12" t="s">
        <v>441</v>
      </c>
      <c r="O6593" s="9" t="str">
        <f aca="false">HYPERLINK("https://pbs.twimg.com/profile_images/844730128311705601/dbv74UTC_normal.jpg","View")</f>
        <v>View</v>
      </c>
      <c r="P6593" s="10"/>
    </row>
    <row r="6594" customFormat="false" ht="15.75" hidden="false" customHeight="false" outlineLevel="0" collapsed="false">
      <c r="A6594" s="6" t="n">
        <v>43031.1314814815</v>
      </c>
      <c r="B6594" s="7" t="str">
        <f aca="false">HYPERLINK("https://twitter.com/ShakilAhmed_2","@ShakilAhmed_2")</f>
        <v>@ShakilAhmed_2</v>
      </c>
      <c r="C6594" s="8" t="s">
        <v>9695</v>
      </c>
      <c r="D6594" s="8" t="s">
        <v>14929</v>
      </c>
      <c r="E6594" s="9" t="str">
        <f aca="false">HYPERLINK("https://twitter.com/ShakilAhmed_2/status/922404565747675136","922404565747675136")</f>
        <v>922404565747675136</v>
      </c>
      <c r="F6594" s="10" t="s">
        <v>25</v>
      </c>
      <c r="G6594" s="10" t="n">
        <v>35</v>
      </c>
      <c r="H6594" s="10" t="n">
        <v>125</v>
      </c>
      <c r="I6594" s="10" t="n">
        <v>16</v>
      </c>
      <c r="J6594" s="10" t="n">
        <v>0</v>
      </c>
      <c r="K6594" s="10" t="s">
        <v>20</v>
      </c>
      <c r="L6594" s="11" t="n">
        <v>43024.7723263889</v>
      </c>
      <c r="M6594" s="12" t="s">
        <v>7114</v>
      </c>
      <c r="N6594" s="12" t="s">
        <v>9697</v>
      </c>
      <c r="O6594" s="9" t="str">
        <f aca="false">HYPERLINK("https://pbs.twimg.com/profile_images/921580212516806656/Xi1EqSeV_normal.jpg","View")</f>
        <v>View</v>
      </c>
      <c r="P6594" s="10"/>
    </row>
    <row r="6595" customFormat="false" ht="15.75" hidden="false" customHeight="false" outlineLevel="0" collapsed="false">
      <c r="A6595" s="6" t="n">
        <v>43031.1317592593</v>
      </c>
      <c r="B6595" s="7" t="str">
        <f aca="false">HYPERLINK("https://twitter.com/NetWorkWriter","@NetWorkWriter")</f>
        <v>@NetWorkWriter</v>
      </c>
      <c r="C6595" s="8" t="s">
        <v>5919</v>
      </c>
      <c r="D6595" s="8" t="s">
        <v>14929</v>
      </c>
      <c r="E6595" s="9" t="str">
        <f aca="false">HYPERLINK("https://twitter.com/NetWorkWriter/status/922404665752403968","922404665752403968")</f>
        <v>922404665752403968</v>
      </c>
      <c r="F6595" s="10" t="s">
        <v>177</v>
      </c>
      <c r="G6595" s="10" t="n">
        <v>151</v>
      </c>
      <c r="H6595" s="10" t="n">
        <v>1417</v>
      </c>
      <c r="I6595" s="10" t="n">
        <v>16</v>
      </c>
      <c r="J6595" s="10" t="n">
        <v>0</v>
      </c>
      <c r="K6595" s="10" t="s">
        <v>20</v>
      </c>
      <c r="L6595" s="11" t="n">
        <v>41995.3969212963</v>
      </c>
      <c r="M6595" s="12" t="s">
        <v>5920</v>
      </c>
      <c r="N6595" s="12"/>
      <c r="O6595" s="9" t="str">
        <f aca="false">HYPERLINK("https://abs.twimg.com/sticky/default_profile_images/default_profile_normal.png","View")</f>
        <v>View</v>
      </c>
      <c r="P6595" s="10"/>
    </row>
    <row r="6596" customFormat="false" ht="15.75" hidden="false" customHeight="false" outlineLevel="0" collapsed="false">
      <c r="A6596" s="6" t="n">
        <v>43031.1319560185</v>
      </c>
      <c r="B6596" s="7" t="str">
        <f aca="false">HYPERLINK("https://twitter.com/Ak_Ashii","@Ak_Ashii")</f>
        <v>@Ak_Ashii</v>
      </c>
      <c r="C6596" s="8" t="s">
        <v>1541</v>
      </c>
      <c r="D6596" s="8" t="s">
        <v>8538</v>
      </c>
      <c r="E6596" s="9" t="str">
        <f aca="false">HYPERLINK("https://twitter.com/Ak_Ashii/status/922404736942215168","922404736942215168")</f>
        <v>922404736942215168</v>
      </c>
      <c r="F6596" s="10" t="s">
        <v>25</v>
      </c>
      <c r="G6596" s="10" t="n">
        <v>3511</v>
      </c>
      <c r="H6596" s="10" t="n">
        <v>2249</v>
      </c>
      <c r="I6596" s="10" t="n">
        <v>1015</v>
      </c>
      <c r="J6596" s="10" t="n">
        <v>0</v>
      </c>
      <c r="K6596" s="10" t="s">
        <v>20</v>
      </c>
      <c r="L6596" s="11" t="n">
        <v>41073.5265509259</v>
      </c>
      <c r="M6596" s="12" t="s">
        <v>14955</v>
      </c>
      <c r="N6596" s="12" t="s">
        <v>14956</v>
      </c>
      <c r="O6596" s="9" t="str">
        <f aca="false">HYPERLINK("https://pbs.twimg.com/profile_images/912877440845832192/CLCDbpJ1_normal.jpg","View")</f>
        <v>View</v>
      </c>
      <c r="P6596" s="10"/>
    </row>
    <row r="6597" customFormat="false" ht="15.75" hidden="false" customHeight="false" outlineLevel="0" collapsed="false">
      <c r="A6597" s="6" t="n">
        <v>43031.1320833333</v>
      </c>
      <c r="B6597" s="7" t="str">
        <f aca="false">HYPERLINK("https://twitter.com/cerci_elena","@cerci_elena")</f>
        <v>@cerci_elena</v>
      </c>
      <c r="C6597" s="8" t="s">
        <v>14957</v>
      </c>
      <c r="D6597" s="8" t="s">
        <v>8538</v>
      </c>
      <c r="E6597" s="9" t="str">
        <f aca="false">HYPERLINK("https://twitter.com/cerci_elena/status/922404784065449984","922404784065449984")</f>
        <v>922404784065449984</v>
      </c>
      <c r="F6597" s="10" t="s">
        <v>25</v>
      </c>
      <c r="G6597" s="10" t="n">
        <v>8059</v>
      </c>
      <c r="H6597" s="10" t="n">
        <v>8034</v>
      </c>
      <c r="I6597" s="10" t="n">
        <v>1015</v>
      </c>
      <c r="J6597" s="10" t="n">
        <v>0</v>
      </c>
      <c r="K6597" s="10" t="s">
        <v>20</v>
      </c>
      <c r="L6597" s="11" t="n">
        <v>42817.2021990741</v>
      </c>
      <c r="M6597" s="12"/>
      <c r="N6597" s="12" t="s">
        <v>14958</v>
      </c>
      <c r="O6597" s="9" t="str">
        <f aca="false">HYPERLINK("https://pbs.twimg.com/profile_images/904006713270992897/QOAe1z4T_normal.jpg","View")</f>
        <v>View</v>
      </c>
      <c r="P6597" s="10"/>
    </row>
    <row r="6598" customFormat="false" ht="15.75" hidden="false" customHeight="false" outlineLevel="0" collapsed="false">
      <c r="A6598" s="6" t="n">
        <v>43031.1321180556</v>
      </c>
      <c r="B6598" s="7" t="str">
        <f aca="false">HYPERLINK("https://twitter.com/nishagarg","@nishagarg")</f>
        <v>@nishagarg</v>
      </c>
      <c r="C6598" s="8" t="s">
        <v>14959</v>
      </c>
      <c r="D6598" s="8" t="s">
        <v>8538</v>
      </c>
      <c r="E6598" s="9" t="str">
        <f aca="false">HYPERLINK("https://twitter.com/nishagarg/status/922404798153990144","922404798153990144")</f>
        <v>922404798153990144</v>
      </c>
      <c r="F6598" s="10" t="s">
        <v>51</v>
      </c>
      <c r="G6598" s="10" t="n">
        <v>43</v>
      </c>
      <c r="H6598" s="10" t="n">
        <v>112</v>
      </c>
      <c r="I6598" s="10" t="n">
        <v>1015</v>
      </c>
      <c r="J6598" s="10" t="n">
        <v>0</v>
      </c>
      <c r="K6598" s="10" t="s">
        <v>20</v>
      </c>
      <c r="L6598" s="11" t="n">
        <v>40004.2370486111</v>
      </c>
      <c r="M6598" s="12"/>
      <c r="N6598" s="12"/>
      <c r="O6598" s="9" t="str">
        <f aca="false">HYPERLINK("https://pbs.twimg.com/profile_images/463705352517607424/cHJ-Osiu_normal.png","View")</f>
        <v>View</v>
      </c>
      <c r="P6598" s="10"/>
    </row>
    <row r="6599" customFormat="false" ht="15.75" hidden="false" customHeight="false" outlineLevel="0" collapsed="false">
      <c r="A6599" s="6" t="n">
        <v>43031.1324305556</v>
      </c>
      <c r="B6599" s="7" t="str">
        <f aca="false">HYPERLINK("https://twitter.com/beYoNdUniVeRSeS","@beYoNdUniVeRSeS")</f>
        <v>@beYoNdUniVeRSeS</v>
      </c>
      <c r="C6599" s="8" t="s">
        <v>14960</v>
      </c>
      <c r="D6599" s="8" t="s">
        <v>14814</v>
      </c>
      <c r="E6599" s="9" t="str">
        <f aca="false">HYPERLINK("https://twitter.com/beYoNdUniVeRSeS/status/922404907541446658","922404907541446658")</f>
        <v>922404907541446658</v>
      </c>
      <c r="F6599" s="10" t="s">
        <v>98</v>
      </c>
      <c r="G6599" s="10" t="n">
        <v>591</v>
      </c>
      <c r="H6599" s="10" t="n">
        <v>384</v>
      </c>
      <c r="I6599" s="10" t="n">
        <v>14</v>
      </c>
      <c r="J6599" s="10" t="n">
        <v>0</v>
      </c>
      <c r="K6599" s="10" t="s">
        <v>20</v>
      </c>
      <c r="L6599" s="11" t="n">
        <v>40417.1389583333</v>
      </c>
      <c r="M6599" s="12" t="s">
        <v>14961</v>
      </c>
      <c r="N6599" s="12" t="s">
        <v>14962</v>
      </c>
      <c r="O6599" s="9" t="str">
        <f aca="false">HYPERLINK("https://pbs.twimg.com/profile_images/911961802254290946/wh3ZsIre_normal.jpg","View")</f>
        <v>View</v>
      </c>
      <c r="P6599" s="10"/>
    </row>
    <row r="6600" customFormat="false" ht="15.75" hidden="false" customHeight="false" outlineLevel="0" collapsed="false">
      <c r="A6600" s="6" t="n">
        <v>43031.1326967593</v>
      </c>
      <c r="B6600" s="7" t="str">
        <f aca="false">HYPERLINK("https://twitter.com/timelivenews","@timelivenews")</f>
        <v>@timelivenews</v>
      </c>
      <c r="C6600" s="8" t="s">
        <v>3083</v>
      </c>
      <c r="D6600" s="8" t="s">
        <v>14963</v>
      </c>
      <c r="E6600" s="9" t="str">
        <f aca="false">HYPERLINK("https://twitter.com/timelivenews/status/922405007009427456","922405007009427456")</f>
        <v>922405007009427456</v>
      </c>
      <c r="F6600" s="10" t="s">
        <v>1773</v>
      </c>
      <c r="G6600" s="10" t="n">
        <v>1008</v>
      </c>
      <c r="H6600" s="10" t="n">
        <v>1998</v>
      </c>
      <c r="I6600" s="10" t="n">
        <v>0</v>
      </c>
      <c r="J6600" s="10" t="n">
        <v>0</v>
      </c>
      <c r="K6600" s="10" t="s">
        <v>20</v>
      </c>
      <c r="L6600" s="11" t="n">
        <v>41173.318912037</v>
      </c>
      <c r="M6600" s="12"/>
      <c r="N6600" s="12"/>
      <c r="O6600" s="9" t="str">
        <f aca="false">HYPERLINK("https://pbs.twimg.com/profile_images/2645914047/c79803e0dea4e4b85f99f5b019bf0f4c_normal.png","View")</f>
        <v>View</v>
      </c>
      <c r="P6600" s="10"/>
    </row>
    <row r="6601" customFormat="false" ht="15.75" hidden="false" customHeight="false" outlineLevel="0" collapsed="false">
      <c r="A6601" s="6" t="n">
        <v>43031.1328587963</v>
      </c>
      <c r="B6601" s="7" t="str">
        <f aca="false">HYPERLINK("https://twitter.com/NarrendraM","@NarrendraM")</f>
        <v>@NarrendraM</v>
      </c>
      <c r="C6601" s="8" t="s">
        <v>468</v>
      </c>
      <c r="D6601" s="8" t="s">
        <v>14964</v>
      </c>
      <c r="E6601" s="9" t="str">
        <f aca="false">HYPERLINK("https://twitter.com/NarrendraM/status/922405064140115968","922405064140115968")</f>
        <v>922405064140115968</v>
      </c>
      <c r="F6601" s="10" t="s">
        <v>60</v>
      </c>
      <c r="G6601" s="10" t="n">
        <v>1999</v>
      </c>
      <c r="H6601" s="10" t="n">
        <v>252</v>
      </c>
      <c r="I6601" s="10" t="n">
        <v>0</v>
      </c>
      <c r="J6601" s="10" t="n">
        <v>0</v>
      </c>
      <c r="K6601" s="10" t="s">
        <v>20</v>
      </c>
      <c r="L6601" s="11" t="n">
        <v>42471.0737037037</v>
      </c>
      <c r="M6601" s="12" t="s">
        <v>253</v>
      </c>
      <c r="N6601" s="12" t="s">
        <v>470</v>
      </c>
      <c r="O6601" s="9" t="str">
        <f aca="false">HYPERLINK("https://pbs.twimg.com/profile_images/743939643738034176/WkGloI0u_normal.jpg","View")</f>
        <v>View</v>
      </c>
      <c r="P6601" s="10"/>
    </row>
    <row r="6602" customFormat="false" ht="15.75" hidden="false" customHeight="false" outlineLevel="0" collapsed="false">
      <c r="A6602" s="6" t="n">
        <v>43031.132974537</v>
      </c>
      <c r="B6602" s="7" t="str">
        <f aca="false">HYPERLINK("https://twitter.com/sanatandesh","@sanatandesh")</f>
        <v>@sanatandesh</v>
      </c>
      <c r="C6602" s="8" t="s">
        <v>14965</v>
      </c>
      <c r="D6602" s="8" t="s">
        <v>8538</v>
      </c>
      <c r="E6602" s="9" t="str">
        <f aca="false">HYPERLINK("https://twitter.com/sanatandesh/status/922405105965531136","922405105965531136")</f>
        <v>922405105965531136</v>
      </c>
      <c r="F6602" s="10" t="s">
        <v>25</v>
      </c>
      <c r="G6602" s="10" t="n">
        <v>3128</v>
      </c>
      <c r="H6602" s="10" t="n">
        <v>2983</v>
      </c>
      <c r="I6602" s="10" t="n">
        <v>1015</v>
      </c>
      <c r="J6602" s="10" t="n">
        <v>0</v>
      </c>
      <c r="K6602" s="10" t="s">
        <v>20</v>
      </c>
      <c r="L6602" s="11" t="n">
        <v>41868.7873958333</v>
      </c>
      <c r="M6602" s="12" t="s">
        <v>14822</v>
      </c>
      <c r="N6602" s="12" t="s">
        <v>14966</v>
      </c>
      <c r="O6602" s="9" t="str">
        <f aca="false">HYPERLINK("https://pbs.twimg.com/profile_images/602640477960032256/39R6x0Oy_normal.png","View")</f>
        <v>View</v>
      </c>
      <c r="P6602" s="10"/>
    </row>
    <row r="6603" customFormat="false" ht="15.75" hidden="false" customHeight="false" outlineLevel="0" collapsed="false">
      <c r="A6603" s="6" t="n">
        <v>43031.1330324074</v>
      </c>
      <c r="B6603" s="7" t="str">
        <f aca="false">HYPERLINK("https://twitter.com/Kaustabha","@Kaustabha")</f>
        <v>@Kaustabha</v>
      </c>
      <c r="C6603" s="8" t="s">
        <v>14967</v>
      </c>
      <c r="D6603" s="8" t="s">
        <v>8538</v>
      </c>
      <c r="E6603" s="9" t="str">
        <f aca="false">HYPERLINK("https://twitter.com/Kaustabha/status/922405126207184896","922405126207184896")</f>
        <v>922405126207184896</v>
      </c>
      <c r="F6603" s="10" t="s">
        <v>25</v>
      </c>
      <c r="G6603" s="10" t="n">
        <v>223</v>
      </c>
      <c r="H6603" s="10" t="n">
        <v>92</v>
      </c>
      <c r="I6603" s="10" t="n">
        <v>1015</v>
      </c>
      <c r="J6603" s="10" t="n">
        <v>0</v>
      </c>
      <c r="K6603" s="10" t="s">
        <v>20</v>
      </c>
      <c r="L6603" s="11" t="n">
        <v>41293.6450578704</v>
      </c>
      <c r="M6603" s="12" t="s">
        <v>14968</v>
      </c>
      <c r="N6603" s="12"/>
      <c r="O6603" s="9" t="str">
        <f aca="false">HYPERLINK("https://pbs.twimg.com/profile_images/3491434607/6eadbef5be3feb8a3571eec3bfd6d0cf_normal.jpeg","View")</f>
        <v>View</v>
      </c>
      <c r="P6603" s="10"/>
    </row>
    <row r="6604" customFormat="false" ht="15.75" hidden="false" customHeight="false" outlineLevel="0" collapsed="false">
      <c r="A6604" s="6" t="n">
        <v>43031.1330439815</v>
      </c>
      <c r="B6604" s="7" t="str">
        <f aca="false">HYPERLINK("https://twitter.com/rkrcmt","@rkrcmt")</f>
        <v>@rkrcmt</v>
      </c>
      <c r="C6604" s="8" t="s">
        <v>14969</v>
      </c>
      <c r="D6604" s="8" t="s">
        <v>8538</v>
      </c>
      <c r="E6604" s="9" t="str">
        <f aca="false">HYPERLINK("https://twitter.com/rkrcmt/status/922405131571699712","922405131571699712")</f>
        <v>922405131571699712</v>
      </c>
      <c r="F6604" s="10" t="s">
        <v>39</v>
      </c>
      <c r="G6604" s="10" t="n">
        <v>28</v>
      </c>
      <c r="H6604" s="10" t="n">
        <v>227</v>
      </c>
      <c r="I6604" s="10" t="n">
        <v>1015</v>
      </c>
      <c r="J6604" s="10" t="n">
        <v>0</v>
      </c>
      <c r="K6604" s="10" t="s">
        <v>20</v>
      </c>
      <c r="L6604" s="11" t="n">
        <v>42832.8949768519</v>
      </c>
      <c r="M6604" s="12"/>
      <c r="N6604" s="12"/>
      <c r="O6604" s="9" t="str">
        <f aca="false">HYPERLINK("https://pbs.twimg.com/profile_images/850574338344443904/rBsw-qXX_normal.jpg","View")</f>
        <v>View</v>
      </c>
      <c r="P6604" s="10"/>
    </row>
    <row r="6605" customFormat="false" ht="15.75" hidden="false" customHeight="false" outlineLevel="0" collapsed="false">
      <c r="A6605" s="6" t="n">
        <v>43031.1332638889</v>
      </c>
      <c r="B6605" s="7" t="str">
        <f aca="false">HYPERLINK("https://twitter.com/92d04307e4fd43e","@92d04307e4fd43e")</f>
        <v>@92d04307e4fd43e</v>
      </c>
      <c r="C6605" s="8" t="s">
        <v>14970</v>
      </c>
      <c r="D6605" s="8" t="s">
        <v>14373</v>
      </c>
      <c r="E6605" s="9" t="str">
        <f aca="false">HYPERLINK("https://twitter.com/92d04307e4fd43e/status/922405209955012608","922405209955012608")</f>
        <v>922405209955012608</v>
      </c>
      <c r="F6605" s="10" t="s">
        <v>25</v>
      </c>
      <c r="G6605" s="10" t="n">
        <v>745</v>
      </c>
      <c r="H6605" s="10" t="n">
        <v>168</v>
      </c>
      <c r="I6605" s="10" t="n">
        <v>7</v>
      </c>
      <c r="J6605" s="10" t="n">
        <v>0</v>
      </c>
      <c r="K6605" s="10" t="s">
        <v>20</v>
      </c>
      <c r="L6605" s="11" t="n">
        <v>42128.4894907407</v>
      </c>
      <c r="M6605" s="12"/>
      <c r="N6605" s="12" t="s">
        <v>14971</v>
      </c>
      <c r="O6605" s="9" t="str">
        <f aca="false">HYPERLINK("https://pbs.twimg.com/profile_images/821562169665974272/vroc5nXN_normal.jpg","View")</f>
        <v>View</v>
      </c>
      <c r="P6605" s="10"/>
    </row>
    <row r="6606" customFormat="false" ht="15.75" hidden="false" customHeight="false" outlineLevel="0" collapsed="false">
      <c r="A6606" s="6" t="n">
        <v>43031.1333912037</v>
      </c>
      <c r="B6606" s="7" t="str">
        <f aca="false">HYPERLINK("https://twitter.com/revolution_fr","@revolution_fr")</f>
        <v>@revolution_fr</v>
      </c>
      <c r="C6606" s="8" t="s">
        <v>1579</v>
      </c>
      <c r="D6606" s="8" t="s">
        <v>14814</v>
      </c>
      <c r="E6606" s="9" t="str">
        <f aca="false">HYPERLINK("https://twitter.com/revolution_fr/status/922405259510796288","922405259510796288")</f>
        <v>922405259510796288</v>
      </c>
      <c r="F6606" s="10" t="s">
        <v>98</v>
      </c>
      <c r="G6606" s="10" t="n">
        <v>2663</v>
      </c>
      <c r="H6606" s="10" t="n">
        <v>3625</v>
      </c>
      <c r="I6606" s="10" t="n">
        <v>14</v>
      </c>
      <c r="J6606" s="10" t="n">
        <v>0</v>
      </c>
      <c r="K6606" s="10" t="s">
        <v>20</v>
      </c>
      <c r="L6606" s="11" t="n">
        <v>42400.3124305556</v>
      </c>
      <c r="M6606" s="12" t="s">
        <v>1580</v>
      </c>
      <c r="N6606" s="12" t="s">
        <v>1581</v>
      </c>
      <c r="O6606" s="9" t="str">
        <f aca="false">HYPERLINK("https://pbs.twimg.com/profile_images/912005330749575173/gmtBFZtv_normal.jpg","View")</f>
        <v>View</v>
      </c>
      <c r="P6606" s="10"/>
    </row>
    <row r="6607" customFormat="false" ht="15.75" hidden="false" customHeight="false" outlineLevel="0" collapsed="false">
      <c r="A6607" s="6" t="n">
        <v>43031.1337152778</v>
      </c>
      <c r="B6607" s="7" t="str">
        <f aca="false">HYPERLINK("https://twitter.com/VibrantSoul85","@VibrantSoul85")</f>
        <v>@VibrantSoul85</v>
      </c>
      <c r="C6607" s="8" t="s">
        <v>14972</v>
      </c>
      <c r="D6607" s="8" t="s">
        <v>8538</v>
      </c>
      <c r="E6607" s="9" t="str">
        <f aca="false">HYPERLINK("https://twitter.com/VibrantSoul85/status/922405372924588032","922405372924588032")</f>
        <v>922405372924588032</v>
      </c>
      <c r="F6607" s="10" t="s">
        <v>25</v>
      </c>
      <c r="G6607" s="10" t="n">
        <v>1766</v>
      </c>
      <c r="H6607" s="10" t="n">
        <v>1241</v>
      </c>
      <c r="I6607" s="10" t="n">
        <v>1015</v>
      </c>
      <c r="J6607" s="10" t="n">
        <v>0</v>
      </c>
      <c r="K6607" s="10" t="s">
        <v>20</v>
      </c>
      <c r="L6607" s="11" t="n">
        <v>40399.0306597222</v>
      </c>
      <c r="M6607" s="12" t="s">
        <v>4400</v>
      </c>
      <c r="N6607" s="12" t="s">
        <v>14973</v>
      </c>
      <c r="O6607" s="9" t="str">
        <f aca="false">HYPERLINK("https://pbs.twimg.com/profile_images/914129958221488128/0P8sf67h_normal.jpg","View")</f>
        <v>View</v>
      </c>
      <c r="P6607" s="10"/>
    </row>
    <row r="6608" customFormat="false" ht="15.75" hidden="false" customHeight="false" outlineLevel="0" collapsed="false">
      <c r="A6608" s="6" t="n">
        <v>43031.1337152778</v>
      </c>
      <c r="B6608" s="7" t="str">
        <f aca="false">HYPERLINK("https://twitter.com/CNBCTradersFan","@CNBCTradersFan")</f>
        <v>@CNBCTradersFan</v>
      </c>
      <c r="C6608" s="8" t="s">
        <v>325</v>
      </c>
      <c r="D6608" s="8" t="s">
        <v>14974</v>
      </c>
      <c r="E6608" s="9" t="str">
        <f aca="false">HYPERLINK("https://twitter.com/CNBCTradersFan/status/922405375042826240","922405375042826240")</f>
        <v>922405375042826240</v>
      </c>
      <c r="F6608" s="10" t="s">
        <v>60</v>
      </c>
      <c r="G6608" s="10" t="n">
        <v>17155</v>
      </c>
      <c r="H6608" s="10" t="n">
        <v>11641</v>
      </c>
      <c r="I6608" s="10" t="n">
        <v>0</v>
      </c>
      <c r="J6608" s="10" t="n">
        <v>0</v>
      </c>
      <c r="K6608" s="10" t="s">
        <v>20</v>
      </c>
      <c r="L6608" s="11" t="n">
        <v>40922.5054282407</v>
      </c>
      <c r="M6608" s="12" t="s">
        <v>327</v>
      </c>
      <c r="N6608" s="12" t="s">
        <v>328</v>
      </c>
      <c r="O6608" s="9" t="str">
        <f aca="false">HYPERLINK("https://pbs.twimg.com/profile_images/731870469318684672/Ckf7rDdJ_normal.jpg","View")</f>
        <v>View</v>
      </c>
      <c r="P6608" s="10"/>
    </row>
    <row r="6609" customFormat="false" ht="15.75" hidden="false" customHeight="false" outlineLevel="0" collapsed="false">
      <c r="A6609" s="6" t="n">
        <v>43031.1338078704</v>
      </c>
      <c r="B6609" s="7" t="str">
        <f aca="false">HYPERLINK("https://twitter.com/boogiefinger","@boogiefinger")</f>
        <v>@boogiefinger</v>
      </c>
      <c r="C6609" s="8" t="s">
        <v>14975</v>
      </c>
      <c r="D6609" s="8" t="s">
        <v>14929</v>
      </c>
      <c r="E6609" s="9" t="str">
        <f aca="false">HYPERLINK("https://twitter.com/boogiefinger/status/922405409129889792","922405409129889792")</f>
        <v>922405409129889792</v>
      </c>
      <c r="F6609" s="10" t="s">
        <v>25</v>
      </c>
      <c r="G6609" s="10" t="n">
        <v>3067</v>
      </c>
      <c r="H6609" s="10" t="n">
        <v>3257</v>
      </c>
      <c r="I6609" s="10" t="n">
        <v>16</v>
      </c>
      <c r="J6609" s="10" t="n">
        <v>0</v>
      </c>
      <c r="K6609" s="10" t="s">
        <v>20</v>
      </c>
      <c r="L6609" s="11" t="n">
        <v>40816.8165509259</v>
      </c>
      <c r="M6609" s="12" t="s">
        <v>14976</v>
      </c>
      <c r="N6609" s="12" t="s">
        <v>14977</v>
      </c>
      <c r="O6609" s="9" t="str">
        <f aca="false">HYPERLINK("https://pbs.twimg.com/profile_images/721426535018807299/C3y89brR_normal.jpg","View")</f>
        <v>View</v>
      </c>
      <c r="P6609" s="10"/>
    </row>
    <row r="6610" customFormat="false" ht="15.75" hidden="false" customHeight="false" outlineLevel="0" collapsed="false">
      <c r="A6610" s="6" t="n">
        <v>43031.1338888889</v>
      </c>
      <c r="B6610" s="7" t="str">
        <f aca="false">HYPERLINK("https://twitter.com/7thclouds","@7thclouds")</f>
        <v>@7thclouds</v>
      </c>
      <c r="C6610" s="14" t="s">
        <v>14978</v>
      </c>
      <c r="D6610" s="8" t="s">
        <v>14929</v>
      </c>
      <c r="E6610" s="9" t="str">
        <f aca="false">HYPERLINK("https://twitter.com/7thclouds/status/922405437810421760","922405437810421760")</f>
        <v>922405437810421760</v>
      </c>
      <c r="F6610" s="10" t="s">
        <v>51</v>
      </c>
      <c r="G6610" s="10" t="n">
        <v>1364</v>
      </c>
      <c r="H6610" s="10" t="n">
        <v>2500</v>
      </c>
      <c r="I6610" s="10" t="n">
        <v>16</v>
      </c>
      <c r="J6610" s="10" t="n">
        <v>0</v>
      </c>
      <c r="K6610" s="10" t="s">
        <v>20</v>
      </c>
      <c r="L6610" s="11" t="n">
        <v>40220.0058449074</v>
      </c>
      <c r="M6610" s="12" t="s">
        <v>14979</v>
      </c>
      <c r="N6610" s="12" t="s">
        <v>14980</v>
      </c>
      <c r="O6610" s="9" t="str">
        <f aca="false">HYPERLINK("https://pbs.twimg.com/profile_images/854246510380302337/JsgKRhgJ_normal.jpg","View")</f>
        <v>View</v>
      </c>
      <c r="P6610" s="10"/>
    </row>
    <row r="6611" customFormat="false" ht="15.75" hidden="false" customHeight="false" outlineLevel="0" collapsed="false">
      <c r="A6611" s="6" t="n">
        <v>43031.1341087963</v>
      </c>
      <c r="B6611" s="7" t="str">
        <f aca="false">HYPERLINK("https://twitter.com/GeoTechive","@GeoTechive")</f>
        <v>@GeoTechive</v>
      </c>
      <c r="C6611" s="8" t="s">
        <v>14981</v>
      </c>
      <c r="D6611" s="8" t="s">
        <v>14982</v>
      </c>
      <c r="E6611" s="9" t="str">
        <f aca="false">HYPERLINK("https://twitter.com/GeoTechive/status/922405515648385025","922405515648385025")</f>
        <v>922405515648385025</v>
      </c>
      <c r="F6611" s="9" t="s">
        <v>1147</v>
      </c>
      <c r="G6611" s="10" t="n">
        <v>865</v>
      </c>
      <c r="H6611" s="10" t="n">
        <v>736</v>
      </c>
      <c r="I6611" s="10" t="n">
        <v>0</v>
      </c>
      <c r="J6611" s="10" t="n">
        <v>0</v>
      </c>
      <c r="K6611" s="10" t="s">
        <v>20</v>
      </c>
      <c r="L6611" s="11" t="n">
        <v>42610.252962963</v>
      </c>
      <c r="M6611" s="12" t="s">
        <v>21</v>
      </c>
      <c r="N6611" s="12" t="s">
        <v>14983</v>
      </c>
      <c r="O6611" s="9" t="str">
        <f aca="false">HYPERLINK("https://pbs.twimg.com/profile_images/826088812300218368/-tblnrKh_normal.jpg","View")</f>
        <v>View</v>
      </c>
      <c r="P6611" s="10"/>
    </row>
    <row r="6612" customFormat="false" ht="15.75" hidden="false" customHeight="false" outlineLevel="0" collapsed="false">
      <c r="A6612" s="6" t="n">
        <v>43031.1342013889</v>
      </c>
      <c r="B6612" s="7" t="str">
        <f aca="false">HYPERLINK("https://twitter.com/mmmWeiki","@mmmWeiki")</f>
        <v>@mmmWeiki</v>
      </c>
      <c r="C6612" s="8" t="s">
        <v>14984</v>
      </c>
      <c r="D6612" s="8" t="s">
        <v>14737</v>
      </c>
      <c r="E6612" s="9" t="str">
        <f aca="false">HYPERLINK("https://twitter.com/mmmWeiki/status/922405550226268165","922405550226268165")</f>
        <v>922405550226268165</v>
      </c>
      <c r="F6612" s="10" t="s">
        <v>25</v>
      </c>
      <c r="G6612" s="10" t="n">
        <v>1269</v>
      </c>
      <c r="H6612" s="10" t="n">
        <v>1433</v>
      </c>
      <c r="I6612" s="10" t="n">
        <v>4</v>
      </c>
      <c r="J6612" s="10" t="n">
        <v>0</v>
      </c>
      <c r="K6612" s="10" t="s">
        <v>20</v>
      </c>
      <c r="L6612" s="11" t="n">
        <v>40467.7929282407</v>
      </c>
      <c r="M6612" s="12" t="s">
        <v>1257</v>
      </c>
      <c r="N6612" s="12" t="s">
        <v>14985</v>
      </c>
      <c r="O6612" s="9" t="str">
        <f aca="false">HYPERLINK("https://pbs.twimg.com/profile_images/2847114325/9766e97ad44611bff91109565a3e7cc3_normal.jpeg","View")</f>
        <v>View</v>
      </c>
      <c r="P6612" s="10"/>
    </row>
    <row r="6613" customFormat="false" ht="15.75" hidden="false" customHeight="false" outlineLevel="0" collapsed="false">
      <c r="A6613" s="6" t="n">
        <v>43031.1342361111</v>
      </c>
      <c r="B6613" s="7" t="str">
        <f aca="false">HYPERLINK("https://twitter.com/KoreaCenterHQ","@KoreaCenterHQ")</f>
        <v>@KoreaCenterHQ</v>
      </c>
      <c r="C6613" s="8" t="s">
        <v>1311</v>
      </c>
      <c r="D6613" s="8" t="s">
        <v>14986</v>
      </c>
      <c r="E6613" s="9" t="str">
        <f aca="false">HYPERLINK("https://twitter.com/KoreaCenterHQ/status/922405565430747136","922405565430747136")</f>
        <v>922405565430747136</v>
      </c>
      <c r="F6613" s="10" t="s">
        <v>60</v>
      </c>
      <c r="G6613" s="10" t="n">
        <v>70</v>
      </c>
      <c r="H6613" s="10" t="n">
        <v>5</v>
      </c>
      <c r="I6613" s="10" t="n">
        <v>0</v>
      </c>
      <c r="J6613" s="10" t="n">
        <v>0</v>
      </c>
      <c r="K6613" s="10" t="s">
        <v>20</v>
      </c>
      <c r="L6613" s="11" t="n">
        <v>42259.7855092593</v>
      </c>
      <c r="M6613" s="12" t="s">
        <v>1313</v>
      </c>
      <c r="N6613" s="12" t="s">
        <v>1314</v>
      </c>
      <c r="O6613" s="9" t="str">
        <f aca="false">HYPERLINK("https://pbs.twimg.com/profile_images/902288054987182080/2Zsh6ms3_normal.jpg","View")</f>
        <v>View</v>
      </c>
      <c r="P6613" s="10"/>
    </row>
    <row r="6614" customFormat="false" ht="15.75" hidden="false" customHeight="false" outlineLevel="0" collapsed="false">
      <c r="A6614" s="6" t="n">
        <v>43031.1343287037</v>
      </c>
      <c r="B6614" s="7" t="str">
        <f aca="false">HYPERLINK("https://twitter.com/15MikeMike15","@15MikeMike15")</f>
        <v>@15MikeMike15</v>
      </c>
      <c r="C6614" s="8" t="s">
        <v>14819</v>
      </c>
      <c r="D6614" s="8" t="s">
        <v>14987</v>
      </c>
      <c r="E6614" s="9" t="str">
        <f aca="false">HYPERLINK("https://twitter.com/15MikeMike15/status/922405598620241920","922405598620241920")</f>
        <v>922405598620241920</v>
      </c>
      <c r="F6614" s="10" t="s">
        <v>14820</v>
      </c>
      <c r="G6614" s="10" t="n">
        <v>1044</v>
      </c>
      <c r="H6614" s="10" t="n">
        <v>1950</v>
      </c>
      <c r="I6614" s="10" t="n">
        <v>1</v>
      </c>
      <c r="J6614" s="10" t="n">
        <v>0</v>
      </c>
      <c r="K6614" s="10" t="s">
        <v>20</v>
      </c>
      <c r="L6614" s="11" t="n">
        <v>42809.5834027778</v>
      </c>
      <c r="M6614" s="12"/>
      <c r="N6614" s="12"/>
      <c r="O6614" s="9" t="str">
        <f aca="false">HYPERLINK("https://pbs.twimg.com/profile_images/864951920045289473/bAoGibet_normal.jpg","View")</f>
        <v>View</v>
      </c>
      <c r="P6614" s="10"/>
    </row>
    <row r="6615" customFormat="false" ht="15.75" hidden="false" customHeight="false" outlineLevel="0" collapsed="false">
      <c r="A6615" s="6" t="n">
        <v>43031.1347106481</v>
      </c>
      <c r="B6615" s="7" t="str">
        <f aca="false">HYPERLINK("https://twitter.com/revolution_fr","@revolution_fr")</f>
        <v>@revolution_fr</v>
      </c>
      <c r="C6615" s="8" t="s">
        <v>1579</v>
      </c>
      <c r="D6615" s="8" t="s">
        <v>14988</v>
      </c>
      <c r="E6615" s="9" t="str">
        <f aca="false">HYPERLINK("https://twitter.com/revolution_fr/status/922405735253925888","922405735253925888")</f>
        <v>922405735253925888</v>
      </c>
      <c r="F6615" s="10" t="s">
        <v>98</v>
      </c>
      <c r="G6615" s="10" t="n">
        <v>2663</v>
      </c>
      <c r="H6615" s="10" t="n">
        <v>3625</v>
      </c>
      <c r="I6615" s="10" t="n">
        <v>1</v>
      </c>
      <c r="J6615" s="10" t="n">
        <v>0</v>
      </c>
      <c r="K6615" s="10" t="s">
        <v>20</v>
      </c>
      <c r="L6615" s="11" t="n">
        <v>42400.3124305556</v>
      </c>
      <c r="M6615" s="12" t="s">
        <v>1580</v>
      </c>
      <c r="N6615" s="12" t="s">
        <v>1581</v>
      </c>
      <c r="O6615" s="9" t="str">
        <f aca="false">HYPERLINK("https://pbs.twimg.com/profile_images/912005330749575173/gmtBFZtv_normal.jpg","View")</f>
        <v>View</v>
      </c>
      <c r="P6615" s="10"/>
    </row>
    <row r="6616" customFormat="false" ht="15.75" hidden="false" customHeight="false" outlineLevel="0" collapsed="false">
      <c r="A6616" s="6" t="n">
        <v>43031.1348726852</v>
      </c>
      <c r="B6616" s="7" t="str">
        <f aca="false">HYPERLINK("https://twitter.com/fujitayuh","@fujitayuh")</f>
        <v>@fujitayuh</v>
      </c>
      <c r="C6616" s="8" t="s">
        <v>2092</v>
      </c>
      <c r="D6616" s="8" t="s">
        <v>14929</v>
      </c>
      <c r="E6616" s="9" t="str">
        <f aca="false">HYPERLINK("https://twitter.com/fujitayuh/status/922405795370639361","922405795370639361")</f>
        <v>922405795370639361</v>
      </c>
      <c r="F6616" s="10" t="s">
        <v>39</v>
      </c>
      <c r="G6616" s="10" t="n">
        <v>457</v>
      </c>
      <c r="H6616" s="10" t="n">
        <v>265</v>
      </c>
      <c r="I6616" s="10" t="n">
        <v>16</v>
      </c>
      <c r="J6616" s="10" t="n">
        <v>0</v>
      </c>
      <c r="K6616" s="10" t="s">
        <v>20</v>
      </c>
      <c r="L6616" s="11" t="n">
        <v>40208.2397222222</v>
      </c>
      <c r="M6616" s="12" t="s">
        <v>2093</v>
      </c>
      <c r="N6616" s="13" t="s">
        <v>2094</v>
      </c>
      <c r="O6616" s="9" t="str">
        <f aca="false">HYPERLINK("https://pbs.twimg.com/profile_images/667191542/800px-Four_of_the_Seven_Sisters_normal.jpg","View")</f>
        <v>View</v>
      </c>
      <c r="P6616" s="10"/>
    </row>
    <row r="6617" customFormat="false" ht="15.75" hidden="false" customHeight="false" outlineLevel="0" collapsed="false">
      <c r="A6617" s="6" t="n">
        <v>43031.1351967593</v>
      </c>
      <c r="B6617" s="7" t="str">
        <f aca="false">HYPERLINK("https://twitter.com/tpel78","@tpel78")</f>
        <v>@tpel78</v>
      </c>
      <c r="C6617" s="8" t="s">
        <v>14989</v>
      </c>
      <c r="D6617" s="8" t="s">
        <v>8538</v>
      </c>
      <c r="E6617" s="9" t="str">
        <f aca="false">HYPERLINK("https://twitter.com/tpel78/status/922405913536933889","922405913536933889")</f>
        <v>922405913536933889</v>
      </c>
      <c r="F6617" s="10" t="s">
        <v>25</v>
      </c>
      <c r="G6617" s="10" t="n">
        <v>4563</v>
      </c>
      <c r="H6617" s="10" t="n">
        <v>2973</v>
      </c>
      <c r="I6617" s="10" t="n">
        <v>1015</v>
      </c>
      <c r="J6617" s="10" t="n">
        <v>0</v>
      </c>
      <c r="K6617" s="10" t="s">
        <v>20</v>
      </c>
      <c r="L6617" s="11" t="n">
        <v>41262.9291319445</v>
      </c>
      <c r="M6617" s="12" t="s">
        <v>14990</v>
      </c>
      <c r="N6617" s="12" t="s">
        <v>14991</v>
      </c>
      <c r="O6617" s="9" t="str">
        <f aca="false">HYPERLINK("https://pbs.twimg.com/profile_images/726706701290856450/iL8AAMVG_normal.jpg","View")</f>
        <v>View</v>
      </c>
      <c r="P6617" s="10"/>
    </row>
    <row r="6618" customFormat="false" ht="15.75" hidden="false" customHeight="false" outlineLevel="0" collapsed="false">
      <c r="A6618" s="6" t="n">
        <v>43031.1355324074</v>
      </c>
      <c r="B6618" s="7" t="str">
        <f aca="false">HYPERLINK("https://twitter.com/NewIndianXpress","@NewIndianXpress")</f>
        <v>@NewIndianXpress</v>
      </c>
      <c r="C6618" s="8" t="s">
        <v>14992</v>
      </c>
      <c r="D6618" s="8" t="s">
        <v>14993</v>
      </c>
      <c r="E6618" s="9" t="str">
        <f aca="false">HYPERLINK("https://twitter.com/NewIndianXpress/status/922406035280793600","922406035280793600")</f>
        <v>922406035280793600</v>
      </c>
      <c r="F6618" s="10" t="s">
        <v>1167</v>
      </c>
      <c r="G6618" s="10" t="n">
        <v>267510</v>
      </c>
      <c r="H6618" s="10" t="n">
        <v>487</v>
      </c>
      <c r="I6618" s="10" t="n">
        <v>0</v>
      </c>
      <c r="J6618" s="10" t="n">
        <v>5</v>
      </c>
      <c r="K6618" s="10" t="s">
        <v>20</v>
      </c>
      <c r="L6618" s="11" t="n">
        <v>40152.0589699074</v>
      </c>
      <c r="M6618" s="12" t="s">
        <v>5883</v>
      </c>
      <c r="N6618" s="12" t="s">
        <v>14994</v>
      </c>
      <c r="O6618" s="9" t="str">
        <f aca="false">HYPERLINK("https://pbs.twimg.com/profile_images/841900844144578560/7BkS6VsH_normal.jpg","View")</f>
        <v>View</v>
      </c>
      <c r="P6618" s="10"/>
    </row>
    <row r="6619" customFormat="false" ht="15.75" hidden="false" customHeight="false" outlineLevel="0" collapsed="false">
      <c r="A6619" s="6" t="n">
        <v>43031.1359606482</v>
      </c>
      <c r="B6619" s="7" t="str">
        <f aca="false">HYPERLINK("https://twitter.com/alycsadler","@alycsadler")</f>
        <v>@alycsadler</v>
      </c>
      <c r="C6619" s="8" t="s">
        <v>5909</v>
      </c>
      <c r="D6619" s="8" t="s">
        <v>12764</v>
      </c>
      <c r="E6619" s="9" t="str">
        <f aca="false">HYPERLINK("https://twitter.com/alycsadler/status/922406190159683584","922406190159683584")</f>
        <v>922406190159683584</v>
      </c>
      <c r="F6619" s="10" t="s">
        <v>39</v>
      </c>
      <c r="G6619" s="10" t="n">
        <v>98</v>
      </c>
      <c r="H6619" s="10" t="n">
        <v>51</v>
      </c>
      <c r="I6619" s="10" t="n">
        <v>170</v>
      </c>
      <c r="J6619" s="10" t="n">
        <v>0</v>
      </c>
      <c r="K6619" s="10" t="s">
        <v>20</v>
      </c>
      <c r="L6619" s="11" t="n">
        <v>41292.4927662037</v>
      </c>
      <c r="M6619" s="12" t="s">
        <v>14995</v>
      </c>
      <c r="N6619" s="12" t="s">
        <v>14996</v>
      </c>
      <c r="O6619" s="9" t="str">
        <f aca="false">HYPERLINK("https://pbs.twimg.com/profile_images/905800341987500033/2rPCjBxU_normal.jpg","View")</f>
        <v>View</v>
      </c>
      <c r="P6619" s="10"/>
    </row>
    <row r="6620" customFormat="false" ht="15.75" hidden="false" customHeight="false" outlineLevel="0" collapsed="false">
      <c r="A6620" s="6" t="n">
        <v>43031.1365162037</v>
      </c>
      <c r="B6620" s="7" t="str">
        <f aca="false">HYPERLINK("https://twitter.com/zeeshan_shah_dc","@zeeshan_shah_dc")</f>
        <v>@zeeshan_shah_dc</v>
      </c>
      <c r="C6620" s="8" t="s">
        <v>6318</v>
      </c>
      <c r="D6620" s="8" t="s">
        <v>13172</v>
      </c>
      <c r="E6620" s="9" t="str">
        <f aca="false">HYPERLINK("https://twitter.com/zeeshan_shah_dc/status/922406390362238977","922406390362238977")</f>
        <v>922406390362238977</v>
      </c>
      <c r="F6620" s="10" t="s">
        <v>51</v>
      </c>
      <c r="G6620" s="10" t="n">
        <v>2076</v>
      </c>
      <c r="H6620" s="10" t="n">
        <v>278</v>
      </c>
      <c r="I6620" s="10" t="n">
        <v>26</v>
      </c>
      <c r="J6620" s="10" t="n">
        <v>0</v>
      </c>
      <c r="K6620" s="10" t="s">
        <v>20</v>
      </c>
      <c r="L6620" s="11" t="n">
        <v>41057.8802777778</v>
      </c>
      <c r="M6620" s="12" t="s">
        <v>723</v>
      </c>
      <c r="N6620" s="12" t="s">
        <v>6319</v>
      </c>
      <c r="O6620" s="9" t="str">
        <f aca="false">HYPERLINK("https://pbs.twimg.com/profile_images/915766155373170688/aHIu0lVW_normal.jpg","View")</f>
        <v>View</v>
      </c>
      <c r="P6620" s="10"/>
    </row>
    <row r="6621" customFormat="false" ht="15.75" hidden="false" customHeight="false" outlineLevel="0" collapsed="false">
      <c r="A6621" s="6" t="n">
        <v>43031.1368865741</v>
      </c>
      <c r="B6621" s="7" t="str">
        <f aca="false">HYPERLINK("https://twitter.com/BulentCOSAR33","@BulentCOSAR33")</f>
        <v>@BulentCOSAR33</v>
      </c>
      <c r="C6621" s="8" t="s">
        <v>14997</v>
      </c>
      <c r="D6621" s="8" t="s">
        <v>12046</v>
      </c>
      <c r="E6621" s="9" t="str">
        <f aca="false">HYPERLINK("https://twitter.com/BulentCOSAR33/status/922406525502619649","922406525502619649")</f>
        <v>922406525502619649</v>
      </c>
      <c r="F6621" s="10" t="s">
        <v>25</v>
      </c>
      <c r="G6621" s="10" t="n">
        <v>514</v>
      </c>
      <c r="H6621" s="10" t="n">
        <v>2650</v>
      </c>
      <c r="I6621" s="10" t="n">
        <v>7</v>
      </c>
      <c r="J6621" s="10" t="n">
        <v>0</v>
      </c>
      <c r="K6621" s="10" t="s">
        <v>20</v>
      </c>
      <c r="L6621" s="11" t="n">
        <v>40758.0467361111</v>
      </c>
      <c r="M6621" s="12" t="s">
        <v>14998</v>
      </c>
      <c r="N6621" s="12" t="s">
        <v>14999</v>
      </c>
      <c r="O6621" s="9" t="str">
        <f aca="false">HYPERLINK("https://pbs.twimg.com/profile_images/2515482376/zi893xdqw7d6dplrps2w_normal.jpeg","View")</f>
        <v>View</v>
      </c>
      <c r="P6621" s="10"/>
    </row>
    <row r="6622" customFormat="false" ht="15.75" hidden="false" customHeight="false" outlineLevel="0" collapsed="false">
      <c r="A6622" s="6" t="n">
        <v>43031.1369328704</v>
      </c>
      <c r="B6622" s="7" t="str">
        <f aca="false">HYPERLINK("https://twitter.com/quanzhuo169083","@quanzhuo169083")</f>
        <v>@quanzhuo169083</v>
      </c>
      <c r="C6622" s="8" t="s">
        <v>15000</v>
      </c>
      <c r="D6622" s="8" t="s">
        <v>14043</v>
      </c>
      <c r="E6622" s="9" t="str">
        <f aca="false">HYPERLINK("https://twitter.com/quanzhuo169083/status/922406542866972672","922406542866972672")</f>
        <v>922406542866972672</v>
      </c>
      <c r="F6622" s="10" t="s">
        <v>39</v>
      </c>
      <c r="G6622" s="10" t="n">
        <v>1</v>
      </c>
      <c r="H6622" s="10" t="n">
        <v>59</v>
      </c>
      <c r="I6622" s="10" t="n">
        <v>6</v>
      </c>
      <c r="J6622" s="10" t="n">
        <v>0</v>
      </c>
      <c r="K6622" s="10" t="s">
        <v>20</v>
      </c>
      <c r="L6622" s="11" t="n">
        <v>43029.5691319444</v>
      </c>
      <c r="M6622" s="12"/>
      <c r="N6622" s="12"/>
      <c r="O6622" s="9" t="str">
        <f aca="false">HYPERLINK("https://abs.twimg.com/sticky/default_profile_images/default_profile_normal.png","View")</f>
        <v>View</v>
      </c>
      <c r="P6622" s="10"/>
    </row>
    <row r="6623" customFormat="false" ht="15.75" hidden="false" customHeight="false" outlineLevel="0" collapsed="false">
      <c r="A6623" s="6" t="n">
        <v>43031.1371759259</v>
      </c>
      <c r="B6623" s="7" t="str">
        <f aca="false">HYPERLINK("https://twitter.com/jacobrkerr","@jacobrkerr")</f>
        <v>@jacobrkerr</v>
      </c>
      <c r="C6623" s="8" t="s">
        <v>15001</v>
      </c>
      <c r="D6623" s="8" t="s">
        <v>15002</v>
      </c>
      <c r="E6623" s="9" t="str">
        <f aca="false">HYPERLINK("https://twitter.com/jacobrkerr/status/922406628330295301","922406628330295301")</f>
        <v>922406628330295301</v>
      </c>
      <c r="F6623" s="10" t="s">
        <v>39</v>
      </c>
      <c r="G6623" s="10" t="n">
        <v>544</v>
      </c>
      <c r="H6623" s="10" t="n">
        <v>1961</v>
      </c>
      <c r="I6623" s="10" t="n">
        <v>0</v>
      </c>
      <c r="J6623" s="10" t="n">
        <v>0</v>
      </c>
      <c r="K6623" s="10" t="s">
        <v>20</v>
      </c>
      <c r="L6623" s="11" t="n">
        <v>40153.3859606482</v>
      </c>
      <c r="M6623" s="12" t="s">
        <v>723</v>
      </c>
      <c r="N6623" s="12" t="s">
        <v>15003</v>
      </c>
      <c r="O6623" s="9" t="str">
        <f aca="false">HYPERLINK("https://pbs.twimg.com/profile_images/378800000040137289/ee728c9bdd467d24a4c865847d4dddb6_normal.jpeg","View")</f>
        <v>View</v>
      </c>
      <c r="P6623" s="10"/>
    </row>
    <row r="6624" customFormat="false" ht="15.75" hidden="false" customHeight="false" outlineLevel="0" collapsed="false">
      <c r="A6624" s="6" t="n">
        <v>43031.1372569445</v>
      </c>
      <c r="B6624" s="7" t="str">
        <f aca="false">HYPERLINK("https://twitter.com/Kall__Carrick","@Kall__Carrick")</f>
        <v>@Kall__Carrick</v>
      </c>
      <c r="C6624" s="8" t="s">
        <v>15004</v>
      </c>
      <c r="D6624" s="8" t="s">
        <v>14598</v>
      </c>
      <c r="E6624" s="9" t="str">
        <f aca="false">HYPERLINK("https://twitter.com/Kall__Carrick/status/922406658332119040","922406658332119040")</f>
        <v>922406658332119040</v>
      </c>
      <c r="F6624" s="10" t="s">
        <v>25</v>
      </c>
      <c r="G6624" s="10" t="n">
        <v>70</v>
      </c>
      <c r="H6624" s="10" t="n">
        <v>2265</v>
      </c>
      <c r="I6624" s="10" t="n">
        <v>23</v>
      </c>
      <c r="J6624" s="10" t="n">
        <v>0</v>
      </c>
      <c r="K6624" s="10" t="s">
        <v>20</v>
      </c>
      <c r="L6624" s="11" t="n">
        <v>40921.6859259259</v>
      </c>
      <c r="M6624" s="12"/>
      <c r="N6624" s="12" t="s">
        <v>15005</v>
      </c>
      <c r="O6624" s="9" t="str">
        <f aca="false">HYPERLINK("https://pbs.twimg.com/profile_images/770340595567042560/EhQbnVZs_normal.jpg","View")</f>
        <v>View</v>
      </c>
      <c r="P6624" s="10"/>
    </row>
    <row r="6625" customFormat="false" ht="15.75" hidden="false" customHeight="false" outlineLevel="0" collapsed="false">
      <c r="A6625" s="6" t="n">
        <v>43031.1372800926</v>
      </c>
      <c r="B6625" s="7" t="str">
        <f aca="false">HYPERLINK("https://twitter.com/bonie1623","@bonie1623")</f>
        <v>@bonie1623</v>
      </c>
      <c r="C6625" s="14" t="s">
        <v>15006</v>
      </c>
      <c r="D6625" s="8" t="s">
        <v>14598</v>
      </c>
      <c r="E6625" s="9" t="str">
        <f aca="false">HYPERLINK("https://twitter.com/bonie1623/status/922406667739910144","922406667739910144")</f>
        <v>922406667739910144</v>
      </c>
      <c r="F6625" s="10" t="s">
        <v>25</v>
      </c>
      <c r="G6625" s="10" t="n">
        <v>32</v>
      </c>
      <c r="H6625" s="10" t="n">
        <v>1301</v>
      </c>
      <c r="I6625" s="10" t="n">
        <v>23</v>
      </c>
      <c r="J6625" s="10" t="n">
        <v>0</v>
      </c>
      <c r="K6625" s="10" t="s">
        <v>20</v>
      </c>
      <c r="L6625" s="11" t="n">
        <v>41743.4157175926</v>
      </c>
      <c r="M6625" s="12"/>
      <c r="N6625" s="12" t="n">
        <v>23</v>
      </c>
      <c r="O6625" s="9" t="str">
        <f aca="false">HYPERLINK("https://pbs.twimg.com/profile_images/749771936817881089/kAkC47oJ_normal.jpg","View")</f>
        <v>View</v>
      </c>
      <c r="P6625" s="10"/>
    </row>
    <row r="6626" customFormat="false" ht="15.75" hidden="false" customHeight="false" outlineLevel="0" collapsed="false">
      <c r="A6626" s="6" t="n">
        <v>43031.1375</v>
      </c>
      <c r="B6626" s="7" t="str">
        <f aca="false">HYPERLINK("https://twitter.com/DrDsTop10","@DrDsTop10")</f>
        <v>@DrDsTop10</v>
      </c>
      <c r="C6626" s="8" t="s">
        <v>15007</v>
      </c>
      <c r="D6626" s="8" t="s">
        <v>8538</v>
      </c>
      <c r="E6626" s="9" t="str">
        <f aca="false">HYPERLINK("https://twitter.com/DrDsTop10/status/922406745187663873","922406745187663873")</f>
        <v>922406745187663873</v>
      </c>
      <c r="F6626" s="10" t="s">
        <v>25</v>
      </c>
      <c r="G6626" s="10" t="n">
        <v>4612</v>
      </c>
      <c r="H6626" s="10" t="n">
        <v>4717</v>
      </c>
      <c r="I6626" s="10" t="n">
        <v>1015</v>
      </c>
      <c r="J6626" s="10" t="n">
        <v>0</v>
      </c>
      <c r="K6626" s="10" t="s">
        <v>20</v>
      </c>
      <c r="L6626" s="11" t="n">
        <v>42898.4459953704</v>
      </c>
      <c r="M6626" s="12" t="s">
        <v>15008</v>
      </c>
      <c r="N6626" s="12" t="s">
        <v>15009</v>
      </c>
      <c r="O6626" s="9" t="str">
        <f aca="false">HYPERLINK("https://pbs.twimg.com/profile_images/889924816719007747/TAcXKmOk_normal.jpg","View")</f>
        <v>View</v>
      </c>
      <c r="P6626" s="10"/>
    </row>
    <row r="6627" customFormat="false" ht="15.75" hidden="false" customHeight="false" outlineLevel="0" collapsed="false">
      <c r="A6627" s="6" t="n">
        <v>43031.1378125</v>
      </c>
      <c r="B6627" s="7" t="str">
        <f aca="false">HYPERLINK("https://twitter.com/Enayat111","@Enayat111")</f>
        <v>@Enayat111</v>
      </c>
      <c r="C6627" s="8" t="s">
        <v>15010</v>
      </c>
      <c r="D6627" s="8" t="s">
        <v>14631</v>
      </c>
      <c r="E6627" s="9" t="str">
        <f aca="false">HYPERLINK("https://twitter.com/Enayat111/status/922406859469864960","922406859469864960")</f>
        <v>922406859469864960</v>
      </c>
      <c r="F6627" s="10" t="s">
        <v>25</v>
      </c>
      <c r="G6627" s="10" t="n">
        <v>69</v>
      </c>
      <c r="H6627" s="10" t="n">
        <v>81</v>
      </c>
      <c r="I6627" s="10" t="n">
        <v>7</v>
      </c>
      <c r="J6627" s="10" t="n">
        <v>0</v>
      </c>
      <c r="K6627" s="10" t="s">
        <v>20</v>
      </c>
      <c r="L6627" s="11" t="n">
        <v>42515.7440972222</v>
      </c>
      <c r="M6627" s="12" t="s">
        <v>7908</v>
      </c>
      <c r="N6627" s="12"/>
      <c r="O6627" s="9" t="str">
        <f aca="false">HYPERLINK("https://pbs.twimg.com/profile_images/886230623324712960/BFsCPlHe_normal.jpg","View")</f>
        <v>View</v>
      </c>
      <c r="P6627" s="10"/>
    </row>
    <row r="6628" customFormat="false" ht="15.75" hidden="false" customHeight="false" outlineLevel="0" collapsed="false">
      <c r="A6628" s="6" t="n">
        <v>43031.1382523148</v>
      </c>
      <c r="B6628" s="7" t="str">
        <f aca="false">HYPERLINK("https://twitter.com/SandraW08594961","@SandraW08594961")</f>
        <v>@SandraW08594961</v>
      </c>
      <c r="C6628" s="8" t="s">
        <v>15011</v>
      </c>
      <c r="D6628" s="8" t="s">
        <v>8538</v>
      </c>
      <c r="E6628" s="9" t="str">
        <f aca="false">HYPERLINK("https://twitter.com/SandraW08594961/status/922407018123681792","922407018123681792")</f>
        <v>922407018123681792</v>
      </c>
      <c r="F6628" s="10" t="s">
        <v>25</v>
      </c>
      <c r="G6628" s="10" t="n">
        <v>499</v>
      </c>
      <c r="H6628" s="10" t="n">
        <v>517</v>
      </c>
      <c r="I6628" s="10" t="n">
        <v>1015</v>
      </c>
      <c r="J6628" s="10" t="n">
        <v>0</v>
      </c>
      <c r="K6628" s="10" t="s">
        <v>20</v>
      </c>
      <c r="L6628" s="11" t="n">
        <v>42993.1165856482</v>
      </c>
      <c r="M6628" s="12"/>
      <c r="N6628" s="12" t="s">
        <v>15012</v>
      </c>
      <c r="O6628" s="9" t="str">
        <f aca="false">HYPERLINK("https://pbs.twimg.com/profile_images/908718746650517504/zbXytuTL_normal.jpg","View")</f>
        <v>View</v>
      </c>
      <c r="P6628" s="10"/>
    </row>
    <row r="6629" customFormat="false" ht="15.75" hidden="false" customHeight="false" outlineLevel="0" collapsed="false">
      <c r="A6629" s="6" t="n">
        <v>43031.1384606481</v>
      </c>
      <c r="B6629" s="7" t="str">
        <f aca="false">HYPERLINK("https://twitter.com/krunox123","@krunox123")</f>
        <v>@krunox123</v>
      </c>
      <c r="C6629" s="8" t="s">
        <v>1049</v>
      </c>
      <c r="D6629" s="8" t="s">
        <v>15013</v>
      </c>
      <c r="E6629" s="9" t="str">
        <f aca="false">HYPERLINK("https://twitter.com/krunox123/status/922407094342639621","922407094342639621")</f>
        <v>922407094342639621</v>
      </c>
      <c r="F6629" s="10" t="s">
        <v>60</v>
      </c>
      <c r="G6629" s="10" t="n">
        <v>10225</v>
      </c>
      <c r="H6629" s="10" t="n">
        <v>2</v>
      </c>
      <c r="I6629" s="10" t="n">
        <v>0</v>
      </c>
      <c r="J6629" s="10" t="n">
        <v>0</v>
      </c>
      <c r="K6629" s="10" t="s">
        <v>20</v>
      </c>
      <c r="L6629" s="11" t="n">
        <v>40938.2278935185</v>
      </c>
      <c r="M6629" s="12" t="s">
        <v>1051</v>
      </c>
      <c r="N6629" s="12" t="s">
        <v>1052</v>
      </c>
      <c r="O6629" s="9" t="str">
        <f aca="false">HYPERLINK("https://pbs.twimg.com/profile_images/824952382618349568/2SFIkM2x_normal.jpg","View")</f>
        <v>View</v>
      </c>
      <c r="P6629" s="10"/>
    </row>
    <row r="6630" customFormat="false" ht="15.75" hidden="false" customHeight="false" outlineLevel="0" collapsed="false">
      <c r="A6630" s="6" t="n">
        <v>43031.138599537</v>
      </c>
      <c r="B6630" s="7" t="str">
        <f aca="false">HYPERLINK("https://twitter.com/Politicoscope","@Politicoscope")</f>
        <v>@Politicoscope</v>
      </c>
      <c r="C6630" s="8" t="s">
        <v>15014</v>
      </c>
      <c r="D6630" s="8" t="s">
        <v>15015</v>
      </c>
      <c r="E6630" s="9" t="str">
        <f aca="false">HYPERLINK("https://twitter.com/Politicoscope/status/922407146423234560","922407146423234560")</f>
        <v>922407146423234560</v>
      </c>
      <c r="F6630" s="10" t="s">
        <v>15014</v>
      </c>
      <c r="G6630" s="10" t="n">
        <v>400</v>
      </c>
      <c r="H6630" s="10" t="n">
        <v>30</v>
      </c>
      <c r="I6630" s="10" t="n">
        <v>0</v>
      </c>
      <c r="J6630" s="10" t="n">
        <v>0</v>
      </c>
      <c r="K6630" s="10" t="s">
        <v>20</v>
      </c>
      <c r="L6630" s="11" t="n">
        <v>42059.9902314815</v>
      </c>
      <c r="M6630" s="12" t="s">
        <v>1946</v>
      </c>
      <c r="N6630" s="12" t="s">
        <v>15016</v>
      </c>
      <c r="O6630" s="9" t="str">
        <f aca="false">HYPERLINK("https://pbs.twimg.com/profile_images/576056584238854144/4qxlYWZn_normal.png","View")</f>
        <v>View</v>
      </c>
      <c r="P6630" s="10"/>
    </row>
    <row r="6631" customFormat="false" ht="15.75" hidden="false" customHeight="false" outlineLevel="0" collapsed="false">
      <c r="A6631" s="6" t="n">
        <v>43031.1386574074</v>
      </c>
      <c r="B6631" s="7" t="str">
        <f aca="false">HYPERLINK("https://twitter.com/PhamNguyenly","@PhamNguyenly")</f>
        <v>@PhamNguyenly</v>
      </c>
      <c r="C6631" s="8" t="s">
        <v>1538</v>
      </c>
      <c r="D6631" s="8" t="s">
        <v>15017</v>
      </c>
      <c r="E6631" s="9" t="str">
        <f aca="false">HYPERLINK("https://twitter.com/PhamNguyenly/status/922407165343797248","922407165343797248")</f>
        <v>922407165343797248</v>
      </c>
      <c r="F6631" s="10" t="s">
        <v>55</v>
      </c>
      <c r="G6631" s="10" t="n">
        <v>174</v>
      </c>
      <c r="H6631" s="10" t="n">
        <v>48</v>
      </c>
      <c r="I6631" s="10" t="n">
        <v>0</v>
      </c>
      <c r="J6631" s="10" t="n">
        <v>0</v>
      </c>
      <c r="K6631" s="10" t="s">
        <v>20</v>
      </c>
      <c r="L6631" s="11" t="n">
        <v>42379.075162037</v>
      </c>
      <c r="M6631" s="12"/>
      <c r="N6631" s="12"/>
      <c r="O6631" s="9" t="str">
        <f aca="false">HYPERLINK("https://pbs.twimg.com/profile_images/686123123029053440/tlIsdN69_normal.jpg","View")</f>
        <v>View</v>
      </c>
      <c r="P6631" s="10"/>
    </row>
    <row r="6632" customFormat="false" ht="15.75" hidden="false" customHeight="false" outlineLevel="0" collapsed="false">
      <c r="A6632" s="6" t="n">
        <v>43031.138900463</v>
      </c>
      <c r="B6632" s="7" t="str">
        <f aca="false">HYPERLINK("https://twitter.com/sokodirectory","@sokodirectory")</f>
        <v>@sokodirectory</v>
      </c>
      <c r="C6632" s="7" t="s">
        <v>15018</v>
      </c>
      <c r="D6632" s="8" t="s">
        <v>15019</v>
      </c>
      <c r="E6632" s="9" t="str">
        <f aca="false">HYPERLINK("https://twitter.com/sokodirectory/status/922407252534767616","922407252534767616")</f>
        <v>922407252534767616</v>
      </c>
      <c r="F6632" s="10" t="s">
        <v>276</v>
      </c>
      <c r="G6632" s="10" t="n">
        <v>3081</v>
      </c>
      <c r="H6632" s="10" t="n">
        <v>565</v>
      </c>
      <c r="I6632" s="10" t="n">
        <v>0</v>
      </c>
      <c r="J6632" s="10" t="n">
        <v>0</v>
      </c>
      <c r="K6632" s="10" t="s">
        <v>20</v>
      </c>
      <c r="L6632" s="11" t="n">
        <v>39667.3088078704</v>
      </c>
      <c r="M6632" s="12" t="s">
        <v>15020</v>
      </c>
      <c r="N6632" s="12" t="s">
        <v>15021</v>
      </c>
      <c r="O6632" s="9" t="str">
        <f aca="false">HYPERLINK("https://pbs.twimg.com/profile_images/619107838678433792/fAQIbk6W_normal.png","View")</f>
        <v>View</v>
      </c>
      <c r="P6632" s="10"/>
    </row>
    <row r="6633" customFormat="false" ht="15.75" hidden="false" customHeight="false" outlineLevel="0" collapsed="false">
      <c r="A6633" s="6" t="n">
        <v>43031.139525463</v>
      </c>
      <c r="B6633" s="7" t="str">
        <f aca="false">HYPERLINK("https://twitter.com/bengcreergalang","@bengcreergalang")</f>
        <v>@bengcreergalang</v>
      </c>
      <c r="C6633" s="8" t="s">
        <v>15022</v>
      </c>
      <c r="D6633" s="8" t="s">
        <v>12764</v>
      </c>
      <c r="E6633" s="9" t="str">
        <f aca="false">HYPERLINK("https://twitter.com/bengcreergalang/status/922407479287283712","922407479287283712")</f>
        <v>922407479287283712</v>
      </c>
      <c r="F6633" s="10" t="s">
        <v>25</v>
      </c>
      <c r="G6633" s="10" t="n">
        <v>13</v>
      </c>
      <c r="H6633" s="10" t="n">
        <v>39</v>
      </c>
      <c r="I6633" s="10" t="n">
        <v>170</v>
      </c>
      <c r="J6633" s="10" t="n">
        <v>0</v>
      </c>
      <c r="K6633" s="10" t="s">
        <v>20</v>
      </c>
      <c r="L6633" s="11" t="n">
        <v>42868.0398032407</v>
      </c>
      <c r="M6633" s="12" t="s">
        <v>186</v>
      </c>
      <c r="N6633" s="12" t="s">
        <v>15023</v>
      </c>
      <c r="O6633" s="9" t="str">
        <f aca="false">HYPERLINK("https://pbs.twimg.com/profile_images/923121109800587264/DrjtRX16_normal.jpg","View")</f>
        <v>View</v>
      </c>
      <c r="P6633" s="10"/>
    </row>
    <row r="6634" customFormat="false" ht="15.75" hidden="false" customHeight="false" outlineLevel="0" collapsed="false">
      <c r="A6634" s="6" t="n">
        <v>43031.1399884259</v>
      </c>
      <c r="B6634" s="7" t="str">
        <f aca="false">HYPERLINK("https://twitter.com/modichirag1974","@modichirag1974")</f>
        <v>@modichirag1974</v>
      </c>
      <c r="C6634" s="8" t="s">
        <v>15024</v>
      </c>
      <c r="D6634" s="8" t="s">
        <v>8538</v>
      </c>
      <c r="E6634" s="9" t="str">
        <f aca="false">HYPERLINK("https://twitter.com/modichirag1974/status/922407646266658821","922407646266658821")</f>
        <v>922407646266658821</v>
      </c>
      <c r="F6634" s="10" t="s">
        <v>25</v>
      </c>
      <c r="G6634" s="10" t="n">
        <v>248</v>
      </c>
      <c r="H6634" s="10" t="n">
        <v>422</v>
      </c>
      <c r="I6634" s="10" t="n">
        <v>1015</v>
      </c>
      <c r="J6634" s="10" t="n">
        <v>0</v>
      </c>
      <c r="K6634" s="10" t="s">
        <v>20</v>
      </c>
      <c r="L6634" s="11" t="n">
        <v>41660.1330787037</v>
      </c>
      <c r="M6634" s="12"/>
      <c r="N6634" s="12" t="s">
        <v>15025</v>
      </c>
      <c r="O6634" s="9" t="str">
        <f aca="false">HYPERLINK("https://pbs.twimg.com/profile_images/912710670948253697/NfotUoql_normal.jpg","View")</f>
        <v>View</v>
      </c>
      <c r="P6634" s="10"/>
    </row>
    <row r="6635" customFormat="false" ht="15.75" hidden="false" customHeight="false" outlineLevel="0" collapsed="false">
      <c r="A6635" s="6" t="n">
        <v>43031.1412731481</v>
      </c>
      <c r="B6635" s="7" t="str">
        <f aca="false">HYPERLINK("https://twitter.com/sailindude","@sailindude")</f>
        <v>@sailindude</v>
      </c>
      <c r="C6635" s="8" t="s">
        <v>15026</v>
      </c>
      <c r="D6635" s="8" t="s">
        <v>15027</v>
      </c>
      <c r="E6635" s="9" t="str">
        <f aca="false">HYPERLINK("https://twitter.com/sailindude/status/922408111985524736","922408111985524736")</f>
        <v>922408111985524736</v>
      </c>
      <c r="F6635" s="10" t="s">
        <v>177</v>
      </c>
      <c r="G6635" s="10" t="n">
        <v>1791</v>
      </c>
      <c r="H6635" s="10" t="n">
        <v>787</v>
      </c>
      <c r="I6635" s="10" t="n">
        <v>0</v>
      </c>
      <c r="J6635" s="10" t="n">
        <v>0</v>
      </c>
      <c r="K6635" s="10" t="s">
        <v>20</v>
      </c>
      <c r="L6635" s="11" t="n">
        <v>40204.371087963</v>
      </c>
      <c r="M6635" s="12" t="s">
        <v>15028</v>
      </c>
      <c r="N6635" s="12" t="s">
        <v>15029</v>
      </c>
      <c r="O6635" s="9" t="str">
        <f aca="false">HYPERLINK("https://pbs.twimg.com/profile_images/848715836223365120/w-9ocHul_normal.jpg","View")</f>
        <v>View</v>
      </c>
      <c r="P6635" s="10"/>
    </row>
    <row r="6636" customFormat="false" ht="15.75" hidden="false" customHeight="false" outlineLevel="0" collapsed="false">
      <c r="A6636" s="6" t="n">
        <v>43031.141412037</v>
      </c>
      <c r="B6636" s="7" t="str">
        <f aca="false">HYPERLINK("https://twitter.com/EasternSentinel","@EasternSentinel")</f>
        <v>@EasternSentinel</v>
      </c>
      <c r="C6636" s="8" t="s">
        <v>15030</v>
      </c>
      <c r="D6636" s="8" t="s">
        <v>15031</v>
      </c>
      <c r="E6636" s="9" t="str">
        <f aca="false">HYPERLINK("https://twitter.com/EasternSentinel/status/922408163722194944","922408163722194944")</f>
        <v>922408163722194944</v>
      </c>
      <c r="F6636" s="10" t="s">
        <v>51</v>
      </c>
      <c r="G6636" s="10" t="n">
        <v>1500</v>
      </c>
      <c r="H6636" s="10" t="n">
        <v>55</v>
      </c>
      <c r="I6636" s="10" t="n">
        <v>2</v>
      </c>
      <c r="J6636" s="10" t="n">
        <v>4</v>
      </c>
      <c r="K6636" s="10" t="s">
        <v>20</v>
      </c>
      <c r="L6636" s="11" t="n">
        <v>41301.3994444445</v>
      </c>
      <c r="M6636" s="12" t="s">
        <v>15032</v>
      </c>
      <c r="N6636" s="12" t="s">
        <v>15033</v>
      </c>
      <c r="O6636" s="9" t="str">
        <f aca="false">HYPERLINK("https://pbs.twimg.com/profile_images/439399351085826048/dRW8_3jn_normal.jpeg","View")</f>
        <v>View</v>
      </c>
      <c r="P6636" s="10"/>
    </row>
    <row r="6637" customFormat="false" ht="15.75" hidden="false" customHeight="false" outlineLevel="0" collapsed="false">
      <c r="A6637" s="6" t="n">
        <v>43031.1414583333</v>
      </c>
      <c r="B6637" s="7" t="str">
        <f aca="false">HYPERLINK("https://twitter.com/Newstoday_247","@Newstoday_247")</f>
        <v>@Newstoday_247</v>
      </c>
      <c r="C6637" s="8" t="s">
        <v>15034</v>
      </c>
      <c r="D6637" s="8" t="s">
        <v>15035</v>
      </c>
      <c r="E6637" s="9" t="str">
        <f aca="false">HYPERLINK("https://twitter.com/Newstoday_247/status/922408178872193025","922408178872193025")</f>
        <v>922408178872193025</v>
      </c>
      <c r="F6637" s="10" t="s">
        <v>55</v>
      </c>
      <c r="G6637" s="10" t="n">
        <v>6</v>
      </c>
      <c r="H6637" s="10" t="n">
        <v>101</v>
      </c>
      <c r="I6637" s="10" t="n">
        <v>0</v>
      </c>
      <c r="J6637" s="10" t="n">
        <v>0</v>
      </c>
      <c r="K6637" s="10" t="s">
        <v>20</v>
      </c>
      <c r="L6637" s="11" t="n">
        <v>42998.3589467593</v>
      </c>
      <c r="M6637" s="12"/>
      <c r="N6637" s="12"/>
      <c r="O6637" s="9" t="str">
        <f aca="false">HYPERLINK("https://pbs.twimg.com/profile_images/910529822589251586/TwdtaxRD_normal.jpg","View")</f>
        <v>View</v>
      </c>
      <c r="P6637" s="10"/>
    </row>
    <row r="6638" customFormat="false" ht="15.75" hidden="false" customHeight="false" outlineLevel="0" collapsed="false">
      <c r="A6638" s="6" t="n">
        <v>43031.1418981481</v>
      </c>
      <c r="B6638" s="7" t="str">
        <f aca="false">HYPERLINK("https://twitter.com/fcgm","@fcgm")</f>
        <v>@fcgm</v>
      </c>
      <c r="C6638" s="8" t="s">
        <v>15036</v>
      </c>
      <c r="D6638" s="8" t="s">
        <v>15037</v>
      </c>
      <c r="E6638" s="9" t="str">
        <f aca="false">HYPERLINK("https://twitter.com/fcgm/status/922408341191536640","922408341191536640")</f>
        <v>922408341191536640</v>
      </c>
      <c r="F6638" s="10" t="s">
        <v>177</v>
      </c>
      <c r="G6638" s="10" t="n">
        <v>1139</v>
      </c>
      <c r="H6638" s="10" t="n">
        <v>1070</v>
      </c>
      <c r="I6638" s="10" t="n">
        <v>0</v>
      </c>
      <c r="J6638" s="10" t="n">
        <v>0</v>
      </c>
      <c r="K6638" s="10" t="s">
        <v>20</v>
      </c>
      <c r="L6638" s="11" t="n">
        <v>39982.1652199074</v>
      </c>
      <c r="M6638" s="12" t="s">
        <v>15038</v>
      </c>
      <c r="N6638" s="12" t="s">
        <v>15039</v>
      </c>
      <c r="O6638" s="9" t="str">
        <f aca="false">HYPERLINK("https://pbs.twimg.com/profile_images/834831318970036224/odhmH4_1_normal.jpg","View")</f>
        <v>View</v>
      </c>
      <c r="P6638" s="10"/>
    </row>
    <row r="6639" customFormat="false" ht="15.75" hidden="false" customHeight="false" outlineLevel="0" collapsed="false">
      <c r="A6639" s="6" t="n">
        <v>43031.1420601852</v>
      </c>
      <c r="B6639" s="7" t="str">
        <f aca="false">HYPERLINK("https://twitter.com/YayaverNation","@YayaverNation")</f>
        <v>@YayaverNation</v>
      </c>
      <c r="C6639" s="8" t="s">
        <v>15040</v>
      </c>
      <c r="D6639" s="8" t="s">
        <v>8538</v>
      </c>
      <c r="E6639" s="9" t="str">
        <f aca="false">HYPERLINK("https://twitter.com/YayaverNation/status/922408397705699328","922408397705699328")</f>
        <v>922408397705699328</v>
      </c>
      <c r="F6639" s="10" t="s">
        <v>25</v>
      </c>
      <c r="G6639" s="10" t="n">
        <v>1181</v>
      </c>
      <c r="H6639" s="10" t="n">
        <v>3057</v>
      </c>
      <c r="I6639" s="10" t="n">
        <v>1015</v>
      </c>
      <c r="J6639" s="10" t="n">
        <v>0</v>
      </c>
      <c r="K6639" s="10" t="s">
        <v>20</v>
      </c>
      <c r="L6639" s="11" t="n">
        <v>40481.1185416667</v>
      </c>
      <c r="M6639" s="12" t="s">
        <v>15041</v>
      </c>
      <c r="N6639" s="12" t="s">
        <v>15042</v>
      </c>
      <c r="O6639" s="9" t="str">
        <f aca="false">HYPERLINK("https://pbs.twimg.com/profile_images/854709358763978752/H-Yfw58M_normal.jpg","View")</f>
        <v>View</v>
      </c>
      <c r="P6639" s="10"/>
    </row>
    <row r="6640" customFormat="false" ht="15.75" hidden="false" customHeight="false" outlineLevel="0" collapsed="false">
      <c r="A6640" s="6" t="n">
        <v>43031.1424537037</v>
      </c>
      <c r="B6640" s="7" t="str">
        <f aca="false">HYPERLINK("https://twitter.com/uk_worldnews","@uk_worldnews")</f>
        <v>@uk_worldnews</v>
      </c>
      <c r="C6640" s="8" t="s">
        <v>6481</v>
      </c>
      <c r="D6640" s="8" t="s">
        <v>15043</v>
      </c>
      <c r="E6640" s="9" t="str">
        <f aca="false">HYPERLINK("https://twitter.com/uk_worldnews/status/922408542400679937","922408542400679937")</f>
        <v>922408542400679937</v>
      </c>
      <c r="F6640" s="10" t="s">
        <v>3042</v>
      </c>
      <c r="G6640" s="10" t="n">
        <v>1140</v>
      </c>
      <c r="H6640" s="10" t="n">
        <v>886</v>
      </c>
      <c r="I6640" s="10" t="n">
        <v>0</v>
      </c>
      <c r="J6640" s="10" t="n">
        <v>0</v>
      </c>
      <c r="K6640" s="10" t="s">
        <v>20</v>
      </c>
      <c r="L6640" s="11" t="n">
        <v>41691.4903819444</v>
      </c>
      <c r="M6640" s="12"/>
      <c r="N6640" s="12" t="s">
        <v>6483</v>
      </c>
      <c r="O6640" s="9" t="str">
        <f aca="false">HYPERLINK("https://pbs.twimg.com/profile_images/436950530964070400/VO-NlZAO_normal.png","View")</f>
        <v>View</v>
      </c>
      <c r="P6640" s="10"/>
    </row>
    <row r="6641" customFormat="false" ht="15.75" hidden="false" customHeight="false" outlineLevel="0" collapsed="false">
      <c r="A6641" s="6" t="n">
        <v>43031.1427430556</v>
      </c>
      <c r="B6641" s="7" t="str">
        <f aca="false">HYPERLINK("https://twitter.com/DrRajeshDBhat","@DrRajeshDBhat")</f>
        <v>@DrRajeshDBhat</v>
      </c>
      <c r="C6641" s="8" t="s">
        <v>15044</v>
      </c>
      <c r="D6641" s="8" t="s">
        <v>8538</v>
      </c>
      <c r="E6641" s="9" t="str">
        <f aca="false">HYPERLINK("https://twitter.com/DrRajeshDBhat/status/922408645572399104","922408645572399104")</f>
        <v>922408645572399104</v>
      </c>
      <c r="F6641" s="10" t="s">
        <v>98</v>
      </c>
      <c r="G6641" s="10" t="n">
        <v>911</v>
      </c>
      <c r="H6641" s="10" t="n">
        <v>619</v>
      </c>
      <c r="I6641" s="10" t="n">
        <v>1015</v>
      </c>
      <c r="J6641" s="10" t="n">
        <v>0</v>
      </c>
      <c r="K6641" s="10" t="s">
        <v>20</v>
      </c>
      <c r="L6641" s="11" t="n">
        <v>41760.5219444445</v>
      </c>
      <c r="M6641" s="12"/>
      <c r="N6641" s="12" t="s">
        <v>15045</v>
      </c>
      <c r="O6641" s="9" t="str">
        <f aca="false">HYPERLINK("https://pbs.twimg.com/profile_images/923507115909697536/9brjQn5x_normal.jpg","View")</f>
        <v>View</v>
      </c>
      <c r="P6641" s="10"/>
    </row>
    <row r="6642" customFormat="false" ht="15.75" hidden="false" customHeight="false" outlineLevel="0" collapsed="false">
      <c r="A6642" s="6" t="n">
        <v>43031.1438078704</v>
      </c>
      <c r="B6642" s="7" t="str">
        <f aca="false">HYPERLINK("https://twitter.com/kulaniruddha","@kulaniruddha")</f>
        <v>@kulaniruddha</v>
      </c>
      <c r="C6642" s="8" t="s">
        <v>15046</v>
      </c>
      <c r="D6642" s="8" t="s">
        <v>8538</v>
      </c>
      <c r="E6642" s="9" t="str">
        <f aca="false">HYPERLINK("https://twitter.com/kulaniruddha/status/922409032387719168","922409032387719168")</f>
        <v>922409032387719168</v>
      </c>
      <c r="F6642" s="10" t="s">
        <v>25</v>
      </c>
      <c r="G6642" s="10" t="n">
        <v>342</v>
      </c>
      <c r="H6642" s="10" t="n">
        <v>159</v>
      </c>
      <c r="I6642" s="10" t="n">
        <v>1015</v>
      </c>
      <c r="J6642" s="10" t="n">
        <v>0</v>
      </c>
      <c r="K6642" s="10" t="s">
        <v>20</v>
      </c>
      <c r="L6642" s="11" t="n">
        <v>40238.9059027778</v>
      </c>
      <c r="M6642" s="12" t="s">
        <v>6452</v>
      </c>
      <c r="N6642" s="12" t="s">
        <v>15047</v>
      </c>
      <c r="O6642" s="9" t="str">
        <f aca="false">HYPERLINK("https://pbs.twimg.com/profile_images/768759138524418048/EprOg4Qo_normal.jpg","View")</f>
        <v>View</v>
      </c>
      <c r="P6642" s="10"/>
    </row>
    <row r="6643" customFormat="false" ht="15.75" hidden="false" customHeight="false" outlineLevel="0" collapsed="false">
      <c r="A6643" s="6" t="n">
        <v>43031.1440856482</v>
      </c>
      <c r="B6643" s="7" t="str">
        <f aca="false">HYPERLINK("https://twitter.com/prakashnd75","@prakashnd75")</f>
        <v>@prakashnd75</v>
      </c>
      <c r="C6643" s="8" t="s">
        <v>15048</v>
      </c>
      <c r="D6643" s="8" t="s">
        <v>8538</v>
      </c>
      <c r="E6643" s="9" t="str">
        <f aca="false">HYPERLINK("https://twitter.com/prakashnd75/status/922409133810139136","922409133810139136")</f>
        <v>922409133810139136</v>
      </c>
      <c r="F6643" s="10" t="s">
        <v>25</v>
      </c>
      <c r="G6643" s="10" t="n">
        <v>27</v>
      </c>
      <c r="H6643" s="10" t="n">
        <v>58</v>
      </c>
      <c r="I6643" s="10" t="n">
        <v>1015</v>
      </c>
      <c r="J6643" s="10" t="n">
        <v>0</v>
      </c>
      <c r="K6643" s="10" t="s">
        <v>20</v>
      </c>
      <c r="L6643" s="11" t="n">
        <v>40965.0156134259</v>
      </c>
      <c r="M6643" s="12" t="s">
        <v>15049</v>
      </c>
      <c r="N6643" s="12" t="s">
        <v>15050</v>
      </c>
      <c r="O6643" s="9" t="str">
        <f aca="false">HYPERLINK("https://pbs.twimg.com/profile_images/923162584273924096/dO4dGAs-_normal.jpg","View")</f>
        <v>View</v>
      </c>
      <c r="P6643" s="10"/>
    </row>
    <row r="6644" customFormat="false" ht="15.75" hidden="false" customHeight="false" outlineLevel="0" collapsed="false">
      <c r="A6644" s="6" t="n">
        <v>43031.1440972222</v>
      </c>
      <c r="B6644" s="7" t="str">
        <f aca="false">HYPERLINK("https://twitter.com/monkichichan","@monkichichan")</f>
        <v>@monkichichan</v>
      </c>
      <c r="C6644" s="8" t="s">
        <v>15051</v>
      </c>
      <c r="D6644" s="8" t="s">
        <v>15052</v>
      </c>
      <c r="E6644" s="9" t="str">
        <f aca="false">HYPERLINK("https://twitter.com/monkichichan/status/922409137949966338","922409137949966338")</f>
        <v>922409137949966338</v>
      </c>
      <c r="F6644" s="10" t="s">
        <v>51</v>
      </c>
      <c r="G6644" s="10" t="n">
        <v>766</v>
      </c>
      <c r="H6644" s="10" t="n">
        <v>1079</v>
      </c>
      <c r="I6644" s="10" t="n">
        <v>0</v>
      </c>
      <c r="J6644" s="10" t="n">
        <v>0</v>
      </c>
      <c r="K6644" s="10" t="s">
        <v>20</v>
      </c>
      <c r="L6644" s="11" t="n">
        <v>39903.7742013889</v>
      </c>
      <c r="M6644" s="12" t="s">
        <v>1473</v>
      </c>
      <c r="N6644" s="12" t="s">
        <v>15053</v>
      </c>
      <c r="O6644" s="9" t="str">
        <f aca="false">HYPERLINK("https://pbs.twimg.com/profile_images/908873249152364544/s-x7TZ8B_normal.jpg","View")</f>
        <v>View</v>
      </c>
      <c r="P6644" s="10"/>
    </row>
    <row r="6645" customFormat="false" ht="15.75" hidden="false" customHeight="false" outlineLevel="0" collapsed="false">
      <c r="A6645" s="6" t="n">
        <v>43031.144212963</v>
      </c>
      <c r="B6645" s="7" t="str">
        <f aca="false">HYPERLINK("https://twitter.com/DTradingAcademy","@DTradingAcademy")</f>
        <v>@DTradingAcademy</v>
      </c>
      <c r="C6645" s="8" t="s">
        <v>15054</v>
      </c>
      <c r="D6645" s="8" t="s">
        <v>15055</v>
      </c>
      <c r="E6645" s="9" t="str">
        <f aca="false">HYPERLINK("https://twitter.com/DTradingAcademy/status/922409177405779968","922409177405779968")</f>
        <v>922409177405779968</v>
      </c>
      <c r="F6645" s="10" t="s">
        <v>39</v>
      </c>
      <c r="G6645" s="10" t="n">
        <v>4249</v>
      </c>
      <c r="H6645" s="10" t="n">
        <v>680</v>
      </c>
      <c r="I6645" s="10" t="n">
        <v>0</v>
      </c>
      <c r="J6645" s="10" t="n">
        <v>0</v>
      </c>
      <c r="K6645" s="10" t="s">
        <v>20</v>
      </c>
      <c r="L6645" s="11" t="n">
        <v>40992.8062037037</v>
      </c>
      <c r="M6645" s="12" t="s">
        <v>370</v>
      </c>
      <c r="N6645" s="12" t="s">
        <v>15056</v>
      </c>
      <c r="O6645" s="9" t="str">
        <f aca="false">HYPERLINK("https://pbs.twimg.com/profile_images/378800000412994280/5661be1a8625bd36406b48f28bf653a0_normal.jpeg","View")</f>
        <v>View</v>
      </c>
      <c r="P6645" s="10"/>
    </row>
    <row r="6646" customFormat="false" ht="15.75" hidden="false" customHeight="false" outlineLevel="0" collapsed="false">
      <c r="A6646" s="6" t="n">
        <v>43031.1442824074</v>
      </c>
      <c r="B6646" s="7" t="str">
        <f aca="false">HYPERLINK("https://twitter.com/gautambjp","@gautambjp")</f>
        <v>@gautambjp</v>
      </c>
      <c r="C6646" s="8" t="s">
        <v>15057</v>
      </c>
      <c r="D6646" s="8" t="s">
        <v>8538</v>
      </c>
      <c r="E6646" s="9" t="str">
        <f aca="false">HYPERLINK("https://twitter.com/gautambjp/status/922409205511753728","922409205511753728")</f>
        <v>922409205511753728</v>
      </c>
      <c r="F6646" s="10" t="s">
        <v>25</v>
      </c>
      <c r="G6646" s="10" t="n">
        <v>256</v>
      </c>
      <c r="H6646" s="10" t="n">
        <v>89</v>
      </c>
      <c r="I6646" s="10" t="n">
        <v>1015</v>
      </c>
      <c r="J6646" s="10" t="n">
        <v>0</v>
      </c>
      <c r="K6646" s="10" t="s">
        <v>20</v>
      </c>
      <c r="L6646" s="11" t="n">
        <v>41676.2909490741</v>
      </c>
      <c r="M6646" s="12" t="s">
        <v>64</v>
      </c>
      <c r="N6646" s="12" t="s">
        <v>15058</v>
      </c>
      <c r="O6646" s="9" t="str">
        <f aca="false">HYPERLINK("https://pbs.twimg.com/profile_images/851731386818023424/icnuKQ1L_normal.jpg","View")</f>
        <v>View</v>
      </c>
      <c r="P6646" s="10"/>
    </row>
    <row r="6647" customFormat="false" ht="15.75" hidden="false" customHeight="false" outlineLevel="0" collapsed="false">
      <c r="A6647" s="6" t="n">
        <v>43031.1444328704</v>
      </c>
      <c r="B6647" s="7" t="str">
        <f aca="false">HYPERLINK("https://twitter.com/skewedbrain","@skewedbrain")</f>
        <v>@skewedbrain</v>
      </c>
      <c r="C6647" s="8" t="s">
        <v>15059</v>
      </c>
      <c r="D6647" s="8" t="s">
        <v>8538</v>
      </c>
      <c r="E6647" s="9" t="str">
        <f aca="false">HYPERLINK("https://twitter.com/skewedbrain/status/922409259328987136","922409259328987136")</f>
        <v>922409259328987136</v>
      </c>
      <c r="F6647" s="10" t="s">
        <v>25</v>
      </c>
      <c r="G6647" s="10" t="n">
        <v>180</v>
      </c>
      <c r="H6647" s="10" t="n">
        <v>354</v>
      </c>
      <c r="I6647" s="10" t="n">
        <v>1015</v>
      </c>
      <c r="J6647" s="10" t="n">
        <v>0</v>
      </c>
      <c r="K6647" s="10" t="s">
        <v>20</v>
      </c>
      <c r="L6647" s="11" t="n">
        <v>41910.5723726852</v>
      </c>
      <c r="M6647" s="12"/>
      <c r="N6647" s="12"/>
      <c r="O6647" s="9" t="str">
        <f aca="false">HYPERLINK("https://abs.twimg.com/sticky/default_profile_images/default_profile_normal.png","View")</f>
        <v>View</v>
      </c>
      <c r="P6647" s="10"/>
    </row>
    <row r="6648" customFormat="false" ht="15.75" hidden="false" customHeight="false" outlineLevel="0" collapsed="false">
      <c r="A6648" s="6" t="n">
        <v>43031.1445833333</v>
      </c>
      <c r="B6648" s="7" t="str">
        <f aca="false">HYPERLINK("https://twitter.com/GrimmzLawZ","@GrimmzLawZ")</f>
        <v>@GrimmzLawZ</v>
      </c>
      <c r="C6648" s="8" t="s">
        <v>15060</v>
      </c>
      <c r="D6648" s="8" t="s">
        <v>14466</v>
      </c>
      <c r="E6648" s="9" t="str">
        <f aca="false">HYPERLINK("https://twitter.com/GrimmzLawZ/status/922409315075584000","922409315075584000")</f>
        <v>922409315075584000</v>
      </c>
      <c r="F6648" s="10" t="s">
        <v>25</v>
      </c>
      <c r="G6648" s="10" t="n">
        <v>82</v>
      </c>
      <c r="H6648" s="10" t="n">
        <v>449</v>
      </c>
      <c r="I6648" s="10" t="n">
        <v>51</v>
      </c>
      <c r="J6648" s="10" t="n">
        <v>0</v>
      </c>
      <c r="K6648" s="10" t="s">
        <v>20</v>
      </c>
      <c r="L6648" s="11" t="n">
        <v>40299.2731018519</v>
      </c>
      <c r="M6648" s="12" t="s">
        <v>15061</v>
      </c>
      <c r="N6648" s="12" t="s">
        <v>15062</v>
      </c>
      <c r="O6648" s="9" t="str">
        <f aca="false">HYPERLINK("https://abs.twimg.com/sticky/default_profile_images/default_profile_normal.png","View")</f>
        <v>View</v>
      </c>
      <c r="P6648" s="10"/>
    </row>
    <row r="6649" customFormat="false" ht="15.75" hidden="false" customHeight="false" outlineLevel="0" collapsed="false">
      <c r="A6649" s="6" t="n">
        <v>43031.1446296296</v>
      </c>
      <c r="B6649" s="7" t="str">
        <f aca="false">HYPERLINK("https://twitter.com/Planning203","@Planning203")</f>
        <v>@Planning203</v>
      </c>
      <c r="C6649" s="8" t="s">
        <v>15063</v>
      </c>
      <c r="D6649" s="8" t="s">
        <v>9519</v>
      </c>
      <c r="E6649" s="9" t="str">
        <f aca="false">HYPERLINK("https://twitter.com/Planning203/status/922409328132349952","922409328132349952")</f>
        <v>922409328132349952</v>
      </c>
      <c r="F6649" s="10" t="s">
        <v>25</v>
      </c>
      <c r="G6649" s="10" t="n">
        <v>90</v>
      </c>
      <c r="H6649" s="10" t="n">
        <v>655</v>
      </c>
      <c r="I6649" s="10" t="n">
        <v>11</v>
      </c>
      <c r="J6649" s="10" t="n">
        <v>0</v>
      </c>
      <c r="K6649" s="10" t="s">
        <v>20</v>
      </c>
      <c r="L6649" s="11" t="n">
        <v>40886.8615277778</v>
      </c>
      <c r="M6649" s="12"/>
      <c r="N6649" s="12"/>
      <c r="O6649" s="9" t="str">
        <f aca="false">HYPERLINK("https://pbs.twimg.com/profile_images/1684745456/photo_normal","View")</f>
        <v>View</v>
      </c>
      <c r="P6649" s="10"/>
    </row>
    <row r="6650" customFormat="false" ht="15.75" hidden="false" customHeight="false" outlineLevel="0" collapsed="false">
      <c r="A6650" s="6" t="n">
        <v>43031.1458912037</v>
      </c>
      <c r="B6650" s="7" t="str">
        <f aca="false">HYPERLINK("https://twitter.com/YaDangayach","@YaDangayach")</f>
        <v>@YaDangayach</v>
      </c>
      <c r="C6650" s="8" t="s">
        <v>15064</v>
      </c>
      <c r="D6650" s="8" t="s">
        <v>8538</v>
      </c>
      <c r="E6650" s="9" t="str">
        <f aca="false">HYPERLINK("https://twitter.com/YaDangayach/status/922409787064758272","922409787064758272")</f>
        <v>922409787064758272</v>
      </c>
      <c r="F6650" s="10" t="s">
        <v>51</v>
      </c>
      <c r="G6650" s="10" t="n">
        <v>274</v>
      </c>
      <c r="H6650" s="10" t="n">
        <v>230</v>
      </c>
      <c r="I6650" s="10" t="n">
        <v>1015</v>
      </c>
      <c r="J6650" s="10" t="n">
        <v>0</v>
      </c>
      <c r="K6650" s="10" t="s">
        <v>20</v>
      </c>
      <c r="L6650" s="11" t="n">
        <v>41753.2356944445</v>
      </c>
      <c r="M6650" s="12" t="s">
        <v>15065</v>
      </c>
      <c r="N6650" s="12" t="s">
        <v>15066</v>
      </c>
      <c r="O6650" s="9" t="str">
        <f aca="false">HYPERLINK("https://pbs.twimg.com/profile_images/835556115685474304/VUQU5OSM_normal.jpg","View")</f>
        <v>View</v>
      </c>
      <c r="P6650" s="10"/>
    </row>
    <row r="6651" customFormat="false" ht="15.75" hidden="false" customHeight="false" outlineLevel="0" collapsed="false">
      <c r="A6651" s="6" t="n">
        <v>43031.1467361111</v>
      </c>
      <c r="B6651" s="7" t="str">
        <f aca="false">HYPERLINK("https://twitter.com/venkat_1705","@venkat_1705")</f>
        <v>@venkat_1705</v>
      </c>
      <c r="C6651" s="8" t="s">
        <v>15067</v>
      </c>
      <c r="D6651" s="8" t="s">
        <v>8538</v>
      </c>
      <c r="E6651" s="9" t="str">
        <f aca="false">HYPERLINK("https://twitter.com/venkat_1705/status/922410092565217281","922410092565217281")</f>
        <v>922410092565217281</v>
      </c>
      <c r="F6651" s="10" t="s">
        <v>25</v>
      </c>
      <c r="G6651" s="10" t="n">
        <v>140</v>
      </c>
      <c r="H6651" s="10" t="n">
        <v>641</v>
      </c>
      <c r="I6651" s="10" t="n">
        <v>1015</v>
      </c>
      <c r="J6651" s="10" t="n">
        <v>0</v>
      </c>
      <c r="K6651" s="10" t="s">
        <v>20</v>
      </c>
      <c r="L6651" s="11" t="n">
        <v>41470.9894444444</v>
      </c>
      <c r="M6651" s="12" t="s">
        <v>868</v>
      </c>
      <c r="N6651" s="12" t="s">
        <v>15068</v>
      </c>
      <c r="O6651" s="9" t="str">
        <f aca="false">HYPERLINK("https://pbs.twimg.com/profile_images/764711217336246272/F12CXdU1_normal.jpg","View")</f>
        <v>View</v>
      </c>
      <c r="P6651" s="10"/>
    </row>
    <row r="6652" customFormat="false" ht="15.75" hidden="false" customHeight="false" outlineLevel="0" collapsed="false">
      <c r="A6652" s="6" t="n">
        <v>43031.1468171296</v>
      </c>
      <c r="B6652" s="7" t="str">
        <f aca="false">HYPERLINK("https://twitter.com/ivote_d","@ivote_d")</f>
        <v>@ivote_d</v>
      </c>
      <c r="C6652" s="8" t="s">
        <v>15069</v>
      </c>
      <c r="D6652" s="8" t="s">
        <v>12764</v>
      </c>
      <c r="E6652" s="9" t="str">
        <f aca="false">HYPERLINK("https://twitter.com/ivote_d/status/922410122269417472","922410122269417472")</f>
        <v>922410122269417472</v>
      </c>
      <c r="F6652" s="10" t="s">
        <v>177</v>
      </c>
      <c r="G6652" s="10" t="n">
        <v>1155</v>
      </c>
      <c r="H6652" s="10" t="n">
        <v>122</v>
      </c>
      <c r="I6652" s="10" t="n">
        <v>170</v>
      </c>
      <c r="J6652" s="10" t="n">
        <v>0</v>
      </c>
      <c r="K6652" s="10" t="s">
        <v>20</v>
      </c>
      <c r="L6652" s="11" t="n">
        <v>42733.7846527778</v>
      </c>
      <c r="M6652" s="12" t="s">
        <v>491</v>
      </c>
      <c r="N6652" s="12" t="s">
        <v>15070</v>
      </c>
      <c r="O6652" s="9" t="str">
        <f aca="false">HYPERLINK("https://pbs.twimg.com/profile_images/884148592214241282/dKCiS12R_normal.jpg","View")</f>
        <v>View</v>
      </c>
      <c r="P6652" s="10"/>
    </row>
    <row r="6653" customFormat="false" ht="15.75" hidden="false" customHeight="false" outlineLevel="0" collapsed="false">
      <c r="A6653" s="6" t="n">
        <v>43031.1468171296</v>
      </c>
      <c r="B6653" s="7" t="str">
        <f aca="false">HYPERLINK("https://twitter.com/shrhkdr","@shrhkdr")</f>
        <v>@shrhkdr</v>
      </c>
      <c r="C6653" s="8" t="s">
        <v>15071</v>
      </c>
      <c r="D6653" s="8" t="s">
        <v>14466</v>
      </c>
      <c r="E6653" s="9" t="str">
        <f aca="false">HYPERLINK("https://twitter.com/shrhkdr/status/922410124374769665","922410124374769665")</f>
        <v>922410124374769665</v>
      </c>
      <c r="F6653" s="10" t="s">
        <v>25</v>
      </c>
      <c r="G6653" s="10" t="n">
        <v>183</v>
      </c>
      <c r="H6653" s="10" t="n">
        <v>203</v>
      </c>
      <c r="I6653" s="10" t="n">
        <v>51</v>
      </c>
      <c r="J6653" s="10" t="n">
        <v>0</v>
      </c>
      <c r="K6653" s="10" t="s">
        <v>20</v>
      </c>
      <c r="L6653" s="11" t="n">
        <v>42281.8991550926</v>
      </c>
      <c r="M6653" s="12" t="s">
        <v>11186</v>
      </c>
      <c r="N6653" s="12" t="s">
        <v>15072</v>
      </c>
      <c r="O6653" s="9" t="str">
        <f aca="false">HYPERLINK("https://pbs.twimg.com/profile_images/922809176316813312/Kq7ERvZe_normal.jpg","View")</f>
        <v>View</v>
      </c>
      <c r="P6653" s="10"/>
    </row>
    <row r="6654" customFormat="false" ht="15.75" hidden="false" customHeight="false" outlineLevel="0" collapsed="false">
      <c r="A6654" s="6" t="n">
        <v>43031.1468287037</v>
      </c>
      <c r="B6654" s="7" t="str">
        <f aca="false">HYPERLINK("https://twitter.com/Wil120mm","@Wil120mm")</f>
        <v>@Wil120mm</v>
      </c>
      <c r="C6654" s="8" t="s">
        <v>15073</v>
      </c>
      <c r="D6654" s="8" t="s">
        <v>15074</v>
      </c>
      <c r="E6654" s="9" t="str">
        <f aca="false">HYPERLINK("https://twitter.com/Wil120mm/status/922410127466160128","922410127466160128")</f>
        <v>922410127466160128</v>
      </c>
      <c r="F6654" s="10" t="s">
        <v>25</v>
      </c>
      <c r="G6654" s="10" t="n">
        <v>509</v>
      </c>
      <c r="H6654" s="10" t="n">
        <v>2245</v>
      </c>
      <c r="I6654" s="10" t="n">
        <v>1</v>
      </c>
      <c r="J6654" s="10" t="n">
        <v>0</v>
      </c>
      <c r="K6654" s="10" t="s">
        <v>20</v>
      </c>
      <c r="L6654" s="11" t="n">
        <v>40466.6983333333</v>
      </c>
      <c r="M6654" s="12" t="s">
        <v>4684</v>
      </c>
      <c r="N6654" s="12" t="s">
        <v>15075</v>
      </c>
      <c r="O6654" s="9" t="str">
        <f aca="false">HYPERLINK("https://pbs.twimg.com/profile_images/2189643579/6h1acIWU_normal","View")</f>
        <v>View</v>
      </c>
      <c r="P6654" s="10"/>
    </row>
    <row r="6655" customFormat="false" ht="15.75" hidden="false" customHeight="false" outlineLevel="0" collapsed="false">
      <c r="A6655" s="6" t="n">
        <v>43031.1481481481</v>
      </c>
      <c r="B6655" s="7" t="str">
        <f aca="false">HYPERLINK("https://twitter.com/DNev47","@DNev47")</f>
        <v>@DNev47</v>
      </c>
      <c r="C6655" s="8" t="s">
        <v>15076</v>
      </c>
      <c r="D6655" s="8" t="s">
        <v>15077</v>
      </c>
      <c r="E6655" s="9" t="str">
        <f aca="false">HYPERLINK("https://twitter.com/DNev47/status/922410604253638656","922410604253638656")</f>
        <v>922410604253638656</v>
      </c>
      <c r="F6655" s="10" t="s">
        <v>51</v>
      </c>
      <c r="G6655" s="10" t="n">
        <v>1706</v>
      </c>
      <c r="H6655" s="10" t="n">
        <v>886</v>
      </c>
      <c r="I6655" s="10" t="n">
        <v>0</v>
      </c>
      <c r="J6655" s="10" t="n">
        <v>0</v>
      </c>
      <c r="K6655" s="10" t="s">
        <v>20</v>
      </c>
      <c r="L6655" s="11" t="n">
        <v>40551.4590740741</v>
      </c>
      <c r="M6655" s="12" t="s">
        <v>502</v>
      </c>
      <c r="N6655" s="12" t="s">
        <v>15078</v>
      </c>
      <c r="O6655" s="9" t="str">
        <f aca="false">HYPERLINK("https://pbs.twimg.com/profile_images/815578462979293188/y4xaU8uV_normal.jpg","View")</f>
        <v>View</v>
      </c>
      <c r="P6655" s="10"/>
    </row>
    <row r="6656" customFormat="false" ht="15.75" hidden="false" customHeight="false" outlineLevel="0" collapsed="false">
      <c r="A6656" s="6" t="n">
        <v>43031.1496527778</v>
      </c>
      <c r="B6656" s="7" t="str">
        <f aca="false">HYPERLINK("https://twitter.com/ADVAMIT82","@ADVAMIT82")</f>
        <v>@ADVAMIT82</v>
      </c>
      <c r="C6656" s="8" t="s">
        <v>15079</v>
      </c>
      <c r="D6656" s="8" t="s">
        <v>8538</v>
      </c>
      <c r="E6656" s="9" t="str">
        <f aca="false">HYPERLINK("https://twitter.com/ADVAMIT82/status/922411151844970496","922411151844970496")</f>
        <v>922411151844970496</v>
      </c>
      <c r="F6656" s="10" t="s">
        <v>51</v>
      </c>
      <c r="G6656" s="10" t="n">
        <v>316</v>
      </c>
      <c r="H6656" s="10" t="n">
        <v>127</v>
      </c>
      <c r="I6656" s="10" t="n">
        <v>1015</v>
      </c>
      <c r="J6656" s="10" t="n">
        <v>0</v>
      </c>
      <c r="K6656" s="10" t="s">
        <v>20</v>
      </c>
      <c r="L6656" s="11" t="n">
        <v>41759.3776157407</v>
      </c>
      <c r="M6656" s="12"/>
      <c r="N6656" s="12"/>
      <c r="O6656" s="9" t="str">
        <f aca="false">HYPERLINK("https://pbs.twimg.com/profile_images/921357939826290691/zHgSS5uZ_normal.jpg","View")</f>
        <v>View</v>
      </c>
      <c r="P6656" s="10"/>
    </row>
    <row r="6657" customFormat="false" ht="15.75" hidden="false" customHeight="false" outlineLevel="0" collapsed="false">
      <c r="A6657" s="6" t="n">
        <v>43031.1500925926</v>
      </c>
      <c r="B6657" s="7" t="str">
        <f aca="false">HYPERLINK("https://twitter.com/NewsDingo","@NewsDingo")</f>
        <v>@NewsDingo</v>
      </c>
      <c r="C6657" s="8" t="s">
        <v>1930</v>
      </c>
      <c r="D6657" s="8" t="s">
        <v>15080</v>
      </c>
      <c r="E6657" s="9" t="str">
        <f aca="false">HYPERLINK("https://twitter.com/NewsDingo/status/922411310490574848","922411310490574848")</f>
        <v>922411310490574848</v>
      </c>
      <c r="F6657" s="10" t="s">
        <v>1932</v>
      </c>
      <c r="G6657" s="10" t="n">
        <v>141</v>
      </c>
      <c r="H6657" s="10" t="n">
        <v>55</v>
      </c>
      <c r="I6657" s="10" t="n">
        <v>0</v>
      </c>
      <c r="J6657" s="10" t="n">
        <v>0</v>
      </c>
      <c r="K6657" s="10" t="s">
        <v>20</v>
      </c>
      <c r="L6657" s="11" t="n">
        <v>40282.5263657407</v>
      </c>
      <c r="M6657" s="12" t="s">
        <v>1933</v>
      </c>
      <c r="N6657" s="12" t="s">
        <v>1934</v>
      </c>
      <c r="O6657" s="9" t="str">
        <f aca="false">HYPERLINK("https://pbs.twimg.com/profile_images/823485261/news_dingo_48_normal.gif","View")</f>
        <v>View</v>
      </c>
      <c r="P6657" s="10"/>
    </row>
    <row r="6658" customFormat="false" ht="15.75" hidden="false" customHeight="false" outlineLevel="0" collapsed="false">
      <c r="A6658" s="6" t="n">
        <v>43031.1505439815</v>
      </c>
      <c r="B6658" s="7" t="str">
        <f aca="false">HYPERLINK("https://twitter.com/_andrecferreira","@_andrecferreira")</f>
        <v>@_andrecferreira</v>
      </c>
      <c r="C6658" s="8" t="s">
        <v>15081</v>
      </c>
      <c r="D6658" s="8" t="s">
        <v>13172</v>
      </c>
      <c r="E6658" s="9" t="str">
        <f aca="false">HYPERLINK("https://twitter.com/_andrecferreira/status/922411472046710785","922411472046710785")</f>
        <v>922411472046710785</v>
      </c>
      <c r="F6658" s="10" t="s">
        <v>25</v>
      </c>
      <c r="G6658" s="10" t="n">
        <v>353</v>
      </c>
      <c r="H6658" s="10" t="n">
        <v>1522</v>
      </c>
      <c r="I6658" s="10" t="n">
        <v>26</v>
      </c>
      <c r="J6658" s="10" t="n">
        <v>0</v>
      </c>
      <c r="K6658" s="10" t="s">
        <v>20</v>
      </c>
      <c r="L6658" s="11" t="n">
        <v>40003.6198148148</v>
      </c>
      <c r="M6658" s="12" t="s">
        <v>15082</v>
      </c>
      <c r="N6658" s="12" t="s">
        <v>15083</v>
      </c>
      <c r="O6658" s="9" t="str">
        <f aca="false">HYPERLINK("https://pbs.twimg.com/profile_images/768138481180770304/ZJTLsocH_normal.jpg","View")</f>
        <v>View</v>
      </c>
      <c r="P6658" s="10"/>
    </row>
    <row r="6659" customFormat="false" ht="15.75" hidden="false" customHeight="false" outlineLevel="0" collapsed="false">
      <c r="A6659" s="6" t="n">
        <v>43031.1509606482</v>
      </c>
      <c r="B6659" s="7" t="str">
        <f aca="false">HYPERLINK("https://twitter.com/CclearWorld","@CclearWorld")</f>
        <v>@CclearWorld</v>
      </c>
      <c r="C6659" s="8" t="s">
        <v>15084</v>
      </c>
      <c r="D6659" s="8" t="s">
        <v>15085</v>
      </c>
      <c r="E6659" s="9" t="str">
        <f aca="false">HYPERLINK("https://twitter.com/CclearWorld/status/922411625285672960","922411625285672960")</f>
        <v>922411625285672960</v>
      </c>
      <c r="F6659" s="10" t="s">
        <v>39</v>
      </c>
      <c r="G6659" s="10" t="n">
        <v>5</v>
      </c>
      <c r="H6659" s="10" t="n">
        <v>21</v>
      </c>
      <c r="I6659" s="10" t="n">
        <v>0</v>
      </c>
      <c r="J6659" s="10" t="n">
        <v>0</v>
      </c>
      <c r="K6659" s="10" t="s">
        <v>20</v>
      </c>
      <c r="L6659" s="11" t="n">
        <v>43031.1059606481</v>
      </c>
      <c r="M6659" s="12"/>
      <c r="N6659" s="12" t="s">
        <v>15086</v>
      </c>
      <c r="O6659" s="9" t="str">
        <f aca="false">HYPERLINK("https://pbs.twimg.com/profile_images/922399845306060800/VvbO3sfu_normal.jpg","View")</f>
        <v>View</v>
      </c>
      <c r="P6659" s="10"/>
    </row>
    <row r="6660" customFormat="false" ht="15.75" hidden="false" customHeight="false" outlineLevel="0" collapsed="false">
      <c r="A6660" s="6" t="n">
        <v>43031.1509837963</v>
      </c>
      <c r="B6660" s="7" t="str">
        <f aca="false">HYPERLINK("https://twitter.com/Daily_Express","@Daily_Express")</f>
        <v>@Daily_Express</v>
      </c>
      <c r="C6660" s="8" t="s">
        <v>7617</v>
      </c>
      <c r="D6660" s="8" t="s">
        <v>15087</v>
      </c>
      <c r="E6660" s="9" t="str">
        <f aca="false">HYPERLINK("https://twitter.com/Daily_Express/status/922411634617970689","922411634617970689")</f>
        <v>922411634617970689</v>
      </c>
      <c r="F6660" s="10" t="s">
        <v>39</v>
      </c>
      <c r="G6660" s="10" t="n">
        <v>691214</v>
      </c>
      <c r="H6660" s="10" t="n">
        <v>529</v>
      </c>
      <c r="I6660" s="10" t="n">
        <v>3</v>
      </c>
      <c r="J6660" s="10" t="n">
        <v>7</v>
      </c>
      <c r="K6660" s="10" t="s">
        <v>20</v>
      </c>
      <c r="L6660" s="11" t="n">
        <v>39787.1706944444</v>
      </c>
      <c r="M6660" s="12" t="s">
        <v>893</v>
      </c>
      <c r="N6660" s="12" t="s">
        <v>7619</v>
      </c>
      <c r="O6660" s="9" t="str">
        <f aca="false">HYPERLINK("https://pbs.twimg.com/profile_images/915525294978666496/ALgq4U5j_normal.jpg","View")</f>
        <v>View</v>
      </c>
      <c r="P6660" s="10"/>
    </row>
    <row r="6661" customFormat="false" ht="15.75" hidden="false" customHeight="false" outlineLevel="0" collapsed="false">
      <c r="A6661" s="6" t="n">
        <v>43031.1515509259</v>
      </c>
      <c r="B6661" s="7" t="str">
        <f aca="false">HYPERLINK("https://twitter.com/MichaelMichelno","@MichaelMichelno")</f>
        <v>@MichaelMichelno</v>
      </c>
      <c r="C6661" s="8" t="s">
        <v>13607</v>
      </c>
      <c r="D6661" s="8" t="s">
        <v>15088</v>
      </c>
      <c r="E6661" s="9" t="str">
        <f aca="false">HYPERLINK("https://twitter.com/MichaelMichelno/status/922411839442640897","922411839442640897")</f>
        <v>922411839442640897</v>
      </c>
      <c r="F6661" s="10" t="s">
        <v>25</v>
      </c>
      <c r="G6661" s="10" t="n">
        <v>170</v>
      </c>
      <c r="H6661" s="10" t="n">
        <v>214</v>
      </c>
      <c r="I6661" s="10" t="n">
        <v>3</v>
      </c>
      <c r="J6661" s="10" t="n">
        <v>0</v>
      </c>
      <c r="K6661" s="10" t="s">
        <v>20</v>
      </c>
      <c r="L6661" s="11" t="n">
        <v>42978.417650463</v>
      </c>
      <c r="M6661" s="12"/>
      <c r="N6661" s="12"/>
      <c r="O6661" s="9" t="str">
        <f aca="false">HYPERLINK("https://abs.twimg.com/sticky/default_profile_images/default_profile_normal.png","View")</f>
        <v>View</v>
      </c>
      <c r="P6661" s="10"/>
    </row>
    <row r="6662" customFormat="false" ht="15.75" hidden="false" customHeight="false" outlineLevel="0" collapsed="false">
      <c r="A6662" s="6" t="n">
        <v>43031.1519328704</v>
      </c>
      <c r="B6662" s="7" t="str">
        <f aca="false">HYPERLINK("https://twitter.com/Pat1066Patrick","@Pat1066Patrick")</f>
        <v>@Pat1066Patrick</v>
      </c>
      <c r="C6662" s="8" t="s">
        <v>15089</v>
      </c>
      <c r="D6662" s="8" t="s">
        <v>15090</v>
      </c>
      <c r="E6662" s="9" t="str">
        <f aca="false">HYPERLINK("https://twitter.com/Pat1066Patrick/status/922411977292464129","922411977292464129")</f>
        <v>922411977292464129</v>
      </c>
      <c r="F6662" s="10" t="s">
        <v>39</v>
      </c>
      <c r="G6662" s="10" t="n">
        <v>5044</v>
      </c>
      <c r="H6662" s="10" t="n">
        <v>5228</v>
      </c>
      <c r="I6662" s="10" t="n">
        <v>0</v>
      </c>
      <c r="J6662" s="10" t="n">
        <v>0</v>
      </c>
      <c r="K6662" s="10" t="s">
        <v>20</v>
      </c>
      <c r="L6662" s="11" t="n">
        <v>40961.0913541667</v>
      </c>
      <c r="M6662" s="12" t="s">
        <v>15091</v>
      </c>
      <c r="N6662" s="12" t="s">
        <v>15092</v>
      </c>
      <c r="O6662" s="9" t="str">
        <f aca="false">HYPERLINK("https://pbs.twimg.com/profile_images/485971524583583745/HxLbFWZR_normal.jpeg","View")</f>
        <v>View</v>
      </c>
      <c r="P6662" s="10"/>
    </row>
    <row r="6663" customFormat="false" ht="15.75" hidden="false" customHeight="false" outlineLevel="0" collapsed="false">
      <c r="A6663" s="6" t="n">
        <v>43031.1523611111</v>
      </c>
      <c r="B6663" s="7" t="str">
        <f aca="false">HYPERLINK("https://twitter.com/UrsulaYo","@UrsulaYo")</f>
        <v>@UrsulaYo</v>
      </c>
      <c r="C6663" s="8" t="s">
        <v>15093</v>
      </c>
      <c r="D6663" s="8" t="s">
        <v>14466</v>
      </c>
      <c r="E6663" s="9" t="str">
        <f aca="false">HYPERLINK("https://twitter.com/UrsulaYo/status/922412131760222208","922412131760222208")</f>
        <v>922412131760222208</v>
      </c>
      <c r="F6663" s="10" t="s">
        <v>25</v>
      </c>
      <c r="G6663" s="10" t="n">
        <v>4</v>
      </c>
      <c r="H6663" s="10" t="n">
        <v>225</v>
      </c>
      <c r="I6663" s="10" t="n">
        <v>51</v>
      </c>
      <c r="J6663" s="10" t="n">
        <v>0</v>
      </c>
      <c r="K6663" s="10" t="s">
        <v>20</v>
      </c>
      <c r="L6663" s="11" t="n">
        <v>40344.2816666667</v>
      </c>
      <c r="M6663" s="12" t="s">
        <v>15094</v>
      </c>
      <c r="N6663" s="12" t="s">
        <v>15095</v>
      </c>
      <c r="O6663" s="9" t="str">
        <f aca="false">HYPERLINK("https://pbs.twimg.com/profile_images/3064092792/35742df6865182b6c3b22a9e284bb643_normal.jpeg","View")</f>
        <v>View</v>
      </c>
      <c r="P6663" s="10"/>
    </row>
    <row r="6664" customFormat="false" ht="15.75" hidden="false" customHeight="false" outlineLevel="0" collapsed="false">
      <c r="A6664" s="6" t="n">
        <v>43031.1525115741</v>
      </c>
      <c r="B6664" s="7" t="str">
        <f aca="false">HYPERLINK("https://twitter.com/xoxonicochan","@xoxonicochan")</f>
        <v>@xoxonicochan</v>
      </c>
      <c r="C6664" s="8" t="s">
        <v>15096</v>
      </c>
      <c r="D6664" s="8" t="s">
        <v>12493</v>
      </c>
      <c r="E6664" s="9" t="str">
        <f aca="false">HYPERLINK("https://twitter.com/xoxonicochan/status/922412186869174273","922412186869174273")</f>
        <v>922412186869174273</v>
      </c>
      <c r="F6664" s="10" t="s">
        <v>51</v>
      </c>
      <c r="G6664" s="10" t="n">
        <v>62</v>
      </c>
      <c r="H6664" s="10" t="n">
        <v>70</v>
      </c>
      <c r="I6664" s="10" t="n">
        <v>63</v>
      </c>
      <c r="J6664" s="10" t="n">
        <v>0</v>
      </c>
      <c r="K6664" s="10" t="s">
        <v>20</v>
      </c>
      <c r="L6664" s="11" t="n">
        <v>40244.9825231482</v>
      </c>
      <c r="M6664" s="12"/>
      <c r="N6664" s="12"/>
      <c r="O6664" s="9" t="str">
        <f aca="false">HYPERLINK("https://pbs.twimg.com/profile_images/378800000252671764/480168d029f2590f4735a43f54c22b66_normal.jpeg","View")</f>
        <v>View</v>
      </c>
      <c r="P6664" s="10"/>
    </row>
    <row r="6665" customFormat="false" ht="15.75" hidden="false" customHeight="false" outlineLevel="0" collapsed="false">
      <c r="A6665" s="6" t="n">
        <v>43031.1533449074</v>
      </c>
      <c r="B6665" s="7" t="str">
        <f aca="false">HYPERLINK("https://twitter.com/navinbhansali","@navinbhansali")</f>
        <v>@navinbhansali</v>
      </c>
      <c r="C6665" s="8" t="s">
        <v>15097</v>
      </c>
      <c r="D6665" s="8" t="s">
        <v>8538</v>
      </c>
      <c r="E6665" s="9" t="str">
        <f aca="false">HYPERLINK("https://twitter.com/navinbhansali/status/922412489580544000","922412489580544000")</f>
        <v>922412489580544000</v>
      </c>
      <c r="F6665" s="10" t="s">
        <v>25</v>
      </c>
      <c r="G6665" s="10" t="n">
        <v>293</v>
      </c>
      <c r="H6665" s="10" t="n">
        <v>764</v>
      </c>
      <c r="I6665" s="10" t="n">
        <v>1015</v>
      </c>
      <c r="J6665" s="10" t="n">
        <v>0</v>
      </c>
      <c r="K6665" s="10" t="s">
        <v>20</v>
      </c>
      <c r="L6665" s="11" t="n">
        <v>39899.9046875</v>
      </c>
      <c r="M6665" s="12" t="s">
        <v>15098</v>
      </c>
      <c r="N6665" s="12" t="s">
        <v>15099</v>
      </c>
      <c r="O6665" s="9" t="str">
        <f aca="false">HYPERLINK("https://pbs.twimg.com/profile_images/846183070084415488/NeuuekG6_normal.jpg","View")</f>
        <v>View</v>
      </c>
      <c r="P6665" s="10"/>
    </row>
    <row r="6666" customFormat="false" ht="15.75" hidden="false" customHeight="false" outlineLevel="0" collapsed="false">
      <c r="A6666" s="6" t="n">
        <v>43031.1535416667</v>
      </c>
      <c r="B6666" s="7" t="str">
        <f aca="false">HYPERLINK("https://twitter.com/Real_Infinity95","@Real_Infinity95")</f>
        <v>@Real_Infinity95</v>
      </c>
      <c r="C6666" s="8" t="s">
        <v>1216</v>
      </c>
      <c r="D6666" s="8" t="s">
        <v>14466</v>
      </c>
      <c r="E6666" s="9" t="str">
        <f aca="false">HYPERLINK("https://twitter.com/Real_Infinity95/status/922412559701086208","922412559701086208")</f>
        <v>922412559701086208</v>
      </c>
      <c r="F6666" s="10" t="s">
        <v>51</v>
      </c>
      <c r="G6666" s="10" t="n">
        <v>1984</v>
      </c>
      <c r="H6666" s="10" t="n">
        <v>2145</v>
      </c>
      <c r="I6666" s="10" t="n">
        <v>51</v>
      </c>
      <c r="J6666" s="10" t="n">
        <v>0</v>
      </c>
      <c r="K6666" s="10" t="s">
        <v>20</v>
      </c>
      <c r="L6666" s="11" t="n">
        <v>42467.7428356481</v>
      </c>
      <c r="M6666" s="12" t="s">
        <v>1217</v>
      </c>
      <c r="N6666" s="12" t="s">
        <v>1218</v>
      </c>
      <c r="O6666" s="9" t="str">
        <f aca="false">HYPERLINK("https://pbs.twimg.com/profile_images/913895542165528582/D5_giAB-_normal.jpg","View")</f>
        <v>View</v>
      </c>
      <c r="P6666" s="10"/>
    </row>
    <row r="6667" customFormat="false" ht="15.75" hidden="false" customHeight="false" outlineLevel="0" collapsed="false">
      <c r="A6667" s="6" t="n">
        <v>43031.1540277778</v>
      </c>
      <c r="B6667" s="7" t="str">
        <f aca="false">HYPERLINK("https://twitter.com/benmentari","@benmentari")</f>
        <v>@benmentari</v>
      </c>
      <c r="C6667" s="8" t="s">
        <v>15100</v>
      </c>
      <c r="D6667" s="8" t="s">
        <v>13741</v>
      </c>
      <c r="E6667" s="9" t="str">
        <f aca="false">HYPERLINK("https://twitter.com/benmentari/status/922412734414647296","922412734414647296")</f>
        <v>922412734414647296</v>
      </c>
      <c r="F6667" s="10" t="s">
        <v>25</v>
      </c>
      <c r="G6667" s="10" t="n">
        <v>1273</v>
      </c>
      <c r="H6667" s="10" t="n">
        <v>4982</v>
      </c>
      <c r="I6667" s="10" t="n">
        <v>17</v>
      </c>
      <c r="J6667" s="10" t="n">
        <v>0</v>
      </c>
      <c r="K6667" s="10" t="s">
        <v>20</v>
      </c>
      <c r="L6667" s="11" t="n">
        <v>42147.2500925926</v>
      </c>
      <c r="M6667" s="12"/>
      <c r="N6667" s="12" t="s">
        <v>15101</v>
      </c>
      <c r="O6667" s="9" t="str">
        <f aca="false">HYPERLINK("https://pbs.twimg.com/profile_images/922793239945474048/9aIFwadI_normal.jpg","View")</f>
        <v>View</v>
      </c>
      <c r="P6667" s="10"/>
    </row>
    <row r="6668" customFormat="false" ht="15.75" hidden="false" customHeight="false" outlineLevel="0" collapsed="false">
      <c r="A6668" s="6" t="n">
        <v>43031.1542708333</v>
      </c>
      <c r="B6668" s="7" t="str">
        <f aca="false">HYPERLINK("https://twitter.com/i68464686462402","@i68464686462402")</f>
        <v>@i68464686462402</v>
      </c>
      <c r="C6668" s="8" t="s">
        <v>15102</v>
      </c>
      <c r="D6668" s="8" t="s">
        <v>14043</v>
      </c>
      <c r="E6668" s="9" t="str">
        <f aca="false">HYPERLINK("https://twitter.com/i68464686462402/status/922412825229664256","922412825229664256")</f>
        <v>922412825229664256</v>
      </c>
      <c r="F6668" s="10" t="s">
        <v>39</v>
      </c>
      <c r="G6668" s="10" t="n">
        <v>16</v>
      </c>
      <c r="H6668" s="10" t="n">
        <v>23</v>
      </c>
      <c r="I6668" s="10" t="n">
        <v>6</v>
      </c>
      <c r="J6668" s="10" t="n">
        <v>0</v>
      </c>
      <c r="K6668" s="10" t="s">
        <v>20</v>
      </c>
      <c r="L6668" s="11" t="n">
        <v>42349.5442361111</v>
      </c>
      <c r="M6668" s="12"/>
      <c r="N6668" s="12"/>
      <c r="O6668" s="9" t="str">
        <f aca="false">HYPERLINK("https://pbs.twimg.com/profile_images/676996325741842432/YMh4IZZL_normal.jpg","View")</f>
        <v>View</v>
      </c>
      <c r="P6668" s="10"/>
    </row>
    <row r="6669" customFormat="false" ht="15.75" hidden="false" customHeight="false" outlineLevel="0" collapsed="false">
      <c r="A6669" s="6" t="n">
        <v>43031.1542939815</v>
      </c>
      <c r="B6669" s="7" t="str">
        <f aca="false">HYPERLINK("https://twitter.com/puredailynews","@puredailynews")</f>
        <v>@puredailynews</v>
      </c>
      <c r="C6669" s="8" t="s">
        <v>15103</v>
      </c>
      <c r="D6669" s="8" t="s">
        <v>15104</v>
      </c>
      <c r="E6669" s="9" t="str">
        <f aca="false">HYPERLINK("https://twitter.com/puredailynews/status/922412832762843137","922412832762843137")</f>
        <v>922412832762843137</v>
      </c>
      <c r="F6669" s="9" t="s">
        <v>979</v>
      </c>
      <c r="G6669" s="10" t="n">
        <v>29</v>
      </c>
      <c r="H6669" s="10" t="n">
        <v>106</v>
      </c>
      <c r="I6669" s="10" t="n">
        <v>0</v>
      </c>
      <c r="J6669" s="10" t="n">
        <v>0</v>
      </c>
      <c r="K6669" s="10" t="s">
        <v>20</v>
      </c>
      <c r="L6669" s="11" t="n">
        <v>42916.0962152778</v>
      </c>
      <c r="M6669" s="12" t="s">
        <v>230</v>
      </c>
      <c r="N6669" s="12" t="s">
        <v>15105</v>
      </c>
      <c r="O6669" s="9" t="str">
        <f aca="false">HYPERLINK("https://pbs.twimg.com/profile_images/882183948566245377/l-arLaFA_normal.jpg","View")</f>
        <v>View</v>
      </c>
      <c r="P6669" s="10"/>
    </row>
    <row r="6670" customFormat="false" ht="15.75" hidden="false" customHeight="false" outlineLevel="0" collapsed="false">
      <c r="A6670" s="6" t="n">
        <v>43031.1544097222</v>
      </c>
      <c r="B6670" s="7" t="str">
        <f aca="false">HYPERLINK("https://twitter.com/AJInsideStory","@AJInsideStory")</f>
        <v>@AJInsideStory</v>
      </c>
      <c r="C6670" s="8" t="s">
        <v>15106</v>
      </c>
      <c r="D6670" s="8" t="s">
        <v>15107</v>
      </c>
      <c r="E6670" s="9" t="str">
        <f aca="false">HYPERLINK("https://twitter.com/AJInsideStory/status/922412874076635136","922412874076635136")</f>
        <v>922412874076635136</v>
      </c>
      <c r="F6670" s="10" t="s">
        <v>39</v>
      </c>
      <c r="G6670" s="10" t="n">
        <v>16455</v>
      </c>
      <c r="H6670" s="10" t="n">
        <v>34</v>
      </c>
      <c r="I6670" s="10" t="n">
        <v>0</v>
      </c>
      <c r="J6670" s="10" t="n">
        <v>2</v>
      </c>
      <c r="K6670" s="10" t="s">
        <v>20</v>
      </c>
      <c r="L6670" s="11" t="n">
        <v>40994.1407175926</v>
      </c>
      <c r="M6670" s="12" t="s">
        <v>3962</v>
      </c>
      <c r="N6670" s="12" t="s">
        <v>15108</v>
      </c>
      <c r="O6670" s="9" t="str">
        <f aca="false">HYPERLINK("https://pbs.twimg.com/profile_images/448882353935360000/wq2qWMEw_normal.jpeg","View")</f>
        <v>View</v>
      </c>
      <c r="P6670" s="10"/>
    </row>
    <row r="6671" customFormat="false" ht="15.75" hidden="false" customHeight="false" outlineLevel="0" collapsed="false">
      <c r="A6671" s="6" t="n">
        <v>43031.1549305556</v>
      </c>
      <c r="B6671" s="7" t="str">
        <f aca="false">HYPERLINK("https://twitter.com/lojun1970","@lojun1970")</f>
        <v>@lojun1970</v>
      </c>
      <c r="C6671" s="8" t="s">
        <v>15109</v>
      </c>
      <c r="D6671" s="8" t="s">
        <v>13172</v>
      </c>
      <c r="E6671" s="9" t="str">
        <f aca="false">HYPERLINK("https://twitter.com/lojun1970/status/922413063919112192","922413063919112192")</f>
        <v>922413063919112192</v>
      </c>
      <c r="F6671" s="10" t="s">
        <v>98</v>
      </c>
      <c r="G6671" s="10" t="n">
        <v>556</v>
      </c>
      <c r="H6671" s="10" t="n">
        <v>542</v>
      </c>
      <c r="I6671" s="10" t="n">
        <v>26</v>
      </c>
      <c r="J6671" s="10" t="n">
        <v>0</v>
      </c>
      <c r="K6671" s="10" t="s">
        <v>20</v>
      </c>
      <c r="L6671" s="11" t="n">
        <v>40170.9893055556</v>
      </c>
      <c r="M6671" s="12" t="s">
        <v>15110</v>
      </c>
      <c r="N6671" s="12" t="s">
        <v>15111</v>
      </c>
      <c r="O6671" s="9" t="str">
        <f aca="false">HYPERLINK("https://pbs.twimg.com/profile_images/912869900816834560/uabiQyuB_normal.jpg","View")</f>
        <v>View</v>
      </c>
      <c r="P6671" s="10"/>
    </row>
    <row r="6672" customFormat="false" ht="15.75" hidden="false" customHeight="false" outlineLevel="0" collapsed="false">
      <c r="A6672" s="6" t="n">
        <v>43031.1552777778</v>
      </c>
      <c r="B6672" s="7" t="str">
        <f aca="false">HYPERLINK("https://twitter.com/BavyeshJ","@BavyeshJ")</f>
        <v>@BavyeshJ</v>
      </c>
      <c r="C6672" s="8" t="s">
        <v>15112</v>
      </c>
      <c r="D6672" s="8" t="s">
        <v>14466</v>
      </c>
      <c r="E6672" s="9" t="str">
        <f aca="false">HYPERLINK("https://twitter.com/BavyeshJ/status/922413190805426176","922413190805426176")</f>
        <v>922413190805426176</v>
      </c>
      <c r="F6672" s="10" t="s">
        <v>25</v>
      </c>
      <c r="G6672" s="10" t="n">
        <v>305</v>
      </c>
      <c r="H6672" s="10" t="n">
        <v>444</v>
      </c>
      <c r="I6672" s="10" t="n">
        <v>51</v>
      </c>
      <c r="J6672" s="10" t="n">
        <v>0</v>
      </c>
      <c r="K6672" s="10" t="s">
        <v>20</v>
      </c>
      <c r="L6672" s="11" t="n">
        <v>41894.225474537</v>
      </c>
      <c r="M6672" s="12" t="s">
        <v>14878</v>
      </c>
      <c r="N6672" s="12" t="s">
        <v>15113</v>
      </c>
      <c r="O6672" s="9" t="str">
        <f aca="false">HYPERLINK("https://pbs.twimg.com/profile_images/917336886879891458/iAkW-QL0_normal.jpg","View")</f>
        <v>View</v>
      </c>
      <c r="P6672" s="10"/>
    </row>
    <row r="6673" customFormat="false" ht="15.75" hidden="false" customHeight="false" outlineLevel="0" collapsed="false">
      <c r="A6673" s="6" t="n">
        <v>43031.1554861111</v>
      </c>
      <c r="B6673" s="7" t="str">
        <f aca="false">HYPERLINK("https://twitter.com/TishaCM","@TishaCM")</f>
        <v>@TishaCM</v>
      </c>
      <c r="C6673" s="8" t="s">
        <v>15114</v>
      </c>
      <c r="D6673" s="8" t="s">
        <v>14434</v>
      </c>
      <c r="E6673" s="9" t="str">
        <f aca="false">HYPERLINK("https://twitter.com/TishaCM/status/922413266420170753","922413266420170753")</f>
        <v>922413266420170753</v>
      </c>
      <c r="F6673" s="10" t="s">
        <v>51</v>
      </c>
      <c r="G6673" s="10" t="n">
        <v>178</v>
      </c>
      <c r="H6673" s="10" t="n">
        <v>293</v>
      </c>
      <c r="I6673" s="10" t="n">
        <v>4</v>
      </c>
      <c r="J6673" s="10" t="n">
        <v>0</v>
      </c>
      <c r="K6673" s="10" t="s">
        <v>20</v>
      </c>
      <c r="L6673" s="11" t="n">
        <v>40231.7944212963</v>
      </c>
      <c r="M6673" s="12" t="s">
        <v>21</v>
      </c>
      <c r="N6673" s="12" t="s">
        <v>15115</v>
      </c>
      <c r="O6673" s="9" t="str">
        <f aca="false">HYPERLINK("https://pbs.twimg.com/profile_images/765717218034188288/O8VHAhmv_normal.jpg","View")</f>
        <v>View</v>
      </c>
      <c r="P6673" s="10"/>
    </row>
    <row r="6674" customFormat="false" ht="15.75" hidden="false" customHeight="false" outlineLevel="0" collapsed="false">
      <c r="A6674" s="6" t="n">
        <v>43031.1555902778</v>
      </c>
      <c r="B6674" s="7" t="str">
        <f aca="false">HYPERLINK("https://twitter.com/bpolitics","@bpolitics")</f>
        <v>@bpolitics</v>
      </c>
      <c r="C6674" s="8" t="s">
        <v>266</v>
      </c>
      <c r="D6674" s="8" t="s">
        <v>15116</v>
      </c>
      <c r="E6674" s="9" t="str">
        <f aca="false">HYPERLINK("https://twitter.com/bpolitics/status/922413304236183557","922413304236183557")</f>
        <v>922413304236183557</v>
      </c>
      <c r="F6674" s="10" t="s">
        <v>268</v>
      </c>
      <c r="G6674" s="10" t="n">
        <v>221392</v>
      </c>
      <c r="H6674" s="10" t="n">
        <v>868</v>
      </c>
      <c r="I6674" s="10" t="n">
        <v>15</v>
      </c>
      <c r="J6674" s="10" t="n">
        <v>18</v>
      </c>
      <c r="K6674" s="10" t="s">
        <v>20</v>
      </c>
      <c r="L6674" s="11" t="n">
        <v>41025.576400463</v>
      </c>
      <c r="M6674" s="12"/>
      <c r="N6674" s="12" t="s">
        <v>269</v>
      </c>
      <c r="O6674" s="9" t="str">
        <f aca="false">HYPERLINK("https://pbs.twimg.com/profile_images/714804098890133504/cUO4gD1A_normal.jpg","View")</f>
        <v>View</v>
      </c>
      <c r="P6674" s="10"/>
    </row>
    <row r="6675" customFormat="false" ht="15.75" hidden="false" customHeight="false" outlineLevel="0" collapsed="false">
      <c r="A6675" s="6" t="n">
        <v>43031.1558680556</v>
      </c>
      <c r="B6675" s="7" t="str">
        <f aca="false">HYPERLINK("https://twitter.com/jwomack","@jwomack")</f>
        <v>@jwomack</v>
      </c>
      <c r="C6675" s="8" t="s">
        <v>15117</v>
      </c>
      <c r="D6675" s="8" t="s">
        <v>12764</v>
      </c>
      <c r="E6675" s="9" t="str">
        <f aca="false">HYPERLINK("https://twitter.com/jwomack/status/922413401690771456","922413401690771456")</f>
        <v>922413401690771456</v>
      </c>
      <c r="F6675" s="10" t="s">
        <v>98</v>
      </c>
      <c r="G6675" s="10" t="n">
        <v>4319</v>
      </c>
      <c r="H6675" s="10" t="n">
        <v>134</v>
      </c>
      <c r="I6675" s="10" t="n">
        <v>170</v>
      </c>
      <c r="J6675" s="10" t="n">
        <v>0</v>
      </c>
      <c r="K6675" s="10" t="s">
        <v>20</v>
      </c>
      <c r="L6675" s="11" t="n">
        <v>39752.2842361111</v>
      </c>
      <c r="M6675" s="12" t="s">
        <v>697</v>
      </c>
      <c r="N6675" s="12" t="s">
        <v>15118</v>
      </c>
      <c r="O6675" s="9" t="str">
        <f aca="false">HYPERLINK("https://pbs.twimg.com/profile_images/870026418373234689/pQHA7VEf_normal.jpg","View")</f>
        <v>View</v>
      </c>
      <c r="P6675" s="10"/>
    </row>
    <row r="6676" customFormat="false" ht="15.75" hidden="false" customHeight="false" outlineLevel="0" collapsed="false">
      <c r="A6676" s="6" t="n">
        <v>43031.1565277778</v>
      </c>
      <c r="B6676" s="7" t="str">
        <f aca="false">HYPERLINK("https://twitter.com/eigo00001","@eigo00001")</f>
        <v>@eigo00001</v>
      </c>
      <c r="C6676" s="8" t="s">
        <v>2981</v>
      </c>
      <c r="D6676" s="14" t="s">
        <v>15119</v>
      </c>
      <c r="E6676" s="9" t="str">
        <f aca="false">HYPERLINK("https://twitter.com/eigo00001/status/922413643353833472","922413643353833472")</f>
        <v>922413643353833472</v>
      </c>
      <c r="F6676" s="10" t="s">
        <v>39</v>
      </c>
      <c r="G6676" s="10" t="n">
        <v>354</v>
      </c>
      <c r="H6676" s="10" t="n">
        <v>869</v>
      </c>
      <c r="I6676" s="10" t="n">
        <v>0</v>
      </c>
      <c r="J6676" s="10" t="n">
        <v>0</v>
      </c>
      <c r="K6676" s="10" t="s">
        <v>20</v>
      </c>
      <c r="L6676" s="11" t="n">
        <v>40765.2395138889</v>
      </c>
      <c r="M6676" s="12" t="s">
        <v>2983</v>
      </c>
      <c r="N6676" s="12" t="s">
        <v>2984</v>
      </c>
      <c r="O6676" s="9" t="str">
        <f aca="false">HYPERLINK("https://pbs.twimg.com/profile_images/912724625158582272/zoZtqV9b_normal.jpg","View")</f>
        <v>View</v>
      </c>
      <c r="P6676" s="10"/>
    </row>
    <row r="6677" customFormat="false" ht="15.75" hidden="false" customHeight="false" outlineLevel="0" collapsed="false">
      <c r="A6677" s="6" t="n">
        <v>43031.1574884259</v>
      </c>
      <c r="B6677" s="7" t="str">
        <f aca="false">HYPERLINK("https://twitter.com/SealamReddy","@SealamReddy")</f>
        <v>@SealamReddy</v>
      </c>
      <c r="C6677" s="8" t="s">
        <v>15120</v>
      </c>
      <c r="D6677" s="8" t="s">
        <v>15121</v>
      </c>
      <c r="E6677" s="9" t="str">
        <f aca="false">HYPERLINK("https://twitter.com/SealamReddy/status/922413989019004929","922413989019004929")</f>
        <v>922413989019004929</v>
      </c>
      <c r="F6677" s="10" t="s">
        <v>39</v>
      </c>
      <c r="G6677" s="10" t="n">
        <v>294</v>
      </c>
      <c r="H6677" s="10" t="n">
        <v>976</v>
      </c>
      <c r="I6677" s="10" t="n">
        <v>0</v>
      </c>
      <c r="J6677" s="10" t="n">
        <v>0</v>
      </c>
      <c r="K6677" s="10" t="s">
        <v>20</v>
      </c>
      <c r="L6677" s="11" t="n">
        <v>41630.4494328704</v>
      </c>
      <c r="M6677" s="12" t="s">
        <v>15122</v>
      </c>
      <c r="N6677" s="12" t="s">
        <v>15123</v>
      </c>
      <c r="O6677" s="9" t="str">
        <f aca="false">HYPERLINK("https://pbs.twimg.com/profile_images/914018694124134400/tEXgvfT0_normal.jpg","View")</f>
        <v>View</v>
      </c>
      <c r="P6677" s="10"/>
    </row>
    <row r="6678" customFormat="false" ht="15.75" hidden="false" customHeight="false" outlineLevel="0" collapsed="false">
      <c r="A6678" s="6" t="n">
        <v>43031.1576388889</v>
      </c>
      <c r="B6678" s="7" t="str">
        <f aca="false">HYPERLINK("https://twitter.com/ritorbandco","@ritorbandco")</f>
        <v>@ritorbandco</v>
      </c>
      <c r="C6678" s="8" t="s">
        <v>15124</v>
      </c>
      <c r="D6678" s="8" t="s">
        <v>8538</v>
      </c>
      <c r="E6678" s="9" t="str">
        <f aca="false">HYPERLINK("https://twitter.com/ritorbandco/status/922414044941762561","922414044941762561")</f>
        <v>922414044941762561</v>
      </c>
      <c r="F6678" s="10" t="s">
        <v>25</v>
      </c>
      <c r="G6678" s="10" t="n">
        <v>127</v>
      </c>
      <c r="H6678" s="10" t="n">
        <v>194</v>
      </c>
      <c r="I6678" s="10" t="n">
        <v>1015</v>
      </c>
      <c r="J6678" s="10" t="n">
        <v>0</v>
      </c>
      <c r="K6678" s="10" t="s">
        <v>20</v>
      </c>
      <c r="L6678" s="11" t="n">
        <v>42335.4950694444</v>
      </c>
      <c r="M6678" s="12" t="s">
        <v>1877</v>
      </c>
      <c r="N6678" s="12" t="s">
        <v>15125</v>
      </c>
      <c r="O6678" s="9" t="str">
        <f aca="false">HYPERLINK("https://pbs.twimg.com/profile_images/670330674377678848/CYaA3tsN_normal.jpg","View")</f>
        <v>View</v>
      </c>
      <c r="P6678" s="10"/>
    </row>
    <row r="6679" customFormat="false" ht="15.75" hidden="false" customHeight="false" outlineLevel="0" collapsed="false">
      <c r="A6679" s="6" t="n">
        <v>43031.1578240741</v>
      </c>
      <c r="B6679" s="7" t="str">
        <f aca="false">HYPERLINK("https://twitter.com/inferiae4542","@inferiae4542")</f>
        <v>@inferiae4542</v>
      </c>
      <c r="C6679" s="8" t="s">
        <v>15126</v>
      </c>
      <c r="D6679" s="8" t="s">
        <v>15127</v>
      </c>
      <c r="E6679" s="9" t="str">
        <f aca="false">HYPERLINK("https://twitter.com/inferiae4542/status/922414110360313856","922414110360313856")</f>
        <v>922414110360313856</v>
      </c>
      <c r="F6679" s="10" t="s">
        <v>39</v>
      </c>
      <c r="G6679" s="10" t="n">
        <v>912</v>
      </c>
      <c r="H6679" s="10" t="n">
        <v>891</v>
      </c>
      <c r="I6679" s="10" t="n">
        <v>0</v>
      </c>
      <c r="J6679" s="10" t="n">
        <v>0</v>
      </c>
      <c r="K6679" s="10" t="s">
        <v>20</v>
      </c>
      <c r="L6679" s="11" t="n">
        <v>39672.1951041667</v>
      </c>
      <c r="M6679" s="12" t="s">
        <v>15128</v>
      </c>
      <c r="N6679" s="12"/>
      <c r="O6679" s="9" t="str">
        <f aca="false">HYPERLINK("https://pbs.twimg.com/profile_images/58111695/beavisphone_normal.jpg","View")</f>
        <v>View</v>
      </c>
      <c r="P6679" s="10"/>
    </row>
    <row r="6680" customFormat="false" ht="15.75" hidden="false" customHeight="false" outlineLevel="0" collapsed="false">
      <c r="A6680" s="6" t="n">
        <v>43031.1583912037</v>
      </c>
      <c r="B6680" s="7" t="str">
        <f aca="false">HYPERLINK("https://twitter.com/OnlySJandTVXQ","@OnlySJandTVXQ")</f>
        <v>@OnlySJandTVXQ</v>
      </c>
      <c r="C6680" s="8" t="s">
        <v>15129</v>
      </c>
      <c r="D6680" s="8" t="s">
        <v>13741</v>
      </c>
      <c r="E6680" s="9" t="str">
        <f aca="false">HYPERLINK("https://twitter.com/OnlySJandTVXQ/status/922414319035285504","922414319035285504")</f>
        <v>922414319035285504</v>
      </c>
      <c r="F6680" s="10" t="s">
        <v>51</v>
      </c>
      <c r="G6680" s="10" t="n">
        <v>119</v>
      </c>
      <c r="H6680" s="10" t="n">
        <v>818</v>
      </c>
      <c r="I6680" s="10" t="n">
        <v>17</v>
      </c>
      <c r="J6680" s="10" t="n">
        <v>0</v>
      </c>
      <c r="K6680" s="10" t="s">
        <v>20</v>
      </c>
      <c r="L6680" s="11" t="n">
        <v>41624.2840162037</v>
      </c>
      <c r="M6680" s="12"/>
      <c r="N6680" s="12" t="s">
        <v>15130</v>
      </c>
      <c r="O6680" s="9" t="str">
        <f aca="false">HYPERLINK("https://pbs.twimg.com/profile_images/802724722664321024/SbBj5qax_normal.jpg","View")</f>
        <v>View</v>
      </c>
      <c r="P6680" s="10"/>
    </row>
    <row r="6681" customFormat="false" ht="15.75" hidden="false" customHeight="false" outlineLevel="0" collapsed="false">
      <c r="A6681" s="6" t="n">
        <v>43031.1584143519</v>
      </c>
      <c r="B6681" s="7" t="str">
        <f aca="false">HYPERLINK("https://twitter.com/ravisgiri","@ravisgiri")</f>
        <v>@ravisgiri</v>
      </c>
      <c r="C6681" s="8" t="s">
        <v>15131</v>
      </c>
      <c r="D6681" s="8" t="s">
        <v>8538</v>
      </c>
      <c r="E6681" s="9" t="str">
        <f aca="false">HYPERLINK("https://twitter.com/ravisgiri/status/922414323741454336","922414323741454336")</f>
        <v>922414323741454336</v>
      </c>
      <c r="F6681" s="10" t="s">
        <v>25</v>
      </c>
      <c r="G6681" s="10" t="n">
        <v>195</v>
      </c>
      <c r="H6681" s="10" t="n">
        <v>267</v>
      </c>
      <c r="I6681" s="10" t="n">
        <v>1015</v>
      </c>
      <c r="J6681" s="10" t="n">
        <v>0</v>
      </c>
      <c r="K6681" s="10" t="s">
        <v>20</v>
      </c>
      <c r="L6681" s="11" t="n">
        <v>40274.0945486111</v>
      </c>
      <c r="M6681" s="12" t="s">
        <v>2340</v>
      </c>
      <c r="N6681" s="12" t="s">
        <v>15132</v>
      </c>
      <c r="O6681" s="9" t="str">
        <f aca="false">HYPERLINK("https://pbs.twimg.com/profile_images/847736270532956161/Ef5JR2J__normal.jpg","View")</f>
        <v>View</v>
      </c>
      <c r="P6681" s="10"/>
    </row>
    <row r="6682" customFormat="false" ht="15.75" hidden="false" customHeight="false" outlineLevel="0" collapsed="false">
      <c r="A6682" s="6" t="n">
        <v>43031.1593981482</v>
      </c>
      <c r="B6682" s="7" t="str">
        <f aca="false">HYPERLINK("https://twitter.com/_dee_tripleDES","@_dee_tripleDES")</f>
        <v>@_dee_tripleDES</v>
      </c>
      <c r="C6682" s="8" t="s">
        <v>15133</v>
      </c>
      <c r="D6682" s="8" t="s">
        <v>14434</v>
      </c>
      <c r="E6682" s="9" t="str">
        <f aca="false">HYPERLINK("https://twitter.com/_dee_tripleDES/status/922414680861110274","922414680861110274")</f>
        <v>922414680861110274</v>
      </c>
      <c r="F6682" s="10" t="s">
        <v>25</v>
      </c>
      <c r="G6682" s="10" t="n">
        <v>461</v>
      </c>
      <c r="H6682" s="10" t="n">
        <v>487</v>
      </c>
      <c r="I6682" s="10" t="n">
        <v>4</v>
      </c>
      <c r="J6682" s="10" t="n">
        <v>0</v>
      </c>
      <c r="K6682" s="10" t="s">
        <v>20</v>
      </c>
      <c r="L6682" s="11" t="n">
        <v>40549.4843865741</v>
      </c>
      <c r="M6682" s="12" t="s">
        <v>15134</v>
      </c>
      <c r="N6682" s="12" t="s">
        <v>15135</v>
      </c>
      <c r="O6682" s="9" t="str">
        <f aca="false">HYPERLINK("https://pbs.twimg.com/profile_images/923170507922464768/RWTEoj3F_normal.jpg","View")</f>
        <v>View</v>
      </c>
      <c r="P6682" s="10"/>
    </row>
    <row r="6683" customFormat="false" ht="15.75" hidden="false" customHeight="false" outlineLevel="0" collapsed="false">
      <c r="A6683" s="6" t="n">
        <v>43031.1597800926</v>
      </c>
      <c r="B6683" s="7" t="str">
        <f aca="false">HYPERLINK("https://twitter.com/SCMP_News","@SCMP_News")</f>
        <v>@SCMP_News</v>
      </c>
      <c r="C6683" s="8" t="s">
        <v>2290</v>
      </c>
      <c r="D6683" s="8" t="s">
        <v>15136</v>
      </c>
      <c r="E6683" s="9" t="str">
        <f aca="false">HYPERLINK("https://twitter.com/SCMP_News/status/922414820372221952","922414820372221952")</f>
        <v>922414820372221952</v>
      </c>
      <c r="F6683" s="10" t="s">
        <v>1167</v>
      </c>
      <c r="G6683" s="10" t="n">
        <v>506530</v>
      </c>
      <c r="H6683" s="10" t="n">
        <v>345</v>
      </c>
      <c r="I6683" s="10" t="n">
        <v>4</v>
      </c>
      <c r="J6683" s="10" t="n">
        <v>5</v>
      </c>
      <c r="K6683" s="10" t="s">
        <v>20</v>
      </c>
      <c r="L6683" s="11" t="n">
        <v>39884.077662037</v>
      </c>
      <c r="M6683" s="12" t="s">
        <v>68</v>
      </c>
      <c r="N6683" s="12" t="s">
        <v>2292</v>
      </c>
      <c r="O6683" s="9" t="str">
        <f aca="false">HYPERLINK("https://pbs.twimg.com/profile_images/593315521707159552/nSAjByJO_normal.png","View")</f>
        <v>View</v>
      </c>
      <c r="P6683" s="10"/>
    </row>
    <row r="6684" customFormat="false" ht="15.75" hidden="false" customHeight="false" outlineLevel="0" collapsed="false">
      <c r="A6684" s="6" t="n">
        <v>43031.1598726852</v>
      </c>
      <c r="B6684" s="7" t="str">
        <f aca="false">HYPERLINK("https://twitter.com/tipi_1","@tipi_1")</f>
        <v>@tipi_1</v>
      </c>
      <c r="C6684" s="8" t="s">
        <v>15137</v>
      </c>
      <c r="D6684" s="8" t="s">
        <v>15138</v>
      </c>
      <c r="E6684" s="9" t="str">
        <f aca="false">HYPERLINK("https://twitter.com/tipi_1/status/922414853196861440","922414853196861440")</f>
        <v>922414853196861440</v>
      </c>
      <c r="F6684" s="10" t="s">
        <v>39</v>
      </c>
      <c r="G6684" s="10" t="n">
        <v>972</v>
      </c>
      <c r="H6684" s="10" t="n">
        <v>2353</v>
      </c>
      <c r="I6684" s="10" t="n">
        <v>1</v>
      </c>
      <c r="J6684" s="10" t="n">
        <v>0</v>
      </c>
      <c r="K6684" s="10" t="s">
        <v>20</v>
      </c>
      <c r="L6684" s="11" t="n">
        <v>39634.5548958333</v>
      </c>
      <c r="M6684" s="12"/>
      <c r="N6684" s="12" t="s">
        <v>15139</v>
      </c>
      <c r="O6684" s="9" t="str">
        <f aca="false">HYPERLINK("https://pbs.twimg.com/profile_images/613819814218465280/UQIC8dHE_normal.jpg","View")</f>
        <v>View</v>
      </c>
      <c r="P6684" s="10"/>
    </row>
    <row r="6685" customFormat="false" ht="15.75" hidden="false" customHeight="false" outlineLevel="0" collapsed="false">
      <c r="A6685" s="6" t="n">
        <v>43031.1602430556</v>
      </c>
      <c r="B6685" s="7" t="str">
        <f aca="false">HYPERLINK("https://twitter.com/MarikaKatanuma","@MarikaKatanuma")</f>
        <v>@MarikaKatanuma</v>
      </c>
      <c r="C6685" s="8" t="s">
        <v>15140</v>
      </c>
      <c r="D6685" s="8" t="s">
        <v>14785</v>
      </c>
      <c r="E6685" s="9" t="str">
        <f aca="false">HYPERLINK("https://twitter.com/MarikaKatanuma/status/922414990308417537","922414990308417537")</f>
        <v>922414990308417537</v>
      </c>
      <c r="F6685" s="10" t="s">
        <v>51</v>
      </c>
      <c r="G6685" s="10" t="n">
        <v>634</v>
      </c>
      <c r="H6685" s="10" t="n">
        <v>773</v>
      </c>
      <c r="I6685" s="10" t="n">
        <v>2</v>
      </c>
      <c r="J6685" s="10" t="n">
        <v>0</v>
      </c>
      <c r="K6685" s="10" t="s">
        <v>20</v>
      </c>
      <c r="L6685" s="11" t="n">
        <v>42137.4047106481</v>
      </c>
      <c r="M6685" s="12" t="s">
        <v>15141</v>
      </c>
      <c r="N6685" s="12" t="s">
        <v>15142</v>
      </c>
      <c r="O6685" s="9" t="str">
        <f aca="false">HYPERLINK("https://pbs.twimg.com/profile_images/883685444445065221/UpZrqq8K_normal.jpg","View")</f>
        <v>View</v>
      </c>
      <c r="P6685" s="10"/>
    </row>
    <row r="6686" customFormat="false" ht="15.75" hidden="false" customHeight="false" outlineLevel="0" collapsed="false">
      <c r="A6686" s="6" t="n">
        <v>43031.1611111111</v>
      </c>
      <c r="B6686" s="7" t="str">
        <f aca="false">HYPERLINK("https://twitter.com/AdeleMFraser","@AdeleMFraser")</f>
        <v>@AdeleMFraser</v>
      </c>
      <c r="C6686" s="8" t="s">
        <v>15143</v>
      </c>
      <c r="D6686" s="8" t="s">
        <v>10225</v>
      </c>
      <c r="E6686" s="9" t="str">
        <f aca="false">HYPERLINK("https://twitter.com/AdeleMFraser/status/922415304902348800","922415304902348800")</f>
        <v>922415304902348800</v>
      </c>
      <c r="F6686" s="10" t="s">
        <v>51</v>
      </c>
      <c r="G6686" s="10" t="n">
        <v>271</v>
      </c>
      <c r="H6686" s="10" t="n">
        <v>555</v>
      </c>
      <c r="I6686" s="10" t="n">
        <v>16</v>
      </c>
      <c r="J6686" s="10" t="n">
        <v>0</v>
      </c>
      <c r="K6686" s="10" t="s">
        <v>20</v>
      </c>
      <c r="L6686" s="11" t="n">
        <v>41300.5802777778</v>
      </c>
      <c r="M6686" s="12" t="s">
        <v>182</v>
      </c>
      <c r="N6686" s="12" t="s">
        <v>15144</v>
      </c>
      <c r="O6686" s="9" t="str">
        <f aca="false">HYPERLINK("https://pbs.twimg.com/profile_images/918179688153075713/8Pfqqavm_normal.jpg","View")</f>
        <v>View</v>
      </c>
      <c r="P6686" s="10"/>
    </row>
    <row r="6687" customFormat="false" ht="15.75" hidden="false" customHeight="false" outlineLevel="0" collapsed="false">
      <c r="A6687" s="6" t="n">
        <v>43031.1616203704</v>
      </c>
      <c r="B6687" s="7" t="str">
        <f aca="false">HYPERLINK("https://twitter.com/mysourcespot","@mysourcespot")</f>
        <v>@mysourcespot</v>
      </c>
      <c r="C6687" s="8" t="s">
        <v>1939</v>
      </c>
      <c r="D6687" s="8" t="s">
        <v>15145</v>
      </c>
      <c r="E6687" s="9" t="str">
        <f aca="false">HYPERLINK("https://twitter.com/mysourcespot/status/922415486985523200","922415486985523200")</f>
        <v>922415486985523200</v>
      </c>
      <c r="F6687" s="9" t="s">
        <v>979</v>
      </c>
      <c r="G6687" s="10" t="n">
        <v>76</v>
      </c>
      <c r="H6687" s="10" t="n">
        <v>784</v>
      </c>
      <c r="I6687" s="10" t="n">
        <v>0</v>
      </c>
      <c r="J6687" s="10" t="n">
        <v>0</v>
      </c>
      <c r="K6687" s="10" t="s">
        <v>20</v>
      </c>
      <c r="L6687" s="11" t="n">
        <v>42766.0634027778</v>
      </c>
      <c r="M6687" s="12"/>
      <c r="N6687" s="12"/>
      <c r="O6687" s="9" t="str">
        <f aca="false">HYPERLINK("https://pbs.twimg.com/profile_images/826363423927713794/FKQplekc_normal.jpg","View")</f>
        <v>View</v>
      </c>
      <c r="P6687" s="10"/>
    </row>
    <row r="6688" customFormat="false" ht="15.75" hidden="false" customHeight="false" outlineLevel="0" collapsed="false">
      <c r="A6688" s="6" t="n">
        <v>43031.1618981482</v>
      </c>
      <c r="B6688" s="7" t="str">
        <f aca="false">HYPERLINK("https://twitter.com/ITJobs_IL","@ITJobs_IL")</f>
        <v>@ITJobs_IL</v>
      </c>
      <c r="C6688" s="8" t="s">
        <v>15146</v>
      </c>
      <c r="D6688" s="8" t="s">
        <v>15147</v>
      </c>
      <c r="E6688" s="9" t="str">
        <f aca="false">HYPERLINK("https://twitter.com/ITJobs_IL/status/922415586893639680","922415586893639680")</f>
        <v>922415586893639680</v>
      </c>
      <c r="F6688" s="9" t="s">
        <v>1147</v>
      </c>
      <c r="G6688" s="10" t="n">
        <v>23</v>
      </c>
      <c r="H6688" s="10" t="n">
        <v>59</v>
      </c>
      <c r="I6688" s="10" t="n">
        <v>0</v>
      </c>
      <c r="J6688" s="10" t="n">
        <v>0</v>
      </c>
      <c r="K6688" s="10" t="s">
        <v>20</v>
      </c>
      <c r="L6688" s="11" t="n">
        <v>42154.4502662037</v>
      </c>
      <c r="M6688" s="12" t="s">
        <v>5461</v>
      </c>
      <c r="N6688" s="12" t="s">
        <v>15148</v>
      </c>
      <c r="O6688" s="9" t="str">
        <f aca="false">HYPERLINK("https://pbs.twimg.com/profile_images/609995916007862272/KZZkFMJ2_normal.jpg","View")</f>
        <v>View</v>
      </c>
      <c r="P6688" s="10"/>
    </row>
    <row r="6689" customFormat="false" ht="15.75" hidden="false" customHeight="false" outlineLevel="0" collapsed="false">
      <c r="A6689" s="6" t="n">
        <v>43031.1620833333</v>
      </c>
      <c r="B6689" s="7" t="str">
        <f aca="false">HYPERLINK("https://twitter.com/AsCorrespondent","@AsCorrespondent")</f>
        <v>@AsCorrespondent</v>
      </c>
      <c r="C6689" s="8" t="s">
        <v>15149</v>
      </c>
      <c r="D6689" s="8" t="s">
        <v>15150</v>
      </c>
      <c r="E6689" s="9" t="str">
        <f aca="false">HYPERLINK("https://twitter.com/AsCorrespondent/status/922415655621500928","922415655621500928")</f>
        <v>922415655621500928</v>
      </c>
      <c r="F6689" s="10" t="s">
        <v>39</v>
      </c>
      <c r="G6689" s="10" t="n">
        <v>63122</v>
      </c>
      <c r="H6689" s="10" t="n">
        <v>3896</v>
      </c>
      <c r="I6689" s="10" t="n">
        <v>1</v>
      </c>
      <c r="J6689" s="10" t="n">
        <v>1</v>
      </c>
      <c r="K6689" s="10" t="s">
        <v>20</v>
      </c>
      <c r="L6689" s="11" t="n">
        <v>40104.374837963</v>
      </c>
      <c r="M6689" s="12" t="s">
        <v>15151</v>
      </c>
      <c r="N6689" s="12" t="s">
        <v>15152</v>
      </c>
      <c r="O6689" s="9" t="str">
        <f aca="false">HYPERLINK("https://pbs.twimg.com/profile_images/890461823325032448/sYzh58oB_normal.jpg","View")</f>
        <v>View</v>
      </c>
      <c r="P6689" s="10"/>
    </row>
    <row r="6690" customFormat="false" ht="15.75" hidden="false" customHeight="false" outlineLevel="0" collapsed="false">
      <c r="A6690" s="6" t="n">
        <v>43031.1620949074</v>
      </c>
      <c r="B6690" s="7" t="str">
        <f aca="false">HYPERLINK("https://twitter.com/ViralSnoop","@ViralSnoop")</f>
        <v>@ViralSnoop</v>
      </c>
      <c r="C6690" s="8" t="s">
        <v>15153</v>
      </c>
      <c r="D6690" s="8" t="s">
        <v>15154</v>
      </c>
      <c r="E6690" s="9" t="str">
        <f aca="false">HYPERLINK("https://twitter.com/ViralSnoop/status/922415660340269057","922415660340269057")</f>
        <v>922415660340269057</v>
      </c>
      <c r="F6690" s="10" t="s">
        <v>15155</v>
      </c>
      <c r="G6690" s="10" t="n">
        <v>163</v>
      </c>
      <c r="H6690" s="10" t="n">
        <v>752</v>
      </c>
      <c r="I6690" s="10" t="n">
        <v>0</v>
      </c>
      <c r="J6690" s="10" t="n">
        <v>0</v>
      </c>
      <c r="K6690" s="10" t="s">
        <v>20</v>
      </c>
      <c r="L6690" s="11" t="n">
        <v>42975.1101273148</v>
      </c>
      <c r="M6690" s="12" t="s">
        <v>15156</v>
      </c>
      <c r="N6690" s="12" t="s">
        <v>15157</v>
      </c>
      <c r="O6690" s="9" t="str">
        <f aca="false">HYPERLINK("https://pbs.twimg.com/profile_images/902104408875569156/ZeRhWt3I_normal.jpg","View")</f>
        <v>View</v>
      </c>
      <c r="P6690" s="10"/>
    </row>
    <row r="6691" customFormat="false" ht="15.75" hidden="false" customHeight="false" outlineLevel="0" collapsed="false">
      <c r="A6691" s="6" t="n">
        <v>43031.1622569444</v>
      </c>
      <c r="B6691" s="7" t="str">
        <f aca="false">HYPERLINK("https://twitter.com/pcanti","@pcanti")</f>
        <v>@pcanti</v>
      </c>
      <c r="C6691" s="8" t="s">
        <v>15158</v>
      </c>
      <c r="D6691" s="8" t="s">
        <v>15088</v>
      </c>
      <c r="E6691" s="9" t="str">
        <f aca="false">HYPERLINK("https://twitter.com/pcanti/status/922415717542117377","922415717542117377")</f>
        <v>922415717542117377</v>
      </c>
      <c r="F6691" s="10" t="s">
        <v>25</v>
      </c>
      <c r="G6691" s="10" t="n">
        <v>53</v>
      </c>
      <c r="H6691" s="10" t="n">
        <v>222</v>
      </c>
      <c r="I6691" s="10" t="n">
        <v>3</v>
      </c>
      <c r="J6691" s="10" t="n">
        <v>0</v>
      </c>
      <c r="K6691" s="10" t="s">
        <v>20</v>
      </c>
      <c r="L6691" s="11" t="n">
        <v>40569.433125</v>
      </c>
      <c r="M6691" s="12" t="s">
        <v>15159</v>
      </c>
      <c r="N6691" s="12"/>
      <c r="O6691" s="9" t="str">
        <f aca="false">HYPERLINK("https://pbs.twimg.com/profile_images/921436925893971969/2iR5MrEl_normal.jpg","View")</f>
        <v>View</v>
      </c>
      <c r="P6691" s="10"/>
    </row>
    <row r="6692" customFormat="false" ht="15.75" hidden="false" customHeight="false" outlineLevel="0" collapsed="false">
      <c r="A6692" s="6" t="n">
        <v>43031.1623726852</v>
      </c>
      <c r="B6692" s="7" t="str">
        <f aca="false">HYPERLINK("https://twitter.com/ClipTrends","@ClipTrends")</f>
        <v>@ClipTrends</v>
      </c>
      <c r="C6692" s="8" t="s">
        <v>2202</v>
      </c>
      <c r="D6692" s="8" t="s">
        <v>15160</v>
      </c>
      <c r="E6692" s="9" t="str">
        <f aca="false">HYPERLINK("https://twitter.com/ClipTrends/status/922415762081439745","922415762081439745")</f>
        <v>922415762081439745</v>
      </c>
      <c r="F6692" s="10" t="s">
        <v>2204</v>
      </c>
      <c r="G6692" s="10" t="n">
        <v>5786</v>
      </c>
      <c r="H6692" s="10" t="n">
        <v>7</v>
      </c>
      <c r="I6692" s="10" t="n">
        <v>0</v>
      </c>
      <c r="J6692" s="10" t="n">
        <v>0</v>
      </c>
      <c r="K6692" s="10" t="s">
        <v>20</v>
      </c>
      <c r="L6692" s="11" t="n">
        <v>42648.3711921296</v>
      </c>
      <c r="M6692" s="12" t="s">
        <v>752</v>
      </c>
      <c r="N6692" s="12" t="s">
        <v>2205</v>
      </c>
      <c r="O6692" s="9" t="str">
        <f aca="false">HYPERLINK("https://pbs.twimg.com/profile_images/784323646235877379/XyiczfNb_normal.jpg","View")</f>
        <v>View</v>
      </c>
      <c r="P6692" s="10"/>
    </row>
    <row r="6693" customFormat="false" ht="15.75" hidden="false" customHeight="false" outlineLevel="0" collapsed="false">
      <c r="A6693" s="6" t="n">
        <v>43031.1630324074</v>
      </c>
      <c r="B6693" s="7" t="str">
        <f aca="false">HYPERLINK("https://twitter.com/1Forest679","@1Forest679")</f>
        <v>@1Forest679</v>
      </c>
      <c r="C6693" s="8" t="s">
        <v>15161</v>
      </c>
      <c r="D6693" s="8" t="s">
        <v>15162</v>
      </c>
      <c r="E6693" s="9" t="str">
        <f aca="false">HYPERLINK("https://twitter.com/1Forest679/status/922415997293752321","922415997293752321")</f>
        <v>922415997293752321</v>
      </c>
      <c r="F6693" s="10" t="s">
        <v>98</v>
      </c>
      <c r="G6693" s="10" t="n">
        <v>47</v>
      </c>
      <c r="H6693" s="10" t="n">
        <v>146</v>
      </c>
      <c r="I6693" s="10" t="n">
        <v>15</v>
      </c>
      <c r="J6693" s="10" t="n">
        <v>0</v>
      </c>
      <c r="K6693" s="10" t="s">
        <v>20</v>
      </c>
      <c r="L6693" s="11" t="n">
        <v>42728.406712963</v>
      </c>
      <c r="M6693" s="12"/>
      <c r="N6693" s="12"/>
      <c r="O6693" s="9" t="str">
        <f aca="false">HYPERLINK("https://abs.twimg.com/sticky/default_profile_images/default_profile_normal.png","View")</f>
        <v>View</v>
      </c>
      <c r="P6693" s="10"/>
    </row>
    <row r="6694" customFormat="false" ht="15.75" hidden="false" customHeight="false" outlineLevel="0" collapsed="false">
      <c r="A6694" s="6" t="n">
        <v>43031.1640393519</v>
      </c>
      <c r="B6694" s="7" t="str">
        <f aca="false">HYPERLINK("https://twitter.com/AdmiralRoadCap","@AdmiralRoadCap")</f>
        <v>@AdmiralRoadCap</v>
      </c>
      <c r="C6694" s="8" t="s">
        <v>15163</v>
      </c>
      <c r="D6694" s="8" t="s">
        <v>15164</v>
      </c>
      <c r="E6694" s="9" t="str">
        <f aca="false">HYPERLINK("https://twitter.com/AdmiralRoadCap/status/922416362751954945","922416362751954945")</f>
        <v>922416362751954945</v>
      </c>
      <c r="F6694" s="10" t="s">
        <v>39</v>
      </c>
      <c r="G6694" s="10" t="n">
        <v>1509</v>
      </c>
      <c r="H6694" s="10" t="n">
        <v>19</v>
      </c>
      <c r="I6694" s="10" t="n">
        <v>0</v>
      </c>
      <c r="J6694" s="10" t="n">
        <v>0</v>
      </c>
      <c r="K6694" s="10" t="s">
        <v>20</v>
      </c>
      <c r="L6694" s="11" t="n">
        <v>41069.7723148148</v>
      </c>
      <c r="M6694" s="12" t="s">
        <v>15165</v>
      </c>
      <c r="N6694" s="12" t="s">
        <v>15166</v>
      </c>
      <c r="O6694" s="9" t="str">
        <f aca="false">HYPERLINK("https://pbs.twimg.com/profile_images/2347175582/pb9d5f8bnd38bbh6v7oq_normal.jpeg","View")</f>
        <v>View</v>
      </c>
      <c r="P6694" s="10"/>
    </row>
    <row r="6695" customFormat="false" ht="15.75" hidden="false" customHeight="false" outlineLevel="0" collapsed="false">
      <c r="A6695" s="6" t="n">
        <v>43031.1655092593</v>
      </c>
      <c r="B6695" s="7" t="str">
        <f aca="false">HYPERLINK("https://twitter.com/masugominikatu","@masugominikatu")</f>
        <v>@masugominikatu</v>
      </c>
      <c r="C6695" s="14" t="s">
        <v>15167</v>
      </c>
      <c r="D6695" s="8" t="s">
        <v>12493</v>
      </c>
      <c r="E6695" s="9" t="str">
        <f aca="false">HYPERLINK("https://twitter.com/masugominikatu/status/922416896229613569","922416896229613569")</f>
        <v>922416896229613569</v>
      </c>
      <c r="F6695" s="10" t="s">
        <v>39</v>
      </c>
      <c r="G6695" s="10" t="n">
        <v>5747</v>
      </c>
      <c r="H6695" s="10" t="n">
        <v>6226</v>
      </c>
      <c r="I6695" s="10" t="n">
        <v>63</v>
      </c>
      <c r="J6695" s="10" t="n">
        <v>0</v>
      </c>
      <c r="K6695" s="10" t="s">
        <v>20</v>
      </c>
      <c r="L6695" s="11" t="n">
        <v>40352.7549305556</v>
      </c>
      <c r="M6695" s="13" t="s">
        <v>152</v>
      </c>
      <c r="N6695" s="13" t="s">
        <v>15168</v>
      </c>
      <c r="O6695" s="9" t="str">
        <f aca="false">HYPERLINK("https://pbs.twimg.com/profile_images/915412094429704193/YluzfUnD_normal.jpg","View")</f>
        <v>View</v>
      </c>
      <c r="P6695" s="10"/>
    </row>
    <row r="6696" customFormat="false" ht="15.75" hidden="false" customHeight="false" outlineLevel="0" collapsed="false">
      <c r="A6696" s="6" t="n">
        <v>43031.1658796296</v>
      </c>
      <c r="B6696" s="7" t="str">
        <f aca="false">HYPERLINK("https://twitter.com/Sumboty","@Sumboty")</f>
        <v>@Sumboty</v>
      </c>
      <c r="C6696" s="8" t="s">
        <v>15169</v>
      </c>
      <c r="D6696" s="8" t="s">
        <v>14466</v>
      </c>
      <c r="E6696" s="9" t="str">
        <f aca="false">HYPERLINK("https://twitter.com/Sumboty/status/922417030619451392","922417030619451392")</f>
        <v>922417030619451392</v>
      </c>
      <c r="F6696" s="10" t="s">
        <v>25</v>
      </c>
      <c r="G6696" s="10" t="n">
        <v>493</v>
      </c>
      <c r="H6696" s="10" t="n">
        <v>343</v>
      </c>
      <c r="I6696" s="10" t="n">
        <v>51</v>
      </c>
      <c r="J6696" s="10" t="n">
        <v>0</v>
      </c>
      <c r="K6696" s="10" t="s">
        <v>20</v>
      </c>
      <c r="L6696" s="11" t="n">
        <v>40801.0244791667</v>
      </c>
      <c r="M6696" s="12" t="s">
        <v>15170</v>
      </c>
      <c r="N6696" s="12" t="s">
        <v>15171</v>
      </c>
      <c r="O6696" s="9" t="str">
        <f aca="false">HYPERLINK("https://pbs.twimg.com/profile_images/604530321292468224/V8CK3xoH_normal.jpg","View")</f>
        <v>View</v>
      </c>
      <c r="P6696" s="10"/>
    </row>
    <row r="6697" customFormat="false" ht="15.75" hidden="false" customHeight="false" outlineLevel="0" collapsed="false">
      <c r="A6697" s="6" t="n">
        <v>43031.1660185185</v>
      </c>
      <c r="B6697" s="7" t="str">
        <f aca="false">HYPERLINK("https://twitter.com/Boston_NC","@Boston_NC")</f>
        <v>@Boston_NC</v>
      </c>
      <c r="C6697" s="8" t="s">
        <v>15172</v>
      </c>
      <c r="D6697" s="8" t="s">
        <v>15173</v>
      </c>
      <c r="E6697" s="9" t="str">
        <f aca="false">HYPERLINK("https://twitter.com/Boston_NC/status/922417079679987712","922417079679987712")</f>
        <v>922417079679987712</v>
      </c>
      <c r="F6697" s="9" t="s">
        <v>1147</v>
      </c>
      <c r="G6697" s="10" t="n">
        <v>283</v>
      </c>
      <c r="H6697" s="10" t="n">
        <v>39</v>
      </c>
      <c r="I6697" s="10" t="n">
        <v>0</v>
      </c>
      <c r="J6697" s="10" t="n">
        <v>0</v>
      </c>
      <c r="K6697" s="10" t="s">
        <v>20</v>
      </c>
      <c r="L6697" s="11" t="n">
        <v>40491.5075578704</v>
      </c>
      <c r="M6697" s="12" t="s">
        <v>1404</v>
      </c>
      <c r="N6697" s="12" t="s">
        <v>15174</v>
      </c>
      <c r="O6697" s="9" t="str">
        <f aca="false">HYPERLINK("https://pbs.twimg.com/profile_images/664529713549807616/WEeu_5gY_normal.jpg","View")</f>
        <v>View</v>
      </c>
      <c r="P6697" s="10"/>
    </row>
    <row r="6698" customFormat="false" ht="15.75" hidden="false" customHeight="false" outlineLevel="0" collapsed="false">
      <c r="A6698" s="6" t="n">
        <v>43031.16625</v>
      </c>
      <c r="B6698" s="7" t="str">
        <f aca="false">HYPERLINK("https://twitter.com/pr5ph4c","@pr5ph4c")</f>
        <v>@pr5ph4c</v>
      </c>
      <c r="C6698" s="8" t="s">
        <v>15175</v>
      </c>
      <c r="D6698" s="8" t="s">
        <v>12764</v>
      </c>
      <c r="E6698" s="9" t="str">
        <f aca="false">HYPERLINK("https://twitter.com/pr5ph4c/status/922417166456164352","922417166456164352")</f>
        <v>922417166456164352</v>
      </c>
      <c r="F6698" s="10" t="s">
        <v>51</v>
      </c>
      <c r="G6698" s="10" t="n">
        <v>533</v>
      </c>
      <c r="H6698" s="10" t="n">
        <v>512</v>
      </c>
      <c r="I6698" s="10" t="n">
        <v>170</v>
      </c>
      <c r="J6698" s="10" t="n">
        <v>0</v>
      </c>
      <c r="K6698" s="10" t="s">
        <v>20</v>
      </c>
      <c r="L6698" s="11" t="n">
        <v>41742.1130555556</v>
      </c>
      <c r="M6698" s="12" t="s">
        <v>15176</v>
      </c>
      <c r="N6698" s="13" t="s">
        <v>15177</v>
      </c>
      <c r="O6698" s="9" t="str">
        <f aca="false">HYPERLINK("https://pbs.twimg.com/profile_images/896010219712634881/_TjbBUU4_normal.jpg","View")</f>
        <v>View</v>
      </c>
      <c r="P6698" s="10"/>
    </row>
    <row r="6699" customFormat="false" ht="15.75" hidden="false" customHeight="false" outlineLevel="0" collapsed="false">
      <c r="A6699" s="6" t="n">
        <v>43031.1670138889</v>
      </c>
      <c r="B6699" s="7" t="str">
        <f aca="false">HYPERLINK("https://twitter.com/RLAM_UK","@RLAM_UK")</f>
        <v>@RLAM_UK</v>
      </c>
      <c r="C6699" s="8" t="s">
        <v>15178</v>
      </c>
      <c r="D6699" s="8" t="s">
        <v>15179</v>
      </c>
      <c r="E6699" s="9" t="str">
        <f aca="false">HYPERLINK("https://twitter.com/RLAM_UK/status/922417442252521472","922417442252521472")</f>
        <v>922417442252521472</v>
      </c>
      <c r="F6699" s="10" t="s">
        <v>110</v>
      </c>
      <c r="G6699" s="10" t="n">
        <v>3325</v>
      </c>
      <c r="H6699" s="10" t="n">
        <v>996</v>
      </c>
      <c r="I6699" s="10" t="n">
        <v>0</v>
      </c>
      <c r="J6699" s="10" t="n">
        <v>0</v>
      </c>
      <c r="K6699" s="10" t="s">
        <v>20</v>
      </c>
      <c r="L6699" s="11" t="n">
        <v>40728.035787037</v>
      </c>
      <c r="M6699" s="12" t="s">
        <v>15180</v>
      </c>
      <c r="N6699" s="12" t="s">
        <v>15181</v>
      </c>
      <c r="O6699" s="9" t="str">
        <f aca="false">HYPERLINK("https://pbs.twimg.com/profile_images/460683638678364160/7oZuc7Mg_normal.jpeg","View")</f>
        <v>View</v>
      </c>
      <c r="P6699" s="10"/>
    </row>
    <row r="6700" customFormat="false" ht="15.75" hidden="false" customHeight="false" outlineLevel="0" collapsed="false">
      <c r="A6700" s="6" t="n">
        <v>43031.1677893519</v>
      </c>
      <c r="B6700" s="7" t="str">
        <f aca="false">HYPERLINK("https://twitter.com/tranhieuz24281","@tranhieuz24281")</f>
        <v>@tranhieuz24281</v>
      </c>
      <c r="C6700" s="8" t="s">
        <v>12495</v>
      </c>
      <c r="D6700" s="8" t="s">
        <v>15182</v>
      </c>
      <c r="E6700" s="9" t="str">
        <f aca="false">HYPERLINK("https://twitter.com/tranhieuz24281/status/922417722734071808","922417722734071808")</f>
        <v>922417722734071808</v>
      </c>
      <c r="F6700" s="10" t="s">
        <v>55</v>
      </c>
      <c r="G6700" s="10" t="n">
        <v>539</v>
      </c>
      <c r="H6700" s="10" t="n">
        <v>4784</v>
      </c>
      <c r="I6700" s="10" t="n">
        <v>0</v>
      </c>
      <c r="J6700" s="10" t="n">
        <v>1</v>
      </c>
      <c r="K6700" s="10" t="s">
        <v>20</v>
      </c>
      <c r="L6700" s="11" t="n">
        <v>42603.3258564815</v>
      </c>
      <c r="M6700" s="12"/>
      <c r="N6700" s="12"/>
      <c r="O6700" s="9" t="str">
        <f aca="false">HYPERLINK("https://pbs.twimg.com/profile_images/782528412304838657/kuTJTdA1_normal.jpg","View")</f>
        <v>View</v>
      </c>
      <c r="P6700" s="10"/>
    </row>
    <row r="6701" customFormat="false" ht="15.75" hidden="false" customHeight="false" outlineLevel="0" collapsed="false">
      <c r="A6701" s="6" t="n">
        <v>43031.1680208333</v>
      </c>
      <c r="B6701" s="7" t="str">
        <f aca="false">HYPERLINK("https://twitter.com/culture_japan","@culture_japan")</f>
        <v>@culture_japan</v>
      </c>
      <c r="C6701" s="8" t="s">
        <v>99</v>
      </c>
      <c r="D6701" s="8" t="s">
        <v>15183</v>
      </c>
      <c r="E6701" s="9" t="str">
        <f aca="false">HYPERLINK("https://twitter.com/culture_japan/status/922417805361844225","922417805361844225")</f>
        <v>922417805361844225</v>
      </c>
      <c r="F6701" s="10" t="s">
        <v>101</v>
      </c>
      <c r="G6701" s="10" t="n">
        <v>214</v>
      </c>
      <c r="H6701" s="10" t="n">
        <v>368</v>
      </c>
      <c r="I6701" s="10" t="n">
        <v>0</v>
      </c>
      <c r="J6701" s="10" t="n">
        <v>0</v>
      </c>
      <c r="K6701" s="10" t="s">
        <v>20</v>
      </c>
      <c r="L6701" s="11" t="n">
        <v>42985.2149189815</v>
      </c>
      <c r="M6701" s="12" t="s">
        <v>102</v>
      </c>
      <c r="N6701" s="12" t="s">
        <v>103</v>
      </c>
      <c r="O6701" s="9" t="str">
        <f aca="false">HYPERLINK("https://pbs.twimg.com/profile_images/905765841622495233/8kPmmi5H_normal.jpg","View")</f>
        <v>View</v>
      </c>
      <c r="P6701" s="10"/>
    </row>
    <row r="6702" customFormat="false" ht="15.75" hidden="false" customHeight="false" outlineLevel="0" collapsed="false">
      <c r="A6702" s="6" t="n">
        <v>43031.1687152778</v>
      </c>
      <c r="B6702" s="7" t="str">
        <f aca="false">HYPERLINK("https://twitter.com/ambadi999","@ambadi999")</f>
        <v>@ambadi999</v>
      </c>
      <c r="C6702" s="8" t="s">
        <v>15184</v>
      </c>
      <c r="D6702" s="8" t="s">
        <v>8538</v>
      </c>
      <c r="E6702" s="9" t="str">
        <f aca="false">HYPERLINK("https://twitter.com/ambadi999/status/922418056994967554","922418056994967554")</f>
        <v>922418056994967554</v>
      </c>
      <c r="F6702" s="10" t="s">
        <v>39</v>
      </c>
      <c r="G6702" s="10" t="n">
        <v>27</v>
      </c>
      <c r="H6702" s="10" t="n">
        <v>301</v>
      </c>
      <c r="I6702" s="10" t="n">
        <v>1015</v>
      </c>
      <c r="J6702" s="10" t="n">
        <v>0</v>
      </c>
      <c r="K6702" s="10" t="s">
        <v>20</v>
      </c>
      <c r="L6702" s="11" t="n">
        <v>40972.9126273148</v>
      </c>
      <c r="M6702" s="12"/>
      <c r="N6702" s="12"/>
      <c r="O6702" s="9" t="str">
        <f aca="false">HYPERLINK("https://abs.twimg.com/sticky/default_profile_images/default_profile_normal.png","View")</f>
        <v>View</v>
      </c>
      <c r="P6702" s="10"/>
    </row>
    <row r="6703" customFormat="false" ht="15.75" hidden="false" customHeight="false" outlineLevel="0" collapsed="false">
      <c r="A6703" s="6" t="n">
        <v>43031.1698263889</v>
      </c>
      <c r="B6703" s="7" t="str">
        <f aca="false">HYPERLINK("https://twitter.com/nimrodog","@nimrodog")</f>
        <v>@nimrodog</v>
      </c>
      <c r="C6703" s="8" t="s">
        <v>15185</v>
      </c>
      <c r="D6703" s="8" t="s">
        <v>13114</v>
      </c>
      <c r="E6703" s="9" t="str">
        <f aca="false">HYPERLINK("https://twitter.com/nimrodog/status/922418462106050560","922418462106050560")</f>
        <v>922418462106050560</v>
      </c>
      <c r="F6703" s="10" t="s">
        <v>98</v>
      </c>
      <c r="G6703" s="10" t="n">
        <v>58</v>
      </c>
      <c r="H6703" s="10" t="n">
        <v>155</v>
      </c>
      <c r="I6703" s="10" t="n">
        <v>19</v>
      </c>
      <c r="J6703" s="10" t="n">
        <v>0</v>
      </c>
      <c r="K6703" s="10" t="s">
        <v>20</v>
      </c>
      <c r="L6703" s="11" t="n">
        <v>42096.7073611111</v>
      </c>
      <c r="M6703" s="12"/>
      <c r="N6703" s="12" t="s">
        <v>15186</v>
      </c>
      <c r="O6703" s="9" t="str">
        <f aca="false">HYPERLINK("https://abs.twimg.com/sticky/default_profile_images/default_profile_normal.png","View")</f>
        <v>View</v>
      </c>
      <c r="P6703" s="10"/>
    </row>
    <row r="6704" customFormat="false" ht="15.75" hidden="false" customHeight="false" outlineLevel="0" collapsed="false">
      <c r="A6704" s="6" t="n">
        <v>43031.1700925926</v>
      </c>
      <c r="B6704" s="7" t="str">
        <f aca="false">HYPERLINK("https://twitter.com/srilalgudi","@srilalgudi")</f>
        <v>@srilalgudi</v>
      </c>
      <c r="C6704" s="8" t="s">
        <v>15187</v>
      </c>
      <c r="D6704" s="8" t="s">
        <v>8538</v>
      </c>
      <c r="E6704" s="9" t="str">
        <f aca="false">HYPERLINK("https://twitter.com/srilalgudi/status/922418559292022795","922418559292022795")</f>
        <v>922418559292022795</v>
      </c>
      <c r="F6704" s="10" t="s">
        <v>25</v>
      </c>
      <c r="G6704" s="10" t="n">
        <v>293</v>
      </c>
      <c r="H6704" s="10" t="n">
        <v>1125</v>
      </c>
      <c r="I6704" s="10" t="n">
        <v>1015</v>
      </c>
      <c r="J6704" s="10" t="n">
        <v>0</v>
      </c>
      <c r="K6704" s="10" t="s">
        <v>20</v>
      </c>
      <c r="L6704" s="11" t="n">
        <v>40018.2452546296</v>
      </c>
      <c r="M6704" s="12"/>
      <c r="N6704" s="12" t="s">
        <v>15188</v>
      </c>
      <c r="O6704" s="9" t="str">
        <f aca="false">HYPERLINK("https://pbs.twimg.com/profile_images/711112043978366976/_8YJC-dq_normal.jpg","View")</f>
        <v>View</v>
      </c>
      <c r="P6704" s="10"/>
    </row>
    <row r="6705" customFormat="false" ht="15.75" hidden="false" customHeight="false" outlineLevel="0" collapsed="false">
      <c r="A6705" s="6" t="n">
        <v>43031.1710763889</v>
      </c>
      <c r="B6705" s="7" t="str">
        <f aca="false">HYPERLINK("https://twitter.com/balicv19","@balicv19")</f>
        <v>@balicv19</v>
      </c>
      <c r="C6705" s="8" t="s">
        <v>15189</v>
      </c>
      <c r="D6705" s="8" t="s">
        <v>12764</v>
      </c>
      <c r="E6705" s="9" t="str">
        <f aca="false">HYPERLINK("https://twitter.com/balicv19/status/922418915946397697","922418915946397697")</f>
        <v>922418915946397697</v>
      </c>
      <c r="F6705" s="10" t="s">
        <v>25</v>
      </c>
      <c r="G6705" s="10" t="n">
        <v>110</v>
      </c>
      <c r="H6705" s="10" t="n">
        <v>271</v>
      </c>
      <c r="I6705" s="10" t="n">
        <v>170</v>
      </c>
      <c r="J6705" s="10" t="n">
        <v>0</v>
      </c>
      <c r="K6705" s="10" t="s">
        <v>20</v>
      </c>
      <c r="L6705" s="11" t="n">
        <v>42576.8441550926</v>
      </c>
      <c r="M6705" s="12"/>
      <c r="N6705" s="12"/>
      <c r="O6705" s="9" t="str">
        <f aca="false">HYPERLINK("https://abs.twimg.com/sticky/default_profile_images/default_profile_normal.png","View")</f>
        <v>View</v>
      </c>
      <c r="P6705" s="10"/>
    </row>
    <row r="6706" customFormat="false" ht="15.75" hidden="false" customHeight="false" outlineLevel="0" collapsed="false">
      <c r="A6706" s="6" t="n">
        <v>43031.1725810185</v>
      </c>
      <c r="B6706" s="7" t="str">
        <f aca="false">HYPERLINK("https://twitter.com/DTSutton","@DTSutton")</f>
        <v>@DTSutton</v>
      </c>
      <c r="C6706" s="8" t="s">
        <v>15190</v>
      </c>
      <c r="D6706" s="8" t="s">
        <v>15191</v>
      </c>
      <c r="E6706" s="9" t="str">
        <f aca="false">HYPERLINK("https://twitter.com/DTSutton/status/922419457363935233","922419457363935233")</f>
        <v>922419457363935233</v>
      </c>
      <c r="F6706" s="10" t="s">
        <v>39</v>
      </c>
      <c r="G6706" s="10" t="n">
        <v>147</v>
      </c>
      <c r="H6706" s="10" t="n">
        <v>193</v>
      </c>
      <c r="I6706" s="10" t="n">
        <v>0</v>
      </c>
      <c r="J6706" s="10" t="n">
        <v>0</v>
      </c>
      <c r="K6706" s="10" t="s">
        <v>20</v>
      </c>
      <c r="L6706" s="11" t="n">
        <v>40631.7650810185</v>
      </c>
      <c r="M6706" s="12" t="s">
        <v>12211</v>
      </c>
      <c r="N6706" s="12" t="s">
        <v>15192</v>
      </c>
      <c r="O6706" s="9" t="str">
        <f aca="false">HYPERLINK("https://pbs.twimg.com/profile_images/1537250551/Picture_1_normal.jpg","View")</f>
        <v>View</v>
      </c>
      <c r="P6706" s="10"/>
    </row>
    <row r="6707" customFormat="false" ht="15.75" hidden="false" customHeight="false" outlineLevel="0" collapsed="false">
      <c r="A6707" s="6" t="n">
        <v>43031.1732407407</v>
      </c>
      <c r="B6707" s="7" t="str">
        <f aca="false">HYPERLINK("https://twitter.com/cpraghav","@cpraghav")</f>
        <v>@cpraghav</v>
      </c>
      <c r="C6707" s="8" t="s">
        <v>15193</v>
      </c>
      <c r="D6707" s="8" t="s">
        <v>8538</v>
      </c>
      <c r="E6707" s="9" t="str">
        <f aca="false">HYPERLINK("https://twitter.com/cpraghav/status/922419697131200513","922419697131200513")</f>
        <v>922419697131200513</v>
      </c>
      <c r="F6707" s="10" t="s">
        <v>25</v>
      </c>
      <c r="G6707" s="10" t="n">
        <v>1010</v>
      </c>
      <c r="H6707" s="10" t="n">
        <v>289</v>
      </c>
      <c r="I6707" s="10" t="n">
        <v>1015</v>
      </c>
      <c r="J6707" s="10" t="n">
        <v>0</v>
      </c>
      <c r="K6707" s="10" t="s">
        <v>20</v>
      </c>
      <c r="L6707" s="11" t="n">
        <v>40177.8462037037</v>
      </c>
      <c r="M6707" s="12" t="s">
        <v>15194</v>
      </c>
      <c r="N6707" s="12" t="s">
        <v>15195</v>
      </c>
      <c r="O6707" s="9" t="str">
        <f aca="false">HYPERLINK("https://pbs.twimg.com/profile_images/920842012156235777/99_L1KgR_normal.jpg","View")</f>
        <v>View</v>
      </c>
      <c r="P6707" s="10"/>
    </row>
    <row r="6708" customFormat="false" ht="15.75" hidden="false" customHeight="false" outlineLevel="0" collapsed="false">
      <c r="A6708" s="6" t="n">
        <v>43031.1734722222</v>
      </c>
      <c r="B6708" s="7" t="str">
        <f aca="false">HYPERLINK("https://twitter.com/thekortimes","@thekortimes")</f>
        <v>@thekortimes</v>
      </c>
      <c r="C6708" s="8" t="s">
        <v>15196</v>
      </c>
      <c r="D6708" s="8" t="s">
        <v>15197</v>
      </c>
      <c r="E6708" s="9" t="str">
        <f aca="false">HYPERLINK("https://twitter.com/thekortimes/status/922419783110336513","922419783110336513")</f>
        <v>922419783110336513</v>
      </c>
      <c r="F6708" s="10" t="s">
        <v>47</v>
      </c>
      <c r="G6708" s="10" t="n">
        <v>8081</v>
      </c>
      <c r="H6708" s="10" t="n">
        <v>1873</v>
      </c>
      <c r="I6708" s="10" t="n">
        <v>0</v>
      </c>
      <c r="J6708" s="10" t="n">
        <v>3</v>
      </c>
      <c r="K6708" s="10" t="s">
        <v>20</v>
      </c>
      <c r="L6708" s="11" t="n">
        <v>41011.9664467593</v>
      </c>
      <c r="M6708" s="12" t="s">
        <v>2928</v>
      </c>
      <c r="N6708" s="13" t="s">
        <v>15198</v>
      </c>
      <c r="O6708" s="9" t="str">
        <f aca="false">HYPERLINK("https://pbs.twimg.com/profile_images/583517579479646209/mmsicd2E_normal.png","View")</f>
        <v>View</v>
      </c>
      <c r="P6708" s="10"/>
    </row>
    <row r="6709" customFormat="false" ht="15.75" hidden="false" customHeight="false" outlineLevel="0" collapsed="false">
      <c r="A6709" s="6" t="n">
        <v>43031.1761342593</v>
      </c>
      <c r="B6709" s="7" t="str">
        <f aca="false">HYPERLINK("https://twitter.com/arjun_ondkar","@arjun_ondkar")</f>
        <v>@arjun_ondkar</v>
      </c>
      <c r="C6709" s="8" t="s">
        <v>15199</v>
      </c>
      <c r="D6709" s="8" t="s">
        <v>8538</v>
      </c>
      <c r="E6709" s="9" t="str">
        <f aca="false">HYPERLINK("https://twitter.com/arjun_ondkar/status/922420748576178176","922420748576178176")</f>
        <v>922420748576178176</v>
      </c>
      <c r="F6709" s="10" t="s">
        <v>51</v>
      </c>
      <c r="G6709" s="10" t="n">
        <v>243</v>
      </c>
      <c r="H6709" s="10" t="n">
        <v>350</v>
      </c>
      <c r="I6709" s="10" t="n">
        <v>1015</v>
      </c>
      <c r="J6709" s="10" t="n">
        <v>0</v>
      </c>
      <c r="K6709" s="10" t="s">
        <v>20</v>
      </c>
      <c r="L6709" s="11" t="n">
        <v>40294.3075694444</v>
      </c>
      <c r="M6709" s="12" t="s">
        <v>4400</v>
      </c>
      <c r="N6709" s="12" t="s">
        <v>15200</v>
      </c>
      <c r="O6709" s="9" t="str">
        <f aca="false">HYPERLINK("https://pbs.twimg.com/profile_images/689683076574789632/E072HrWH_normal.jpg","View")</f>
        <v>View</v>
      </c>
      <c r="P6709" s="10"/>
    </row>
    <row r="6710" customFormat="false" ht="15.75" hidden="false" customHeight="false" outlineLevel="0" collapsed="false">
      <c r="A6710" s="6" t="n">
        <v>43031.1761921296</v>
      </c>
      <c r="B6710" s="7" t="str">
        <f aca="false">HYPERLINK("https://twitter.com/UKMoments","@UKMoments")</f>
        <v>@UKMoments</v>
      </c>
      <c r="C6710" s="8" t="s">
        <v>15201</v>
      </c>
      <c r="D6710" s="8" t="s">
        <v>15162</v>
      </c>
      <c r="E6710" s="9" t="str">
        <f aca="false">HYPERLINK("https://twitter.com/UKMoments/status/922420767618461697","922420767618461697")</f>
        <v>922420767618461697</v>
      </c>
      <c r="F6710" s="10" t="s">
        <v>276</v>
      </c>
      <c r="G6710" s="10" t="n">
        <v>44926</v>
      </c>
      <c r="H6710" s="10" t="n">
        <v>165</v>
      </c>
      <c r="I6710" s="10" t="n">
        <v>15</v>
      </c>
      <c r="J6710" s="10" t="n">
        <v>0</v>
      </c>
      <c r="K6710" s="10" t="s">
        <v>20</v>
      </c>
      <c r="L6710" s="11" t="n">
        <v>41656.3113657407</v>
      </c>
      <c r="M6710" s="12" t="s">
        <v>182</v>
      </c>
      <c r="N6710" s="12" t="s">
        <v>15202</v>
      </c>
      <c r="O6710" s="9" t="str">
        <f aca="false">HYPERLINK("https://pbs.twimg.com/profile_images/826180910974377984/c5YMMdP5_normal.jpg","View")</f>
        <v>View</v>
      </c>
      <c r="P6710" s="10"/>
    </row>
    <row r="6711" customFormat="false" ht="15.75" hidden="false" customHeight="false" outlineLevel="0" collapsed="false">
      <c r="A6711" s="6" t="n">
        <v>43031.1762615741</v>
      </c>
      <c r="B6711" s="7" t="str">
        <f aca="false">HYPERLINK("https://twitter.com/MomentsAU","@MomentsAU")</f>
        <v>@MomentsAU</v>
      </c>
      <c r="C6711" s="8" t="s">
        <v>15203</v>
      </c>
      <c r="D6711" s="8" t="s">
        <v>15162</v>
      </c>
      <c r="E6711" s="9" t="str">
        <f aca="false">HYPERLINK("https://twitter.com/MomentsAU/status/922420792754868224","922420792754868224")</f>
        <v>922420792754868224</v>
      </c>
      <c r="F6711" s="10" t="s">
        <v>276</v>
      </c>
      <c r="G6711" s="10" t="n">
        <v>18182</v>
      </c>
      <c r="H6711" s="10" t="n">
        <v>88</v>
      </c>
      <c r="I6711" s="10" t="n">
        <v>15</v>
      </c>
      <c r="J6711" s="10" t="n">
        <v>0</v>
      </c>
      <c r="K6711" s="10" t="s">
        <v>20</v>
      </c>
      <c r="L6711" s="11" t="n">
        <v>42355.5836574074</v>
      </c>
      <c r="M6711" s="12" t="s">
        <v>2806</v>
      </c>
      <c r="N6711" s="12" t="s">
        <v>15202</v>
      </c>
      <c r="O6711" s="9" t="str">
        <f aca="false">HYPERLINK("https://pbs.twimg.com/profile_images/704652161800470528/7I0UUk98_normal.jpg","View")</f>
        <v>View</v>
      </c>
      <c r="P6711" s="10"/>
    </row>
    <row r="6712" customFormat="false" ht="15.75" hidden="false" customHeight="false" outlineLevel="0" collapsed="false">
      <c r="A6712" s="6" t="n">
        <v>43031.1762615741</v>
      </c>
      <c r="B6712" s="7" t="str">
        <f aca="false">HYPERLINK("https://twitter.com/TwitterMoments","@TwitterMoments")</f>
        <v>@TwitterMoments</v>
      </c>
      <c r="C6712" s="8" t="s">
        <v>15204</v>
      </c>
      <c r="D6712" s="8" t="s">
        <v>15162</v>
      </c>
      <c r="E6712" s="9" t="str">
        <f aca="false">HYPERLINK("https://twitter.com/TwitterMoments/status/922420792754954240","922420792754954240")</f>
        <v>922420792754954240</v>
      </c>
      <c r="F6712" s="10" t="s">
        <v>276</v>
      </c>
      <c r="G6712" s="10" t="n">
        <v>500187</v>
      </c>
      <c r="H6712" s="10" t="n">
        <v>10</v>
      </c>
      <c r="I6712" s="10" t="n">
        <v>15</v>
      </c>
      <c r="J6712" s="10" t="n">
        <v>0</v>
      </c>
      <c r="K6712" s="10" t="s">
        <v>20</v>
      </c>
      <c r="L6712" s="11" t="n">
        <v>42184.754849537</v>
      </c>
      <c r="M6712" s="12" t="s">
        <v>312</v>
      </c>
      <c r="N6712" s="12" t="s">
        <v>15202</v>
      </c>
      <c r="O6712" s="9" t="str">
        <f aca="false">HYPERLINK("https://pbs.twimg.com/profile_images/651463624330907648/OzaAcuSR_normal.png","View")</f>
        <v>View</v>
      </c>
      <c r="P6712" s="10"/>
    </row>
    <row r="6713" customFormat="false" ht="15.75" hidden="false" customHeight="false" outlineLevel="0" collapsed="false">
      <c r="A6713" s="6" t="n">
        <v>43031.1762615741</v>
      </c>
      <c r="B6713" s="7" t="str">
        <f aca="false">HYPERLINK("https://twitter.com/CanadaMoments","@CanadaMoments")</f>
        <v>@CanadaMoments</v>
      </c>
      <c r="C6713" s="8" t="s">
        <v>15205</v>
      </c>
      <c r="D6713" s="8" t="s">
        <v>15162</v>
      </c>
      <c r="E6713" s="9" t="str">
        <f aca="false">HYPERLINK("https://twitter.com/CanadaMoments/status/922420792868163585","922420792868163585")</f>
        <v>922420792868163585</v>
      </c>
      <c r="F6713" s="10" t="s">
        <v>276</v>
      </c>
      <c r="G6713" s="10" t="n">
        <v>31469</v>
      </c>
      <c r="H6713" s="10" t="n">
        <v>11</v>
      </c>
      <c r="I6713" s="10" t="n">
        <v>15</v>
      </c>
      <c r="J6713" s="10" t="n">
        <v>0</v>
      </c>
      <c r="K6713" s="10" t="s">
        <v>20</v>
      </c>
      <c r="L6713" s="11" t="n">
        <v>42289.6300925926</v>
      </c>
      <c r="M6713" s="12" t="s">
        <v>21</v>
      </c>
      <c r="N6713" s="12" t="s">
        <v>15202</v>
      </c>
      <c r="O6713" s="9" t="str">
        <f aca="false">HYPERLINK("https://pbs.twimg.com/profile_images/715225650156716033/PDBxLv_l_normal.jpg","View")</f>
        <v>View</v>
      </c>
      <c r="P6713" s="10"/>
    </row>
    <row r="6714" customFormat="false" ht="15.75" hidden="false" customHeight="false" outlineLevel="0" collapsed="false">
      <c r="A6714" s="6" t="n">
        <v>43031.1768402778</v>
      </c>
      <c r="B6714" s="7" t="str">
        <f aca="false">HYPERLINK("https://twitter.com/arunk5feb","@arunk5feb")</f>
        <v>@arunk5feb</v>
      </c>
      <c r="C6714" s="8" t="s">
        <v>15206</v>
      </c>
      <c r="D6714" s="8" t="s">
        <v>8538</v>
      </c>
      <c r="E6714" s="9" t="str">
        <f aca="false">HYPERLINK("https://twitter.com/arunk5feb/status/922421004508438528","922421004508438528")</f>
        <v>922421004508438528</v>
      </c>
      <c r="F6714" s="10" t="s">
        <v>25</v>
      </c>
      <c r="G6714" s="10" t="n">
        <v>1297</v>
      </c>
      <c r="H6714" s="10" t="n">
        <v>2462</v>
      </c>
      <c r="I6714" s="10" t="n">
        <v>1015</v>
      </c>
      <c r="J6714" s="10" t="n">
        <v>0</v>
      </c>
      <c r="K6714" s="10" t="s">
        <v>20</v>
      </c>
      <c r="L6714" s="11" t="n">
        <v>41544.4725810185</v>
      </c>
      <c r="M6714" s="12" t="s">
        <v>15207</v>
      </c>
      <c r="N6714" s="12" t="s">
        <v>15208</v>
      </c>
      <c r="O6714" s="9" t="str">
        <f aca="false">HYPERLINK("https://pbs.twimg.com/profile_images/921058933552291840/8duYHJB0_normal.jpg","View")</f>
        <v>View</v>
      </c>
      <c r="P6714" s="10"/>
    </row>
    <row r="6715" customFormat="false" ht="15.75" hidden="false" customHeight="false" outlineLevel="0" collapsed="false">
      <c r="A6715" s="6" t="n">
        <v>43031.1769791667</v>
      </c>
      <c r="B6715" s="7" t="str">
        <f aca="false">HYPERLINK("https://twitter.com/spookyscary666","@spookyscary666")</f>
        <v>@spookyscary666</v>
      </c>
      <c r="C6715" s="8" t="s">
        <v>15209</v>
      </c>
      <c r="D6715" s="8" t="s">
        <v>8538</v>
      </c>
      <c r="E6715" s="9" t="str">
        <f aca="false">HYPERLINK("https://twitter.com/spookyscary666/status/922421051341942784","922421051341942784")</f>
        <v>922421051341942784</v>
      </c>
      <c r="F6715" s="10" t="s">
        <v>25</v>
      </c>
      <c r="G6715" s="10" t="n">
        <v>439</v>
      </c>
      <c r="H6715" s="10" t="n">
        <v>1045</v>
      </c>
      <c r="I6715" s="10" t="n">
        <v>1015</v>
      </c>
      <c r="J6715" s="10" t="n">
        <v>0</v>
      </c>
      <c r="K6715" s="10" t="s">
        <v>20</v>
      </c>
      <c r="L6715" s="11" t="n">
        <v>42139.5850462963</v>
      </c>
      <c r="M6715" s="12"/>
      <c r="N6715" s="12"/>
      <c r="O6715" s="9" t="str">
        <f aca="false">HYPERLINK("https://pbs.twimg.com/profile_images/922698604418015232/LshSnl_z_normal.jpg","View")</f>
        <v>View</v>
      </c>
      <c r="P6715" s="10"/>
    </row>
    <row r="6716" customFormat="false" ht="15.75" hidden="false" customHeight="false" outlineLevel="0" collapsed="false">
      <c r="A6716" s="6" t="n">
        <v>43031.1771296296</v>
      </c>
      <c r="B6716" s="7" t="str">
        <f aca="false">HYPERLINK("https://twitter.com/Kero_417","@Kero_417")</f>
        <v>@Kero_417</v>
      </c>
      <c r="C6716" s="8" t="s">
        <v>10734</v>
      </c>
      <c r="D6716" s="8" t="s">
        <v>12493</v>
      </c>
      <c r="E6716" s="9" t="str">
        <f aca="false">HYPERLINK("https://twitter.com/Kero_417/status/922421109542199296","922421109542199296")</f>
        <v>922421109542199296</v>
      </c>
      <c r="F6716" s="10" t="s">
        <v>51</v>
      </c>
      <c r="G6716" s="10" t="n">
        <v>122</v>
      </c>
      <c r="H6716" s="10" t="n">
        <v>304</v>
      </c>
      <c r="I6716" s="10" t="n">
        <v>63</v>
      </c>
      <c r="J6716" s="10" t="n">
        <v>0</v>
      </c>
      <c r="K6716" s="10" t="s">
        <v>20</v>
      </c>
      <c r="L6716" s="11" t="n">
        <v>42526.4036805556</v>
      </c>
      <c r="M6716" s="12"/>
      <c r="N6716" s="12" t="s">
        <v>10735</v>
      </c>
      <c r="O6716" s="9" t="str">
        <f aca="false">HYPERLINK("https://pbs.twimg.com/profile_images/841318962562457601/1Hno5ttB_normal.jpg","View")</f>
        <v>View</v>
      </c>
      <c r="P6716" s="10"/>
    </row>
    <row r="6717" customFormat="false" ht="15.75" hidden="false" customHeight="false" outlineLevel="0" collapsed="false">
      <c r="A6717" s="6" t="n">
        <v>43031.1793055556</v>
      </c>
      <c r="B6717" s="7" t="str">
        <f aca="false">HYPERLINK("https://twitter.com/xbelbar","@xbelbar")</f>
        <v>@xbelbar</v>
      </c>
      <c r="C6717" s="8" t="s">
        <v>15210</v>
      </c>
      <c r="D6717" s="8" t="s">
        <v>15211</v>
      </c>
      <c r="E6717" s="9" t="str">
        <f aca="false">HYPERLINK("https://twitter.com/xbelbar/status/922421896884510721","922421896884510721")</f>
        <v>922421896884510721</v>
      </c>
      <c r="F6717" s="10" t="s">
        <v>25</v>
      </c>
      <c r="G6717" s="10" t="n">
        <v>1100</v>
      </c>
      <c r="H6717" s="10" t="n">
        <v>2107</v>
      </c>
      <c r="I6717" s="10" t="n">
        <v>0</v>
      </c>
      <c r="J6717" s="10" t="n">
        <v>0</v>
      </c>
      <c r="K6717" s="10" t="s">
        <v>20</v>
      </c>
      <c r="L6717" s="11" t="n">
        <v>40657.273912037</v>
      </c>
      <c r="M6717" s="13" t="s">
        <v>11269</v>
      </c>
      <c r="N6717" s="12" t="s">
        <v>15212</v>
      </c>
      <c r="O6717" s="9" t="str">
        <f aca="false">HYPERLINK("https://pbs.twimg.com/profile_images/484989127310311425/Zp1_S2-5_normal.jpeg","View")</f>
        <v>View</v>
      </c>
      <c r="P6717" s="10"/>
    </row>
    <row r="6718" customFormat="false" ht="15.75" hidden="false" customHeight="false" outlineLevel="0" collapsed="false">
      <c r="A6718" s="6" t="n">
        <v>43031.1794791667</v>
      </c>
      <c r="B6718" s="7" t="str">
        <f aca="false">HYPERLINK("https://twitter.com/jsknikhilesh","@jsknikhilesh")</f>
        <v>@jsknikhilesh</v>
      </c>
      <c r="C6718" s="8" t="s">
        <v>15213</v>
      </c>
      <c r="D6718" s="8" t="s">
        <v>8538</v>
      </c>
      <c r="E6718" s="9" t="str">
        <f aca="false">HYPERLINK("https://twitter.com/jsknikhilesh/status/922421961212551168","922421961212551168")</f>
        <v>922421961212551168</v>
      </c>
      <c r="F6718" s="10" t="s">
        <v>25</v>
      </c>
      <c r="G6718" s="10" t="n">
        <v>151</v>
      </c>
      <c r="H6718" s="10" t="n">
        <v>407</v>
      </c>
      <c r="I6718" s="10" t="n">
        <v>1015</v>
      </c>
      <c r="J6718" s="10" t="n">
        <v>0</v>
      </c>
      <c r="K6718" s="10" t="s">
        <v>20</v>
      </c>
      <c r="L6718" s="11" t="n">
        <v>41733.5815972222</v>
      </c>
      <c r="M6718" s="12" t="s">
        <v>15214</v>
      </c>
      <c r="N6718" s="12" t="s">
        <v>15215</v>
      </c>
      <c r="O6718" s="9" t="str">
        <f aca="false">HYPERLINK("https://pbs.twimg.com/profile_images/452487173573705728/_z36yowx_normal.jpeg","View")</f>
        <v>View</v>
      </c>
      <c r="P6718" s="10"/>
    </row>
    <row r="6719" customFormat="false" ht="15.75" hidden="false" customHeight="false" outlineLevel="0" collapsed="false">
      <c r="A6719" s="6" t="n">
        <v>43031.1802546296</v>
      </c>
      <c r="B6719" s="7" t="str">
        <f aca="false">HYPERLINK("https://twitter.com/Bambambic","@Bambambic")</f>
        <v>@Bambambic</v>
      </c>
      <c r="C6719" s="8" t="s">
        <v>15216</v>
      </c>
      <c r="D6719" s="8" t="s">
        <v>15217</v>
      </c>
      <c r="E6719" s="9" t="str">
        <f aca="false">HYPERLINK("https://twitter.com/Bambambic/status/922422239080931328","922422239080931328")</f>
        <v>922422239080931328</v>
      </c>
      <c r="F6719" s="10" t="s">
        <v>25</v>
      </c>
      <c r="G6719" s="10" t="n">
        <v>382</v>
      </c>
      <c r="H6719" s="10" t="n">
        <v>968</v>
      </c>
      <c r="I6719" s="10" t="n">
        <v>1</v>
      </c>
      <c r="J6719" s="10" t="n">
        <v>0</v>
      </c>
      <c r="K6719" s="10" t="s">
        <v>20</v>
      </c>
      <c r="L6719" s="11" t="n">
        <v>39940.652962963</v>
      </c>
      <c r="M6719" s="12" t="s">
        <v>15218</v>
      </c>
      <c r="N6719" s="12" t="s">
        <v>15219</v>
      </c>
      <c r="O6719" s="9" t="str">
        <f aca="false">HYPERLINK("https://pbs.twimg.com/profile_images/909043701749559297/hrlO0uxg_normal.jpg","View")</f>
        <v>View</v>
      </c>
      <c r="P6719" s="10"/>
    </row>
    <row r="6720" customFormat="false" ht="15.75" hidden="false" customHeight="false" outlineLevel="0" collapsed="false">
      <c r="A6720" s="6" t="n">
        <v>43031.1805555556</v>
      </c>
      <c r="B6720" s="7" t="str">
        <f aca="false">HYPERLINK("https://twitter.com/Turfline","@Turfline")</f>
        <v>@Turfline</v>
      </c>
      <c r="C6720" s="8" t="s">
        <v>15220</v>
      </c>
      <c r="D6720" s="8" t="s">
        <v>14903</v>
      </c>
      <c r="E6720" s="9" t="str">
        <f aca="false">HYPERLINK("https://twitter.com/Turfline/status/922422350653591552","922422350653591552")</f>
        <v>922422350653591552</v>
      </c>
      <c r="F6720" s="10" t="s">
        <v>39</v>
      </c>
      <c r="G6720" s="10" t="n">
        <v>7103</v>
      </c>
      <c r="H6720" s="10" t="n">
        <v>7133</v>
      </c>
      <c r="I6720" s="10" t="n">
        <v>4</v>
      </c>
      <c r="J6720" s="10" t="n">
        <v>0</v>
      </c>
      <c r="K6720" s="10" t="s">
        <v>20</v>
      </c>
      <c r="L6720" s="11" t="n">
        <v>40753.3681828704</v>
      </c>
      <c r="M6720" s="12" t="s">
        <v>15221</v>
      </c>
      <c r="N6720" s="12"/>
      <c r="O6720" s="9" t="str">
        <f aca="false">HYPERLINK("https://pbs.twimg.com/profile_images/2171093460/MP900399294__1__normal.JPG","View")</f>
        <v>View</v>
      </c>
      <c r="P6720" s="10"/>
    </row>
    <row r="6721" customFormat="false" ht="15.75" hidden="false" customHeight="false" outlineLevel="0" collapsed="false">
      <c r="A6721" s="6" t="n">
        <v>43031.1805902778</v>
      </c>
      <c r="B6721" s="7" t="str">
        <f aca="false">HYPERLINK("https://twitter.com/voidwalker67","@voidwalker67")</f>
        <v>@voidwalker67</v>
      </c>
      <c r="C6721" s="8" t="s">
        <v>15222</v>
      </c>
      <c r="D6721" s="8" t="s">
        <v>8538</v>
      </c>
      <c r="E6721" s="9" t="str">
        <f aca="false">HYPERLINK("https://twitter.com/voidwalker67/status/922422361869099009","922422361869099009")</f>
        <v>922422361869099009</v>
      </c>
      <c r="F6721" s="10" t="s">
        <v>25</v>
      </c>
      <c r="G6721" s="10" t="n">
        <v>64</v>
      </c>
      <c r="H6721" s="10" t="n">
        <v>43</v>
      </c>
      <c r="I6721" s="10" t="n">
        <v>1015</v>
      </c>
      <c r="J6721" s="10" t="n">
        <v>0</v>
      </c>
      <c r="K6721" s="10" t="s">
        <v>20</v>
      </c>
      <c r="L6721" s="11" t="n">
        <v>41945.3997337963</v>
      </c>
      <c r="M6721" s="12" t="s">
        <v>7561</v>
      </c>
      <c r="N6721" s="12" t="s">
        <v>15223</v>
      </c>
      <c r="O6721" s="9" t="str">
        <f aca="false">HYPERLINK("https://pbs.twimg.com/profile_images/722875095157329923/gTG6c2hq_normal.jpg","View")</f>
        <v>View</v>
      </c>
      <c r="P6721" s="10"/>
    </row>
    <row r="6722" customFormat="false" ht="15.75" hidden="false" customHeight="false" outlineLevel="0" collapsed="false">
      <c r="A6722" s="6" t="n">
        <v>43031.1816203704</v>
      </c>
      <c r="B6722" s="7" t="str">
        <f aca="false">HYPERLINK("https://twitter.com/LateNightWatch","@LateNightWatch")</f>
        <v>@LateNightWatch</v>
      </c>
      <c r="C6722" s="8" t="s">
        <v>15224</v>
      </c>
      <c r="D6722" s="8" t="s">
        <v>15225</v>
      </c>
      <c r="E6722" s="9" t="str">
        <f aca="false">HYPERLINK("https://twitter.com/LateNightWatch/status/922422735564886017","922422735564886017")</f>
        <v>922422735564886017</v>
      </c>
      <c r="F6722" s="10" t="s">
        <v>39</v>
      </c>
      <c r="G6722" s="10" t="n">
        <v>175</v>
      </c>
      <c r="H6722" s="10" t="n">
        <v>0</v>
      </c>
      <c r="I6722" s="10" t="n">
        <v>0</v>
      </c>
      <c r="J6722" s="10" t="n">
        <v>0</v>
      </c>
      <c r="K6722" s="10" t="s">
        <v>20</v>
      </c>
      <c r="L6722" s="11" t="n">
        <v>40681.3139699074</v>
      </c>
      <c r="M6722" s="12"/>
      <c r="N6722" s="12" t="s">
        <v>15226</v>
      </c>
      <c r="O6722" s="9" t="str">
        <f aca="false">HYPERLINK("https://pbs.twimg.com/profile_images/1359667152/image011_normal.gif","View")</f>
        <v>View</v>
      </c>
      <c r="P6722" s="10"/>
    </row>
    <row r="6723" customFormat="false" ht="15.75" hidden="false" customHeight="false" outlineLevel="0" collapsed="false">
      <c r="A6723" s="6" t="n">
        <v>43031.1817361111</v>
      </c>
      <c r="B6723" s="7" t="str">
        <f aca="false">HYPERLINK("https://twitter.com/deepaksam5","@deepaksam5")</f>
        <v>@deepaksam5</v>
      </c>
      <c r="C6723" s="8" t="s">
        <v>15227</v>
      </c>
      <c r="D6723" s="8" t="s">
        <v>8538</v>
      </c>
      <c r="E6723" s="9" t="str">
        <f aca="false">HYPERLINK("https://twitter.com/deepaksam5/status/922422776371146752","922422776371146752")</f>
        <v>922422776371146752</v>
      </c>
      <c r="F6723" s="10" t="s">
        <v>25</v>
      </c>
      <c r="G6723" s="10" t="n">
        <v>1667</v>
      </c>
      <c r="H6723" s="10" t="n">
        <v>2587</v>
      </c>
      <c r="I6723" s="10" t="n">
        <v>1015</v>
      </c>
      <c r="J6723" s="10" t="n">
        <v>0</v>
      </c>
      <c r="K6723" s="10" t="s">
        <v>20</v>
      </c>
      <c r="L6723" s="11" t="n">
        <v>40171.1120138889</v>
      </c>
      <c r="M6723" s="12" t="s">
        <v>15228</v>
      </c>
      <c r="N6723" s="12" t="s">
        <v>15229</v>
      </c>
      <c r="O6723" s="9" t="str">
        <f aca="false">HYPERLINK("https://pbs.twimg.com/profile_images/3229771496/583180adffe55206085825a4de778a12_normal.jpeg","View")</f>
        <v>View</v>
      </c>
      <c r="P6723" s="10"/>
    </row>
    <row r="6724" customFormat="false" ht="15.75" hidden="false" customHeight="false" outlineLevel="0" collapsed="false">
      <c r="A6724" s="6" t="n">
        <v>43031.183125</v>
      </c>
      <c r="B6724" s="7" t="str">
        <f aca="false">HYPERLINK("https://twitter.com/emeka6010","@emeka6010")</f>
        <v>@emeka6010</v>
      </c>
      <c r="C6724" s="8" t="s">
        <v>15230</v>
      </c>
      <c r="D6724" s="8" t="s">
        <v>15162</v>
      </c>
      <c r="E6724" s="9" t="str">
        <f aca="false">HYPERLINK("https://twitter.com/emeka6010/status/922423282435059712","922423282435059712")</f>
        <v>922423282435059712</v>
      </c>
      <c r="F6724" s="10" t="s">
        <v>25</v>
      </c>
      <c r="G6724" s="10" t="n">
        <v>2060</v>
      </c>
      <c r="H6724" s="10" t="n">
        <v>4995</v>
      </c>
      <c r="I6724" s="10" t="n">
        <v>15</v>
      </c>
      <c r="J6724" s="10" t="n">
        <v>0</v>
      </c>
      <c r="K6724" s="10" t="s">
        <v>20</v>
      </c>
      <c r="L6724" s="11" t="n">
        <v>41382.3328125</v>
      </c>
      <c r="M6724" s="12"/>
      <c r="N6724" s="12" t="s">
        <v>15231</v>
      </c>
      <c r="O6724" s="9" t="str">
        <f aca="false">HYPERLINK("https://pbs.twimg.com/profile_images/887559731627294720/DRorW3eb_normal.jpg","View")</f>
        <v>View</v>
      </c>
      <c r="P6724" s="10"/>
    </row>
    <row r="6725" customFormat="false" ht="15.75" hidden="false" customHeight="false" outlineLevel="0" collapsed="false">
      <c r="A6725" s="6" t="n">
        <v>43031.1832523148</v>
      </c>
      <c r="B6725" s="7" t="str">
        <f aca="false">HYPERLINK("https://twitter.com/sierrasevier","@sierrasevier")</f>
        <v>@sierrasevier</v>
      </c>
      <c r="C6725" s="8" t="s">
        <v>15232</v>
      </c>
      <c r="D6725" s="8" t="s">
        <v>15162</v>
      </c>
      <c r="E6725" s="9" t="str">
        <f aca="false">HYPERLINK("https://twitter.com/sierrasevier/status/922423324705206272","922423324705206272")</f>
        <v>922423324705206272</v>
      </c>
      <c r="F6725" s="10" t="s">
        <v>51</v>
      </c>
      <c r="G6725" s="10" t="n">
        <v>776</v>
      </c>
      <c r="H6725" s="10" t="n">
        <v>509</v>
      </c>
      <c r="I6725" s="10" t="n">
        <v>15</v>
      </c>
      <c r="J6725" s="10" t="n">
        <v>0</v>
      </c>
      <c r="K6725" s="10" t="s">
        <v>20</v>
      </c>
      <c r="L6725" s="11" t="n">
        <v>40513.6533101852</v>
      </c>
      <c r="M6725" s="12" t="s">
        <v>5457</v>
      </c>
      <c r="N6725" s="12"/>
      <c r="O6725" s="9" t="str">
        <f aca="false">HYPERLINK("https://pbs.twimg.com/profile_images/923146775837532162/KpMigTEd_normal.jpg","View")</f>
        <v>View</v>
      </c>
      <c r="P6725" s="10"/>
    </row>
    <row r="6726" customFormat="false" ht="15.75" hidden="false" customHeight="false" outlineLevel="0" collapsed="false">
      <c r="A6726" s="6" t="n">
        <v>43031.1832523148</v>
      </c>
      <c r="B6726" s="7" t="str">
        <f aca="false">HYPERLINK("https://twitter.com/poonamipj","@poonamipj")</f>
        <v>@poonamipj</v>
      </c>
      <c r="C6726" s="8" t="s">
        <v>15233</v>
      </c>
      <c r="D6726" s="8" t="s">
        <v>8538</v>
      </c>
      <c r="E6726" s="9" t="str">
        <f aca="false">HYPERLINK("https://twitter.com/poonamipj/status/922423324835115009","922423324835115009")</f>
        <v>922423324835115009</v>
      </c>
      <c r="F6726" s="10" t="s">
        <v>25</v>
      </c>
      <c r="G6726" s="10" t="n">
        <v>440</v>
      </c>
      <c r="H6726" s="10" t="n">
        <v>648</v>
      </c>
      <c r="I6726" s="10" t="n">
        <v>1015</v>
      </c>
      <c r="J6726" s="10" t="n">
        <v>0</v>
      </c>
      <c r="K6726" s="10" t="s">
        <v>20</v>
      </c>
      <c r="L6726" s="11" t="n">
        <v>40777.2307638889</v>
      </c>
      <c r="M6726" s="12" t="s">
        <v>72</v>
      </c>
      <c r="N6726" s="12" t="s">
        <v>730</v>
      </c>
      <c r="O6726" s="9" t="str">
        <f aca="false">HYPERLINK("https://pbs.twimg.com/profile_images/897524199266201600/Hn6BRUaS_normal.jpg","View")</f>
        <v>View</v>
      </c>
      <c r="P6726" s="10"/>
    </row>
    <row r="6727" customFormat="false" ht="15.75" hidden="false" customHeight="false" outlineLevel="0" collapsed="false">
      <c r="A6727" s="6" t="n">
        <v>43031.1841087963</v>
      </c>
      <c r="B6727" s="7" t="str">
        <f aca="false">HYPERLINK("https://twitter.com/Hiring_Houston","@Hiring_Houston")</f>
        <v>@Hiring_Houston</v>
      </c>
      <c r="C6727" s="8" t="s">
        <v>15234</v>
      </c>
      <c r="D6727" s="8" t="s">
        <v>15235</v>
      </c>
      <c r="E6727" s="9" t="str">
        <f aca="false">HYPERLINK("https://twitter.com/Hiring_Houston/status/922423635502972929","922423635502972929")</f>
        <v>922423635502972929</v>
      </c>
      <c r="F6727" s="9" t="s">
        <v>1147</v>
      </c>
      <c r="G6727" s="10" t="n">
        <v>177</v>
      </c>
      <c r="H6727" s="10" t="n">
        <v>77</v>
      </c>
      <c r="I6727" s="10" t="n">
        <v>0</v>
      </c>
      <c r="J6727" s="10" t="n">
        <v>0</v>
      </c>
      <c r="K6727" s="10" t="s">
        <v>20</v>
      </c>
      <c r="L6727" s="11" t="n">
        <v>41909.2373263889</v>
      </c>
      <c r="M6727" s="12" t="s">
        <v>8623</v>
      </c>
      <c r="N6727" s="12" t="s">
        <v>15236</v>
      </c>
      <c r="O6727" s="9" t="str">
        <f aca="false">HYPERLINK("https://pbs.twimg.com/profile_images/515843995507777537/4bfGAYvD_normal.jpeg","View")</f>
        <v>View</v>
      </c>
      <c r="P6727" s="10"/>
    </row>
    <row r="6728" customFormat="false" ht="15.75" hidden="false" customHeight="false" outlineLevel="0" collapsed="false">
      <c r="A6728" s="6" t="n">
        <v>43031.1841898148</v>
      </c>
      <c r="B6728" s="7" t="str">
        <f aca="false">HYPERLINK("https://twitter.com/AynvanBergland","@AynvanBergland")</f>
        <v>@AynvanBergland</v>
      </c>
      <c r="C6728" s="8" t="s">
        <v>3045</v>
      </c>
      <c r="D6728" s="8" t="s">
        <v>15237</v>
      </c>
      <c r="E6728" s="9" t="str">
        <f aca="false">HYPERLINK("https://twitter.com/AynvanBergland/status/922423665978834944","922423665978834944")</f>
        <v>922423665978834944</v>
      </c>
      <c r="F6728" s="10" t="s">
        <v>39</v>
      </c>
      <c r="G6728" s="10" t="n">
        <v>165</v>
      </c>
      <c r="H6728" s="10" t="n">
        <v>25</v>
      </c>
      <c r="I6728" s="10" t="n">
        <v>0</v>
      </c>
      <c r="J6728" s="10" t="n">
        <v>1</v>
      </c>
      <c r="K6728" s="10" t="s">
        <v>20</v>
      </c>
      <c r="L6728" s="11" t="n">
        <v>42453.0233333333</v>
      </c>
      <c r="M6728" s="12"/>
      <c r="N6728" s="12" t="s">
        <v>3047</v>
      </c>
      <c r="O6728" s="9" t="str">
        <f aca="false">HYPERLINK("https://pbs.twimg.com/profile_images/745308000592793600/to66nxz-_normal.jpg","View")</f>
        <v>View</v>
      </c>
      <c r="P6728" s="10"/>
    </row>
    <row r="6729" customFormat="false" ht="15.75" hidden="false" customHeight="false" outlineLevel="0" collapsed="false">
      <c r="A6729" s="6" t="n">
        <v>43031.1843402778</v>
      </c>
      <c r="B6729" s="7" t="str">
        <f aca="false">HYPERLINK("https://twitter.com/VADAKKANTHARA","@VADAKKANTHARA")</f>
        <v>@VADAKKANTHARA</v>
      </c>
      <c r="C6729" s="8" t="s">
        <v>15238</v>
      </c>
      <c r="D6729" s="8" t="s">
        <v>8538</v>
      </c>
      <c r="E6729" s="9" t="str">
        <f aca="false">HYPERLINK("https://twitter.com/VADAKKANTHARA/status/922423722044256257","922423722044256257")</f>
        <v>922423722044256257</v>
      </c>
      <c r="F6729" s="10" t="s">
        <v>51</v>
      </c>
      <c r="G6729" s="10" t="n">
        <v>496</v>
      </c>
      <c r="H6729" s="10" t="n">
        <v>531</v>
      </c>
      <c r="I6729" s="10" t="n">
        <v>1015</v>
      </c>
      <c r="J6729" s="10" t="n">
        <v>0</v>
      </c>
      <c r="K6729" s="10" t="s">
        <v>20</v>
      </c>
      <c r="L6729" s="11" t="n">
        <v>40176.9180787037</v>
      </c>
      <c r="M6729" s="12" t="s">
        <v>2340</v>
      </c>
      <c r="N6729" s="12" t="s">
        <v>15239</v>
      </c>
      <c r="O6729" s="9" t="str">
        <f aca="false">HYPERLINK("https://pbs.twimg.com/profile_images/922428069108789249/fPmB1qPG_normal.jpg","View")</f>
        <v>View</v>
      </c>
      <c r="P6729" s="10"/>
    </row>
    <row r="6730" customFormat="false" ht="15.75" hidden="false" customHeight="false" outlineLevel="0" collapsed="false">
      <c r="A6730" s="6" t="n">
        <v>43031.184849537</v>
      </c>
      <c r="B6730" s="7" t="str">
        <f aca="false">HYPERLINK("https://twitter.com/Monalisazelf","@Monalisazelf")</f>
        <v>@Monalisazelf</v>
      </c>
      <c r="C6730" s="8" t="s">
        <v>4264</v>
      </c>
      <c r="D6730" s="8" t="s">
        <v>15162</v>
      </c>
      <c r="E6730" s="9" t="str">
        <f aca="false">HYPERLINK("https://twitter.com/Monalisazelf/status/922423907235368961","922423907235368961")</f>
        <v>922423907235368961</v>
      </c>
      <c r="F6730" s="10" t="s">
        <v>25</v>
      </c>
      <c r="G6730" s="10" t="n">
        <v>1534</v>
      </c>
      <c r="H6730" s="10" t="n">
        <v>4397</v>
      </c>
      <c r="I6730" s="10" t="n">
        <v>15</v>
      </c>
      <c r="J6730" s="10" t="n">
        <v>0</v>
      </c>
      <c r="K6730" s="10" t="s">
        <v>20</v>
      </c>
      <c r="L6730" s="11" t="n">
        <v>40142.1908449074</v>
      </c>
      <c r="M6730" s="12"/>
      <c r="N6730" s="12" t="s">
        <v>4265</v>
      </c>
      <c r="O6730" s="9" t="str">
        <f aca="false">HYPERLINK("https://pbs.twimg.com/profile_images/843806789003042816/_YrsHDLc_normal.jpg","View")</f>
        <v>View</v>
      </c>
      <c r="P6730" s="10"/>
    </row>
    <row r="6731" customFormat="false" ht="15.75" hidden="false" customHeight="false" outlineLevel="0" collapsed="false">
      <c r="A6731" s="6" t="n">
        <v>43031.1848958333</v>
      </c>
      <c r="B6731" s="7" t="str">
        <f aca="false">HYPERLINK("https://twitter.com/love_umei","@love_umei")</f>
        <v>@love_umei</v>
      </c>
      <c r="C6731" s="8" t="s">
        <v>15240</v>
      </c>
      <c r="D6731" s="8" t="s">
        <v>15241</v>
      </c>
      <c r="E6731" s="9" t="str">
        <f aca="false">HYPERLINK("https://twitter.com/love_umei/status/922423921596657664","922423921596657664")</f>
        <v>922423921596657664</v>
      </c>
      <c r="F6731" s="10" t="s">
        <v>60</v>
      </c>
      <c r="G6731" s="10" t="n">
        <v>182</v>
      </c>
      <c r="H6731" s="10" t="n">
        <v>115</v>
      </c>
      <c r="I6731" s="10" t="n">
        <v>0</v>
      </c>
      <c r="J6731" s="10" t="n">
        <v>0</v>
      </c>
      <c r="K6731" s="10" t="s">
        <v>20</v>
      </c>
      <c r="L6731" s="11" t="n">
        <v>39934.5102430556</v>
      </c>
      <c r="M6731" s="12" t="s">
        <v>15242</v>
      </c>
      <c r="N6731" s="13" t="s">
        <v>15243</v>
      </c>
      <c r="O6731" s="9" t="str">
        <f aca="false">HYPERLINK("https://pbs.twimg.com/profile_images/922544723239223297/xnBDHftj_normal.jpg","View")</f>
        <v>View</v>
      </c>
      <c r="P6731" s="10"/>
    </row>
    <row r="6732" customFormat="false" ht="15.75" hidden="false" customHeight="false" outlineLevel="0" collapsed="false">
      <c r="A6732" s="6" t="n">
        <v>43031.1854513889</v>
      </c>
      <c r="B6732" s="7" t="str">
        <f aca="false">HYPERLINK("https://twitter.com/bulletguru","@bulletguru")</f>
        <v>@bulletguru</v>
      </c>
      <c r="C6732" s="8" t="s">
        <v>15244</v>
      </c>
      <c r="D6732" s="8" t="s">
        <v>8538</v>
      </c>
      <c r="E6732" s="9" t="str">
        <f aca="false">HYPERLINK("https://twitter.com/bulletguru/status/922424121480187908","922424121480187908")</f>
        <v>922424121480187908</v>
      </c>
      <c r="F6732" s="10" t="s">
        <v>51</v>
      </c>
      <c r="G6732" s="10" t="n">
        <v>232</v>
      </c>
      <c r="H6732" s="10" t="n">
        <v>467</v>
      </c>
      <c r="I6732" s="10" t="n">
        <v>1015</v>
      </c>
      <c r="J6732" s="10" t="n">
        <v>0</v>
      </c>
      <c r="K6732" s="10" t="s">
        <v>20</v>
      </c>
      <c r="L6732" s="11" t="n">
        <v>40267.4701967593</v>
      </c>
      <c r="M6732" s="12" t="s">
        <v>15245</v>
      </c>
      <c r="N6732" s="12" t="s">
        <v>15246</v>
      </c>
      <c r="O6732" s="9" t="str">
        <f aca="false">HYPERLINK("https://pbs.twimg.com/profile_images/879406941969170432/yMG63lND_normal.jpg","View")</f>
        <v>View</v>
      </c>
      <c r="P6732" s="10"/>
    </row>
    <row r="6733" customFormat="false" ht="15.75" hidden="false" customHeight="false" outlineLevel="0" collapsed="false">
      <c r="A6733" s="6" t="n">
        <v>43031.1863194445</v>
      </c>
      <c r="B6733" s="7" t="str">
        <f aca="false">HYPERLINK("https://twitter.com/RobinMCouch","@RobinMCouch")</f>
        <v>@RobinMCouch</v>
      </c>
      <c r="C6733" s="8" t="s">
        <v>15247</v>
      </c>
      <c r="D6733" s="8" t="s">
        <v>15248</v>
      </c>
      <c r="E6733" s="9" t="str">
        <f aca="false">HYPERLINK("https://twitter.com/RobinMCouch/status/922424438251016192","922424438251016192")</f>
        <v>922424438251016192</v>
      </c>
      <c r="F6733" s="10" t="s">
        <v>25</v>
      </c>
      <c r="G6733" s="10" t="n">
        <v>2198</v>
      </c>
      <c r="H6733" s="10" t="n">
        <v>1005</v>
      </c>
      <c r="I6733" s="10" t="n">
        <v>0</v>
      </c>
      <c r="J6733" s="10" t="n">
        <v>0</v>
      </c>
      <c r="K6733" s="10" t="s">
        <v>20</v>
      </c>
      <c r="L6733" s="11" t="n">
        <v>40695.4501157407</v>
      </c>
      <c r="M6733" s="12" t="s">
        <v>15249</v>
      </c>
      <c r="N6733" s="12" t="s">
        <v>15250</v>
      </c>
      <c r="O6733" s="9" t="str">
        <f aca="false">HYPERLINK("https://pbs.twimg.com/profile_images/895362129905299456/6CTLMRGU_normal.jpg","View")</f>
        <v>View</v>
      </c>
      <c r="P6733" s="10"/>
    </row>
    <row r="6734" customFormat="false" ht="15.75" hidden="false" customHeight="false" outlineLevel="0" collapsed="false">
      <c r="A6734" s="6" t="n">
        <v>43031.1868402778</v>
      </c>
      <c r="B6734" s="7" t="str">
        <f aca="false">HYPERLINK("https://twitter.com/BlueOpalWealth","@BlueOpalWealth")</f>
        <v>@BlueOpalWealth</v>
      </c>
      <c r="C6734" s="8" t="s">
        <v>15251</v>
      </c>
      <c r="D6734" s="8" t="s">
        <v>15252</v>
      </c>
      <c r="E6734" s="9" t="str">
        <f aca="false">HYPERLINK("https://twitter.com/BlueOpalWealth/status/922424628605108225","922424628605108225")</f>
        <v>922424628605108225</v>
      </c>
      <c r="F6734" s="10" t="s">
        <v>47</v>
      </c>
      <c r="G6734" s="10" t="n">
        <v>991</v>
      </c>
      <c r="H6734" s="10" t="n">
        <v>1528</v>
      </c>
      <c r="I6734" s="10" t="n">
        <v>0</v>
      </c>
      <c r="J6734" s="10" t="n">
        <v>0</v>
      </c>
      <c r="K6734" s="10" t="s">
        <v>20</v>
      </c>
      <c r="L6734" s="11" t="n">
        <v>40886.4279166667</v>
      </c>
      <c r="M6734" s="12"/>
      <c r="N6734" s="12" t="s">
        <v>15253</v>
      </c>
      <c r="O6734" s="9" t="str">
        <f aca="false">HYPERLINK("https://pbs.twimg.com/profile_images/1683660907/content6_normal.jpg","View")</f>
        <v>View</v>
      </c>
      <c r="P6734" s="10"/>
    </row>
    <row r="6735" customFormat="false" ht="15.75" hidden="false" customHeight="false" outlineLevel="0" collapsed="false">
      <c r="A6735" s="6" t="n">
        <v>43031.1871875</v>
      </c>
      <c r="B6735" s="7" t="str">
        <f aca="false">HYPERLINK("https://twitter.com/anarcho","@anarcho")</f>
        <v>@anarcho</v>
      </c>
      <c r="C6735" s="8" t="s">
        <v>15254</v>
      </c>
      <c r="D6735" s="8" t="s">
        <v>15255</v>
      </c>
      <c r="E6735" s="9" t="str">
        <f aca="false">HYPERLINK("https://twitter.com/anarcho/status/922424751317860353","922424751317860353")</f>
        <v>922424751317860353</v>
      </c>
      <c r="F6735" s="10" t="s">
        <v>51</v>
      </c>
      <c r="G6735" s="10" t="n">
        <v>13368</v>
      </c>
      <c r="H6735" s="10" t="n">
        <v>14439</v>
      </c>
      <c r="I6735" s="10" t="n">
        <v>0</v>
      </c>
      <c r="J6735" s="10" t="n">
        <v>0</v>
      </c>
      <c r="K6735" s="10" t="s">
        <v>20</v>
      </c>
      <c r="L6735" s="11" t="n">
        <v>39684.4451157407</v>
      </c>
      <c r="M6735" s="12" t="s">
        <v>1814</v>
      </c>
      <c r="N6735" s="12" t="s">
        <v>15256</v>
      </c>
      <c r="O6735" s="9" t="str">
        <f aca="false">HYPERLINK("https://pbs.twimg.com/profile_images/59466853/anarcho_normal.jpg","View")</f>
        <v>View</v>
      </c>
      <c r="P6735" s="10"/>
    </row>
    <row r="6736" customFormat="false" ht="15.75" hidden="false" customHeight="false" outlineLevel="0" collapsed="false">
      <c r="A6736" s="6" t="n">
        <v>43031.1885069444</v>
      </c>
      <c r="B6736" s="7" t="str">
        <f aca="false">HYPERLINK("https://twitter.com/vickyagarwall","@vickyagarwall")</f>
        <v>@vickyagarwall</v>
      </c>
      <c r="C6736" s="8" t="s">
        <v>15257</v>
      </c>
      <c r="D6736" s="8" t="s">
        <v>12398</v>
      </c>
      <c r="E6736" s="9" t="str">
        <f aca="false">HYPERLINK("https://twitter.com/vickyagarwall/status/922425232127795201","922425232127795201")</f>
        <v>922425232127795201</v>
      </c>
      <c r="F6736" s="10" t="s">
        <v>3790</v>
      </c>
      <c r="G6736" s="10" t="n">
        <v>679</v>
      </c>
      <c r="H6736" s="10" t="n">
        <v>366</v>
      </c>
      <c r="I6736" s="10" t="n">
        <v>25</v>
      </c>
      <c r="J6736" s="10" t="n">
        <v>0</v>
      </c>
      <c r="K6736" s="10" t="s">
        <v>20</v>
      </c>
      <c r="L6736" s="11" t="n">
        <v>41996.8425925926</v>
      </c>
      <c r="M6736" s="12" t="s">
        <v>1877</v>
      </c>
      <c r="N6736" s="12" t="s">
        <v>15258</v>
      </c>
      <c r="O6736" s="9" t="str">
        <f aca="false">HYPERLINK("https://pbs.twimg.com/profile_images/835512510124032001/9BeCjZcP_normal.jpg","View")</f>
        <v>View</v>
      </c>
      <c r="P6736" s="10"/>
    </row>
    <row r="6737" customFormat="false" ht="15.75" hidden="false" customHeight="false" outlineLevel="0" collapsed="false">
      <c r="A6737" s="6" t="n">
        <v>43031.1886689815</v>
      </c>
      <c r="B6737" s="7" t="str">
        <f aca="false">HYPERLINK("https://twitter.com/Mr_Comet","@Mr_Comet")</f>
        <v>@Mr_Comet</v>
      </c>
      <c r="C6737" s="8" t="s">
        <v>15259</v>
      </c>
      <c r="D6737" s="8" t="s">
        <v>8538</v>
      </c>
      <c r="E6737" s="9" t="str">
        <f aca="false">HYPERLINK("https://twitter.com/Mr_Comet/status/922425289824641024","922425289824641024")</f>
        <v>922425289824641024</v>
      </c>
      <c r="F6737" s="10" t="s">
        <v>25</v>
      </c>
      <c r="G6737" s="10" t="n">
        <v>473</v>
      </c>
      <c r="H6737" s="10" t="n">
        <v>702</v>
      </c>
      <c r="I6737" s="10" t="n">
        <v>1015</v>
      </c>
      <c r="J6737" s="10" t="n">
        <v>0</v>
      </c>
      <c r="K6737" s="10" t="s">
        <v>20</v>
      </c>
      <c r="L6737" s="11" t="n">
        <v>40227.9028587963</v>
      </c>
      <c r="M6737" s="12" t="s">
        <v>15260</v>
      </c>
      <c r="N6737" s="12" t="s">
        <v>15261</v>
      </c>
      <c r="O6737" s="9" t="str">
        <f aca="false">HYPERLINK("https://pbs.twimg.com/profile_images/896011938458509312/VcOj5ZE5_normal.jpg","View")</f>
        <v>View</v>
      </c>
      <c r="P6737" s="10"/>
    </row>
    <row r="6738" customFormat="false" ht="15.75" hidden="false" customHeight="false" outlineLevel="0" collapsed="false">
      <c r="A6738" s="6" t="n">
        <v>43031.1890393519</v>
      </c>
      <c r="B6738" s="7" t="str">
        <f aca="false">HYPERLINK("https://twitter.com/mossari38","@mossari38")</f>
        <v>@mossari38</v>
      </c>
      <c r="C6738" s="14" t="s">
        <v>15262</v>
      </c>
      <c r="D6738" s="8" t="s">
        <v>12493</v>
      </c>
      <c r="E6738" s="9" t="str">
        <f aca="false">HYPERLINK("https://twitter.com/mossari38/status/922425421798371328","922425421798371328")</f>
        <v>922425421798371328</v>
      </c>
      <c r="F6738" s="10" t="s">
        <v>25</v>
      </c>
      <c r="G6738" s="10" t="n">
        <v>3213</v>
      </c>
      <c r="H6738" s="10" t="n">
        <v>3274</v>
      </c>
      <c r="I6738" s="10" t="n">
        <v>63</v>
      </c>
      <c r="J6738" s="10" t="n">
        <v>0</v>
      </c>
      <c r="K6738" s="10" t="s">
        <v>20</v>
      </c>
      <c r="L6738" s="11" t="n">
        <v>40706.0352199074</v>
      </c>
      <c r="M6738" s="12"/>
      <c r="N6738" s="13" t="s">
        <v>15263</v>
      </c>
      <c r="O6738" s="9" t="str">
        <f aca="false">HYPERLINK("https://pbs.twimg.com/profile_images/378800000570708627/3be3ed25467984e0dc18fc70dd9a5eb7_normal.jpeg","View")</f>
        <v>View</v>
      </c>
      <c r="P6738" s="10"/>
    </row>
    <row r="6739" customFormat="false" ht="15.75" hidden="false" customHeight="false" outlineLevel="0" collapsed="false">
      <c r="A6739" s="6" t="n">
        <v>43031.1895717593</v>
      </c>
      <c r="B6739" s="7" t="str">
        <f aca="false">HYPERLINK("https://twitter.com/AlanLondonCity","@AlanLondonCity")</f>
        <v>@AlanLondonCity</v>
      </c>
      <c r="C6739" s="8" t="s">
        <v>3495</v>
      </c>
      <c r="D6739" s="8" t="s">
        <v>15162</v>
      </c>
      <c r="E6739" s="9" t="str">
        <f aca="false">HYPERLINK("https://twitter.com/AlanLondonCity/status/922425614677798917","922425614677798917")</f>
        <v>922425614677798917</v>
      </c>
      <c r="F6739" s="10" t="s">
        <v>51</v>
      </c>
      <c r="G6739" s="10" t="n">
        <v>56976</v>
      </c>
      <c r="H6739" s="10" t="n">
        <v>114</v>
      </c>
      <c r="I6739" s="10" t="n">
        <v>15</v>
      </c>
      <c r="J6739" s="10" t="n">
        <v>0</v>
      </c>
      <c r="K6739" s="10" t="s">
        <v>20</v>
      </c>
      <c r="L6739" s="11" t="n">
        <v>42990.5023958333</v>
      </c>
      <c r="M6739" s="12" t="s">
        <v>182</v>
      </c>
      <c r="N6739" s="12" t="s">
        <v>3496</v>
      </c>
      <c r="O6739" s="9" t="str">
        <f aca="false">HYPERLINK("https://pbs.twimg.com/profile_images/907681852466573312/c3GaQ5WR_normal.jpg","View")</f>
        <v>View</v>
      </c>
      <c r="P6739" s="10"/>
    </row>
    <row r="6740" customFormat="false" ht="15.75" hidden="false" customHeight="false" outlineLevel="0" collapsed="false">
      <c r="A6740" s="6" t="n">
        <v>43031.189837963</v>
      </c>
      <c r="B6740" s="7" t="str">
        <f aca="false">HYPERLINK("https://twitter.com/trendr","@trendr")</f>
        <v>@trendr</v>
      </c>
      <c r="C6740" s="8" t="s">
        <v>15264</v>
      </c>
      <c r="D6740" s="8" t="s">
        <v>15265</v>
      </c>
      <c r="E6740" s="9" t="str">
        <f aca="false">HYPERLINK("https://twitter.com/trendr/status/922425711746482178","922425711746482178")</f>
        <v>922425711746482178</v>
      </c>
      <c r="F6740" s="10" t="s">
        <v>60</v>
      </c>
      <c r="G6740" s="10" t="n">
        <v>81</v>
      </c>
      <c r="H6740" s="10" t="n">
        <v>232</v>
      </c>
      <c r="I6740" s="10" t="n">
        <v>0</v>
      </c>
      <c r="J6740" s="10" t="n">
        <v>0</v>
      </c>
      <c r="K6740" s="10" t="s">
        <v>20</v>
      </c>
      <c r="L6740" s="11" t="n">
        <v>39989.5894444444</v>
      </c>
      <c r="M6740" s="12"/>
      <c r="N6740" s="12" t="s">
        <v>15266</v>
      </c>
      <c r="O6740" s="9" t="str">
        <f aca="false">HYPERLINK("https://pbs.twimg.com/profile_images/818973177460178945/npoPG_m0_normal.jpg","View")</f>
        <v>View</v>
      </c>
      <c r="P6740" s="10"/>
    </row>
    <row r="6741" customFormat="false" ht="15.75" hidden="false" customHeight="false" outlineLevel="0" collapsed="false">
      <c r="A6741" s="6" t="n">
        <v>43031.1899537037</v>
      </c>
      <c r="B6741" s="7" t="str">
        <f aca="false">HYPERLINK("https://twitter.com/Jarpum","@Jarpum")</f>
        <v>@Jarpum</v>
      </c>
      <c r="C6741" s="8" t="s">
        <v>15267</v>
      </c>
      <c r="D6741" s="8" t="s">
        <v>15268</v>
      </c>
      <c r="E6741" s="9" t="str">
        <f aca="false">HYPERLINK("https://twitter.com/Jarpum/status/922425756252172289","922425756252172289")</f>
        <v>922425756252172289</v>
      </c>
      <c r="F6741" s="10" t="s">
        <v>25</v>
      </c>
      <c r="G6741" s="10" t="n">
        <v>953</v>
      </c>
      <c r="H6741" s="10" t="n">
        <v>529</v>
      </c>
      <c r="I6741" s="10" t="n">
        <v>2</v>
      </c>
      <c r="J6741" s="10" t="n">
        <v>0</v>
      </c>
      <c r="K6741" s="10" t="s">
        <v>20</v>
      </c>
      <c r="L6741" s="11" t="n">
        <v>41012.712650463</v>
      </c>
      <c r="M6741" s="12"/>
      <c r="N6741" s="12" t="s">
        <v>15269</v>
      </c>
      <c r="O6741" s="9" t="str">
        <f aca="false">HYPERLINK("https://pbs.twimg.com/profile_images/648900978746376192/HX4VPJN-_normal.jpg","View")</f>
        <v>View</v>
      </c>
      <c r="P6741" s="10"/>
    </row>
    <row r="6742" customFormat="false" ht="15.75" hidden="false" customHeight="false" outlineLevel="0" collapsed="false">
      <c r="A6742" s="6" t="n">
        <v>43031.1907291667</v>
      </c>
      <c r="B6742" s="7" t="str">
        <f aca="false">HYPERLINK("https://twitter.com/Involution88","@Involution88")</f>
        <v>@Involution88</v>
      </c>
      <c r="C6742" s="8" t="s">
        <v>15270</v>
      </c>
      <c r="D6742" s="8" t="s">
        <v>14106</v>
      </c>
      <c r="E6742" s="9" t="str">
        <f aca="false">HYPERLINK("https://twitter.com/Involution88/status/922426035295092736","922426035295092736")</f>
        <v>922426035295092736</v>
      </c>
      <c r="F6742" s="10" t="s">
        <v>25</v>
      </c>
      <c r="G6742" s="10" t="n">
        <v>371</v>
      </c>
      <c r="H6742" s="10" t="n">
        <v>581</v>
      </c>
      <c r="I6742" s="10" t="n">
        <v>30</v>
      </c>
      <c r="J6742" s="10" t="n">
        <v>0</v>
      </c>
      <c r="K6742" s="10" t="s">
        <v>20</v>
      </c>
      <c r="L6742" s="11" t="n">
        <v>40120.7059490741</v>
      </c>
      <c r="M6742" s="12"/>
      <c r="N6742" s="12"/>
      <c r="O6742" s="9" t="str">
        <f aca="false">HYPERLINK("https://pbs.twimg.com/profile_images/507775445/ATT00013_normal.jpg","View")</f>
        <v>View</v>
      </c>
      <c r="P6742" s="10"/>
    </row>
    <row r="6743" customFormat="false" ht="15.75" hidden="false" customHeight="false" outlineLevel="0" collapsed="false">
      <c r="A6743" s="6" t="n">
        <v>43031.1924652778</v>
      </c>
      <c r="B6743" s="7" t="str">
        <f aca="false">HYPERLINK("https://twitter.com/New_Narrative","@New_Narrative")</f>
        <v>@New_Narrative</v>
      </c>
      <c r="C6743" s="8" t="s">
        <v>1628</v>
      </c>
      <c r="D6743" s="8" t="s">
        <v>15271</v>
      </c>
      <c r="E6743" s="9" t="str">
        <f aca="false">HYPERLINK("https://twitter.com/New_Narrative/status/922426666906824704","922426666906824704")</f>
        <v>922426666906824704</v>
      </c>
      <c r="F6743" s="10" t="s">
        <v>51</v>
      </c>
      <c r="G6743" s="10" t="n">
        <v>6539</v>
      </c>
      <c r="H6743" s="10" t="n">
        <v>12</v>
      </c>
      <c r="I6743" s="10" t="n">
        <v>0</v>
      </c>
      <c r="J6743" s="10" t="n">
        <v>0</v>
      </c>
      <c r="K6743" s="10" t="s">
        <v>20</v>
      </c>
      <c r="L6743" s="11" t="n">
        <v>40566.3804166667</v>
      </c>
      <c r="M6743" s="12" t="s">
        <v>1630</v>
      </c>
      <c r="N6743" s="12" t="s">
        <v>1631</v>
      </c>
      <c r="O6743" s="9" t="str">
        <f aca="false">HYPERLINK("https://pbs.twimg.com/profile_images/1548673665/megaphone-kid-cropped_normal.jpg","View")</f>
        <v>View</v>
      </c>
      <c r="P6743" s="10"/>
    </row>
    <row r="6744" customFormat="false" ht="15.75" hidden="false" customHeight="false" outlineLevel="0" collapsed="false">
      <c r="A6744" s="6" t="n">
        <v>43031.1930671296</v>
      </c>
      <c r="B6744" s="7" t="str">
        <f aca="false">HYPERLINK("https://twitter.com/VotingNews","@VotingNews")</f>
        <v>@VotingNews</v>
      </c>
      <c r="C6744" s="8" t="s">
        <v>15272</v>
      </c>
      <c r="D6744" s="8" t="s">
        <v>15273</v>
      </c>
      <c r="E6744" s="9" t="str">
        <f aca="false">HYPERLINK("https://twitter.com/VotingNews/status/922426885174210560","922426885174210560")</f>
        <v>922426885174210560</v>
      </c>
      <c r="F6744" s="10" t="s">
        <v>15274</v>
      </c>
      <c r="G6744" s="10" t="n">
        <v>4461</v>
      </c>
      <c r="H6744" s="10" t="n">
        <v>2085</v>
      </c>
      <c r="I6744" s="10" t="n">
        <v>0</v>
      </c>
      <c r="J6744" s="10" t="n">
        <v>0</v>
      </c>
      <c r="K6744" s="10" t="s">
        <v>20</v>
      </c>
      <c r="L6744" s="11" t="n">
        <v>40078.5219560185</v>
      </c>
      <c r="M6744" s="12" t="s">
        <v>230</v>
      </c>
      <c r="N6744" s="12" t="s">
        <v>15275</v>
      </c>
      <c r="O6744" s="9" t="str">
        <f aca="false">HYPERLINK("https://pbs.twimg.com/profile_images/1333998665/tvn_logo4_200_normal.jpg","View")</f>
        <v>View</v>
      </c>
      <c r="P6744" s="10"/>
    </row>
    <row r="6745" customFormat="false" ht="15.75" hidden="false" customHeight="false" outlineLevel="0" collapsed="false">
      <c r="A6745" s="6" t="n">
        <v>43031.1931712963</v>
      </c>
      <c r="B6745" s="7" t="str">
        <f aca="false">HYPERLINK("https://twitter.com/826Maureen","@826Maureen")</f>
        <v>@826Maureen</v>
      </c>
      <c r="C6745" s="8" t="s">
        <v>15276</v>
      </c>
      <c r="D6745" s="8" t="s">
        <v>15088</v>
      </c>
      <c r="E6745" s="9" t="str">
        <f aca="false">HYPERLINK("https://twitter.com/826Maureen/status/922426922012782592","922426922012782592")</f>
        <v>922426922012782592</v>
      </c>
      <c r="F6745" s="10" t="s">
        <v>51</v>
      </c>
      <c r="G6745" s="10" t="n">
        <v>2854</v>
      </c>
      <c r="H6745" s="10" t="n">
        <v>2159</v>
      </c>
      <c r="I6745" s="10" t="n">
        <v>3</v>
      </c>
      <c r="J6745" s="10" t="n">
        <v>0</v>
      </c>
      <c r="K6745" s="10" t="s">
        <v>20</v>
      </c>
      <c r="L6745" s="11" t="n">
        <v>41839.2597222222</v>
      </c>
      <c r="M6745" s="12" t="s">
        <v>15277</v>
      </c>
      <c r="N6745" s="12" t="s">
        <v>15278</v>
      </c>
      <c r="O6745" s="9" t="str">
        <f aca="false">HYPERLINK("https://pbs.twimg.com/profile_images/895973501248561152/j8zXeEpo_normal.jpg","View")</f>
        <v>View</v>
      </c>
      <c r="P6745" s="10"/>
    </row>
    <row r="6746" customFormat="false" ht="15.75" hidden="false" customHeight="false" outlineLevel="0" collapsed="false">
      <c r="A6746" s="6" t="n">
        <v>43031.1937731481</v>
      </c>
      <c r="B6746" s="7" t="str">
        <f aca="false">HYPERLINK("https://twitter.com/MailOnline","@MailOnline")</f>
        <v>@MailOnline</v>
      </c>
      <c r="C6746" s="8" t="s">
        <v>15279</v>
      </c>
      <c r="D6746" s="8" t="s">
        <v>15280</v>
      </c>
      <c r="E6746" s="9" t="str">
        <f aca="false">HYPERLINK("https://twitter.com/MailOnline/status/922427137277288448","922427137277288448")</f>
        <v>922427137277288448</v>
      </c>
      <c r="F6746" s="10" t="s">
        <v>268</v>
      </c>
      <c r="G6746" s="10" t="n">
        <v>2125358</v>
      </c>
      <c r="H6746" s="10" t="n">
        <v>2408</v>
      </c>
      <c r="I6746" s="10" t="n">
        <v>16</v>
      </c>
      <c r="J6746" s="10" t="n">
        <v>20</v>
      </c>
      <c r="K6746" s="10" t="s">
        <v>20</v>
      </c>
      <c r="L6746" s="11" t="n">
        <v>39644.137337963</v>
      </c>
      <c r="M6746" s="12"/>
      <c r="N6746" s="12" t="s">
        <v>15281</v>
      </c>
      <c r="O6746" s="9" t="str">
        <f aca="false">HYPERLINK("https://pbs.twimg.com/profile_images/907912182523981824/3vkEVuHh_normal.jpg","View")</f>
        <v>View</v>
      </c>
      <c r="P6746" s="10"/>
    </row>
    <row r="6747" customFormat="false" ht="15.75" hidden="false" customHeight="false" outlineLevel="0" collapsed="false">
      <c r="A6747" s="6" t="n">
        <v>43031.1938078704</v>
      </c>
      <c r="B6747" s="7" t="str">
        <f aca="false">HYPERLINK("https://twitter.com/momo_ni","@momo_ni")</f>
        <v>@momo_ni</v>
      </c>
      <c r="C6747" s="8" t="s">
        <v>15282</v>
      </c>
      <c r="D6747" s="8" t="s">
        <v>12764</v>
      </c>
      <c r="E6747" s="9" t="str">
        <f aca="false">HYPERLINK("https://twitter.com/momo_ni/status/922427150602526720","922427150602526720")</f>
        <v>922427150602526720</v>
      </c>
      <c r="F6747" s="10" t="s">
        <v>98</v>
      </c>
      <c r="G6747" s="10" t="n">
        <v>1597</v>
      </c>
      <c r="H6747" s="10" t="n">
        <v>2262</v>
      </c>
      <c r="I6747" s="10" t="n">
        <v>170</v>
      </c>
      <c r="J6747" s="10" t="n">
        <v>0</v>
      </c>
      <c r="K6747" s="10" t="s">
        <v>20</v>
      </c>
      <c r="L6747" s="11" t="n">
        <v>40233.3502662037</v>
      </c>
      <c r="M6747" s="12"/>
      <c r="N6747" s="13" t="s">
        <v>15283</v>
      </c>
      <c r="O6747" s="9" t="str">
        <f aca="false">HYPERLINK("https://pbs.twimg.com/profile_images/1650170796/maccha_normal.jpg","View")</f>
        <v>View</v>
      </c>
      <c r="P6747" s="10"/>
    </row>
    <row r="6748" customFormat="false" ht="15.75" hidden="false" customHeight="false" outlineLevel="0" collapsed="false">
      <c r="A6748" s="6" t="n">
        <v>43031.1941898148</v>
      </c>
      <c r="B6748" s="7" t="str">
        <f aca="false">HYPERLINK("https://twitter.com/LionofYork","@LionofYork")</f>
        <v>@LionofYork</v>
      </c>
      <c r="C6748" s="8" t="s">
        <v>15284</v>
      </c>
      <c r="D6748" s="8" t="s">
        <v>15285</v>
      </c>
      <c r="E6748" s="9" t="str">
        <f aca="false">HYPERLINK("https://twitter.com/LionofYork/status/922427290809782273","922427290809782273")</f>
        <v>922427290809782273</v>
      </c>
      <c r="F6748" s="10" t="s">
        <v>39</v>
      </c>
      <c r="G6748" s="10" t="n">
        <v>134</v>
      </c>
      <c r="H6748" s="10" t="n">
        <v>167</v>
      </c>
      <c r="I6748" s="10" t="n">
        <v>16</v>
      </c>
      <c r="J6748" s="10" t="n">
        <v>0</v>
      </c>
      <c r="K6748" s="10" t="s">
        <v>20</v>
      </c>
      <c r="L6748" s="11" t="n">
        <v>42958.4050462963</v>
      </c>
      <c r="M6748" s="12" t="s">
        <v>15286</v>
      </c>
      <c r="N6748" s="12" t="s">
        <v>15287</v>
      </c>
      <c r="O6748" s="9" t="str">
        <f aca="false">HYPERLINK("https://pbs.twimg.com/profile_images/912055117419073536/TfHt_jX2_normal.jpg","View")</f>
        <v>View</v>
      </c>
      <c r="P6748" s="10"/>
    </row>
    <row r="6749" customFormat="false" ht="15.75" hidden="false" customHeight="false" outlineLevel="0" collapsed="false">
      <c r="A6749" s="6" t="n">
        <v>43031.1946643519</v>
      </c>
      <c r="B6749" s="7" t="str">
        <f aca="false">HYPERLINK("https://twitter.com/DaphneMugambwa","@DaphneMugambwa")</f>
        <v>@DaphneMugambwa</v>
      </c>
      <c r="C6749" s="8" t="s">
        <v>15288</v>
      </c>
      <c r="D6749" s="8" t="s">
        <v>15285</v>
      </c>
      <c r="E6749" s="9" t="str">
        <f aca="false">HYPERLINK("https://twitter.com/DaphneMugambwa/status/922427462323195905","922427462323195905")</f>
        <v>922427462323195905</v>
      </c>
      <c r="F6749" s="10" t="s">
        <v>51</v>
      </c>
      <c r="G6749" s="10" t="n">
        <v>986</v>
      </c>
      <c r="H6749" s="10" t="n">
        <v>848</v>
      </c>
      <c r="I6749" s="10" t="n">
        <v>16</v>
      </c>
      <c r="J6749" s="10" t="n">
        <v>0</v>
      </c>
      <c r="K6749" s="10" t="s">
        <v>20</v>
      </c>
      <c r="L6749" s="11" t="n">
        <v>42196.4513541667</v>
      </c>
      <c r="M6749" s="12" t="s">
        <v>15289</v>
      </c>
      <c r="N6749" s="12" t="s">
        <v>15290</v>
      </c>
      <c r="O6749" s="9" t="str">
        <f aca="false">HYPERLINK("https://pbs.twimg.com/profile_images/833632603542523904/98-J85zf_normal.jpg","View")</f>
        <v>View</v>
      </c>
      <c r="P6749" s="10"/>
    </row>
    <row r="6750" customFormat="false" ht="15.75" hidden="false" customHeight="false" outlineLevel="0" collapsed="false">
      <c r="A6750" s="6" t="n">
        <v>43031.1949652778</v>
      </c>
      <c r="B6750" s="7" t="str">
        <f aca="false">HYPERLINK("https://twitter.com/S_Mrisho","@S_Mrisho")</f>
        <v>@S_Mrisho</v>
      </c>
      <c r="C6750" s="8" t="s">
        <v>15291</v>
      </c>
      <c r="D6750" s="8" t="s">
        <v>15285</v>
      </c>
      <c r="E6750" s="9" t="str">
        <f aca="false">HYPERLINK("https://twitter.com/S_Mrisho/status/922427570053898240","922427570053898240")</f>
        <v>922427570053898240</v>
      </c>
      <c r="F6750" s="10" t="s">
        <v>25</v>
      </c>
      <c r="G6750" s="10" t="n">
        <v>11085</v>
      </c>
      <c r="H6750" s="10" t="n">
        <v>793</v>
      </c>
      <c r="I6750" s="10" t="n">
        <v>16</v>
      </c>
      <c r="J6750" s="10" t="n">
        <v>0</v>
      </c>
      <c r="K6750" s="10" t="s">
        <v>20</v>
      </c>
      <c r="L6750" s="11" t="n">
        <v>41099.3457060185</v>
      </c>
      <c r="M6750" s="12" t="s">
        <v>15292</v>
      </c>
      <c r="N6750" s="12" t="s">
        <v>15293</v>
      </c>
      <c r="O6750" s="9" t="str">
        <f aca="false">HYPERLINK("https://pbs.twimg.com/profile_images/900641779548127232/0KkBZOgy_normal.jpg","View")</f>
        <v>View</v>
      </c>
      <c r="P6750" s="10"/>
    </row>
    <row r="6751" customFormat="false" ht="15.75" hidden="false" customHeight="false" outlineLevel="0" collapsed="false">
      <c r="A6751" s="6" t="n">
        <v>43031.1951157407</v>
      </c>
      <c r="B6751" s="7" t="str">
        <f aca="false">HYPERLINK("https://twitter.com/ceciletamura","@ceciletamura")</f>
        <v>@ceciletamura</v>
      </c>
      <c r="C6751" s="8" t="s">
        <v>15294</v>
      </c>
      <c r="D6751" s="8" t="s">
        <v>15285</v>
      </c>
      <c r="E6751" s="9" t="str">
        <f aca="false">HYPERLINK("https://twitter.com/ceciletamura/status/922427624164548609","922427624164548609")</f>
        <v>922427624164548609</v>
      </c>
      <c r="F6751" s="10" t="s">
        <v>39</v>
      </c>
      <c r="G6751" s="10" t="n">
        <v>1252</v>
      </c>
      <c r="H6751" s="10" t="n">
        <v>3242</v>
      </c>
      <c r="I6751" s="10" t="n">
        <v>16</v>
      </c>
      <c r="J6751" s="10" t="n">
        <v>0</v>
      </c>
      <c r="K6751" s="10" t="s">
        <v>20</v>
      </c>
      <c r="L6751" s="11" t="n">
        <v>41738.8876388889</v>
      </c>
      <c r="M6751" s="12"/>
      <c r="N6751" s="12" t="s">
        <v>15295</v>
      </c>
      <c r="O6751" s="9" t="str">
        <f aca="false">HYPERLINK("https://pbs.twimg.com/profile_images/534270182034665473/uwHxaxSt_normal.jpeg","View")</f>
        <v>View</v>
      </c>
      <c r="P6751" s="10"/>
    </row>
    <row r="6752" customFormat="false" ht="15.75" hidden="false" customHeight="false" outlineLevel="0" collapsed="false">
      <c r="A6752" s="6" t="n">
        <v>43031.1955787037</v>
      </c>
      <c r="B6752" s="7" t="str">
        <f aca="false">HYPERLINK("https://twitter.com/ironsightforge","@ironsightforge")</f>
        <v>@ironsightforge</v>
      </c>
      <c r="C6752" s="8" t="s">
        <v>15296</v>
      </c>
      <c r="D6752" s="8" t="s">
        <v>15285</v>
      </c>
      <c r="E6752" s="9" t="str">
        <f aca="false">HYPERLINK("https://twitter.com/ironsightforge/status/922427792448479233","922427792448479233")</f>
        <v>922427792448479233</v>
      </c>
      <c r="F6752" s="10" t="s">
        <v>25</v>
      </c>
      <c r="G6752" s="10" t="n">
        <v>399</v>
      </c>
      <c r="H6752" s="10" t="n">
        <v>379</v>
      </c>
      <c r="I6752" s="10" t="n">
        <v>16</v>
      </c>
      <c r="J6752" s="10" t="n">
        <v>0</v>
      </c>
      <c r="K6752" s="10" t="s">
        <v>20</v>
      </c>
      <c r="L6752" s="11" t="n">
        <v>42192.7712152778</v>
      </c>
      <c r="M6752" s="12" t="s">
        <v>15297</v>
      </c>
      <c r="N6752" s="12" t="s">
        <v>15298</v>
      </c>
      <c r="O6752" s="9" t="str">
        <f aca="false">HYPERLINK("https://pbs.twimg.com/profile_images/664735847695056896/IXzjdknt_normal.jpg","View")</f>
        <v>View</v>
      </c>
      <c r="P6752" s="10"/>
    </row>
    <row r="6753" customFormat="false" ht="15.75" hidden="false" customHeight="false" outlineLevel="0" collapsed="false">
      <c r="A6753" s="6" t="n">
        <v>43031.1957986111</v>
      </c>
      <c r="B6753" s="7" t="str">
        <f aca="false">HYPERLINK("https://twitter.com/QxNews","@QxNews")</f>
        <v>@QxNews</v>
      </c>
      <c r="C6753" s="8" t="s">
        <v>3009</v>
      </c>
      <c r="D6753" s="8" t="s">
        <v>15285</v>
      </c>
      <c r="E6753" s="9" t="str">
        <f aca="false">HYPERLINK("https://twitter.com/QxNews/status/922427871632678913","922427871632678913")</f>
        <v>922427871632678913</v>
      </c>
      <c r="F6753" s="10" t="s">
        <v>3011</v>
      </c>
      <c r="G6753" s="10" t="n">
        <v>3237</v>
      </c>
      <c r="H6753" s="10" t="n">
        <v>271</v>
      </c>
      <c r="I6753" s="10" t="n">
        <v>16</v>
      </c>
      <c r="J6753" s="10" t="n">
        <v>0</v>
      </c>
      <c r="K6753" s="10" t="s">
        <v>20</v>
      </c>
      <c r="L6753" s="11" t="n">
        <v>41497.8580671296</v>
      </c>
      <c r="M6753" s="12" t="s">
        <v>502</v>
      </c>
      <c r="N6753" s="12" t="s">
        <v>3012</v>
      </c>
      <c r="O6753" s="9" t="str">
        <f aca="false">HYPERLINK("https://pbs.twimg.com/profile_images/597288578092240896/ePlmSYCH_normal.png","View")</f>
        <v>View</v>
      </c>
      <c r="P6753" s="10"/>
    </row>
    <row r="6754" customFormat="false" ht="15.75" hidden="false" customHeight="false" outlineLevel="0" collapsed="false">
      <c r="A6754" s="6" t="n">
        <v>43031.1961342593</v>
      </c>
      <c r="B6754" s="7" t="str">
        <f aca="false">HYPERLINK("https://twitter.com/ichigo_opanchu","@ichigo_opanchu")</f>
        <v>@ichigo_opanchu</v>
      </c>
      <c r="C6754" s="14" t="s">
        <v>12694</v>
      </c>
      <c r="D6754" s="8" t="s">
        <v>15299</v>
      </c>
      <c r="E6754" s="9" t="str">
        <f aca="false">HYPERLINK("https://twitter.com/ichigo_opanchu/status/922427994919944192","922427994919944192")</f>
        <v>922427994919944192</v>
      </c>
      <c r="F6754" s="9" t="s">
        <v>1340</v>
      </c>
      <c r="G6754" s="10" t="n">
        <v>1174</v>
      </c>
      <c r="H6754" s="10" t="n">
        <v>1629</v>
      </c>
      <c r="I6754" s="10" t="n">
        <v>0</v>
      </c>
      <c r="J6754" s="10" t="n">
        <v>0</v>
      </c>
      <c r="K6754" s="10" t="s">
        <v>20</v>
      </c>
      <c r="L6754" s="11" t="n">
        <v>41584.515787037</v>
      </c>
      <c r="M6754" s="12"/>
      <c r="N6754" s="12"/>
      <c r="O6754" s="9" t="str">
        <f aca="false">HYPERLINK("https://pbs.twimg.com/profile_images/378800000706122038/8717500dd70ef1765108669059e3f9b0_normal.jpeg","View")</f>
        <v>View</v>
      </c>
      <c r="P6754" s="10"/>
    </row>
    <row r="6755" customFormat="false" ht="15.75" hidden="false" customHeight="false" outlineLevel="0" collapsed="false">
      <c r="A6755" s="6" t="n">
        <v>43031.1961574074</v>
      </c>
      <c r="B6755" s="7" t="str">
        <f aca="false">HYPERLINK("https://twitter.com/abcnews","@abcnews")</f>
        <v>@abcnews</v>
      </c>
      <c r="C6755" s="8" t="s">
        <v>9645</v>
      </c>
      <c r="D6755" s="8" t="s">
        <v>15300</v>
      </c>
      <c r="E6755" s="9" t="str">
        <f aca="false">HYPERLINK("https://twitter.com/abcnews/status/922428004092977152","922428004092977152")</f>
        <v>922428004092977152</v>
      </c>
      <c r="F6755" s="9" t="s">
        <v>198</v>
      </c>
      <c r="G6755" s="10" t="n">
        <v>1399417</v>
      </c>
      <c r="H6755" s="10" t="n">
        <v>1230</v>
      </c>
      <c r="I6755" s="10" t="n">
        <v>11</v>
      </c>
      <c r="J6755" s="10" t="n">
        <v>8</v>
      </c>
      <c r="K6755" s="10" t="s">
        <v>20</v>
      </c>
      <c r="L6755" s="11" t="n">
        <v>39169.8025</v>
      </c>
      <c r="M6755" s="12" t="s">
        <v>1199</v>
      </c>
      <c r="N6755" s="12" t="s">
        <v>9648</v>
      </c>
      <c r="O6755" s="9" t="str">
        <f aca="false">HYPERLINK("https://pbs.twimg.com/profile_images/851166911245107200/4xsqBmY5_normal.jpg","View")</f>
        <v>View</v>
      </c>
      <c r="P6755" s="10"/>
    </row>
    <row r="6756" customFormat="false" ht="15.75" hidden="false" customHeight="false" outlineLevel="0" collapsed="false">
      <c r="A6756" s="6" t="n">
        <v>43031.1963310185</v>
      </c>
      <c r="B6756" s="7" t="str">
        <f aca="false">HYPERLINK("https://twitter.com/nagystephen1","@nagystephen1")</f>
        <v>@nagystephen1</v>
      </c>
      <c r="C6756" s="8" t="s">
        <v>15301</v>
      </c>
      <c r="D6756" s="8" t="s">
        <v>15302</v>
      </c>
      <c r="E6756" s="9" t="str">
        <f aca="false">HYPERLINK("https://twitter.com/nagystephen1/status/922428068009930752","922428068009930752")</f>
        <v>922428068009930752</v>
      </c>
      <c r="F6756" s="10" t="s">
        <v>51</v>
      </c>
      <c r="G6756" s="10" t="n">
        <v>216</v>
      </c>
      <c r="H6756" s="10" t="n">
        <v>331</v>
      </c>
      <c r="I6756" s="10" t="n">
        <v>11</v>
      </c>
      <c r="J6756" s="10" t="n">
        <v>0</v>
      </c>
      <c r="K6756" s="10" t="s">
        <v>20</v>
      </c>
      <c r="L6756" s="11" t="n">
        <v>41987.766712963</v>
      </c>
      <c r="M6756" s="12" t="s">
        <v>1473</v>
      </c>
      <c r="N6756" s="12" t="s">
        <v>15303</v>
      </c>
      <c r="O6756" s="9" t="str">
        <f aca="false">HYPERLINK("https://pbs.twimg.com/profile_images/678484608560705536/xgJS_xuX_normal.jpg","View")</f>
        <v>View</v>
      </c>
      <c r="P6756" s="10"/>
    </row>
    <row r="6757" customFormat="false" ht="15.75" hidden="false" customHeight="false" outlineLevel="0" collapsed="false">
      <c r="A6757" s="6" t="n">
        <v>43031.1965625</v>
      </c>
      <c r="B6757" s="7" t="str">
        <f aca="false">HYPERLINK("https://twitter.com/mhh_heron","@mhh_heron")</f>
        <v>@mhh_heron</v>
      </c>
      <c r="C6757" s="8" t="s">
        <v>15304</v>
      </c>
      <c r="D6757" s="8" t="s">
        <v>15305</v>
      </c>
      <c r="E6757" s="9" t="str">
        <f aca="false">HYPERLINK("https://twitter.com/mhh_heron/status/922428151996743680","922428151996743680")</f>
        <v>922428151996743680</v>
      </c>
      <c r="F6757" s="10" t="s">
        <v>60</v>
      </c>
      <c r="G6757" s="10" t="n">
        <v>609</v>
      </c>
      <c r="H6757" s="10" t="n">
        <v>3848</v>
      </c>
      <c r="I6757" s="10" t="n">
        <v>0</v>
      </c>
      <c r="J6757" s="10" t="n">
        <v>0</v>
      </c>
      <c r="K6757" s="10" t="s">
        <v>20</v>
      </c>
      <c r="L6757" s="11" t="n">
        <v>42271.4890972222</v>
      </c>
      <c r="M6757" s="12" t="s">
        <v>2875</v>
      </c>
      <c r="N6757" s="12"/>
      <c r="O6757" s="9" t="str">
        <f aca="false">HYPERLINK("https://pbs.twimg.com/profile_images/818156761811030016/8oKzGChx_normal.jpg","View")</f>
        <v>View</v>
      </c>
      <c r="P6757" s="10"/>
    </row>
    <row r="6758" customFormat="false" ht="15.75" hidden="false" customHeight="false" outlineLevel="0" collapsed="false">
      <c r="A6758" s="6" t="n">
        <v>43031.1969907407</v>
      </c>
      <c r="B6758" s="7" t="str">
        <f aca="false">HYPERLINK("https://twitter.com/domiruiz02","@domiruiz02")</f>
        <v>@domiruiz02</v>
      </c>
      <c r="C6758" s="8" t="s">
        <v>15306</v>
      </c>
      <c r="D6758" s="8" t="s">
        <v>15285</v>
      </c>
      <c r="E6758" s="9" t="str">
        <f aca="false">HYPERLINK("https://twitter.com/domiruiz02/status/922428303188914176","922428303188914176")</f>
        <v>922428303188914176</v>
      </c>
      <c r="F6758" s="10" t="s">
        <v>39</v>
      </c>
      <c r="G6758" s="10" t="n">
        <v>188</v>
      </c>
      <c r="H6758" s="10" t="n">
        <v>242</v>
      </c>
      <c r="I6758" s="10" t="n">
        <v>16</v>
      </c>
      <c r="J6758" s="10" t="n">
        <v>0</v>
      </c>
      <c r="K6758" s="10" t="s">
        <v>20</v>
      </c>
      <c r="L6758" s="11" t="n">
        <v>42811.7924537037</v>
      </c>
      <c r="M6758" s="12"/>
      <c r="N6758" s="12"/>
      <c r="O6758" s="9" t="str">
        <f aca="false">HYPERLINK("https://pbs.twimg.com/profile_images/850371871170334720/FzLjpkI-_normal.jpg","View")</f>
        <v>View</v>
      </c>
      <c r="P6758" s="10"/>
    </row>
    <row r="6759" customFormat="false" ht="15.75" hidden="false" customHeight="false" outlineLevel="0" collapsed="false">
      <c r="A6759" s="6" t="n">
        <v>43031.1970486111</v>
      </c>
      <c r="B6759" s="7" t="str">
        <f aca="false">HYPERLINK("https://twitter.com/yespee74","@yespee74")</f>
        <v>@yespee74</v>
      </c>
      <c r="C6759" s="8" t="s">
        <v>15307</v>
      </c>
      <c r="D6759" s="8" t="s">
        <v>8538</v>
      </c>
      <c r="E6759" s="9" t="str">
        <f aca="false">HYPERLINK("https://twitter.com/yespee74/status/922428327343702017","922428327343702017")</f>
        <v>922428327343702017</v>
      </c>
      <c r="F6759" s="10" t="s">
        <v>3790</v>
      </c>
      <c r="G6759" s="10" t="n">
        <v>82</v>
      </c>
      <c r="H6759" s="10" t="n">
        <v>147</v>
      </c>
      <c r="I6759" s="10" t="n">
        <v>1015</v>
      </c>
      <c r="J6759" s="10" t="n">
        <v>0</v>
      </c>
      <c r="K6759" s="10" t="s">
        <v>20</v>
      </c>
      <c r="L6759" s="11" t="n">
        <v>39944.4145717593</v>
      </c>
      <c r="M6759" s="12" t="s">
        <v>13941</v>
      </c>
      <c r="N6759" s="12" t="s">
        <v>15308</v>
      </c>
      <c r="O6759" s="9" t="str">
        <f aca="false">HYPERLINK("https://abs.twimg.com/sticky/default_profile_images/default_profile_normal.png","View")</f>
        <v>View</v>
      </c>
      <c r="P6759" s="10"/>
    </row>
    <row r="6760" customFormat="false" ht="15.75" hidden="false" customHeight="false" outlineLevel="0" collapsed="false">
      <c r="A6760" s="6" t="n">
        <v>43031.1972337963</v>
      </c>
      <c r="B6760" s="7" t="str">
        <f aca="false">HYPERLINK("https://twitter.com/TetsuakiMiyachi","@TetsuakiMiyachi")</f>
        <v>@TetsuakiMiyachi</v>
      </c>
      <c r="C6760" s="8" t="s">
        <v>15309</v>
      </c>
      <c r="D6760" s="8" t="s">
        <v>15310</v>
      </c>
      <c r="E6760" s="9" t="str">
        <f aca="false">HYPERLINK("https://twitter.com/TetsuakiMiyachi/status/922428391613014016","922428391613014016")</f>
        <v>922428391613014016</v>
      </c>
      <c r="F6760" s="10" t="s">
        <v>51</v>
      </c>
      <c r="G6760" s="10" t="n">
        <v>125</v>
      </c>
      <c r="H6760" s="10" t="n">
        <v>122</v>
      </c>
      <c r="I6760" s="10" t="n">
        <v>0</v>
      </c>
      <c r="J6760" s="10" t="n">
        <v>0</v>
      </c>
      <c r="K6760" s="10" t="s">
        <v>20</v>
      </c>
      <c r="L6760" s="11" t="n">
        <v>40675.2788194445</v>
      </c>
      <c r="M6760" s="12" t="s">
        <v>15311</v>
      </c>
      <c r="N6760" s="13" t="s">
        <v>15312</v>
      </c>
      <c r="O6760" s="9" t="str">
        <f aca="false">HYPERLINK("https://pbs.twimg.com/profile_images/413322250595475456/EA-SDZ86_normal.jpeg","View")</f>
        <v>View</v>
      </c>
      <c r="P6760" s="10"/>
    </row>
    <row r="6761" customFormat="false" ht="15.75" hidden="false" customHeight="false" outlineLevel="0" collapsed="false">
      <c r="A6761" s="6" t="n">
        <v>43031.1981597222</v>
      </c>
      <c r="B6761" s="7" t="str">
        <f aca="false">HYPERLINK("https://twitter.com/NaomiMo16023848","@NaomiMo16023848")</f>
        <v>@NaomiMo16023848</v>
      </c>
      <c r="C6761" s="8" t="s">
        <v>15313</v>
      </c>
      <c r="D6761" s="8" t="s">
        <v>15302</v>
      </c>
      <c r="E6761" s="9" t="str">
        <f aca="false">HYPERLINK("https://twitter.com/NaomiMo16023848/status/922428729145507840","922428729145507840")</f>
        <v>922428729145507840</v>
      </c>
      <c r="F6761" s="10" t="s">
        <v>25</v>
      </c>
      <c r="G6761" s="10" t="n">
        <v>267</v>
      </c>
      <c r="H6761" s="10" t="n">
        <v>239</v>
      </c>
      <c r="I6761" s="10" t="n">
        <v>11</v>
      </c>
      <c r="J6761" s="10" t="n">
        <v>0</v>
      </c>
      <c r="K6761" s="10" t="s">
        <v>20</v>
      </c>
      <c r="L6761" s="11" t="n">
        <v>42683.0306134259</v>
      </c>
      <c r="M6761" s="12" t="s">
        <v>10693</v>
      </c>
      <c r="N6761" s="12" t="s">
        <v>15314</v>
      </c>
      <c r="O6761" s="9" t="str">
        <f aca="false">HYPERLINK("https://pbs.twimg.com/profile_images/906016201637191681/AE0I14XS_normal.jpg","View")</f>
        <v>View</v>
      </c>
      <c r="P6761" s="10"/>
    </row>
    <row r="6762" customFormat="false" ht="15.75" hidden="false" customHeight="false" outlineLevel="0" collapsed="false">
      <c r="A6762" s="6" t="n">
        <v>43031.1982291667</v>
      </c>
      <c r="B6762" s="7" t="str">
        <f aca="false">HYPERLINK("https://twitter.com/abosife2010","@abosife2010")</f>
        <v>@abosife2010</v>
      </c>
      <c r="C6762" s="8" t="s">
        <v>1783</v>
      </c>
      <c r="D6762" s="8" t="s">
        <v>15285</v>
      </c>
      <c r="E6762" s="9" t="str">
        <f aca="false">HYPERLINK("https://twitter.com/abosife2010/status/922428753753591813","922428753753591813")</f>
        <v>922428753753591813</v>
      </c>
      <c r="F6762" s="10" t="s">
        <v>98</v>
      </c>
      <c r="G6762" s="10" t="n">
        <v>1165</v>
      </c>
      <c r="H6762" s="10" t="n">
        <v>3105</v>
      </c>
      <c r="I6762" s="10" t="n">
        <v>16</v>
      </c>
      <c r="J6762" s="10" t="n">
        <v>0</v>
      </c>
      <c r="K6762" s="10" t="s">
        <v>20</v>
      </c>
      <c r="L6762" s="11" t="n">
        <v>40712.519224537</v>
      </c>
      <c r="M6762" s="12" t="s">
        <v>1784</v>
      </c>
      <c r="N6762" s="12" t="s">
        <v>1785</v>
      </c>
      <c r="O6762" s="9" t="str">
        <f aca="false">HYPERLINK("https://pbs.twimg.com/profile_images/869146010953682944/tD96CxJ8_normal.jpg","View")</f>
        <v>View</v>
      </c>
      <c r="P6762" s="10"/>
    </row>
    <row r="6763" customFormat="false" ht="15.75" hidden="false" customHeight="false" outlineLevel="0" collapsed="false">
      <c r="A6763" s="6" t="n">
        <v>43031.198275463</v>
      </c>
      <c r="B6763" s="7" t="str">
        <f aca="false">HYPERLINK("https://twitter.com/Monitor_sur","@Monitor_sur")</f>
        <v>@Monitor_sur</v>
      </c>
      <c r="C6763" s="8" t="s">
        <v>7880</v>
      </c>
      <c r="D6763" s="8" t="s">
        <v>15315</v>
      </c>
      <c r="E6763" s="9" t="str">
        <f aca="false">HYPERLINK("https://twitter.com/Monitor_sur/status/922428769012461568","922428769012461568")</f>
        <v>922428769012461568</v>
      </c>
      <c r="F6763" s="10" t="s">
        <v>110</v>
      </c>
      <c r="G6763" s="10" t="n">
        <v>8328</v>
      </c>
      <c r="H6763" s="10" t="n">
        <v>677</v>
      </c>
      <c r="I6763" s="10" t="n">
        <v>0</v>
      </c>
      <c r="J6763" s="10" t="n">
        <v>0</v>
      </c>
      <c r="K6763" s="10" t="s">
        <v>20</v>
      </c>
      <c r="L6763" s="11" t="n">
        <v>41680.3577546296</v>
      </c>
      <c r="M6763" s="12" t="s">
        <v>752</v>
      </c>
      <c r="N6763" s="12" t="s">
        <v>7882</v>
      </c>
      <c r="O6763" s="9" t="str">
        <f aca="false">HYPERLINK("https://pbs.twimg.com/profile_images/845323060584468481/Uy2FSm_h_normal.jpg","View")</f>
        <v>View</v>
      </c>
      <c r="P6763" s="10"/>
    </row>
    <row r="6764" customFormat="false" ht="15.75" hidden="false" customHeight="false" outlineLevel="0" collapsed="false">
      <c r="A6764" s="6" t="n">
        <v>43031.1984606482</v>
      </c>
      <c r="B6764" s="7" t="str">
        <f aca="false">HYPERLINK("https://twitter.com/noshityann","@noshityann")</f>
        <v>@noshityann</v>
      </c>
      <c r="C6764" s="14" t="s">
        <v>15316</v>
      </c>
      <c r="D6764" s="8" t="s">
        <v>12493</v>
      </c>
      <c r="E6764" s="9" t="str">
        <f aca="false">HYPERLINK("https://twitter.com/noshityann/status/922428836863545344","922428836863545344")</f>
        <v>922428836863545344</v>
      </c>
      <c r="F6764" s="10" t="s">
        <v>25</v>
      </c>
      <c r="G6764" s="10" t="n">
        <v>714</v>
      </c>
      <c r="H6764" s="10" t="n">
        <v>637</v>
      </c>
      <c r="I6764" s="10" t="n">
        <v>63</v>
      </c>
      <c r="J6764" s="10" t="n">
        <v>0</v>
      </c>
      <c r="K6764" s="10" t="s">
        <v>20</v>
      </c>
      <c r="L6764" s="11" t="n">
        <v>40755.7081828704</v>
      </c>
      <c r="M6764" s="13" t="s">
        <v>15317</v>
      </c>
      <c r="N6764" s="13" t="s">
        <v>15318</v>
      </c>
      <c r="O6764" s="9" t="str">
        <f aca="false">HYPERLINK("https://pbs.twimg.com/profile_images/3572203760/7949b3684586f0354a695b04159f4d0a_normal.jpeg","View")</f>
        <v>View</v>
      </c>
      <c r="P6764" s="10"/>
    </row>
    <row r="6765" customFormat="false" ht="15.75" hidden="false" customHeight="false" outlineLevel="0" collapsed="false">
      <c r="A6765" s="6" t="n">
        <v>43031.1985300926</v>
      </c>
      <c r="B6765" s="7" t="str">
        <f aca="false">HYPERLINK("https://twitter.com/jiei_yushi","@jiei_yushi")</f>
        <v>@jiei_yushi</v>
      </c>
      <c r="C6765" s="14" t="s">
        <v>4019</v>
      </c>
      <c r="D6765" s="8" t="s">
        <v>15285</v>
      </c>
      <c r="E6765" s="9" t="str">
        <f aca="false">HYPERLINK("https://twitter.com/jiei_yushi/status/922428862822305792","922428862822305792")</f>
        <v>922428862822305792</v>
      </c>
      <c r="F6765" s="10" t="s">
        <v>98</v>
      </c>
      <c r="G6765" s="10" t="n">
        <v>2619</v>
      </c>
      <c r="H6765" s="10" t="n">
        <v>98</v>
      </c>
      <c r="I6765" s="10" t="n">
        <v>16</v>
      </c>
      <c r="J6765" s="10" t="n">
        <v>0</v>
      </c>
      <c r="K6765" s="10" t="s">
        <v>20</v>
      </c>
      <c r="L6765" s="11" t="n">
        <v>40734.0638310185</v>
      </c>
      <c r="M6765" s="12" t="s">
        <v>4020</v>
      </c>
      <c r="N6765" s="13" t="s">
        <v>4021</v>
      </c>
      <c r="O6765" s="9" t="str">
        <f aca="false">HYPERLINK("https://pbs.twimg.com/profile_images/1434984865/HNI_0024_normal.JPG","View")</f>
        <v>View</v>
      </c>
      <c r="P6765" s="10"/>
    </row>
    <row r="6766" customFormat="false" ht="15.75" hidden="false" customHeight="false" outlineLevel="0" collapsed="false">
      <c r="A6766" s="6" t="n">
        <v>43031.1988541667</v>
      </c>
      <c r="B6766" s="7" t="str">
        <f aca="false">HYPERLINK("https://twitter.com/shankercbe","@shankercbe")</f>
        <v>@shankercbe</v>
      </c>
      <c r="C6766" s="8" t="s">
        <v>15319</v>
      </c>
      <c r="D6766" s="8" t="s">
        <v>8538</v>
      </c>
      <c r="E6766" s="9" t="str">
        <f aca="false">HYPERLINK("https://twitter.com/shankercbe/status/922428980984029184","922428980984029184")</f>
        <v>922428980984029184</v>
      </c>
      <c r="F6766" s="10" t="s">
        <v>25</v>
      </c>
      <c r="G6766" s="10" t="n">
        <v>329</v>
      </c>
      <c r="H6766" s="10" t="n">
        <v>1569</v>
      </c>
      <c r="I6766" s="10" t="n">
        <v>1015</v>
      </c>
      <c r="J6766" s="10" t="n">
        <v>0</v>
      </c>
      <c r="K6766" s="10" t="s">
        <v>20</v>
      </c>
      <c r="L6766" s="11" t="n">
        <v>40180.6305324074</v>
      </c>
      <c r="M6766" s="12"/>
      <c r="N6766" s="12" t="s">
        <v>15320</v>
      </c>
      <c r="O6766" s="9" t="str">
        <f aca="false">HYPERLINK("https://pbs.twimg.com/profile_images/553580409309503488/svXshJlz_normal.jpeg","View")</f>
        <v>View</v>
      </c>
      <c r="P6766" s="10"/>
    </row>
    <row r="6767" customFormat="false" ht="15.75" hidden="false" customHeight="false" outlineLevel="0" collapsed="false">
      <c r="A6767" s="6" t="n">
        <v>43031.1994675926</v>
      </c>
      <c r="B6767" s="7" t="str">
        <f aca="false">HYPERLINK("https://twitter.com/ginnyb3","@ginnyb3")</f>
        <v>@ginnyb3</v>
      </c>
      <c r="C6767" s="8" t="s">
        <v>15321</v>
      </c>
      <c r="D6767" s="8" t="s">
        <v>15302</v>
      </c>
      <c r="E6767" s="9" t="str">
        <f aca="false">HYPERLINK("https://twitter.com/ginnyb3/status/922429204138024960","922429204138024960")</f>
        <v>922429204138024960</v>
      </c>
      <c r="F6767" s="10" t="s">
        <v>25</v>
      </c>
      <c r="G6767" s="10" t="n">
        <v>1201</v>
      </c>
      <c r="H6767" s="10" t="n">
        <v>3147</v>
      </c>
      <c r="I6767" s="10" t="n">
        <v>11</v>
      </c>
      <c r="J6767" s="10" t="n">
        <v>0</v>
      </c>
      <c r="K6767" s="10" t="s">
        <v>20</v>
      </c>
      <c r="L6767" s="11" t="n">
        <v>40608.353912037</v>
      </c>
      <c r="M6767" s="12" t="s">
        <v>6243</v>
      </c>
      <c r="N6767" s="12" t="s">
        <v>15322</v>
      </c>
      <c r="O6767" s="9" t="str">
        <f aca="false">HYPERLINK("https://pbs.twimg.com/profile_images/873042539569217536/OHCJSxXm_normal.jpg","View")</f>
        <v>View</v>
      </c>
      <c r="P6767" s="10"/>
    </row>
    <row r="6768" customFormat="false" ht="15.75" hidden="false" customHeight="false" outlineLevel="0" collapsed="false">
      <c r="A6768" s="6" t="n">
        <v>43031.2002546296</v>
      </c>
      <c r="B6768" s="7" t="str">
        <f aca="false">HYPERLINK("https://twitter.com/2000thor","@2000thor")</f>
        <v>@2000thor</v>
      </c>
      <c r="C6768" s="8" t="s">
        <v>15323</v>
      </c>
      <c r="D6768" s="8" t="s">
        <v>15324</v>
      </c>
      <c r="E6768" s="9" t="str">
        <f aca="false">HYPERLINK("https://twitter.com/2000thor/status/922429489472331776","922429489472331776")</f>
        <v>922429489472331776</v>
      </c>
      <c r="F6768" s="10" t="s">
        <v>39</v>
      </c>
      <c r="G6768" s="10" t="n">
        <v>1757</v>
      </c>
      <c r="H6768" s="10" t="n">
        <v>2073</v>
      </c>
      <c r="I6768" s="10" t="n">
        <v>0</v>
      </c>
      <c r="J6768" s="10" t="n">
        <v>0</v>
      </c>
      <c r="K6768" s="10" t="s">
        <v>20</v>
      </c>
      <c r="L6768" s="11" t="n">
        <v>39950.9228935185</v>
      </c>
      <c r="M6768" s="12" t="s">
        <v>15325</v>
      </c>
      <c r="N6768" s="12" t="s">
        <v>15326</v>
      </c>
      <c r="O6768" s="9" t="str">
        <f aca="false">HYPERLINK("https://pbs.twimg.com/profile_images/401989955/ombportrait_normal.jpg","View")</f>
        <v>View</v>
      </c>
      <c r="P6768" s="10"/>
    </row>
    <row r="6769" customFormat="false" ht="15.75" hidden="false" customHeight="false" outlineLevel="0" collapsed="false">
      <c r="A6769" s="6" t="n">
        <v>43031.2003703704</v>
      </c>
      <c r="B6769" s="7" t="str">
        <f aca="false">HYPERLINK("https://twitter.com/AmolTikam","@AmolTikam")</f>
        <v>@AmolTikam</v>
      </c>
      <c r="C6769" s="8" t="s">
        <v>3625</v>
      </c>
      <c r="D6769" s="8" t="s">
        <v>15327</v>
      </c>
      <c r="E6769" s="9" t="str">
        <f aca="false">HYPERLINK("https://twitter.com/AmolTikam/status/922429529007693824","922429529007693824")</f>
        <v>922429529007693824</v>
      </c>
      <c r="F6769" s="10" t="s">
        <v>25</v>
      </c>
      <c r="G6769" s="10" t="n">
        <v>1469</v>
      </c>
      <c r="H6769" s="10" t="n">
        <v>2167</v>
      </c>
      <c r="I6769" s="10" t="n">
        <v>4</v>
      </c>
      <c r="J6769" s="10" t="n">
        <v>0</v>
      </c>
      <c r="K6769" s="10" t="s">
        <v>20</v>
      </c>
      <c r="L6769" s="11" t="n">
        <v>40054.2972106481</v>
      </c>
      <c r="M6769" s="12"/>
      <c r="N6769" s="12"/>
      <c r="O6769" s="9" t="str">
        <f aca="false">HYPERLINK("https://pbs.twimg.com/profile_images/686524658582032385/VXtfVs-f_normal.jpg","View")</f>
        <v>View</v>
      </c>
      <c r="P6769" s="10"/>
    </row>
    <row r="6770" customFormat="false" ht="15.75" hidden="false" customHeight="false" outlineLevel="0" collapsed="false">
      <c r="A6770" s="6" t="n">
        <v>43031.2007638889</v>
      </c>
      <c r="B6770" s="7" t="str">
        <f aca="false">HYPERLINK("https://twitter.com/happydreams22","@happydreams22")</f>
        <v>@happydreams22</v>
      </c>
      <c r="C6770" s="8" t="s">
        <v>9660</v>
      </c>
      <c r="D6770" s="8" t="s">
        <v>15328</v>
      </c>
      <c r="E6770" s="9" t="str">
        <f aca="false">HYPERLINK("https://twitter.com/happydreams22/status/922429672293588992","922429672293588992")</f>
        <v>922429672293588992</v>
      </c>
      <c r="F6770" s="10" t="s">
        <v>60</v>
      </c>
      <c r="G6770" s="10" t="n">
        <v>1187</v>
      </c>
      <c r="H6770" s="10" t="n">
        <v>4566</v>
      </c>
      <c r="I6770" s="10" t="n">
        <v>0</v>
      </c>
      <c r="J6770" s="10" t="n">
        <v>0</v>
      </c>
      <c r="K6770" s="10" t="s">
        <v>20</v>
      </c>
      <c r="L6770" s="11" t="n">
        <v>39897.3427546296</v>
      </c>
      <c r="M6770" s="12" t="s">
        <v>4565</v>
      </c>
      <c r="N6770" s="12" t="s">
        <v>9662</v>
      </c>
      <c r="O6770" s="9" t="str">
        <f aca="false">HYPERLINK("https://pbs.twimg.com/profile_images/887081321536868353/GHkn9eAW_normal.jpg","View")</f>
        <v>View</v>
      </c>
      <c r="P6770" s="10"/>
    </row>
    <row r="6771" customFormat="false" ht="15.75" hidden="false" customHeight="false" outlineLevel="0" collapsed="false">
      <c r="A6771" s="6" t="n">
        <v>43031.2014351852</v>
      </c>
      <c r="B6771" s="7" t="str">
        <f aca="false">HYPERLINK("https://twitter.com/norma_maririn","@norma_maririn")</f>
        <v>@norma_maririn</v>
      </c>
      <c r="C6771" s="8" t="s">
        <v>15329</v>
      </c>
      <c r="D6771" s="8" t="s">
        <v>12493</v>
      </c>
      <c r="E6771" s="9" t="str">
        <f aca="false">HYPERLINK("https://twitter.com/norma_maririn/status/922429916104114176","922429916104114176")</f>
        <v>922429916104114176</v>
      </c>
      <c r="F6771" s="10" t="s">
        <v>51</v>
      </c>
      <c r="G6771" s="10" t="n">
        <v>1959</v>
      </c>
      <c r="H6771" s="10" t="n">
        <v>1993</v>
      </c>
      <c r="I6771" s="10" t="n">
        <v>63</v>
      </c>
      <c r="J6771" s="10" t="n">
        <v>0</v>
      </c>
      <c r="K6771" s="10" t="s">
        <v>20</v>
      </c>
      <c r="L6771" s="11" t="n">
        <v>41743.0921759259</v>
      </c>
      <c r="M6771" s="12" t="s">
        <v>15330</v>
      </c>
      <c r="N6771" s="13" t="s">
        <v>15331</v>
      </c>
      <c r="O6771" s="9" t="str">
        <f aca="false">HYPERLINK("https://pbs.twimg.com/profile_images/576443493536514048/fMZPquCi_normal.jpeg","View")</f>
        <v>View</v>
      </c>
      <c r="P6771" s="10"/>
    </row>
    <row r="6772" customFormat="false" ht="15.75" hidden="false" customHeight="false" outlineLevel="0" collapsed="false">
      <c r="A6772" s="6" t="n">
        <v>43031.2019907407</v>
      </c>
      <c r="B6772" s="7" t="str">
        <f aca="false">HYPERLINK("https://twitter.com/U_Switch1","@U_Switch1")</f>
        <v>@U_Switch1</v>
      </c>
      <c r="C6772" s="8" t="s">
        <v>15332</v>
      </c>
      <c r="D6772" s="8" t="s">
        <v>15285</v>
      </c>
      <c r="E6772" s="9" t="str">
        <f aca="false">HYPERLINK("https://twitter.com/U_Switch1/status/922430117699350528","922430117699350528")</f>
        <v>922430117699350528</v>
      </c>
      <c r="F6772" s="10" t="s">
        <v>25</v>
      </c>
      <c r="G6772" s="10" t="n">
        <v>6284</v>
      </c>
      <c r="H6772" s="10" t="n">
        <v>646</v>
      </c>
      <c r="I6772" s="10" t="n">
        <v>16</v>
      </c>
      <c r="J6772" s="10" t="n">
        <v>0</v>
      </c>
      <c r="K6772" s="10" t="s">
        <v>20</v>
      </c>
      <c r="L6772" s="11" t="n">
        <v>41149.4671527778</v>
      </c>
      <c r="M6772" s="12" t="s">
        <v>15333</v>
      </c>
      <c r="N6772" s="12" t="s">
        <v>15334</v>
      </c>
      <c r="O6772" s="9" t="str">
        <f aca="false">HYPERLINK("https://pbs.twimg.com/profile_images/911330590045204482/5ylDJzI2_normal.jpg","View")</f>
        <v>View</v>
      </c>
      <c r="P6772" s="10"/>
    </row>
    <row r="6773" customFormat="false" ht="15.75" hidden="false" customHeight="false" outlineLevel="0" collapsed="false">
      <c r="A6773" s="6" t="n">
        <v>43031.2020717593</v>
      </c>
      <c r="B6773" s="7" t="str">
        <f aca="false">HYPERLINK("https://twitter.com/TheNPalSingh","@TheNPalSingh")</f>
        <v>@TheNPalSingh</v>
      </c>
      <c r="C6773" s="8" t="s">
        <v>15335</v>
      </c>
      <c r="D6773" s="8" t="s">
        <v>15285</v>
      </c>
      <c r="E6773" s="9" t="str">
        <f aca="false">HYPERLINK("https://twitter.com/TheNPalSingh/status/922430146417758208","922430146417758208")</f>
        <v>922430146417758208</v>
      </c>
      <c r="F6773" s="10" t="s">
        <v>51</v>
      </c>
      <c r="G6773" s="10" t="n">
        <v>325</v>
      </c>
      <c r="H6773" s="10" t="n">
        <v>754</v>
      </c>
      <c r="I6773" s="10" t="n">
        <v>16</v>
      </c>
      <c r="J6773" s="10" t="n">
        <v>0</v>
      </c>
      <c r="K6773" s="10" t="s">
        <v>20</v>
      </c>
      <c r="L6773" s="11" t="n">
        <v>40301.9635300926</v>
      </c>
      <c r="M6773" s="12" t="s">
        <v>15336</v>
      </c>
      <c r="N6773" s="12" t="s">
        <v>15337</v>
      </c>
      <c r="O6773" s="9" t="str">
        <f aca="false">HYPERLINK("https://pbs.twimg.com/profile_images/789707813203218432/3hkViK1R_normal.jpg","View")</f>
        <v>View</v>
      </c>
      <c r="P6773" s="10"/>
    </row>
    <row r="6774" customFormat="false" ht="15.75" hidden="false" customHeight="false" outlineLevel="0" collapsed="false">
      <c r="A6774" s="6" t="n">
        <v>43031.2029513889</v>
      </c>
      <c r="B6774" s="7" t="str">
        <f aca="false">HYPERLINK("https://twitter.com/dhavalgandhi007","@dhavalgandhi007")</f>
        <v>@dhavalgandhi007</v>
      </c>
      <c r="C6774" s="8" t="s">
        <v>15338</v>
      </c>
      <c r="D6774" s="8" t="s">
        <v>8538</v>
      </c>
      <c r="E6774" s="9" t="str">
        <f aca="false">HYPERLINK("https://twitter.com/dhavalgandhi007/status/922430465478479872","922430465478479872")</f>
        <v>922430465478479872</v>
      </c>
      <c r="F6774" s="10" t="s">
        <v>51</v>
      </c>
      <c r="G6774" s="10" t="n">
        <v>480</v>
      </c>
      <c r="H6774" s="10" t="n">
        <v>343</v>
      </c>
      <c r="I6774" s="10" t="n">
        <v>1015</v>
      </c>
      <c r="J6774" s="10" t="n">
        <v>0</v>
      </c>
      <c r="K6774" s="10" t="s">
        <v>20</v>
      </c>
      <c r="L6774" s="11" t="n">
        <v>40771.96</v>
      </c>
      <c r="M6774" s="12" t="s">
        <v>15339</v>
      </c>
      <c r="N6774" s="12" t="s">
        <v>15340</v>
      </c>
      <c r="O6774" s="9" t="str">
        <f aca="false">HYPERLINK("https://pbs.twimg.com/profile_images/897319775721840640/LPjoSlnT_normal.jpg","View")</f>
        <v>View</v>
      </c>
      <c r="P6774" s="10"/>
    </row>
    <row r="6775" customFormat="false" ht="15.75" hidden="false" customHeight="false" outlineLevel="0" collapsed="false">
      <c r="A6775" s="6" t="n">
        <v>43031.2030787037</v>
      </c>
      <c r="B6775" s="7" t="str">
        <f aca="false">HYPERLINK("https://twitter.com/ichigo_opanchu","@ichigo_opanchu")</f>
        <v>@ichigo_opanchu</v>
      </c>
      <c r="C6775" s="14" t="s">
        <v>12694</v>
      </c>
      <c r="D6775" s="8" t="s">
        <v>15341</v>
      </c>
      <c r="E6775" s="9" t="str">
        <f aca="false">HYPERLINK("https://twitter.com/ichigo_opanchu/status/922430511590420481","922430511590420481")</f>
        <v>922430511590420481</v>
      </c>
      <c r="F6775" s="9" t="s">
        <v>1340</v>
      </c>
      <c r="G6775" s="10" t="n">
        <v>1174</v>
      </c>
      <c r="H6775" s="10" t="n">
        <v>1629</v>
      </c>
      <c r="I6775" s="10" t="n">
        <v>0</v>
      </c>
      <c r="J6775" s="10" t="n">
        <v>0</v>
      </c>
      <c r="K6775" s="10" t="s">
        <v>20</v>
      </c>
      <c r="L6775" s="11" t="n">
        <v>41584.515787037</v>
      </c>
      <c r="M6775" s="12"/>
      <c r="N6775" s="12"/>
      <c r="O6775" s="9" t="str">
        <f aca="false">HYPERLINK("https://pbs.twimg.com/profile_images/378800000706122038/8717500dd70ef1765108669059e3f9b0_normal.jpeg","View")</f>
        <v>View</v>
      </c>
      <c r="P6775" s="10"/>
    </row>
    <row r="6776" customFormat="false" ht="15.75" hidden="false" customHeight="false" outlineLevel="0" collapsed="false">
      <c r="A6776" s="6" t="n">
        <v>43031.2038888889</v>
      </c>
      <c r="B6776" s="7" t="str">
        <f aca="false">HYPERLINK("https://twitter.com/OccuWorld","@OccuWorld")</f>
        <v>@OccuWorld</v>
      </c>
      <c r="C6776" s="8" t="s">
        <v>15342</v>
      </c>
      <c r="D6776" s="8" t="s">
        <v>15343</v>
      </c>
      <c r="E6776" s="9" t="str">
        <f aca="false">HYPERLINK("https://twitter.com/OccuWorld/status/922430803702841344","922430803702841344")</f>
        <v>922430803702841344</v>
      </c>
      <c r="F6776" s="10" t="s">
        <v>15344</v>
      </c>
      <c r="G6776" s="10" t="n">
        <v>7743</v>
      </c>
      <c r="H6776" s="10" t="n">
        <v>981</v>
      </c>
      <c r="I6776" s="10" t="n">
        <v>1</v>
      </c>
      <c r="J6776" s="10" t="n">
        <v>1</v>
      </c>
      <c r="K6776" s="10" t="s">
        <v>20</v>
      </c>
      <c r="L6776" s="11" t="n">
        <v>41319.360625</v>
      </c>
      <c r="M6776" s="12" t="s">
        <v>1670</v>
      </c>
      <c r="N6776" s="12" t="s">
        <v>15345</v>
      </c>
      <c r="O6776" s="9" t="str">
        <f aca="false">HYPERLINK("https://pbs.twimg.com/profile_images/563724232287211520/sEoE-N6j_normal.jpeg","View")</f>
        <v>View</v>
      </c>
      <c r="P6776" s="10"/>
    </row>
    <row r="6777" customFormat="false" ht="15.75" hidden="false" customHeight="false" outlineLevel="0" collapsed="false">
      <c r="A6777" s="6" t="n">
        <v>43031.2044328704</v>
      </c>
      <c r="B6777" s="7" t="str">
        <f aca="false">HYPERLINK("https://twitter.com/laserhaas01","@laserhaas01")</f>
        <v>@laserhaas01</v>
      </c>
      <c r="C6777" s="8" t="s">
        <v>15346</v>
      </c>
      <c r="D6777" s="8" t="s">
        <v>15347</v>
      </c>
      <c r="E6777" s="9" t="str">
        <f aca="false">HYPERLINK("https://twitter.com/laserhaas01/status/922431002957328384","922431002957328384")</f>
        <v>922431002957328384</v>
      </c>
      <c r="F6777" s="10" t="s">
        <v>25</v>
      </c>
      <c r="G6777" s="10" t="n">
        <v>13225</v>
      </c>
      <c r="H6777" s="10" t="n">
        <v>13980</v>
      </c>
      <c r="I6777" s="10" t="n">
        <v>1</v>
      </c>
      <c r="J6777" s="10" t="n">
        <v>0</v>
      </c>
      <c r="K6777" s="10" t="s">
        <v>20</v>
      </c>
      <c r="L6777" s="11" t="n">
        <v>39624.5062152778</v>
      </c>
      <c r="M6777" s="12" t="s">
        <v>15348</v>
      </c>
      <c r="N6777" s="12" t="s">
        <v>15349</v>
      </c>
      <c r="O6777" s="9" t="str">
        <f aca="false">HYPERLINK("https://pbs.twimg.com/profile_images/921835899981217792/i_oAX8CF_normal.jpg","View")</f>
        <v>View</v>
      </c>
      <c r="P6777" s="10"/>
    </row>
    <row r="6778" customFormat="false" ht="15.75" hidden="false" customHeight="false" outlineLevel="0" collapsed="false">
      <c r="A6778" s="6" t="n">
        <v>43031.2053125</v>
      </c>
      <c r="B6778" s="7" t="str">
        <f aca="false">HYPERLINK("https://twitter.com/SamirGahlaut","@SamirGahlaut")</f>
        <v>@SamirGahlaut</v>
      </c>
      <c r="C6778" s="8" t="s">
        <v>15350</v>
      </c>
      <c r="D6778" s="8" t="s">
        <v>8538</v>
      </c>
      <c r="E6778" s="9" t="str">
        <f aca="false">HYPERLINK("https://twitter.com/SamirGahlaut/status/922431321011392512","922431321011392512")</f>
        <v>922431321011392512</v>
      </c>
      <c r="F6778" s="10" t="s">
        <v>25</v>
      </c>
      <c r="G6778" s="10" t="n">
        <v>247</v>
      </c>
      <c r="H6778" s="10" t="n">
        <v>263</v>
      </c>
      <c r="I6778" s="10" t="n">
        <v>1015</v>
      </c>
      <c r="J6778" s="10" t="n">
        <v>0</v>
      </c>
      <c r="K6778" s="10" t="s">
        <v>20</v>
      </c>
      <c r="L6778" s="11" t="n">
        <v>41135.442974537</v>
      </c>
      <c r="M6778" s="12"/>
      <c r="N6778" s="12"/>
      <c r="O6778" s="9" t="str">
        <f aca="false">HYPERLINK("https://pbs.twimg.com/profile_images/835006490654175232/qUC5L7DB_normal.jpg","View")</f>
        <v>View</v>
      </c>
      <c r="P6778" s="10"/>
    </row>
    <row r="6779" customFormat="false" ht="15.75" hidden="false" customHeight="false" outlineLevel="0" collapsed="false">
      <c r="A6779" s="6" t="n">
        <v>43031.2057638889</v>
      </c>
      <c r="B6779" s="7" t="str">
        <f aca="false">HYPERLINK("https://twitter.com/TheMediaIgnores","@TheMediaIgnores")</f>
        <v>@TheMediaIgnores</v>
      </c>
      <c r="C6779" s="8" t="s">
        <v>15351</v>
      </c>
      <c r="D6779" s="8" t="s">
        <v>15352</v>
      </c>
      <c r="E6779" s="9" t="str">
        <f aca="false">HYPERLINK("https://twitter.com/TheMediaIgnores/status/922431485050785792","922431485050785792")</f>
        <v>922431485050785792</v>
      </c>
      <c r="F6779" s="10" t="s">
        <v>60</v>
      </c>
      <c r="G6779" s="10" t="n">
        <v>4171</v>
      </c>
      <c r="H6779" s="10" t="n">
        <v>3927</v>
      </c>
      <c r="I6779" s="10" t="n">
        <v>0</v>
      </c>
      <c r="J6779" s="10" t="n">
        <v>0</v>
      </c>
      <c r="K6779" s="10" t="s">
        <v>20</v>
      </c>
      <c r="L6779" s="11" t="n">
        <v>39989.104375</v>
      </c>
      <c r="M6779" s="12"/>
      <c r="N6779" s="12"/>
      <c r="O6779" s="9" t="str">
        <f aca="false">HYPERLINK("https://pbs.twimg.com/profile_images/580918345215688704/RY-H6QSt_normal.jpg","View")</f>
        <v>View</v>
      </c>
      <c r="P6779" s="10"/>
    </row>
    <row r="6780" customFormat="false" ht="15.75" hidden="false" customHeight="false" outlineLevel="0" collapsed="false">
      <c r="A6780" s="6" t="n">
        <v>43031.2059722222</v>
      </c>
      <c r="B6780" s="7" t="str">
        <f aca="false">HYPERLINK("https://twitter.com/leland_sandfort","@leland_sandfort")</f>
        <v>@leland_sandfort</v>
      </c>
      <c r="C6780" s="8" t="s">
        <v>15353</v>
      </c>
      <c r="D6780" s="8" t="s">
        <v>10759</v>
      </c>
      <c r="E6780" s="9" t="str">
        <f aca="false">HYPERLINK("https://twitter.com/leland_sandfort/status/922431560644808704","922431560644808704")</f>
        <v>922431560644808704</v>
      </c>
      <c r="F6780" s="10" t="s">
        <v>51</v>
      </c>
      <c r="G6780" s="10" t="n">
        <v>229</v>
      </c>
      <c r="H6780" s="10" t="n">
        <v>188</v>
      </c>
      <c r="I6780" s="10" t="n">
        <v>5</v>
      </c>
      <c r="J6780" s="10" t="n">
        <v>0</v>
      </c>
      <c r="K6780" s="10" t="s">
        <v>20</v>
      </c>
      <c r="L6780" s="11" t="n">
        <v>42639.6798958333</v>
      </c>
      <c r="M6780" s="12" t="s">
        <v>15354</v>
      </c>
      <c r="N6780" s="12" t="s">
        <v>15355</v>
      </c>
      <c r="O6780" s="9" t="str">
        <f aca="false">HYPERLINK("https://pbs.twimg.com/profile_images/780569200553230336/17A9xmgj_normal.jpg","View")</f>
        <v>View</v>
      </c>
      <c r="P6780" s="10"/>
    </row>
    <row r="6781" customFormat="false" ht="15.75" hidden="false" customHeight="false" outlineLevel="0" collapsed="false">
      <c r="A6781" s="6" t="n">
        <v>43031.2061226852</v>
      </c>
      <c r="B6781" s="7" t="str">
        <f aca="false">HYPERLINK("https://twitter.com/soniaerasmus","@soniaerasmus")</f>
        <v>@soniaerasmus</v>
      </c>
      <c r="C6781" s="8" t="s">
        <v>15356</v>
      </c>
      <c r="D6781" s="8" t="s">
        <v>10630</v>
      </c>
      <c r="E6781" s="9" t="str">
        <f aca="false">HYPERLINK("https://twitter.com/soniaerasmus/status/922431614763913216","922431614763913216")</f>
        <v>922431614763913216</v>
      </c>
      <c r="F6781" s="10" t="s">
        <v>25</v>
      </c>
      <c r="G6781" s="10" t="n">
        <v>6486</v>
      </c>
      <c r="H6781" s="10" t="n">
        <v>7138</v>
      </c>
      <c r="I6781" s="10" t="n">
        <v>8</v>
      </c>
      <c r="J6781" s="10" t="n">
        <v>0</v>
      </c>
      <c r="K6781" s="10" t="s">
        <v>20</v>
      </c>
      <c r="L6781" s="11" t="n">
        <v>41757.1396296296</v>
      </c>
      <c r="M6781" s="12"/>
      <c r="N6781" s="12" t="s">
        <v>15357</v>
      </c>
      <c r="O6781" s="9" t="str">
        <f aca="false">HYPERLINK("https://pbs.twimg.com/profile_images/903522897041469441/hwN-z6bt_normal.jpg","View")</f>
        <v>View</v>
      </c>
      <c r="P6781" s="10"/>
    </row>
    <row r="6782" customFormat="false" ht="15.75" hidden="false" customHeight="false" outlineLevel="0" collapsed="false">
      <c r="A6782" s="6" t="n">
        <v>43031.2064467593</v>
      </c>
      <c r="B6782" s="7" t="str">
        <f aca="false">HYPERLINK("https://twitter.com/EmmaRichards85","@EmmaRichards85")</f>
        <v>@EmmaRichards85</v>
      </c>
      <c r="C6782" s="8" t="s">
        <v>15358</v>
      </c>
      <c r="D6782" s="8" t="s">
        <v>15359</v>
      </c>
      <c r="E6782" s="9" t="str">
        <f aca="false">HYPERLINK("https://twitter.com/EmmaRichards85/status/922431729985470464","922431729985470464")</f>
        <v>922431729985470464</v>
      </c>
      <c r="F6782" s="10" t="s">
        <v>39</v>
      </c>
      <c r="G6782" s="10" t="n">
        <v>151</v>
      </c>
      <c r="H6782" s="10" t="n">
        <v>179</v>
      </c>
      <c r="I6782" s="10" t="n">
        <v>1</v>
      </c>
      <c r="J6782" s="10" t="n">
        <v>0</v>
      </c>
      <c r="K6782" s="10" t="s">
        <v>20</v>
      </c>
      <c r="L6782" s="11" t="n">
        <v>40372.1725694444</v>
      </c>
      <c r="M6782" s="12" t="s">
        <v>15151</v>
      </c>
      <c r="N6782" s="12" t="s">
        <v>15360</v>
      </c>
      <c r="O6782" s="9" t="str">
        <f aca="false">HYPERLINK("https://pbs.twimg.com/profile_images/893324387507593217/XPKAZMol_normal.jpg","View")</f>
        <v>View</v>
      </c>
      <c r="P6782" s="10"/>
    </row>
    <row r="6783" customFormat="false" ht="15.75" hidden="false" customHeight="false" outlineLevel="0" collapsed="false">
      <c r="A6783" s="6" t="n">
        <v>43031.2064467593</v>
      </c>
      <c r="B6783" s="7" t="str">
        <f aca="false">HYPERLINK("https://twitter.com/vmg2016","@vmg2016")</f>
        <v>@vmg2016</v>
      </c>
      <c r="C6783" s="8" t="s">
        <v>15361</v>
      </c>
      <c r="D6783" s="8" t="s">
        <v>8538</v>
      </c>
      <c r="E6783" s="9" t="str">
        <f aca="false">HYPERLINK("https://twitter.com/vmg2016/status/922431731298222080","922431731298222080")</f>
        <v>922431731298222080</v>
      </c>
      <c r="F6783" s="10" t="s">
        <v>51</v>
      </c>
      <c r="G6783" s="10" t="n">
        <v>24</v>
      </c>
      <c r="H6783" s="10" t="n">
        <v>27</v>
      </c>
      <c r="I6783" s="10" t="n">
        <v>1015</v>
      </c>
      <c r="J6783" s="10" t="n">
        <v>0</v>
      </c>
      <c r="K6783" s="10" t="s">
        <v>20</v>
      </c>
      <c r="L6783" s="11" t="n">
        <v>42454.2349305556</v>
      </c>
      <c r="M6783" s="12" t="s">
        <v>10929</v>
      </c>
      <c r="N6783" s="12" t="s">
        <v>15362</v>
      </c>
      <c r="O6783" s="9" t="str">
        <f aca="false">HYPERLINK("https://pbs.twimg.com/profile_images/713345966326153218/ZdUybrEf_normal.jpg","View")</f>
        <v>View</v>
      </c>
      <c r="P6783" s="10"/>
    </row>
    <row r="6784" customFormat="false" ht="15.75" hidden="false" customHeight="false" outlineLevel="0" collapsed="false">
      <c r="A6784" s="6" t="n">
        <v>43031.2075925926</v>
      </c>
      <c r="B6784" s="7" t="str">
        <f aca="false">HYPERLINK("https://twitter.com/Padagotti","@Padagotti")</f>
        <v>@Padagotti</v>
      </c>
      <c r="C6784" s="8" t="s">
        <v>15363</v>
      </c>
      <c r="D6784" s="8" t="s">
        <v>8538</v>
      </c>
      <c r="E6784" s="9" t="str">
        <f aca="false">HYPERLINK("https://twitter.com/Padagotti/status/922432146316279809","922432146316279809")</f>
        <v>922432146316279809</v>
      </c>
      <c r="F6784" s="10" t="s">
        <v>25</v>
      </c>
      <c r="G6784" s="10" t="n">
        <v>249</v>
      </c>
      <c r="H6784" s="10" t="n">
        <v>610</v>
      </c>
      <c r="I6784" s="10" t="n">
        <v>1015</v>
      </c>
      <c r="J6784" s="10" t="n">
        <v>0</v>
      </c>
      <c r="K6784" s="10" t="s">
        <v>20</v>
      </c>
      <c r="L6784" s="11" t="n">
        <v>41862.4766319445</v>
      </c>
      <c r="M6784" s="12"/>
      <c r="N6784" s="12"/>
      <c r="O6784" s="9" t="str">
        <f aca="false">HYPERLINK("https://pbs.twimg.com/profile_images/499208577735589889/ji67DLo2_normal.jpeg","View")</f>
        <v>View</v>
      </c>
      <c r="P6784" s="10"/>
    </row>
    <row r="6785" customFormat="false" ht="15.75" hidden="false" customHeight="false" outlineLevel="0" collapsed="false">
      <c r="A6785" s="6" t="n">
        <v>43031.2078819444</v>
      </c>
      <c r="B6785" s="7" t="str">
        <f aca="false">HYPERLINK("https://twitter.com/tselvam_offl","@tselvam_offl")</f>
        <v>@tselvam_offl</v>
      </c>
      <c r="C6785" s="8" t="s">
        <v>15364</v>
      </c>
      <c r="D6785" s="8" t="s">
        <v>14466</v>
      </c>
      <c r="E6785" s="9" t="str">
        <f aca="false">HYPERLINK("https://twitter.com/tselvam_offl/status/922432250528006144","922432250528006144")</f>
        <v>922432250528006144</v>
      </c>
      <c r="F6785" s="10" t="s">
        <v>25</v>
      </c>
      <c r="G6785" s="10" t="n">
        <v>961</v>
      </c>
      <c r="H6785" s="10" t="n">
        <v>4984</v>
      </c>
      <c r="I6785" s="10" t="n">
        <v>51</v>
      </c>
      <c r="J6785" s="10" t="n">
        <v>0</v>
      </c>
      <c r="K6785" s="10" t="s">
        <v>20</v>
      </c>
      <c r="L6785" s="11" t="n">
        <v>42819.6877430556</v>
      </c>
      <c r="M6785" s="12" t="s">
        <v>6713</v>
      </c>
      <c r="N6785" s="12" t="s">
        <v>15365</v>
      </c>
      <c r="O6785" s="9" t="str">
        <f aca="false">HYPERLINK("https://pbs.twimg.com/profile_images/918449258273099777/JPUlk6EJ_normal.jpg","View")</f>
        <v>View</v>
      </c>
      <c r="P6785" s="10"/>
    </row>
    <row r="6786" customFormat="false" ht="15.75" hidden="false" customHeight="false" outlineLevel="0" collapsed="false">
      <c r="A6786" s="6" t="n">
        <v>43031.2089236111</v>
      </c>
      <c r="B6786" s="7" t="str">
        <f aca="false">HYPERLINK("https://twitter.com/BeanJD","@BeanJD")</f>
        <v>@BeanJD</v>
      </c>
      <c r="C6786" s="8" t="s">
        <v>15366</v>
      </c>
      <c r="D6786" s="8" t="s">
        <v>15367</v>
      </c>
      <c r="E6786" s="9" t="str">
        <f aca="false">HYPERLINK("https://twitter.com/BeanJD/status/922432629999374336","922432629999374336")</f>
        <v>922432629999374336</v>
      </c>
      <c r="F6786" s="10" t="s">
        <v>39</v>
      </c>
      <c r="G6786" s="10" t="n">
        <v>1437</v>
      </c>
      <c r="H6786" s="10" t="n">
        <v>578</v>
      </c>
      <c r="I6786" s="10" t="n">
        <v>0</v>
      </c>
      <c r="J6786" s="10" t="n">
        <v>0</v>
      </c>
      <c r="K6786" s="10" t="s">
        <v>20</v>
      </c>
      <c r="L6786" s="11" t="n">
        <v>40660.8025694445</v>
      </c>
      <c r="M6786" s="12" t="s">
        <v>15368</v>
      </c>
      <c r="N6786" s="12" t="s">
        <v>15369</v>
      </c>
      <c r="O6786" s="9" t="str">
        <f aca="false">HYPERLINK("https://pbs.twimg.com/profile_images/1486906679/Mainland_Affairs__ECFA_Taipei_normal.JPG","View")</f>
        <v>View</v>
      </c>
      <c r="P6786" s="10"/>
    </row>
    <row r="6787" customFormat="false" ht="15.75" hidden="false" customHeight="false" outlineLevel="0" collapsed="false">
      <c r="A6787" s="6" t="n">
        <v>43031.2090046296</v>
      </c>
      <c r="B6787" s="7" t="str">
        <f aca="false">HYPERLINK("https://twitter.com/DAlexBlumenthal","@DAlexBlumenthal")</f>
        <v>@DAlexBlumenthal</v>
      </c>
      <c r="C6787" s="8" t="s">
        <v>15370</v>
      </c>
      <c r="D6787" s="8" t="s">
        <v>15371</v>
      </c>
      <c r="E6787" s="9" t="str">
        <f aca="false">HYPERLINK("https://twitter.com/DAlexBlumenthal/status/922432657253859329","922432657253859329")</f>
        <v>922432657253859329</v>
      </c>
      <c r="F6787" s="10" t="s">
        <v>39</v>
      </c>
      <c r="G6787" s="10" t="n">
        <v>2705</v>
      </c>
      <c r="H6787" s="10" t="n">
        <v>1918</v>
      </c>
      <c r="I6787" s="10" t="n">
        <v>0</v>
      </c>
      <c r="J6787" s="10" t="n">
        <v>2</v>
      </c>
      <c r="K6787" s="10" t="s">
        <v>20</v>
      </c>
      <c r="L6787" s="11" t="n">
        <v>41571.3602546296</v>
      </c>
      <c r="M6787" s="15" t="s">
        <v>15372</v>
      </c>
      <c r="N6787" s="12" t="s">
        <v>15373</v>
      </c>
      <c r="O6787" s="9" t="str">
        <f aca="false">HYPERLINK("https://pbs.twimg.com/profile_images/378800000642710092/2d100b2a96e803da040b46da00e91738_normal.jpeg","View")</f>
        <v>View</v>
      </c>
      <c r="P6787" s="10"/>
    </row>
    <row r="6788" customFormat="false" ht="15.75" hidden="false" customHeight="false" outlineLevel="0" collapsed="false">
      <c r="A6788" s="6" t="n">
        <v>43031.2092476852</v>
      </c>
      <c r="B6788" s="7" t="str">
        <f aca="false">HYPERLINK("https://twitter.com/RodBamberry","@RodBamberry")</f>
        <v>@RodBamberry</v>
      </c>
      <c r="C6788" s="8" t="s">
        <v>15374</v>
      </c>
      <c r="D6788" s="8" t="s">
        <v>15302</v>
      </c>
      <c r="E6788" s="9" t="str">
        <f aca="false">HYPERLINK("https://twitter.com/RodBamberry/status/922432745413869569","922432745413869569")</f>
        <v>922432745413869569</v>
      </c>
      <c r="F6788" s="10" t="s">
        <v>51</v>
      </c>
      <c r="G6788" s="10" t="n">
        <v>833</v>
      </c>
      <c r="H6788" s="10" t="n">
        <v>376</v>
      </c>
      <c r="I6788" s="10" t="n">
        <v>11</v>
      </c>
      <c r="J6788" s="10" t="n">
        <v>0</v>
      </c>
      <c r="K6788" s="10" t="s">
        <v>20</v>
      </c>
      <c r="L6788" s="11" t="n">
        <v>40794.9119444444</v>
      </c>
      <c r="M6788" s="12" t="s">
        <v>15375</v>
      </c>
      <c r="N6788" s="12" t="s">
        <v>15376</v>
      </c>
      <c r="O6788" s="9" t="str">
        <f aca="false">HYPERLINK("https://pbs.twimg.com/profile_images/563305201621168128/STaJrn2k_normal.jpeg","View")</f>
        <v>View</v>
      </c>
      <c r="P6788" s="10"/>
    </row>
    <row r="6789" customFormat="false" ht="15.75" hidden="false" customHeight="false" outlineLevel="0" collapsed="false">
      <c r="A6789" s="6" t="n">
        <v>43031.2093171296</v>
      </c>
      <c r="B6789" s="7" t="str">
        <f aca="false">HYPERLINK("https://twitter.com/cureellen","@cureellen")</f>
        <v>@cureellen</v>
      </c>
      <c r="C6789" s="14" t="s">
        <v>15377</v>
      </c>
      <c r="D6789" s="8" t="s">
        <v>13172</v>
      </c>
      <c r="E6789" s="9" t="str">
        <f aca="false">HYPERLINK("https://twitter.com/cureellen/status/922432770369916929","922432770369916929")</f>
        <v>922432770369916929</v>
      </c>
      <c r="F6789" s="10" t="s">
        <v>15378</v>
      </c>
      <c r="G6789" s="10" t="n">
        <v>779</v>
      </c>
      <c r="H6789" s="10" t="n">
        <v>1023</v>
      </c>
      <c r="I6789" s="10" t="n">
        <v>26</v>
      </c>
      <c r="J6789" s="10" t="n">
        <v>0</v>
      </c>
      <c r="K6789" s="10" t="s">
        <v>20</v>
      </c>
      <c r="L6789" s="11" t="n">
        <v>41680.8377199074</v>
      </c>
      <c r="M6789" s="12"/>
      <c r="N6789" s="13" t="s">
        <v>15379</v>
      </c>
      <c r="O6789" s="9" t="str">
        <f aca="false">HYPERLINK("https://pbs.twimg.com/profile_images/481617519111712768/hMqpp5Ag_normal.jpeg","View")</f>
        <v>View</v>
      </c>
      <c r="P6789" s="10"/>
    </row>
    <row r="6790" customFormat="false" ht="15.75" hidden="false" customHeight="false" outlineLevel="0" collapsed="false">
      <c r="A6790" s="6" t="n">
        <v>43031.2095717593</v>
      </c>
      <c r="B6790" s="7" t="str">
        <f aca="false">HYPERLINK("https://twitter.com/shivkant63","@shivkant63")</f>
        <v>@shivkant63</v>
      </c>
      <c r="C6790" s="8" t="s">
        <v>15380</v>
      </c>
      <c r="D6790" s="8" t="s">
        <v>8538</v>
      </c>
      <c r="E6790" s="9" t="str">
        <f aca="false">HYPERLINK("https://twitter.com/shivkant63/status/922432865291223040","922432865291223040")</f>
        <v>922432865291223040</v>
      </c>
      <c r="F6790" s="10" t="s">
        <v>51</v>
      </c>
      <c r="G6790" s="10" t="n">
        <v>399</v>
      </c>
      <c r="H6790" s="10" t="n">
        <v>504</v>
      </c>
      <c r="I6790" s="10" t="n">
        <v>1015</v>
      </c>
      <c r="J6790" s="10" t="n">
        <v>0</v>
      </c>
      <c r="K6790" s="10" t="s">
        <v>20</v>
      </c>
      <c r="L6790" s="11" t="n">
        <v>40432.5286458333</v>
      </c>
      <c r="M6790" s="12" t="s">
        <v>64</v>
      </c>
      <c r="N6790" s="12" t="s">
        <v>15381</v>
      </c>
      <c r="O6790" s="9" t="str">
        <f aca="false">HYPERLINK("https://pbs.twimg.com/profile_images/880136286194900992/CyJ8tkne_normal.jpg","View")</f>
        <v>View</v>
      </c>
      <c r="P6790" s="10"/>
    </row>
    <row r="6791" customFormat="false" ht="15.75" hidden="false" customHeight="false" outlineLevel="0" collapsed="false">
      <c r="A6791" s="6" t="n">
        <v>43031.2097106482</v>
      </c>
      <c r="B6791" s="7" t="str">
        <f aca="false">HYPERLINK("https://twitter.com/Monitor_sur","@Monitor_sur")</f>
        <v>@Monitor_sur</v>
      </c>
      <c r="C6791" s="8" t="s">
        <v>7880</v>
      </c>
      <c r="D6791" s="8" t="s">
        <v>15382</v>
      </c>
      <c r="E6791" s="9" t="str">
        <f aca="false">HYPERLINK("https://twitter.com/Monitor_sur/status/922432915388207105","922432915388207105")</f>
        <v>922432915388207105</v>
      </c>
      <c r="F6791" s="10" t="s">
        <v>110</v>
      </c>
      <c r="G6791" s="10" t="n">
        <v>8328</v>
      </c>
      <c r="H6791" s="10" t="n">
        <v>677</v>
      </c>
      <c r="I6791" s="10" t="n">
        <v>0</v>
      </c>
      <c r="J6791" s="10" t="n">
        <v>0</v>
      </c>
      <c r="K6791" s="10" t="s">
        <v>20</v>
      </c>
      <c r="L6791" s="11" t="n">
        <v>41680.3577546296</v>
      </c>
      <c r="M6791" s="12" t="s">
        <v>752</v>
      </c>
      <c r="N6791" s="12" t="s">
        <v>7882</v>
      </c>
      <c r="O6791" s="9" t="str">
        <f aca="false">HYPERLINK("https://pbs.twimg.com/profile_images/845323060584468481/Uy2FSm_h_normal.jpg","View")</f>
        <v>View</v>
      </c>
      <c r="P6791" s="10"/>
    </row>
    <row r="6792" customFormat="false" ht="15.75" hidden="false" customHeight="false" outlineLevel="0" collapsed="false">
      <c r="A6792" s="6" t="n">
        <v>43031.2109143519</v>
      </c>
      <c r="B6792" s="7" t="str">
        <f aca="false">HYPERLINK("https://twitter.com/alienobserver1","@alienobserver1")</f>
        <v>@alienobserver1</v>
      </c>
      <c r="C6792" s="8" t="s">
        <v>7744</v>
      </c>
      <c r="D6792" s="8" t="s">
        <v>14929</v>
      </c>
      <c r="E6792" s="9" t="str">
        <f aca="false">HYPERLINK("https://twitter.com/alienobserver1/status/922433349666222082","922433349666222082")</f>
        <v>922433349666222082</v>
      </c>
      <c r="F6792" s="10" t="s">
        <v>25</v>
      </c>
      <c r="G6792" s="10" t="n">
        <v>479</v>
      </c>
      <c r="H6792" s="10" t="n">
        <v>131</v>
      </c>
      <c r="I6792" s="10" t="n">
        <v>16</v>
      </c>
      <c r="J6792" s="10" t="n">
        <v>0</v>
      </c>
      <c r="K6792" s="10" t="s">
        <v>20</v>
      </c>
      <c r="L6792" s="11" t="n">
        <v>40613.2324884259</v>
      </c>
      <c r="M6792" s="12" t="s">
        <v>7745</v>
      </c>
      <c r="N6792" s="12" t="s">
        <v>7746</v>
      </c>
      <c r="O6792" s="9" t="str">
        <f aca="false">HYPERLINK("https://pbs.twimg.com/profile_images/1271582658/sun_normal.JPG","View")</f>
        <v>View</v>
      </c>
      <c r="P6792" s="10"/>
    </row>
    <row r="6793" customFormat="false" ht="15.75" hidden="false" customHeight="false" outlineLevel="0" collapsed="false">
      <c r="A6793" s="6" t="n">
        <v>43031.2111111111</v>
      </c>
      <c r="B6793" s="7" t="str">
        <f aca="false">HYPERLINK("https://twitter.com/Rafael190000000","@Rafael190000000")</f>
        <v>@Rafael190000000</v>
      </c>
      <c r="C6793" s="8" t="s">
        <v>15383</v>
      </c>
      <c r="D6793" s="8" t="s">
        <v>11284</v>
      </c>
      <c r="E6793" s="9" t="str">
        <f aca="false">HYPERLINK("https://twitter.com/Rafael190000000/status/922433422328516609","922433422328516609")</f>
        <v>922433422328516609</v>
      </c>
      <c r="F6793" s="10" t="s">
        <v>39</v>
      </c>
      <c r="G6793" s="10" t="n">
        <v>616</v>
      </c>
      <c r="H6793" s="10" t="n">
        <v>819</v>
      </c>
      <c r="I6793" s="10" t="n">
        <v>41</v>
      </c>
      <c r="J6793" s="10" t="n">
        <v>0</v>
      </c>
      <c r="K6793" s="10" t="s">
        <v>20</v>
      </c>
      <c r="L6793" s="11" t="n">
        <v>42017.4178240741</v>
      </c>
      <c r="M6793" s="12" t="s">
        <v>15384</v>
      </c>
      <c r="N6793" s="12" t="s">
        <v>15385</v>
      </c>
      <c r="O6793" s="9" t="str">
        <f aca="false">HYPERLINK("https://pbs.twimg.com/profile_images/852732346881064960/it2gLBWt_normal.jpg","View")</f>
        <v>View</v>
      </c>
      <c r="P6793" s="10"/>
    </row>
    <row r="6794" customFormat="false" ht="15.75" hidden="false" customHeight="false" outlineLevel="0" collapsed="false">
      <c r="A6794" s="6" t="n">
        <v>43031.2115856481</v>
      </c>
      <c r="B6794" s="7" t="str">
        <f aca="false">HYPERLINK("https://twitter.com/cescasnest","@cescasnest")</f>
        <v>@cescasnest</v>
      </c>
      <c r="C6794" s="8" t="s">
        <v>15386</v>
      </c>
      <c r="D6794" s="8" t="s">
        <v>15387</v>
      </c>
      <c r="E6794" s="9" t="str">
        <f aca="false">HYPERLINK("https://twitter.com/cescasnest/status/922433592432758784","922433592432758784")</f>
        <v>922433592432758784</v>
      </c>
      <c r="F6794" s="10" t="s">
        <v>51</v>
      </c>
      <c r="G6794" s="10" t="n">
        <v>77</v>
      </c>
      <c r="H6794" s="10" t="n">
        <v>320</v>
      </c>
      <c r="I6794" s="10" t="n">
        <v>0</v>
      </c>
      <c r="J6794" s="10" t="n">
        <v>0</v>
      </c>
      <c r="K6794" s="10" t="s">
        <v>20</v>
      </c>
      <c r="L6794" s="11" t="n">
        <v>42227.4675694445</v>
      </c>
      <c r="M6794" s="12"/>
      <c r="N6794" s="12"/>
      <c r="O6794" s="9" t="str">
        <f aca="false">HYPERLINK("https://pbs.twimg.com/profile_images/678559616905568265/7iI-y-2S_normal.png","View")</f>
        <v>View</v>
      </c>
      <c r="P6794" s="10"/>
    </row>
    <row r="6795" customFormat="false" ht="15.75" hidden="false" customHeight="false" outlineLevel="0" collapsed="false">
      <c r="A6795" s="6" t="n">
        <v>43031.2119675926</v>
      </c>
      <c r="B6795" s="7" t="str">
        <f aca="false">HYPERLINK("https://twitter.com/Rafael190000000","@Rafael190000000")</f>
        <v>@Rafael190000000</v>
      </c>
      <c r="C6795" s="8" t="s">
        <v>15383</v>
      </c>
      <c r="D6795" s="8" t="s">
        <v>11033</v>
      </c>
      <c r="E6795" s="9" t="str">
        <f aca="false">HYPERLINK("https://twitter.com/Rafael190000000/status/922433733843718144","922433733843718144")</f>
        <v>922433733843718144</v>
      </c>
      <c r="F6795" s="10" t="s">
        <v>39</v>
      </c>
      <c r="G6795" s="10" t="n">
        <v>616</v>
      </c>
      <c r="H6795" s="10" t="n">
        <v>819</v>
      </c>
      <c r="I6795" s="10" t="n">
        <v>60</v>
      </c>
      <c r="J6795" s="10" t="n">
        <v>0</v>
      </c>
      <c r="K6795" s="10" t="s">
        <v>20</v>
      </c>
      <c r="L6795" s="11" t="n">
        <v>42017.4178240741</v>
      </c>
      <c r="M6795" s="12" t="s">
        <v>15384</v>
      </c>
      <c r="N6795" s="12" t="s">
        <v>15385</v>
      </c>
      <c r="O6795" s="9" t="str">
        <f aca="false">HYPERLINK("https://pbs.twimg.com/profile_images/852732346881064960/it2gLBWt_normal.jpg","View")</f>
        <v>View</v>
      </c>
      <c r="P6795" s="10"/>
    </row>
    <row r="6796" customFormat="false" ht="15.75" hidden="false" customHeight="false" outlineLevel="0" collapsed="false">
      <c r="A6796" s="6" t="n">
        <v>43031.2123842593</v>
      </c>
      <c r="B6796" s="7" t="str">
        <f aca="false">HYPERLINK("https://twitter.com/VADAKKANTHARA","@VADAKKANTHARA")</f>
        <v>@VADAKKANTHARA</v>
      </c>
      <c r="C6796" s="8" t="s">
        <v>15238</v>
      </c>
      <c r="D6796" s="8" t="s">
        <v>12764</v>
      </c>
      <c r="E6796" s="9" t="str">
        <f aca="false">HYPERLINK("https://twitter.com/VADAKKANTHARA/status/922433882254745600","922433882254745600")</f>
        <v>922433882254745600</v>
      </c>
      <c r="F6796" s="10" t="s">
        <v>51</v>
      </c>
      <c r="G6796" s="10" t="n">
        <v>496</v>
      </c>
      <c r="H6796" s="10" t="n">
        <v>531</v>
      </c>
      <c r="I6796" s="10" t="n">
        <v>170</v>
      </c>
      <c r="J6796" s="10" t="n">
        <v>0</v>
      </c>
      <c r="K6796" s="10" t="s">
        <v>20</v>
      </c>
      <c r="L6796" s="11" t="n">
        <v>40176.9180787037</v>
      </c>
      <c r="M6796" s="12" t="s">
        <v>2340</v>
      </c>
      <c r="N6796" s="12" t="s">
        <v>15239</v>
      </c>
      <c r="O6796" s="9" t="str">
        <f aca="false">HYPERLINK("https://pbs.twimg.com/profile_images/922428069108789249/fPmB1qPG_normal.jpg","View")</f>
        <v>View</v>
      </c>
      <c r="P6796" s="10"/>
    </row>
    <row r="6797" customFormat="false" ht="15.75" hidden="false" customHeight="false" outlineLevel="0" collapsed="false">
      <c r="A6797" s="6" t="n">
        <v>43031.2128125</v>
      </c>
      <c r="B6797" s="7" t="str">
        <f aca="false">HYPERLINK("https://twitter.com/pelias01","@pelias01")</f>
        <v>@pelias01</v>
      </c>
      <c r="C6797" s="8" t="s">
        <v>1203</v>
      </c>
      <c r="D6797" s="8" t="s">
        <v>15388</v>
      </c>
      <c r="E6797" s="9" t="str">
        <f aca="false">HYPERLINK("https://twitter.com/pelias01/status/922434039339986944","922434039339986944")</f>
        <v>922434039339986944</v>
      </c>
      <c r="F6797" s="10" t="s">
        <v>39</v>
      </c>
      <c r="G6797" s="10" t="n">
        <v>3304</v>
      </c>
      <c r="H6797" s="10" t="n">
        <v>980</v>
      </c>
      <c r="I6797" s="10" t="n">
        <v>0</v>
      </c>
      <c r="J6797" s="10" t="n">
        <v>0</v>
      </c>
      <c r="K6797" s="10" t="s">
        <v>20</v>
      </c>
      <c r="L6797" s="11" t="n">
        <v>40716.3519675926</v>
      </c>
      <c r="M6797" s="12" t="s">
        <v>1205</v>
      </c>
      <c r="N6797" s="12" t="s">
        <v>1206</v>
      </c>
      <c r="O6797" s="9" t="str">
        <f aca="false">HYPERLINK("https://pbs.twimg.com/profile_images/1408052895/ale_normal.png","View")</f>
        <v>View</v>
      </c>
      <c r="P6797" s="10"/>
    </row>
    <row r="6798" customFormat="false" ht="15.75" hidden="false" customHeight="false" outlineLevel="0" collapsed="false">
      <c r="A6798" s="6" t="n">
        <v>43031.2133449074</v>
      </c>
      <c r="B6798" s="7" t="str">
        <f aca="false">HYPERLINK("https://twitter.com/LesleyE02634258","@LesleyE02634258")</f>
        <v>@LesleyE02634258</v>
      </c>
      <c r="C6798" s="8" t="s">
        <v>15389</v>
      </c>
      <c r="D6798" s="8" t="s">
        <v>15302</v>
      </c>
      <c r="E6798" s="9" t="str">
        <f aca="false">HYPERLINK("https://twitter.com/LesleyE02634258/status/922434231409590278","922434231409590278")</f>
        <v>922434231409590278</v>
      </c>
      <c r="F6798" s="10" t="s">
        <v>39</v>
      </c>
      <c r="G6798" s="10" t="n">
        <v>399</v>
      </c>
      <c r="H6798" s="10" t="n">
        <v>737</v>
      </c>
      <c r="I6798" s="10" t="n">
        <v>11</v>
      </c>
      <c r="J6798" s="10" t="n">
        <v>0</v>
      </c>
      <c r="K6798" s="10" t="s">
        <v>20</v>
      </c>
      <c r="L6798" s="11" t="n">
        <v>41451.2131944444</v>
      </c>
      <c r="M6798" s="12"/>
      <c r="N6798" s="12" t="s">
        <v>15390</v>
      </c>
      <c r="O6798" s="9" t="str">
        <f aca="false">HYPERLINK("https://abs.twimg.com/sticky/default_profile_images/default_profile_normal.png","View")</f>
        <v>View</v>
      </c>
      <c r="P6798" s="10"/>
    </row>
    <row r="6799" customFormat="false" ht="15.75" hidden="false" customHeight="false" outlineLevel="0" collapsed="false">
      <c r="A6799" s="6" t="n">
        <v>43031.2136574074</v>
      </c>
      <c r="B6799" s="7" t="str">
        <f aca="false">HYPERLINK("https://twitter.com/RangeONar","@RangeONar")</f>
        <v>@RangeONar</v>
      </c>
      <c r="C6799" s="8" t="s">
        <v>15391</v>
      </c>
      <c r="D6799" s="8" t="s">
        <v>8538</v>
      </c>
      <c r="E6799" s="9" t="str">
        <f aca="false">HYPERLINK("https://twitter.com/RangeONar/status/922434343980666880","922434343980666880")</f>
        <v>922434343980666880</v>
      </c>
      <c r="F6799" s="10" t="s">
        <v>51</v>
      </c>
      <c r="G6799" s="10" t="n">
        <v>68</v>
      </c>
      <c r="H6799" s="10" t="n">
        <v>488</v>
      </c>
      <c r="I6799" s="10" t="n">
        <v>1015</v>
      </c>
      <c r="J6799" s="10" t="n">
        <v>0</v>
      </c>
      <c r="K6799" s="10" t="s">
        <v>20</v>
      </c>
      <c r="L6799" s="11" t="n">
        <v>42117.3703356482</v>
      </c>
      <c r="M6799" s="12"/>
      <c r="N6799" s="12"/>
      <c r="O6799" s="9" t="str">
        <f aca="false">HYPERLINK("https://pbs.twimg.com/profile_images/915911326643490816/j8BCYRaG_normal.jpg","View")</f>
        <v>View</v>
      </c>
      <c r="P6799" s="10"/>
    </row>
    <row r="6800" customFormat="false" ht="15.75" hidden="false" customHeight="false" outlineLevel="0" collapsed="false">
      <c r="A6800" s="6" t="n">
        <v>43031.2139699074</v>
      </c>
      <c r="B6800" s="7" t="str">
        <f aca="false">HYPERLINK("https://twitter.com/snigdhadev92","@snigdhadev92")</f>
        <v>@snigdhadev92</v>
      </c>
      <c r="C6800" s="8" t="s">
        <v>15392</v>
      </c>
      <c r="D6800" s="8" t="s">
        <v>8538</v>
      </c>
      <c r="E6800" s="9" t="str">
        <f aca="false">HYPERLINK("https://twitter.com/snigdhadev92/status/922434458950578178","922434458950578178")</f>
        <v>922434458950578178</v>
      </c>
      <c r="F6800" s="10" t="s">
        <v>25</v>
      </c>
      <c r="G6800" s="10" t="n">
        <v>373</v>
      </c>
      <c r="H6800" s="10" t="n">
        <v>2535</v>
      </c>
      <c r="I6800" s="10" t="n">
        <v>1015</v>
      </c>
      <c r="J6800" s="10" t="n">
        <v>0</v>
      </c>
      <c r="K6800" s="10" t="s">
        <v>20</v>
      </c>
      <c r="L6800" s="11" t="n">
        <v>40247.9878819444</v>
      </c>
      <c r="M6800" s="12" t="s">
        <v>8662</v>
      </c>
      <c r="N6800" s="12" t="s">
        <v>15393</v>
      </c>
      <c r="O6800" s="9" t="str">
        <f aca="false">HYPERLINK("https://pbs.twimg.com/profile_images/783746703220367360/DFx2pFD-_normal.jpg","View")</f>
        <v>View</v>
      </c>
      <c r="P6800" s="10"/>
    </row>
    <row r="6801" customFormat="false" ht="15.75" hidden="false" customHeight="false" outlineLevel="0" collapsed="false">
      <c r="A6801" s="6" t="n">
        <v>43031.2143171296</v>
      </c>
      <c r="B6801" s="7" t="str">
        <f aca="false">HYPERLINK("https://twitter.com/newssummeduphq","@newssummeduphq")</f>
        <v>@newssummeduphq</v>
      </c>
      <c r="C6801" s="8" t="s">
        <v>1177</v>
      </c>
      <c r="D6801" s="8" t="s">
        <v>15394</v>
      </c>
      <c r="E6801" s="9" t="str">
        <f aca="false">HYPERLINK("https://twitter.com/newssummeduphq/status/922434584825831424","922434584825831424")</f>
        <v>922434584825831424</v>
      </c>
      <c r="F6801" s="10" t="s">
        <v>1179</v>
      </c>
      <c r="G6801" s="10" t="n">
        <v>433</v>
      </c>
      <c r="H6801" s="10" t="n">
        <v>1175</v>
      </c>
      <c r="I6801" s="10" t="n">
        <v>0</v>
      </c>
      <c r="J6801" s="10" t="n">
        <v>0</v>
      </c>
      <c r="K6801" s="10" t="s">
        <v>20</v>
      </c>
      <c r="L6801" s="11" t="n">
        <v>42504.2012037037</v>
      </c>
      <c r="M6801" s="12" t="s">
        <v>588</v>
      </c>
      <c r="N6801" s="12" t="s">
        <v>1180</v>
      </c>
      <c r="O6801" s="9" t="str">
        <f aca="false">HYPERLINK("https://pbs.twimg.com/profile_images/731455561695264770/Oj_92lRJ_normal.jpg","View")</f>
        <v>View</v>
      </c>
      <c r="P6801" s="10"/>
    </row>
    <row r="6802" customFormat="false" ht="15.75" hidden="false" customHeight="false" outlineLevel="0" collapsed="false">
      <c r="A6802" s="6" t="n">
        <v>43031.2151967593</v>
      </c>
      <c r="B6802" s="7" t="str">
        <f aca="false">HYPERLINK("https://twitter.com/Aditya2d","@Aditya2d")</f>
        <v>@Aditya2d</v>
      </c>
      <c r="C6802" s="8" t="s">
        <v>10400</v>
      </c>
      <c r="D6802" s="8" t="s">
        <v>8538</v>
      </c>
      <c r="E6802" s="9" t="str">
        <f aca="false">HYPERLINK("https://twitter.com/Aditya2d/status/922434901777010688","922434901777010688")</f>
        <v>922434901777010688</v>
      </c>
      <c r="F6802" s="10" t="s">
        <v>25</v>
      </c>
      <c r="G6802" s="10" t="n">
        <v>29</v>
      </c>
      <c r="H6802" s="10" t="n">
        <v>40</v>
      </c>
      <c r="I6802" s="10" t="n">
        <v>1015</v>
      </c>
      <c r="J6802" s="10" t="n">
        <v>0</v>
      </c>
      <c r="K6802" s="10" t="s">
        <v>20</v>
      </c>
      <c r="L6802" s="11" t="n">
        <v>41724.2377777778</v>
      </c>
      <c r="M6802" s="12"/>
      <c r="N6802" s="12"/>
      <c r="O6802" s="9" t="str">
        <f aca="false">HYPERLINK("https://pbs.twimg.com/profile_images/448802809345875969/TU4OyiRx_normal.jpeg","View")</f>
        <v>View</v>
      </c>
      <c r="P6802" s="10"/>
    </row>
    <row r="6803" customFormat="false" ht="15.75" hidden="false" customHeight="false" outlineLevel="0" collapsed="false">
      <c r="A6803" s="6" t="n">
        <v>43031.2153819444</v>
      </c>
      <c r="B6803" s="7" t="str">
        <f aca="false">HYPERLINK("https://twitter.com/qwxoiolzxflvxgv","@qwxoiolzxflvxgv")</f>
        <v>@qwxoiolzxflvxgv</v>
      </c>
      <c r="C6803" s="8" t="s">
        <v>15395</v>
      </c>
      <c r="D6803" s="8" t="s">
        <v>14814</v>
      </c>
      <c r="E6803" s="9" t="str">
        <f aca="false">HYPERLINK("https://twitter.com/qwxoiolzxflvxgv/status/922434971582607360","922434971582607360")</f>
        <v>922434971582607360</v>
      </c>
      <c r="F6803" s="10" t="s">
        <v>25</v>
      </c>
      <c r="G6803" s="10" t="n">
        <v>31</v>
      </c>
      <c r="H6803" s="10" t="n">
        <v>104</v>
      </c>
      <c r="I6803" s="10" t="n">
        <v>14</v>
      </c>
      <c r="J6803" s="10" t="n">
        <v>0</v>
      </c>
      <c r="K6803" s="10" t="s">
        <v>20</v>
      </c>
      <c r="L6803" s="11" t="n">
        <v>42727.9403935185</v>
      </c>
      <c r="M6803" s="12"/>
      <c r="N6803" s="13" t="s">
        <v>15396</v>
      </c>
      <c r="O6803" s="9" t="str">
        <f aca="false">HYPERLINK("https://pbs.twimg.com/profile_images/921959989580677125/tbVztidj_normal.jpg","View")</f>
        <v>View</v>
      </c>
      <c r="P6803" s="10"/>
    </row>
    <row r="6804" customFormat="false" ht="15.75" hidden="false" customHeight="false" outlineLevel="0" collapsed="false">
      <c r="A6804" s="6" t="n">
        <v>43031.2161226852</v>
      </c>
      <c r="B6804" s="7" t="str">
        <f aca="false">HYPERLINK("https://twitter.com/ajayrashmivyas","@ajayrashmivyas")</f>
        <v>@ajayrashmivyas</v>
      </c>
      <c r="C6804" s="8" t="s">
        <v>8384</v>
      </c>
      <c r="D6804" s="8" t="s">
        <v>15397</v>
      </c>
      <c r="E6804" s="9" t="str">
        <f aca="false">HYPERLINK("https://twitter.com/ajayrashmivyas/status/922435238659108864","922435238659108864")</f>
        <v>922435238659108864</v>
      </c>
      <c r="F6804" s="10" t="s">
        <v>51</v>
      </c>
      <c r="G6804" s="10" t="n">
        <v>261</v>
      </c>
      <c r="H6804" s="10" t="n">
        <v>1125</v>
      </c>
      <c r="I6804" s="10" t="n">
        <v>0</v>
      </c>
      <c r="J6804" s="10" t="n">
        <v>0</v>
      </c>
      <c r="K6804" s="10" t="s">
        <v>20</v>
      </c>
      <c r="L6804" s="11" t="n">
        <v>41502.2759953704</v>
      </c>
      <c r="M6804" s="12" t="s">
        <v>8386</v>
      </c>
      <c r="N6804" s="12" t="s">
        <v>8387</v>
      </c>
      <c r="O6804" s="9" t="str">
        <f aca="false">HYPERLINK("https://pbs.twimg.com/profile_images/378800000324396666/fc67668b3ce36b1cbd83c8bf4b3f717e_normal.jpeg","View")</f>
        <v>View</v>
      </c>
      <c r="P6804" s="10"/>
    </row>
    <row r="6805" customFormat="false" ht="15.75" hidden="false" customHeight="false" outlineLevel="0" collapsed="false">
      <c r="A6805" s="6" t="n">
        <v>43031.2164236111</v>
      </c>
      <c r="B6805" s="7" t="str">
        <f aca="false">HYPERLINK("https://twitter.com/trueblue51","@trueblue51")</f>
        <v>@trueblue51</v>
      </c>
      <c r="C6805" s="8" t="s">
        <v>15398</v>
      </c>
      <c r="D6805" s="8" t="s">
        <v>15399</v>
      </c>
      <c r="E6805" s="9" t="str">
        <f aca="false">HYPERLINK("https://twitter.com/trueblue51/status/922435347316989954","922435347316989954")</f>
        <v>922435347316989954</v>
      </c>
      <c r="F6805" s="10" t="s">
        <v>39</v>
      </c>
      <c r="G6805" s="10" t="n">
        <v>79805</v>
      </c>
      <c r="H6805" s="10" t="n">
        <v>9587</v>
      </c>
      <c r="I6805" s="10" t="n">
        <v>0</v>
      </c>
      <c r="J6805" s="10" t="n">
        <v>0</v>
      </c>
      <c r="K6805" s="10" t="s">
        <v>20</v>
      </c>
      <c r="L6805" s="11" t="n">
        <v>39875.5972800926</v>
      </c>
      <c r="M6805" s="12" t="s">
        <v>15400</v>
      </c>
      <c r="N6805" s="12" t="s">
        <v>15401</v>
      </c>
      <c r="O6805" s="9" t="str">
        <f aca="false">HYPERLINK("https://pbs.twimg.com/profile_images/887794392349757444/lG7jzl9O_normal.jpg","View")</f>
        <v>View</v>
      </c>
      <c r="P6805" s="10"/>
    </row>
    <row r="6806" customFormat="false" ht="15.75" hidden="false" customHeight="false" outlineLevel="0" collapsed="false">
      <c r="A6806" s="6" t="n">
        <v>43031.2167476852</v>
      </c>
      <c r="B6806" s="7" t="str">
        <f aca="false">HYPERLINK("https://twitter.com/PatrcWayne_0117","@PatrcWayne_0117")</f>
        <v>@PatrcWayne_0117</v>
      </c>
      <c r="C6806" s="8" t="s">
        <v>15402</v>
      </c>
      <c r="D6806" s="8" t="s">
        <v>12764</v>
      </c>
      <c r="E6806" s="9" t="str">
        <f aca="false">HYPERLINK("https://twitter.com/PatrcWayne_0117/status/922435466481238016","922435466481238016")</f>
        <v>922435466481238016</v>
      </c>
      <c r="F6806" s="10" t="s">
        <v>39</v>
      </c>
      <c r="G6806" s="10" t="n">
        <v>32</v>
      </c>
      <c r="H6806" s="10" t="n">
        <v>255</v>
      </c>
      <c r="I6806" s="10" t="n">
        <v>170</v>
      </c>
      <c r="J6806" s="10" t="n">
        <v>0</v>
      </c>
      <c r="K6806" s="10" t="s">
        <v>20</v>
      </c>
      <c r="L6806" s="11" t="n">
        <v>42222.0819097222</v>
      </c>
      <c r="M6806" s="12" t="s">
        <v>1404</v>
      </c>
      <c r="N6806" s="12" t="s">
        <v>15403</v>
      </c>
      <c r="O6806" s="9" t="str">
        <f aca="false">HYPERLINK("https://pbs.twimg.com/profile_images/691694841319813120/--IEaSzF_normal.png","View")</f>
        <v>View</v>
      </c>
      <c r="P6806" s="10"/>
    </row>
    <row r="6807" customFormat="false" ht="15.75" hidden="false" customHeight="false" outlineLevel="0" collapsed="false">
      <c r="A6807" s="6" t="n">
        <v>43031.2187152778</v>
      </c>
      <c r="B6807" s="7" t="str">
        <f aca="false">HYPERLINK("https://twitter.com/GauravShah2010","@GauravShah2010")</f>
        <v>@GauravShah2010</v>
      </c>
      <c r="C6807" s="8" t="s">
        <v>15404</v>
      </c>
      <c r="D6807" s="8" t="s">
        <v>8538</v>
      </c>
      <c r="E6807" s="9" t="str">
        <f aca="false">HYPERLINK("https://twitter.com/GauravShah2010/status/922436177126342656","922436177126342656")</f>
        <v>922436177126342656</v>
      </c>
      <c r="F6807" s="10" t="s">
        <v>25</v>
      </c>
      <c r="G6807" s="10" t="n">
        <v>63</v>
      </c>
      <c r="H6807" s="10" t="n">
        <v>416</v>
      </c>
      <c r="I6807" s="10" t="n">
        <v>1015</v>
      </c>
      <c r="J6807" s="10" t="n">
        <v>0</v>
      </c>
      <c r="K6807" s="10" t="s">
        <v>20</v>
      </c>
      <c r="L6807" s="11" t="n">
        <v>41644.0681365741</v>
      </c>
      <c r="M6807" s="12"/>
      <c r="N6807" s="12"/>
      <c r="O6807" s="9" t="str">
        <f aca="false">HYPERLINK("https://abs.twimg.com/sticky/default_profile_images/default_profile_normal.png","View")</f>
        <v>View</v>
      </c>
      <c r="P6807" s="10"/>
    </row>
    <row r="6808" customFormat="false" ht="15.75" hidden="false" customHeight="false" outlineLevel="0" collapsed="false">
      <c r="A6808" s="6" t="n">
        <v>43031.2198032407</v>
      </c>
      <c r="B6808" s="7" t="str">
        <f aca="false">HYPERLINK("https://twitter.com/CallejaYoana","@CallejaYoana")</f>
        <v>@CallejaYoana</v>
      </c>
      <c r="C6808" s="8" t="s">
        <v>13376</v>
      </c>
      <c r="D6808" s="8" t="s">
        <v>15405</v>
      </c>
      <c r="E6808" s="9" t="str">
        <f aca="false">HYPERLINK("https://twitter.com/CallejaYoana/status/922436573483978752","922436573483978752")</f>
        <v>922436573483978752</v>
      </c>
      <c r="F6808" s="10" t="s">
        <v>60</v>
      </c>
      <c r="G6808" s="10" t="n">
        <v>571</v>
      </c>
      <c r="H6808" s="10" t="n">
        <v>554</v>
      </c>
      <c r="I6808" s="10" t="n">
        <v>0</v>
      </c>
      <c r="J6808" s="10" t="n">
        <v>0</v>
      </c>
      <c r="K6808" s="10" t="s">
        <v>20</v>
      </c>
      <c r="L6808" s="11" t="n">
        <v>42727.0603125</v>
      </c>
      <c r="M6808" s="12" t="s">
        <v>13378</v>
      </c>
      <c r="N6808" s="12" t="s">
        <v>13379</v>
      </c>
      <c r="O6808" s="9" t="str">
        <f aca="false">HYPERLINK("https://pbs.twimg.com/profile_images/839196765307944965/NFdGXZzf_normal.jpg","View")</f>
        <v>View</v>
      </c>
      <c r="P6808" s="10"/>
    </row>
    <row r="6809" customFormat="false" ht="15.75" hidden="false" customHeight="false" outlineLevel="0" collapsed="false">
      <c r="A6809" s="6" t="n">
        <v>43031.2198263889</v>
      </c>
      <c r="B6809" s="7" t="str">
        <f aca="false">HYPERLINK("https://twitter.com/cqopoc","@cqopoc")</f>
        <v>@cqopoc</v>
      </c>
      <c r="C6809" s="8" t="s">
        <v>15406</v>
      </c>
      <c r="D6809" s="8" t="s">
        <v>15162</v>
      </c>
      <c r="E6809" s="9" t="str">
        <f aca="false">HYPERLINK("https://twitter.com/cqopoc/status/922436581570445313","922436581570445313")</f>
        <v>922436581570445313</v>
      </c>
      <c r="F6809" s="10" t="s">
        <v>51</v>
      </c>
      <c r="G6809" s="10" t="n">
        <v>296</v>
      </c>
      <c r="H6809" s="10" t="n">
        <v>315</v>
      </c>
      <c r="I6809" s="10" t="n">
        <v>15</v>
      </c>
      <c r="J6809" s="10" t="n">
        <v>0</v>
      </c>
      <c r="K6809" s="10" t="s">
        <v>20</v>
      </c>
      <c r="L6809" s="11" t="n">
        <v>40704.6852662037</v>
      </c>
      <c r="M6809" s="12"/>
      <c r="N6809" s="13" t="s">
        <v>15407</v>
      </c>
      <c r="O6809" s="9" t="str">
        <f aca="false">HYPERLINK("https://pbs.twimg.com/profile_images/914159693160792065/QGPdzVnu_normal.jpg","View")</f>
        <v>View</v>
      </c>
      <c r="P6809" s="10"/>
    </row>
    <row r="6810" customFormat="false" ht="15.75" hidden="false" customHeight="false" outlineLevel="0" collapsed="false">
      <c r="A6810" s="6" t="n">
        <v>43031.2199189815</v>
      </c>
      <c r="B6810" s="7" t="str">
        <f aca="false">HYPERLINK("https://twitter.com/kinseyhaddock","@kinseyhaddock")</f>
        <v>@kinseyhaddock</v>
      </c>
      <c r="C6810" s="8" t="s">
        <v>15408</v>
      </c>
      <c r="D6810" s="8" t="s">
        <v>15409</v>
      </c>
      <c r="E6810" s="9" t="str">
        <f aca="false">HYPERLINK("https://twitter.com/kinseyhaddock/status/922436613875093510","922436613875093510")</f>
        <v>922436613875093510</v>
      </c>
      <c r="F6810" s="10" t="s">
        <v>110</v>
      </c>
      <c r="G6810" s="10" t="n">
        <v>21411</v>
      </c>
      <c r="H6810" s="10" t="n">
        <v>1393</v>
      </c>
      <c r="I6810" s="10" t="n">
        <v>0</v>
      </c>
      <c r="J6810" s="10" t="n">
        <v>0</v>
      </c>
      <c r="K6810" s="10" t="s">
        <v>20</v>
      </c>
      <c r="L6810" s="11" t="n">
        <v>40918.2954282407</v>
      </c>
      <c r="M6810" s="12" t="s">
        <v>230</v>
      </c>
      <c r="N6810" s="12" t="s">
        <v>15410</v>
      </c>
      <c r="O6810" s="9" t="str">
        <f aca="false">HYPERLINK("https://pbs.twimg.com/profile_images/796376059344257024/AzujUkPJ_normal.jpg","View")</f>
        <v>View</v>
      </c>
      <c r="P6810" s="10"/>
    </row>
    <row r="6811" customFormat="false" ht="15.75" hidden="false" customHeight="false" outlineLevel="0" collapsed="false">
      <c r="A6811" s="6" t="n">
        <v>43031.2204050926</v>
      </c>
      <c r="B6811" s="7" t="str">
        <f aca="false">HYPERLINK("https://twitter.com/ReutersTV","@ReutersTV")</f>
        <v>@ReutersTV</v>
      </c>
      <c r="C6811" s="8" t="s">
        <v>15411</v>
      </c>
      <c r="D6811" s="8" t="s">
        <v>15412</v>
      </c>
      <c r="E6811" s="9" t="str">
        <f aca="false">HYPERLINK("https://twitter.com/ReutersTV/status/922436789280935936","922436789280935936")</f>
        <v>922436789280935936</v>
      </c>
      <c r="F6811" s="10" t="s">
        <v>268</v>
      </c>
      <c r="G6811" s="10" t="n">
        <v>107379</v>
      </c>
      <c r="H6811" s="10" t="n">
        <v>439</v>
      </c>
      <c r="I6811" s="10" t="n">
        <v>3</v>
      </c>
      <c r="J6811" s="10" t="n">
        <v>5</v>
      </c>
      <c r="K6811" s="10" t="s">
        <v>20</v>
      </c>
      <c r="L6811" s="11" t="n">
        <v>41801.3753240741</v>
      </c>
      <c r="M6811" s="12" t="s">
        <v>319</v>
      </c>
      <c r="N6811" s="12" t="s">
        <v>15413</v>
      </c>
      <c r="O6811" s="9" t="str">
        <f aca="false">HYPERLINK("https://pbs.twimg.com/profile_images/877583804646293504/OoLaxJyw_normal.jpg","View")</f>
        <v>View</v>
      </c>
      <c r="P6811" s="10"/>
    </row>
    <row r="6812" customFormat="false" ht="15.75" hidden="false" customHeight="false" outlineLevel="0" collapsed="false">
      <c r="A6812" s="6" t="n">
        <v>43031.2230555556</v>
      </c>
      <c r="B6812" s="7" t="str">
        <f aca="false">HYPERLINK("https://twitter.com/meetsand","@meetsand")</f>
        <v>@meetsand</v>
      </c>
      <c r="C6812" s="8" t="s">
        <v>4874</v>
      </c>
      <c r="D6812" s="8" t="s">
        <v>15414</v>
      </c>
      <c r="E6812" s="9" t="str">
        <f aca="false">HYPERLINK("https://twitter.com/meetsand/status/922437750338609152","922437750338609152")</f>
        <v>922437750338609152</v>
      </c>
      <c r="F6812" s="10" t="s">
        <v>60</v>
      </c>
      <c r="G6812" s="10" t="n">
        <v>1791</v>
      </c>
      <c r="H6812" s="10" t="n">
        <v>467</v>
      </c>
      <c r="I6812" s="10" t="n">
        <v>0</v>
      </c>
      <c r="J6812" s="10" t="n">
        <v>0</v>
      </c>
      <c r="K6812" s="10" t="s">
        <v>20</v>
      </c>
      <c r="L6812" s="11" t="n">
        <v>39952.4598726852</v>
      </c>
      <c r="M6812" s="12" t="s">
        <v>4876</v>
      </c>
      <c r="N6812" s="12" t="s">
        <v>4877</v>
      </c>
      <c r="O6812" s="9" t="str">
        <f aca="false">HYPERLINK("https://pbs.twimg.com/profile_images/824968668693946368/vaBjKmtP_normal.jpg","View")</f>
        <v>View</v>
      </c>
      <c r="P6812" s="10"/>
    </row>
    <row r="6813" customFormat="false" ht="15.75" hidden="false" customHeight="false" outlineLevel="0" collapsed="false">
      <c r="A6813" s="6" t="n">
        <v>43031.2241898148</v>
      </c>
      <c r="B6813" s="7" t="str">
        <f aca="false">HYPERLINK("https://twitter.com/amolagirhe","@amolagirhe")</f>
        <v>@amolagirhe</v>
      </c>
      <c r="C6813" s="8" t="s">
        <v>15415</v>
      </c>
      <c r="D6813" s="8" t="s">
        <v>8538</v>
      </c>
      <c r="E6813" s="9" t="str">
        <f aca="false">HYPERLINK("https://twitter.com/amolagirhe/status/922438159761162240","922438159761162240")</f>
        <v>922438159761162240</v>
      </c>
      <c r="F6813" s="10" t="s">
        <v>25</v>
      </c>
      <c r="G6813" s="10" t="n">
        <v>429</v>
      </c>
      <c r="H6813" s="10" t="n">
        <v>2259</v>
      </c>
      <c r="I6813" s="10" t="n">
        <v>1015</v>
      </c>
      <c r="J6813" s="10" t="n">
        <v>0</v>
      </c>
      <c r="K6813" s="10" t="s">
        <v>20</v>
      </c>
      <c r="L6813" s="11" t="n">
        <v>40075.3220486111</v>
      </c>
      <c r="M6813" s="12" t="s">
        <v>7761</v>
      </c>
      <c r="N6813" s="12"/>
      <c r="O6813" s="9" t="str">
        <f aca="false">HYPERLINK("https://pbs.twimg.com/profile_images/572765401/AmolShrihanTwitter_normal.JPG","View")</f>
        <v>View</v>
      </c>
      <c r="P6813" s="10"/>
    </row>
    <row r="6814" customFormat="false" ht="15.75" hidden="false" customHeight="false" outlineLevel="0" collapsed="false">
      <c r="A6814" s="6" t="n">
        <v>43031.2253240741</v>
      </c>
      <c r="B6814" s="7" t="str">
        <f aca="false">HYPERLINK("https://twitter.com/krunox123","@krunox123")</f>
        <v>@krunox123</v>
      </c>
      <c r="C6814" s="8" t="s">
        <v>1049</v>
      </c>
      <c r="D6814" s="8" t="s">
        <v>15416</v>
      </c>
      <c r="E6814" s="9" t="str">
        <f aca="false">HYPERLINK("https://twitter.com/krunox123/status/922438572074029056","922438572074029056")</f>
        <v>922438572074029056</v>
      </c>
      <c r="F6814" s="10" t="s">
        <v>60</v>
      </c>
      <c r="G6814" s="10" t="n">
        <v>10225</v>
      </c>
      <c r="H6814" s="10" t="n">
        <v>2</v>
      </c>
      <c r="I6814" s="10" t="n">
        <v>0</v>
      </c>
      <c r="J6814" s="10" t="n">
        <v>0</v>
      </c>
      <c r="K6814" s="10" t="s">
        <v>20</v>
      </c>
      <c r="L6814" s="11" t="n">
        <v>40938.2278935185</v>
      </c>
      <c r="M6814" s="12" t="s">
        <v>1051</v>
      </c>
      <c r="N6814" s="12" t="s">
        <v>1052</v>
      </c>
      <c r="O6814" s="9" t="str">
        <f aca="false">HYPERLINK("https://pbs.twimg.com/profile_images/824952382618349568/2SFIkM2x_normal.jpg","View")</f>
        <v>View</v>
      </c>
      <c r="P6814" s="10"/>
    </row>
    <row r="6815" customFormat="false" ht="15.75" hidden="false" customHeight="false" outlineLevel="0" collapsed="false">
      <c r="A6815" s="6" t="n">
        <v>43031.2263310185</v>
      </c>
      <c r="B6815" s="7" t="str">
        <f aca="false">HYPERLINK("https://twitter.com/z_monchi","@z_monchi")</f>
        <v>@z_monchi</v>
      </c>
      <c r="C6815" s="14" t="s">
        <v>15417</v>
      </c>
      <c r="D6815" s="8" t="s">
        <v>15285</v>
      </c>
      <c r="E6815" s="9" t="str">
        <f aca="false">HYPERLINK("https://twitter.com/z_monchi/status/922438937934622720","922438937934622720")</f>
        <v>922438937934622720</v>
      </c>
      <c r="F6815" s="10" t="s">
        <v>25</v>
      </c>
      <c r="G6815" s="10" t="n">
        <v>48</v>
      </c>
      <c r="H6815" s="10" t="n">
        <v>140</v>
      </c>
      <c r="I6815" s="10" t="n">
        <v>16</v>
      </c>
      <c r="J6815" s="10" t="n">
        <v>0</v>
      </c>
      <c r="K6815" s="10" t="s">
        <v>20</v>
      </c>
      <c r="L6815" s="11" t="n">
        <v>42146.0605787037</v>
      </c>
      <c r="M6815" s="13" t="s">
        <v>15418</v>
      </c>
      <c r="N6815" s="13" t="s">
        <v>15419</v>
      </c>
      <c r="O6815" s="9" t="str">
        <f aca="false">HYPERLINK("https://pbs.twimg.com/profile_images/909676796676685824/50jaGLSB_normal.jpg","View")</f>
        <v>View</v>
      </c>
      <c r="P6815" s="10"/>
    </row>
    <row r="6816" customFormat="false" ht="15.75" hidden="false" customHeight="false" outlineLevel="0" collapsed="false">
      <c r="A6816" s="6" t="n">
        <v>43031.226400463</v>
      </c>
      <c r="B6816" s="7" t="str">
        <f aca="false">HYPERLINK("https://twitter.com/CalcDay","@CalcDay")</f>
        <v>@CalcDay</v>
      </c>
      <c r="C6816" s="8" t="s">
        <v>15420</v>
      </c>
      <c r="D6816" s="8" t="s">
        <v>15162</v>
      </c>
      <c r="E6816" s="9" t="str">
        <f aca="false">HYPERLINK("https://twitter.com/CalcDay/status/922438961695547399","922438961695547399")</f>
        <v>922438961695547399</v>
      </c>
      <c r="F6816" s="10" t="s">
        <v>15421</v>
      </c>
      <c r="G6816" s="10" t="n">
        <v>245</v>
      </c>
      <c r="H6816" s="10" t="n">
        <v>601</v>
      </c>
      <c r="I6816" s="10" t="n">
        <v>15</v>
      </c>
      <c r="J6816" s="10" t="n">
        <v>0</v>
      </c>
      <c r="K6816" s="10" t="s">
        <v>20</v>
      </c>
      <c r="L6816" s="11" t="n">
        <v>40431.7999537037</v>
      </c>
      <c r="M6816" s="12" t="s">
        <v>15422</v>
      </c>
      <c r="N6816" s="12" t="s">
        <v>15423</v>
      </c>
      <c r="O6816" s="9" t="str">
        <f aca="false">HYPERLINK("https://pbs.twimg.com/profile_images/695592154161418240/dMoSAlat_normal.jpg","View")</f>
        <v>View</v>
      </c>
      <c r="P6816" s="10"/>
    </row>
    <row r="6817" customFormat="false" ht="15.75" hidden="false" customHeight="false" outlineLevel="0" collapsed="false">
      <c r="A6817" s="6" t="n">
        <v>43031.2281944444</v>
      </c>
      <c r="B6817" s="7" t="str">
        <f aca="false">HYPERLINK("https://twitter.com/culture_japan","@culture_japan")</f>
        <v>@culture_japan</v>
      </c>
      <c r="C6817" s="8" t="s">
        <v>99</v>
      </c>
      <c r="D6817" s="8" t="s">
        <v>15424</v>
      </c>
      <c r="E6817" s="9" t="str">
        <f aca="false">HYPERLINK("https://twitter.com/culture_japan/status/922439612592787456","922439612592787456")</f>
        <v>922439612592787456</v>
      </c>
      <c r="F6817" s="10" t="s">
        <v>101</v>
      </c>
      <c r="G6817" s="10" t="n">
        <v>214</v>
      </c>
      <c r="H6817" s="10" t="n">
        <v>368</v>
      </c>
      <c r="I6817" s="10" t="n">
        <v>0</v>
      </c>
      <c r="J6817" s="10" t="n">
        <v>0</v>
      </c>
      <c r="K6817" s="10" t="s">
        <v>20</v>
      </c>
      <c r="L6817" s="11" t="n">
        <v>42985.2149189815</v>
      </c>
      <c r="M6817" s="12" t="s">
        <v>102</v>
      </c>
      <c r="N6817" s="12" t="s">
        <v>103</v>
      </c>
      <c r="O6817" s="9" t="str">
        <f aca="false">HYPERLINK("https://pbs.twimg.com/profile_images/905765841622495233/8kPmmi5H_normal.jpg","View")</f>
        <v>View</v>
      </c>
      <c r="P6817" s="10"/>
    </row>
    <row r="6818" customFormat="false" ht="15.75" hidden="false" customHeight="false" outlineLevel="0" collapsed="false">
      <c r="A6818" s="6" t="n">
        <v>43031.2281944444</v>
      </c>
      <c r="B6818" s="7" t="str">
        <f aca="false">HYPERLINK("https://twitter.com/culture_japan","@culture_japan")</f>
        <v>@culture_japan</v>
      </c>
      <c r="C6818" s="8" t="s">
        <v>99</v>
      </c>
      <c r="D6818" s="8" t="s">
        <v>15425</v>
      </c>
      <c r="E6818" s="9" t="str">
        <f aca="false">HYPERLINK("https://twitter.com/culture_japan/status/922439613138046977","922439613138046977")</f>
        <v>922439613138046977</v>
      </c>
      <c r="F6818" s="10" t="s">
        <v>101</v>
      </c>
      <c r="G6818" s="10" t="n">
        <v>214</v>
      </c>
      <c r="H6818" s="10" t="n">
        <v>368</v>
      </c>
      <c r="I6818" s="10" t="n">
        <v>0</v>
      </c>
      <c r="J6818" s="10" t="n">
        <v>0</v>
      </c>
      <c r="K6818" s="10" t="s">
        <v>20</v>
      </c>
      <c r="L6818" s="11" t="n">
        <v>42985.2149189815</v>
      </c>
      <c r="M6818" s="12" t="s">
        <v>102</v>
      </c>
      <c r="N6818" s="12" t="s">
        <v>103</v>
      </c>
      <c r="O6818" s="9" t="str">
        <f aca="false">HYPERLINK("https://pbs.twimg.com/profile_images/905765841622495233/8kPmmi5H_normal.jpg","View")</f>
        <v>View</v>
      </c>
      <c r="P6818" s="10"/>
    </row>
    <row r="6819" customFormat="false" ht="15.75" hidden="false" customHeight="false" outlineLevel="0" collapsed="false">
      <c r="A6819" s="6" t="n">
        <v>43031.2305092593</v>
      </c>
      <c r="B6819" s="7" t="str">
        <f aca="false">HYPERLINK("https://twitter.com/OpenOutcrier","@OpenOutcrier")</f>
        <v>@OpenOutcrier</v>
      </c>
      <c r="C6819" s="8" t="s">
        <v>15426</v>
      </c>
      <c r="D6819" s="8" t="s">
        <v>15427</v>
      </c>
      <c r="E6819" s="9" t="str">
        <f aca="false">HYPERLINK("https://twitter.com/OpenOutcrier/status/922440451290025985","922440451290025985")</f>
        <v>922440451290025985</v>
      </c>
      <c r="F6819" s="10" t="s">
        <v>15426</v>
      </c>
      <c r="G6819" s="10" t="n">
        <v>29562</v>
      </c>
      <c r="H6819" s="10" t="n">
        <v>303</v>
      </c>
      <c r="I6819" s="10" t="n">
        <v>1</v>
      </c>
      <c r="J6819" s="10" t="n">
        <v>2</v>
      </c>
      <c r="K6819" s="10" t="s">
        <v>20</v>
      </c>
      <c r="L6819" s="11" t="n">
        <v>41678.9122453704</v>
      </c>
      <c r="M6819" s="12" t="s">
        <v>798</v>
      </c>
      <c r="N6819" s="12" t="s">
        <v>15428</v>
      </c>
      <c r="O6819" s="9" t="str">
        <f aca="false">HYPERLINK("https://pbs.twimg.com/profile_images/839250027012849666/hNeSdoWq_normal.jpg","View")</f>
        <v>View</v>
      </c>
      <c r="P6819" s="10"/>
    </row>
    <row r="6820" customFormat="false" ht="15.75" hidden="false" customHeight="false" outlineLevel="0" collapsed="false">
      <c r="A6820" s="6" t="n">
        <v>43031.2310300926</v>
      </c>
      <c r="B6820" s="7" t="str">
        <f aca="false">HYPERLINK("https://twitter.com/jbeltel","@jbeltel")</f>
        <v>@jbeltel</v>
      </c>
      <c r="C6820" s="8" t="s">
        <v>15429</v>
      </c>
      <c r="D6820" s="8" t="s">
        <v>14598</v>
      </c>
      <c r="E6820" s="9" t="str">
        <f aca="false">HYPERLINK("https://twitter.com/jbeltel/status/922440639395930113","922440639395930113")</f>
        <v>922440639395930113</v>
      </c>
      <c r="F6820" s="10" t="s">
        <v>25</v>
      </c>
      <c r="G6820" s="10" t="n">
        <v>40</v>
      </c>
      <c r="H6820" s="10" t="n">
        <v>1695</v>
      </c>
      <c r="I6820" s="10" t="n">
        <v>23</v>
      </c>
      <c r="J6820" s="10" t="n">
        <v>0</v>
      </c>
      <c r="K6820" s="10" t="s">
        <v>20</v>
      </c>
      <c r="L6820" s="11" t="n">
        <v>41741.3925347222</v>
      </c>
      <c r="M6820" s="12" t="s">
        <v>15430</v>
      </c>
      <c r="N6820" s="12" t="s">
        <v>15431</v>
      </c>
      <c r="O6820" s="9" t="str">
        <f aca="false">HYPERLINK("https://pbs.twimg.com/profile_images/749732449513377794/g9HHy88l_normal.jpg","View")</f>
        <v>View</v>
      </c>
      <c r="P6820" s="10"/>
    </row>
    <row r="6821" customFormat="false" ht="15.75" hidden="false" customHeight="false" outlineLevel="0" collapsed="false">
      <c r="A6821" s="6" t="n">
        <v>43031.2311458333</v>
      </c>
      <c r="B6821" s="7" t="str">
        <f aca="false">HYPERLINK("https://twitter.com/orwell4ever","@orwell4ever")</f>
        <v>@orwell4ever</v>
      </c>
      <c r="C6821" s="8" t="s">
        <v>6076</v>
      </c>
      <c r="D6821" s="8" t="s">
        <v>12764</v>
      </c>
      <c r="E6821" s="9" t="str">
        <f aca="false">HYPERLINK("https://twitter.com/orwell4ever/status/922440681821437952","922440681821437952")</f>
        <v>922440681821437952</v>
      </c>
      <c r="F6821" s="10" t="s">
        <v>25</v>
      </c>
      <c r="G6821" s="10" t="n">
        <v>12923</v>
      </c>
      <c r="H6821" s="10" t="n">
        <v>12788</v>
      </c>
      <c r="I6821" s="10" t="n">
        <v>170</v>
      </c>
      <c r="J6821" s="10" t="n">
        <v>0</v>
      </c>
      <c r="K6821" s="10" t="s">
        <v>20</v>
      </c>
      <c r="L6821" s="11" t="n">
        <v>41591.0621643519</v>
      </c>
      <c r="M6821" s="12"/>
      <c r="N6821" s="12" t="s">
        <v>6077</v>
      </c>
      <c r="O6821" s="9" t="str">
        <f aca="false">HYPERLINK("https://pbs.twimg.com/profile_images/538506491871776768/0pHoM3jh_normal.jpeg","View")</f>
        <v>View</v>
      </c>
      <c r="P6821" s="10"/>
    </row>
    <row r="6822" customFormat="false" ht="15.75" hidden="false" customHeight="false" outlineLevel="0" collapsed="false">
      <c r="A6822" s="6" t="n">
        <v>43031.2312037037</v>
      </c>
      <c r="B6822" s="7" t="str">
        <f aca="false">HYPERLINK("https://twitter.com/Hypocrites_Oath","@Hypocrites_Oath")</f>
        <v>@Hypocrites_Oath</v>
      </c>
      <c r="C6822" s="8" t="s">
        <v>15432</v>
      </c>
      <c r="D6822" s="8" t="s">
        <v>15433</v>
      </c>
      <c r="E6822" s="9" t="str">
        <f aca="false">HYPERLINK("https://twitter.com/Hypocrites_Oath/status/922440701547294721","922440701547294721")</f>
        <v>922440701547294721</v>
      </c>
      <c r="F6822" s="10" t="s">
        <v>276</v>
      </c>
      <c r="G6822" s="10" t="n">
        <v>174</v>
      </c>
      <c r="H6822" s="10" t="n">
        <v>696</v>
      </c>
      <c r="I6822" s="10" t="n">
        <v>1</v>
      </c>
      <c r="J6822" s="10" t="n">
        <v>0</v>
      </c>
      <c r="K6822" s="10" t="s">
        <v>20</v>
      </c>
      <c r="L6822" s="11" t="n">
        <v>40851.2994791667</v>
      </c>
      <c r="M6822" s="12" t="s">
        <v>1359</v>
      </c>
      <c r="N6822" s="12" t="s">
        <v>15434</v>
      </c>
      <c r="O6822" s="9" t="str">
        <f aca="false">HYPERLINK("https://pbs.twimg.com/profile_images/1622419212/hypocrisy-certificate_normal.jpg","View")</f>
        <v>View</v>
      </c>
      <c r="P6822" s="10"/>
    </row>
    <row r="6823" customFormat="false" ht="15.75" hidden="false" customHeight="false" outlineLevel="0" collapsed="false">
      <c r="A6823" s="6" t="n">
        <v>43031.2312962963</v>
      </c>
      <c r="B6823" s="7" t="str">
        <f aca="false">HYPERLINK("https://twitter.com/kenyannews_","@kenyannews_")</f>
        <v>@kenyannews_</v>
      </c>
      <c r="C6823" s="8" t="s">
        <v>2398</v>
      </c>
      <c r="D6823" s="8" t="s">
        <v>15435</v>
      </c>
      <c r="E6823" s="9" t="str">
        <f aca="false">HYPERLINK("https://twitter.com/kenyannews_/status/922440738960441346","922440738960441346")</f>
        <v>922440738960441346</v>
      </c>
      <c r="F6823" s="10" t="s">
        <v>15436</v>
      </c>
      <c r="G6823" s="10" t="n">
        <v>1386</v>
      </c>
      <c r="H6823" s="10" t="n">
        <v>1686</v>
      </c>
      <c r="I6823" s="10" t="n">
        <v>0</v>
      </c>
      <c r="J6823" s="10" t="n">
        <v>0</v>
      </c>
      <c r="K6823" s="10" t="s">
        <v>20</v>
      </c>
      <c r="L6823" s="11" t="n">
        <v>42842.205775463</v>
      </c>
      <c r="M6823" s="12" t="s">
        <v>13780</v>
      </c>
      <c r="N6823" s="12" t="s">
        <v>15437</v>
      </c>
      <c r="O6823" s="9" t="str">
        <f aca="false">HYPERLINK("https://pbs.twimg.com/profile_images/853941754738995200/ykMaWnYU_normal.jpg","View")</f>
        <v>View</v>
      </c>
      <c r="P6823" s="10"/>
    </row>
    <row r="6824" customFormat="false" ht="15.75" hidden="false" customHeight="false" outlineLevel="0" collapsed="false">
      <c r="A6824" s="6" t="n">
        <v>43031.2316550926</v>
      </c>
      <c r="B6824" s="7" t="str">
        <f aca="false">HYPERLINK("https://twitter.com/teatimepalace","@teatimepalace")</f>
        <v>@teatimepalace</v>
      </c>
      <c r="C6824" s="8" t="s">
        <v>15438</v>
      </c>
      <c r="D6824" s="8" t="s">
        <v>15439</v>
      </c>
      <c r="E6824" s="9" t="str">
        <f aca="false">HYPERLINK("https://twitter.com/teatimepalace/status/922440865376636928","922440865376636928")</f>
        <v>922440865376636928</v>
      </c>
      <c r="F6824" s="10" t="s">
        <v>25</v>
      </c>
      <c r="G6824" s="10" t="n">
        <v>221</v>
      </c>
      <c r="H6824" s="10" t="n">
        <v>649</v>
      </c>
      <c r="I6824" s="10" t="n">
        <v>0</v>
      </c>
      <c r="J6824" s="10" t="n">
        <v>0</v>
      </c>
      <c r="K6824" s="10" t="s">
        <v>20</v>
      </c>
      <c r="L6824" s="11" t="n">
        <v>40778.9740277778</v>
      </c>
      <c r="M6824" s="12" t="s">
        <v>15440</v>
      </c>
      <c r="N6824" s="12" t="s">
        <v>15441</v>
      </c>
      <c r="O6824" s="9" t="str">
        <f aca="false">HYPERLINK("https://pbs.twimg.com/profile_images/761388916695904256/m2iyQgYn_normal.jpg","View")</f>
        <v>View</v>
      </c>
      <c r="P6824" s="10"/>
    </row>
    <row r="6825" customFormat="false" ht="15.75" hidden="false" customHeight="false" outlineLevel="0" collapsed="false">
      <c r="A6825" s="6" t="n">
        <v>43031.2317592593</v>
      </c>
      <c r="B6825" s="7" t="str">
        <f aca="false">HYPERLINK("https://twitter.com/ramchandani2000","@ramchandani2000")</f>
        <v>@ramchandani2000</v>
      </c>
      <c r="C6825" s="8" t="s">
        <v>15442</v>
      </c>
      <c r="D6825" s="8" t="s">
        <v>8538</v>
      </c>
      <c r="E6825" s="9" t="str">
        <f aca="false">HYPERLINK("https://twitter.com/ramchandani2000/status/922440903888986113","922440903888986113")</f>
        <v>922440903888986113</v>
      </c>
      <c r="F6825" s="10" t="s">
        <v>39</v>
      </c>
      <c r="G6825" s="10" t="n">
        <v>403</v>
      </c>
      <c r="H6825" s="10" t="n">
        <v>1520</v>
      </c>
      <c r="I6825" s="10" t="n">
        <v>1015</v>
      </c>
      <c r="J6825" s="10" t="n">
        <v>0</v>
      </c>
      <c r="K6825" s="10" t="s">
        <v>20</v>
      </c>
      <c r="L6825" s="11" t="n">
        <v>40923.6608912037</v>
      </c>
      <c r="M6825" s="12"/>
      <c r="N6825" s="12"/>
      <c r="O6825" s="9" t="str">
        <f aca="false">HYPERLINK("https://abs.twimg.com/sticky/default_profile_images/default_profile_normal.png","View")</f>
        <v>View</v>
      </c>
      <c r="P6825" s="10"/>
    </row>
    <row r="6826" customFormat="false" ht="15.75" hidden="false" customHeight="false" outlineLevel="0" collapsed="false">
      <c r="A6826" s="6" t="n">
        <v>43031.2318981482</v>
      </c>
      <c r="B6826" s="7" t="str">
        <f aca="false">HYPERLINK("https://twitter.com/SFLawyer98","@SFLawyer98")</f>
        <v>@SFLawyer98</v>
      </c>
      <c r="C6826" s="8" t="s">
        <v>15443</v>
      </c>
      <c r="D6826" s="8" t="s">
        <v>15444</v>
      </c>
      <c r="E6826" s="9" t="str">
        <f aca="false">HYPERLINK("https://twitter.com/SFLawyer98/status/922440955659141120","922440955659141120")</f>
        <v>922440955659141120</v>
      </c>
      <c r="F6826" s="10" t="s">
        <v>177</v>
      </c>
      <c r="G6826" s="10" t="n">
        <v>2667</v>
      </c>
      <c r="H6826" s="10" t="n">
        <v>3673</v>
      </c>
      <c r="I6826" s="10" t="n">
        <v>1</v>
      </c>
      <c r="J6826" s="10" t="n">
        <v>0</v>
      </c>
      <c r="K6826" s="10" t="s">
        <v>20</v>
      </c>
      <c r="L6826" s="11" t="n">
        <v>41030.6297800926</v>
      </c>
      <c r="M6826" s="12" t="s">
        <v>15445</v>
      </c>
      <c r="N6826" s="12" t="s">
        <v>15446</v>
      </c>
      <c r="O6826" s="9" t="str">
        <f aca="false">HYPERLINK("https://pbs.twimg.com/profile_images/667781658850889728/R4eWRt11_normal.jpg","View")</f>
        <v>View</v>
      </c>
      <c r="P6826" s="10"/>
    </row>
    <row r="6827" customFormat="false" ht="15.75" hidden="false" customHeight="false" outlineLevel="0" collapsed="false">
      <c r="A6827" s="6" t="n">
        <v>43031.2324305556</v>
      </c>
      <c r="B6827" s="7" t="str">
        <f aca="false">HYPERLINK("https://twitter.com/Tweeter2Los","@Tweeter2Los")</f>
        <v>@Tweeter2Los</v>
      </c>
      <c r="C6827" s="8" t="s">
        <v>15447</v>
      </c>
      <c r="D6827" s="8" t="s">
        <v>13595</v>
      </c>
      <c r="E6827" s="9" t="str">
        <f aca="false">HYPERLINK("https://twitter.com/Tweeter2Los/status/922441149134131200","922441149134131200")</f>
        <v>922441149134131200</v>
      </c>
      <c r="F6827" s="10" t="s">
        <v>51</v>
      </c>
      <c r="G6827" s="10" t="n">
        <v>350</v>
      </c>
      <c r="H6827" s="10" t="n">
        <v>930</v>
      </c>
      <c r="I6827" s="10" t="n">
        <v>88</v>
      </c>
      <c r="J6827" s="10" t="n">
        <v>0</v>
      </c>
      <c r="K6827" s="10" t="s">
        <v>20</v>
      </c>
      <c r="L6827" s="11" t="n">
        <v>41289.768275463</v>
      </c>
      <c r="M6827" s="12" t="s">
        <v>15448</v>
      </c>
      <c r="N6827" s="12" t="s">
        <v>15449</v>
      </c>
      <c r="O6827" s="9" t="str">
        <f aca="false">HYPERLINK("https://pbs.twimg.com/profile_images/922295627060523009/RLcZDstI_normal.jpg","View")</f>
        <v>View</v>
      </c>
      <c r="P6827" s="10"/>
    </row>
    <row r="6828" customFormat="false" ht="15.75" hidden="false" customHeight="false" outlineLevel="0" collapsed="false">
      <c r="A6828" s="6" t="n">
        <v>43031.2325462963</v>
      </c>
      <c r="B6828" s="7" t="str">
        <f aca="false">HYPERLINK("https://twitter.com/NewsDingo","@NewsDingo")</f>
        <v>@NewsDingo</v>
      </c>
      <c r="C6828" s="8" t="s">
        <v>1930</v>
      </c>
      <c r="D6828" s="8" t="s">
        <v>15450</v>
      </c>
      <c r="E6828" s="9" t="str">
        <f aca="false">HYPERLINK("https://twitter.com/NewsDingo/status/922441189164449792","922441189164449792")</f>
        <v>922441189164449792</v>
      </c>
      <c r="F6828" s="10" t="s">
        <v>1932</v>
      </c>
      <c r="G6828" s="10" t="n">
        <v>141</v>
      </c>
      <c r="H6828" s="10" t="n">
        <v>55</v>
      </c>
      <c r="I6828" s="10" t="n">
        <v>0</v>
      </c>
      <c r="J6828" s="10" t="n">
        <v>0</v>
      </c>
      <c r="K6828" s="10" t="s">
        <v>20</v>
      </c>
      <c r="L6828" s="11" t="n">
        <v>40282.5263657407</v>
      </c>
      <c r="M6828" s="12" t="s">
        <v>1933</v>
      </c>
      <c r="N6828" s="12" t="s">
        <v>1934</v>
      </c>
      <c r="O6828" s="9" t="str">
        <f aca="false">HYPERLINK("https://pbs.twimg.com/profile_images/823485261/news_dingo_48_normal.gif","View")</f>
        <v>View</v>
      </c>
      <c r="P6828" s="10"/>
    </row>
    <row r="6829" customFormat="false" ht="15.75" hidden="false" customHeight="false" outlineLevel="0" collapsed="false">
      <c r="A6829" s="6" t="n">
        <v>43031.2325462963</v>
      </c>
      <c r="B6829" s="7" t="str">
        <f aca="false">HYPERLINK("https://twitter.com/jafarmiya","@jafarmiya")</f>
        <v>@jafarmiya</v>
      </c>
      <c r="C6829" s="8" t="s">
        <v>15451</v>
      </c>
      <c r="D6829" s="8" t="s">
        <v>13253</v>
      </c>
      <c r="E6829" s="9" t="str">
        <f aca="false">HYPERLINK("https://twitter.com/jafarmiya/status/922441189260972032","922441189260972032")</f>
        <v>922441189260972032</v>
      </c>
      <c r="F6829" s="10" t="s">
        <v>25</v>
      </c>
      <c r="G6829" s="10" t="n">
        <v>95</v>
      </c>
      <c r="H6829" s="10" t="n">
        <v>51</v>
      </c>
      <c r="I6829" s="10" t="n">
        <v>22</v>
      </c>
      <c r="J6829" s="10" t="n">
        <v>0</v>
      </c>
      <c r="K6829" s="10" t="s">
        <v>20</v>
      </c>
      <c r="L6829" s="11" t="n">
        <v>42659.4537268518</v>
      </c>
      <c r="M6829" s="12"/>
      <c r="N6829" s="12" t="s">
        <v>15452</v>
      </c>
      <c r="O6829" s="9" t="str">
        <f aca="false">HYPERLINK("https://abs.twimg.com/sticky/default_profile_images/default_profile_normal.png","View")</f>
        <v>View</v>
      </c>
      <c r="P6829" s="10"/>
    </row>
    <row r="6830" customFormat="false" ht="15.75" hidden="false" customHeight="false" outlineLevel="0" collapsed="false">
      <c r="A6830" s="6" t="n">
        <v>43031.2332638889</v>
      </c>
      <c r="B6830" s="7" t="str">
        <f aca="false">HYPERLINK("https://twitter.com/DianaEsther","@DianaEsther")</f>
        <v>@DianaEsther</v>
      </c>
      <c r="C6830" s="8" t="s">
        <v>15453</v>
      </c>
      <c r="D6830" s="8" t="s">
        <v>15454</v>
      </c>
      <c r="E6830" s="9" t="str">
        <f aca="false">HYPERLINK("https://twitter.com/DianaEsther/status/922441448452009985","922441448452009985")</f>
        <v>922441448452009985</v>
      </c>
      <c r="F6830" s="10" t="s">
        <v>51</v>
      </c>
      <c r="G6830" s="10" t="n">
        <v>916</v>
      </c>
      <c r="H6830" s="10" t="n">
        <v>516</v>
      </c>
      <c r="I6830" s="10" t="n">
        <v>1</v>
      </c>
      <c r="J6830" s="10" t="n">
        <v>0</v>
      </c>
      <c r="K6830" s="10" t="s">
        <v>20</v>
      </c>
      <c r="L6830" s="11" t="n">
        <v>39910.6888657407</v>
      </c>
      <c r="M6830" s="12" t="s">
        <v>1697</v>
      </c>
      <c r="N6830" s="12" t="s">
        <v>15455</v>
      </c>
      <c r="O6830" s="9" t="str">
        <f aca="false">HYPERLINK("https://pbs.twimg.com/profile_images/918292250286686208/56djNR-w_normal.jpg","View")</f>
        <v>View</v>
      </c>
      <c r="P6830" s="10"/>
    </row>
    <row r="6831" customFormat="false" ht="15.75" hidden="false" customHeight="false" outlineLevel="0" collapsed="false">
      <c r="A6831" s="6" t="n">
        <v>43031.233599537</v>
      </c>
      <c r="B6831" s="7" t="str">
        <f aca="false">HYPERLINK("https://twitter.com/alfonslopeztena","@alfonslopeztena")</f>
        <v>@alfonslopeztena</v>
      </c>
      <c r="C6831" s="8" t="s">
        <v>7722</v>
      </c>
      <c r="D6831" s="8" t="s">
        <v>7736</v>
      </c>
      <c r="E6831" s="9" t="str">
        <f aca="false">HYPERLINK("https://twitter.com/alfonslopeztena/status/922441570468671489","922441570468671489")</f>
        <v>922441570468671489</v>
      </c>
      <c r="F6831" s="10" t="s">
        <v>51</v>
      </c>
      <c r="G6831" s="10" t="n">
        <v>102907</v>
      </c>
      <c r="H6831" s="10" t="n">
        <v>21546</v>
      </c>
      <c r="I6831" s="10" t="n">
        <v>31</v>
      </c>
      <c r="J6831" s="10" t="n">
        <v>0</v>
      </c>
      <c r="K6831" s="10" t="s">
        <v>20</v>
      </c>
      <c r="L6831" s="11" t="n">
        <v>40696.3249189815</v>
      </c>
      <c r="M6831" s="12" t="s">
        <v>7724</v>
      </c>
      <c r="N6831" s="12" t="s">
        <v>7725</v>
      </c>
      <c r="O6831" s="9" t="str">
        <f aca="false">HYPERLINK("https://pbs.twimg.com/profile_images/859622516989587459/V7xwxilP_normal.jpg","View")</f>
        <v>View</v>
      </c>
      <c r="P6831" s="10"/>
    </row>
    <row r="6832" customFormat="false" ht="15.75" hidden="false" customHeight="false" outlineLevel="0" collapsed="false">
      <c r="A6832" s="6" t="n">
        <v>43031.2338888889</v>
      </c>
      <c r="B6832" s="7" t="str">
        <f aca="false">HYPERLINK("https://twitter.com/0542Madhu","@0542Madhu")</f>
        <v>@0542Madhu</v>
      </c>
      <c r="C6832" s="8" t="s">
        <v>10821</v>
      </c>
      <c r="D6832" s="8" t="s">
        <v>7736</v>
      </c>
      <c r="E6832" s="9" t="str">
        <f aca="false">HYPERLINK("https://twitter.com/0542Madhu/status/922441676420825088","922441676420825088")</f>
        <v>922441676420825088</v>
      </c>
      <c r="F6832" s="10" t="s">
        <v>25</v>
      </c>
      <c r="G6832" s="10" t="n">
        <v>28</v>
      </c>
      <c r="H6832" s="10" t="n">
        <v>772</v>
      </c>
      <c r="I6832" s="10" t="n">
        <v>31</v>
      </c>
      <c r="J6832" s="10" t="n">
        <v>0</v>
      </c>
      <c r="K6832" s="10" t="s">
        <v>20</v>
      </c>
      <c r="L6832" s="11" t="n">
        <v>41893.5197800926</v>
      </c>
      <c r="M6832" s="12" t="s">
        <v>10823</v>
      </c>
      <c r="N6832" s="12" t="s">
        <v>10824</v>
      </c>
      <c r="O6832" s="9" t="str">
        <f aca="false">HYPERLINK("https://pbs.twimg.com/profile_images/917723338625097728/o-iCr4ag_normal.jpg","View")</f>
        <v>View</v>
      </c>
      <c r="P6832" s="10"/>
    </row>
    <row r="6833" customFormat="false" ht="15.75" hidden="false" customHeight="false" outlineLevel="0" collapsed="false">
      <c r="A6833" s="6" t="n">
        <v>43031.2342476852</v>
      </c>
      <c r="B6833" s="7" t="str">
        <f aca="false">HYPERLINK("https://twitter.com/AnilVegomega","@AnilVegomega")</f>
        <v>@AnilVegomega</v>
      </c>
      <c r="C6833" s="8" t="s">
        <v>15456</v>
      </c>
      <c r="D6833" s="8" t="s">
        <v>7736</v>
      </c>
      <c r="E6833" s="9" t="str">
        <f aca="false">HYPERLINK("https://twitter.com/AnilVegomega/status/922441805466963969","922441805466963969")</f>
        <v>922441805466963969</v>
      </c>
      <c r="F6833" s="10" t="s">
        <v>25</v>
      </c>
      <c r="G6833" s="10" t="n">
        <v>1204</v>
      </c>
      <c r="H6833" s="10" t="n">
        <v>2463</v>
      </c>
      <c r="I6833" s="10" t="n">
        <v>31</v>
      </c>
      <c r="J6833" s="10" t="n">
        <v>0</v>
      </c>
      <c r="K6833" s="10" t="s">
        <v>20</v>
      </c>
      <c r="L6833" s="11" t="n">
        <v>41879.4732175926</v>
      </c>
      <c r="M6833" s="12" t="s">
        <v>4483</v>
      </c>
      <c r="N6833" s="12" t="s">
        <v>14046</v>
      </c>
      <c r="O6833" s="9" t="str">
        <f aca="false">HYPERLINK("https://pbs.twimg.com/profile_images/839011239070068736/n9S412_o_normal.jpg","View")</f>
        <v>View</v>
      </c>
      <c r="P6833" s="10"/>
    </row>
    <row r="6834" customFormat="false" ht="15.75" hidden="false" customHeight="false" outlineLevel="0" collapsed="false">
      <c r="A6834" s="6" t="n">
        <v>43031.2344328704</v>
      </c>
      <c r="B6834" s="7" t="str">
        <f aca="false">HYPERLINK("https://twitter.com/GokhrooArpit","@GokhrooArpit")</f>
        <v>@GokhrooArpit</v>
      </c>
      <c r="C6834" s="8" t="s">
        <v>15457</v>
      </c>
      <c r="D6834" s="8" t="s">
        <v>8538</v>
      </c>
      <c r="E6834" s="9" t="str">
        <f aca="false">HYPERLINK("https://twitter.com/GokhrooArpit/status/922441873578274816","922441873578274816")</f>
        <v>922441873578274816</v>
      </c>
      <c r="F6834" s="10" t="s">
        <v>25</v>
      </c>
      <c r="G6834" s="10" t="n">
        <v>3</v>
      </c>
      <c r="H6834" s="10" t="n">
        <v>18</v>
      </c>
      <c r="I6834" s="10" t="n">
        <v>1015</v>
      </c>
      <c r="J6834" s="10" t="n">
        <v>0</v>
      </c>
      <c r="K6834" s="10" t="s">
        <v>20</v>
      </c>
      <c r="L6834" s="11" t="n">
        <v>42949.305787037</v>
      </c>
      <c r="M6834" s="12"/>
      <c r="N6834" s="12" t="s">
        <v>15458</v>
      </c>
      <c r="O6834" s="9" t="str">
        <f aca="false">HYPERLINK("https://abs.twimg.com/sticky/default_profile_images/default_profile_normal.png","View")</f>
        <v>View</v>
      </c>
      <c r="P6834" s="10"/>
    </row>
    <row r="6835" customFormat="false" ht="15.75" hidden="false" customHeight="false" outlineLevel="0" collapsed="false">
      <c r="A6835" s="6" t="n">
        <v>43031.2350347222</v>
      </c>
      <c r="B6835" s="7" t="str">
        <f aca="false">HYPERLINK("https://twitter.com/YMCHOI2","@YMCHOI2")</f>
        <v>@YMCHOI2</v>
      </c>
      <c r="C6835" s="8" t="s">
        <v>15459</v>
      </c>
      <c r="D6835" s="8" t="s">
        <v>7736</v>
      </c>
      <c r="E6835" s="9" t="str">
        <f aca="false">HYPERLINK("https://twitter.com/YMCHOI2/status/922442089912139776","922442089912139776")</f>
        <v>922442089912139776</v>
      </c>
      <c r="F6835" s="10" t="s">
        <v>39</v>
      </c>
      <c r="G6835" s="10" t="n">
        <v>20850</v>
      </c>
      <c r="H6835" s="10" t="n">
        <v>20286</v>
      </c>
      <c r="I6835" s="10" t="n">
        <v>31</v>
      </c>
      <c r="J6835" s="10" t="n">
        <v>0</v>
      </c>
      <c r="K6835" s="10" t="s">
        <v>20</v>
      </c>
      <c r="L6835" s="11" t="n">
        <v>41293.2576388889</v>
      </c>
      <c r="M6835" s="12"/>
      <c r="N6835" s="12" t="s">
        <v>15460</v>
      </c>
      <c r="O6835" s="9" t="str">
        <f aca="false">HYPERLINK("https://pbs.twimg.com/profile_images/443239374944075777/W_nmvWDS_normal.png","View")</f>
        <v>View</v>
      </c>
      <c r="P6835" s="10"/>
    </row>
    <row r="6836" customFormat="false" ht="15.75" hidden="false" customHeight="false" outlineLevel="0" collapsed="false">
      <c r="A6836" s="6" t="n">
        <v>43031.2351736111</v>
      </c>
      <c r="B6836" s="7" t="str">
        <f aca="false">HYPERLINK("https://twitter.com/ChooseGudPerson","@ChooseGudPerson")</f>
        <v>@ChooseGudPerson</v>
      </c>
      <c r="C6836" s="8" t="s">
        <v>15461</v>
      </c>
      <c r="D6836" s="8" t="s">
        <v>7736</v>
      </c>
      <c r="E6836" s="9" t="str">
        <f aca="false">HYPERLINK("https://twitter.com/ChooseGudPerson/status/922442143259430912","922442143259430912")</f>
        <v>922442143259430912</v>
      </c>
      <c r="F6836" s="10" t="s">
        <v>25</v>
      </c>
      <c r="G6836" s="10" t="n">
        <v>335</v>
      </c>
      <c r="H6836" s="10" t="n">
        <v>288</v>
      </c>
      <c r="I6836" s="10" t="n">
        <v>31</v>
      </c>
      <c r="J6836" s="10" t="n">
        <v>0</v>
      </c>
      <c r="K6836" s="10" t="s">
        <v>20</v>
      </c>
      <c r="L6836" s="11" t="n">
        <v>42035.9840740741</v>
      </c>
      <c r="M6836" s="12"/>
      <c r="N6836" s="12" t="s">
        <v>15462</v>
      </c>
      <c r="O6836" s="9" t="str">
        <f aca="false">HYPERLINK("https://pbs.twimg.com/profile_images/856840622711463937/t5-IWQdE_normal.jpg","View")</f>
        <v>View</v>
      </c>
      <c r="P6836" s="10"/>
    </row>
    <row r="6837" customFormat="false" ht="15.75" hidden="false" customHeight="false" outlineLevel="0" collapsed="false">
      <c r="A6837" s="6" t="n">
        <v>43031.2351851852</v>
      </c>
      <c r="B6837" s="7" t="str">
        <f aca="false">HYPERLINK("https://twitter.com/TheWillowGhost","@TheWillowGhost")</f>
        <v>@TheWillowGhost</v>
      </c>
      <c r="C6837" s="8" t="s">
        <v>15463</v>
      </c>
      <c r="D6837" s="8" t="s">
        <v>7736</v>
      </c>
      <c r="E6837" s="9" t="str">
        <f aca="false">HYPERLINK("https://twitter.com/TheWillowGhost/status/922442147235688449","922442147235688449")</f>
        <v>922442147235688449</v>
      </c>
      <c r="F6837" s="10" t="s">
        <v>39</v>
      </c>
      <c r="G6837" s="10" t="n">
        <v>1860</v>
      </c>
      <c r="H6837" s="10" t="n">
        <v>1913</v>
      </c>
      <c r="I6837" s="10" t="n">
        <v>31</v>
      </c>
      <c r="J6837" s="10" t="n">
        <v>0</v>
      </c>
      <c r="K6837" s="10" t="s">
        <v>20</v>
      </c>
      <c r="L6837" s="11" t="n">
        <v>40143.2354050926</v>
      </c>
      <c r="M6837" s="12" t="s">
        <v>1199</v>
      </c>
      <c r="N6837" s="12" t="s">
        <v>15464</v>
      </c>
      <c r="O6837" s="9" t="str">
        <f aca="false">HYPERLINK("https://pbs.twimg.com/profile_images/378800000426773753/440a9d6e4b72c1619df576ce104a4538_normal.jpeg","View")</f>
        <v>View</v>
      </c>
      <c r="P6837" s="10"/>
    </row>
    <row r="6838" customFormat="false" ht="15.75" hidden="false" customHeight="false" outlineLevel="0" collapsed="false">
      <c r="A6838" s="6" t="n">
        <v>43031.2362615741</v>
      </c>
      <c r="B6838" s="7" t="str">
        <f aca="false">HYPERLINK("https://twitter.com/Jim_B60","@Jim_B60")</f>
        <v>@Jim_B60</v>
      </c>
      <c r="C6838" s="8" t="s">
        <v>15465</v>
      </c>
      <c r="D6838" s="8" t="s">
        <v>7736</v>
      </c>
      <c r="E6838" s="9" t="str">
        <f aca="false">HYPERLINK("https://twitter.com/Jim_B60/status/922442535317987328","922442535317987328")</f>
        <v>922442535317987328</v>
      </c>
      <c r="F6838" s="10" t="s">
        <v>25</v>
      </c>
      <c r="G6838" s="10" t="n">
        <v>6073</v>
      </c>
      <c r="H6838" s="10" t="n">
        <v>6643</v>
      </c>
      <c r="I6838" s="10" t="n">
        <v>31</v>
      </c>
      <c r="J6838" s="10" t="n">
        <v>0</v>
      </c>
      <c r="K6838" s="10" t="s">
        <v>20</v>
      </c>
      <c r="L6838" s="11" t="n">
        <v>41759.5258333333</v>
      </c>
      <c r="M6838" s="12" t="s">
        <v>15466</v>
      </c>
      <c r="N6838" s="12" t="s">
        <v>15467</v>
      </c>
      <c r="O6838" s="9" t="str">
        <f aca="false">HYPERLINK("https://pbs.twimg.com/profile_images/887645998771838978/gr9YyOCO_normal.jpg","View")</f>
        <v>View</v>
      </c>
      <c r="P6838" s="10"/>
    </row>
    <row r="6839" customFormat="false" ht="15.75" hidden="false" customHeight="false" outlineLevel="0" collapsed="false">
      <c r="A6839" s="6" t="n">
        <v>43031.2363310185</v>
      </c>
      <c r="B6839" s="7" t="str">
        <f aca="false">HYPERLINK("https://twitter.com/yudibakshi","@yudibakshi")</f>
        <v>@yudibakshi</v>
      </c>
      <c r="C6839" s="8" t="s">
        <v>15468</v>
      </c>
      <c r="D6839" s="8" t="s">
        <v>8538</v>
      </c>
      <c r="E6839" s="9" t="str">
        <f aca="false">HYPERLINK("https://twitter.com/yudibakshi/status/922442562794799104","922442562794799104")</f>
        <v>922442562794799104</v>
      </c>
      <c r="F6839" s="10" t="s">
        <v>25</v>
      </c>
      <c r="G6839" s="10" t="n">
        <v>220</v>
      </c>
      <c r="H6839" s="10" t="n">
        <v>1196</v>
      </c>
      <c r="I6839" s="10" t="n">
        <v>1015</v>
      </c>
      <c r="J6839" s="10" t="n">
        <v>0</v>
      </c>
      <c r="K6839" s="10" t="s">
        <v>20</v>
      </c>
      <c r="L6839" s="11" t="n">
        <v>40056.4170486111</v>
      </c>
      <c r="M6839" s="12"/>
      <c r="N6839" s="12" t="s">
        <v>15469</v>
      </c>
      <c r="O6839" s="9" t="str">
        <f aca="false">HYPERLINK("https://pbs.twimg.com/profile_images/615520240856727553/K4bs44IU_normal.jpg","View")</f>
        <v>View</v>
      </c>
      <c r="P6839" s="10"/>
    </row>
    <row r="6840" customFormat="false" ht="15.75" hidden="false" customHeight="false" outlineLevel="0" collapsed="false">
      <c r="A6840" s="6" t="n">
        <v>43031.236400463</v>
      </c>
      <c r="B6840" s="7" t="str">
        <f aca="false">HYPERLINK("https://twitter.com/lolllepopxstars","@lolllepopxstars")</f>
        <v>@lolllepopxstars</v>
      </c>
      <c r="C6840" s="8" t="s">
        <v>15470</v>
      </c>
      <c r="D6840" s="8" t="s">
        <v>14598</v>
      </c>
      <c r="E6840" s="9" t="str">
        <f aca="false">HYPERLINK("https://twitter.com/lolllepopxstars/status/922442584718315520","922442584718315520")</f>
        <v>922442584718315520</v>
      </c>
      <c r="F6840" s="10" t="s">
        <v>25</v>
      </c>
      <c r="G6840" s="10" t="n">
        <v>61</v>
      </c>
      <c r="H6840" s="10" t="n">
        <v>2304</v>
      </c>
      <c r="I6840" s="10" t="n">
        <v>23</v>
      </c>
      <c r="J6840" s="10" t="n">
        <v>0</v>
      </c>
      <c r="K6840" s="10" t="s">
        <v>20</v>
      </c>
      <c r="L6840" s="11" t="n">
        <v>40887.4795949074</v>
      </c>
      <c r="M6840" s="12" t="s">
        <v>15471</v>
      </c>
      <c r="N6840" s="12" t="s">
        <v>15472</v>
      </c>
      <c r="O6840" s="9" t="str">
        <f aca="false">HYPERLINK("https://pbs.twimg.com/profile_images/762998466662379521/N5NMAT4-_normal.jpg","View")</f>
        <v>View</v>
      </c>
      <c r="P6840" s="10"/>
    </row>
    <row r="6841" customFormat="false" ht="15.75" hidden="false" customHeight="false" outlineLevel="0" collapsed="false">
      <c r="A6841" s="6" t="n">
        <v>43031.2365162037</v>
      </c>
      <c r="B6841" s="7" t="str">
        <f aca="false">HYPERLINK("https://twitter.com/jimbaileytw","@jimbaileytw")</f>
        <v>@jimbaileytw</v>
      </c>
      <c r="C6841" s="8" t="s">
        <v>15473</v>
      </c>
      <c r="D6841" s="8" t="s">
        <v>14466</v>
      </c>
      <c r="E6841" s="9" t="str">
        <f aca="false">HYPERLINK("https://twitter.com/jimbaileytw/status/922442628246986753","922442628246986753")</f>
        <v>922442628246986753</v>
      </c>
      <c r="F6841" s="10" t="s">
        <v>51</v>
      </c>
      <c r="G6841" s="10" t="n">
        <v>28</v>
      </c>
      <c r="H6841" s="10" t="n">
        <v>13</v>
      </c>
      <c r="I6841" s="10" t="n">
        <v>51</v>
      </c>
      <c r="J6841" s="10" t="n">
        <v>0</v>
      </c>
      <c r="K6841" s="10" t="s">
        <v>20</v>
      </c>
      <c r="L6841" s="11" t="n">
        <v>41820.6659490741</v>
      </c>
      <c r="M6841" s="12"/>
      <c r="N6841" s="12"/>
      <c r="O6841" s="9" t="str">
        <f aca="false">HYPERLINK("https://abs.twimg.com/sticky/default_profile_images/default_profile_normal.png","View")</f>
        <v>View</v>
      </c>
      <c r="P6841" s="10"/>
    </row>
    <row r="6842" customFormat="false" ht="15.75" hidden="false" customHeight="false" outlineLevel="0" collapsed="false">
      <c r="A6842" s="6" t="n">
        <v>43031.236712963</v>
      </c>
      <c r="B6842" s="7" t="str">
        <f aca="false">HYPERLINK("https://twitter.com/masakofukuisyd","@masakofukuisyd")</f>
        <v>@masakofukuisyd</v>
      </c>
      <c r="C6842" s="8" t="s">
        <v>15474</v>
      </c>
      <c r="D6842" s="8" t="s">
        <v>15475</v>
      </c>
      <c r="E6842" s="9" t="str">
        <f aca="false">HYPERLINK("https://twitter.com/masakofukuisyd/status/922442701424926720","922442701424926720")</f>
        <v>922442701424926720</v>
      </c>
      <c r="F6842" s="10" t="s">
        <v>39</v>
      </c>
      <c r="G6842" s="10" t="n">
        <v>665</v>
      </c>
      <c r="H6842" s="10" t="n">
        <v>1315</v>
      </c>
      <c r="I6842" s="10" t="n">
        <v>0</v>
      </c>
      <c r="J6842" s="10" t="n">
        <v>0</v>
      </c>
      <c r="K6842" s="10" t="s">
        <v>20</v>
      </c>
      <c r="L6842" s="11" t="n">
        <v>41017.6619444444</v>
      </c>
      <c r="M6842" s="12"/>
      <c r="N6842" s="12" t="s">
        <v>15476</v>
      </c>
      <c r="O6842" s="9" t="str">
        <f aca="false">HYPERLINK("https://pbs.twimg.com/profile_images/758212928327651328/EgnHVQKC_normal.jpg","View")</f>
        <v>View</v>
      </c>
      <c r="P6842" s="10"/>
    </row>
    <row r="6843" customFormat="false" ht="15.75" hidden="false" customHeight="false" outlineLevel="0" collapsed="false">
      <c r="A6843" s="6" t="n">
        <v>43031.2369444444</v>
      </c>
      <c r="B6843" s="7" t="str">
        <f aca="false">HYPERLINK("https://twitter.com/JeffreyMeyers","@JeffreyMeyers")</f>
        <v>@JeffreyMeyers</v>
      </c>
      <c r="C6843" s="8" t="s">
        <v>15477</v>
      </c>
      <c r="D6843" s="8" t="s">
        <v>15478</v>
      </c>
      <c r="E6843" s="9" t="str">
        <f aca="false">HYPERLINK("https://twitter.com/JeffreyMeyers/status/922442783775907842","922442783775907842")</f>
        <v>922442783775907842</v>
      </c>
      <c r="F6843" s="10" t="s">
        <v>51</v>
      </c>
      <c r="G6843" s="10" t="n">
        <v>1086</v>
      </c>
      <c r="H6843" s="10" t="n">
        <v>1748</v>
      </c>
      <c r="I6843" s="10" t="n">
        <v>0</v>
      </c>
      <c r="J6843" s="10" t="n">
        <v>0</v>
      </c>
      <c r="K6843" s="10" t="s">
        <v>20</v>
      </c>
      <c r="L6843" s="11" t="n">
        <v>39943.4331365741</v>
      </c>
      <c r="M6843" s="12"/>
      <c r="N6843" s="12" t="s">
        <v>15479</v>
      </c>
      <c r="O6843" s="9" t="str">
        <f aca="false">HYPERLINK("https://pbs.twimg.com/profile_images/720473996635070467/Khoi77_z_normal.jpg","View")</f>
        <v>View</v>
      </c>
      <c r="P6843" s="10"/>
    </row>
    <row r="6844" customFormat="false" ht="15.75" hidden="false" customHeight="false" outlineLevel="0" collapsed="false">
      <c r="A6844" s="6" t="n">
        <v>43031.237025463</v>
      </c>
      <c r="B6844" s="7" t="str">
        <f aca="false">HYPERLINK("https://twitter.com/bhandarkarab","@bhandarkarab")</f>
        <v>@bhandarkarab</v>
      </c>
      <c r="C6844" s="8" t="s">
        <v>15480</v>
      </c>
      <c r="D6844" s="8" t="s">
        <v>15481</v>
      </c>
      <c r="E6844" s="9" t="str">
        <f aca="false">HYPERLINK("https://twitter.com/bhandarkarab/status/922442812183937024","922442812183937024")</f>
        <v>922442812183937024</v>
      </c>
      <c r="F6844" s="10" t="s">
        <v>15482</v>
      </c>
      <c r="G6844" s="10" t="n">
        <v>135</v>
      </c>
      <c r="H6844" s="10" t="n">
        <v>105</v>
      </c>
      <c r="I6844" s="10" t="n">
        <v>0</v>
      </c>
      <c r="J6844" s="10" t="n">
        <v>0</v>
      </c>
      <c r="K6844" s="10" t="s">
        <v>20</v>
      </c>
      <c r="L6844" s="11" t="n">
        <v>40893.886875</v>
      </c>
      <c r="M6844" s="12" t="s">
        <v>7908</v>
      </c>
      <c r="N6844" s="12"/>
      <c r="O6844" s="9" t="str">
        <f aca="false">HYPERLINK("https://pbs.twimg.com/profile_images/632863356777459712/yNqjj7sr_normal.jpg","View")</f>
        <v>View</v>
      </c>
      <c r="P6844" s="10"/>
    </row>
    <row r="6845" customFormat="false" ht="15.75" hidden="false" customHeight="false" outlineLevel="0" collapsed="false">
      <c r="A6845" s="6" t="n">
        <v>43031.2374305556</v>
      </c>
      <c r="B6845" s="7" t="str">
        <f aca="false">HYPERLINK("https://twitter.com/rahulsahu96782","@rahulsahu96782")</f>
        <v>@rahulsahu96782</v>
      </c>
      <c r="C6845" s="8" t="s">
        <v>15483</v>
      </c>
      <c r="D6845" s="8" t="s">
        <v>7736</v>
      </c>
      <c r="E6845" s="9" t="str">
        <f aca="false">HYPERLINK("https://twitter.com/rahulsahu96782/status/922442958166568960","922442958166568960")</f>
        <v>922442958166568960</v>
      </c>
      <c r="F6845" s="10" t="s">
        <v>25</v>
      </c>
      <c r="G6845" s="10" t="n">
        <v>550</v>
      </c>
      <c r="H6845" s="10" t="n">
        <v>537</v>
      </c>
      <c r="I6845" s="10" t="n">
        <v>31</v>
      </c>
      <c r="J6845" s="10" t="n">
        <v>0</v>
      </c>
      <c r="K6845" s="10" t="s">
        <v>20</v>
      </c>
      <c r="L6845" s="11" t="n">
        <v>42373.9832986111</v>
      </c>
      <c r="M6845" s="12" t="s">
        <v>15484</v>
      </c>
      <c r="N6845" s="12" t="s">
        <v>15485</v>
      </c>
      <c r="O6845" s="9" t="str">
        <f aca="false">HYPERLINK("https://pbs.twimg.com/profile_images/880476275428671488/YYEwVQ-k_normal.jpg","View")</f>
        <v>View</v>
      </c>
      <c r="P6845" s="10"/>
    </row>
    <row r="6846" customFormat="false" ht="15.75" hidden="false" customHeight="false" outlineLevel="0" collapsed="false">
      <c r="A6846" s="6" t="n">
        <v>43031.2377314815</v>
      </c>
      <c r="B6846" s="7" t="str">
        <f aca="false">HYPERLINK("https://twitter.com/AlAkBseth","@AlAkBseth")</f>
        <v>@AlAkBseth</v>
      </c>
      <c r="C6846" s="8" t="s">
        <v>15486</v>
      </c>
      <c r="D6846" s="8" t="s">
        <v>7736</v>
      </c>
      <c r="E6846" s="9" t="str">
        <f aca="false">HYPERLINK("https://twitter.com/AlAkBseth/status/922443067185131520","922443067185131520")</f>
        <v>922443067185131520</v>
      </c>
      <c r="F6846" s="10" t="s">
        <v>25</v>
      </c>
      <c r="G6846" s="10" t="n">
        <v>1380</v>
      </c>
      <c r="H6846" s="10" t="n">
        <v>896</v>
      </c>
      <c r="I6846" s="10" t="n">
        <v>31</v>
      </c>
      <c r="J6846" s="10" t="n">
        <v>0</v>
      </c>
      <c r="K6846" s="10" t="s">
        <v>20</v>
      </c>
      <c r="L6846" s="11" t="n">
        <v>41712.5740740741</v>
      </c>
      <c r="M6846" s="12"/>
      <c r="N6846" s="12"/>
      <c r="O6846" s="9" t="str">
        <f aca="false">HYPERLINK("https://pbs.twimg.com/profile_images/465171847202369536/ytWkLdyU_normal.jpeg","View")</f>
        <v>View</v>
      </c>
      <c r="P6846" s="10"/>
    </row>
    <row r="6847" customFormat="false" ht="15.75" hidden="false" customHeight="false" outlineLevel="0" collapsed="false">
      <c r="A6847" s="6" t="n">
        <v>43031.2383333333</v>
      </c>
      <c r="B6847" s="7" t="str">
        <f aca="false">HYPERLINK("https://twitter.com/DavidPapp","@DavidPapp")</f>
        <v>@DavidPapp</v>
      </c>
      <c r="C6847" s="8" t="s">
        <v>15487</v>
      </c>
      <c r="D6847" s="8" t="s">
        <v>15488</v>
      </c>
      <c r="E6847" s="9" t="str">
        <f aca="false">HYPERLINK("https://twitter.com/DavidPapp/status/922443288963149825","922443288963149825")</f>
        <v>922443288963149825</v>
      </c>
      <c r="F6847" s="10" t="s">
        <v>1167</v>
      </c>
      <c r="G6847" s="10" t="n">
        <v>166571</v>
      </c>
      <c r="H6847" s="10" t="n">
        <v>34463</v>
      </c>
      <c r="I6847" s="10" t="n">
        <v>4</v>
      </c>
      <c r="J6847" s="10" t="n">
        <v>8</v>
      </c>
      <c r="K6847" s="10" t="s">
        <v>20</v>
      </c>
      <c r="L6847" s="11" t="n">
        <v>40200.6317361111</v>
      </c>
      <c r="M6847" s="12" t="s">
        <v>15489</v>
      </c>
      <c r="N6847" s="12" t="s">
        <v>15490</v>
      </c>
      <c r="O6847" s="9" t="str">
        <f aca="false">HYPERLINK("https://pbs.twimg.com/profile_images/900849692803702784/c152hboP_normal.jpg","View")</f>
        <v>View</v>
      </c>
      <c r="P6847" s="10"/>
    </row>
    <row r="6848" customFormat="false" ht="15.75" hidden="false" customHeight="false" outlineLevel="0" collapsed="false">
      <c r="A6848" s="6" t="n">
        <v>43031.2396875</v>
      </c>
      <c r="B6848" s="7" t="str">
        <f aca="false">HYPERLINK("https://twitter.com/NewsInTheWorld","@NewsInTheWorld")</f>
        <v>@NewsInTheWorld</v>
      </c>
      <c r="C6848" s="8" t="s">
        <v>15491</v>
      </c>
      <c r="D6848" s="8" t="s">
        <v>15492</v>
      </c>
      <c r="E6848" s="9" t="str">
        <f aca="false">HYPERLINK("https://twitter.com/NewsInTheWorld/status/922443778824261632","922443778824261632")</f>
        <v>922443778824261632</v>
      </c>
      <c r="F6848" s="10" t="s">
        <v>331</v>
      </c>
      <c r="G6848" s="10" t="n">
        <v>345</v>
      </c>
      <c r="H6848" s="10" t="n">
        <v>5</v>
      </c>
      <c r="I6848" s="10" t="n">
        <v>0</v>
      </c>
      <c r="J6848" s="10" t="n">
        <v>0</v>
      </c>
      <c r="K6848" s="10" t="s">
        <v>20</v>
      </c>
      <c r="L6848" s="11" t="n">
        <v>39537.3791782407</v>
      </c>
      <c r="M6848" s="12" t="s">
        <v>14182</v>
      </c>
      <c r="N6848" s="12" t="s">
        <v>15493</v>
      </c>
      <c r="O6848" s="9" t="str">
        <f aca="false">HYPERLINK("https://pbs.twimg.com/profile_images/914148571125075968/XcSXUo93_normal.jpg","View")</f>
        <v>View</v>
      </c>
      <c r="P6848" s="10"/>
    </row>
    <row r="6849" customFormat="false" ht="15.75" hidden="false" customHeight="false" outlineLevel="0" collapsed="false">
      <c r="A6849" s="6" t="n">
        <v>43031.240150463</v>
      </c>
      <c r="B6849" s="7" t="str">
        <f aca="false">HYPERLINK("https://twitter.com/sommelier50","@sommelier50")</f>
        <v>@sommelier50</v>
      </c>
      <c r="C6849" s="8" t="s">
        <v>15494</v>
      </c>
      <c r="D6849" s="8" t="s">
        <v>15495</v>
      </c>
      <c r="E6849" s="9" t="str">
        <f aca="false">HYPERLINK("https://twitter.com/sommelier50/status/922443946311208961","922443946311208961")</f>
        <v>922443946311208961</v>
      </c>
      <c r="F6849" s="10" t="s">
        <v>25</v>
      </c>
      <c r="G6849" s="10" t="n">
        <v>2027</v>
      </c>
      <c r="H6849" s="10" t="n">
        <v>3651</v>
      </c>
      <c r="I6849" s="10" t="n">
        <v>0</v>
      </c>
      <c r="J6849" s="10" t="n">
        <v>0</v>
      </c>
      <c r="K6849" s="10" t="s">
        <v>20</v>
      </c>
      <c r="L6849" s="11" t="n">
        <v>40258.4384143519</v>
      </c>
      <c r="M6849" s="12" t="s">
        <v>15496</v>
      </c>
      <c r="N6849" s="12" t="s">
        <v>15497</v>
      </c>
      <c r="O6849" s="9" t="str">
        <f aca="false">HYPERLINK("https://pbs.twimg.com/profile_images/914850900212158464/H_WZ6Q_B_normal.jpg","View")</f>
        <v>View</v>
      </c>
      <c r="P6849" s="10"/>
    </row>
    <row r="6850" customFormat="false" ht="15.75" hidden="false" customHeight="false" outlineLevel="0" collapsed="false">
      <c r="A6850" s="6" t="n">
        <v>43031.2402893519</v>
      </c>
      <c r="B6850" s="7" t="str">
        <f aca="false">HYPERLINK("https://twitter.com/Hernandez79X","@Hernandez79X")</f>
        <v>@Hernandez79X</v>
      </c>
      <c r="C6850" s="8" t="s">
        <v>15498</v>
      </c>
      <c r="D6850" s="8" t="s">
        <v>14466</v>
      </c>
      <c r="E6850" s="9" t="str">
        <f aca="false">HYPERLINK("https://twitter.com/Hernandez79X/status/922443994369544194","922443994369544194")</f>
        <v>922443994369544194</v>
      </c>
      <c r="F6850" s="10" t="s">
        <v>25</v>
      </c>
      <c r="G6850" s="10" t="n">
        <v>363</v>
      </c>
      <c r="H6850" s="10" t="n">
        <v>426</v>
      </c>
      <c r="I6850" s="10" t="n">
        <v>51</v>
      </c>
      <c r="J6850" s="10" t="n">
        <v>0</v>
      </c>
      <c r="K6850" s="10" t="s">
        <v>20</v>
      </c>
      <c r="L6850" s="11" t="n">
        <v>41238.8103819445</v>
      </c>
      <c r="M6850" s="12" t="s">
        <v>15499</v>
      </c>
      <c r="N6850" s="12" t="s">
        <v>15500</v>
      </c>
      <c r="O6850" s="9" t="str">
        <f aca="false">HYPERLINK("https://pbs.twimg.com/profile_images/923552369354465281/fQJYXwQj_normal.jpg","View")</f>
        <v>View</v>
      </c>
      <c r="P6850" s="10"/>
    </row>
    <row r="6851" customFormat="false" ht="15.75" hidden="false" customHeight="false" outlineLevel="0" collapsed="false">
      <c r="A6851" s="6" t="n">
        <v>43031.2409143519</v>
      </c>
      <c r="B6851" s="7" t="str">
        <f aca="false">HYPERLINK("https://twitter.com/bkraina8700","@bkraina8700")</f>
        <v>@bkraina8700</v>
      </c>
      <c r="C6851" s="8" t="s">
        <v>15501</v>
      </c>
      <c r="D6851" s="8" t="s">
        <v>8538</v>
      </c>
      <c r="E6851" s="9" t="str">
        <f aca="false">HYPERLINK("https://twitter.com/bkraina8700/status/922444222548074496","922444222548074496")</f>
        <v>922444222548074496</v>
      </c>
      <c r="F6851" s="10" t="s">
        <v>25</v>
      </c>
      <c r="G6851" s="10" t="n">
        <v>308</v>
      </c>
      <c r="H6851" s="10" t="n">
        <v>239</v>
      </c>
      <c r="I6851" s="10" t="n">
        <v>1015</v>
      </c>
      <c r="J6851" s="10" t="n">
        <v>0</v>
      </c>
      <c r="K6851" s="10" t="s">
        <v>20</v>
      </c>
      <c r="L6851" s="11" t="n">
        <v>42390.9003240741</v>
      </c>
      <c r="M6851" s="12"/>
      <c r="N6851" s="12" t="s">
        <v>15502</v>
      </c>
      <c r="O6851" s="9" t="str">
        <f aca="false">HYPERLINK("https://pbs.twimg.com/profile_images/694424544451231744/jZqiLVgC_normal.jpg","View")</f>
        <v>View</v>
      </c>
      <c r="P6851" s="10"/>
    </row>
    <row r="6852" customFormat="false" ht="15.75" hidden="false" customHeight="false" outlineLevel="0" collapsed="false">
      <c r="A6852" s="6" t="n">
        <v>43031.2424537037</v>
      </c>
      <c r="B6852" s="7" t="str">
        <f aca="false">HYPERLINK("https://twitter.com/GNgraphicnews","@GNgraphicnews")</f>
        <v>@GNgraphicnews</v>
      </c>
      <c r="C6852" s="8" t="s">
        <v>15503</v>
      </c>
      <c r="D6852" s="8" t="s">
        <v>15504</v>
      </c>
      <c r="E6852" s="9" t="str">
        <f aca="false">HYPERLINK("https://twitter.com/GNgraphicnews/status/922444780713295873","922444780713295873")</f>
        <v>922444780713295873</v>
      </c>
      <c r="F6852" s="9" t="s">
        <v>1147</v>
      </c>
      <c r="G6852" s="10" t="n">
        <v>1641</v>
      </c>
      <c r="H6852" s="10" t="n">
        <v>1369</v>
      </c>
      <c r="I6852" s="10" t="n">
        <v>0</v>
      </c>
      <c r="J6852" s="10" t="n">
        <v>0</v>
      </c>
      <c r="K6852" s="10" t="s">
        <v>20</v>
      </c>
      <c r="L6852" s="11" t="n">
        <v>41098.2887384259</v>
      </c>
      <c r="M6852" s="12" t="s">
        <v>893</v>
      </c>
      <c r="N6852" s="12" t="s">
        <v>15505</v>
      </c>
      <c r="O6852" s="9" t="str">
        <f aca="false">HYPERLINK("https://pbs.twimg.com/profile_images/3179300854/76f405df22a7f7b3723061bea938098d_normal.png","View")</f>
        <v>View</v>
      </c>
      <c r="P6852" s="10"/>
    </row>
    <row r="6853" customFormat="false" ht="15.75" hidden="false" customHeight="false" outlineLevel="0" collapsed="false">
      <c r="A6853" s="6" t="n">
        <v>43031.2428356482</v>
      </c>
      <c r="B6853" s="7" t="str">
        <f aca="false">HYPERLINK("https://twitter.com/CrystalGlenn97","@CrystalGlenn97")</f>
        <v>@CrystalGlenn97</v>
      </c>
      <c r="C6853" s="8" t="s">
        <v>15506</v>
      </c>
      <c r="D6853" s="8" t="s">
        <v>15507</v>
      </c>
      <c r="E6853" s="9" t="str">
        <f aca="false">HYPERLINK("https://twitter.com/CrystalGlenn97/status/922444918865268736","922444918865268736")</f>
        <v>922444918865268736</v>
      </c>
      <c r="F6853" s="10" t="s">
        <v>25</v>
      </c>
      <c r="G6853" s="10" t="n">
        <v>83</v>
      </c>
      <c r="H6853" s="10" t="n">
        <v>2283</v>
      </c>
      <c r="I6853" s="10" t="n">
        <v>4</v>
      </c>
      <c r="J6853" s="10" t="n">
        <v>0</v>
      </c>
      <c r="K6853" s="10" t="s">
        <v>20</v>
      </c>
      <c r="L6853" s="11" t="n">
        <v>40663.1502893519</v>
      </c>
      <c r="M6853" s="12" t="s">
        <v>15508</v>
      </c>
      <c r="N6853" s="12"/>
      <c r="O6853" s="9" t="str">
        <f aca="false">HYPERLINK("https://pbs.twimg.com/profile_images/764936957340229633/Bj6dW551_normal.png","View")</f>
        <v>View</v>
      </c>
      <c r="P6853" s="10"/>
    </row>
    <row r="6854" customFormat="false" ht="15.75" hidden="false" customHeight="false" outlineLevel="0" collapsed="false">
      <c r="A6854" s="6" t="n">
        <v>43031.2431712963</v>
      </c>
      <c r="B6854" s="7" t="str">
        <f aca="false">HYPERLINK("https://twitter.com/NirmalKumarRaut","@NirmalKumarRaut")</f>
        <v>@NirmalKumarRaut</v>
      </c>
      <c r="C6854" s="8" t="s">
        <v>15509</v>
      </c>
      <c r="D6854" s="8" t="s">
        <v>15510</v>
      </c>
      <c r="E6854" s="9" t="str">
        <f aca="false">HYPERLINK("https://twitter.com/NirmalKumarRaut/status/922445040017850369","922445040017850369")</f>
        <v>922445040017850369</v>
      </c>
      <c r="F6854" s="10" t="s">
        <v>51</v>
      </c>
      <c r="G6854" s="10" t="n">
        <v>137</v>
      </c>
      <c r="H6854" s="10" t="n">
        <v>106</v>
      </c>
      <c r="I6854" s="10" t="n">
        <v>0</v>
      </c>
      <c r="J6854" s="10" t="n">
        <v>0</v>
      </c>
      <c r="K6854" s="10" t="s">
        <v>20</v>
      </c>
      <c r="L6854" s="11" t="n">
        <v>41530.858912037</v>
      </c>
      <c r="M6854" s="12" t="s">
        <v>102</v>
      </c>
      <c r="N6854" s="12" t="s">
        <v>15511</v>
      </c>
      <c r="O6854" s="9" t="str">
        <f aca="false">HYPERLINK("https://pbs.twimg.com/profile_images/731674760644435968/lk_XL2xV_normal.jpg","View")</f>
        <v>View</v>
      </c>
      <c r="P6854" s="10"/>
    </row>
    <row r="6855" customFormat="false" ht="15.75" hidden="false" customHeight="false" outlineLevel="0" collapsed="false">
      <c r="A6855" s="6" t="n">
        <v>43031.2438657407</v>
      </c>
      <c r="B6855" s="7" t="str">
        <f aca="false">HYPERLINK("https://twitter.com/frankllnbeaty","@frankllnbeaty")</f>
        <v>@frankllnbeaty</v>
      </c>
      <c r="C6855" s="8" t="s">
        <v>15512</v>
      </c>
      <c r="D6855" s="8" t="s">
        <v>15507</v>
      </c>
      <c r="E6855" s="9" t="str">
        <f aca="false">HYPERLINK("https://twitter.com/frankllnbeaty/status/922445291336413184","922445291336413184")</f>
        <v>922445291336413184</v>
      </c>
      <c r="F6855" s="10" t="s">
        <v>25</v>
      </c>
      <c r="G6855" s="10" t="n">
        <v>62</v>
      </c>
      <c r="H6855" s="10" t="n">
        <v>2272</v>
      </c>
      <c r="I6855" s="10" t="n">
        <v>4</v>
      </c>
      <c r="J6855" s="10" t="n">
        <v>0</v>
      </c>
      <c r="K6855" s="10" t="s">
        <v>20</v>
      </c>
      <c r="L6855" s="11" t="n">
        <v>40933.6367013889</v>
      </c>
      <c r="M6855" s="12" t="s">
        <v>3207</v>
      </c>
      <c r="N6855" s="12"/>
      <c r="O6855" s="9" t="str">
        <f aca="false">HYPERLINK("https://pbs.twimg.com/profile_images/764267780858384384/0hNVuILS_normal.jpg","View")</f>
        <v>View</v>
      </c>
      <c r="P6855" s="10"/>
    </row>
    <row r="6856" customFormat="false" ht="15.75" hidden="false" customHeight="false" outlineLevel="0" collapsed="false">
      <c r="A6856" s="6" t="n">
        <v>43031.2441087963</v>
      </c>
      <c r="B6856" s="7" t="str">
        <f aca="false">HYPERLINK("https://twitter.com/cyberse49333188","@cyberse49333188")</f>
        <v>@cyberse49333188</v>
      </c>
      <c r="C6856" s="8" t="s">
        <v>15513</v>
      </c>
      <c r="D6856" s="8" t="s">
        <v>15514</v>
      </c>
      <c r="E6856" s="9" t="str">
        <f aca="false">HYPERLINK("https://twitter.com/cyberse49333188/status/922445380448604160","922445380448604160")</f>
        <v>922445380448604160</v>
      </c>
      <c r="F6856" s="10" t="s">
        <v>51</v>
      </c>
      <c r="G6856" s="10" t="n">
        <v>10</v>
      </c>
      <c r="H6856" s="10" t="n">
        <v>135</v>
      </c>
      <c r="I6856" s="10" t="n">
        <v>0</v>
      </c>
      <c r="J6856" s="10" t="n">
        <v>0</v>
      </c>
      <c r="K6856" s="10" t="s">
        <v>20</v>
      </c>
      <c r="L6856" s="11" t="n">
        <v>42702.477037037</v>
      </c>
      <c r="M6856" s="12"/>
      <c r="N6856" s="12"/>
      <c r="O6856" s="9" t="str">
        <f aca="false">HYPERLINK("https://pbs.twimg.com/profile_images/817737641215062016/hIOQltAO_normal.jpg","View")</f>
        <v>View</v>
      </c>
      <c r="P6856" s="10"/>
    </row>
    <row r="6857" customFormat="false" ht="15.75" hidden="false" customHeight="false" outlineLevel="0" collapsed="false">
      <c r="A6857" s="6" t="n">
        <v>43031.2447916667</v>
      </c>
      <c r="B6857" s="7" t="str">
        <f aca="false">HYPERLINK("https://twitter.com/balramsuhane","@balramsuhane")</f>
        <v>@balramsuhane</v>
      </c>
      <c r="C6857" s="8" t="s">
        <v>15515</v>
      </c>
      <c r="D6857" s="8" t="s">
        <v>8538</v>
      </c>
      <c r="E6857" s="9" t="str">
        <f aca="false">HYPERLINK("https://twitter.com/balramsuhane/status/922445627895803905","922445627895803905")</f>
        <v>922445627895803905</v>
      </c>
      <c r="F6857" s="10" t="s">
        <v>25</v>
      </c>
      <c r="G6857" s="10" t="n">
        <v>106</v>
      </c>
      <c r="H6857" s="10" t="n">
        <v>57</v>
      </c>
      <c r="I6857" s="10" t="n">
        <v>1015</v>
      </c>
      <c r="J6857" s="10" t="n">
        <v>0</v>
      </c>
      <c r="K6857" s="10" t="s">
        <v>20</v>
      </c>
      <c r="L6857" s="11" t="n">
        <v>41760.1565046296</v>
      </c>
      <c r="M6857" s="12"/>
      <c r="N6857" s="12"/>
      <c r="O6857" s="9" t="str">
        <f aca="false">HYPERLINK("https://pbs.twimg.com/profile_images/676081175304114176/mRd6LEFp_normal.jpg","View")</f>
        <v>View</v>
      </c>
      <c r="P6857" s="10"/>
    </row>
    <row r="6858" customFormat="false" ht="15.75" hidden="false" customHeight="false" outlineLevel="0" collapsed="false">
      <c r="A6858" s="6" t="n">
        <v>43031.2457291667</v>
      </c>
      <c r="B6858" s="7" t="str">
        <f aca="false">HYPERLINK("https://twitter.com/USAGOLD","@USAGOLD")</f>
        <v>@USAGOLD</v>
      </c>
      <c r="C6858" s="8" t="s">
        <v>15516</v>
      </c>
      <c r="D6858" s="8" t="s">
        <v>12764</v>
      </c>
      <c r="E6858" s="9" t="str">
        <f aca="false">HYPERLINK("https://twitter.com/USAGOLD/status/922445966342418434","922445966342418434")</f>
        <v>922445966342418434</v>
      </c>
      <c r="F6858" s="10" t="s">
        <v>276</v>
      </c>
      <c r="G6858" s="10" t="n">
        <v>3959</v>
      </c>
      <c r="H6858" s="10" t="n">
        <v>170</v>
      </c>
      <c r="I6858" s="10" t="n">
        <v>170</v>
      </c>
      <c r="J6858" s="10" t="n">
        <v>0</v>
      </c>
      <c r="K6858" s="10" t="s">
        <v>20</v>
      </c>
      <c r="L6858" s="11" t="n">
        <v>39792.4603009259</v>
      </c>
      <c r="M6858" s="12" t="s">
        <v>15517</v>
      </c>
      <c r="N6858" s="12" t="s">
        <v>15518</v>
      </c>
      <c r="O6858" s="9" t="str">
        <f aca="false">HYPERLINK("https://pbs.twimg.com/profile_images/1638967045/usagold_normal.jpg","View")</f>
        <v>View</v>
      </c>
      <c r="P6858" s="10"/>
    </row>
    <row r="6859" customFormat="false" ht="15.75" hidden="false" customHeight="false" outlineLevel="0" collapsed="false">
      <c r="A6859" s="6" t="n">
        <v>43031.2461458333</v>
      </c>
      <c r="B6859" s="7" t="str">
        <f aca="false">HYPERLINK("https://twitter.com/Chez_Celeste","@Chez_Celeste")</f>
        <v>@Chez_Celeste</v>
      </c>
      <c r="C6859" s="8" t="s">
        <v>15519</v>
      </c>
      <c r="D6859" s="8" t="s">
        <v>15520</v>
      </c>
      <c r="E6859" s="9" t="str">
        <f aca="false">HYPERLINK("https://twitter.com/Chez_Celeste/status/922446118818066432","922446118818066432")</f>
        <v>922446118818066432</v>
      </c>
      <c r="F6859" s="10" t="s">
        <v>39</v>
      </c>
      <c r="G6859" s="10" t="n">
        <v>40</v>
      </c>
      <c r="H6859" s="10" t="n">
        <v>186</v>
      </c>
      <c r="I6859" s="10" t="n">
        <v>0</v>
      </c>
      <c r="J6859" s="10" t="n">
        <v>0</v>
      </c>
      <c r="K6859" s="10" t="s">
        <v>20</v>
      </c>
      <c r="L6859" s="11" t="n">
        <v>41376.2140740741</v>
      </c>
      <c r="M6859" s="12" t="s">
        <v>312</v>
      </c>
      <c r="N6859" s="12"/>
      <c r="O6859" s="9" t="str">
        <f aca="false">HYPERLINK("https://pbs.twimg.com/profile_images/670281100644720640/IOtpZoIE_normal.png","View")</f>
        <v>View</v>
      </c>
      <c r="P6859" s="10"/>
    </row>
    <row r="6860" customFormat="false" ht="15.75" hidden="false" customHeight="false" outlineLevel="0" collapsed="false">
      <c r="A6860" s="6" t="n">
        <v>43031.2486689815</v>
      </c>
      <c r="B6860" s="7" t="str">
        <f aca="false">HYPERLINK("https://twitter.com/7675376666rhon","@7675376666rhon")</f>
        <v>@7675376666rhon</v>
      </c>
      <c r="C6860" s="8" t="s">
        <v>15521</v>
      </c>
      <c r="D6860" s="8" t="s">
        <v>12764</v>
      </c>
      <c r="E6860" s="9" t="str">
        <f aca="false">HYPERLINK("https://twitter.com/7675376666rhon/status/922447031125397506","922447031125397506")</f>
        <v>922447031125397506</v>
      </c>
      <c r="F6860" s="10" t="s">
        <v>51</v>
      </c>
      <c r="G6860" s="10" t="n">
        <v>40</v>
      </c>
      <c r="H6860" s="10" t="n">
        <v>82</v>
      </c>
      <c r="I6860" s="10" t="n">
        <v>170</v>
      </c>
      <c r="J6860" s="10" t="n">
        <v>0</v>
      </c>
      <c r="K6860" s="10" t="s">
        <v>20</v>
      </c>
      <c r="L6860" s="11" t="n">
        <v>42618.7121990741</v>
      </c>
      <c r="M6860" s="12" t="s">
        <v>4050</v>
      </c>
      <c r="N6860" s="12" t="s">
        <v>15522</v>
      </c>
      <c r="O6860" s="9" t="str">
        <f aca="false">HYPERLINK("https://pbs.twimg.com/profile_images/774620282833297408/WbeGJfm6_normal.jpg","View")</f>
        <v>View</v>
      </c>
      <c r="P6860" s="10"/>
    </row>
    <row r="6861" customFormat="false" ht="15.75" hidden="false" customHeight="false" outlineLevel="0" collapsed="false">
      <c r="A6861" s="6" t="n">
        <v>43031.2487731482</v>
      </c>
      <c r="B6861" s="7" t="str">
        <f aca="false">HYPERLINK("https://twitter.com/clara111","@clara111")</f>
        <v>@clara111</v>
      </c>
      <c r="C6861" s="8" t="s">
        <v>12487</v>
      </c>
      <c r="D6861" s="8" t="s">
        <v>15523</v>
      </c>
      <c r="E6861" s="9" t="str">
        <f aca="false">HYPERLINK("https://twitter.com/clara111/status/922447069910052871","922447069910052871")</f>
        <v>922447069910052871</v>
      </c>
      <c r="F6861" s="10" t="s">
        <v>39</v>
      </c>
      <c r="G6861" s="10" t="n">
        <v>8408</v>
      </c>
      <c r="H6861" s="10" t="n">
        <v>5590</v>
      </c>
      <c r="I6861" s="10" t="n">
        <v>6</v>
      </c>
      <c r="J6861" s="10" t="n">
        <v>5</v>
      </c>
      <c r="K6861" s="10" t="s">
        <v>20</v>
      </c>
      <c r="L6861" s="11" t="n">
        <v>40233.2248148148</v>
      </c>
      <c r="M6861" s="12"/>
      <c r="N6861" s="12" t="s">
        <v>12489</v>
      </c>
      <c r="O6861" s="9" t="str">
        <f aca="false">HYPERLINK("https://pbs.twimg.com/profile_images/870158636219236352/Di-Vel_D_normal.jpg","View")</f>
        <v>View</v>
      </c>
      <c r="P6861" s="10"/>
    </row>
    <row r="6862" customFormat="false" ht="15.75" hidden="false" customHeight="false" outlineLevel="0" collapsed="false">
      <c r="A6862" s="6" t="n">
        <v>43031.2488773148</v>
      </c>
      <c r="B6862" s="7" t="str">
        <f aca="false">HYPERLINK("https://twitter.com/VikkyMehra2","@VikkyMehra2")</f>
        <v>@VikkyMehra2</v>
      </c>
      <c r="C6862" s="8" t="s">
        <v>15524</v>
      </c>
      <c r="D6862" s="8" t="s">
        <v>8538</v>
      </c>
      <c r="E6862" s="9" t="str">
        <f aca="false">HYPERLINK("https://twitter.com/VikkyMehra2/status/922447107872587777","922447107872587777")</f>
        <v>922447107872587777</v>
      </c>
      <c r="F6862" s="10" t="s">
        <v>51</v>
      </c>
      <c r="G6862" s="10" t="n">
        <v>95</v>
      </c>
      <c r="H6862" s="10" t="n">
        <v>358</v>
      </c>
      <c r="I6862" s="10" t="n">
        <v>1015</v>
      </c>
      <c r="J6862" s="10" t="n">
        <v>0</v>
      </c>
      <c r="K6862" s="10" t="s">
        <v>20</v>
      </c>
      <c r="L6862" s="11" t="n">
        <v>42765.272025463</v>
      </c>
      <c r="M6862" s="12" t="s">
        <v>64</v>
      </c>
      <c r="N6862" s="12" t="s">
        <v>15525</v>
      </c>
      <c r="O6862" s="9" t="str">
        <f aca="false">HYPERLINK("https://pbs.twimg.com/profile_images/892464241902403584/xTieBUMZ_normal.jpg","View")</f>
        <v>View</v>
      </c>
      <c r="P6862" s="10"/>
    </row>
    <row r="6863" customFormat="false" ht="15.75" hidden="false" customHeight="false" outlineLevel="0" collapsed="false">
      <c r="A6863" s="6" t="n">
        <v>43031.2492013889</v>
      </c>
      <c r="B6863" s="7" t="str">
        <f aca="false">HYPERLINK("https://twitter.com/HaroldVasquezR","@HaroldVasquezR")</f>
        <v>@HaroldVasquezR</v>
      </c>
      <c r="C6863" s="8" t="s">
        <v>15526</v>
      </c>
      <c r="D6863" s="8" t="s">
        <v>11033</v>
      </c>
      <c r="E6863" s="9" t="str">
        <f aca="false">HYPERLINK("https://twitter.com/HaroldVasquezR/status/922447224814088193","922447224814088193")</f>
        <v>922447224814088193</v>
      </c>
      <c r="F6863" s="10" t="s">
        <v>51</v>
      </c>
      <c r="G6863" s="10" t="n">
        <v>3473</v>
      </c>
      <c r="H6863" s="10" t="n">
        <v>62</v>
      </c>
      <c r="I6863" s="10" t="n">
        <v>60</v>
      </c>
      <c r="J6863" s="10" t="n">
        <v>0</v>
      </c>
      <c r="K6863" s="10" t="s">
        <v>20</v>
      </c>
      <c r="L6863" s="11" t="n">
        <v>40242.3731828704</v>
      </c>
      <c r="M6863" s="12" t="s">
        <v>15527</v>
      </c>
      <c r="N6863" s="12" t="s">
        <v>15528</v>
      </c>
      <c r="O6863" s="9" t="str">
        <f aca="false">HYPERLINK("https://pbs.twimg.com/profile_images/548106578126450690/rrj2mRxy_normal.jpeg","View")</f>
        <v>View</v>
      </c>
      <c r="P6863" s="10"/>
    </row>
    <row r="6864" customFormat="false" ht="15.75" hidden="false" customHeight="false" outlineLevel="0" collapsed="false">
      <c r="A6864" s="6" t="n">
        <v>43031.2496296296</v>
      </c>
      <c r="B6864" s="7" t="str">
        <f aca="false">HYPERLINK("https://twitter.com/manuco22","@manuco22")</f>
        <v>@manuco22</v>
      </c>
      <c r="C6864" s="8" t="s">
        <v>5790</v>
      </c>
      <c r="D6864" s="8" t="s">
        <v>15529</v>
      </c>
      <c r="E6864" s="9" t="str">
        <f aca="false">HYPERLINK("https://twitter.com/manuco22/status/922447380724768768","922447380724768768")</f>
        <v>922447380724768768</v>
      </c>
      <c r="F6864" s="10" t="s">
        <v>51</v>
      </c>
      <c r="G6864" s="10" t="n">
        <v>7701</v>
      </c>
      <c r="H6864" s="10" t="n">
        <v>7016</v>
      </c>
      <c r="I6864" s="10" t="n">
        <v>0</v>
      </c>
      <c r="J6864" s="10" t="n">
        <v>0</v>
      </c>
      <c r="K6864" s="10" t="s">
        <v>20</v>
      </c>
      <c r="L6864" s="11" t="n">
        <v>39925.8220023148</v>
      </c>
      <c r="M6864" s="12" t="s">
        <v>5792</v>
      </c>
      <c r="N6864" s="12" t="s">
        <v>5793</v>
      </c>
      <c r="O6864" s="9" t="str">
        <f aca="false">HYPERLINK("https://pbs.twimg.com/profile_images/587793977/manuco_foto_twitter_navidad_normal.jpg","View")</f>
        <v>View</v>
      </c>
      <c r="P6864" s="10"/>
    </row>
    <row r="6865" customFormat="false" ht="15.75" hidden="false" customHeight="false" outlineLevel="0" collapsed="false">
      <c r="A6865" s="6" t="n">
        <v>43031.2504166667</v>
      </c>
      <c r="B6865" s="7" t="str">
        <f aca="false">HYPERLINK("https://twitter.com/Social_Media_d7","@Social_Media_d7")</f>
        <v>@Social_Media_d7</v>
      </c>
      <c r="C6865" s="8" t="s">
        <v>15530</v>
      </c>
      <c r="D6865" s="8" t="s">
        <v>15531</v>
      </c>
      <c r="E6865" s="9" t="str">
        <f aca="false">HYPERLINK("https://twitter.com/Social_Media_d7/status/922447665379577857","922447665379577857")</f>
        <v>922447665379577857</v>
      </c>
      <c r="F6865" s="10" t="s">
        <v>110</v>
      </c>
      <c r="G6865" s="10" t="n">
        <v>7512</v>
      </c>
      <c r="H6865" s="10" t="n">
        <v>7561</v>
      </c>
      <c r="I6865" s="10" t="n">
        <v>0</v>
      </c>
      <c r="J6865" s="10" t="n">
        <v>0</v>
      </c>
      <c r="K6865" s="10" t="s">
        <v>20</v>
      </c>
      <c r="L6865" s="11" t="n">
        <v>42354.8412268519</v>
      </c>
      <c r="M6865" s="12"/>
      <c r="N6865" s="12" t="s">
        <v>15532</v>
      </c>
      <c r="O6865" s="9" t="str">
        <f aca="false">HYPERLINK("https://pbs.twimg.com/profile_images/862975882427682816/UbqQp2NI_normal.jpg","View")</f>
        <v>View</v>
      </c>
      <c r="P6865" s="10"/>
    </row>
    <row r="6866" customFormat="false" ht="15.75" hidden="false" customHeight="false" outlineLevel="0" collapsed="false">
      <c r="A6866" s="6" t="n">
        <v>43031.2505671296</v>
      </c>
      <c r="B6866" s="7" t="str">
        <f aca="false">HYPERLINK("https://twitter.com/ssreddy28","@ssreddy28")</f>
        <v>@ssreddy28</v>
      </c>
      <c r="C6866" s="8" t="s">
        <v>15533</v>
      </c>
      <c r="D6866" s="8" t="s">
        <v>8538</v>
      </c>
      <c r="E6866" s="9" t="str">
        <f aca="false">HYPERLINK("https://twitter.com/ssreddy28/status/922447718588465153","922447718588465153")</f>
        <v>922447718588465153</v>
      </c>
      <c r="F6866" s="10" t="s">
        <v>25</v>
      </c>
      <c r="G6866" s="10" t="n">
        <v>230</v>
      </c>
      <c r="H6866" s="10" t="n">
        <v>519</v>
      </c>
      <c r="I6866" s="10" t="n">
        <v>1015</v>
      </c>
      <c r="J6866" s="10" t="n">
        <v>0</v>
      </c>
      <c r="K6866" s="10" t="s">
        <v>20</v>
      </c>
      <c r="L6866" s="11" t="n">
        <v>42773.1337731481</v>
      </c>
      <c r="M6866" s="12" t="s">
        <v>11124</v>
      </c>
      <c r="N6866" s="12" t="s">
        <v>15534</v>
      </c>
      <c r="O6866" s="9" t="str">
        <f aca="false">HYPERLINK("https://abs.twimg.com/sticky/default_profile_images/default_profile_normal.png","View")</f>
        <v>View</v>
      </c>
      <c r="P6866" s="10"/>
    </row>
    <row r="6867" customFormat="false" ht="15.75" hidden="false" customHeight="false" outlineLevel="0" collapsed="false">
      <c r="A6867" s="6" t="n">
        <v>43031.2508101852</v>
      </c>
      <c r="B6867" s="7" t="str">
        <f aca="false">HYPERLINK("https://twitter.com/Nadeshiko55JP","@Nadeshiko55JP")</f>
        <v>@Nadeshiko55JP</v>
      </c>
      <c r="C6867" s="8" t="s">
        <v>15535</v>
      </c>
      <c r="D6867" s="8" t="s">
        <v>11418</v>
      </c>
      <c r="E6867" s="9" t="str">
        <f aca="false">HYPERLINK("https://twitter.com/Nadeshiko55JP/status/922447808883392512","922447808883392512")</f>
        <v>922447808883392512</v>
      </c>
      <c r="F6867" s="10" t="s">
        <v>51</v>
      </c>
      <c r="G6867" s="10" t="n">
        <v>991</v>
      </c>
      <c r="H6867" s="10" t="n">
        <v>467</v>
      </c>
      <c r="I6867" s="10" t="n">
        <v>38</v>
      </c>
      <c r="J6867" s="10" t="n">
        <v>0</v>
      </c>
      <c r="K6867" s="10" t="s">
        <v>20</v>
      </c>
      <c r="L6867" s="11" t="n">
        <v>42113.8361458333</v>
      </c>
      <c r="M6867" s="12" t="s">
        <v>194</v>
      </c>
      <c r="N6867" s="13" t="s">
        <v>15536</v>
      </c>
      <c r="O6867" s="9" t="str">
        <f aca="false">HYPERLINK("https://pbs.twimg.com/profile_images/813049050589077504/67vy_or__normal.jpg","View")</f>
        <v>View</v>
      </c>
      <c r="P6867" s="10"/>
    </row>
    <row r="6868" customFormat="false" ht="15.75" hidden="false" customHeight="false" outlineLevel="0" collapsed="false">
      <c r="A6868" s="6" t="n">
        <v>43031.252037037</v>
      </c>
      <c r="B6868" s="7" t="str">
        <f aca="false">HYPERLINK("https://twitter.com/Nadeshiko55JP","@Nadeshiko55JP")</f>
        <v>@Nadeshiko55JP</v>
      </c>
      <c r="C6868" s="8" t="s">
        <v>15535</v>
      </c>
      <c r="D6868" s="8" t="s">
        <v>7803</v>
      </c>
      <c r="E6868" s="9" t="str">
        <f aca="false">HYPERLINK("https://twitter.com/Nadeshiko55JP/status/922448253836148736","922448253836148736")</f>
        <v>922448253836148736</v>
      </c>
      <c r="F6868" s="10" t="s">
        <v>51</v>
      </c>
      <c r="G6868" s="10" t="n">
        <v>991</v>
      </c>
      <c r="H6868" s="10" t="n">
        <v>467</v>
      </c>
      <c r="I6868" s="10" t="n">
        <v>30</v>
      </c>
      <c r="J6868" s="10" t="n">
        <v>0</v>
      </c>
      <c r="K6868" s="10" t="s">
        <v>20</v>
      </c>
      <c r="L6868" s="11" t="n">
        <v>42113.8361458333</v>
      </c>
      <c r="M6868" s="12" t="s">
        <v>194</v>
      </c>
      <c r="N6868" s="13" t="s">
        <v>15536</v>
      </c>
      <c r="O6868" s="9" t="str">
        <f aca="false">HYPERLINK("https://pbs.twimg.com/profile_images/813049050589077504/67vy_or__normal.jpg","View")</f>
        <v>View</v>
      </c>
      <c r="P6868" s="10"/>
    </row>
    <row r="6869" customFormat="false" ht="15.75" hidden="false" customHeight="false" outlineLevel="0" collapsed="false">
      <c r="A6869" s="6" t="n">
        <v>43031.2520717593</v>
      </c>
      <c r="B6869" s="7" t="str">
        <f aca="false">HYPERLINK("https://twitter.com/Nadeshiko55JP","@Nadeshiko55JP")</f>
        <v>@Nadeshiko55JP</v>
      </c>
      <c r="C6869" s="8" t="s">
        <v>15535</v>
      </c>
      <c r="D6869" s="8" t="s">
        <v>6707</v>
      </c>
      <c r="E6869" s="9" t="str">
        <f aca="false">HYPERLINK("https://twitter.com/Nadeshiko55JP/status/922448266884653057","922448266884653057")</f>
        <v>922448266884653057</v>
      </c>
      <c r="F6869" s="10" t="s">
        <v>51</v>
      </c>
      <c r="G6869" s="10" t="n">
        <v>991</v>
      </c>
      <c r="H6869" s="10" t="n">
        <v>467</v>
      </c>
      <c r="I6869" s="10" t="n">
        <v>97</v>
      </c>
      <c r="J6869" s="10" t="n">
        <v>0</v>
      </c>
      <c r="K6869" s="10" t="s">
        <v>20</v>
      </c>
      <c r="L6869" s="11" t="n">
        <v>42113.8361458333</v>
      </c>
      <c r="M6869" s="12" t="s">
        <v>194</v>
      </c>
      <c r="N6869" s="13" t="s">
        <v>15536</v>
      </c>
      <c r="O6869" s="9" t="str">
        <f aca="false">HYPERLINK("https://pbs.twimg.com/profile_images/813049050589077504/67vy_or__normal.jpg","View")</f>
        <v>View</v>
      </c>
      <c r="P6869" s="10"/>
    </row>
    <row r="6870" customFormat="false" ht="15.75" hidden="false" customHeight="false" outlineLevel="0" collapsed="false">
      <c r="A6870" s="6" t="n">
        <v>43031.2522916667</v>
      </c>
      <c r="B6870" s="7" t="str">
        <f aca="false">HYPERLINK("https://twitter.com/bizzscout","@bizzscout")</f>
        <v>@bizzscout</v>
      </c>
      <c r="C6870" s="8" t="s">
        <v>15537</v>
      </c>
      <c r="D6870" s="8" t="s">
        <v>15538</v>
      </c>
      <c r="E6870" s="9" t="str">
        <f aca="false">HYPERLINK("https://twitter.com/bizzscout/status/922448344663896066","922448344663896066")</f>
        <v>922448344663896066</v>
      </c>
      <c r="F6870" s="10" t="s">
        <v>15539</v>
      </c>
      <c r="G6870" s="10" t="n">
        <v>1602</v>
      </c>
      <c r="H6870" s="10" t="n">
        <v>1503</v>
      </c>
      <c r="I6870" s="10" t="n">
        <v>0</v>
      </c>
      <c r="J6870" s="10" t="n">
        <v>0</v>
      </c>
      <c r="K6870" s="10" t="s">
        <v>20</v>
      </c>
      <c r="L6870" s="11" t="n">
        <v>40343.4052893519</v>
      </c>
      <c r="M6870" s="12"/>
      <c r="N6870" s="12" t="s">
        <v>15540</v>
      </c>
      <c r="O6870" s="9" t="str">
        <f aca="false">HYPERLINK("https://pbs.twimg.com/profile_images/2292517916/6g8ixud0zd2446bw5pk0_normal.jpeg","View")</f>
        <v>View</v>
      </c>
      <c r="P6870" s="10"/>
    </row>
    <row r="6871" customFormat="false" ht="15.75" hidden="false" customHeight="false" outlineLevel="0" collapsed="false">
      <c r="A6871" s="6" t="n">
        <v>43031.2525347222</v>
      </c>
      <c r="B6871" s="7" t="str">
        <f aca="false">HYPERLINK("https://twitter.com/SHC__Youth","@SHC__Youth")</f>
        <v>@SHC__Youth</v>
      </c>
      <c r="C6871" s="8" t="s">
        <v>15541</v>
      </c>
      <c r="D6871" s="8" t="s">
        <v>15507</v>
      </c>
      <c r="E6871" s="9" t="str">
        <f aca="false">HYPERLINK("https://twitter.com/SHC__Youth/status/922448432157151232","922448432157151232")</f>
        <v>922448432157151232</v>
      </c>
      <c r="F6871" s="10" t="s">
        <v>25</v>
      </c>
      <c r="G6871" s="10" t="n">
        <v>41</v>
      </c>
      <c r="H6871" s="10" t="n">
        <v>1585</v>
      </c>
      <c r="I6871" s="10" t="n">
        <v>4</v>
      </c>
      <c r="J6871" s="10" t="n">
        <v>0</v>
      </c>
      <c r="K6871" s="10" t="s">
        <v>20</v>
      </c>
      <c r="L6871" s="11" t="n">
        <v>41745.762025463</v>
      </c>
      <c r="M6871" s="12" t="s">
        <v>15542</v>
      </c>
      <c r="N6871" s="12" t="s">
        <v>15543</v>
      </c>
      <c r="O6871" s="9" t="str">
        <f aca="false">HYPERLINK("https://pbs.twimg.com/profile_images/751513569729122304/Y0G5n4T8_normal.jpg","View")</f>
        <v>View</v>
      </c>
      <c r="P6871" s="10"/>
    </row>
    <row r="6872" customFormat="false" ht="15.75" hidden="false" customHeight="false" outlineLevel="0" collapsed="false">
      <c r="A6872" s="6" t="n">
        <v>43031.2529976852</v>
      </c>
      <c r="B6872" s="7" t="str">
        <f aca="false">HYPERLINK("https://twitter.com/Amitendu1","@Amitendu1")</f>
        <v>@Amitendu1</v>
      </c>
      <c r="C6872" s="8" t="s">
        <v>15544</v>
      </c>
      <c r="D6872" s="8" t="s">
        <v>15302</v>
      </c>
      <c r="E6872" s="9" t="str">
        <f aca="false">HYPERLINK("https://twitter.com/Amitendu1/status/922448599648157696","922448599648157696")</f>
        <v>922448599648157696</v>
      </c>
      <c r="F6872" s="10" t="s">
        <v>51</v>
      </c>
      <c r="G6872" s="10" t="n">
        <v>190</v>
      </c>
      <c r="H6872" s="10" t="n">
        <v>123</v>
      </c>
      <c r="I6872" s="10" t="n">
        <v>11</v>
      </c>
      <c r="J6872" s="10" t="n">
        <v>0</v>
      </c>
      <c r="K6872" s="10" t="s">
        <v>20</v>
      </c>
      <c r="L6872" s="11" t="n">
        <v>40653.0062847222</v>
      </c>
      <c r="M6872" s="12"/>
      <c r="N6872" s="12" t="s">
        <v>15545</v>
      </c>
      <c r="O6872" s="9" t="str">
        <f aca="false">HYPERLINK("https://pbs.twimg.com/profile_images/770509722503950336/Jx84pY6f_normal.jpg","View")</f>
        <v>View</v>
      </c>
      <c r="P6872" s="10"/>
    </row>
    <row r="6873" customFormat="false" ht="15.75" hidden="false" customHeight="false" outlineLevel="0" collapsed="false">
      <c r="A6873" s="6" t="n">
        <v>43031.2540277778</v>
      </c>
      <c r="B6873" s="7" t="str">
        <f aca="false">HYPERLINK("https://twitter.com/pBdDz5tSKyGPBCC","@pBdDz5tSKyGPBCC")</f>
        <v>@pBdDz5tSKyGPBCC</v>
      </c>
      <c r="C6873" s="14" t="s">
        <v>15546</v>
      </c>
      <c r="D6873" s="8" t="s">
        <v>15547</v>
      </c>
      <c r="E6873" s="9" t="str">
        <f aca="false">HYPERLINK("https://twitter.com/pBdDz5tSKyGPBCC/status/922448974325280774","922448974325280774")</f>
        <v>922448974325280774</v>
      </c>
      <c r="F6873" s="10" t="s">
        <v>25</v>
      </c>
      <c r="G6873" s="10" t="n">
        <v>449</v>
      </c>
      <c r="H6873" s="10" t="n">
        <v>995</v>
      </c>
      <c r="I6873" s="10" t="n">
        <v>6</v>
      </c>
      <c r="J6873" s="10" t="n">
        <v>0</v>
      </c>
      <c r="K6873" s="10" t="s">
        <v>20</v>
      </c>
      <c r="L6873" s="11" t="n">
        <v>42837.8767013889</v>
      </c>
      <c r="M6873" s="13" t="s">
        <v>15548</v>
      </c>
      <c r="N6873" s="13" t="s">
        <v>15549</v>
      </c>
      <c r="O6873" s="9" t="str">
        <f aca="false">HYPERLINK("https://pbs.twimg.com/profile_images/859852584609304576/Gjs-Vfav_normal.jpg","View")</f>
        <v>View</v>
      </c>
      <c r="P6873" s="10"/>
    </row>
    <row r="6874" customFormat="false" ht="15.75" hidden="false" customHeight="false" outlineLevel="0" collapsed="false">
      <c r="A6874" s="6" t="n">
        <v>43031.2549074074</v>
      </c>
      <c r="B6874" s="7" t="str">
        <f aca="false">HYPERLINK("https://twitter.com/Peaches89652","@Peaches89652")</f>
        <v>@Peaches89652</v>
      </c>
      <c r="C6874" s="8" t="s">
        <v>15550</v>
      </c>
      <c r="D6874" s="8" t="s">
        <v>14598</v>
      </c>
      <c r="E6874" s="9" t="str">
        <f aca="false">HYPERLINK("https://twitter.com/Peaches89652/status/922449292526346240","922449292526346240")</f>
        <v>922449292526346240</v>
      </c>
      <c r="F6874" s="10" t="s">
        <v>25</v>
      </c>
      <c r="G6874" s="10" t="n">
        <v>58</v>
      </c>
      <c r="H6874" s="10" t="n">
        <v>2293</v>
      </c>
      <c r="I6874" s="10" t="n">
        <v>23</v>
      </c>
      <c r="J6874" s="10" t="n">
        <v>0</v>
      </c>
      <c r="K6874" s="10" t="s">
        <v>20</v>
      </c>
      <c r="L6874" s="11" t="n">
        <v>40933.4831597222</v>
      </c>
      <c r="M6874" s="12" t="s">
        <v>15551</v>
      </c>
      <c r="N6874" s="12"/>
      <c r="O6874" s="9" t="str">
        <f aca="false">HYPERLINK("https://pbs.twimg.com/profile_images/770337881751744513/Y5-80J78_normal.jpg","View")</f>
        <v>View</v>
      </c>
      <c r="P6874" s="10"/>
    </row>
    <row r="6875" customFormat="false" ht="15.75" hidden="false" customHeight="false" outlineLevel="0" collapsed="false">
      <c r="A6875" s="6" t="n">
        <v>43031.2553472222</v>
      </c>
      <c r="B6875" s="7" t="str">
        <f aca="false">HYPERLINK("https://twitter.com/ymreiser1","@ymreiser1")</f>
        <v>@ymreiser1</v>
      </c>
      <c r="C6875" s="8" t="s">
        <v>15552</v>
      </c>
      <c r="D6875" s="8" t="s">
        <v>7736</v>
      </c>
      <c r="E6875" s="9" t="str">
        <f aca="false">HYPERLINK("https://twitter.com/ymreiser1/status/922449452811436032","922449452811436032")</f>
        <v>922449452811436032</v>
      </c>
      <c r="F6875" s="10" t="s">
        <v>39</v>
      </c>
      <c r="G6875" s="10" t="n">
        <v>328</v>
      </c>
      <c r="H6875" s="10" t="n">
        <v>480</v>
      </c>
      <c r="I6875" s="10" t="n">
        <v>31</v>
      </c>
      <c r="J6875" s="10" t="n">
        <v>0</v>
      </c>
      <c r="K6875" s="10" t="s">
        <v>20</v>
      </c>
      <c r="L6875" s="11" t="n">
        <v>42511.5950694445</v>
      </c>
      <c r="M6875" s="12"/>
      <c r="N6875" s="12"/>
      <c r="O6875" s="9" t="str">
        <f aca="false">HYPERLINK("https://pbs.twimg.com/profile_images/734138346209873922/gnwPGs10_normal.jpg","View")</f>
        <v>View</v>
      </c>
      <c r="P6875" s="10"/>
    </row>
    <row r="6876" customFormat="false" ht="15.75" hidden="false" customHeight="false" outlineLevel="0" collapsed="false">
      <c r="A6876" s="6" t="n">
        <v>43031.2560185185</v>
      </c>
      <c r="B6876" s="7" t="str">
        <f aca="false">HYPERLINK("https://twitter.com/sandi_childs","@sandi_childs")</f>
        <v>@sandi_childs</v>
      </c>
      <c r="C6876" s="8" t="s">
        <v>15553</v>
      </c>
      <c r="D6876" s="8" t="s">
        <v>13595</v>
      </c>
      <c r="E6876" s="9" t="str">
        <f aca="false">HYPERLINK("https://twitter.com/sandi_childs/status/922449695921790977","922449695921790977")</f>
        <v>922449695921790977</v>
      </c>
      <c r="F6876" s="10" t="s">
        <v>51</v>
      </c>
      <c r="G6876" s="10" t="n">
        <v>2457</v>
      </c>
      <c r="H6876" s="10" t="n">
        <v>3824</v>
      </c>
      <c r="I6876" s="10" t="n">
        <v>88</v>
      </c>
      <c r="J6876" s="10" t="n">
        <v>0</v>
      </c>
      <c r="K6876" s="10" t="s">
        <v>20</v>
      </c>
      <c r="L6876" s="11" t="n">
        <v>41594.1618981482</v>
      </c>
      <c r="M6876" s="12" t="s">
        <v>15554</v>
      </c>
      <c r="N6876" s="12" t="s">
        <v>15555</v>
      </c>
      <c r="O6876" s="9" t="str">
        <f aca="false">HYPERLINK("https://pbs.twimg.com/profile_images/810013492480643072/fSC_6Jgm_normal.jpg","View")</f>
        <v>View</v>
      </c>
      <c r="P6876" s="10"/>
    </row>
    <row r="6877" customFormat="false" ht="15.75" hidden="false" customHeight="false" outlineLevel="0" collapsed="false">
      <c r="A6877" s="6" t="n">
        <v>43031.2566087963</v>
      </c>
      <c r="B6877" s="7" t="str">
        <f aca="false">HYPERLINK("https://twitter.com/abhishekdalal09","@abhishekdalal09")</f>
        <v>@abhishekdalal09</v>
      </c>
      <c r="C6877" s="8" t="s">
        <v>15556</v>
      </c>
      <c r="D6877" s="8" t="s">
        <v>14466</v>
      </c>
      <c r="E6877" s="9" t="str">
        <f aca="false">HYPERLINK("https://twitter.com/abhishekdalal09/status/922449908161970176","922449908161970176")</f>
        <v>922449908161970176</v>
      </c>
      <c r="F6877" s="10" t="s">
        <v>51</v>
      </c>
      <c r="G6877" s="10" t="n">
        <v>81</v>
      </c>
      <c r="H6877" s="10" t="n">
        <v>412</v>
      </c>
      <c r="I6877" s="10" t="n">
        <v>51</v>
      </c>
      <c r="J6877" s="10" t="n">
        <v>0</v>
      </c>
      <c r="K6877" s="10" t="s">
        <v>20</v>
      </c>
      <c r="L6877" s="11" t="n">
        <v>40202.2905555556</v>
      </c>
      <c r="M6877" s="12" t="s">
        <v>1404</v>
      </c>
      <c r="N6877" s="12" t="s">
        <v>15557</v>
      </c>
      <c r="O6877" s="9" t="str">
        <f aca="false">HYPERLINK("https://pbs.twimg.com/profile_images/907301145735041025/c_HoDVHK_normal.jpg","View")</f>
        <v>View</v>
      </c>
      <c r="P6877" s="10"/>
    </row>
    <row r="6878" customFormat="false" ht="15.75" hidden="false" customHeight="false" outlineLevel="0" collapsed="false">
      <c r="A6878" s="6" t="n">
        <v>43031.257337963</v>
      </c>
      <c r="B6878" s="7" t="str">
        <f aca="false">HYPERLINK("https://twitter.com/gmkrishna","@gmkrishna")</f>
        <v>@gmkrishna</v>
      </c>
      <c r="C6878" s="8" t="s">
        <v>15558</v>
      </c>
      <c r="D6878" s="8" t="s">
        <v>8538</v>
      </c>
      <c r="E6878" s="9" t="str">
        <f aca="false">HYPERLINK("https://twitter.com/gmkrishna/status/922450175003521024","922450175003521024")</f>
        <v>922450175003521024</v>
      </c>
      <c r="F6878" s="10" t="s">
        <v>25</v>
      </c>
      <c r="G6878" s="10" t="n">
        <v>2135</v>
      </c>
      <c r="H6878" s="10" t="n">
        <v>3343</v>
      </c>
      <c r="I6878" s="10" t="n">
        <v>1015</v>
      </c>
      <c r="J6878" s="10" t="n">
        <v>0</v>
      </c>
      <c r="K6878" s="10" t="s">
        <v>20</v>
      </c>
      <c r="L6878" s="11" t="n">
        <v>39981.3286805556</v>
      </c>
      <c r="M6878" s="12" t="s">
        <v>15559</v>
      </c>
      <c r="N6878" s="12" t="s">
        <v>15560</v>
      </c>
      <c r="O6878" s="9" t="str">
        <f aca="false">HYPERLINK("https://pbs.twimg.com/profile_images/574993059282182145/vXDw6bfp_normal.jpeg","View")</f>
        <v>View</v>
      </c>
      <c r="P6878" s="10"/>
    </row>
    <row r="6879" customFormat="false" ht="15.75" hidden="false" customHeight="false" outlineLevel="0" collapsed="false">
      <c r="A6879" s="6" t="n">
        <v>43031.2573611111</v>
      </c>
      <c r="B6879" s="7" t="str">
        <f aca="false">HYPERLINK("https://twitter.com/rbr6000","@rbr6000")</f>
        <v>@rbr6000</v>
      </c>
      <c r="C6879" s="8" t="s">
        <v>15561</v>
      </c>
      <c r="D6879" s="8" t="s">
        <v>8538</v>
      </c>
      <c r="E6879" s="9" t="str">
        <f aca="false">HYPERLINK("https://twitter.com/rbr6000/status/922450183073308673","922450183073308673")</f>
        <v>922450183073308673</v>
      </c>
      <c r="F6879" s="10" t="s">
        <v>25</v>
      </c>
      <c r="G6879" s="10" t="n">
        <v>1203</v>
      </c>
      <c r="H6879" s="10" t="n">
        <v>1333</v>
      </c>
      <c r="I6879" s="10" t="n">
        <v>1015</v>
      </c>
      <c r="J6879" s="10" t="n">
        <v>0</v>
      </c>
      <c r="K6879" s="10" t="s">
        <v>20</v>
      </c>
      <c r="L6879" s="11" t="n">
        <v>41873.3569097222</v>
      </c>
      <c r="M6879" s="12" t="s">
        <v>72</v>
      </c>
      <c r="N6879" s="12" t="s">
        <v>15562</v>
      </c>
      <c r="O6879" s="9" t="str">
        <f aca="false">HYPERLINK("https://pbs.twimg.com/profile_images/803272679629303808/M3hFPgmr_normal.jpg","View")</f>
        <v>View</v>
      </c>
      <c r="P6879" s="10"/>
    </row>
    <row r="6880" customFormat="false" ht="15.75" hidden="false" customHeight="false" outlineLevel="0" collapsed="false">
      <c r="A6880" s="6" t="n">
        <v>43031.2584606481</v>
      </c>
      <c r="B6880" s="7" t="str">
        <f aca="false">HYPERLINK("https://twitter.com/katyballs","@katyballs")</f>
        <v>@katyballs</v>
      </c>
      <c r="C6880" s="8" t="s">
        <v>15563</v>
      </c>
      <c r="D6880" s="8" t="s">
        <v>15564</v>
      </c>
      <c r="E6880" s="9" t="str">
        <f aca="false">HYPERLINK("https://twitter.com/katyballs/status/922450582409043968","922450582409043968")</f>
        <v>922450582409043968</v>
      </c>
      <c r="F6880" s="10" t="s">
        <v>276</v>
      </c>
      <c r="G6880" s="10" t="n">
        <v>5951</v>
      </c>
      <c r="H6880" s="10" t="n">
        <v>1333</v>
      </c>
      <c r="I6880" s="10" t="n">
        <v>0</v>
      </c>
      <c r="J6880" s="10" t="n">
        <v>1</v>
      </c>
      <c r="K6880" s="10" t="s">
        <v>20</v>
      </c>
      <c r="L6880" s="11" t="n">
        <v>40427.3586226852</v>
      </c>
      <c r="M6880" s="12"/>
      <c r="N6880" s="12" t="s">
        <v>15565</v>
      </c>
      <c r="O6880" s="9" t="str">
        <f aca="false">HYPERLINK("https://pbs.twimg.com/profile_images/863029968271548416/1S-NMj-g_normal.jpg","View")</f>
        <v>View</v>
      </c>
      <c r="P6880" s="10"/>
    </row>
    <row r="6881" customFormat="false" ht="15.75" hidden="false" customHeight="false" outlineLevel="0" collapsed="false">
      <c r="A6881" s="6" t="n">
        <v>43031.2586111111</v>
      </c>
      <c r="B6881" s="7" t="str">
        <f aca="false">HYPERLINK("https://twitter.com/jb_houriez","@jb_houriez")</f>
        <v>@jb_houriez</v>
      </c>
      <c r="C6881" s="8" t="s">
        <v>15566</v>
      </c>
      <c r="D6881" s="8" t="s">
        <v>13661</v>
      </c>
      <c r="E6881" s="9" t="str">
        <f aca="false">HYPERLINK("https://twitter.com/jb_houriez/status/922450636679106560","922450636679106560")</f>
        <v>922450636679106560</v>
      </c>
      <c r="F6881" s="10" t="s">
        <v>51</v>
      </c>
      <c r="G6881" s="10" t="n">
        <v>279</v>
      </c>
      <c r="H6881" s="10" t="n">
        <v>957</v>
      </c>
      <c r="I6881" s="10" t="n">
        <v>7</v>
      </c>
      <c r="J6881" s="10" t="n">
        <v>0</v>
      </c>
      <c r="K6881" s="10" t="s">
        <v>20</v>
      </c>
      <c r="L6881" s="11" t="n">
        <v>39939.2690393518</v>
      </c>
      <c r="M6881" s="12" t="s">
        <v>253</v>
      </c>
      <c r="N6881" s="12" t="s">
        <v>15567</v>
      </c>
      <c r="O6881" s="9" t="str">
        <f aca="false">HYPERLINK("https://pbs.twimg.com/profile_images/897547510373388289/kgsKPJgF_normal.jpg","View")</f>
        <v>View</v>
      </c>
      <c r="P6881" s="10"/>
    </row>
    <row r="6882" customFormat="false" ht="15.75" hidden="false" customHeight="false" outlineLevel="0" collapsed="false">
      <c r="A6882" s="6" t="n">
        <v>43031.2591898148</v>
      </c>
      <c r="B6882" s="7" t="str">
        <f aca="false">HYPERLINK("https://twitter.com/SPieragastini","@SPieragastini")</f>
        <v>@SPieragastini</v>
      </c>
      <c r="C6882" s="8" t="s">
        <v>15568</v>
      </c>
      <c r="D6882" s="8" t="s">
        <v>15569</v>
      </c>
      <c r="E6882" s="9" t="str">
        <f aca="false">HYPERLINK("https://twitter.com/SPieragastini/status/922450844456538113","922450844456538113")</f>
        <v>922450844456538113</v>
      </c>
      <c r="F6882" s="10" t="s">
        <v>25</v>
      </c>
      <c r="G6882" s="10" t="n">
        <v>68</v>
      </c>
      <c r="H6882" s="10" t="n">
        <v>291</v>
      </c>
      <c r="I6882" s="10" t="n">
        <v>3</v>
      </c>
      <c r="J6882" s="10" t="n">
        <v>0</v>
      </c>
      <c r="K6882" s="10" t="s">
        <v>20</v>
      </c>
      <c r="L6882" s="11" t="n">
        <v>41507.3814467593</v>
      </c>
      <c r="M6882" s="12" t="s">
        <v>1404</v>
      </c>
      <c r="N6882" s="12" t="s">
        <v>15570</v>
      </c>
      <c r="O6882" s="9" t="str">
        <f aca="false">HYPERLINK("https://pbs.twimg.com/profile_images/378800000335974249/4eb3e79b55c42049e82f9bbd3f4697ca_normal.jpeg","View")</f>
        <v>View</v>
      </c>
      <c r="P6882" s="10"/>
    </row>
    <row r="6883" customFormat="false" ht="15.75" hidden="false" customHeight="false" outlineLevel="0" collapsed="false">
      <c r="A6883" s="6" t="n">
        <v>43031.2593287037</v>
      </c>
      <c r="B6883" s="7" t="str">
        <f aca="false">HYPERLINK("https://twitter.com/VitalAnon","@VitalAnon")</f>
        <v>@VitalAnon</v>
      </c>
      <c r="C6883" s="8" t="s">
        <v>15571</v>
      </c>
      <c r="D6883" s="8" t="s">
        <v>15572</v>
      </c>
      <c r="E6883" s="9" t="str">
        <f aca="false">HYPERLINK("https://twitter.com/VitalAnon/status/922450896776257536","922450896776257536")</f>
        <v>922450896776257536</v>
      </c>
      <c r="F6883" s="10" t="s">
        <v>60</v>
      </c>
      <c r="G6883" s="10" t="n">
        <v>1706</v>
      </c>
      <c r="H6883" s="10" t="n">
        <v>1784</v>
      </c>
      <c r="I6883" s="10" t="n">
        <v>0</v>
      </c>
      <c r="J6883" s="10" t="n">
        <v>0</v>
      </c>
      <c r="K6883" s="10" t="s">
        <v>20</v>
      </c>
      <c r="L6883" s="11" t="n">
        <v>42150.543599537</v>
      </c>
      <c r="M6883" s="12" t="s">
        <v>15573</v>
      </c>
      <c r="N6883" s="12" t="s">
        <v>15574</v>
      </c>
      <c r="O6883" s="9" t="str">
        <f aca="false">HYPERLINK("https://pbs.twimg.com/profile_images/891487456251576321/AKnxDA8v_normal.jpg","View")</f>
        <v>View</v>
      </c>
      <c r="P6883" s="10"/>
    </row>
    <row r="6884" customFormat="false" ht="15.75" hidden="false" customHeight="false" outlineLevel="0" collapsed="false">
      <c r="A6884" s="6" t="n">
        <v>43031.2597222222</v>
      </c>
      <c r="B6884" s="7" t="str">
        <f aca="false">HYPERLINK("https://twitter.com/srikanthmp2010","@srikanthmp2010")</f>
        <v>@srikanthmp2010</v>
      </c>
      <c r="C6884" s="8" t="s">
        <v>15575</v>
      </c>
      <c r="D6884" s="8" t="s">
        <v>8538</v>
      </c>
      <c r="E6884" s="9" t="str">
        <f aca="false">HYPERLINK("https://twitter.com/srikanthmp2010/status/922451037990010880","922451037990010880")</f>
        <v>922451037990010880</v>
      </c>
      <c r="F6884" s="10" t="s">
        <v>25</v>
      </c>
      <c r="G6884" s="10" t="n">
        <v>37</v>
      </c>
      <c r="H6884" s="10" t="n">
        <v>81</v>
      </c>
      <c r="I6884" s="10" t="n">
        <v>1015</v>
      </c>
      <c r="J6884" s="10" t="n">
        <v>0</v>
      </c>
      <c r="K6884" s="10" t="s">
        <v>20</v>
      </c>
      <c r="L6884" s="11" t="n">
        <v>40540.9019328704</v>
      </c>
      <c r="M6884" s="12" t="s">
        <v>868</v>
      </c>
      <c r="N6884" s="12"/>
      <c r="O6884" s="9" t="str">
        <f aca="false">HYPERLINK("https://pbs.twimg.com/profile_images/604221138265210880/trI4851q_normal.jpg","View")</f>
        <v>View</v>
      </c>
      <c r="P6884" s="10"/>
    </row>
    <row r="6885" customFormat="false" ht="15.75" hidden="false" customHeight="false" outlineLevel="0" collapsed="false">
      <c r="A6885" s="6" t="n">
        <v>43031.2602083333</v>
      </c>
      <c r="B6885" s="7" t="str">
        <f aca="false">HYPERLINK("https://twitter.com/joshjp0rter","@joshjp0rter")</f>
        <v>@joshjp0rter</v>
      </c>
      <c r="C6885" s="8" t="s">
        <v>15576</v>
      </c>
      <c r="D6885" s="8" t="s">
        <v>15507</v>
      </c>
      <c r="E6885" s="9" t="str">
        <f aca="false">HYPERLINK("https://twitter.com/joshjp0rter/status/922451213047644160","922451213047644160")</f>
        <v>922451213047644160</v>
      </c>
      <c r="F6885" s="10" t="s">
        <v>25</v>
      </c>
      <c r="G6885" s="10" t="n">
        <v>33</v>
      </c>
      <c r="H6885" s="10" t="n">
        <v>1287</v>
      </c>
      <c r="I6885" s="10" t="n">
        <v>4</v>
      </c>
      <c r="J6885" s="10" t="n">
        <v>0</v>
      </c>
      <c r="K6885" s="10" t="s">
        <v>20</v>
      </c>
      <c r="L6885" s="11" t="n">
        <v>41740.0170717593</v>
      </c>
      <c r="M6885" s="12" t="s">
        <v>15577</v>
      </c>
      <c r="N6885" s="12" t="s">
        <v>15578</v>
      </c>
      <c r="O6885" s="9" t="str">
        <f aca="false">HYPERLINK("https://pbs.twimg.com/profile_images/749755721877684224/aVmaOZ7w_normal.jpg","View")</f>
        <v>View</v>
      </c>
      <c r="P6885" s="10"/>
    </row>
    <row r="6886" customFormat="false" ht="15.75" hidden="false" customHeight="false" outlineLevel="0" collapsed="false">
      <c r="A6886" s="6" t="n">
        <v>43031.2603125</v>
      </c>
      <c r="B6886" s="7" t="str">
        <f aca="false">HYPERLINK("https://twitter.com/Meshsi1502Kn","@Meshsi1502Kn")</f>
        <v>@Meshsi1502Kn</v>
      </c>
      <c r="C6886" s="8" t="s">
        <v>15579</v>
      </c>
      <c r="D6886" s="8" t="s">
        <v>8538</v>
      </c>
      <c r="E6886" s="9" t="str">
        <f aca="false">HYPERLINK("https://twitter.com/Meshsi1502Kn/status/922451252109131776","922451252109131776")</f>
        <v>922451252109131776</v>
      </c>
      <c r="F6886" s="10" t="s">
        <v>39</v>
      </c>
      <c r="G6886" s="10" t="n">
        <v>41</v>
      </c>
      <c r="H6886" s="10" t="n">
        <v>68</v>
      </c>
      <c r="I6886" s="10" t="n">
        <v>1015</v>
      </c>
      <c r="J6886" s="10" t="n">
        <v>0</v>
      </c>
      <c r="K6886" s="10" t="s">
        <v>20</v>
      </c>
      <c r="L6886" s="11" t="n">
        <v>42428.8637384259</v>
      </c>
      <c r="M6886" s="12"/>
      <c r="N6886" s="12"/>
      <c r="O6886" s="9" t="str">
        <f aca="false">HYPERLINK("https://pbs.twimg.com/profile_images/878951431767703556/H2ywI5rV_normal.jpg","View")</f>
        <v>View</v>
      </c>
      <c r="P6886" s="10"/>
    </row>
    <row r="6887" customFormat="false" ht="15.75" hidden="false" customHeight="false" outlineLevel="0" collapsed="false">
      <c r="A6887" s="6" t="n">
        <v>43031.2604282407</v>
      </c>
      <c r="B6887" s="7" t="str">
        <f aca="false">HYPERLINK("https://twitter.com/JustinBertin23","@JustinBertin23")</f>
        <v>@JustinBertin23</v>
      </c>
      <c r="C6887" s="8" t="s">
        <v>15580</v>
      </c>
      <c r="D6887" s="8" t="s">
        <v>15581</v>
      </c>
      <c r="E6887" s="9" t="str">
        <f aca="false">HYPERLINK("https://twitter.com/JustinBertin23/status/922451293267881985","922451293267881985")</f>
        <v>922451293267881985</v>
      </c>
      <c r="F6887" s="10" t="s">
        <v>39</v>
      </c>
      <c r="G6887" s="10" t="n">
        <v>28</v>
      </c>
      <c r="H6887" s="10" t="n">
        <v>118</v>
      </c>
      <c r="I6887" s="10" t="n">
        <v>0</v>
      </c>
      <c r="J6887" s="10" t="n">
        <v>0</v>
      </c>
      <c r="K6887" s="10" t="s">
        <v>20</v>
      </c>
      <c r="L6887" s="11" t="n">
        <v>42845.0334027778</v>
      </c>
      <c r="M6887" s="12" t="s">
        <v>15582</v>
      </c>
      <c r="N6887" s="12"/>
      <c r="O6887" s="9" t="str">
        <f aca="false">HYPERLINK("https://pbs.twimg.com/profile_images/875833994478100480/Fn8GaZV4_normal.jpg","View")</f>
        <v>View</v>
      </c>
      <c r="P6887" s="10"/>
    </row>
    <row r="6888" customFormat="false" ht="15.75" hidden="false" customHeight="false" outlineLevel="0" collapsed="false">
      <c r="A6888" s="6" t="n">
        <v>43031.2611805556</v>
      </c>
      <c r="B6888" s="7" t="str">
        <f aca="false">HYPERLINK("https://twitter.com/StudyCIMA","@StudyCIMA")</f>
        <v>@StudyCIMA</v>
      </c>
      <c r="C6888" s="8" t="s">
        <v>15583</v>
      </c>
      <c r="D6888" s="8" t="s">
        <v>15584</v>
      </c>
      <c r="E6888" s="9" t="str">
        <f aca="false">HYPERLINK("https://twitter.com/StudyCIMA/status/922451566728175619","922451566728175619")</f>
        <v>922451566728175619</v>
      </c>
      <c r="F6888" s="10" t="s">
        <v>47</v>
      </c>
      <c r="G6888" s="10" t="n">
        <v>4679</v>
      </c>
      <c r="H6888" s="10" t="n">
        <v>3784</v>
      </c>
      <c r="I6888" s="10" t="n">
        <v>0</v>
      </c>
      <c r="J6888" s="10" t="n">
        <v>0</v>
      </c>
      <c r="K6888" s="10" t="s">
        <v>20</v>
      </c>
      <c r="L6888" s="11" t="n">
        <v>41890.3066666667</v>
      </c>
      <c r="M6888" s="12"/>
      <c r="N6888" s="12" t="s">
        <v>15585</v>
      </c>
      <c r="O6888" s="9" t="str">
        <f aca="false">HYPERLINK("https://pbs.twimg.com/profile_images/552329776958951424/pbbFOjaq_normal.png","View")</f>
        <v>View</v>
      </c>
      <c r="P6888" s="10"/>
    </row>
    <row r="6889" customFormat="false" ht="15.75" hidden="false" customHeight="false" outlineLevel="0" collapsed="false">
      <c r="A6889" s="6" t="n">
        <v>43031.2614236111</v>
      </c>
      <c r="B6889" s="7" t="str">
        <f aca="false">HYPERLINK("https://twitter.com/Tretayug","@Tretayug")</f>
        <v>@Tretayug</v>
      </c>
      <c r="C6889" s="8" t="s">
        <v>6677</v>
      </c>
      <c r="D6889" s="8" t="s">
        <v>15586</v>
      </c>
      <c r="E6889" s="9" t="str">
        <f aca="false">HYPERLINK("https://twitter.com/Tretayug/status/922451654334586880","922451654334586880")</f>
        <v>922451654334586880</v>
      </c>
      <c r="F6889" s="10" t="s">
        <v>39</v>
      </c>
      <c r="G6889" s="10" t="n">
        <v>420</v>
      </c>
      <c r="H6889" s="10" t="n">
        <v>1471</v>
      </c>
      <c r="I6889" s="10" t="n">
        <v>0</v>
      </c>
      <c r="J6889" s="10" t="n">
        <v>0</v>
      </c>
      <c r="K6889" s="10" t="s">
        <v>20</v>
      </c>
      <c r="L6889" s="11" t="n">
        <v>42013.1465625</v>
      </c>
      <c r="M6889" s="12" t="s">
        <v>72</v>
      </c>
      <c r="N6889" s="12" t="s">
        <v>6679</v>
      </c>
      <c r="O6889" s="9" t="str">
        <f aca="false">HYPERLINK("https://pbs.twimg.com/profile_images/921976959390928896/YbOouC6v_normal.jpg","View")</f>
        <v>View</v>
      </c>
      <c r="P6889" s="10"/>
    </row>
    <row r="6890" customFormat="false" ht="15.75" hidden="false" customHeight="false" outlineLevel="0" collapsed="false">
      <c r="A6890" s="6" t="n">
        <v>43031.2617476852</v>
      </c>
      <c r="B6890" s="7" t="str">
        <f aca="false">HYPERLINK("https://twitter.com/priyankpanda","@priyankpanda")</f>
        <v>@priyankpanda</v>
      </c>
      <c r="C6890" s="8" t="s">
        <v>15587</v>
      </c>
      <c r="D6890" s="8" t="s">
        <v>8538</v>
      </c>
      <c r="E6890" s="9" t="str">
        <f aca="false">HYPERLINK("https://twitter.com/priyankpanda/status/922451772559388673","922451772559388673")</f>
        <v>922451772559388673</v>
      </c>
      <c r="F6890" s="10" t="s">
        <v>25</v>
      </c>
      <c r="G6890" s="10" t="n">
        <v>1046</v>
      </c>
      <c r="H6890" s="10" t="n">
        <v>2381</v>
      </c>
      <c r="I6890" s="10" t="n">
        <v>1015</v>
      </c>
      <c r="J6890" s="10" t="n">
        <v>0</v>
      </c>
      <c r="K6890" s="10" t="s">
        <v>20</v>
      </c>
      <c r="L6890" s="11" t="n">
        <v>40175.316724537</v>
      </c>
      <c r="M6890" s="12" t="s">
        <v>15588</v>
      </c>
      <c r="N6890" s="12" t="s">
        <v>15589</v>
      </c>
      <c r="O6890" s="9" t="str">
        <f aca="false">HYPERLINK("https://pbs.twimg.com/profile_images/834490243415994368/TdgSy0SK_normal.jpg","View")</f>
        <v>View</v>
      </c>
      <c r="P6890" s="10"/>
    </row>
    <row r="6891" customFormat="false" ht="15.75" hidden="false" customHeight="false" outlineLevel="0" collapsed="false">
      <c r="A6891" s="6" t="n">
        <v>43031.2628009259</v>
      </c>
      <c r="B6891" s="7" t="str">
        <f aca="false">HYPERLINK("https://twitter.com/vaidyabr","@vaidyabr")</f>
        <v>@vaidyabr</v>
      </c>
      <c r="C6891" s="8" t="s">
        <v>15590</v>
      </c>
      <c r="D6891" s="8" t="s">
        <v>8538</v>
      </c>
      <c r="E6891" s="9" t="str">
        <f aca="false">HYPERLINK("https://twitter.com/vaidyabr/status/922452151967739904","922452151967739904")</f>
        <v>922452151967739904</v>
      </c>
      <c r="F6891" s="10" t="s">
        <v>25</v>
      </c>
      <c r="G6891" s="10" t="n">
        <v>161</v>
      </c>
      <c r="H6891" s="10" t="n">
        <v>237</v>
      </c>
      <c r="I6891" s="10" t="n">
        <v>1015</v>
      </c>
      <c r="J6891" s="10" t="n">
        <v>0</v>
      </c>
      <c r="K6891" s="10" t="s">
        <v>20</v>
      </c>
      <c r="L6891" s="11" t="n">
        <v>41749.0523958333</v>
      </c>
      <c r="M6891" s="12"/>
      <c r="N6891" s="12"/>
      <c r="O6891" s="9" t="str">
        <f aca="false">HYPERLINK("https://pbs.twimg.com/profile_images/750580524956127234/HgNTSUR6_normal.jpg","View")</f>
        <v>View</v>
      </c>
      <c r="P6891" s="10"/>
    </row>
    <row r="6892" customFormat="false" ht="15.75" hidden="false" customHeight="false" outlineLevel="0" collapsed="false">
      <c r="A6892" s="6" t="n">
        <v>43031.2628935185</v>
      </c>
      <c r="B6892" s="7" t="str">
        <f aca="false">HYPERLINK("https://twitter.com/BrettonWoodsCom","@BrettonWoodsCom")</f>
        <v>@BrettonWoodsCom</v>
      </c>
      <c r="C6892" s="8" t="s">
        <v>15591</v>
      </c>
      <c r="D6892" s="8" t="s">
        <v>15592</v>
      </c>
      <c r="E6892" s="9" t="str">
        <f aca="false">HYPERLINK("https://twitter.com/BrettonWoodsCom/status/922452189632659456","922452189632659456")</f>
        <v>922452189632659456</v>
      </c>
      <c r="F6892" s="10" t="s">
        <v>276</v>
      </c>
      <c r="G6892" s="10" t="n">
        <v>1522</v>
      </c>
      <c r="H6892" s="10" t="n">
        <v>491</v>
      </c>
      <c r="I6892" s="10" t="n">
        <v>0</v>
      </c>
      <c r="J6892" s="10" t="n">
        <v>0</v>
      </c>
      <c r="K6892" s="10" t="s">
        <v>20</v>
      </c>
      <c r="L6892" s="11" t="n">
        <v>40897.4449652778</v>
      </c>
      <c r="M6892" s="12" t="s">
        <v>6370</v>
      </c>
      <c r="N6892" s="12" t="s">
        <v>15593</v>
      </c>
      <c r="O6892" s="9" t="str">
        <f aca="false">HYPERLINK("https://pbs.twimg.com/profile_images/634075380781944832/jXL_WaqC_normal.jpg","View")</f>
        <v>View</v>
      </c>
      <c r="P6892" s="10"/>
    </row>
    <row r="6893" customFormat="false" ht="15.75" hidden="false" customHeight="false" outlineLevel="0" collapsed="false">
      <c r="A6893" s="6" t="n">
        <v>43031.2629282407</v>
      </c>
      <c r="B6893" s="7" t="str">
        <f aca="false">HYPERLINK("https://twitter.com/koganehakogame","@koganehakogame")</f>
        <v>@koganehakogame</v>
      </c>
      <c r="C6893" s="8" t="s">
        <v>15594</v>
      </c>
      <c r="D6893" s="8" t="s">
        <v>6707</v>
      </c>
      <c r="E6893" s="9" t="str">
        <f aca="false">HYPERLINK("https://twitter.com/koganehakogame/status/922452199925465088","922452199925465088")</f>
        <v>922452199925465088</v>
      </c>
      <c r="F6893" s="10" t="s">
        <v>39</v>
      </c>
      <c r="G6893" s="10" t="n">
        <v>2071</v>
      </c>
      <c r="H6893" s="10" t="n">
        <v>1894</v>
      </c>
      <c r="I6893" s="10" t="n">
        <v>97</v>
      </c>
      <c r="J6893" s="10" t="n">
        <v>0</v>
      </c>
      <c r="K6893" s="10" t="s">
        <v>20</v>
      </c>
      <c r="L6893" s="11" t="n">
        <v>40201.212337963</v>
      </c>
      <c r="M6893" s="12" t="s">
        <v>15595</v>
      </c>
      <c r="N6893" s="13" t="s">
        <v>15596</v>
      </c>
      <c r="O6893" s="9" t="str">
        <f aca="false">HYPERLINK("https://pbs.twimg.com/profile_images/903967587729473536/7YMofIsJ_normal.jpg","View")</f>
        <v>View</v>
      </c>
      <c r="P6893" s="10"/>
    </row>
    <row r="6894" customFormat="false" ht="15.75" hidden="false" customHeight="false" outlineLevel="0" collapsed="false">
      <c r="A6894" s="6" t="n">
        <v>43031.2634606482</v>
      </c>
      <c r="B6894" s="7" t="str">
        <f aca="false">HYPERLINK("https://twitter.com/Shan25k","@Shan25k")</f>
        <v>@Shan25k</v>
      </c>
      <c r="C6894" s="8" t="s">
        <v>15597</v>
      </c>
      <c r="D6894" s="8" t="s">
        <v>8538</v>
      </c>
      <c r="E6894" s="9" t="str">
        <f aca="false">HYPERLINK("https://twitter.com/Shan25k/status/922452393693868033","922452393693868033")</f>
        <v>922452393693868033</v>
      </c>
      <c r="F6894" s="10" t="s">
        <v>51</v>
      </c>
      <c r="G6894" s="10" t="n">
        <v>145</v>
      </c>
      <c r="H6894" s="10" t="n">
        <v>153</v>
      </c>
      <c r="I6894" s="10" t="n">
        <v>1015</v>
      </c>
      <c r="J6894" s="10" t="n">
        <v>0</v>
      </c>
      <c r="K6894" s="10" t="s">
        <v>20</v>
      </c>
      <c r="L6894" s="11" t="n">
        <v>41135.096400463</v>
      </c>
      <c r="M6894" s="12"/>
      <c r="N6894" s="12" t="s">
        <v>15598</v>
      </c>
      <c r="O6894" s="9" t="str">
        <f aca="false">HYPERLINK("https://pbs.twimg.com/profile_images/804195913195405312/Q1a3BBIK_normal.jpg","View")</f>
        <v>View</v>
      </c>
      <c r="P6894" s="10"/>
    </row>
    <row r="6895" customFormat="false" ht="15.75" hidden="false" customHeight="false" outlineLevel="0" collapsed="false">
      <c r="A6895" s="6" t="n">
        <v>43031.2637847222</v>
      </c>
      <c r="B6895" s="7" t="str">
        <f aca="false">HYPERLINK("https://twitter.com/bksachania","@bksachania")</f>
        <v>@bksachania</v>
      </c>
      <c r="C6895" s="8" t="s">
        <v>15599</v>
      </c>
      <c r="D6895" s="8" t="s">
        <v>12145</v>
      </c>
      <c r="E6895" s="9" t="str">
        <f aca="false">HYPERLINK("https://twitter.com/bksachania/status/922452511428096001","922452511428096001")</f>
        <v>922452511428096001</v>
      </c>
      <c r="F6895" s="10" t="s">
        <v>51</v>
      </c>
      <c r="G6895" s="10" t="n">
        <v>7</v>
      </c>
      <c r="H6895" s="10" t="n">
        <v>86</v>
      </c>
      <c r="I6895" s="10" t="n">
        <v>4</v>
      </c>
      <c r="J6895" s="10" t="n">
        <v>0</v>
      </c>
      <c r="K6895" s="10" t="s">
        <v>20</v>
      </c>
      <c r="L6895" s="11" t="n">
        <v>40544.3446064815</v>
      </c>
      <c r="M6895" s="12" t="s">
        <v>893</v>
      </c>
      <c r="N6895" s="12"/>
      <c r="O6895" s="9" t="str">
        <f aca="false">HYPERLINK("https://pbs.twimg.com/profile_images/631914708258430980/aPdcNS0Y_normal.jpg","View")</f>
        <v>View</v>
      </c>
      <c r="P6895" s="10"/>
    </row>
    <row r="6896" customFormat="false" ht="15.75" hidden="false" customHeight="false" outlineLevel="0" collapsed="false">
      <c r="A6896" s="6" t="n">
        <v>43031.2645833333</v>
      </c>
      <c r="B6896" s="7" t="str">
        <f aca="false">HYPERLINK("https://twitter.com/BearsViews","@BearsViews")</f>
        <v>@BearsViews</v>
      </c>
      <c r="C6896" s="8" t="s">
        <v>15600</v>
      </c>
      <c r="D6896" s="8" t="s">
        <v>15601</v>
      </c>
      <c r="E6896" s="9" t="str">
        <f aca="false">HYPERLINK("https://twitter.com/BearsViews/status/922452798436007936","922452798436007936")</f>
        <v>922452798436007936</v>
      </c>
      <c r="F6896" s="10" t="s">
        <v>8219</v>
      </c>
      <c r="G6896" s="10" t="n">
        <v>2262</v>
      </c>
      <c r="H6896" s="10" t="n">
        <v>946</v>
      </c>
      <c r="I6896" s="10" t="n">
        <v>0</v>
      </c>
      <c r="J6896" s="10" t="n">
        <v>0</v>
      </c>
      <c r="K6896" s="10" t="s">
        <v>20</v>
      </c>
      <c r="L6896" s="11" t="n">
        <v>42043.7583333333</v>
      </c>
      <c r="M6896" s="12"/>
      <c r="N6896" s="12" t="s">
        <v>15602</v>
      </c>
      <c r="O6896" s="9" t="str">
        <f aca="false">HYPERLINK("https://pbs.twimg.com/profile_images/570774558194429952/ircy4eCi_normal.png","View")</f>
        <v>View</v>
      </c>
      <c r="P6896" s="10"/>
    </row>
    <row r="6897" customFormat="false" ht="15.75" hidden="false" customHeight="false" outlineLevel="0" collapsed="false">
      <c r="A6897" s="6" t="n">
        <v>43031.2649768519</v>
      </c>
      <c r="B6897" s="7" t="str">
        <f aca="false">HYPERLINK("https://twitter.com/harish_purohit","@harish_purohit")</f>
        <v>@harish_purohit</v>
      </c>
      <c r="C6897" s="8" t="s">
        <v>15603</v>
      </c>
      <c r="D6897" s="8" t="s">
        <v>8538</v>
      </c>
      <c r="E6897" s="9" t="str">
        <f aca="false">HYPERLINK("https://twitter.com/harish_purohit/status/922452941134471168","922452941134471168")</f>
        <v>922452941134471168</v>
      </c>
      <c r="F6897" s="10" t="s">
        <v>25</v>
      </c>
      <c r="G6897" s="10" t="n">
        <v>18677</v>
      </c>
      <c r="H6897" s="10" t="n">
        <v>5880</v>
      </c>
      <c r="I6897" s="10" t="n">
        <v>1015</v>
      </c>
      <c r="J6897" s="10" t="n">
        <v>0</v>
      </c>
      <c r="K6897" s="10" t="s">
        <v>20</v>
      </c>
      <c r="L6897" s="11" t="n">
        <v>40272.5109953704</v>
      </c>
      <c r="M6897" s="12"/>
      <c r="N6897" s="12" t="s">
        <v>15604</v>
      </c>
      <c r="O6897" s="9" t="str">
        <f aca="false">HYPERLINK("https://pbs.twimg.com/profile_images/832158664786006017/TUQsb_jf_normal.jpg","View")</f>
        <v>View</v>
      </c>
      <c r="P6897" s="10"/>
    </row>
    <row r="6898" customFormat="false" ht="15.75" hidden="false" customHeight="false" outlineLevel="0" collapsed="false">
      <c r="A6898" s="6" t="n">
        <v>43031.2663541667</v>
      </c>
      <c r="B6898" s="7" t="str">
        <f aca="false">HYPERLINK("https://twitter.com/drpatfarrell","@drpatfarrell")</f>
        <v>@drpatfarrell</v>
      </c>
      <c r="C6898" s="8" t="s">
        <v>6661</v>
      </c>
      <c r="D6898" s="8" t="s">
        <v>15605</v>
      </c>
      <c r="E6898" s="9" t="str">
        <f aca="false">HYPERLINK("https://twitter.com/drpatfarrell/status/922453440952971264","922453440952971264")</f>
        <v>922453440952971264</v>
      </c>
      <c r="F6898" s="10" t="s">
        <v>39</v>
      </c>
      <c r="G6898" s="10" t="n">
        <v>6894</v>
      </c>
      <c r="H6898" s="10" t="n">
        <v>3925</v>
      </c>
      <c r="I6898" s="10" t="n">
        <v>0</v>
      </c>
      <c r="J6898" s="10" t="n">
        <v>0</v>
      </c>
      <c r="K6898" s="10" t="s">
        <v>20</v>
      </c>
      <c r="L6898" s="11" t="n">
        <v>39959.3989814815</v>
      </c>
      <c r="M6898" s="12" t="s">
        <v>230</v>
      </c>
      <c r="N6898" s="12" t="s">
        <v>6662</v>
      </c>
      <c r="O6898" s="9" t="str">
        <f aca="false">HYPERLINK("https://pbs.twimg.com/profile_images/887116390808911872/mnwYiZyU_normal.jpg","View")</f>
        <v>View</v>
      </c>
      <c r="P6898" s="10"/>
    </row>
    <row r="6899" customFormat="false" ht="15.75" hidden="false" customHeight="false" outlineLevel="0" collapsed="false">
      <c r="A6899" s="6" t="n">
        <v>43031.2667361111</v>
      </c>
      <c r="B6899" s="7" t="str">
        <f aca="false">HYPERLINK("https://twitter.com/France24_en","@France24_en")</f>
        <v>@France24_en</v>
      </c>
      <c r="C6899" s="8" t="s">
        <v>1809</v>
      </c>
      <c r="D6899" s="8" t="s">
        <v>15606</v>
      </c>
      <c r="E6899" s="9" t="str">
        <f aca="false">HYPERLINK("https://twitter.com/France24_en/status/922453579259977728","922453579259977728")</f>
        <v>922453579259977728</v>
      </c>
      <c r="F6899" s="9" t="s">
        <v>1147</v>
      </c>
      <c r="G6899" s="10" t="n">
        <v>179968</v>
      </c>
      <c r="H6899" s="10" t="n">
        <v>1196</v>
      </c>
      <c r="I6899" s="10" t="n">
        <v>4</v>
      </c>
      <c r="J6899" s="10" t="n">
        <v>3</v>
      </c>
      <c r="K6899" s="10" t="s">
        <v>20</v>
      </c>
      <c r="L6899" s="11" t="n">
        <v>39890.0992361111</v>
      </c>
      <c r="M6899" s="12" t="s">
        <v>1754</v>
      </c>
      <c r="N6899" s="12" t="s">
        <v>1811</v>
      </c>
      <c r="O6899" s="9" t="str">
        <f aca="false">HYPERLINK("https://pbs.twimg.com/profile_images/875653339530182656/LJAMkNY5_normal.jpg","View")</f>
        <v>View</v>
      </c>
      <c r="P6899" s="10"/>
    </row>
    <row r="6900" customFormat="false" ht="15.75" hidden="false" customHeight="false" outlineLevel="0" collapsed="false">
      <c r="A6900" s="6" t="n">
        <v>43031.2667592593</v>
      </c>
      <c r="B6900" s="7" t="str">
        <f aca="false">HYPERLINK("https://twitter.com/kvs1247","@kvs1247")</f>
        <v>@kvs1247</v>
      </c>
      <c r="C6900" s="8" t="s">
        <v>15607</v>
      </c>
      <c r="D6900" s="8" t="s">
        <v>8538</v>
      </c>
      <c r="E6900" s="9" t="str">
        <f aca="false">HYPERLINK("https://twitter.com/kvs1247/status/922453588760080384","922453588760080384")</f>
        <v>922453588760080384</v>
      </c>
      <c r="F6900" s="10" t="s">
        <v>25</v>
      </c>
      <c r="G6900" s="10" t="n">
        <v>246</v>
      </c>
      <c r="H6900" s="10" t="n">
        <v>603</v>
      </c>
      <c r="I6900" s="10" t="n">
        <v>1015</v>
      </c>
      <c r="J6900" s="10" t="n">
        <v>0</v>
      </c>
      <c r="K6900" s="10" t="s">
        <v>20</v>
      </c>
      <c r="L6900" s="11" t="n">
        <v>40009.7949768519</v>
      </c>
      <c r="M6900" s="12" t="s">
        <v>15608</v>
      </c>
      <c r="N6900" s="12" t="s">
        <v>15609</v>
      </c>
      <c r="O6900" s="9" t="str">
        <f aca="false">HYPERLINK("https://pbs.twimg.com/profile_images/980544859/subbu_normal.JPG","View")</f>
        <v>View</v>
      </c>
      <c r="P6900" s="10"/>
    </row>
    <row r="6901" customFormat="false" ht="15.75" hidden="false" customHeight="false" outlineLevel="0" collapsed="false">
      <c r="A6901" s="6" t="n">
        <v>43031.2668634259</v>
      </c>
      <c r="B6901" s="7" t="str">
        <f aca="false">HYPERLINK("https://twitter.com/kisungu_plamedi","@kisungu_plamedi")</f>
        <v>@kisungu_plamedi</v>
      </c>
      <c r="C6901" s="8" t="s">
        <v>15610</v>
      </c>
      <c r="D6901" s="8" t="s">
        <v>15611</v>
      </c>
      <c r="E6901" s="9" t="str">
        <f aca="false">HYPERLINK("https://twitter.com/kisungu_plamedi/status/922453626479697921","922453626479697921")</f>
        <v>922453626479697921</v>
      </c>
      <c r="F6901" s="10" t="s">
        <v>51</v>
      </c>
      <c r="G6901" s="10" t="n">
        <v>331</v>
      </c>
      <c r="H6901" s="10" t="n">
        <v>2269</v>
      </c>
      <c r="I6901" s="10" t="n">
        <v>4</v>
      </c>
      <c r="J6901" s="10" t="n">
        <v>0</v>
      </c>
      <c r="K6901" s="10" t="s">
        <v>20</v>
      </c>
      <c r="L6901" s="11" t="n">
        <v>42295.2771180556</v>
      </c>
      <c r="M6901" s="12" t="s">
        <v>15612</v>
      </c>
      <c r="N6901" s="12" t="s">
        <v>15613</v>
      </c>
      <c r="O6901" s="9" t="str">
        <f aca="false">HYPERLINK("https://pbs.twimg.com/profile_images/922375806420217856/4y5GRzlv_normal.jpg","View")</f>
        <v>View</v>
      </c>
      <c r="P6901" s="10"/>
    </row>
    <row r="6902" customFormat="false" ht="15.75" hidden="false" customHeight="false" outlineLevel="0" collapsed="false">
      <c r="A6902" s="6" t="n">
        <v>43031.2671875</v>
      </c>
      <c r="B6902" s="7" t="str">
        <f aca="false">HYPERLINK("https://twitter.com/TacticalFM","@TacticalFM")</f>
        <v>@TacticalFM</v>
      </c>
      <c r="C6902" s="8" t="s">
        <v>12822</v>
      </c>
      <c r="D6902" s="8" t="s">
        <v>12823</v>
      </c>
      <c r="E6902" s="9" t="str">
        <f aca="false">HYPERLINK("https://twitter.com/TacticalFM/status/922453745690034176","922453745690034176")</f>
        <v>922453745690034176</v>
      </c>
      <c r="F6902" s="10" t="s">
        <v>12822</v>
      </c>
      <c r="G6902" s="10" t="n">
        <v>308</v>
      </c>
      <c r="H6902" s="10" t="n">
        <v>2</v>
      </c>
      <c r="I6902" s="10" t="n">
        <v>0</v>
      </c>
      <c r="J6902" s="10" t="n">
        <v>0</v>
      </c>
      <c r="K6902" s="10" t="s">
        <v>20</v>
      </c>
      <c r="L6902" s="11" t="n">
        <v>40080.2013194445</v>
      </c>
      <c r="M6902" s="12" t="s">
        <v>4050</v>
      </c>
      <c r="N6902" s="12" t="s">
        <v>12824</v>
      </c>
      <c r="O6902" s="9" t="str">
        <f aca="false">HYPERLINK("https://pbs.twimg.com/profile_images/761676631605936128/UAqa9tXK_normal.jpg","View")</f>
        <v>View</v>
      </c>
      <c r="P6902" s="10"/>
    </row>
    <row r="6903" customFormat="false" ht="15.75" hidden="false" customHeight="false" outlineLevel="0" collapsed="false">
      <c r="A6903" s="6" t="n">
        <v>43031.269212963</v>
      </c>
      <c r="B6903" s="7" t="str">
        <f aca="false">HYPERLINK("https://twitter.com/santhoshkothala","@santhoshkothala")</f>
        <v>@santhoshkothala</v>
      </c>
      <c r="C6903" s="8" t="s">
        <v>15614</v>
      </c>
      <c r="D6903" s="8" t="s">
        <v>8538</v>
      </c>
      <c r="E6903" s="9" t="str">
        <f aca="false">HYPERLINK("https://twitter.com/santhoshkothala/status/922454476052672512","922454476052672512")</f>
        <v>922454476052672512</v>
      </c>
      <c r="F6903" s="10" t="s">
        <v>25</v>
      </c>
      <c r="G6903" s="10" t="n">
        <v>26</v>
      </c>
      <c r="H6903" s="10" t="n">
        <v>652</v>
      </c>
      <c r="I6903" s="10" t="n">
        <v>1015</v>
      </c>
      <c r="J6903" s="10" t="n">
        <v>0</v>
      </c>
      <c r="K6903" s="10" t="s">
        <v>20</v>
      </c>
      <c r="L6903" s="11" t="n">
        <v>40082.295</v>
      </c>
      <c r="M6903" s="12" t="s">
        <v>72</v>
      </c>
      <c r="N6903" s="12"/>
      <c r="O6903" s="9" t="str">
        <f aca="false">HYPERLINK("https://pbs.twimg.com/profile_images/563181687/santosh_cari_normal.jpg","View")</f>
        <v>View</v>
      </c>
      <c r="P6903" s="10"/>
    </row>
    <row r="6904" customFormat="false" ht="15.75" hidden="false" customHeight="false" outlineLevel="0" collapsed="false">
      <c r="A6904" s="6" t="n">
        <v>43031.2693055556</v>
      </c>
      <c r="B6904" s="7" t="str">
        <f aca="false">HYPERLINK("https://twitter.com/XaniaNews_com","@XaniaNews_com")</f>
        <v>@XaniaNews_com</v>
      </c>
      <c r="C6904" s="8" t="s">
        <v>6563</v>
      </c>
      <c r="D6904" s="8" t="s">
        <v>15615</v>
      </c>
      <c r="E6904" s="9" t="str">
        <f aca="false">HYPERLINK("https://twitter.com/XaniaNews_com/status/922454511867740160","922454511867740160")</f>
        <v>922454511867740160</v>
      </c>
      <c r="F6904" s="10" t="s">
        <v>6565</v>
      </c>
      <c r="G6904" s="10" t="n">
        <v>2649</v>
      </c>
      <c r="H6904" s="10" t="n">
        <v>2463</v>
      </c>
      <c r="I6904" s="10" t="n">
        <v>0</v>
      </c>
      <c r="J6904" s="10" t="n">
        <v>0</v>
      </c>
      <c r="K6904" s="10" t="s">
        <v>20</v>
      </c>
      <c r="L6904" s="11" t="n">
        <v>42490.2499652778</v>
      </c>
      <c r="M6904" s="12"/>
      <c r="N6904" s="12" t="s">
        <v>6566</v>
      </c>
      <c r="O6904" s="9" t="str">
        <f aca="false">HYPERLINK("https://pbs.twimg.com/profile_images/875616308653457408/nOYrQgE7_normal.jpg","View")</f>
        <v>View</v>
      </c>
      <c r="P6904" s="10"/>
    </row>
    <row r="6905" customFormat="false" ht="15.75" hidden="false" customHeight="false" outlineLevel="0" collapsed="false">
      <c r="A6905" s="6" t="n">
        <v>43031.2694328704</v>
      </c>
      <c r="B6905" s="7" t="str">
        <f aca="false">HYPERLINK("https://twitter.com/anoopbharatam","@anoopbharatam")</f>
        <v>@anoopbharatam</v>
      </c>
      <c r="C6905" s="8" t="s">
        <v>15616</v>
      </c>
      <c r="D6905" s="8" t="s">
        <v>8538</v>
      </c>
      <c r="E6905" s="9" t="str">
        <f aca="false">HYPERLINK("https://twitter.com/anoopbharatam/status/922454557568978944","922454557568978944")</f>
        <v>922454557568978944</v>
      </c>
      <c r="F6905" s="10" t="s">
        <v>51</v>
      </c>
      <c r="G6905" s="10" t="n">
        <v>881</v>
      </c>
      <c r="H6905" s="10" t="n">
        <v>936</v>
      </c>
      <c r="I6905" s="10" t="n">
        <v>1015</v>
      </c>
      <c r="J6905" s="10" t="n">
        <v>0</v>
      </c>
      <c r="K6905" s="10" t="s">
        <v>20</v>
      </c>
      <c r="L6905" s="11" t="n">
        <v>40607.915775463</v>
      </c>
      <c r="M6905" s="12" t="s">
        <v>295</v>
      </c>
      <c r="N6905" s="12" t="s">
        <v>15617</v>
      </c>
      <c r="O6905" s="9" t="str">
        <f aca="false">HYPERLINK("https://pbs.twimg.com/profile_images/902718161333608448/7N_S5TMW_normal.jpg","View")</f>
        <v>View</v>
      </c>
      <c r="P6905" s="10"/>
    </row>
    <row r="6906" customFormat="false" ht="15.75" hidden="false" customHeight="false" outlineLevel="0" collapsed="false">
      <c r="A6906" s="6" t="n">
        <v>43031.2694444445</v>
      </c>
      <c r="B6906" s="7" t="str">
        <f aca="false">HYPERLINK("https://twitter.com/KnightzCode","@KnightzCode")</f>
        <v>@KnightzCode</v>
      </c>
      <c r="C6906" s="8" t="s">
        <v>15618</v>
      </c>
      <c r="D6906" s="8" t="s">
        <v>10525</v>
      </c>
      <c r="E6906" s="9" t="str">
        <f aca="false">HYPERLINK("https://twitter.com/KnightzCode/status/922454563059269633","922454563059269633")</f>
        <v>922454563059269633</v>
      </c>
      <c r="F6906" s="10" t="s">
        <v>25</v>
      </c>
      <c r="G6906" s="10" t="n">
        <v>623</v>
      </c>
      <c r="H6906" s="10" t="n">
        <v>958</v>
      </c>
      <c r="I6906" s="10" t="n">
        <v>9</v>
      </c>
      <c r="J6906" s="10" t="n">
        <v>0</v>
      </c>
      <c r="K6906" s="10" t="s">
        <v>20</v>
      </c>
      <c r="L6906" s="11" t="n">
        <v>39935.3618981481</v>
      </c>
      <c r="M6906" s="12" t="s">
        <v>15619</v>
      </c>
      <c r="N6906" s="12" t="s">
        <v>15620</v>
      </c>
      <c r="O6906" s="9" t="str">
        <f aca="false">HYPERLINK("https://pbs.twimg.com/profile_images/751426173331054592/W80kmclA_normal.jpg","View")</f>
        <v>View</v>
      </c>
      <c r="P6906" s="10"/>
    </row>
    <row r="6907" customFormat="false" ht="15.75" hidden="false" customHeight="false" outlineLevel="0" collapsed="false">
      <c r="A6907" s="6" t="n">
        <v>43031.269837963</v>
      </c>
      <c r="B6907" s="7" t="str">
        <f aca="false">HYPERLINK("https://twitter.com/NarrendraM","@NarrendraM")</f>
        <v>@NarrendraM</v>
      </c>
      <c r="C6907" s="8" t="s">
        <v>468</v>
      </c>
      <c r="D6907" s="8" t="s">
        <v>15621</v>
      </c>
      <c r="E6907" s="9" t="str">
        <f aca="false">HYPERLINK("https://twitter.com/NarrendraM/status/922454705502121984","922454705502121984")</f>
        <v>922454705502121984</v>
      </c>
      <c r="F6907" s="10" t="s">
        <v>60</v>
      </c>
      <c r="G6907" s="10" t="n">
        <v>1999</v>
      </c>
      <c r="H6907" s="10" t="n">
        <v>252</v>
      </c>
      <c r="I6907" s="10" t="n">
        <v>0</v>
      </c>
      <c r="J6907" s="10" t="n">
        <v>0</v>
      </c>
      <c r="K6907" s="10" t="s">
        <v>20</v>
      </c>
      <c r="L6907" s="11" t="n">
        <v>42471.0737037037</v>
      </c>
      <c r="M6907" s="12" t="s">
        <v>253</v>
      </c>
      <c r="N6907" s="12" t="s">
        <v>470</v>
      </c>
      <c r="O6907" s="9" t="str">
        <f aca="false">HYPERLINK("https://pbs.twimg.com/profile_images/743939643738034176/WkGloI0u_normal.jpg","View")</f>
        <v>View</v>
      </c>
      <c r="P6907" s="10"/>
    </row>
    <row r="6908" customFormat="false" ht="15.75" hidden="false" customHeight="false" outlineLevel="0" collapsed="false">
      <c r="A6908" s="6" t="n">
        <v>43031.2705787037</v>
      </c>
      <c r="B6908" s="7" t="str">
        <f aca="false">HYPERLINK("https://twitter.com/AshokKSingh13","@AshokKSingh13")</f>
        <v>@AshokKSingh13</v>
      </c>
      <c r="C6908" s="8" t="s">
        <v>15622</v>
      </c>
      <c r="D6908" s="8" t="s">
        <v>7350</v>
      </c>
      <c r="E6908" s="9" t="str">
        <f aca="false">HYPERLINK("https://twitter.com/AshokKSingh13/status/922454973803147267","922454973803147267")</f>
        <v>922454973803147267</v>
      </c>
      <c r="F6908" s="10" t="s">
        <v>51</v>
      </c>
      <c r="G6908" s="10" t="n">
        <v>316</v>
      </c>
      <c r="H6908" s="10" t="n">
        <v>95</v>
      </c>
      <c r="I6908" s="10" t="n">
        <v>62</v>
      </c>
      <c r="J6908" s="10" t="n">
        <v>0</v>
      </c>
      <c r="K6908" s="10" t="s">
        <v>20</v>
      </c>
      <c r="L6908" s="11" t="n">
        <v>41503.0698148148</v>
      </c>
      <c r="M6908" s="12"/>
      <c r="N6908" s="12" t="s">
        <v>15623</v>
      </c>
      <c r="O6908" s="9" t="str">
        <f aca="false">HYPERLINK("https://pbs.twimg.com/profile_images/851366583435841536/wwKxvTmN_normal.jpg","View")</f>
        <v>View</v>
      </c>
      <c r="P6908" s="10"/>
    </row>
    <row r="6909" customFormat="false" ht="15.75" hidden="false" customHeight="false" outlineLevel="0" collapsed="false">
      <c r="A6909" s="6" t="n">
        <v>43031.2711805556</v>
      </c>
      <c r="B6909" s="7" t="str">
        <f aca="false">HYPERLINK("https://twitter.com/KeskinenIL","@KeskinenIL")</f>
        <v>@KeskinenIL</v>
      </c>
      <c r="C6909" s="8" t="s">
        <v>15624</v>
      </c>
      <c r="D6909" s="8" t="s">
        <v>15611</v>
      </c>
      <c r="E6909" s="9" t="str">
        <f aca="false">HYPERLINK("https://twitter.com/KeskinenIL/status/922455190049120256","922455190049120256")</f>
        <v>922455190049120256</v>
      </c>
      <c r="F6909" s="10" t="s">
        <v>39</v>
      </c>
      <c r="G6909" s="10" t="n">
        <v>3222</v>
      </c>
      <c r="H6909" s="10" t="n">
        <v>870</v>
      </c>
      <c r="I6909" s="10" t="n">
        <v>4</v>
      </c>
      <c r="J6909" s="10" t="n">
        <v>0</v>
      </c>
      <c r="K6909" s="10" t="s">
        <v>20</v>
      </c>
      <c r="L6909" s="11" t="n">
        <v>41752.4940856482</v>
      </c>
      <c r="M6909" s="12" t="s">
        <v>1964</v>
      </c>
      <c r="N6909" s="12" t="s">
        <v>15625</v>
      </c>
      <c r="O6909" s="9" t="str">
        <f aca="false">HYPERLINK("https://pbs.twimg.com/profile_images/459043072349700096/ziFUMbKR_normal.jpeg","View")</f>
        <v>View</v>
      </c>
      <c r="P6909" s="10"/>
    </row>
    <row r="6910" customFormat="false" ht="15.75" hidden="false" customHeight="false" outlineLevel="0" collapsed="false">
      <c r="A6910" s="6" t="n">
        <v>43031.2713425926</v>
      </c>
      <c r="B6910" s="7" t="str">
        <f aca="false">HYPERLINK("https://twitter.com/Social_Media_a5","@Social_Media_a5")</f>
        <v>@Social_Media_a5</v>
      </c>
      <c r="C6910" s="8" t="s">
        <v>4387</v>
      </c>
      <c r="D6910" s="8" t="s">
        <v>15626</v>
      </c>
      <c r="E6910" s="9" t="str">
        <f aca="false">HYPERLINK("https://twitter.com/Social_Media_a5/status/922455249952165888","922455249952165888")</f>
        <v>922455249952165888</v>
      </c>
      <c r="F6910" s="10" t="s">
        <v>110</v>
      </c>
      <c r="G6910" s="10" t="n">
        <v>5870</v>
      </c>
      <c r="H6910" s="10" t="n">
        <v>5980</v>
      </c>
      <c r="I6910" s="10" t="n">
        <v>0</v>
      </c>
      <c r="J6910" s="10" t="n">
        <v>0</v>
      </c>
      <c r="K6910" s="10" t="s">
        <v>20</v>
      </c>
      <c r="L6910" s="11" t="n">
        <v>42349.7734606482</v>
      </c>
      <c r="M6910" s="12"/>
      <c r="N6910" s="12" t="s">
        <v>15627</v>
      </c>
      <c r="O6910" s="9" t="str">
        <f aca="false">HYPERLINK("https://pbs.twimg.com/profile_images/858601654098083841/VMggQGH-_normal.jpg","View")</f>
        <v>View</v>
      </c>
      <c r="P6910" s="10"/>
    </row>
    <row r="6911" customFormat="false" ht="15.75" hidden="false" customHeight="false" outlineLevel="0" collapsed="false">
      <c r="A6911" s="6" t="n">
        <v>43031.2713541667</v>
      </c>
      <c r="B6911" s="7" t="str">
        <f aca="false">HYPERLINK("https://twitter.com/DylanHunt2017","@DylanHunt2017")</f>
        <v>@DylanHunt2017</v>
      </c>
      <c r="C6911" s="8" t="s">
        <v>15628</v>
      </c>
      <c r="D6911" s="8" t="s">
        <v>10997</v>
      </c>
      <c r="E6911" s="9" t="str">
        <f aca="false">HYPERLINK("https://twitter.com/DylanHunt2017/status/922455252053446657","922455252053446657")</f>
        <v>922455252053446657</v>
      </c>
      <c r="F6911" s="10" t="s">
        <v>25</v>
      </c>
      <c r="G6911" s="10" t="n">
        <v>8600</v>
      </c>
      <c r="H6911" s="10" t="n">
        <v>9253</v>
      </c>
      <c r="I6911" s="10" t="n">
        <v>27</v>
      </c>
      <c r="J6911" s="10" t="n">
        <v>0</v>
      </c>
      <c r="K6911" s="10" t="s">
        <v>20</v>
      </c>
      <c r="L6911" s="11" t="n">
        <v>40263.4083449074</v>
      </c>
      <c r="M6911" s="12" t="s">
        <v>4107</v>
      </c>
      <c r="N6911" s="12" t="s">
        <v>15629</v>
      </c>
      <c r="O6911" s="9" t="str">
        <f aca="false">HYPERLINK("https://pbs.twimg.com/profile_images/920698387166629888/P8gG594O_normal.jpg","View")</f>
        <v>View</v>
      </c>
      <c r="P6911" s="10"/>
    </row>
    <row r="6912" customFormat="false" ht="15.75" hidden="false" customHeight="false" outlineLevel="0" collapsed="false">
      <c r="A6912" s="6" t="n">
        <v>43031.2713657407</v>
      </c>
      <c r="B6912" s="7" t="str">
        <f aca="false">HYPERLINK("https://twitter.com/Social_Media_f3","@Social_Media_f3")</f>
        <v>@Social_Media_f3</v>
      </c>
      <c r="C6912" s="8" t="s">
        <v>15630</v>
      </c>
      <c r="D6912" s="8" t="s">
        <v>15631</v>
      </c>
      <c r="E6912" s="9" t="str">
        <f aca="false">HYPERLINK("https://twitter.com/Social_Media_f3/status/922455256872767488","922455256872767488")</f>
        <v>922455256872767488</v>
      </c>
      <c r="F6912" s="10" t="s">
        <v>110</v>
      </c>
      <c r="G6912" s="10" t="n">
        <v>13830</v>
      </c>
      <c r="H6912" s="10" t="n">
        <v>13558</v>
      </c>
      <c r="I6912" s="10" t="n">
        <v>0</v>
      </c>
      <c r="J6912" s="10" t="n">
        <v>0</v>
      </c>
      <c r="K6912" s="10" t="s">
        <v>20</v>
      </c>
      <c r="L6912" s="11" t="n">
        <v>42261.1455902778</v>
      </c>
      <c r="M6912" s="12"/>
      <c r="N6912" s="12" t="s">
        <v>15632</v>
      </c>
      <c r="O6912" s="9" t="str">
        <f aca="false">HYPERLINK("https://pbs.twimg.com/profile_images/859707448764100608/chxzN7x7_normal.jpg","View")</f>
        <v>View</v>
      </c>
      <c r="P6912" s="10"/>
    </row>
    <row r="6913" customFormat="false" ht="15.75" hidden="false" customHeight="false" outlineLevel="0" collapsed="false">
      <c r="A6913" s="6" t="n">
        <v>43031.2713773148</v>
      </c>
      <c r="B6913" s="7" t="str">
        <f aca="false">HYPERLINK("https://twitter.com/Social_Media_e6","@Social_Media_e6")</f>
        <v>@Social_Media_e6</v>
      </c>
      <c r="C6913" s="8" t="s">
        <v>306</v>
      </c>
      <c r="D6913" s="8" t="s">
        <v>15633</v>
      </c>
      <c r="E6913" s="9" t="str">
        <f aca="false">HYPERLINK("https://twitter.com/Social_Media_e6/status/922455263654895616","922455263654895616")</f>
        <v>922455263654895616</v>
      </c>
      <c r="F6913" s="10" t="s">
        <v>110</v>
      </c>
      <c r="G6913" s="10" t="n">
        <v>5127</v>
      </c>
      <c r="H6913" s="10" t="n">
        <v>5479</v>
      </c>
      <c r="I6913" s="10" t="n">
        <v>0</v>
      </c>
      <c r="J6913" s="10" t="n">
        <v>0</v>
      </c>
      <c r="K6913" s="10" t="s">
        <v>20</v>
      </c>
      <c r="L6913" s="11" t="n">
        <v>42355.5110532407</v>
      </c>
      <c r="M6913" s="12"/>
      <c r="N6913" s="12" t="s">
        <v>15634</v>
      </c>
      <c r="O6913" s="9" t="str">
        <f aca="false">HYPERLINK("https://pbs.twimg.com/profile_images/871235235211431936/ICOAHuwW_normal.jpg","View")</f>
        <v>View</v>
      </c>
      <c r="P6913" s="10"/>
    </row>
    <row r="6914" customFormat="false" ht="15.75" hidden="false" customHeight="false" outlineLevel="0" collapsed="false">
      <c r="A6914" s="6" t="n">
        <v>43031.2719097222</v>
      </c>
      <c r="B6914" s="7" t="str">
        <f aca="false">HYPERLINK("https://twitter.com/MediaFlood","@MediaFlood")</f>
        <v>@MediaFlood</v>
      </c>
      <c r="C6914" s="8" t="s">
        <v>10923</v>
      </c>
      <c r="D6914" s="8" t="s">
        <v>10924</v>
      </c>
      <c r="E6914" s="9" t="str">
        <f aca="false">HYPERLINK("https://twitter.com/MediaFlood/status/922455455401725953","922455455401725953")</f>
        <v>922455455401725953</v>
      </c>
      <c r="F6914" s="10" t="s">
        <v>10923</v>
      </c>
      <c r="G6914" s="10" t="n">
        <v>226</v>
      </c>
      <c r="H6914" s="10" t="n">
        <v>1</v>
      </c>
      <c r="I6914" s="10" t="n">
        <v>0</v>
      </c>
      <c r="J6914" s="10" t="n">
        <v>0</v>
      </c>
      <c r="K6914" s="10" t="s">
        <v>20</v>
      </c>
      <c r="L6914" s="11" t="n">
        <v>40119.6053703704</v>
      </c>
      <c r="M6914" s="12"/>
      <c r="N6914" s="12" t="s">
        <v>10925</v>
      </c>
      <c r="O6914" s="9" t="str">
        <f aca="false">HYPERLINK("https://pbs.twimg.com/profile_images/633937938548547584/wUFigLVm_normal.png","View")</f>
        <v>View</v>
      </c>
      <c r="P6914" s="10"/>
    </row>
    <row r="6915" customFormat="false" ht="15.75" hidden="false" customHeight="false" outlineLevel="0" collapsed="false">
      <c r="A6915" s="6" t="n">
        <v>43031.2720717593</v>
      </c>
      <c r="B6915" s="7" t="str">
        <f aca="false">HYPERLINK("https://twitter.com/Admiralowen","@Admiralowen")</f>
        <v>@Admiralowen</v>
      </c>
      <c r="C6915" s="8" t="s">
        <v>15635</v>
      </c>
      <c r="D6915" s="8" t="s">
        <v>15636</v>
      </c>
      <c r="E6915" s="9" t="str">
        <f aca="false">HYPERLINK("https://twitter.com/Admiralowen/status/922455512129646593","922455512129646593")</f>
        <v>922455512129646593</v>
      </c>
      <c r="F6915" s="10" t="s">
        <v>39</v>
      </c>
      <c r="G6915" s="10" t="n">
        <v>1037</v>
      </c>
      <c r="H6915" s="10" t="n">
        <v>1507</v>
      </c>
      <c r="I6915" s="10" t="n">
        <v>0</v>
      </c>
      <c r="J6915" s="10" t="n">
        <v>0</v>
      </c>
      <c r="K6915" s="10" t="s">
        <v>20</v>
      </c>
      <c r="L6915" s="11" t="n">
        <v>39582.5669907407</v>
      </c>
      <c r="M6915" s="12" t="s">
        <v>3695</v>
      </c>
      <c r="N6915" s="12" t="s">
        <v>15637</v>
      </c>
      <c r="O6915" s="9" t="str">
        <f aca="false">HYPERLINK("https://pbs.twimg.com/profile_images/808017084353388544/BYWjSZFC_normal.png","View")</f>
        <v>View</v>
      </c>
      <c r="P6915" s="10"/>
    </row>
    <row r="6916" customFormat="false" ht="15.75" hidden="false" customHeight="false" outlineLevel="0" collapsed="false">
      <c r="A6916" s="6" t="n">
        <v>43031.2730092593</v>
      </c>
      <c r="B6916" s="7" t="str">
        <f aca="false">HYPERLINK("https://twitter.com/franglophonic","@franglophonic")</f>
        <v>@franglophonic</v>
      </c>
      <c r="C6916" s="8" t="s">
        <v>15638</v>
      </c>
      <c r="D6916" s="8" t="s">
        <v>12764</v>
      </c>
      <c r="E6916" s="9" t="str">
        <f aca="false">HYPERLINK("https://twitter.com/franglophonic/status/922455855383154690","922455855383154690")</f>
        <v>922455855383154690</v>
      </c>
      <c r="F6916" s="10" t="s">
        <v>51</v>
      </c>
      <c r="G6916" s="10" t="n">
        <v>2398</v>
      </c>
      <c r="H6916" s="10" t="n">
        <v>990</v>
      </c>
      <c r="I6916" s="10" t="n">
        <v>170</v>
      </c>
      <c r="J6916" s="10" t="n">
        <v>0</v>
      </c>
      <c r="K6916" s="10" t="s">
        <v>20</v>
      </c>
      <c r="L6916" s="11" t="n">
        <v>41425.6922916667</v>
      </c>
      <c r="M6916" s="12"/>
      <c r="N6916" s="12"/>
      <c r="O6916" s="9" t="str">
        <f aca="false">HYPERLINK("https://pbs.twimg.com/profile_images/900438125998219264/zqd25RLf_normal.jpg","View")</f>
        <v>View</v>
      </c>
      <c r="P6916" s="10"/>
    </row>
    <row r="6917" customFormat="false" ht="15.75" hidden="false" customHeight="false" outlineLevel="0" collapsed="false">
      <c r="A6917" s="6" t="n">
        <v>43031.2732986111</v>
      </c>
      <c r="B6917" s="7" t="str">
        <f aca="false">HYPERLINK("https://twitter.com/Editor_Orbat","@Editor_Orbat")</f>
        <v>@Editor_Orbat</v>
      </c>
      <c r="C6917" s="8" t="s">
        <v>10220</v>
      </c>
      <c r="D6917" s="8" t="s">
        <v>15639</v>
      </c>
      <c r="E6917" s="9" t="str">
        <f aca="false">HYPERLINK("https://twitter.com/Editor_Orbat/status/922455958051270656","922455958051270656")</f>
        <v>922455958051270656</v>
      </c>
      <c r="F6917" s="10" t="s">
        <v>39</v>
      </c>
      <c r="G6917" s="10" t="n">
        <v>347</v>
      </c>
      <c r="H6917" s="10" t="n">
        <v>3</v>
      </c>
      <c r="I6917" s="10" t="n">
        <v>0</v>
      </c>
      <c r="J6917" s="10" t="n">
        <v>0</v>
      </c>
      <c r="K6917" s="10" t="s">
        <v>20</v>
      </c>
      <c r="L6917" s="11" t="n">
        <v>40773.3699652778</v>
      </c>
      <c r="M6917" s="12"/>
      <c r="N6917" s="12"/>
      <c r="O6917" s="9" t="str">
        <f aca="false">HYPERLINK("https://pbs.twimg.com/profile_images/2105759292/1062136-Clipart-Chubby-Teddy-Bear-Royalty-Free-Vector-Illustration_normal.jpg","View")</f>
        <v>View</v>
      </c>
      <c r="P6917" s="10"/>
    </row>
    <row r="6918" customFormat="false" ht="15.75" hidden="false" customHeight="false" outlineLevel="0" collapsed="false">
      <c r="A6918" s="6" t="n">
        <v>43031.2759606482</v>
      </c>
      <c r="B6918" s="7" t="str">
        <f aca="false">HYPERLINK("https://twitter.com/ilynalvarez","@ilynalvarez")</f>
        <v>@ilynalvarez</v>
      </c>
      <c r="C6918" s="8" t="s">
        <v>15640</v>
      </c>
      <c r="D6918" s="8" t="s">
        <v>13954</v>
      </c>
      <c r="E6918" s="9" t="str">
        <f aca="false">HYPERLINK("https://twitter.com/ilynalvarez/status/922456924003606528","922456924003606528")</f>
        <v>922456924003606528</v>
      </c>
      <c r="F6918" s="10" t="s">
        <v>177</v>
      </c>
      <c r="G6918" s="10" t="n">
        <v>15</v>
      </c>
      <c r="H6918" s="10" t="n">
        <v>337</v>
      </c>
      <c r="I6918" s="10" t="n">
        <v>9</v>
      </c>
      <c r="J6918" s="10" t="n">
        <v>0</v>
      </c>
      <c r="K6918" s="10" t="s">
        <v>20</v>
      </c>
      <c r="L6918" s="11" t="n">
        <v>41298.2670949074</v>
      </c>
      <c r="M6918" s="12"/>
      <c r="N6918" s="12"/>
      <c r="O6918" s="9" t="str">
        <f aca="false">HYPERLINK("https://pbs.twimg.com/profile_images/920320270833012736/H0AeBk9k_normal.jpg","View")</f>
        <v>View</v>
      </c>
      <c r="P6918" s="10"/>
    </row>
    <row r="6919" customFormat="false" ht="15.75" hidden="false" customHeight="false" outlineLevel="0" collapsed="false">
      <c r="A6919" s="6" t="n">
        <v>43031.2760185185</v>
      </c>
      <c r="B6919" s="7" t="str">
        <f aca="false">HYPERLINK("https://twitter.com/makisstasinos","@makisstasinos")</f>
        <v>@makisstasinos</v>
      </c>
      <c r="C6919" s="8" t="s">
        <v>1914</v>
      </c>
      <c r="D6919" s="8" t="s">
        <v>15641</v>
      </c>
      <c r="E6919" s="9" t="str">
        <f aca="false">HYPERLINK("https://twitter.com/makisstasinos/status/922456944010514432","922456944010514432")</f>
        <v>922456944010514432</v>
      </c>
      <c r="F6919" s="10" t="s">
        <v>177</v>
      </c>
      <c r="G6919" s="10" t="n">
        <v>454</v>
      </c>
      <c r="H6919" s="10" t="n">
        <v>498</v>
      </c>
      <c r="I6919" s="10" t="n">
        <v>0</v>
      </c>
      <c r="J6919" s="10" t="n">
        <v>0</v>
      </c>
      <c r="K6919" s="10" t="s">
        <v>20</v>
      </c>
      <c r="L6919" s="11" t="n">
        <v>41119.4202430556</v>
      </c>
      <c r="M6919" s="12" t="s">
        <v>1915</v>
      </c>
      <c r="N6919" s="12" t="s">
        <v>1916</v>
      </c>
      <c r="O6919" s="9" t="str">
        <f aca="false">HYPERLINK("https://pbs.twimg.com/profile_images/378800000524335150/ee36ec3215ee61bc1d3a1f0476348c69_normal.jpeg","View")</f>
        <v>View</v>
      </c>
      <c r="P6919" s="10"/>
    </row>
    <row r="6920" customFormat="false" ht="15.75" hidden="false" customHeight="false" outlineLevel="0" collapsed="false">
      <c r="A6920" s="6" t="n">
        <v>43031.2762037037</v>
      </c>
      <c r="B6920" s="7" t="str">
        <f aca="false">HYPERLINK("https://twitter.com/BouChan__","@BouChan__")</f>
        <v>@BouChan__</v>
      </c>
      <c r="C6920" s="8" t="s">
        <v>15642</v>
      </c>
      <c r="D6920" s="8" t="s">
        <v>15643</v>
      </c>
      <c r="E6920" s="9" t="str">
        <f aca="false">HYPERLINK("https://twitter.com/BouChan__/status/922457012109115393","922457012109115393")</f>
        <v>922457012109115393</v>
      </c>
      <c r="F6920" s="10" t="s">
        <v>6652</v>
      </c>
      <c r="G6920" s="10" t="n">
        <v>1119</v>
      </c>
      <c r="H6920" s="10" t="n">
        <v>1271</v>
      </c>
      <c r="I6920" s="10" t="n">
        <v>0</v>
      </c>
      <c r="J6920" s="10" t="n">
        <v>0</v>
      </c>
      <c r="K6920" s="10" t="s">
        <v>20</v>
      </c>
      <c r="L6920" s="11" t="n">
        <v>41772.0458217593</v>
      </c>
      <c r="M6920" s="13" t="s">
        <v>15644</v>
      </c>
      <c r="N6920" s="12" t="s">
        <v>15645</v>
      </c>
      <c r="O6920" s="9" t="str">
        <f aca="false">HYPERLINK("https://pbs.twimg.com/profile_images/901078418061578240/SEizY9ky_normal.jpg","View")</f>
        <v>View</v>
      </c>
      <c r="P6920" s="10"/>
    </row>
    <row r="6921" customFormat="false" ht="15.75" hidden="false" customHeight="false" outlineLevel="0" collapsed="false">
      <c r="A6921" s="6" t="n">
        <v>43031.2767361111</v>
      </c>
      <c r="B6921" s="7" t="str">
        <f aca="false">HYPERLINK("https://twitter.com/LilaFlw","@LilaFlw")</f>
        <v>@LilaFlw</v>
      </c>
      <c r="C6921" s="8" t="s">
        <v>15646</v>
      </c>
      <c r="D6921" s="8" t="s">
        <v>11033</v>
      </c>
      <c r="E6921" s="9" t="str">
        <f aca="false">HYPERLINK("https://twitter.com/LilaFlw/status/922457203575083008","922457203575083008")</f>
        <v>922457203575083008</v>
      </c>
      <c r="F6921" s="10" t="s">
        <v>51</v>
      </c>
      <c r="G6921" s="10" t="n">
        <v>485</v>
      </c>
      <c r="H6921" s="10" t="n">
        <v>361</v>
      </c>
      <c r="I6921" s="10" t="n">
        <v>60</v>
      </c>
      <c r="J6921" s="10" t="n">
        <v>0</v>
      </c>
      <c r="K6921" s="10" t="s">
        <v>20</v>
      </c>
      <c r="L6921" s="11" t="n">
        <v>40946.4745717593</v>
      </c>
      <c r="M6921" s="12" t="s">
        <v>230</v>
      </c>
      <c r="N6921" s="12" t="s">
        <v>15647</v>
      </c>
      <c r="O6921" s="9" t="str">
        <f aca="false">HYPERLINK("https://pbs.twimg.com/profile_images/581436924650528768/2sthejQd_normal.jpg","View")</f>
        <v>View</v>
      </c>
      <c r="P6921" s="10"/>
    </row>
    <row r="6922" customFormat="false" ht="15.75" hidden="false" customHeight="false" outlineLevel="0" collapsed="false">
      <c r="A6922" s="6" t="n">
        <v>43031.2768865741</v>
      </c>
      <c r="B6922" s="7" t="str">
        <f aca="false">HYPERLINK("https://twitter.com/PeachyCheryl","@PeachyCheryl")</f>
        <v>@PeachyCheryl</v>
      </c>
      <c r="C6922" s="8" t="s">
        <v>15648</v>
      </c>
      <c r="D6922" s="8" t="s">
        <v>15611</v>
      </c>
      <c r="E6922" s="9" t="str">
        <f aca="false">HYPERLINK("https://twitter.com/PeachyCheryl/status/922457257715093504","922457257715093504")</f>
        <v>922457257715093504</v>
      </c>
      <c r="F6922" s="10" t="s">
        <v>177</v>
      </c>
      <c r="G6922" s="10" t="n">
        <v>530</v>
      </c>
      <c r="H6922" s="10" t="n">
        <v>1069</v>
      </c>
      <c r="I6922" s="10" t="n">
        <v>4</v>
      </c>
      <c r="J6922" s="10" t="n">
        <v>0</v>
      </c>
      <c r="K6922" s="10" t="s">
        <v>20</v>
      </c>
      <c r="L6922" s="11" t="n">
        <v>42469.33</v>
      </c>
      <c r="M6922" s="12"/>
      <c r="N6922" s="12" t="s">
        <v>15649</v>
      </c>
      <c r="O6922" s="9" t="str">
        <f aca="false">HYPERLINK("https://pbs.twimg.com/profile_images/720687814472368128/y6ELMOm6_normal.jpg","View")</f>
        <v>View</v>
      </c>
      <c r="P6922" s="10"/>
    </row>
    <row r="6923" customFormat="false" ht="15.75" hidden="false" customHeight="false" outlineLevel="0" collapsed="false">
      <c r="A6923" s="6" t="n">
        <v>43031.2768865741</v>
      </c>
      <c r="B6923" s="7" t="str">
        <f aca="false">HYPERLINK("https://twitter.com/LilaFlw","@LilaFlw")</f>
        <v>@LilaFlw</v>
      </c>
      <c r="C6923" s="8" t="s">
        <v>15646</v>
      </c>
      <c r="D6923" s="8" t="s">
        <v>11418</v>
      </c>
      <c r="E6923" s="9" t="str">
        <f aca="false">HYPERLINK("https://twitter.com/LilaFlw/status/922457259917168640","922457259917168640")</f>
        <v>922457259917168640</v>
      </c>
      <c r="F6923" s="10" t="s">
        <v>51</v>
      </c>
      <c r="G6923" s="10" t="n">
        <v>485</v>
      </c>
      <c r="H6923" s="10" t="n">
        <v>361</v>
      </c>
      <c r="I6923" s="10" t="n">
        <v>38</v>
      </c>
      <c r="J6923" s="10" t="n">
        <v>0</v>
      </c>
      <c r="K6923" s="10" t="s">
        <v>20</v>
      </c>
      <c r="L6923" s="11" t="n">
        <v>40946.4745717593</v>
      </c>
      <c r="M6923" s="12" t="s">
        <v>230</v>
      </c>
      <c r="N6923" s="12" t="s">
        <v>15647</v>
      </c>
      <c r="O6923" s="9" t="str">
        <f aca="false">HYPERLINK("https://pbs.twimg.com/profile_images/581436924650528768/2sthejQd_normal.jpg","View")</f>
        <v>View</v>
      </c>
      <c r="P6923" s="10"/>
    </row>
    <row r="6924" customFormat="false" ht="15.75" hidden="false" customHeight="false" outlineLevel="0" collapsed="false">
      <c r="A6924" s="6" t="n">
        <v>43031.2769444444</v>
      </c>
      <c r="B6924" s="7" t="str">
        <f aca="false">HYPERLINK("https://twitter.com/maxwalden_","@maxwalden_")</f>
        <v>@maxwalden_</v>
      </c>
      <c r="C6924" s="8" t="s">
        <v>15650</v>
      </c>
      <c r="D6924" s="8" t="s">
        <v>15651</v>
      </c>
      <c r="E6924" s="9" t="str">
        <f aca="false">HYPERLINK("https://twitter.com/maxwalden_/status/922457280158711808","922457280158711808")</f>
        <v>922457280158711808</v>
      </c>
      <c r="F6924" s="10" t="s">
        <v>51</v>
      </c>
      <c r="G6924" s="10" t="n">
        <v>2924</v>
      </c>
      <c r="H6924" s="10" t="n">
        <v>1862</v>
      </c>
      <c r="I6924" s="10" t="n">
        <v>1</v>
      </c>
      <c r="J6924" s="10" t="n">
        <v>0</v>
      </c>
      <c r="K6924" s="10" t="s">
        <v>20</v>
      </c>
      <c r="L6924" s="11" t="n">
        <v>41767.6741087963</v>
      </c>
      <c r="M6924" s="12" t="s">
        <v>15652</v>
      </c>
      <c r="N6924" s="12" t="s">
        <v>15653</v>
      </c>
      <c r="O6924" s="9" t="str">
        <f aca="false">HYPERLINK("https://pbs.twimg.com/profile_images/923055759260229632/P5FB7zdw_normal.jpg","View")</f>
        <v>View</v>
      </c>
      <c r="P6924" s="10"/>
    </row>
    <row r="6925" customFormat="false" ht="15.75" hidden="false" customHeight="false" outlineLevel="0" collapsed="false">
      <c r="A6925" s="6" t="n">
        <v>43031.2773148148</v>
      </c>
      <c r="B6925" s="7" t="str">
        <f aca="false">HYPERLINK("https://twitter.com/Roberts5Don","@Roberts5Don")</f>
        <v>@Roberts5Don</v>
      </c>
      <c r="C6925" s="8" t="s">
        <v>15654</v>
      </c>
      <c r="D6925" s="8" t="s">
        <v>7736</v>
      </c>
      <c r="E6925" s="9" t="str">
        <f aca="false">HYPERLINK("https://twitter.com/Roberts5Don/status/922457413587832834","922457413587832834")</f>
        <v>922457413587832834</v>
      </c>
      <c r="F6925" s="10" t="s">
        <v>25</v>
      </c>
      <c r="G6925" s="10" t="n">
        <v>302</v>
      </c>
      <c r="H6925" s="10" t="n">
        <v>23</v>
      </c>
      <c r="I6925" s="10" t="n">
        <v>31</v>
      </c>
      <c r="J6925" s="10" t="n">
        <v>0</v>
      </c>
      <c r="K6925" s="10" t="s">
        <v>20</v>
      </c>
      <c r="L6925" s="11" t="n">
        <v>40937.7214583333</v>
      </c>
      <c r="M6925" s="12"/>
      <c r="N6925" s="12"/>
      <c r="O6925" s="9" t="str">
        <f aca="false">HYPERLINK("https://pbs.twimg.com/profile_images/556492698173992961/0utppVPG_normal.jpeg","View")</f>
        <v>View</v>
      </c>
      <c r="P6925" s="10"/>
    </row>
    <row r="6926" customFormat="false" ht="15.75" hidden="false" customHeight="false" outlineLevel="0" collapsed="false">
      <c r="A6926" s="6" t="n">
        <v>43031.2794328704</v>
      </c>
      <c r="B6926" s="7" t="str">
        <f aca="false">HYPERLINK("https://twitter.com/Newsweek_INT","@Newsweek_INT")</f>
        <v>@Newsweek_INT</v>
      </c>
      <c r="C6926" s="8" t="s">
        <v>1664</v>
      </c>
      <c r="D6926" s="8" t="s">
        <v>15655</v>
      </c>
      <c r="E6926" s="9" t="str">
        <f aca="false">HYPERLINK("https://twitter.com/Newsweek_INT/status/922458179212120064","922458179212120064")</f>
        <v>922458179212120064</v>
      </c>
      <c r="F6926" s="10" t="s">
        <v>268</v>
      </c>
      <c r="G6926" s="10" t="n">
        <v>24080</v>
      </c>
      <c r="H6926" s="10" t="n">
        <v>1259</v>
      </c>
      <c r="I6926" s="10" t="n">
        <v>2</v>
      </c>
      <c r="J6926" s="10" t="n">
        <v>1</v>
      </c>
      <c r="K6926" s="10" t="s">
        <v>20</v>
      </c>
      <c r="L6926" s="11" t="n">
        <v>40556.494525463</v>
      </c>
      <c r="M6926" s="12" t="s">
        <v>893</v>
      </c>
      <c r="N6926" s="12" t="s">
        <v>1666</v>
      </c>
      <c r="O6926" s="9" t="str">
        <f aca="false">HYPERLINK("https://pbs.twimg.com/profile_images/809726198922219520/_qNMVqXH_normal.jpg","View")</f>
        <v>View</v>
      </c>
      <c r="P6926" s="10"/>
    </row>
    <row r="6927" customFormat="false" ht="15.75" hidden="false" customHeight="false" outlineLevel="0" collapsed="false">
      <c r="A6927" s="6" t="n">
        <v>43031.2818287037</v>
      </c>
      <c r="B6927" s="7" t="str">
        <f aca="false">HYPERLINK("https://twitter.com/almuhlhl","@almuhlhl")</f>
        <v>@almuhlhl</v>
      </c>
      <c r="C6927" s="8" t="s">
        <v>15656</v>
      </c>
      <c r="D6927" s="8" t="s">
        <v>12764</v>
      </c>
      <c r="E6927" s="9" t="str">
        <f aca="false">HYPERLINK("https://twitter.com/almuhlhl/status/922459051354738688","922459051354738688")</f>
        <v>922459051354738688</v>
      </c>
      <c r="F6927" s="10" t="s">
        <v>39</v>
      </c>
      <c r="G6927" s="10" t="n">
        <v>24148</v>
      </c>
      <c r="H6927" s="10" t="n">
        <v>268</v>
      </c>
      <c r="I6927" s="10" t="n">
        <v>170</v>
      </c>
      <c r="J6927" s="10" t="n">
        <v>0</v>
      </c>
      <c r="K6927" s="10" t="s">
        <v>20</v>
      </c>
      <c r="L6927" s="11" t="n">
        <v>40007.1981712963</v>
      </c>
      <c r="M6927" s="12" t="s">
        <v>4425</v>
      </c>
      <c r="N6927" s="12" t="s">
        <v>15657</v>
      </c>
      <c r="O6927" s="9" t="str">
        <f aca="false">HYPERLINK("https://pbs.twimg.com/profile_images/849405147155496960/pIOlqmty_normal.jpg","View")</f>
        <v>View</v>
      </c>
      <c r="P6927" s="10"/>
    </row>
    <row r="6928" customFormat="false" ht="15.75" hidden="false" customHeight="false" outlineLevel="0" collapsed="false">
      <c r="A6928" s="6" t="n">
        <v>43031.2819444444</v>
      </c>
      <c r="B6928" s="7" t="str">
        <f aca="false">HYPERLINK("https://twitter.com/Harley_Woody","@Harley_Woody")</f>
        <v>@Harley_Woody</v>
      </c>
      <c r="C6928" s="8" t="s">
        <v>15658</v>
      </c>
      <c r="D6928" s="8" t="s">
        <v>15659</v>
      </c>
      <c r="E6928" s="9" t="str">
        <f aca="false">HYPERLINK("https://twitter.com/Harley_Woody/status/922459089996836864","922459089996836864")</f>
        <v>922459089996836864</v>
      </c>
      <c r="F6928" s="10" t="s">
        <v>55</v>
      </c>
      <c r="G6928" s="10" t="n">
        <v>1786</v>
      </c>
      <c r="H6928" s="10" t="n">
        <v>133</v>
      </c>
      <c r="I6928" s="10" t="n">
        <v>0</v>
      </c>
      <c r="J6928" s="10" t="n">
        <v>0</v>
      </c>
      <c r="K6928" s="10" t="s">
        <v>20</v>
      </c>
      <c r="L6928" s="11" t="n">
        <v>41405.2668171296</v>
      </c>
      <c r="M6928" s="12" t="s">
        <v>15660</v>
      </c>
      <c r="N6928" s="12" t="s">
        <v>15661</v>
      </c>
      <c r="O6928" s="9" t="str">
        <f aca="false">HYPERLINK("https://pbs.twimg.com/profile_images/847938778140377089/gwPJD2OM_normal.jpg","View")</f>
        <v>View</v>
      </c>
      <c r="P6928" s="10"/>
    </row>
    <row r="6929" customFormat="false" ht="15.75" hidden="false" customHeight="false" outlineLevel="0" collapsed="false">
      <c r="A6929" s="6" t="n">
        <v>43031.2823611111</v>
      </c>
      <c r="B6929" s="7" t="str">
        <f aca="false">HYPERLINK("https://twitter.com/STcomSingapore","@STcomSingapore")</f>
        <v>@STcomSingapore</v>
      </c>
      <c r="C6929" s="8" t="s">
        <v>15662</v>
      </c>
      <c r="D6929" s="8" t="s">
        <v>15663</v>
      </c>
      <c r="E6929" s="9" t="str">
        <f aca="false">HYPERLINK("https://twitter.com/STcomSingapore/status/922459244020011009","922459244020011009")</f>
        <v>922459244020011009</v>
      </c>
      <c r="F6929" s="10" t="s">
        <v>15662</v>
      </c>
      <c r="G6929" s="10" t="n">
        <v>69</v>
      </c>
      <c r="H6929" s="10" t="n">
        <v>0</v>
      </c>
      <c r="I6929" s="10" t="n">
        <v>0</v>
      </c>
      <c r="J6929" s="10" t="n">
        <v>0</v>
      </c>
      <c r="K6929" s="10" t="s">
        <v>20</v>
      </c>
      <c r="L6929" s="11" t="n">
        <v>42604.7773726852</v>
      </c>
      <c r="M6929" s="12" t="s">
        <v>186</v>
      </c>
      <c r="N6929" s="12"/>
      <c r="O6929" s="9" t="str">
        <f aca="false">HYPERLINK("https://pbs.twimg.com/profile_images/776980623630094336/YaqdkhCJ_normal.jpg","View")</f>
        <v>View</v>
      </c>
      <c r="P6929" s="10"/>
    </row>
    <row r="6930" customFormat="false" ht="15.75" hidden="false" customHeight="false" outlineLevel="0" collapsed="false">
      <c r="A6930" s="6" t="n">
        <v>43031.2825694444</v>
      </c>
      <c r="B6930" s="7" t="str">
        <f aca="false">HYPERLINK("https://twitter.com/p_n_g_","@p_n_g_")</f>
        <v>@p_n_g_</v>
      </c>
      <c r="C6930" s="8" t="s">
        <v>15664</v>
      </c>
      <c r="D6930" s="8" t="s">
        <v>15665</v>
      </c>
      <c r="E6930" s="9" t="str">
        <f aca="false">HYPERLINK("https://twitter.com/p_n_g_/status/922459316887498753","922459316887498753")</f>
        <v>922459316887498753</v>
      </c>
      <c r="F6930" s="10" t="s">
        <v>25</v>
      </c>
      <c r="G6930" s="10" t="n">
        <v>32</v>
      </c>
      <c r="H6930" s="10" t="n">
        <v>134</v>
      </c>
      <c r="I6930" s="10" t="n">
        <v>2</v>
      </c>
      <c r="J6930" s="10" t="n">
        <v>0</v>
      </c>
      <c r="K6930" s="10" t="s">
        <v>20</v>
      </c>
      <c r="L6930" s="11" t="n">
        <v>43029.8849305556</v>
      </c>
      <c r="M6930" s="12" t="s">
        <v>15666</v>
      </c>
      <c r="N6930" s="13" t="s">
        <v>15667</v>
      </c>
      <c r="O6930" s="9" t="str">
        <f aca="false">HYPERLINK("https://pbs.twimg.com/profile_images/921956276002734080/TiBA0aDx_normal.jpg","View")</f>
        <v>View</v>
      </c>
      <c r="P6930" s="10"/>
    </row>
    <row r="6931" customFormat="false" ht="15.75" hidden="false" customHeight="false" outlineLevel="0" collapsed="false">
      <c r="A6931" s="6" t="n">
        <v>43031.2825925926</v>
      </c>
      <c r="B6931" s="7" t="str">
        <f aca="false">HYPERLINK("https://twitter.com/nyinvesting","@nyinvesting")</f>
        <v>@nyinvesting</v>
      </c>
      <c r="C6931" s="8" t="s">
        <v>15668</v>
      </c>
      <c r="D6931" s="8" t="s">
        <v>15669</v>
      </c>
      <c r="E6931" s="9" t="str">
        <f aca="false">HYPERLINK("https://twitter.com/nyinvesting/status/922459325750226945","922459325750226945")</f>
        <v>922459325750226945</v>
      </c>
      <c r="F6931" s="10" t="s">
        <v>39</v>
      </c>
      <c r="G6931" s="10" t="n">
        <v>19221</v>
      </c>
      <c r="H6931" s="10" t="n">
        <v>18132</v>
      </c>
      <c r="I6931" s="10" t="n">
        <v>0</v>
      </c>
      <c r="J6931" s="10" t="n">
        <v>2</v>
      </c>
      <c r="K6931" s="10" t="s">
        <v>20</v>
      </c>
      <c r="L6931" s="11" t="n">
        <v>39775.8774074074</v>
      </c>
      <c r="M6931" s="12" t="s">
        <v>15670</v>
      </c>
      <c r="N6931" s="12" t="s">
        <v>15671</v>
      </c>
      <c r="O6931" s="9" t="str">
        <f aca="false">HYPERLINK("https://pbs.twimg.com/profile_images/66482781/TechAnalysis_Course_1_normal.jpg","View")</f>
        <v>View</v>
      </c>
      <c r="P6931" s="10"/>
    </row>
    <row r="6932" customFormat="false" ht="15.75" hidden="false" customHeight="false" outlineLevel="0" collapsed="false">
      <c r="A6932" s="6" t="n">
        <v>43031.2828587963</v>
      </c>
      <c r="B6932" s="7" t="str">
        <f aca="false">HYPERLINK("https://twitter.com/SingaporeUpdate","@SingaporeUpdate")</f>
        <v>@SingaporeUpdate</v>
      </c>
      <c r="C6932" s="8" t="s">
        <v>15672</v>
      </c>
      <c r="D6932" s="8" t="s">
        <v>15673</v>
      </c>
      <c r="E6932" s="9" t="str">
        <f aca="false">HYPERLINK("https://twitter.com/SingaporeUpdate/status/922459422500192256","922459422500192256")</f>
        <v>922459422500192256</v>
      </c>
      <c r="F6932" s="10" t="s">
        <v>60</v>
      </c>
      <c r="G6932" s="10" t="n">
        <v>277</v>
      </c>
      <c r="H6932" s="10" t="n">
        <v>94</v>
      </c>
      <c r="I6932" s="10" t="n">
        <v>0</v>
      </c>
      <c r="J6932" s="10" t="n">
        <v>0</v>
      </c>
      <c r="K6932" s="10" t="s">
        <v>20</v>
      </c>
      <c r="L6932" s="11" t="n">
        <v>42701.2900462963</v>
      </c>
      <c r="M6932" s="13" t="s">
        <v>15674</v>
      </c>
      <c r="N6932" s="12" t="s">
        <v>15675</v>
      </c>
      <c r="O6932" s="9" t="str">
        <f aca="false">HYPERLINK("https://pbs.twimg.com/profile_images/802891810112606208/zsAXXRDz_normal.jpg","View")</f>
        <v>View</v>
      </c>
      <c r="P6932" s="10"/>
    </row>
    <row r="6933" customFormat="false" ht="15.75" hidden="false" customHeight="false" outlineLevel="0" collapsed="false">
      <c r="A6933" s="6" t="n">
        <v>43031.2829166667</v>
      </c>
      <c r="B6933" s="7" t="str">
        <f aca="false">HYPERLINK("https://twitter.com/hillaryhanTV","@hillaryhanTV")</f>
        <v>@hillaryhanTV</v>
      </c>
      <c r="C6933" s="8" t="s">
        <v>15676</v>
      </c>
      <c r="D6933" s="8" t="s">
        <v>15611</v>
      </c>
      <c r="E6933" s="9" t="str">
        <f aca="false">HYPERLINK("https://twitter.com/hillaryhanTV/status/922459444490813440","922459444490813440")</f>
        <v>922459444490813440</v>
      </c>
      <c r="F6933" s="10" t="s">
        <v>25</v>
      </c>
      <c r="G6933" s="10" t="n">
        <v>275</v>
      </c>
      <c r="H6933" s="10" t="n">
        <v>632</v>
      </c>
      <c r="I6933" s="10" t="n">
        <v>4</v>
      </c>
      <c r="J6933" s="10" t="n">
        <v>0</v>
      </c>
      <c r="K6933" s="10" t="s">
        <v>20</v>
      </c>
      <c r="L6933" s="11" t="n">
        <v>40112.2834606482</v>
      </c>
      <c r="M6933" s="12" t="s">
        <v>7740</v>
      </c>
      <c r="N6933" s="12" t="s">
        <v>15677</v>
      </c>
      <c r="O6933" s="9" t="str">
        <f aca="false">HYPERLINK("https://pbs.twimg.com/profile_images/1495696093/Rubber-Ducky-Yellow-ST22016-01_normal.jpg","View")</f>
        <v>View</v>
      </c>
      <c r="P6933" s="10"/>
    </row>
    <row r="6934" customFormat="false" ht="15.75" hidden="false" customHeight="false" outlineLevel="0" collapsed="false">
      <c r="A6934" s="6" t="n">
        <v>43031.284224537</v>
      </c>
      <c r="B6934" s="7" t="str">
        <f aca="false">HYPERLINK("https://twitter.com/ShakthikumarRaj","@ShakthikumarRaj")</f>
        <v>@ShakthikumarRaj</v>
      </c>
      <c r="C6934" s="8" t="s">
        <v>15678</v>
      </c>
      <c r="D6934" s="8" t="s">
        <v>8538</v>
      </c>
      <c r="E6934" s="9" t="str">
        <f aca="false">HYPERLINK("https://twitter.com/ShakthikumarRaj/status/922459918531047424","922459918531047424")</f>
        <v>922459918531047424</v>
      </c>
      <c r="F6934" s="10" t="s">
        <v>25</v>
      </c>
      <c r="G6934" s="10" t="n">
        <v>121</v>
      </c>
      <c r="H6934" s="10" t="n">
        <v>232</v>
      </c>
      <c r="I6934" s="10" t="n">
        <v>1015</v>
      </c>
      <c r="J6934" s="10" t="n">
        <v>0</v>
      </c>
      <c r="K6934" s="10" t="s">
        <v>20</v>
      </c>
      <c r="L6934" s="11" t="n">
        <v>41794.0784259259</v>
      </c>
      <c r="M6934" s="12" t="s">
        <v>15679</v>
      </c>
      <c r="N6934" s="12" t="s">
        <v>15680</v>
      </c>
      <c r="O6934" s="9" t="str">
        <f aca="false">HYPERLINK("https://pbs.twimg.com/profile_images/623045513458290689/kHt3HtAg_normal.jpg","View")</f>
        <v>View</v>
      </c>
      <c r="P6934" s="10"/>
    </row>
    <row r="6935" customFormat="false" ht="15.75" hidden="false" customHeight="false" outlineLevel="0" collapsed="false">
      <c r="A6935" s="6" t="n">
        <v>43031.2844791667</v>
      </c>
      <c r="B6935" s="7" t="str">
        <f aca="false">HYPERLINK("https://twitter.com/tracykan2013","@tracykan2013")</f>
        <v>@tracykan2013</v>
      </c>
      <c r="C6935" s="8" t="s">
        <v>15681</v>
      </c>
      <c r="D6935" s="8" t="s">
        <v>12764</v>
      </c>
      <c r="E6935" s="9" t="str">
        <f aca="false">HYPERLINK("https://twitter.com/tracykan2013/status/922460008113094656","922460008113094656")</f>
        <v>922460008113094656</v>
      </c>
      <c r="F6935" s="10" t="s">
        <v>25</v>
      </c>
      <c r="G6935" s="10" t="n">
        <v>6</v>
      </c>
      <c r="H6935" s="10" t="n">
        <v>14</v>
      </c>
      <c r="I6935" s="10" t="n">
        <v>170</v>
      </c>
      <c r="J6935" s="10" t="n">
        <v>0</v>
      </c>
      <c r="K6935" s="10" t="s">
        <v>20</v>
      </c>
      <c r="L6935" s="11" t="n">
        <v>42182.0076967593</v>
      </c>
      <c r="M6935" s="12" t="s">
        <v>186</v>
      </c>
      <c r="N6935" s="12" t="s">
        <v>15682</v>
      </c>
      <c r="O6935" s="9" t="str">
        <f aca="false">HYPERLINK("https://pbs.twimg.com/profile_images/673744784528269312/7a04bNBo_normal.jpg","View")</f>
        <v>View</v>
      </c>
      <c r="P6935" s="10"/>
    </row>
    <row r="6936" customFormat="false" ht="15.75" hidden="false" customHeight="false" outlineLevel="0" collapsed="false">
      <c r="A6936" s="6" t="n">
        <v>43031.2850694445</v>
      </c>
      <c r="B6936" s="7" t="str">
        <f aca="false">HYPERLINK("https://twitter.com/STcom","@STcom")</f>
        <v>@STcom</v>
      </c>
      <c r="C6936" s="8" t="s">
        <v>3291</v>
      </c>
      <c r="D6936" s="8" t="s">
        <v>15683</v>
      </c>
      <c r="E6936" s="9" t="str">
        <f aca="false">HYPERLINK("https://twitter.com/STcom/status/922460223436025857","922460223436025857")</f>
        <v>922460223436025857</v>
      </c>
      <c r="F6936" s="10" t="s">
        <v>276</v>
      </c>
      <c r="G6936" s="10" t="n">
        <v>957122</v>
      </c>
      <c r="H6936" s="10" t="n">
        <v>126</v>
      </c>
      <c r="I6936" s="10" t="n">
        <v>10</v>
      </c>
      <c r="J6936" s="10" t="n">
        <v>11</v>
      </c>
      <c r="K6936" s="10" t="s">
        <v>20</v>
      </c>
      <c r="L6936" s="11" t="n">
        <v>39937.9919328704</v>
      </c>
      <c r="M6936" s="12" t="s">
        <v>186</v>
      </c>
      <c r="N6936" s="12" t="s">
        <v>3293</v>
      </c>
      <c r="O6936" s="9" t="str">
        <f aca="false">HYPERLINK("https://pbs.twimg.com/profile_images/630988935720648704/HkmsHBTM_normal.jpg","View")</f>
        <v>View</v>
      </c>
      <c r="P6936" s="10"/>
    </row>
    <row r="6937" customFormat="false" ht="15.75" hidden="false" customHeight="false" outlineLevel="0" collapsed="false">
      <c r="A6937" s="6" t="n">
        <v>43031.2850694445</v>
      </c>
      <c r="B6937" s="7" t="str">
        <f aca="false">HYPERLINK("https://twitter.com/STForeignDesk","@STForeignDesk")</f>
        <v>@STForeignDesk</v>
      </c>
      <c r="C6937" s="8" t="s">
        <v>3288</v>
      </c>
      <c r="D6937" s="8" t="s">
        <v>15684</v>
      </c>
      <c r="E6937" s="9" t="str">
        <f aca="false">HYPERLINK("https://twitter.com/STForeignDesk/status/922460223616450560","922460223616450560")</f>
        <v>922460223616450560</v>
      </c>
      <c r="F6937" s="10" t="s">
        <v>276</v>
      </c>
      <c r="G6937" s="10" t="n">
        <v>39376</v>
      </c>
      <c r="H6937" s="10" t="n">
        <v>109</v>
      </c>
      <c r="I6937" s="10" t="n">
        <v>0</v>
      </c>
      <c r="J6937" s="10" t="n">
        <v>1</v>
      </c>
      <c r="K6937" s="10" t="s">
        <v>20</v>
      </c>
      <c r="L6937" s="11" t="n">
        <v>41303.312025463</v>
      </c>
      <c r="M6937" s="12" t="s">
        <v>186</v>
      </c>
      <c r="N6937" s="12" t="s">
        <v>3290</v>
      </c>
      <c r="O6937" s="9" t="str">
        <f aca="false">HYPERLINK("https://pbs.twimg.com/profile_images/616014877300142080/6I99bogh_normal.jpg","View")</f>
        <v>View</v>
      </c>
      <c r="P6937" s="10"/>
    </row>
    <row r="6938" customFormat="false" ht="15.75" hidden="false" customHeight="false" outlineLevel="0" collapsed="false">
      <c r="A6938" s="6" t="n">
        <v>43031.2851967593</v>
      </c>
      <c r="B6938" s="7" t="str">
        <f aca="false">HYPERLINK("https://twitter.com/singaporeinform","@singaporeinform")</f>
        <v>@singaporeinform</v>
      </c>
      <c r="C6938" s="8" t="s">
        <v>15685</v>
      </c>
      <c r="D6938" s="8" t="s">
        <v>15686</v>
      </c>
      <c r="E6938" s="9" t="str">
        <f aca="false">HYPERLINK("https://twitter.com/singaporeinform/status/922460271293206529","922460271293206529")</f>
        <v>922460271293206529</v>
      </c>
      <c r="F6938" s="9" t="s">
        <v>979</v>
      </c>
      <c r="G6938" s="10" t="n">
        <v>1806</v>
      </c>
      <c r="H6938" s="10" t="n">
        <v>849</v>
      </c>
      <c r="I6938" s="10" t="n">
        <v>0</v>
      </c>
      <c r="J6938" s="10" t="n">
        <v>0</v>
      </c>
      <c r="K6938" s="10" t="s">
        <v>20</v>
      </c>
      <c r="L6938" s="11" t="n">
        <v>40074.4561805556</v>
      </c>
      <c r="M6938" s="12" t="s">
        <v>186</v>
      </c>
      <c r="N6938" s="12" t="s">
        <v>15687</v>
      </c>
      <c r="O6938" s="9" t="str">
        <f aca="false">HYPERLINK("https://pbs.twimg.com/profile_images/799923629316251648/z7L2AyCv_normal.jpg","View")</f>
        <v>View</v>
      </c>
      <c r="P6938" s="10"/>
    </row>
    <row r="6939" customFormat="false" ht="15.75" hidden="false" customHeight="false" outlineLevel="0" collapsed="false">
      <c r="A6939" s="6" t="n">
        <v>43031.2854513889</v>
      </c>
      <c r="B6939" s="7" t="str">
        <f aca="false">HYPERLINK("https://twitter.com/rvdilip","@rvdilip")</f>
        <v>@rvdilip</v>
      </c>
      <c r="C6939" s="8" t="s">
        <v>7801</v>
      </c>
      <c r="D6939" s="8" t="s">
        <v>8538</v>
      </c>
      <c r="E6939" s="9" t="str">
        <f aca="false">HYPERLINK("https://twitter.com/rvdilip/status/922460360367423488","922460360367423488")</f>
        <v>922460360367423488</v>
      </c>
      <c r="F6939" s="10" t="s">
        <v>25</v>
      </c>
      <c r="G6939" s="10" t="n">
        <v>507</v>
      </c>
      <c r="H6939" s="10" t="n">
        <v>818</v>
      </c>
      <c r="I6939" s="10" t="n">
        <v>1015</v>
      </c>
      <c r="J6939" s="10" t="n">
        <v>0</v>
      </c>
      <c r="K6939" s="10" t="s">
        <v>20</v>
      </c>
      <c r="L6939" s="11" t="n">
        <v>40306.0899884259</v>
      </c>
      <c r="M6939" s="12"/>
      <c r="N6939" s="12" t="s">
        <v>7802</v>
      </c>
      <c r="O6939" s="9" t="str">
        <f aca="false">HYPERLINK("https://pbs.twimg.com/profile_images/1392161527/pic02456_normal.jpg","View")</f>
        <v>View</v>
      </c>
      <c r="P6939" s="10"/>
    </row>
    <row r="6940" customFormat="false" ht="15.75" hidden="false" customHeight="false" outlineLevel="0" collapsed="false">
      <c r="A6940" s="6" t="n">
        <v>43031.2856134259</v>
      </c>
      <c r="B6940" s="7" t="str">
        <f aca="false">HYPERLINK("https://twitter.com/Viatcheslavsos3","@Viatcheslavsos3")</f>
        <v>@Viatcheslavsos3</v>
      </c>
      <c r="C6940" s="8" t="s">
        <v>15688</v>
      </c>
      <c r="D6940" s="8" t="s">
        <v>15689</v>
      </c>
      <c r="E6940" s="9" t="str">
        <f aca="false">HYPERLINK("https://twitter.com/Viatcheslavsos3/status/922460421759541248","922460421759541248")</f>
        <v>922460421759541248</v>
      </c>
      <c r="F6940" s="10" t="s">
        <v>51</v>
      </c>
      <c r="G6940" s="10" t="n">
        <v>1479</v>
      </c>
      <c r="H6940" s="10" t="n">
        <v>1167</v>
      </c>
      <c r="I6940" s="10" t="n">
        <v>0</v>
      </c>
      <c r="J6940" s="10" t="n">
        <v>0</v>
      </c>
      <c r="K6940" s="10" t="s">
        <v>20</v>
      </c>
      <c r="L6940" s="11" t="n">
        <v>42455.3084837963</v>
      </c>
      <c r="M6940" s="12" t="s">
        <v>15690</v>
      </c>
      <c r="N6940" s="12" t="s">
        <v>15691</v>
      </c>
      <c r="O6940" s="9" t="str">
        <f aca="false">HYPERLINK("https://pbs.twimg.com/profile_images/767114057715515392/Oyj2TTGL_normal.jpg","View")</f>
        <v>View</v>
      </c>
      <c r="P6940" s="10"/>
    </row>
    <row r="6941" customFormat="false" ht="15.75" hidden="false" customHeight="false" outlineLevel="0" collapsed="false">
      <c r="A6941" s="6" t="n">
        <v>43031.2858449074</v>
      </c>
      <c r="B6941" s="7" t="str">
        <f aca="false">HYPERLINK("https://twitter.com/STcomSingapore","@STcomSingapore")</f>
        <v>@STcomSingapore</v>
      </c>
      <c r="C6941" s="8" t="s">
        <v>15662</v>
      </c>
      <c r="D6941" s="8" t="s">
        <v>15692</v>
      </c>
      <c r="E6941" s="9" t="str">
        <f aca="false">HYPERLINK("https://twitter.com/STcomSingapore/status/922460506501386240","922460506501386240")</f>
        <v>922460506501386240</v>
      </c>
      <c r="F6941" s="10" t="s">
        <v>15662</v>
      </c>
      <c r="G6941" s="10" t="n">
        <v>69</v>
      </c>
      <c r="H6941" s="10" t="n">
        <v>0</v>
      </c>
      <c r="I6941" s="10" t="n">
        <v>0</v>
      </c>
      <c r="J6941" s="10" t="n">
        <v>0</v>
      </c>
      <c r="K6941" s="10" t="s">
        <v>20</v>
      </c>
      <c r="L6941" s="11" t="n">
        <v>42604.7773726852</v>
      </c>
      <c r="M6941" s="12" t="s">
        <v>186</v>
      </c>
      <c r="N6941" s="12"/>
      <c r="O6941" s="9" t="str">
        <f aca="false">HYPERLINK("https://pbs.twimg.com/profile_images/776980623630094336/YaqdkhCJ_normal.jpg","View")</f>
        <v>View</v>
      </c>
      <c r="P6941" s="10"/>
    </row>
    <row r="6942" customFormat="false" ht="15.75" hidden="false" customHeight="false" outlineLevel="0" collapsed="false">
      <c r="A6942" s="6" t="n">
        <v>43031.2858564815</v>
      </c>
      <c r="B6942" s="7" t="str">
        <f aca="false">HYPERLINK("https://twitter.com/HRS_Chirashi","@HRS_Chirashi")</f>
        <v>@HRS_Chirashi</v>
      </c>
      <c r="C6942" s="8" t="s">
        <v>15693</v>
      </c>
      <c r="D6942" s="8" t="s">
        <v>15694</v>
      </c>
      <c r="E6942" s="9" t="str">
        <f aca="false">HYPERLINK("https://twitter.com/HRS_Chirashi/status/922460510343249920","922460510343249920")</f>
        <v>922460510343249920</v>
      </c>
      <c r="F6942" s="10" t="s">
        <v>25</v>
      </c>
      <c r="G6942" s="10" t="n">
        <v>1222</v>
      </c>
      <c r="H6942" s="10" t="n">
        <v>1244</v>
      </c>
      <c r="I6942" s="10" t="n">
        <v>10</v>
      </c>
      <c r="J6942" s="10" t="n">
        <v>0</v>
      </c>
      <c r="K6942" s="10" t="s">
        <v>20</v>
      </c>
      <c r="L6942" s="11" t="n">
        <v>40029.3420486111</v>
      </c>
      <c r="M6942" s="12" t="s">
        <v>15695</v>
      </c>
      <c r="N6942" s="13" t="s">
        <v>15696</v>
      </c>
      <c r="O6942" s="9" t="str">
        <f aca="false">HYPERLINK("https://pbs.twimg.com/profile_images/378800000272187364/67bb2b8fd54e743b3f0f5a1d0ff03ea6_normal.jpeg","View")</f>
        <v>View</v>
      </c>
      <c r="P6942" s="10"/>
    </row>
    <row r="6943" customFormat="false" ht="15.75" hidden="false" customHeight="false" outlineLevel="0" collapsed="false">
      <c r="A6943" s="6" t="n">
        <v>43031.286412037</v>
      </c>
      <c r="B6943" s="7" t="str">
        <f aca="false">HYPERLINK("https://twitter.com/newsparktamil","@newsparktamil")</f>
        <v>@newsparktamil</v>
      </c>
      <c r="C6943" s="8" t="s">
        <v>6410</v>
      </c>
      <c r="D6943" s="8" t="s">
        <v>15697</v>
      </c>
      <c r="E6943" s="9" t="str">
        <f aca="false">HYPERLINK("https://twitter.com/newsparktamil/status/922460708821803010","922460708821803010")</f>
        <v>922460708821803010</v>
      </c>
      <c r="F6943" s="10" t="s">
        <v>39</v>
      </c>
      <c r="G6943" s="10" t="n">
        <v>84</v>
      </c>
      <c r="H6943" s="10" t="n">
        <v>670</v>
      </c>
      <c r="I6943" s="10" t="n">
        <v>0</v>
      </c>
      <c r="J6943" s="10" t="n">
        <v>0</v>
      </c>
      <c r="K6943" s="10" t="s">
        <v>20</v>
      </c>
      <c r="L6943" s="11" t="n">
        <v>42918.2850462963</v>
      </c>
      <c r="M6943" s="12" t="s">
        <v>3588</v>
      </c>
      <c r="N6943" s="12" t="s">
        <v>6412</v>
      </c>
      <c r="O6943" s="9" t="str">
        <f aca="false">HYPERLINK("https://pbs.twimg.com/profile_images/890099208543510529/P8red2Gr_normal.jpg","View")</f>
        <v>View</v>
      </c>
      <c r="P6943" s="10"/>
    </row>
    <row r="6944" customFormat="false" ht="15.75" hidden="false" customHeight="false" outlineLevel="0" collapsed="false">
      <c r="A6944" s="6" t="n">
        <v>43031.2864351852</v>
      </c>
      <c r="B6944" s="7" t="str">
        <f aca="false">HYPERLINK("https://twitter.com/whokilledisac","@whokilledisac")</f>
        <v>@whokilledisac</v>
      </c>
      <c r="C6944" s="8" t="s">
        <v>15698</v>
      </c>
      <c r="D6944" s="8" t="s">
        <v>12764</v>
      </c>
      <c r="E6944" s="9" t="str">
        <f aca="false">HYPERLINK("https://twitter.com/whokilledisac/status/922460720025006080","922460720025006080")</f>
        <v>922460720025006080</v>
      </c>
      <c r="F6944" s="10" t="s">
        <v>39</v>
      </c>
      <c r="G6944" s="10" t="n">
        <v>1931</v>
      </c>
      <c r="H6944" s="10" t="n">
        <v>456</v>
      </c>
      <c r="I6944" s="10" t="n">
        <v>170</v>
      </c>
      <c r="J6944" s="10" t="n">
        <v>0</v>
      </c>
      <c r="K6944" s="10" t="s">
        <v>20</v>
      </c>
      <c r="L6944" s="11" t="n">
        <v>39985.8565740741</v>
      </c>
      <c r="M6944" s="12" t="s">
        <v>15699</v>
      </c>
      <c r="N6944" s="12" t="s">
        <v>15700</v>
      </c>
      <c r="O6944" s="9" t="str">
        <f aca="false">HYPERLINK("https://pbs.twimg.com/profile_images/918805526699565058/ReBTI2Pn_normal.jpg","View")</f>
        <v>View</v>
      </c>
      <c r="P6944" s="10"/>
    </row>
    <row r="6945" customFormat="false" ht="15.75" hidden="false" customHeight="false" outlineLevel="0" collapsed="false">
      <c r="A6945" s="6" t="n">
        <v>43031.2870717593</v>
      </c>
      <c r="B6945" s="7" t="str">
        <f aca="false">HYPERLINK("https://twitter.com/takanorituko","@takanorituko")</f>
        <v>@takanorituko</v>
      </c>
      <c r="C6945" s="14" t="s">
        <v>7537</v>
      </c>
      <c r="D6945" s="8" t="s">
        <v>15694</v>
      </c>
      <c r="E6945" s="9" t="str">
        <f aca="false">HYPERLINK("https://twitter.com/takanorituko/status/922460949503623168","922460949503623168")</f>
        <v>922460949503623168</v>
      </c>
      <c r="F6945" s="10" t="s">
        <v>39</v>
      </c>
      <c r="G6945" s="10" t="n">
        <v>340</v>
      </c>
      <c r="H6945" s="10" t="n">
        <v>226</v>
      </c>
      <c r="I6945" s="10" t="n">
        <v>10</v>
      </c>
      <c r="J6945" s="10" t="n">
        <v>0</v>
      </c>
      <c r="K6945" s="10" t="s">
        <v>20</v>
      </c>
      <c r="L6945" s="11" t="n">
        <v>42292.3306828704</v>
      </c>
      <c r="M6945" s="13" t="s">
        <v>709</v>
      </c>
      <c r="N6945" s="13" t="s">
        <v>7538</v>
      </c>
      <c r="O6945" s="9" t="str">
        <f aca="false">HYPERLINK("https://pbs.twimg.com/profile_images/875711741555949568/JVPjYyaZ_normal.jpg","View")</f>
        <v>View</v>
      </c>
      <c r="P6945" s="10"/>
    </row>
    <row r="6946" customFormat="false" ht="15.75" hidden="false" customHeight="false" outlineLevel="0" collapsed="false">
      <c r="A6946" s="6" t="n">
        <v>43031.2871527778</v>
      </c>
      <c r="B6946" s="7" t="str">
        <f aca="false">HYPERLINK("https://twitter.com/SHIELD73","@SHIELD73")</f>
        <v>@SHIELD73</v>
      </c>
      <c r="C6946" s="8" t="s">
        <v>15701</v>
      </c>
      <c r="D6946" s="8" t="s">
        <v>15665</v>
      </c>
      <c r="E6946" s="9" t="str">
        <f aca="false">HYPERLINK("https://twitter.com/SHIELD73/status/922460980822593536","922460980822593536")</f>
        <v>922460980822593536</v>
      </c>
      <c r="F6946" s="10" t="s">
        <v>51</v>
      </c>
      <c r="G6946" s="10" t="n">
        <v>4024</v>
      </c>
      <c r="H6946" s="10" t="n">
        <v>3793</v>
      </c>
      <c r="I6946" s="10" t="n">
        <v>2</v>
      </c>
      <c r="J6946" s="10" t="n">
        <v>0</v>
      </c>
      <c r="K6946" s="10" t="s">
        <v>20</v>
      </c>
      <c r="L6946" s="11" t="n">
        <v>40425.5112268519</v>
      </c>
      <c r="M6946" s="12" t="s">
        <v>15702</v>
      </c>
      <c r="N6946" s="12" t="s">
        <v>15703</v>
      </c>
      <c r="O6946" s="9" t="str">
        <f aca="false">HYPERLINK("https://pbs.twimg.com/profile_images/906547228759568384/nWVM-u3Z_normal.jpg","View")</f>
        <v>View</v>
      </c>
      <c r="P6946" s="10"/>
    </row>
    <row r="6947" customFormat="false" ht="15.75" hidden="false" customHeight="false" outlineLevel="0" collapsed="false">
      <c r="A6947" s="6" t="n">
        <v>43031.287337963</v>
      </c>
      <c r="B6947" s="7" t="str">
        <f aca="false">HYPERLINK("https://twitter.com/k1Np0k","@k1Np0k")</f>
        <v>@k1Np0k</v>
      </c>
      <c r="C6947" s="8" t="s">
        <v>15704</v>
      </c>
      <c r="D6947" s="8" t="s">
        <v>15694</v>
      </c>
      <c r="E6947" s="9" t="str">
        <f aca="false">HYPERLINK("https://twitter.com/k1Np0k/status/922461045746053120","922461045746053120")</f>
        <v>922461045746053120</v>
      </c>
      <c r="F6947" s="10" t="s">
        <v>25</v>
      </c>
      <c r="G6947" s="10" t="n">
        <v>210</v>
      </c>
      <c r="H6947" s="10" t="n">
        <v>321</v>
      </c>
      <c r="I6947" s="10" t="n">
        <v>10</v>
      </c>
      <c r="J6947" s="10" t="n">
        <v>0</v>
      </c>
      <c r="K6947" s="10" t="s">
        <v>20</v>
      </c>
      <c r="L6947" s="11" t="n">
        <v>42891.8663888889</v>
      </c>
      <c r="M6947" s="12"/>
      <c r="N6947" s="12" t="s">
        <v>15705</v>
      </c>
      <c r="O6947" s="9" t="str">
        <f aca="false">HYPERLINK("https://pbs.twimg.com/profile_images/917296395018629120/5P8S9F1q_normal.jpg","View")</f>
        <v>View</v>
      </c>
      <c r="P6947" s="10"/>
    </row>
    <row r="6948" customFormat="false" ht="15.75" hidden="false" customHeight="false" outlineLevel="0" collapsed="false">
      <c r="A6948" s="6" t="n">
        <v>43031.2898611111</v>
      </c>
      <c r="B6948" s="7" t="str">
        <f aca="false">HYPERLINK("https://twitter.com/KnowYourLeakGuy","@KnowYourLeakGuy")</f>
        <v>@KnowYourLeakGuy</v>
      </c>
      <c r="C6948" s="8" t="s">
        <v>15706</v>
      </c>
      <c r="D6948" s="8" t="s">
        <v>15707</v>
      </c>
      <c r="E6948" s="9" t="str">
        <f aca="false">HYPERLINK("https://twitter.com/KnowYourLeakGuy/status/922461960716914688","922461960716914688")</f>
        <v>922461960716914688</v>
      </c>
      <c r="F6948" s="10" t="s">
        <v>15708</v>
      </c>
      <c r="G6948" s="10" t="n">
        <v>476</v>
      </c>
      <c r="H6948" s="10" t="n">
        <v>10</v>
      </c>
      <c r="I6948" s="10" t="n">
        <v>0</v>
      </c>
      <c r="J6948" s="10" t="n">
        <v>0</v>
      </c>
      <c r="K6948" s="10" t="s">
        <v>20</v>
      </c>
      <c r="L6948" s="11" t="n">
        <v>42779.3567476852</v>
      </c>
      <c r="M6948" s="12"/>
      <c r="N6948" s="12" t="s">
        <v>10901</v>
      </c>
      <c r="O6948" s="9" t="str">
        <f aca="false">HYPERLINK("https://pbs.twimg.com/profile_images/831179861276377088/EI0H4hQx_normal.jpg","View")</f>
        <v>View</v>
      </c>
      <c r="P6948" s="10"/>
    </row>
    <row r="6949" customFormat="false" ht="15.75" hidden="false" customHeight="false" outlineLevel="0" collapsed="false">
      <c r="A6949" s="6" t="n">
        <v>43031.2898842593</v>
      </c>
      <c r="B6949" s="7" t="str">
        <f aca="false">HYPERLINK("https://twitter.com/LasVegasNvBlog","@LasVegasNvBlog")</f>
        <v>@LasVegasNvBlog</v>
      </c>
      <c r="C6949" s="8" t="s">
        <v>3205</v>
      </c>
      <c r="D6949" s="8" t="s">
        <v>15709</v>
      </c>
      <c r="E6949" s="9" t="str">
        <f aca="false">HYPERLINK("https://twitter.com/LasVegasNvBlog/status/922461968816066561","922461968816066561")</f>
        <v>922461968816066561</v>
      </c>
      <c r="F6949" s="9" t="s">
        <v>979</v>
      </c>
      <c r="G6949" s="10" t="n">
        <v>1027</v>
      </c>
      <c r="H6949" s="10" t="n">
        <v>155</v>
      </c>
      <c r="I6949" s="10" t="n">
        <v>0</v>
      </c>
      <c r="J6949" s="10" t="n">
        <v>0</v>
      </c>
      <c r="K6949" s="10" t="s">
        <v>20</v>
      </c>
      <c r="L6949" s="11" t="n">
        <v>40288.715150463</v>
      </c>
      <c r="M6949" s="12"/>
      <c r="N6949" s="12" t="s">
        <v>3207</v>
      </c>
      <c r="O6949" s="9" t="str">
        <f aca="false">HYPERLINK("https://pbs.twimg.com/profile_images/475447222343974914/m_fTU6NP_normal.png","View")</f>
        <v>View</v>
      </c>
      <c r="P6949" s="10"/>
    </row>
    <row r="6950" customFormat="false" ht="15.75" hidden="false" customHeight="false" outlineLevel="0" collapsed="false">
      <c r="A6950" s="6" t="n">
        <v>43031.2914930556</v>
      </c>
      <c r="B6950" s="7" t="str">
        <f aca="false">HYPERLINK("https://twitter.com/shafeeg","@shafeeg")</f>
        <v>@shafeeg</v>
      </c>
      <c r="C6950" s="8" t="s">
        <v>9951</v>
      </c>
      <c r="D6950" s="8" t="s">
        <v>15694</v>
      </c>
      <c r="E6950" s="9" t="str">
        <f aca="false">HYPERLINK("https://twitter.com/shafeeg/status/922462553669644288","922462553669644288")</f>
        <v>922462553669644288</v>
      </c>
      <c r="F6950" s="10" t="s">
        <v>25</v>
      </c>
      <c r="G6950" s="10" t="n">
        <v>4216</v>
      </c>
      <c r="H6950" s="10" t="n">
        <v>1617</v>
      </c>
      <c r="I6950" s="10" t="n">
        <v>10</v>
      </c>
      <c r="J6950" s="10" t="n">
        <v>0</v>
      </c>
      <c r="K6950" s="10" t="s">
        <v>20</v>
      </c>
      <c r="L6950" s="11" t="n">
        <v>39782.8329513889</v>
      </c>
      <c r="M6950" s="12" t="s">
        <v>9952</v>
      </c>
      <c r="N6950" s="12" t="s">
        <v>9953</v>
      </c>
      <c r="O6950" s="9" t="str">
        <f aca="false">HYPERLINK("https://pbs.twimg.com/profile_images/908589593888309248/TkR778Lg_normal.jpg","View")</f>
        <v>View</v>
      </c>
      <c r="P6950" s="10"/>
    </row>
    <row r="6951" customFormat="false" ht="15.75" hidden="false" customHeight="false" outlineLevel="0" collapsed="false">
      <c r="A6951" s="6" t="n">
        <v>43031.2916898148</v>
      </c>
      <c r="B6951" s="7" t="str">
        <f aca="false">HYPERLINK("https://twitter.com/sakakinohappa","@sakakinohappa")</f>
        <v>@sakakinohappa</v>
      </c>
      <c r="C6951" s="8" t="s">
        <v>15710</v>
      </c>
      <c r="D6951" s="8" t="s">
        <v>12493</v>
      </c>
      <c r="E6951" s="9" t="str">
        <f aca="false">HYPERLINK("https://twitter.com/sakakinohappa/status/922462625023143937","922462625023143937")</f>
        <v>922462625023143937</v>
      </c>
      <c r="F6951" s="10" t="s">
        <v>25</v>
      </c>
      <c r="G6951" s="10" t="n">
        <v>642</v>
      </c>
      <c r="H6951" s="10" t="n">
        <v>1352</v>
      </c>
      <c r="I6951" s="10" t="n">
        <v>63</v>
      </c>
      <c r="J6951" s="10" t="n">
        <v>0</v>
      </c>
      <c r="K6951" s="10" t="s">
        <v>20</v>
      </c>
      <c r="L6951" s="11" t="n">
        <v>41400.1281712963</v>
      </c>
      <c r="M6951" s="13" t="s">
        <v>15711</v>
      </c>
      <c r="N6951" s="13" t="s">
        <v>15712</v>
      </c>
      <c r="O6951" s="9" t="str">
        <f aca="false">HYPERLINK("https://pbs.twimg.com/profile_images/916665311318884353/i3LI7lwV_normal.jpg","View")</f>
        <v>View</v>
      </c>
      <c r="P6951" s="10"/>
    </row>
    <row r="6952" customFormat="false" ht="15.75" hidden="false" customHeight="false" outlineLevel="0" collapsed="false">
      <c r="A6952" s="6" t="n">
        <v>43031.2918634259</v>
      </c>
      <c r="B6952" s="7" t="str">
        <f aca="false">HYPERLINK("https://twitter.com/tomarigi25","@tomarigi25")</f>
        <v>@tomarigi25</v>
      </c>
      <c r="C6952" s="8" t="s">
        <v>15713</v>
      </c>
      <c r="D6952" s="8" t="s">
        <v>15547</v>
      </c>
      <c r="E6952" s="9" t="str">
        <f aca="false">HYPERLINK("https://twitter.com/tomarigi25/status/922462687606407169","922462687606407169")</f>
        <v>922462687606407169</v>
      </c>
      <c r="F6952" s="10" t="s">
        <v>51</v>
      </c>
      <c r="G6952" s="10" t="n">
        <v>10796</v>
      </c>
      <c r="H6952" s="10" t="n">
        <v>9377</v>
      </c>
      <c r="I6952" s="10" t="n">
        <v>6</v>
      </c>
      <c r="J6952" s="10" t="n">
        <v>0</v>
      </c>
      <c r="K6952" s="10" t="s">
        <v>20</v>
      </c>
      <c r="L6952" s="11" t="n">
        <v>41538.4473148148</v>
      </c>
      <c r="M6952" s="13" t="s">
        <v>152</v>
      </c>
      <c r="N6952" s="13" t="s">
        <v>15714</v>
      </c>
      <c r="O6952" s="9" t="str">
        <f aca="false">HYPERLINK("https://pbs.twimg.com/profile_images/911838708550086656/_JrKECu2_normal.jpg","View")</f>
        <v>View</v>
      </c>
      <c r="P6952" s="10"/>
    </row>
    <row r="6953" customFormat="false" ht="15.75" hidden="false" customHeight="false" outlineLevel="0" collapsed="false">
      <c r="A6953" s="6" t="n">
        <v>43031.2921296296</v>
      </c>
      <c r="B6953" s="7" t="str">
        <f aca="false">HYPERLINK("https://twitter.com/Future_Toronto","@Future_Toronto")</f>
        <v>@Future_Toronto</v>
      </c>
      <c r="C6953" s="8" t="s">
        <v>15715</v>
      </c>
      <c r="D6953" s="8" t="s">
        <v>15716</v>
      </c>
      <c r="E6953" s="9" t="str">
        <f aca="false">HYPERLINK("https://twitter.com/Future_Toronto/status/922462781193969667","922462781193969667")</f>
        <v>922462781193969667</v>
      </c>
      <c r="F6953" s="10" t="s">
        <v>8306</v>
      </c>
      <c r="G6953" s="10" t="n">
        <v>514</v>
      </c>
      <c r="H6953" s="10" t="n">
        <v>860</v>
      </c>
      <c r="I6953" s="10" t="n">
        <v>0</v>
      </c>
      <c r="J6953" s="10" t="n">
        <v>0</v>
      </c>
      <c r="K6953" s="10" t="s">
        <v>20</v>
      </c>
      <c r="L6953" s="11" t="n">
        <v>41589.1893171296</v>
      </c>
      <c r="M6953" s="12"/>
      <c r="N6953" s="12" t="s">
        <v>15717</v>
      </c>
      <c r="O6953" s="9" t="str">
        <f aca="false">HYPERLINK("https://pbs.twimg.com/profile_images/734681122047680512/HBxsd0GZ_normal.jpg","View")</f>
        <v>View</v>
      </c>
      <c r="P6953" s="10"/>
    </row>
    <row r="6954" customFormat="false" ht="15.75" hidden="false" customHeight="false" outlineLevel="0" collapsed="false">
      <c r="A6954" s="6" t="n">
        <v>43031.2922337963</v>
      </c>
      <c r="B6954" s="7" t="str">
        <f aca="false">HYPERLINK("https://twitter.com/archtomy","@archtomy")</f>
        <v>@archtomy</v>
      </c>
      <c r="C6954" s="8" t="s">
        <v>15718</v>
      </c>
      <c r="D6954" s="8" t="s">
        <v>8538</v>
      </c>
      <c r="E6954" s="9" t="str">
        <f aca="false">HYPERLINK("https://twitter.com/archtomy/status/922462821316575232","922462821316575232")</f>
        <v>922462821316575232</v>
      </c>
      <c r="F6954" s="10" t="s">
        <v>25</v>
      </c>
      <c r="G6954" s="10" t="n">
        <v>1169</v>
      </c>
      <c r="H6954" s="10" t="n">
        <v>1501</v>
      </c>
      <c r="I6954" s="10" t="n">
        <v>1015</v>
      </c>
      <c r="J6954" s="10" t="n">
        <v>0</v>
      </c>
      <c r="K6954" s="10" t="s">
        <v>20</v>
      </c>
      <c r="L6954" s="11" t="n">
        <v>40040.3749189815</v>
      </c>
      <c r="M6954" s="12" t="s">
        <v>15719</v>
      </c>
      <c r="N6954" s="12" t="s">
        <v>15720</v>
      </c>
      <c r="O6954" s="9" t="str">
        <f aca="false">HYPERLINK("https://pbs.twimg.com/profile_images/704640337927471104/F3b82B2i_normal.jpg","View")</f>
        <v>View</v>
      </c>
      <c r="P6954" s="10"/>
    </row>
    <row r="6955" customFormat="false" ht="15.75" hidden="false" customHeight="false" outlineLevel="0" collapsed="false">
      <c r="A6955" s="6" t="n">
        <v>43031.2935648148</v>
      </c>
      <c r="B6955" s="7" t="str">
        <f aca="false">HYPERLINK("https://twitter.com/nikolamm","@nikolamm")</f>
        <v>@nikolamm</v>
      </c>
      <c r="C6955" s="8" t="s">
        <v>15721</v>
      </c>
      <c r="D6955" s="8" t="s">
        <v>15722</v>
      </c>
      <c r="E6955" s="9" t="str">
        <f aca="false">HYPERLINK("https://twitter.com/nikolamm/status/922463304492158977","922463304492158977")</f>
        <v>922463304492158977</v>
      </c>
      <c r="F6955" s="10" t="s">
        <v>39</v>
      </c>
      <c r="G6955" s="10" t="n">
        <v>4658</v>
      </c>
      <c r="H6955" s="10" t="n">
        <v>4490</v>
      </c>
      <c r="I6955" s="10" t="n">
        <v>0</v>
      </c>
      <c r="J6955" s="10" t="n">
        <v>0</v>
      </c>
      <c r="K6955" s="10" t="s">
        <v>20</v>
      </c>
      <c r="L6955" s="11" t="n">
        <v>39904.3529861111</v>
      </c>
      <c r="M6955" s="12"/>
      <c r="N6955" s="12"/>
      <c r="O6955" s="9" t="str">
        <f aca="false">HYPERLINK("https://pbs.twimg.com/profile_images/572389658831486976/3_qOqzl1_normal.jpeg","View")</f>
        <v>View</v>
      </c>
      <c r="P6955" s="10"/>
    </row>
    <row r="6956" customFormat="false" ht="15.75" hidden="false" customHeight="false" outlineLevel="0" collapsed="false">
      <c r="A6956" s="6" t="n">
        <v>43031.2942476852</v>
      </c>
      <c r="B6956" s="7" t="str">
        <f aca="false">HYPERLINK("https://twitter.com/amaresh4","@amaresh4")</f>
        <v>@amaresh4</v>
      </c>
      <c r="C6956" s="8" t="s">
        <v>15723</v>
      </c>
      <c r="D6956" s="8" t="s">
        <v>8538</v>
      </c>
      <c r="E6956" s="9" t="str">
        <f aca="false">HYPERLINK("https://twitter.com/amaresh4/status/922463549716234240","922463549716234240")</f>
        <v>922463549716234240</v>
      </c>
      <c r="F6956" s="10" t="s">
        <v>51</v>
      </c>
      <c r="G6956" s="10" t="n">
        <v>726</v>
      </c>
      <c r="H6956" s="10" t="n">
        <v>706</v>
      </c>
      <c r="I6956" s="10" t="n">
        <v>1015</v>
      </c>
      <c r="J6956" s="10" t="n">
        <v>0</v>
      </c>
      <c r="K6956" s="10" t="s">
        <v>20</v>
      </c>
      <c r="L6956" s="11" t="n">
        <v>40291.0833912037</v>
      </c>
      <c r="M6956" s="12" t="s">
        <v>2340</v>
      </c>
      <c r="N6956" s="12" t="s">
        <v>15724</v>
      </c>
      <c r="O6956" s="9" t="str">
        <f aca="false">HYPERLINK("https://pbs.twimg.com/profile_images/897119305740959751/2PAuCk3b_normal.jpg","View")</f>
        <v>View</v>
      </c>
      <c r="P6956" s="10"/>
    </row>
    <row r="6957" customFormat="false" ht="15.75" hidden="false" customHeight="false" outlineLevel="0" collapsed="false">
      <c r="A6957" s="6" t="n">
        <v>43031.2947222222</v>
      </c>
      <c r="B6957" s="7" t="str">
        <f aca="false">HYPERLINK("https://twitter.com/Edinson_Fonseca","@Edinson_Fonseca")</f>
        <v>@Edinson_Fonseca</v>
      </c>
      <c r="C6957" s="8" t="s">
        <v>11009</v>
      </c>
      <c r="D6957" s="8" t="s">
        <v>15725</v>
      </c>
      <c r="E6957" s="9" t="str">
        <f aca="false">HYPERLINK("https://twitter.com/Edinson_Fonseca/status/922463723545071618","922463723545071618")</f>
        <v>922463723545071618</v>
      </c>
      <c r="F6957" s="10" t="s">
        <v>39</v>
      </c>
      <c r="G6957" s="10" t="n">
        <v>455</v>
      </c>
      <c r="H6957" s="10" t="n">
        <v>2496</v>
      </c>
      <c r="I6957" s="10" t="n">
        <v>0</v>
      </c>
      <c r="J6957" s="10" t="n">
        <v>0</v>
      </c>
      <c r="K6957" s="10" t="s">
        <v>20</v>
      </c>
      <c r="L6957" s="11" t="n">
        <v>40328.6380671296</v>
      </c>
      <c r="M6957" s="12" t="s">
        <v>11010</v>
      </c>
      <c r="N6957" s="12" t="s">
        <v>11011</v>
      </c>
      <c r="O6957" s="9" t="str">
        <f aca="false">HYPERLINK("https://pbs.twimg.com/profile_images/907086598281592832/VPyY2nZk_normal.jpg","View")</f>
        <v>View</v>
      </c>
      <c r="P6957" s="10"/>
    </row>
    <row r="6958" customFormat="false" ht="15.75" hidden="false" customHeight="false" outlineLevel="0" collapsed="false">
      <c r="A6958" s="6" t="n">
        <v>43031.296712963</v>
      </c>
      <c r="B6958" s="7" t="str">
        <f aca="false">HYPERLINK("https://twitter.com/Lilo97423","@Lilo97423")</f>
        <v>@Lilo97423</v>
      </c>
      <c r="C6958" s="8" t="s">
        <v>15726</v>
      </c>
      <c r="D6958" s="8" t="s">
        <v>10525</v>
      </c>
      <c r="E6958" s="9" t="str">
        <f aca="false">HYPERLINK("https://twitter.com/Lilo97423/status/922464441332936710","922464441332936710")</f>
        <v>922464441332936710</v>
      </c>
      <c r="F6958" s="10" t="s">
        <v>39</v>
      </c>
      <c r="G6958" s="10" t="n">
        <v>349</v>
      </c>
      <c r="H6958" s="10" t="n">
        <v>760</v>
      </c>
      <c r="I6958" s="10" t="n">
        <v>9</v>
      </c>
      <c r="J6958" s="10" t="n">
        <v>0</v>
      </c>
      <c r="K6958" s="10" t="s">
        <v>20</v>
      </c>
      <c r="L6958" s="11" t="n">
        <v>41404.7721875</v>
      </c>
      <c r="M6958" s="12"/>
      <c r="N6958" s="12"/>
      <c r="O6958" s="9" t="str">
        <f aca="false">HYPERLINK("https://pbs.twimg.com/profile_images/3642344673/24576fa02da7f642b87ba657f80676ba_normal.jpeg","View")</f>
        <v>View</v>
      </c>
      <c r="P6958" s="10"/>
    </row>
    <row r="6959" customFormat="false" ht="15.75" hidden="false" customHeight="false" outlineLevel="0" collapsed="false">
      <c r="A6959" s="6" t="n">
        <v>43031.296875</v>
      </c>
      <c r="B6959" s="7" t="str">
        <f aca="false">HYPERLINK("https://twitter.com/mattakaneko","@mattakaneko")</f>
        <v>@mattakaneko</v>
      </c>
      <c r="C6959" s="14" t="s">
        <v>15727</v>
      </c>
      <c r="D6959" s="8" t="s">
        <v>15728</v>
      </c>
      <c r="E6959" s="9" t="str">
        <f aca="false">HYPERLINK("https://twitter.com/mattakaneko/status/922464499977908224","922464499977908224")</f>
        <v>922464499977908224</v>
      </c>
      <c r="F6959" s="10" t="s">
        <v>39</v>
      </c>
      <c r="G6959" s="10" t="n">
        <v>211</v>
      </c>
      <c r="H6959" s="10" t="n">
        <v>448</v>
      </c>
      <c r="I6959" s="10" t="n">
        <v>1</v>
      </c>
      <c r="J6959" s="10" t="n">
        <v>1</v>
      </c>
      <c r="K6959" s="10" t="s">
        <v>20</v>
      </c>
      <c r="L6959" s="11" t="n">
        <v>41631.9734143519</v>
      </c>
      <c r="M6959" s="13" t="s">
        <v>15729</v>
      </c>
      <c r="N6959" s="13" t="s">
        <v>15730</v>
      </c>
      <c r="O6959" s="9" t="str">
        <f aca="false">HYPERLINK("https://pbs.twimg.com/profile_images/919868903165186048/7OpJaFa2_normal.jpg","View")</f>
        <v>View</v>
      </c>
      <c r="P6959" s="10"/>
    </row>
    <row r="6960" customFormat="false" ht="15.75" hidden="false" customHeight="false" outlineLevel="0" collapsed="false">
      <c r="A6960" s="6" t="n">
        <v>43031.2974074074</v>
      </c>
      <c r="B6960" s="7" t="str">
        <f aca="false">HYPERLINK("https://twitter.com/YJAbductlon","@YJAbductlon")</f>
        <v>@YJAbductlon</v>
      </c>
      <c r="C6960" s="8" t="s">
        <v>15731</v>
      </c>
      <c r="D6960" s="8" t="s">
        <v>14598</v>
      </c>
      <c r="E6960" s="9" t="str">
        <f aca="false">HYPERLINK("https://twitter.com/YJAbductlon/status/922464696023777280","922464696023777280")</f>
        <v>922464696023777280</v>
      </c>
      <c r="F6960" s="10" t="s">
        <v>25</v>
      </c>
      <c r="G6960" s="10" t="n">
        <v>58</v>
      </c>
      <c r="H6960" s="10" t="n">
        <v>2304</v>
      </c>
      <c r="I6960" s="10" t="n">
        <v>23</v>
      </c>
      <c r="J6960" s="10" t="n">
        <v>0</v>
      </c>
      <c r="K6960" s="10" t="s">
        <v>20</v>
      </c>
      <c r="L6960" s="11" t="n">
        <v>40913.8962615741</v>
      </c>
      <c r="M6960" s="12" t="s">
        <v>11378</v>
      </c>
      <c r="N6960" s="12" t="s">
        <v>15732</v>
      </c>
      <c r="O6960" s="9" t="str">
        <f aca="false">HYPERLINK("https://pbs.twimg.com/profile_images/764201100513804288/vIlAl1M-_normal.jpg","View")</f>
        <v>View</v>
      </c>
      <c r="P6960" s="10"/>
    </row>
    <row r="6961" customFormat="false" ht="15.75" hidden="false" customHeight="false" outlineLevel="0" collapsed="false">
      <c r="A6961" s="6" t="n">
        <v>43031.2996412037</v>
      </c>
      <c r="B6961" s="7" t="str">
        <f aca="false">HYPERLINK("https://twitter.com/dkv1949","@dkv1949")</f>
        <v>@dkv1949</v>
      </c>
      <c r="C6961" s="8" t="s">
        <v>15733</v>
      </c>
      <c r="D6961" s="8" t="s">
        <v>8538</v>
      </c>
      <c r="E6961" s="9" t="str">
        <f aca="false">HYPERLINK("https://twitter.com/dkv1949/status/922465503301341184","922465503301341184")</f>
        <v>922465503301341184</v>
      </c>
      <c r="F6961" s="10" t="s">
        <v>25</v>
      </c>
      <c r="G6961" s="10" t="n">
        <v>98</v>
      </c>
      <c r="H6961" s="10" t="n">
        <v>246</v>
      </c>
      <c r="I6961" s="10" t="n">
        <v>1015</v>
      </c>
      <c r="J6961" s="10" t="n">
        <v>0</v>
      </c>
      <c r="K6961" s="10" t="s">
        <v>20</v>
      </c>
      <c r="L6961" s="11" t="n">
        <v>40947.9280671296</v>
      </c>
      <c r="M6961" s="12" t="s">
        <v>15734</v>
      </c>
      <c r="N6961" s="12" t="s">
        <v>15735</v>
      </c>
      <c r="O6961" s="9" t="str">
        <f aca="false">HYPERLINK("https://pbs.twimg.com/profile_images/3328970640/2b80d5d3d0e9c0678b445e590f559023_normal.jpeg","View")</f>
        <v>View</v>
      </c>
      <c r="P6961" s="10"/>
    </row>
    <row r="6962" customFormat="false" ht="15.75" hidden="false" customHeight="false" outlineLevel="0" collapsed="false">
      <c r="A6962" s="6" t="n">
        <v>43031.3010532407</v>
      </c>
      <c r="B6962" s="7" t="str">
        <f aca="false">HYPERLINK("https://twitter.com/PUEAA_UNAM","@PUEAA_UNAM")</f>
        <v>@PUEAA_UNAM</v>
      </c>
      <c r="C6962" s="8" t="s">
        <v>15736</v>
      </c>
      <c r="D6962" s="8" t="s">
        <v>3514</v>
      </c>
      <c r="E6962" s="9" t="str">
        <f aca="false">HYPERLINK("https://twitter.com/PUEAA_UNAM/status/922466017678385152","922466017678385152")</f>
        <v>922466017678385152</v>
      </c>
      <c r="F6962" s="10" t="s">
        <v>39</v>
      </c>
      <c r="G6962" s="10" t="n">
        <v>537</v>
      </c>
      <c r="H6962" s="10" t="n">
        <v>375</v>
      </c>
      <c r="I6962" s="10" t="n">
        <v>19</v>
      </c>
      <c r="J6962" s="10" t="n">
        <v>0</v>
      </c>
      <c r="K6962" s="10" t="s">
        <v>20</v>
      </c>
      <c r="L6962" s="11" t="n">
        <v>42101.4897337963</v>
      </c>
      <c r="M6962" s="12" t="s">
        <v>15737</v>
      </c>
      <c r="N6962" s="12" t="s">
        <v>15738</v>
      </c>
      <c r="O6962" s="9" t="str">
        <f aca="false">HYPERLINK("https://pbs.twimg.com/profile_images/862149950913748994/3ioyDdRo_normal.jpg","View")</f>
        <v>View</v>
      </c>
      <c r="P6962" s="10"/>
    </row>
    <row r="6963" customFormat="false" ht="15.75" hidden="false" customHeight="false" outlineLevel="0" collapsed="false">
      <c r="A6963" s="6" t="n">
        <v>43031.3013425926</v>
      </c>
      <c r="B6963" s="7" t="str">
        <f aca="false">HYPERLINK("https://twitter.com/whidaiho","@whidaiho")</f>
        <v>@whidaiho</v>
      </c>
      <c r="C6963" s="14" t="s">
        <v>15739</v>
      </c>
      <c r="D6963" s="8" t="s">
        <v>12493</v>
      </c>
      <c r="E6963" s="9" t="str">
        <f aca="false">HYPERLINK("https://twitter.com/whidaiho/status/922466121869008896","922466121869008896")</f>
        <v>922466121869008896</v>
      </c>
      <c r="F6963" s="10" t="s">
        <v>39</v>
      </c>
      <c r="G6963" s="10" t="n">
        <v>3722</v>
      </c>
      <c r="H6963" s="10" t="n">
        <v>4946</v>
      </c>
      <c r="I6963" s="10" t="n">
        <v>63</v>
      </c>
      <c r="J6963" s="10" t="n">
        <v>0</v>
      </c>
      <c r="K6963" s="10" t="s">
        <v>20</v>
      </c>
      <c r="L6963" s="11" t="n">
        <v>41543.2413541667</v>
      </c>
      <c r="M6963" s="13" t="s">
        <v>15740</v>
      </c>
      <c r="N6963" s="13" t="s">
        <v>15741</v>
      </c>
      <c r="O6963" s="9" t="str">
        <f aca="false">HYPERLINK("https://pbs.twimg.com/profile_images/378800000616241861/9677cf23fde39c22cd32d23af714d75b_normal.jpeg","View")</f>
        <v>View</v>
      </c>
      <c r="P6963" s="10"/>
    </row>
    <row r="6964" customFormat="false" ht="15.75" hidden="false" customHeight="false" outlineLevel="0" collapsed="false">
      <c r="A6964" s="6" t="n">
        <v>43031.3020833333</v>
      </c>
      <c r="B6964" s="7" t="str">
        <f aca="false">HYPERLINK("https://twitter.com/AOchoggiah","@AOchoggiah")</f>
        <v>@AOchoggiah</v>
      </c>
      <c r="C6964" s="8" t="s">
        <v>15742</v>
      </c>
      <c r="D6964" s="8" t="s">
        <v>15285</v>
      </c>
      <c r="E6964" s="9" t="str">
        <f aca="false">HYPERLINK("https://twitter.com/AOchoggiah/status/922466390728232965","922466390728232965")</f>
        <v>922466390728232965</v>
      </c>
      <c r="F6964" s="10" t="s">
        <v>25</v>
      </c>
      <c r="G6964" s="10" t="n">
        <v>54</v>
      </c>
      <c r="H6964" s="10" t="n">
        <v>475</v>
      </c>
      <c r="I6964" s="10" t="n">
        <v>16</v>
      </c>
      <c r="J6964" s="10" t="n">
        <v>0</v>
      </c>
      <c r="K6964" s="10" t="s">
        <v>20</v>
      </c>
      <c r="L6964" s="11" t="n">
        <v>42881.7094675926</v>
      </c>
      <c r="M6964" s="12" t="s">
        <v>4912</v>
      </c>
      <c r="N6964" s="12" t="s">
        <v>15743</v>
      </c>
      <c r="O6964" s="9" t="str">
        <f aca="false">HYPERLINK("https://pbs.twimg.com/profile_images/885400030051536897/_ChPMu5z_normal.jpg","View")</f>
        <v>View</v>
      </c>
      <c r="P6964" s="10"/>
    </row>
    <row r="6965" customFormat="false" ht="15.75" hidden="false" customHeight="false" outlineLevel="0" collapsed="false">
      <c r="A6965" s="6" t="n">
        <v>43031.3022800926</v>
      </c>
      <c r="B6965" s="7" t="str">
        <f aca="false">HYPERLINK("https://twitter.com/Varmastweet","@Varmastweet")</f>
        <v>@Varmastweet</v>
      </c>
      <c r="C6965" s="8" t="s">
        <v>15744</v>
      </c>
      <c r="D6965" s="8" t="s">
        <v>8538</v>
      </c>
      <c r="E6965" s="9" t="str">
        <f aca="false">HYPERLINK("https://twitter.com/Varmastweet/status/922466462194843653","922466462194843653")</f>
        <v>922466462194843653</v>
      </c>
      <c r="F6965" s="10" t="s">
        <v>25</v>
      </c>
      <c r="G6965" s="10" t="n">
        <v>477</v>
      </c>
      <c r="H6965" s="10" t="n">
        <v>831</v>
      </c>
      <c r="I6965" s="10" t="n">
        <v>1015</v>
      </c>
      <c r="J6965" s="10" t="n">
        <v>0</v>
      </c>
      <c r="K6965" s="10" t="s">
        <v>20</v>
      </c>
      <c r="L6965" s="11" t="n">
        <v>41378.252962963</v>
      </c>
      <c r="M6965" s="12" t="s">
        <v>15745</v>
      </c>
      <c r="N6965" s="12" t="s">
        <v>15746</v>
      </c>
      <c r="O6965" s="9" t="str">
        <f aca="false">HYPERLINK("https://pbs.twimg.com/profile_images/582042318431080448/Yc2g9ELk_normal.jpg","View")</f>
        <v>View</v>
      </c>
      <c r="P6965" s="10"/>
    </row>
    <row r="6966" customFormat="false" ht="15.75" hidden="false" customHeight="false" outlineLevel="0" collapsed="false">
      <c r="A6966" s="6" t="n">
        <v>43031.302337963</v>
      </c>
      <c r="B6966" s="7" t="str">
        <f aca="false">HYPERLINK("https://twitter.com/dubvNOW","@dubvNOW")</f>
        <v>@dubvNOW</v>
      </c>
      <c r="C6966" s="8" t="s">
        <v>6333</v>
      </c>
      <c r="D6966" s="8" t="s">
        <v>15747</v>
      </c>
      <c r="E6966" s="9" t="str">
        <f aca="false">HYPERLINK("https://twitter.com/dubvNOW/status/922466482705063936","922466482705063936")</f>
        <v>922466482705063936</v>
      </c>
      <c r="F6966" s="10" t="s">
        <v>110</v>
      </c>
      <c r="G6966" s="10" t="n">
        <v>12052</v>
      </c>
      <c r="H6966" s="10" t="n">
        <v>13288</v>
      </c>
      <c r="I6966" s="10" t="n">
        <v>0</v>
      </c>
      <c r="J6966" s="10" t="n">
        <v>0</v>
      </c>
      <c r="K6966" s="10" t="s">
        <v>20</v>
      </c>
      <c r="L6966" s="11" t="n">
        <v>40986.7515740741</v>
      </c>
      <c r="M6966" s="12" t="s">
        <v>6335</v>
      </c>
      <c r="N6966" s="12" t="s">
        <v>6336</v>
      </c>
      <c r="O6966" s="9" t="str">
        <f aca="false">HYPERLINK("https://pbs.twimg.com/profile_images/2513196551/fs87b97sd7vcve4wrv50_normal.jpeg","View")</f>
        <v>View</v>
      </c>
      <c r="P6966" s="10"/>
    </row>
    <row r="6967" customFormat="false" ht="15.75" hidden="false" customHeight="false" outlineLevel="0" collapsed="false">
      <c r="A6967" s="6" t="n">
        <v>43031.3035069444</v>
      </c>
      <c r="B6967" s="7" t="str">
        <f aca="false">HYPERLINK("https://twitter.com/lepak4ever","@lepak4ever")</f>
        <v>@lepak4ever</v>
      </c>
      <c r="C6967" s="8" t="s">
        <v>5889</v>
      </c>
      <c r="D6967" s="8" t="s">
        <v>15694</v>
      </c>
      <c r="E6967" s="9" t="str">
        <f aca="false">HYPERLINK("https://twitter.com/lepak4ever/status/922466904668639232","922466904668639232")</f>
        <v>922466904668639232</v>
      </c>
      <c r="F6967" s="10" t="s">
        <v>25</v>
      </c>
      <c r="G6967" s="10" t="n">
        <v>170</v>
      </c>
      <c r="H6967" s="10" t="n">
        <v>58</v>
      </c>
      <c r="I6967" s="10" t="n">
        <v>10</v>
      </c>
      <c r="J6967" s="10" t="n">
        <v>0</v>
      </c>
      <c r="K6967" s="10" t="s">
        <v>20</v>
      </c>
      <c r="L6967" s="11" t="n">
        <v>41825.284537037</v>
      </c>
      <c r="M6967" s="12" t="s">
        <v>5890</v>
      </c>
      <c r="N6967" s="12" t="s">
        <v>5891</v>
      </c>
      <c r="O6967" s="9" t="str">
        <f aca="false">HYPERLINK("https://pbs.twimg.com/profile_images/674288873006981120/Ca2ZrTOi_normal.jpg","View")</f>
        <v>View</v>
      </c>
      <c r="P6967" s="10"/>
    </row>
    <row r="6968" customFormat="false" ht="15.75" hidden="false" customHeight="false" outlineLevel="0" collapsed="false">
      <c r="A6968" s="6" t="n">
        <v>43031.3054513889</v>
      </c>
      <c r="B6968" s="7" t="str">
        <f aca="false">HYPERLINK("https://twitter.com/sejinpaik","@sejinpaik")</f>
        <v>@sejinpaik</v>
      </c>
      <c r="C6968" s="8" t="s">
        <v>15748</v>
      </c>
      <c r="D6968" s="8" t="s">
        <v>10997</v>
      </c>
      <c r="E6968" s="9" t="str">
        <f aca="false">HYPERLINK("https://twitter.com/sejinpaik/status/922467611052511232","922467611052511232")</f>
        <v>922467611052511232</v>
      </c>
      <c r="F6968" s="10" t="s">
        <v>39</v>
      </c>
      <c r="G6968" s="10" t="n">
        <v>107</v>
      </c>
      <c r="H6968" s="10" t="n">
        <v>769</v>
      </c>
      <c r="I6968" s="10" t="n">
        <v>27</v>
      </c>
      <c r="J6968" s="10" t="n">
        <v>0</v>
      </c>
      <c r="K6968" s="10" t="s">
        <v>20</v>
      </c>
      <c r="L6968" s="11" t="n">
        <v>42553.0975578704</v>
      </c>
      <c r="M6968" s="12"/>
      <c r="N6968" s="12" t="s">
        <v>15749</v>
      </c>
      <c r="O6968" s="9" t="str">
        <f aca="false">HYPERLINK("https://pbs.twimg.com/profile_images/751652205678039040/4J_uioAm_normal.jpg","View")</f>
        <v>View</v>
      </c>
      <c r="P6968" s="10"/>
    </row>
    <row r="6969" customFormat="false" ht="15.75" hidden="false" customHeight="false" outlineLevel="0" collapsed="false">
      <c r="A6969" s="6" t="n">
        <v>43031.3077430556</v>
      </c>
      <c r="B6969" s="7" t="str">
        <f aca="false">HYPERLINK("https://twitter.com/vincentmenezes","@vincentmenezes")</f>
        <v>@vincentmenezes</v>
      </c>
      <c r="C6969" s="8" t="s">
        <v>15750</v>
      </c>
      <c r="D6969" s="8" t="s">
        <v>14106</v>
      </c>
      <c r="E6969" s="9" t="str">
        <f aca="false">HYPERLINK("https://twitter.com/vincentmenezes/status/922468439179984896","922468439179984896")</f>
        <v>922468439179984896</v>
      </c>
      <c r="F6969" s="10" t="s">
        <v>51</v>
      </c>
      <c r="G6969" s="10" t="n">
        <v>61703</v>
      </c>
      <c r="H6969" s="10" t="n">
        <v>48583</v>
      </c>
      <c r="I6969" s="10" t="n">
        <v>30</v>
      </c>
      <c r="J6969" s="10" t="n">
        <v>0</v>
      </c>
      <c r="K6969" s="10" t="s">
        <v>20</v>
      </c>
      <c r="L6969" s="11" t="n">
        <v>40219.2875</v>
      </c>
      <c r="M6969" s="12" t="s">
        <v>868</v>
      </c>
      <c r="N6969" s="12" t="s">
        <v>15751</v>
      </c>
      <c r="O6969" s="9" t="str">
        <f aca="false">HYPERLINK("https://pbs.twimg.com/profile_images/834469241348710400/EuYLTAAo_normal.jpg","View")</f>
        <v>View</v>
      </c>
      <c r="P6969" s="10"/>
    </row>
    <row r="6970" customFormat="false" ht="15.75" hidden="false" customHeight="false" outlineLevel="0" collapsed="false">
      <c r="A6970" s="6" t="n">
        <v>43031.3079513889</v>
      </c>
      <c r="B6970" s="7" t="str">
        <f aca="false">HYPERLINK("https://twitter.com/govee007","@govee007")</f>
        <v>@govee007</v>
      </c>
      <c r="C6970" s="8" t="s">
        <v>15752</v>
      </c>
      <c r="D6970" s="8" t="s">
        <v>8538</v>
      </c>
      <c r="E6970" s="9" t="str">
        <f aca="false">HYPERLINK("https://twitter.com/govee007/status/922468516376338437","922468516376338437")</f>
        <v>922468516376338437</v>
      </c>
      <c r="F6970" s="10" t="s">
        <v>51</v>
      </c>
      <c r="G6970" s="10" t="n">
        <v>1021</v>
      </c>
      <c r="H6970" s="10" t="n">
        <v>515</v>
      </c>
      <c r="I6970" s="10" t="n">
        <v>1015</v>
      </c>
      <c r="J6970" s="10" t="n">
        <v>0</v>
      </c>
      <c r="K6970" s="10" t="s">
        <v>20</v>
      </c>
      <c r="L6970" s="11" t="n">
        <v>40983.2728356481</v>
      </c>
      <c r="M6970" s="12" t="s">
        <v>860</v>
      </c>
      <c r="N6970" s="12" t="s">
        <v>15753</v>
      </c>
      <c r="O6970" s="9" t="str">
        <f aca="false">HYPERLINK("https://pbs.twimg.com/profile_images/728917862505713665/5V4ixER2_normal.jpg","View")</f>
        <v>View</v>
      </c>
      <c r="P6970" s="10"/>
    </row>
    <row r="6971" customFormat="false" ht="15.75" hidden="false" customHeight="false" outlineLevel="0" collapsed="false">
      <c r="A6971" s="6" t="n">
        <v>43031.3103009259</v>
      </c>
      <c r="B6971" s="7" t="str">
        <f aca="false">HYPERLINK("https://twitter.com/Venkat88848216","@Venkat88848216")</f>
        <v>@Venkat88848216</v>
      </c>
      <c r="C6971" s="8" t="s">
        <v>12023</v>
      </c>
      <c r="D6971" s="8" t="s">
        <v>8538</v>
      </c>
      <c r="E6971" s="9" t="str">
        <f aca="false">HYPERLINK("https://twitter.com/Venkat88848216/status/922469366314172416","922469366314172416")</f>
        <v>922469366314172416</v>
      </c>
      <c r="F6971" s="10" t="s">
        <v>25</v>
      </c>
      <c r="G6971" s="10" t="n">
        <v>8</v>
      </c>
      <c r="H6971" s="10" t="n">
        <v>98</v>
      </c>
      <c r="I6971" s="10" t="n">
        <v>1015</v>
      </c>
      <c r="J6971" s="10" t="n">
        <v>0</v>
      </c>
      <c r="K6971" s="10" t="s">
        <v>20</v>
      </c>
      <c r="L6971" s="11" t="n">
        <v>43007.2135532407</v>
      </c>
      <c r="M6971" s="12" t="s">
        <v>253</v>
      </c>
      <c r="N6971" s="12" t="s">
        <v>15754</v>
      </c>
      <c r="O6971" s="9" t="str">
        <f aca="false">HYPERLINK("https://pbs.twimg.com/profile_images/922447521292734464/dmRahF4-_normal.jpg","View")</f>
        <v>View</v>
      </c>
      <c r="P6971" s="10"/>
    </row>
    <row r="6972" customFormat="false" ht="15.75" hidden="false" customHeight="false" outlineLevel="0" collapsed="false">
      <c r="A6972" s="6" t="n">
        <v>43031.3110763889</v>
      </c>
      <c r="B6972" s="7" t="str">
        <f aca="false">HYPERLINK("https://twitter.com/KopitiamBot","@KopitiamBot")</f>
        <v>@KopitiamBot</v>
      </c>
      <c r="C6972" s="8" t="s">
        <v>3394</v>
      </c>
      <c r="D6972" s="8" t="s">
        <v>15755</v>
      </c>
      <c r="E6972" s="9" t="str">
        <f aca="false">HYPERLINK("https://twitter.com/KopitiamBot/status/922469648393801729","922469648393801729")</f>
        <v>922469648393801729</v>
      </c>
      <c r="F6972" s="9" t="s">
        <v>979</v>
      </c>
      <c r="G6972" s="10" t="n">
        <v>137</v>
      </c>
      <c r="H6972" s="10" t="n">
        <v>0</v>
      </c>
      <c r="I6972" s="10" t="n">
        <v>0</v>
      </c>
      <c r="J6972" s="10" t="n">
        <v>1</v>
      </c>
      <c r="K6972" s="10" t="s">
        <v>20</v>
      </c>
      <c r="L6972" s="11" t="n">
        <v>42492.9124768519</v>
      </c>
      <c r="M6972" s="12" t="s">
        <v>186</v>
      </c>
      <c r="N6972" s="12" t="s">
        <v>3396</v>
      </c>
      <c r="O6972" s="9" t="str">
        <f aca="false">HYPERLINK("https://pbs.twimg.com/profile_images/727361549673730048/8lLDWbpp_normal.jpg","View")</f>
        <v>View</v>
      </c>
      <c r="P6972" s="10"/>
    </row>
    <row r="6973" customFormat="false" ht="15.75" hidden="false" customHeight="false" outlineLevel="0" collapsed="false">
      <c r="A6973" s="6" t="n">
        <v>43031.3111805556</v>
      </c>
      <c r="B6973" s="7" t="str">
        <f aca="false">HYPERLINK("https://twitter.com/OfflcialCoe","@OfflcialCoe")</f>
        <v>@OfflcialCoe</v>
      </c>
      <c r="C6973" s="8" t="s">
        <v>15756</v>
      </c>
      <c r="D6973" s="8" t="s">
        <v>14598</v>
      </c>
      <c r="E6973" s="9" t="str">
        <f aca="false">HYPERLINK("https://twitter.com/OfflcialCoe/status/922469685609852928","922469685609852928")</f>
        <v>922469685609852928</v>
      </c>
      <c r="F6973" s="10" t="s">
        <v>25</v>
      </c>
      <c r="G6973" s="10" t="n">
        <v>41</v>
      </c>
      <c r="H6973" s="10" t="n">
        <v>1591</v>
      </c>
      <c r="I6973" s="10" t="n">
        <v>23</v>
      </c>
      <c r="J6973" s="10" t="n">
        <v>0</v>
      </c>
      <c r="K6973" s="10" t="s">
        <v>20</v>
      </c>
      <c r="L6973" s="11" t="n">
        <v>41742.5352083333</v>
      </c>
      <c r="M6973" s="12" t="s">
        <v>15757</v>
      </c>
      <c r="N6973" s="12"/>
      <c r="O6973" s="9" t="str">
        <f aca="false">HYPERLINK("https://pbs.twimg.com/profile_images/764252515110191104/YVVJtgNO_normal.jpg","View")</f>
        <v>View</v>
      </c>
      <c r="P6973" s="10"/>
    </row>
    <row r="6974" customFormat="false" ht="15.75" hidden="false" customHeight="false" outlineLevel="0" collapsed="false">
      <c r="A6974" s="6" t="n">
        <v>43031.3127777778</v>
      </c>
      <c r="B6974" s="7" t="str">
        <f aca="false">HYPERLINK("https://twitter.com/paulosisinno","@paulosisinno")</f>
        <v>@paulosisinno</v>
      </c>
      <c r="C6974" s="8" t="s">
        <v>15758</v>
      </c>
      <c r="D6974" s="8" t="s">
        <v>4124</v>
      </c>
      <c r="E6974" s="9" t="str">
        <f aca="false">HYPERLINK("https://twitter.com/paulosisinno/status/922470266546130944","922470266546130944")</f>
        <v>922470266546130944</v>
      </c>
      <c r="F6974" s="10" t="s">
        <v>39</v>
      </c>
      <c r="G6974" s="10" t="n">
        <v>1073</v>
      </c>
      <c r="H6974" s="10" t="n">
        <v>2742</v>
      </c>
      <c r="I6974" s="10" t="n">
        <v>111</v>
      </c>
      <c r="J6974" s="10" t="n">
        <v>0</v>
      </c>
      <c r="K6974" s="10" t="s">
        <v>20</v>
      </c>
      <c r="L6974" s="11" t="n">
        <v>39994.5281712963</v>
      </c>
      <c r="M6974" s="12" t="s">
        <v>15759</v>
      </c>
      <c r="N6974" s="12" t="s">
        <v>15760</v>
      </c>
      <c r="O6974" s="9" t="str">
        <f aca="false">HYPERLINK("https://pbs.twimg.com/profile_images/1206605379/Paulo_cara.psd_normal.jpg","View")</f>
        <v>View</v>
      </c>
      <c r="P6974" s="10"/>
    </row>
    <row r="6975" customFormat="false" ht="15.75" hidden="false" customHeight="false" outlineLevel="0" collapsed="false">
      <c r="A6975" s="6" t="n">
        <v>43031.3129513889</v>
      </c>
      <c r="B6975" s="7" t="str">
        <f aca="false">HYPERLINK("https://twitter.com/caracalglobal","@caracalglobal")</f>
        <v>@caracalglobal</v>
      </c>
      <c r="C6975" s="8" t="s">
        <v>15761</v>
      </c>
      <c r="D6975" s="8" t="s">
        <v>15762</v>
      </c>
      <c r="E6975" s="9" t="str">
        <f aca="false">HYPERLINK("https://twitter.com/caracalglobal/status/922470328298823681","922470328298823681")</f>
        <v>922470328298823681</v>
      </c>
      <c r="F6975" s="10" t="s">
        <v>1167</v>
      </c>
      <c r="G6975" s="10" t="n">
        <v>238</v>
      </c>
      <c r="H6975" s="10" t="n">
        <v>264</v>
      </c>
      <c r="I6975" s="10" t="n">
        <v>0</v>
      </c>
      <c r="J6975" s="10" t="n">
        <v>1</v>
      </c>
      <c r="K6975" s="10" t="s">
        <v>20</v>
      </c>
      <c r="L6975" s="11" t="n">
        <v>42115.8047685185</v>
      </c>
      <c r="M6975" s="12" t="s">
        <v>723</v>
      </c>
      <c r="N6975" s="12" t="s">
        <v>15763</v>
      </c>
      <c r="O6975" s="9" t="str">
        <f aca="false">HYPERLINK("https://pbs.twimg.com/profile_images/614431330567221248/yy4SdSpa_normal.jpg","View")</f>
        <v>View</v>
      </c>
      <c r="P6975" s="10"/>
    </row>
    <row r="6976" customFormat="false" ht="15.75" hidden="false" customHeight="false" outlineLevel="0" collapsed="false">
      <c r="A6976" s="6" t="n">
        <v>43031.312974537</v>
      </c>
      <c r="B6976" s="7" t="str">
        <f aca="false">HYPERLINK("https://twitter.com/therealmario33","@therealmario33")</f>
        <v>@therealmario33</v>
      </c>
      <c r="C6976" s="8" t="s">
        <v>11890</v>
      </c>
      <c r="D6976" s="8" t="s">
        <v>14598</v>
      </c>
      <c r="E6976" s="9" t="str">
        <f aca="false">HYPERLINK("https://twitter.com/therealmario33/status/922470337069109248","922470337069109248")</f>
        <v>922470337069109248</v>
      </c>
      <c r="F6976" s="10" t="s">
        <v>25</v>
      </c>
      <c r="G6976" s="10" t="n">
        <v>91</v>
      </c>
      <c r="H6976" s="10" t="n">
        <v>2245</v>
      </c>
      <c r="I6976" s="10" t="n">
        <v>23</v>
      </c>
      <c r="J6976" s="10" t="n">
        <v>0</v>
      </c>
      <c r="K6976" s="10" t="s">
        <v>20</v>
      </c>
      <c r="L6976" s="11" t="n">
        <v>40649.2045833333</v>
      </c>
      <c r="M6976" s="12" t="s">
        <v>1359</v>
      </c>
      <c r="N6976" s="12" t="s">
        <v>15764</v>
      </c>
      <c r="O6976" s="9" t="str">
        <f aca="false">HYPERLINK("https://pbs.twimg.com/profile_images/763022258231271424/fhDXxxJy_normal.jpg","View")</f>
        <v>View</v>
      </c>
      <c r="P6976" s="10"/>
    </row>
    <row r="6977" customFormat="false" ht="15.75" hidden="false" customHeight="false" outlineLevel="0" collapsed="false">
      <c r="A6977" s="6" t="n">
        <v>43031.3135185185</v>
      </c>
      <c r="B6977" s="7" t="str">
        <f aca="false">HYPERLINK("https://twitter.com/hrishims","@hrishims")</f>
        <v>@hrishims</v>
      </c>
      <c r="C6977" s="8" t="s">
        <v>15765</v>
      </c>
      <c r="D6977" s="8" t="s">
        <v>8538</v>
      </c>
      <c r="E6977" s="9" t="str">
        <f aca="false">HYPERLINK("https://twitter.com/hrishims/status/922470533165342720","922470533165342720")</f>
        <v>922470533165342720</v>
      </c>
      <c r="F6977" s="10" t="s">
        <v>51</v>
      </c>
      <c r="G6977" s="10" t="n">
        <v>59</v>
      </c>
      <c r="H6977" s="10" t="n">
        <v>138</v>
      </c>
      <c r="I6977" s="10" t="n">
        <v>1015</v>
      </c>
      <c r="J6977" s="10" t="n">
        <v>0</v>
      </c>
      <c r="K6977" s="10" t="s">
        <v>20</v>
      </c>
      <c r="L6977" s="11" t="n">
        <v>40250.9859490741</v>
      </c>
      <c r="M6977" s="12" t="s">
        <v>7327</v>
      </c>
      <c r="N6977" s="12"/>
      <c r="O6977" s="9" t="str">
        <f aca="false">HYPERLINK("https://pbs.twimg.com/profile_images/419730369135390720/StFmOxSN_normal.jpeg","View")</f>
        <v>View</v>
      </c>
      <c r="P6977" s="10"/>
    </row>
    <row r="6978" customFormat="false" ht="15.75" hidden="false" customHeight="false" outlineLevel="0" collapsed="false">
      <c r="A6978" s="6" t="n">
        <v>43031.3164351852</v>
      </c>
      <c r="B6978" s="7" t="str">
        <f aca="false">HYPERLINK("https://twitter.com/wearehash","@wearehash")</f>
        <v>@wearehash</v>
      </c>
      <c r="C6978" s="8" t="s">
        <v>15766</v>
      </c>
      <c r="D6978" s="8" t="s">
        <v>15767</v>
      </c>
      <c r="E6978" s="9" t="str">
        <f aca="false">HYPERLINK("https://twitter.com/wearehash/status/922471590499176448","922471590499176448")</f>
        <v>922471590499176448</v>
      </c>
      <c r="F6978" s="10" t="s">
        <v>39</v>
      </c>
      <c r="G6978" s="10" t="n">
        <v>511</v>
      </c>
      <c r="H6978" s="10" t="n">
        <v>284</v>
      </c>
      <c r="I6978" s="10" t="n">
        <v>1</v>
      </c>
      <c r="J6978" s="10" t="n">
        <v>0</v>
      </c>
      <c r="K6978" s="10" t="s">
        <v>20</v>
      </c>
      <c r="L6978" s="11" t="n">
        <v>41928.7418865741</v>
      </c>
      <c r="M6978" s="12"/>
      <c r="N6978" s="12" t="s">
        <v>15768</v>
      </c>
      <c r="O6978" s="9" t="str">
        <f aca="false">HYPERLINK("https://pbs.twimg.com/profile_images/753113837663117313/ObqYPtoK_normal.jpg","View")</f>
        <v>View</v>
      </c>
      <c r="P6978" s="10"/>
    </row>
    <row r="6979" customFormat="false" ht="15.75" hidden="false" customHeight="false" outlineLevel="0" collapsed="false">
      <c r="A6979" s="6" t="n">
        <v>43031.3175462963</v>
      </c>
      <c r="B6979" s="7" t="str">
        <f aca="false">HYPERLINK("https://twitter.com/1234pkp","@1234pkp")</f>
        <v>@1234pkp</v>
      </c>
      <c r="C6979" s="8" t="s">
        <v>15769</v>
      </c>
      <c r="D6979" s="8" t="s">
        <v>8538</v>
      </c>
      <c r="E6979" s="9" t="str">
        <f aca="false">HYPERLINK("https://twitter.com/1234pkp/status/922471994775318528","922471994775318528")</f>
        <v>922471994775318528</v>
      </c>
      <c r="F6979" s="10" t="s">
        <v>25</v>
      </c>
      <c r="G6979" s="10" t="n">
        <v>78</v>
      </c>
      <c r="H6979" s="10" t="n">
        <v>434</v>
      </c>
      <c r="I6979" s="10" t="n">
        <v>1015</v>
      </c>
      <c r="J6979" s="10" t="n">
        <v>0</v>
      </c>
      <c r="K6979" s="10" t="s">
        <v>20</v>
      </c>
      <c r="L6979" s="11" t="n">
        <v>42123.1702083333</v>
      </c>
      <c r="M6979" s="12"/>
      <c r="N6979" s="12"/>
      <c r="O6979" s="9" t="str">
        <f aca="false">HYPERLINK("https://abs.twimg.com/sticky/default_profile_images/default_profile_normal.png","View")</f>
        <v>View</v>
      </c>
      <c r="P6979" s="10"/>
    </row>
    <row r="6980" customFormat="false" ht="15.75" hidden="false" customHeight="false" outlineLevel="0" collapsed="false">
      <c r="A6980" s="6" t="n">
        <v>43031.317974537</v>
      </c>
      <c r="B6980" s="7" t="str">
        <f aca="false">HYPERLINK("https://twitter.com/chandri1940","@chandri1940")</f>
        <v>@chandri1940</v>
      </c>
      <c r="C6980" s="8" t="s">
        <v>15770</v>
      </c>
      <c r="D6980" s="8" t="s">
        <v>8538</v>
      </c>
      <c r="E6980" s="9" t="str">
        <f aca="false">HYPERLINK("https://twitter.com/chandri1940/status/922472148781842432","922472148781842432")</f>
        <v>922472148781842432</v>
      </c>
      <c r="F6980" s="10" t="s">
        <v>25</v>
      </c>
      <c r="G6980" s="10" t="n">
        <v>3815</v>
      </c>
      <c r="H6980" s="10" t="n">
        <v>320</v>
      </c>
      <c r="I6980" s="10" t="n">
        <v>1015</v>
      </c>
      <c r="J6980" s="10" t="n">
        <v>0</v>
      </c>
      <c r="K6980" s="10" t="s">
        <v>20</v>
      </c>
      <c r="L6980" s="11" t="n">
        <v>41781.2488657407</v>
      </c>
      <c r="M6980" s="12" t="s">
        <v>860</v>
      </c>
      <c r="N6980" s="12" t="s">
        <v>15771</v>
      </c>
      <c r="O6980" s="9" t="str">
        <f aca="false">HYPERLINK("https://pbs.twimg.com/profile_images/632193918025646080/91sfxcbi_normal.png","View")</f>
        <v>View</v>
      </c>
      <c r="P6980" s="10"/>
    </row>
    <row r="6981" customFormat="false" ht="15.75" hidden="false" customHeight="false" outlineLevel="0" collapsed="false">
      <c r="A6981" s="6" t="n">
        <v>43031.3186574074</v>
      </c>
      <c r="B6981" s="7" t="str">
        <f aca="false">HYPERLINK("https://twitter.com/mystic_gemini24","@mystic_gemini24")</f>
        <v>@mystic_gemini24</v>
      </c>
      <c r="C6981" s="8" t="s">
        <v>15772</v>
      </c>
      <c r="D6981" s="8" t="s">
        <v>8538</v>
      </c>
      <c r="E6981" s="9" t="str">
        <f aca="false">HYPERLINK("https://twitter.com/mystic_gemini24/status/922472397449584641","922472397449584641")</f>
        <v>922472397449584641</v>
      </c>
      <c r="F6981" s="10" t="s">
        <v>51</v>
      </c>
      <c r="G6981" s="10" t="n">
        <v>10007</v>
      </c>
      <c r="H6981" s="10" t="n">
        <v>1782</v>
      </c>
      <c r="I6981" s="10" t="n">
        <v>1015</v>
      </c>
      <c r="J6981" s="10" t="n">
        <v>0</v>
      </c>
      <c r="K6981" s="10" t="s">
        <v>20</v>
      </c>
      <c r="L6981" s="11" t="n">
        <v>42355.8163888889</v>
      </c>
      <c r="M6981" s="12" t="s">
        <v>72</v>
      </c>
      <c r="N6981" s="12" t="s">
        <v>15773</v>
      </c>
      <c r="O6981" s="9" t="str">
        <f aca="false">HYPERLINK("https://pbs.twimg.com/profile_images/919802104918638592/BO8u260D_normal.jpg","View")</f>
        <v>View</v>
      </c>
      <c r="P6981" s="10"/>
    </row>
    <row r="6982" customFormat="false" ht="15.75" hidden="false" customHeight="false" outlineLevel="0" collapsed="false">
      <c r="A6982" s="6" t="n">
        <v>43031.3189351852</v>
      </c>
      <c r="B6982" s="7" t="str">
        <f aca="false">HYPERLINK("https://twitter.com/AficionadoYash","@AficionadoYash")</f>
        <v>@AficionadoYash</v>
      </c>
      <c r="C6982" s="8" t="s">
        <v>819</v>
      </c>
      <c r="D6982" s="8" t="s">
        <v>15774</v>
      </c>
      <c r="E6982" s="9" t="str">
        <f aca="false">HYPERLINK("https://twitter.com/AficionadoYash/status/922472495067824128","922472495067824128")</f>
        <v>922472495067824128</v>
      </c>
      <c r="F6982" s="10" t="s">
        <v>60</v>
      </c>
      <c r="G6982" s="10" t="n">
        <v>2582</v>
      </c>
      <c r="H6982" s="10" t="n">
        <v>948</v>
      </c>
      <c r="I6982" s="10" t="n">
        <v>0</v>
      </c>
      <c r="J6982" s="10" t="n">
        <v>0</v>
      </c>
      <c r="K6982" s="10" t="s">
        <v>20</v>
      </c>
      <c r="L6982" s="11" t="n">
        <v>40905.1268287037</v>
      </c>
      <c r="M6982" s="12" t="s">
        <v>72</v>
      </c>
      <c r="N6982" s="12" t="s">
        <v>821</v>
      </c>
      <c r="O6982" s="9" t="str">
        <f aca="false">HYPERLINK("https://pbs.twimg.com/profile_images/731065154129928192/gauLWTlp_normal.jpg","View")</f>
        <v>View</v>
      </c>
      <c r="P6982" s="10"/>
    </row>
    <row r="6983" customFormat="false" ht="15.75" hidden="false" customHeight="false" outlineLevel="0" collapsed="false">
      <c r="A6983" s="6" t="n">
        <v>43031.3196064815</v>
      </c>
      <c r="B6983" s="7" t="str">
        <f aca="false">HYPERLINK("https://twitter.com/livemint","@livemint")</f>
        <v>@livemint</v>
      </c>
      <c r="C6983" s="8" t="s">
        <v>816</v>
      </c>
      <c r="D6983" s="8" t="s">
        <v>15775</v>
      </c>
      <c r="E6983" s="9" t="str">
        <f aca="false">HYPERLINK("https://twitter.com/livemint/status/922472737561563136","922472737561563136")</f>
        <v>922472737561563136</v>
      </c>
      <c r="F6983" s="10" t="s">
        <v>60</v>
      </c>
      <c r="G6983" s="10" t="n">
        <v>1692767</v>
      </c>
      <c r="H6983" s="10" t="n">
        <v>352</v>
      </c>
      <c r="I6983" s="10" t="n">
        <v>10</v>
      </c>
      <c r="J6983" s="10" t="n">
        <v>20</v>
      </c>
      <c r="K6983" s="10" t="s">
        <v>20</v>
      </c>
      <c r="L6983" s="11" t="n">
        <v>39779.0469675926</v>
      </c>
      <c r="M6983" s="12" t="s">
        <v>72</v>
      </c>
      <c r="N6983" s="12" t="s">
        <v>818</v>
      </c>
      <c r="O6983" s="9" t="str">
        <f aca="false">HYPERLINK("https://pbs.twimg.com/profile_images/786768566280458240/10bMmNvU_normal.jpg","View")</f>
        <v>View</v>
      </c>
      <c r="P6983" s="10"/>
    </row>
    <row r="6984" customFormat="false" ht="15.75" hidden="false" customHeight="false" outlineLevel="0" collapsed="false">
      <c r="A6984" s="6" t="n">
        <v>43031.3196180556</v>
      </c>
      <c r="B6984" s="7" t="str">
        <f aca="false">HYPERLINK("https://twitter.com/bogmate","@bogmate")</f>
        <v>@bogmate</v>
      </c>
      <c r="C6984" s="8" t="s">
        <v>6674</v>
      </c>
      <c r="D6984" s="8" t="s">
        <v>15776</v>
      </c>
      <c r="E6984" s="9" t="str">
        <f aca="false">HYPERLINK("https://twitter.com/bogmate/status/922472743593037824","922472743593037824")</f>
        <v>922472743593037824</v>
      </c>
      <c r="F6984" s="10" t="s">
        <v>60</v>
      </c>
      <c r="G6984" s="10" t="n">
        <v>19</v>
      </c>
      <c r="H6984" s="10" t="n">
        <v>393</v>
      </c>
      <c r="I6984" s="10" t="n">
        <v>0</v>
      </c>
      <c r="J6984" s="10" t="n">
        <v>0</v>
      </c>
      <c r="K6984" s="10" t="s">
        <v>20</v>
      </c>
      <c r="L6984" s="11" t="n">
        <v>42230.8846412037</v>
      </c>
      <c r="M6984" s="12"/>
      <c r="N6984" s="12"/>
      <c r="O6984" s="9" t="str">
        <f aca="false">HYPERLINK("https://abs.twimg.com/sticky/default_profile_images/default_profile_normal.png","View")</f>
        <v>View</v>
      </c>
      <c r="P6984" s="10"/>
    </row>
    <row r="6985" customFormat="false" ht="15.75" hidden="false" customHeight="false" outlineLevel="0" collapsed="false">
      <c r="A6985" s="6" t="n">
        <v>43031.3200925926</v>
      </c>
      <c r="B6985" s="7" t="str">
        <f aca="false">HYPERLINK("https://twitter.com/SBSatpathy2","@SBSatpathy2")</f>
        <v>@SBSatpathy2</v>
      </c>
      <c r="C6985" s="8" t="s">
        <v>15777</v>
      </c>
      <c r="D6985" s="8" t="s">
        <v>8538</v>
      </c>
      <c r="E6985" s="9" t="str">
        <f aca="false">HYPERLINK("https://twitter.com/SBSatpathy2/status/922472914900807680","922472914900807680")</f>
        <v>922472914900807680</v>
      </c>
      <c r="F6985" s="10" t="s">
        <v>25</v>
      </c>
      <c r="G6985" s="10" t="n">
        <v>182</v>
      </c>
      <c r="H6985" s="10" t="n">
        <v>553</v>
      </c>
      <c r="I6985" s="10" t="n">
        <v>1015</v>
      </c>
      <c r="J6985" s="10" t="n">
        <v>0</v>
      </c>
      <c r="K6985" s="10" t="s">
        <v>20</v>
      </c>
      <c r="L6985" s="11" t="n">
        <v>41852.3111921296</v>
      </c>
      <c r="M6985" s="12" t="s">
        <v>15778</v>
      </c>
      <c r="N6985" s="12"/>
      <c r="O6985" s="9" t="str">
        <f aca="false">HYPERLINK("https://pbs.twimg.com/profile_images/496670013223215104/4N6OaPAW_normal.jpeg","View")</f>
        <v>View</v>
      </c>
      <c r="P6985" s="10"/>
    </row>
    <row r="6986" customFormat="false" ht="15.75" hidden="false" customHeight="false" outlineLevel="0" collapsed="false">
      <c r="A6986" s="6" t="n">
        <v>43031.3201388889</v>
      </c>
      <c r="B6986" s="7" t="str">
        <f aca="false">HYPERLINK("https://twitter.com/environmentguru","@environmentguru")</f>
        <v>@environmentguru</v>
      </c>
      <c r="C6986" s="8" t="s">
        <v>15779</v>
      </c>
      <c r="D6986" s="8" t="s">
        <v>15780</v>
      </c>
      <c r="E6986" s="9" t="str">
        <f aca="false">HYPERLINK("https://twitter.com/environmentguru/status/922472933271982080","922472933271982080")</f>
        <v>922472933271982080</v>
      </c>
      <c r="F6986" s="10" t="s">
        <v>55</v>
      </c>
      <c r="G6986" s="10" t="n">
        <v>5973</v>
      </c>
      <c r="H6986" s="10" t="n">
        <v>3830</v>
      </c>
      <c r="I6986" s="10" t="n">
        <v>0</v>
      </c>
      <c r="J6986" s="10" t="n">
        <v>0</v>
      </c>
      <c r="K6986" s="10" t="s">
        <v>20</v>
      </c>
      <c r="L6986" s="11" t="n">
        <v>39938.6040162037</v>
      </c>
      <c r="M6986" s="12" t="s">
        <v>15781</v>
      </c>
      <c r="N6986" s="12" t="s">
        <v>15782</v>
      </c>
      <c r="O6986" s="9" t="str">
        <f aca="false">HYPERLINK("https://pbs.twimg.com/profile_images/421855691/Fotolia_3816932_M_normal.jpg","View")</f>
        <v>View</v>
      </c>
      <c r="P6986" s="10"/>
    </row>
    <row r="6987" customFormat="false" ht="15.75" hidden="false" customHeight="false" outlineLevel="0" collapsed="false">
      <c r="A6987" s="6" t="n">
        <v>43031.3202777778</v>
      </c>
      <c r="B6987" s="7" t="str">
        <f aca="false">HYPERLINK("https://twitter.com/moderateright","@moderateright")</f>
        <v>@moderateright</v>
      </c>
      <c r="C6987" s="8" t="s">
        <v>11231</v>
      </c>
      <c r="D6987" s="8" t="s">
        <v>8538</v>
      </c>
      <c r="E6987" s="9" t="str">
        <f aca="false">HYPERLINK("https://twitter.com/moderateright/status/922472983024754689","922472983024754689")</f>
        <v>922472983024754689</v>
      </c>
      <c r="F6987" s="10" t="s">
        <v>25</v>
      </c>
      <c r="G6987" s="10" t="n">
        <v>2962</v>
      </c>
      <c r="H6987" s="10" t="n">
        <v>258</v>
      </c>
      <c r="I6987" s="10" t="n">
        <v>1015</v>
      </c>
      <c r="J6987" s="10" t="n">
        <v>0</v>
      </c>
      <c r="K6987" s="10" t="s">
        <v>20</v>
      </c>
      <c r="L6987" s="11" t="n">
        <v>40560.0653125</v>
      </c>
      <c r="M6987" s="12" t="s">
        <v>15783</v>
      </c>
      <c r="N6987" s="12" t="s">
        <v>15784</v>
      </c>
      <c r="O6987" s="9" t="str">
        <f aca="false">HYPERLINK("https://pbs.twimg.com/profile_images/798055682968850432/m453Jiyh_normal.jpg","View")</f>
        <v>View</v>
      </c>
      <c r="P6987" s="10"/>
    </row>
    <row r="6988" customFormat="false" ht="15.75" hidden="false" customHeight="false" outlineLevel="0" collapsed="false">
      <c r="A6988" s="6" t="n">
        <v>43031.3204861111</v>
      </c>
      <c r="B6988" s="7" t="str">
        <f aca="false">HYPERLINK("https://twitter.com/Timesolizer","@Timesolizer")</f>
        <v>@Timesolizer</v>
      </c>
      <c r="C6988" s="8" t="s">
        <v>5780</v>
      </c>
      <c r="D6988" s="8" t="s">
        <v>15785</v>
      </c>
      <c r="E6988" s="9" t="str">
        <f aca="false">HYPERLINK("https://twitter.com/Timesolizer/status/922473060183302145","922473060183302145")</f>
        <v>922473060183302145</v>
      </c>
      <c r="F6988" s="10" t="s">
        <v>5782</v>
      </c>
      <c r="G6988" s="10" t="n">
        <v>1805</v>
      </c>
      <c r="H6988" s="10" t="n">
        <v>362</v>
      </c>
      <c r="I6988" s="10" t="n">
        <v>0</v>
      </c>
      <c r="J6988" s="10" t="n">
        <v>0</v>
      </c>
      <c r="K6988" s="10" t="s">
        <v>20</v>
      </c>
      <c r="L6988" s="11" t="n">
        <v>42027.1052430556</v>
      </c>
      <c r="M6988" s="12" t="s">
        <v>1670</v>
      </c>
      <c r="N6988" s="12" t="s">
        <v>5783</v>
      </c>
      <c r="O6988" s="9" t="str">
        <f aca="false">HYPERLINK("https://pbs.twimg.com/profile_images/558573226423353344/Xjj7p4qe_normal.jpeg","View")</f>
        <v>View</v>
      </c>
      <c r="P6988" s="10"/>
    </row>
    <row r="6989" customFormat="false" ht="15.75" hidden="false" customHeight="false" outlineLevel="0" collapsed="false">
      <c r="A6989" s="6" t="n">
        <v>43031.3205902778</v>
      </c>
      <c r="B6989" s="7" t="str">
        <f aca="false">HYPERLINK("https://twitter.com/srinivas986","@srinivas986")</f>
        <v>@srinivas986</v>
      </c>
      <c r="C6989" s="8" t="s">
        <v>15786</v>
      </c>
      <c r="D6989" s="8" t="s">
        <v>8538</v>
      </c>
      <c r="E6989" s="9" t="str">
        <f aca="false">HYPERLINK("https://twitter.com/srinivas986/status/922473096786804741","922473096786804741")</f>
        <v>922473096786804741</v>
      </c>
      <c r="F6989" s="10" t="s">
        <v>25</v>
      </c>
      <c r="G6989" s="10" t="n">
        <v>9</v>
      </c>
      <c r="H6989" s="10" t="n">
        <v>270</v>
      </c>
      <c r="I6989" s="10" t="n">
        <v>1015</v>
      </c>
      <c r="J6989" s="10" t="n">
        <v>0</v>
      </c>
      <c r="K6989" s="10" t="s">
        <v>20</v>
      </c>
      <c r="L6989" s="11" t="n">
        <v>42508.8417939815</v>
      </c>
      <c r="M6989" s="12"/>
      <c r="N6989" s="12"/>
      <c r="O6989" s="9" t="str">
        <f aca="false">HYPERLINK("https://abs.twimg.com/sticky/default_profile_images/default_profile_normal.png","View")</f>
        <v>View</v>
      </c>
      <c r="P6989" s="10"/>
    </row>
    <row r="6990" customFormat="false" ht="15.75" hidden="false" customHeight="false" outlineLevel="0" collapsed="false">
      <c r="A6990" s="6" t="n">
        <v>43031.3206365741</v>
      </c>
      <c r="B6990" s="7" t="str">
        <f aca="false">HYPERLINK("https://twitter.com/IAS_Gurukul","@IAS_Gurukul")</f>
        <v>@IAS_Gurukul</v>
      </c>
      <c r="C6990" s="8" t="s">
        <v>838</v>
      </c>
      <c r="D6990" s="8" t="s">
        <v>15787</v>
      </c>
      <c r="E6990" s="9" t="str">
        <f aca="false">HYPERLINK("https://twitter.com/IAS_Gurukul/status/922473113811550208","922473113811550208")</f>
        <v>922473113811550208</v>
      </c>
      <c r="F6990" s="10" t="s">
        <v>60</v>
      </c>
      <c r="G6990" s="10" t="n">
        <v>165</v>
      </c>
      <c r="H6990" s="10" t="n">
        <v>70</v>
      </c>
      <c r="I6990" s="10" t="n">
        <v>0</v>
      </c>
      <c r="J6990" s="10" t="n">
        <v>0</v>
      </c>
      <c r="K6990" s="10" t="s">
        <v>20</v>
      </c>
      <c r="L6990" s="11" t="n">
        <v>42635.8370486111</v>
      </c>
      <c r="M6990" s="12" t="s">
        <v>64</v>
      </c>
      <c r="N6990" s="12" t="s">
        <v>840</v>
      </c>
      <c r="O6990" s="9" t="str">
        <f aca="false">HYPERLINK("https://pbs.twimg.com/profile_images/898138063557214209/uxDcvkn3_normal.jpg","View")</f>
        <v>View</v>
      </c>
      <c r="P6990" s="10"/>
    </row>
    <row r="6991" customFormat="false" ht="15.75" hidden="false" customHeight="false" outlineLevel="0" collapsed="false">
      <c r="A6991" s="6" t="n">
        <v>43031.3206944444</v>
      </c>
      <c r="B6991" s="7" t="str">
        <f aca="false">HYPERLINK("https://twitter.com/filhopaulo2012","@filhopaulo2012")</f>
        <v>@filhopaulo2012</v>
      </c>
      <c r="C6991" s="8" t="s">
        <v>15788</v>
      </c>
      <c r="D6991" s="8" t="s">
        <v>13595</v>
      </c>
      <c r="E6991" s="9" t="str">
        <f aca="false">HYPERLINK("https://twitter.com/filhopaulo2012/status/922473135760465920","922473135760465920")</f>
        <v>922473135760465920</v>
      </c>
      <c r="F6991" s="10" t="s">
        <v>25</v>
      </c>
      <c r="G6991" s="10" t="n">
        <v>223</v>
      </c>
      <c r="H6991" s="10" t="n">
        <v>147</v>
      </c>
      <c r="I6991" s="10" t="n">
        <v>88</v>
      </c>
      <c r="J6991" s="10" t="n">
        <v>0</v>
      </c>
      <c r="K6991" s="10" t="s">
        <v>20</v>
      </c>
      <c r="L6991" s="11" t="n">
        <v>41691.8065277778</v>
      </c>
      <c r="M6991" s="12"/>
      <c r="N6991" s="12"/>
      <c r="O6991" s="9" t="str">
        <f aca="false">HYPERLINK("https://pbs.twimg.com/profile_images/904390660857450497/QSL4hjp5_normal.jpg","View")</f>
        <v>View</v>
      </c>
      <c r="P6991" s="10"/>
    </row>
    <row r="6992" customFormat="false" ht="15.75" hidden="false" customHeight="false" outlineLevel="0" collapsed="false">
      <c r="A6992" s="6" t="n">
        <v>43031.3212962963</v>
      </c>
      <c r="B6992" s="7" t="str">
        <f aca="false">HYPERLINK("https://twitter.com/amannamra","@amannamra")</f>
        <v>@amannamra</v>
      </c>
      <c r="C6992" s="8" t="s">
        <v>15789</v>
      </c>
      <c r="D6992" s="8" t="s">
        <v>15790</v>
      </c>
      <c r="E6992" s="9" t="str">
        <f aca="false">HYPERLINK("https://twitter.com/amannamra/status/922473351704141824","922473351704141824")</f>
        <v>922473351704141824</v>
      </c>
      <c r="F6992" s="10" t="s">
        <v>39</v>
      </c>
      <c r="G6992" s="10" t="n">
        <v>1243</v>
      </c>
      <c r="H6992" s="10" t="n">
        <v>2396</v>
      </c>
      <c r="I6992" s="10" t="n">
        <v>10</v>
      </c>
      <c r="J6992" s="10" t="n">
        <v>0</v>
      </c>
      <c r="K6992" s="10" t="s">
        <v>20</v>
      </c>
      <c r="L6992" s="11" t="n">
        <v>39987.1144907407</v>
      </c>
      <c r="M6992" s="12" t="s">
        <v>15791</v>
      </c>
      <c r="N6992" s="12" t="s">
        <v>15792</v>
      </c>
      <c r="O6992" s="9" t="str">
        <f aca="false">HYPERLINK("https://pbs.twimg.com/profile_images/785559630336360448/Td0iISjr_normal.jpg","View")</f>
        <v>View</v>
      </c>
      <c r="P6992" s="10"/>
    </row>
    <row r="6993" customFormat="false" ht="15.75" hidden="false" customHeight="false" outlineLevel="0" collapsed="false">
      <c r="A6993" s="6" t="n">
        <v>43031.321724537</v>
      </c>
      <c r="B6993" s="7" t="str">
        <f aca="false">HYPERLINK("https://twitter.com/shalin5960","@shalin5960")</f>
        <v>@shalin5960</v>
      </c>
      <c r="C6993" s="8" t="s">
        <v>812</v>
      </c>
      <c r="D6993" s="8" t="s">
        <v>15793</v>
      </c>
      <c r="E6993" s="9" t="str">
        <f aca="false">HYPERLINK("https://twitter.com/shalin5960/status/922473508965441536","922473508965441536")</f>
        <v>922473508965441536</v>
      </c>
      <c r="F6993" s="10" t="s">
        <v>60</v>
      </c>
      <c r="G6993" s="10" t="n">
        <v>235</v>
      </c>
      <c r="H6993" s="10" t="n">
        <v>167</v>
      </c>
      <c r="I6993" s="10" t="n">
        <v>0</v>
      </c>
      <c r="J6993" s="10" t="n">
        <v>0</v>
      </c>
      <c r="K6993" s="10" t="s">
        <v>20</v>
      </c>
      <c r="L6993" s="11" t="n">
        <v>40276.4158564815</v>
      </c>
      <c r="M6993" s="12" t="s">
        <v>814</v>
      </c>
      <c r="N6993" s="12" t="s">
        <v>815</v>
      </c>
      <c r="O6993" s="9" t="str">
        <f aca="false">HYPERLINK("https://pbs.twimg.com/profile_images/883907510070935552/d2p-brHu_normal.jpg","View")</f>
        <v>View</v>
      </c>
      <c r="P6993" s="10"/>
    </row>
    <row r="6994" customFormat="false" ht="15.75" hidden="false" customHeight="false" outlineLevel="0" collapsed="false">
      <c r="A6994" s="6" t="n">
        <v>43031.3217708333</v>
      </c>
      <c r="B6994" s="7" t="str">
        <f aca="false">HYPERLINK("https://twitter.com/allstartupsin","@allstartupsin")</f>
        <v>@allstartupsin</v>
      </c>
      <c r="C6994" s="7" t="s">
        <v>831</v>
      </c>
      <c r="D6994" s="8" t="s">
        <v>15794</v>
      </c>
      <c r="E6994" s="9" t="str">
        <f aca="false">HYPERLINK("https://twitter.com/allstartupsin/status/922473522877943808","922473522877943808")</f>
        <v>922473522877943808</v>
      </c>
      <c r="F6994" s="10" t="s">
        <v>60</v>
      </c>
      <c r="G6994" s="10" t="n">
        <v>1605</v>
      </c>
      <c r="H6994" s="10" t="n">
        <v>1993</v>
      </c>
      <c r="I6994" s="10" t="n">
        <v>0</v>
      </c>
      <c r="J6994" s="10" t="n">
        <v>0</v>
      </c>
      <c r="K6994" s="10" t="s">
        <v>20</v>
      </c>
      <c r="L6994" s="11" t="n">
        <v>41453.3700462963</v>
      </c>
      <c r="M6994" s="12" t="s">
        <v>72</v>
      </c>
      <c r="N6994" s="12" t="s">
        <v>833</v>
      </c>
      <c r="O6994" s="9" t="str">
        <f aca="false">HYPERLINK("https://pbs.twimg.com/profile_images/770675004446941184/DgZiAFjn_normal.jpg","View")</f>
        <v>View</v>
      </c>
      <c r="P6994" s="10"/>
    </row>
    <row r="6995" customFormat="false" ht="15.75" hidden="false" customHeight="false" outlineLevel="0" collapsed="false">
      <c r="A6995" s="6" t="n">
        <v>43031.3220601852</v>
      </c>
      <c r="B6995" s="7" t="str">
        <f aca="false">HYPERLINK("https://twitter.com/Im4fit","@Im4fit")</f>
        <v>@Im4fit</v>
      </c>
      <c r="C6995" s="8" t="s">
        <v>15795</v>
      </c>
      <c r="D6995" s="8" t="s">
        <v>14466</v>
      </c>
      <c r="E6995" s="9" t="str">
        <f aca="false">HYPERLINK("https://twitter.com/Im4fit/status/922473628943265792","922473628943265792")</f>
        <v>922473628943265792</v>
      </c>
      <c r="F6995" s="10" t="s">
        <v>51</v>
      </c>
      <c r="G6995" s="10" t="n">
        <v>1870</v>
      </c>
      <c r="H6995" s="10" t="n">
        <v>5000</v>
      </c>
      <c r="I6995" s="10" t="n">
        <v>51</v>
      </c>
      <c r="J6995" s="10" t="n">
        <v>0</v>
      </c>
      <c r="K6995" s="10" t="s">
        <v>20</v>
      </c>
      <c r="L6995" s="11" t="n">
        <v>40959.5527430556</v>
      </c>
      <c r="M6995" s="12" t="s">
        <v>15796</v>
      </c>
      <c r="N6995" s="12" t="s">
        <v>15797</v>
      </c>
      <c r="O6995" s="9" t="str">
        <f aca="false">HYPERLINK("https://pbs.twimg.com/profile_images/568803907476799488/TWNxXFWK_normal.jpeg","View")</f>
        <v>View</v>
      </c>
      <c r="P6995" s="10"/>
    </row>
    <row r="6996" customFormat="false" ht="15.75" hidden="false" customHeight="false" outlineLevel="0" collapsed="false">
      <c r="A6996" s="6" t="n">
        <v>43031.322337963</v>
      </c>
      <c r="B6996" s="7" t="str">
        <f aca="false">HYPERLINK("https://twitter.com/curiousonly","@curiousonly")</f>
        <v>@curiousonly</v>
      </c>
      <c r="C6996" s="8" t="s">
        <v>15798</v>
      </c>
      <c r="D6996" s="8" t="s">
        <v>11738</v>
      </c>
      <c r="E6996" s="9" t="str">
        <f aca="false">HYPERLINK("https://twitter.com/curiousonly/status/922473729044627459","922473729044627459")</f>
        <v>922473729044627459</v>
      </c>
      <c r="F6996" s="10" t="s">
        <v>39</v>
      </c>
      <c r="G6996" s="10" t="n">
        <v>702</v>
      </c>
      <c r="H6996" s="10" t="n">
        <v>417</v>
      </c>
      <c r="I6996" s="10" t="n">
        <v>11</v>
      </c>
      <c r="J6996" s="10" t="n">
        <v>0</v>
      </c>
      <c r="K6996" s="10" t="s">
        <v>20</v>
      </c>
      <c r="L6996" s="11" t="n">
        <v>40346.6185763889</v>
      </c>
      <c r="M6996" s="12" t="s">
        <v>15799</v>
      </c>
      <c r="N6996" s="12" t="s">
        <v>15800</v>
      </c>
      <c r="O6996" s="9" t="str">
        <f aca="false">HYPERLINK("https://pbs.twimg.com/profile_images/919758964279074816/5--r7U51_normal.jpg","View")</f>
        <v>View</v>
      </c>
      <c r="P6996" s="10"/>
    </row>
    <row r="6997" customFormat="false" ht="15.75" hidden="false" customHeight="false" outlineLevel="0" collapsed="false">
      <c r="A6997" s="6" t="n">
        <v>43031.3224421296</v>
      </c>
      <c r="B6997" s="7" t="str">
        <f aca="false">HYPERLINK("https://twitter.com/iamshalabh21","@iamshalabh21")</f>
        <v>@iamshalabh21</v>
      </c>
      <c r="C6997" s="8" t="s">
        <v>15801</v>
      </c>
      <c r="D6997" s="8" t="s">
        <v>15790</v>
      </c>
      <c r="E6997" s="9" t="str">
        <f aca="false">HYPERLINK("https://twitter.com/iamshalabh21/status/922473765593681920","922473765593681920")</f>
        <v>922473765593681920</v>
      </c>
      <c r="F6997" s="10" t="s">
        <v>25</v>
      </c>
      <c r="G6997" s="10" t="n">
        <v>348</v>
      </c>
      <c r="H6997" s="10" t="n">
        <v>1543</v>
      </c>
      <c r="I6997" s="10" t="n">
        <v>10</v>
      </c>
      <c r="J6997" s="10" t="n">
        <v>0</v>
      </c>
      <c r="K6997" s="10" t="s">
        <v>20</v>
      </c>
      <c r="L6997" s="11" t="n">
        <v>41050.5187268519</v>
      </c>
      <c r="M6997" s="12" t="s">
        <v>8668</v>
      </c>
      <c r="N6997" s="12" t="s">
        <v>15802</v>
      </c>
      <c r="O6997" s="9" t="str">
        <f aca="false">HYPERLINK("https://pbs.twimg.com/profile_images/2240902541/Shalabh_normal.jpg","View")</f>
        <v>View</v>
      </c>
      <c r="P6997" s="10"/>
    </row>
    <row r="6998" customFormat="false" ht="15.75" hidden="false" customHeight="false" outlineLevel="0" collapsed="false">
      <c r="A6998" s="6" t="n">
        <v>43031.3224652778</v>
      </c>
      <c r="B6998" s="7" t="str">
        <f aca="false">HYPERLINK("https://twitter.com/AsiaPolicy","@AsiaPolicy")</f>
        <v>@AsiaPolicy</v>
      </c>
      <c r="C6998" s="8" t="s">
        <v>15803</v>
      </c>
      <c r="D6998" s="8" t="s">
        <v>15804</v>
      </c>
      <c r="E6998" s="9" t="str">
        <f aca="false">HYPERLINK("https://twitter.com/AsiaPolicy/status/922473777082060800","922473777082060800")</f>
        <v>922473777082060800</v>
      </c>
      <c r="F6998" s="10" t="s">
        <v>276</v>
      </c>
      <c r="G6998" s="10" t="n">
        <v>3864</v>
      </c>
      <c r="H6998" s="10" t="n">
        <v>809</v>
      </c>
      <c r="I6998" s="10" t="n">
        <v>0</v>
      </c>
      <c r="J6998" s="10" t="n">
        <v>0</v>
      </c>
      <c r="K6998" s="10" t="s">
        <v>20</v>
      </c>
      <c r="L6998" s="11" t="n">
        <v>41310.6343287037</v>
      </c>
      <c r="M6998" s="12" t="s">
        <v>15805</v>
      </c>
      <c r="N6998" s="12" t="s">
        <v>15806</v>
      </c>
      <c r="O6998" s="9" t="str">
        <f aca="false">HYPERLINK("https://pbs.twimg.com/profile_images/606601194434363392/11lpAbki_normal.png","View")</f>
        <v>View</v>
      </c>
      <c r="P6998" s="10"/>
    </row>
    <row r="6999" customFormat="false" ht="15.75" hidden="false" customHeight="false" outlineLevel="0" collapsed="false">
      <c r="A6999" s="6" t="n">
        <v>43031.3226388889</v>
      </c>
      <c r="B6999" s="7" t="str">
        <f aca="false">HYPERLINK("https://twitter.com/ecodaren","@ecodaren")</f>
        <v>@ecodaren</v>
      </c>
      <c r="C6999" s="8" t="s">
        <v>2239</v>
      </c>
      <c r="D6999" s="8" t="s">
        <v>15807</v>
      </c>
      <c r="E6999" s="9" t="str">
        <f aca="false">HYPERLINK("https://twitter.com/ecodaren/status/922473839501516800","922473839501516800")</f>
        <v>922473839501516800</v>
      </c>
      <c r="F6999" s="10" t="s">
        <v>25</v>
      </c>
      <c r="G6999" s="10" t="n">
        <v>3186</v>
      </c>
      <c r="H6999" s="10" t="n">
        <v>666</v>
      </c>
      <c r="I6999" s="10" t="n">
        <v>1</v>
      </c>
      <c r="J6999" s="10" t="n">
        <v>0</v>
      </c>
      <c r="K6999" s="10" t="s">
        <v>20</v>
      </c>
      <c r="L6999" s="11" t="n">
        <v>40242.9772569445</v>
      </c>
      <c r="M6999" s="12" t="s">
        <v>2241</v>
      </c>
      <c r="N6999" s="12" t="s">
        <v>2242</v>
      </c>
      <c r="O6999" s="9" t="str">
        <f aca="false">HYPERLINK("https://pbs.twimg.com/profile_images/735550709/imgffbe007fzikbzj_normal.jpg","View")</f>
        <v>View</v>
      </c>
      <c r="P6999" s="10"/>
    </row>
    <row r="7000" customFormat="false" ht="15.75" hidden="false" customHeight="false" outlineLevel="0" collapsed="false">
      <c r="A7000" s="6" t="n">
        <v>43031.3235763889</v>
      </c>
      <c r="B7000" s="7" t="str">
        <f aca="false">HYPERLINK("https://twitter.com/ravitex123","@ravitex123")</f>
        <v>@ravitex123</v>
      </c>
      <c r="C7000" s="8" t="s">
        <v>15808</v>
      </c>
      <c r="D7000" s="8" t="s">
        <v>8538</v>
      </c>
      <c r="E7000" s="9" t="str">
        <f aca="false">HYPERLINK("https://twitter.com/ravitex123/status/922474178934013953","922474178934013953")</f>
        <v>922474178934013953</v>
      </c>
      <c r="F7000" s="10" t="s">
        <v>39</v>
      </c>
      <c r="G7000" s="10" t="n">
        <v>295</v>
      </c>
      <c r="H7000" s="10" t="n">
        <v>313</v>
      </c>
      <c r="I7000" s="10" t="n">
        <v>1015</v>
      </c>
      <c r="J7000" s="10" t="n">
        <v>0</v>
      </c>
      <c r="K7000" s="10" t="s">
        <v>20</v>
      </c>
      <c r="L7000" s="11" t="n">
        <v>40568.7130902778</v>
      </c>
      <c r="M7000" s="12" t="s">
        <v>15809</v>
      </c>
      <c r="N7000" s="12" t="s">
        <v>15810</v>
      </c>
      <c r="O7000" s="9" t="str">
        <f aca="false">HYPERLINK("https://pbs.twimg.com/profile_images/738584856536350720/GICYRuqT_normal.jpg","View")</f>
        <v>View</v>
      </c>
      <c r="P7000" s="10"/>
    </row>
    <row r="7001" customFormat="false" ht="15.75" hidden="false" customHeight="false" outlineLevel="0" collapsed="false">
      <c r="A7001" s="6" t="n">
        <v>43031.3241435185</v>
      </c>
      <c r="B7001" s="7" t="str">
        <f aca="false">HYPERLINK("https://twitter.com/PPanduprem","@PPanduprem")</f>
        <v>@PPanduprem</v>
      </c>
      <c r="C7001" s="8" t="s">
        <v>15811</v>
      </c>
      <c r="D7001" s="8" t="s">
        <v>8538</v>
      </c>
      <c r="E7001" s="9" t="str">
        <f aca="false">HYPERLINK("https://twitter.com/PPanduprem/status/922474385365114880","922474385365114880")</f>
        <v>922474385365114880</v>
      </c>
      <c r="F7001" s="10" t="s">
        <v>25</v>
      </c>
      <c r="G7001" s="10" t="n">
        <v>144</v>
      </c>
      <c r="H7001" s="10" t="n">
        <v>483</v>
      </c>
      <c r="I7001" s="10" t="n">
        <v>1015</v>
      </c>
      <c r="J7001" s="10" t="n">
        <v>0</v>
      </c>
      <c r="K7001" s="10" t="s">
        <v>20</v>
      </c>
      <c r="L7001" s="11" t="n">
        <v>41994.232650463</v>
      </c>
      <c r="M7001" s="12"/>
      <c r="N7001" s="12"/>
      <c r="O7001" s="9" t="str">
        <f aca="false">HYPERLINK("https://pbs.twimg.com/profile_images/679328981145903104/OuZk742D_normal.jpg","View")</f>
        <v>View</v>
      </c>
      <c r="P7001" s="10"/>
    </row>
    <row r="7002" customFormat="false" ht="15.75" hidden="false" customHeight="false" outlineLevel="0" collapsed="false">
      <c r="A7002" s="6" t="n">
        <v>43031.3246064815</v>
      </c>
      <c r="B7002" s="7" t="str">
        <f aca="false">HYPERLINK("https://twitter.com/Ajathasathru22","@Ajathasathru22")</f>
        <v>@Ajathasathru22</v>
      </c>
      <c r="C7002" s="8" t="s">
        <v>15812</v>
      </c>
      <c r="D7002" s="8" t="s">
        <v>8538</v>
      </c>
      <c r="E7002" s="9" t="str">
        <f aca="false">HYPERLINK("https://twitter.com/Ajathasathru22/status/922474551300313088","922474551300313088")</f>
        <v>922474551300313088</v>
      </c>
      <c r="F7002" s="10" t="s">
        <v>51</v>
      </c>
      <c r="G7002" s="10" t="n">
        <v>25</v>
      </c>
      <c r="H7002" s="10" t="n">
        <v>98</v>
      </c>
      <c r="I7002" s="10" t="n">
        <v>1015</v>
      </c>
      <c r="J7002" s="10" t="n">
        <v>0</v>
      </c>
      <c r="K7002" s="10" t="s">
        <v>20</v>
      </c>
      <c r="L7002" s="11" t="n">
        <v>42878.510625</v>
      </c>
      <c r="M7002" s="12"/>
      <c r="N7002" s="12" t="s">
        <v>15813</v>
      </c>
      <c r="O7002" s="9" t="str">
        <f aca="false">HYPERLINK("https://abs.twimg.com/sticky/default_profile_images/default_profile_normal.png","View")</f>
        <v>View</v>
      </c>
      <c r="P7002" s="10"/>
    </row>
    <row r="7003" customFormat="false" ht="15.75" hidden="false" customHeight="false" outlineLevel="0" collapsed="false">
      <c r="A7003" s="6" t="n">
        <v>43031.3247453704</v>
      </c>
      <c r="B7003" s="7" t="str">
        <f aca="false">HYPERLINK("https://twitter.com/Chandra_bhs","@Chandra_bhs")</f>
        <v>@Chandra_bhs</v>
      </c>
      <c r="C7003" s="8" t="s">
        <v>7361</v>
      </c>
      <c r="D7003" s="8" t="s">
        <v>15790</v>
      </c>
      <c r="E7003" s="9" t="str">
        <f aca="false">HYPERLINK("https://twitter.com/Chandra_bhs/status/922474603674443776","922474603674443776")</f>
        <v>922474603674443776</v>
      </c>
      <c r="F7003" s="10" t="s">
        <v>25</v>
      </c>
      <c r="G7003" s="10" t="n">
        <v>1076</v>
      </c>
      <c r="H7003" s="10" t="n">
        <v>589</v>
      </c>
      <c r="I7003" s="10" t="n">
        <v>10</v>
      </c>
      <c r="J7003" s="10" t="n">
        <v>0</v>
      </c>
      <c r="K7003" s="10" t="s">
        <v>20</v>
      </c>
      <c r="L7003" s="11" t="n">
        <v>40974.4741782407</v>
      </c>
      <c r="M7003" s="12" t="s">
        <v>72</v>
      </c>
      <c r="N7003" s="12" t="s">
        <v>7362</v>
      </c>
      <c r="O7003" s="9" t="str">
        <f aca="false">HYPERLINK("https://pbs.twimg.com/profile_images/765640570941214720/nl8KhIem_normal.jpg","View")</f>
        <v>View</v>
      </c>
      <c r="P7003" s="10"/>
    </row>
    <row r="7004" customFormat="false" ht="15.75" hidden="false" customHeight="false" outlineLevel="0" collapsed="false">
      <c r="A7004" s="6" t="n">
        <v>43031.3252199074</v>
      </c>
      <c r="B7004" s="7" t="str">
        <f aca="false">HYPERLINK("https://twitter.com/hangeki_mizuki2","@hangeki_mizuki2")</f>
        <v>@hangeki_mizuki2</v>
      </c>
      <c r="C7004" s="14" t="s">
        <v>15814</v>
      </c>
      <c r="D7004" s="8" t="s">
        <v>15815</v>
      </c>
      <c r="E7004" s="9" t="str">
        <f aca="false">HYPERLINK("https://twitter.com/hangeki_mizuki2/status/922474775825575936","922474775825575936")</f>
        <v>922474775825575936</v>
      </c>
      <c r="F7004" s="10" t="s">
        <v>60</v>
      </c>
      <c r="G7004" s="10" t="n">
        <v>1677</v>
      </c>
      <c r="H7004" s="10" t="n">
        <v>1848</v>
      </c>
      <c r="I7004" s="10" t="n">
        <v>0</v>
      </c>
      <c r="J7004" s="10" t="n">
        <v>0</v>
      </c>
      <c r="K7004" s="10" t="s">
        <v>20</v>
      </c>
      <c r="L7004" s="11" t="n">
        <v>42859.4023726852</v>
      </c>
      <c r="M7004" s="12"/>
      <c r="N7004" s="13" t="s">
        <v>15816</v>
      </c>
      <c r="O7004" s="9" t="str">
        <f aca="false">HYPERLINK("https://pbs.twimg.com/profile_images/867697978206826499/scNJZkD0_normal.jpg","View")</f>
        <v>View</v>
      </c>
      <c r="P7004" s="10"/>
    </row>
    <row r="7005" customFormat="false" ht="15.75" hidden="false" customHeight="false" outlineLevel="0" collapsed="false">
      <c r="A7005" s="6" t="n">
        <v>43031.3257986111</v>
      </c>
      <c r="B7005" s="7" t="str">
        <f aca="false">HYPERLINK("https://twitter.com/HT107642","@HT107642")</f>
        <v>@HT107642</v>
      </c>
      <c r="C7005" s="8" t="s">
        <v>8703</v>
      </c>
      <c r="D7005" s="8" t="s">
        <v>15790</v>
      </c>
      <c r="E7005" s="9" t="str">
        <f aca="false">HYPERLINK("https://twitter.com/HT107642/status/922474983506325509","922474983506325509")</f>
        <v>922474983506325509</v>
      </c>
      <c r="F7005" s="10" t="s">
        <v>25</v>
      </c>
      <c r="G7005" s="10" t="n">
        <v>1797</v>
      </c>
      <c r="H7005" s="10" t="n">
        <v>2412</v>
      </c>
      <c r="I7005" s="10" t="n">
        <v>10</v>
      </c>
      <c r="J7005" s="10" t="n">
        <v>0</v>
      </c>
      <c r="K7005" s="10" t="s">
        <v>20</v>
      </c>
      <c r="L7005" s="11" t="n">
        <v>42384.1563310185</v>
      </c>
      <c r="M7005" s="12"/>
      <c r="N7005" s="12"/>
      <c r="O7005" s="9" t="str">
        <f aca="false">HYPERLINK("https://pbs.twimg.com/profile_images/687965148967915520/v0Wg9mP4_normal.jpg","View")</f>
        <v>View</v>
      </c>
      <c r="P7005" s="10"/>
    </row>
    <row r="7006" customFormat="false" ht="15.75" hidden="false" customHeight="false" outlineLevel="0" collapsed="false">
      <c r="A7006" s="6" t="n">
        <v>43031.3267939815</v>
      </c>
      <c r="B7006" s="7" t="str">
        <f aca="false">HYPERLINK("https://twitter.com/CanadianPM","@CanadianPM")</f>
        <v>@CanadianPM</v>
      </c>
      <c r="C7006" s="8" t="s">
        <v>15817</v>
      </c>
      <c r="D7006" s="8" t="s">
        <v>15818</v>
      </c>
      <c r="E7006" s="9" t="str">
        <f aca="false">HYPERLINK("https://twitter.com/CanadianPM/status/922475344002736131","922475344002736131")</f>
        <v>922475344002736131</v>
      </c>
      <c r="F7006" s="10" t="s">
        <v>110</v>
      </c>
      <c r="G7006" s="10" t="n">
        <v>123901</v>
      </c>
      <c r="H7006" s="10" t="n">
        <v>1071</v>
      </c>
      <c r="I7006" s="10" t="n">
        <v>41</v>
      </c>
      <c r="J7006" s="10" t="n">
        <v>81</v>
      </c>
      <c r="K7006" s="10" t="s">
        <v>20</v>
      </c>
      <c r="L7006" s="11" t="n">
        <v>39577.3093287037</v>
      </c>
      <c r="M7006" s="12" t="s">
        <v>6243</v>
      </c>
      <c r="N7006" s="12" t="s">
        <v>15819</v>
      </c>
      <c r="O7006" s="9" t="str">
        <f aca="false">HYPERLINK("https://pbs.twimg.com/profile_images/877227485724909568/U3Pxb5h1_normal.jpg","View")</f>
        <v>View</v>
      </c>
      <c r="P7006" s="10"/>
    </row>
    <row r="7007" customFormat="false" ht="15.75" hidden="false" customHeight="false" outlineLevel="0" collapsed="false">
      <c r="A7007" s="6" t="n">
        <v>43031.3269328704</v>
      </c>
      <c r="B7007" s="7" t="str">
        <f aca="false">HYPERLINK("https://twitter.com/Anglaigus","@Anglaigus")</f>
        <v>@Anglaigus</v>
      </c>
      <c r="C7007" s="8" t="s">
        <v>15820</v>
      </c>
      <c r="D7007" s="8" t="s">
        <v>15821</v>
      </c>
      <c r="E7007" s="9" t="str">
        <f aca="false">HYPERLINK("https://twitter.com/Anglaigus/status/922475393420025856","922475393420025856")</f>
        <v>922475393420025856</v>
      </c>
      <c r="F7007" s="10" t="s">
        <v>276</v>
      </c>
      <c r="G7007" s="10" t="n">
        <v>625</v>
      </c>
      <c r="H7007" s="10" t="n">
        <v>1907</v>
      </c>
      <c r="I7007" s="10" t="n">
        <v>41</v>
      </c>
      <c r="J7007" s="10" t="n">
        <v>0</v>
      </c>
      <c r="K7007" s="10" t="s">
        <v>20</v>
      </c>
      <c r="L7007" s="11" t="n">
        <v>40300.0199884259</v>
      </c>
      <c r="M7007" s="12" t="s">
        <v>15822</v>
      </c>
      <c r="N7007" s="12" t="s">
        <v>15823</v>
      </c>
      <c r="O7007" s="9" t="str">
        <f aca="false">HYPERLINK("https://pbs.twimg.com/profile_images/819347599505428480/K1j6FFRu_normal.jpg","View")</f>
        <v>View</v>
      </c>
      <c r="P7007" s="10"/>
    </row>
    <row r="7008" customFormat="false" ht="15.75" hidden="false" customHeight="false" outlineLevel="0" collapsed="false">
      <c r="A7008" s="6" t="n">
        <v>43031.3271064815</v>
      </c>
      <c r="B7008" s="7" t="str">
        <f aca="false">HYPERLINK("https://twitter.com/RobertJMolnar","@RobertJMolnar")</f>
        <v>@RobertJMolnar</v>
      </c>
      <c r="C7008" s="8" t="s">
        <v>15824</v>
      </c>
      <c r="D7008" s="8" t="s">
        <v>15825</v>
      </c>
      <c r="E7008" s="9" t="str">
        <f aca="false">HYPERLINK("https://twitter.com/RobertJMolnar/status/922475457005498370","922475457005498370")</f>
        <v>922475457005498370</v>
      </c>
      <c r="F7008" s="10" t="s">
        <v>39</v>
      </c>
      <c r="G7008" s="10" t="n">
        <v>1213</v>
      </c>
      <c r="H7008" s="10" t="n">
        <v>837</v>
      </c>
      <c r="I7008" s="10" t="n">
        <v>0</v>
      </c>
      <c r="J7008" s="10" t="n">
        <v>0</v>
      </c>
      <c r="K7008" s="10" t="s">
        <v>20</v>
      </c>
      <c r="L7008" s="11" t="n">
        <v>40492.349837963</v>
      </c>
      <c r="M7008" s="12" t="s">
        <v>15826</v>
      </c>
      <c r="N7008" s="12" t="s">
        <v>15827</v>
      </c>
      <c r="O7008" s="9" t="str">
        <f aca="false">HYPERLINK("https://pbs.twimg.com/profile_images/922272383641063424/2I_xwX8C_normal.jpg","View")</f>
        <v>View</v>
      </c>
      <c r="P7008" s="10"/>
    </row>
    <row r="7009" customFormat="false" ht="15.75" hidden="false" customHeight="false" outlineLevel="0" collapsed="false">
      <c r="A7009" s="6" t="n">
        <v>43031.3277430556</v>
      </c>
      <c r="B7009" s="7" t="str">
        <f aca="false">HYPERLINK("https://twitter.com/Vinayak_0604","@Vinayak_0604")</f>
        <v>@Vinayak_0604</v>
      </c>
      <c r="C7009" s="8" t="s">
        <v>15828</v>
      </c>
      <c r="D7009" s="8" t="s">
        <v>8538</v>
      </c>
      <c r="E7009" s="9" t="str">
        <f aca="false">HYPERLINK("https://twitter.com/Vinayak_0604/status/922475689705480192","922475689705480192")</f>
        <v>922475689705480192</v>
      </c>
      <c r="F7009" s="10" t="s">
        <v>25</v>
      </c>
      <c r="G7009" s="10" t="n">
        <v>35</v>
      </c>
      <c r="H7009" s="10" t="n">
        <v>151</v>
      </c>
      <c r="I7009" s="10" t="n">
        <v>1015</v>
      </c>
      <c r="J7009" s="10" t="n">
        <v>0</v>
      </c>
      <c r="K7009" s="10" t="s">
        <v>20</v>
      </c>
      <c r="L7009" s="11" t="n">
        <v>42455.8545486111</v>
      </c>
      <c r="M7009" s="12" t="s">
        <v>15829</v>
      </c>
      <c r="N7009" s="12" t="s">
        <v>15830</v>
      </c>
      <c r="O7009" s="9" t="str">
        <f aca="false">HYPERLINK("https://pbs.twimg.com/profile_images/824644173777240064/0aGqU2FJ_normal.jpg","View")</f>
        <v>View</v>
      </c>
      <c r="P7009" s="10"/>
    </row>
    <row r="7010" customFormat="false" ht="15.75" hidden="false" customHeight="false" outlineLevel="0" collapsed="false">
      <c r="A7010" s="6" t="n">
        <v>43031.3282407407</v>
      </c>
      <c r="B7010" s="7" t="str">
        <f aca="false">HYPERLINK("https://twitter.com/srinaren17","@srinaren17")</f>
        <v>@srinaren17</v>
      </c>
      <c r="C7010" s="8" t="s">
        <v>15831</v>
      </c>
      <c r="D7010" s="8" t="s">
        <v>8538</v>
      </c>
      <c r="E7010" s="9" t="str">
        <f aca="false">HYPERLINK("https://twitter.com/srinaren17/status/922475868026490881","922475868026490881")</f>
        <v>922475868026490881</v>
      </c>
      <c r="F7010" s="10" t="s">
        <v>25</v>
      </c>
      <c r="G7010" s="10" t="n">
        <v>167</v>
      </c>
      <c r="H7010" s="10" t="n">
        <v>155</v>
      </c>
      <c r="I7010" s="10" t="n">
        <v>1015</v>
      </c>
      <c r="J7010" s="10" t="n">
        <v>0</v>
      </c>
      <c r="K7010" s="10" t="s">
        <v>20</v>
      </c>
      <c r="L7010" s="11" t="n">
        <v>42278.0325462963</v>
      </c>
      <c r="M7010" s="12" t="s">
        <v>5847</v>
      </c>
      <c r="N7010" s="12" t="s">
        <v>15832</v>
      </c>
      <c r="O7010" s="9" t="str">
        <f aca="false">HYPERLINK("https://pbs.twimg.com/profile_images/744372641088188417/4QUNgr_x_normal.jpg","View")</f>
        <v>View</v>
      </c>
      <c r="P7010" s="10"/>
    </row>
    <row r="7011" customFormat="false" ht="15.75" hidden="false" customHeight="false" outlineLevel="0" collapsed="false">
      <c r="A7011" s="6" t="n">
        <v>43031.3296759259</v>
      </c>
      <c r="B7011" s="7" t="str">
        <f aca="false">HYPERLINK("https://twitter.com/AnlaboTsong","@AnlaboTsong")</f>
        <v>@AnlaboTsong</v>
      </c>
      <c r="C7011" s="8" t="s">
        <v>15833</v>
      </c>
      <c r="D7011" s="8" t="s">
        <v>15834</v>
      </c>
      <c r="E7011" s="9" t="str">
        <f aca="false">HYPERLINK("https://twitter.com/AnlaboTsong/status/922476388157759489","922476388157759489")</f>
        <v>922476388157759489</v>
      </c>
      <c r="F7011" s="10" t="s">
        <v>47</v>
      </c>
      <c r="G7011" s="10" t="n">
        <v>19583</v>
      </c>
      <c r="H7011" s="10" t="n">
        <v>586</v>
      </c>
      <c r="I7011" s="10" t="n">
        <v>1</v>
      </c>
      <c r="J7011" s="10" t="n">
        <v>1</v>
      </c>
      <c r="K7011" s="10" t="s">
        <v>20</v>
      </c>
      <c r="L7011" s="11" t="n">
        <v>40965.0146759259</v>
      </c>
      <c r="M7011" s="12" t="s">
        <v>15835</v>
      </c>
      <c r="N7011" s="12" t="s">
        <v>15836</v>
      </c>
      <c r="O7011" s="9" t="str">
        <f aca="false">HYPERLINK("https://pbs.twimg.com/profile_images/915109239596580864/_65K5jQv_normal.jpg","View")</f>
        <v>View</v>
      </c>
      <c r="P7011" s="10"/>
    </row>
    <row r="7012" customFormat="false" ht="15.75" hidden="false" customHeight="false" outlineLevel="0" collapsed="false">
      <c r="A7012" s="6" t="n">
        <v>43031.3297222222</v>
      </c>
      <c r="B7012" s="7" t="str">
        <f aca="false">HYPERLINK("https://twitter.com/AlisynGayle","@AlisynGayle")</f>
        <v>@AlisynGayle</v>
      </c>
      <c r="C7012" s="8" t="s">
        <v>15837</v>
      </c>
      <c r="D7012" s="8" t="s">
        <v>13595</v>
      </c>
      <c r="E7012" s="9" t="str">
        <f aca="false">HYPERLINK("https://twitter.com/AlisynGayle/status/922476403387457536","922476403387457536")</f>
        <v>922476403387457536</v>
      </c>
      <c r="F7012" s="10" t="s">
        <v>51</v>
      </c>
      <c r="G7012" s="10" t="n">
        <v>2493</v>
      </c>
      <c r="H7012" s="10" t="n">
        <v>1762</v>
      </c>
      <c r="I7012" s="10" t="n">
        <v>88</v>
      </c>
      <c r="J7012" s="10" t="n">
        <v>0</v>
      </c>
      <c r="K7012" s="10" t="s">
        <v>20</v>
      </c>
      <c r="L7012" s="11" t="n">
        <v>40134.5934606481</v>
      </c>
      <c r="M7012" s="12"/>
      <c r="N7012" s="12"/>
      <c r="O7012" s="9" t="str">
        <f aca="false">HYPERLINK("https://pbs.twimg.com/profile_images/462952291612368897/4AvbF1M-_normal.jpeg","View")</f>
        <v>View</v>
      </c>
      <c r="P7012" s="10"/>
    </row>
    <row r="7013" customFormat="false" ht="15.75" hidden="false" customHeight="false" outlineLevel="0" collapsed="false">
      <c r="A7013" s="6" t="n">
        <v>43031.33</v>
      </c>
      <c r="B7013" s="7" t="str">
        <f aca="false">HYPERLINK("https://twitter.com/marcaross","@marcaross")</f>
        <v>@marcaross</v>
      </c>
      <c r="C7013" s="8" t="s">
        <v>15838</v>
      </c>
      <c r="D7013" s="8" t="s">
        <v>15762</v>
      </c>
      <c r="E7013" s="9" t="str">
        <f aca="false">HYPERLINK("https://twitter.com/marcaross/status/922476504474365952","922476504474365952")</f>
        <v>922476504474365952</v>
      </c>
      <c r="F7013" s="10" t="s">
        <v>1167</v>
      </c>
      <c r="G7013" s="10" t="n">
        <v>3343</v>
      </c>
      <c r="H7013" s="10" t="n">
        <v>1477</v>
      </c>
      <c r="I7013" s="10" t="n">
        <v>0</v>
      </c>
      <c r="J7013" s="10" t="n">
        <v>0</v>
      </c>
      <c r="K7013" s="10" t="s">
        <v>20</v>
      </c>
      <c r="L7013" s="11" t="n">
        <v>39821.7704050926</v>
      </c>
      <c r="M7013" s="12" t="s">
        <v>15839</v>
      </c>
      <c r="N7013" s="12" t="s">
        <v>15840</v>
      </c>
      <c r="O7013" s="9" t="str">
        <f aca="false">HYPERLINK("https://pbs.twimg.com/profile_images/818622966367981568/xquOdQFx_normal.jpg","View")</f>
        <v>View</v>
      </c>
      <c r="P7013" s="10"/>
    </row>
    <row r="7014" customFormat="false" ht="15.75" hidden="false" customHeight="false" outlineLevel="0" collapsed="false">
      <c r="A7014" s="6" t="n">
        <v>43031.3300462963</v>
      </c>
      <c r="B7014" s="7" t="str">
        <f aca="false">HYPERLINK("https://twitter.com/josemedinajr","@josemedinajr")</f>
        <v>@josemedinajr</v>
      </c>
      <c r="C7014" s="8" t="s">
        <v>15841</v>
      </c>
      <c r="D7014" s="8" t="s">
        <v>15842</v>
      </c>
      <c r="E7014" s="9" t="str">
        <f aca="false">HYPERLINK("https://twitter.com/josemedinajr/status/922476522593771520","922476522593771520")</f>
        <v>922476522593771520</v>
      </c>
      <c r="F7014" s="10" t="s">
        <v>39</v>
      </c>
      <c r="G7014" s="10" t="n">
        <v>1059</v>
      </c>
      <c r="H7014" s="10" t="n">
        <v>669</v>
      </c>
      <c r="I7014" s="10" t="n">
        <v>0</v>
      </c>
      <c r="J7014" s="10" t="n">
        <v>0</v>
      </c>
      <c r="K7014" s="10" t="s">
        <v>20</v>
      </c>
      <c r="L7014" s="11" t="n">
        <v>39862.803912037</v>
      </c>
      <c r="M7014" s="12" t="s">
        <v>4622</v>
      </c>
      <c r="N7014" s="12" t="s">
        <v>15843</v>
      </c>
      <c r="O7014" s="9" t="str">
        <f aca="false">HYPERLINK("https://pbs.twimg.com/profile_images/829519558482468865/-YoKQtEC_normal.jpg","View")</f>
        <v>View</v>
      </c>
      <c r="P7014" s="10"/>
    </row>
    <row r="7015" customFormat="false" ht="15.75" hidden="false" customHeight="false" outlineLevel="0" collapsed="false">
      <c r="A7015" s="6" t="n">
        <v>43031.3300462963</v>
      </c>
      <c r="B7015" s="7" t="str">
        <f aca="false">HYPERLINK("https://twitter.com/JimCrump5","@JimCrump5")</f>
        <v>@JimCrump5</v>
      </c>
      <c r="C7015" s="8" t="s">
        <v>15844</v>
      </c>
      <c r="D7015" s="8" t="s">
        <v>15821</v>
      </c>
      <c r="E7015" s="9" t="str">
        <f aca="false">HYPERLINK("https://twitter.com/JimCrump5/status/922476523159937025","922476523159937025")</f>
        <v>922476523159937025</v>
      </c>
      <c r="F7015" s="10" t="s">
        <v>177</v>
      </c>
      <c r="G7015" s="10" t="n">
        <v>441</v>
      </c>
      <c r="H7015" s="10" t="n">
        <v>820</v>
      </c>
      <c r="I7015" s="10" t="n">
        <v>41</v>
      </c>
      <c r="J7015" s="10" t="n">
        <v>0</v>
      </c>
      <c r="K7015" s="10" t="s">
        <v>20</v>
      </c>
      <c r="L7015" s="11" t="n">
        <v>42943.8512152778</v>
      </c>
      <c r="M7015" s="12" t="s">
        <v>21</v>
      </c>
      <c r="N7015" s="12" t="s">
        <v>15845</v>
      </c>
      <c r="O7015" s="9" t="str">
        <f aca="false">HYPERLINK("https://abs.twimg.com/sticky/default_profile_images/default_profile_normal.png","View")</f>
        <v>View</v>
      </c>
      <c r="P7015" s="10"/>
    </row>
    <row r="7016" customFormat="false" ht="15.75" hidden="false" customHeight="false" outlineLevel="0" collapsed="false">
      <c r="A7016" s="6" t="n">
        <v>43031.330150463</v>
      </c>
      <c r="B7016" s="7" t="str">
        <f aca="false">HYPERLINK("https://twitter.com/InderjeetKhann5","@InderjeetKhann5")</f>
        <v>@InderjeetKhann5</v>
      </c>
      <c r="C7016" s="8" t="s">
        <v>15846</v>
      </c>
      <c r="D7016" s="8" t="s">
        <v>15790</v>
      </c>
      <c r="E7016" s="9" t="str">
        <f aca="false">HYPERLINK("https://twitter.com/InderjeetKhann5/status/922476558765342721","922476558765342721")</f>
        <v>922476558765342721</v>
      </c>
      <c r="F7016" s="10" t="s">
        <v>25</v>
      </c>
      <c r="G7016" s="10" t="n">
        <v>229</v>
      </c>
      <c r="H7016" s="10" t="n">
        <v>2005</v>
      </c>
      <c r="I7016" s="10" t="n">
        <v>10</v>
      </c>
      <c r="J7016" s="10" t="n">
        <v>0</v>
      </c>
      <c r="K7016" s="10" t="s">
        <v>20</v>
      </c>
      <c r="L7016" s="11" t="n">
        <v>42216.4047916667</v>
      </c>
      <c r="M7016" s="12"/>
      <c r="N7016" s="12" t="s">
        <v>15847</v>
      </c>
      <c r="O7016" s="9" t="str">
        <f aca="false">HYPERLINK("https://pbs.twimg.com/profile_images/830325787358138368/NGlbTtZ0_normal.jpg","View")</f>
        <v>View</v>
      </c>
      <c r="P7016" s="10"/>
    </row>
    <row r="7017" customFormat="false" ht="15.75" hidden="false" customHeight="false" outlineLevel="0" collapsed="false">
      <c r="A7017" s="6" t="n">
        <v>43031.3302777778</v>
      </c>
      <c r="B7017" s="7" t="str">
        <f aca="false">HYPERLINK("https://twitter.com/ness_herrero","@ness_herrero")</f>
        <v>@ness_herrero</v>
      </c>
      <c r="C7017" s="8" t="s">
        <v>15848</v>
      </c>
      <c r="D7017" s="8" t="s">
        <v>13595</v>
      </c>
      <c r="E7017" s="9" t="str">
        <f aca="false">HYPERLINK("https://twitter.com/ness_herrero/status/922476606488158215","922476606488158215")</f>
        <v>922476606488158215</v>
      </c>
      <c r="F7017" s="10" t="s">
        <v>51</v>
      </c>
      <c r="G7017" s="10" t="n">
        <v>357</v>
      </c>
      <c r="H7017" s="10" t="n">
        <v>1257</v>
      </c>
      <c r="I7017" s="10" t="n">
        <v>88</v>
      </c>
      <c r="J7017" s="10" t="n">
        <v>0</v>
      </c>
      <c r="K7017" s="10" t="s">
        <v>20</v>
      </c>
      <c r="L7017" s="11" t="n">
        <v>40571.8495138889</v>
      </c>
      <c r="M7017" s="12"/>
      <c r="N7017" s="12" t="s">
        <v>15849</v>
      </c>
      <c r="O7017" s="9" t="str">
        <f aca="false">HYPERLINK("https://pbs.twimg.com/profile_images/3694922805/99cf873c7d50cbe739827abe7cc192a4_normal.jpeg","View")</f>
        <v>View</v>
      </c>
      <c r="P7017" s="10"/>
    </row>
    <row r="7018" customFormat="false" ht="15.75" hidden="false" customHeight="false" outlineLevel="0" collapsed="false">
      <c r="A7018" s="6" t="n">
        <v>43031.3309259259</v>
      </c>
      <c r="B7018" s="7" t="str">
        <f aca="false">HYPERLINK("https://twitter.com/mailranjitswain","@mailranjitswain")</f>
        <v>@mailranjitswain</v>
      </c>
      <c r="C7018" s="8" t="s">
        <v>15850</v>
      </c>
      <c r="D7018" s="8" t="s">
        <v>15790</v>
      </c>
      <c r="E7018" s="9" t="str">
        <f aca="false">HYPERLINK("https://twitter.com/mailranjitswain/status/922476839758585856","922476839758585856")</f>
        <v>922476839758585856</v>
      </c>
      <c r="F7018" s="10" t="s">
        <v>25</v>
      </c>
      <c r="G7018" s="10" t="n">
        <v>167</v>
      </c>
      <c r="H7018" s="10" t="n">
        <v>306</v>
      </c>
      <c r="I7018" s="10" t="n">
        <v>10</v>
      </c>
      <c r="J7018" s="10" t="n">
        <v>0</v>
      </c>
      <c r="K7018" s="10" t="s">
        <v>20</v>
      </c>
      <c r="L7018" s="11" t="n">
        <v>41053.0425925926</v>
      </c>
      <c r="M7018" s="12" t="s">
        <v>13112</v>
      </c>
      <c r="N7018" s="12" t="s">
        <v>15851</v>
      </c>
      <c r="O7018" s="9" t="str">
        <f aca="false">HYPERLINK("https://pbs.twimg.com/profile_images/2245691877/img001_normal.JPG","View")</f>
        <v>View</v>
      </c>
      <c r="P7018" s="10"/>
    </row>
    <row r="7019" customFormat="false" ht="15.75" hidden="false" customHeight="false" outlineLevel="0" collapsed="false">
      <c r="A7019" s="6" t="n">
        <v>43031.3316087963</v>
      </c>
      <c r="B7019" s="7" t="str">
        <f aca="false">HYPERLINK("https://twitter.com/AbusidiquBlog","@AbusidiquBlog")</f>
        <v>@AbusidiquBlog</v>
      </c>
      <c r="C7019" s="7" t="s">
        <v>15852</v>
      </c>
      <c r="D7019" s="8" t="s">
        <v>15853</v>
      </c>
      <c r="E7019" s="9" t="str">
        <f aca="false">HYPERLINK("https://twitter.com/AbusidiquBlog/status/922477087050686464","922477087050686464")</f>
        <v>922477087050686464</v>
      </c>
      <c r="F7019" s="10" t="s">
        <v>15854</v>
      </c>
      <c r="G7019" s="10" t="n">
        <v>4657</v>
      </c>
      <c r="H7019" s="10" t="n">
        <v>14</v>
      </c>
      <c r="I7019" s="10" t="n">
        <v>0</v>
      </c>
      <c r="J7019" s="10" t="n">
        <v>0</v>
      </c>
      <c r="K7019" s="10" t="s">
        <v>20</v>
      </c>
      <c r="L7019" s="11" t="n">
        <v>41309.2625694444</v>
      </c>
      <c r="M7019" s="12"/>
      <c r="N7019" s="12" t="s">
        <v>15855</v>
      </c>
      <c r="O7019" s="9" t="str">
        <f aca="false">HYPERLINK("https://pbs.twimg.com/profile_images/825286205034086401/N4tLjSbm_normal.jpg","View")</f>
        <v>View</v>
      </c>
      <c r="P7019" s="10"/>
    </row>
    <row r="7020" customFormat="false" ht="15.75" hidden="false" customHeight="false" outlineLevel="0" collapsed="false">
      <c r="A7020" s="6" t="n">
        <v>43031.3316550926</v>
      </c>
      <c r="B7020" s="7" t="str">
        <f aca="false">HYPERLINK("https://twitter.com/becarefull__","@becarefull__")</f>
        <v>@becarefull__</v>
      </c>
      <c r="C7020" s="8" t="s">
        <v>15856</v>
      </c>
      <c r="D7020" s="8" t="s">
        <v>15857</v>
      </c>
      <c r="E7020" s="9" t="str">
        <f aca="false">HYPERLINK("https://twitter.com/becarefull__/status/922477104620605442","922477104620605442")</f>
        <v>922477104620605442</v>
      </c>
      <c r="F7020" s="10" t="s">
        <v>15858</v>
      </c>
      <c r="G7020" s="10" t="n">
        <v>697</v>
      </c>
      <c r="H7020" s="10" t="n">
        <v>143</v>
      </c>
      <c r="I7020" s="10" t="n">
        <v>0</v>
      </c>
      <c r="J7020" s="10" t="n">
        <v>0</v>
      </c>
      <c r="K7020" s="10" t="s">
        <v>20</v>
      </c>
      <c r="L7020" s="11" t="n">
        <v>41461.3672453704</v>
      </c>
      <c r="M7020" s="12" t="s">
        <v>893</v>
      </c>
      <c r="N7020" s="12" t="s">
        <v>15859</v>
      </c>
      <c r="O7020" s="9" t="str">
        <f aca="false">HYPERLINK("https://pbs.twimg.com/profile_images/921904695270150145/jKGNXkJE_normal.jpg","View")</f>
        <v>View</v>
      </c>
      <c r="P7020" s="10"/>
    </row>
    <row r="7021" customFormat="false" ht="15.75" hidden="false" customHeight="false" outlineLevel="0" collapsed="false">
      <c r="A7021" s="6" t="n">
        <v>43031.3316782407</v>
      </c>
      <c r="B7021" s="7" t="str">
        <f aca="false">HYPERLINK("https://twitter.com/MrAbuSidiq","@MrAbuSidiq")</f>
        <v>@MrAbuSidiq</v>
      </c>
      <c r="C7021" s="8" t="s">
        <v>15860</v>
      </c>
      <c r="D7021" s="8" t="s">
        <v>15861</v>
      </c>
      <c r="E7021" s="9" t="str">
        <f aca="false">HYPERLINK("https://twitter.com/MrAbuSidiq/status/922477115479609344","922477115479609344")</f>
        <v>922477115479609344</v>
      </c>
      <c r="F7021" s="10" t="s">
        <v>15862</v>
      </c>
      <c r="G7021" s="10" t="n">
        <v>30037</v>
      </c>
      <c r="H7021" s="10" t="n">
        <v>1364</v>
      </c>
      <c r="I7021" s="10" t="n">
        <v>0</v>
      </c>
      <c r="J7021" s="10" t="n">
        <v>0</v>
      </c>
      <c r="K7021" s="10" t="s">
        <v>20</v>
      </c>
      <c r="L7021" s="11" t="n">
        <v>40553.459525463</v>
      </c>
      <c r="M7021" s="12" t="s">
        <v>3474</v>
      </c>
      <c r="N7021" s="12" t="s">
        <v>15863</v>
      </c>
      <c r="O7021" s="9" t="str">
        <f aca="false">HYPERLINK("https://pbs.twimg.com/profile_images/904723348663525376/nrG_lppk_normal.jpg","View")</f>
        <v>View</v>
      </c>
      <c r="P7021" s="10"/>
    </row>
    <row r="7022" customFormat="false" ht="15.75" hidden="false" customHeight="false" outlineLevel="0" collapsed="false">
      <c r="A7022" s="6" t="n">
        <v>43031.3316898148</v>
      </c>
      <c r="B7022" s="7" t="str">
        <f aca="false">HYPERLINK("https://twitter.com/lekanpaul","@lekanpaul")</f>
        <v>@lekanpaul</v>
      </c>
      <c r="C7022" s="8" t="s">
        <v>15864</v>
      </c>
      <c r="D7022" s="8" t="s">
        <v>15865</v>
      </c>
      <c r="E7022" s="9" t="str">
        <f aca="false">HYPERLINK("https://twitter.com/lekanpaul/status/922477119749410816","922477119749410816")</f>
        <v>922477119749410816</v>
      </c>
      <c r="F7022" s="10" t="s">
        <v>15866</v>
      </c>
      <c r="G7022" s="10" t="n">
        <v>2243</v>
      </c>
      <c r="H7022" s="10" t="n">
        <v>724</v>
      </c>
      <c r="I7022" s="10" t="n">
        <v>0</v>
      </c>
      <c r="J7022" s="10" t="n">
        <v>0</v>
      </c>
      <c r="K7022" s="10" t="s">
        <v>20</v>
      </c>
      <c r="L7022" s="11" t="n">
        <v>40777.3789467593</v>
      </c>
      <c r="M7022" s="12" t="s">
        <v>3474</v>
      </c>
      <c r="N7022" s="12" t="s">
        <v>15867</v>
      </c>
      <c r="O7022" s="9" t="str">
        <f aca="false">HYPERLINK("https://pbs.twimg.com/profile_images/567659928391659522/gP95ZlMB_normal.jpeg","View")</f>
        <v>View</v>
      </c>
      <c r="P7022" s="10"/>
    </row>
    <row r="7023" customFormat="false" ht="15.75" hidden="false" customHeight="false" outlineLevel="0" collapsed="false">
      <c r="A7023" s="6" t="n">
        <v>43031.331712963</v>
      </c>
      <c r="B7023" s="7" t="str">
        <f aca="false">HYPERLINK("https://twitter.com/Shangudar","@Shangudar")</f>
        <v>@Shangudar</v>
      </c>
      <c r="C7023" s="8" t="s">
        <v>15868</v>
      </c>
      <c r="D7023" s="8" t="s">
        <v>15869</v>
      </c>
      <c r="E7023" s="9" t="str">
        <f aca="false">HYPERLINK("https://twitter.com/Shangudar/status/922477127152406529","922477127152406529")</f>
        <v>922477127152406529</v>
      </c>
      <c r="F7023" s="10" t="s">
        <v>15870</v>
      </c>
      <c r="G7023" s="10" t="n">
        <v>7318</v>
      </c>
      <c r="H7023" s="10" t="n">
        <v>411</v>
      </c>
      <c r="I7023" s="10" t="n">
        <v>0</v>
      </c>
      <c r="J7023" s="10" t="n">
        <v>0</v>
      </c>
      <c r="K7023" s="10" t="s">
        <v>20</v>
      </c>
      <c r="L7023" s="11" t="n">
        <v>40414.0757407407</v>
      </c>
      <c r="M7023" s="12" t="s">
        <v>3474</v>
      </c>
      <c r="N7023" s="12" t="s">
        <v>15871</v>
      </c>
      <c r="O7023" s="9" t="str">
        <f aca="false">HYPERLINK("https://pbs.twimg.com/profile_images/651552055811817472/QULY1Jrq_normal.jpg","View")</f>
        <v>View</v>
      </c>
      <c r="P7023" s="10"/>
    </row>
    <row r="7024" customFormat="false" ht="15.75" hidden="false" customHeight="false" outlineLevel="0" collapsed="false">
      <c r="A7024" s="6" t="n">
        <v>43031.3320023148</v>
      </c>
      <c r="B7024" s="7" t="str">
        <f aca="false">HYPERLINK("https://twitter.com/NewsbeatPortal","@NewsbeatPortal")</f>
        <v>@NewsbeatPortal</v>
      </c>
      <c r="C7024" s="8" t="s">
        <v>15872</v>
      </c>
      <c r="D7024" s="8" t="s">
        <v>15873</v>
      </c>
      <c r="E7024" s="9" t="str">
        <f aca="false">HYPERLINK("https://twitter.com/NewsbeatPortal/status/922477233515753473","922477233515753473")</f>
        <v>922477233515753473</v>
      </c>
      <c r="F7024" s="10" t="s">
        <v>15874</v>
      </c>
      <c r="G7024" s="10" t="n">
        <v>17528</v>
      </c>
      <c r="H7024" s="10" t="n">
        <v>63</v>
      </c>
      <c r="I7024" s="10" t="n">
        <v>0</v>
      </c>
      <c r="J7024" s="10" t="n">
        <v>0</v>
      </c>
      <c r="K7024" s="10" t="s">
        <v>20</v>
      </c>
      <c r="L7024" s="11" t="n">
        <v>39905.341412037</v>
      </c>
      <c r="M7024" s="12" t="s">
        <v>15875</v>
      </c>
      <c r="N7024" s="12" t="s">
        <v>15876</v>
      </c>
      <c r="O7024" s="9" t="str">
        <f aca="false">HYPERLINK("https://pbs.twimg.com/profile_images/457029492700348416/BYzPbqlO_normal.jpeg","View")</f>
        <v>View</v>
      </c>
      <c r="P7024" s="10"/>
    </row>
    <row r="7025" customFormat="false" ht="15.75" hidden="false" customHeight="false" outlineLevel="0" collapsed="false">
      <c r="A7025" s="6" t="n">
        <v>43031.3323958333</v>
      </c>
      <c r="B7025" s="7" t="str">
        <f aca="false">HYPERLINK("https://twitter.com/priyariyer","@priyariyer")</f>
        <v>@priyariyer</v>
      </c>
      <c r="C7025" s="8" t="s">
        <v>15877</v>
      </c>
      <c r="D7025" s="8" t="s">
        <v>8538</v>
      </c>
      <c r="E7025" s="9" t="str">
        <f aca="false">HYPERLINK("https://twitter.com/priyariyer/status/922477373525704704","922477373525704704")</f>
        <v>922477373525704704</v>
      </c>
      <c r="F7025" s="10" t="s">
        <v>25</v>
      </c>
      <c r="G7025" s="10" t="n">
        <v>7</v>
      </c>
      <c r="H7025" s="10" t="n">
        <v>21</v>
      </c>
      <c r="I7025" s="10" t="n">
        <v>1015</v>
      </c>
      <c r="J7025" s="10" t="n">
        <v>0</v>
      </c>
      <c r="K7025" s="10" t="s">
        <v>20</v>
      </c>
      <c r="L7025" s="11" t="n">
        <v>40448.335162037</v>
      </c>
      <c r="M7025" s="12"/>
      <c r="N7025" s="12"/>
      <c r="O7025" s="9" t="str">
        <f aca="false">HYPERLINK("https://abs.twimg.com/sticky/default_profile_images/default_profile_normal.png","View")</f>
        <v>View</v>
      </c>
      <c r="P7025" s="10"/>
    </row>
    <row r="7026" customFormat="false" ht="15.75" hidden="false" customHeight="false" outlineLevel="0" collapsed="false">
      <c r="A7026" s="6" t="n">
        <v>43031.3325578704</v>
      </c>
      <c r="B7026" s="7" t="str">
        <f aca="false">HYPERLINK("https://twitter.com/hemantc12","@hemantc12")</f>
        <v>@hemantc12</v>
      </c>
      <c r="C7026" s="8" t="s">
        <v>15878</v>
      </c>
      <c r="D7026" s="8" t="s">
        <v>15790</v>
      </c>
      <c r="E7026" s="9" t="str">
        <f aca="false">HYPERLINK("https://twitter.com/hemantc12/status/922477431188996101","922477431188996101")</f>
        <v>922477431188996101</v>
      </c>
      <c r="F7026" s="10" t="s">
        <v>25</v>
      </c>
      <c r="G7026" s="10" t="n">
        <v>54</v>
      </c>
      <c r="H7026" s="10" t="n">
        <v>42</v>
      </c>
      <c r="I7026" s="10" t="n">
        <v>10</v>
      </c>
      <c r="J7026" s="10" t="n">
        <v>0</v>
      </c>
      <c r="K7026" s="10" t="s">
        <v>20</v>
      </c>
      <c r="L7026" s="11" t="n">
        <v>40083.2949537037</v>
      </c>
      <c r="M7026" s="12"/>
      <c r="N7026" s="12" t="s">
        <v>15879</v>
      </c>
      <c r="O7026" s="9" t="str">
        <f aca="false">HYPERLINK("https://pbs.twimg.com/profile_images/439009738/IMG_0692_normal.jpg","View")</f>
        <v>View</v>
      </c>
      <c r="P7026" s="10"/>
    </row>
    <row r="7027" customFormat="false" ht="15.75" hidden="false" customHeight="false" outlineLevel="0" collapsed="false">
      <c r="A7027" s="6" t="n">
        <v>43031.3325694444</v>
      </c>
      <c r="B7027" s="7" t="str">
        <f aca="false">HYPERLINK("https://twitter.com/CanadaUN","@CanadaUN")</f>
        <v>@CanadaUN</v>
      </c>
      <c r="C7027" s="8" t="s">
        <v>15880</v>
      </c>
      <c r="D7027" s="8" t="s">
        <v>15821</v>
      </c>
      <c r="E7027" s="9" t="str">
        <f aca="false">HYPERLINK("https://twitter.com/CanadaUN/status/922477435861512193","922477435861512193")</f>
        <v>922477435861512193</v>
      </c>
      <c r="F7027" s="10" t="s">
        <v>110</v>
      </c>
      <c r="G7027" s="10" t="n">
        <v>14541</v>
      </c>
      <c r="H7027" s="10" t="n">
        <v>1475</v>
      </c>
      <c r="I7027" s="10" t="n">
        <v>41</v>
      </c>
      <c r="J7027" s="10" t="n">
        <v>0</v>
      </c>
      <c r="K7027" s="10" t="s">
        <v>20</v>
      </c>
      <c r="L7027" s="11" t="n">
        <v>41725.526099537</v>
      </c>
      <c r="M7027" s="12" t="s">
        <v>319</v>
      </c>
      <c r="N7027" s="12" t="s">
        <v>15881</v>
      </c>
      <c r="O7027" s="9" t="str">
        <f aca="false">HYPERLINK("https://pbs.twimg.com/profile_images/889994267770408964/yAw8VtYh_normal.jpg","View")</f>
        <v>View</v>
      </c>
      <c r="P7027" s="10"/>
    </row>
    <row r="7028" customFormat="false" ht="15.75" hidden="false" customHeight="false" outlineLevel="0" collapsed="false">
      <c r="A7028" s="6" t="n">
        <v>43031.3325694444</v>
      </c>
      <c r="B7028" s="7" t="str">
        <f aca="false">HYPERLINK("https://twitter.com/shivakumar_rm","@shivakumar_rm")</f>
        <v>@shivakumar_rm</v>
      </c>
      <c r="C7028" s="8" t="s">
        <v>15882</v>
      </c>
      <c r="D7028" s="8" t="s">
        <v>8538</v>
      </c>
      <c r="E7028" s="9" t="str">
        <f aca="false">HYPERLINK("https://twitter.com/shivakumar_rm/status/922477436335353856","922477436335353856")</f>
        <v>922477436335353856</v>
      </c>
      <c r="F7028" s="10" t="s">
        <v>25</v>
      </c>
      <c r="G7028" s="10" t="n">
        <v>227</v>
      </c>
      <c r="H7028" s="10" t="n">
        <v>94</v>
      </c>
      <c r="I7028" s="10" t="n">
        <v>1015</v>
      </c>
      <c r="J7028" s="10" t="n">
        <v>0</v>
      </c>
      <c r="K7028" s="10" t="s">
        <v>20</v>
      </c>
      <c r="L7028" s="11" t="n">
        <v>40046.8509837963</v>
      </c>
      <c r="M7028" s="12"/>
      <c r="N7028" s="12" t="s">
        <v>15883</v>
      </c>
      <c r="O7028" s="9" t="str">
        <f aca="false">HYPERLINK("https://pbs.twimg.com/profile_images/825642429864767489/Z8EfEAWk_normal.jpg","View")</f>
        <v>View</v>
      </c>
      <c r="P7028" s="10"/>
    </row>
    <row r="7029" customFormat="false" ht="15.75" hidden="false" customHeight="false" outlineLevel="0" collapsed="false">
      <c r="A7029" s="6" t="n">
        <v>43031.3333680556</v>
      </c>
      <c r="B7029" s="7" t="str">
        <f aca="false">HYPERLINK("https://twitter.com/BizRevAsia","@BizRevAsia")</f>
        <v>@BizRevAsia</v>
      </c>
      <c r="C7029" s="8" t="s">
        <v>15884</v>
      </c>
      <c r="D7029" s="8" t="s">
        <v>15885</v>
      </c>
      <c r="E7029" s="9" t="str">
        <f aca="false">HYPERLINK("https://twitter.com/BizRevAsia/status/922477728007442432","922477728007442432")</f>
        <v>922477728007442432</v>
      </c>
      <c r="F7029" s="10" t="s">
        <v>13079</v>
      </c>
      <c r="G7029" s="10" t="n">
        <v>209</v>
      </c>
      <c r="H7029" s="10" t="n">
        <v>115</v>
      </c>
      <c r="I7029" s="10" t="n">
        <v>0</v>
      </c>
      <c r="J7029" s="10" t="n">
        <v>0</v>
      </c>
      <c r="K7029" s="10" t="s">
        <v>20</v>
      </c>
      <c r="L7029" s="11" t="n">
        <v>42534.1977314815</v>
      </c>
      <c r="M7029" s="12" t="s">
        <v>186</v>
      </c>
      <c r="N7029" s="12" t="s">
        <v>15886</v>
      </c>
      <c r="O7029" s="9" t="str">
        <f aca="false">HYPERLINK("https://pbs.twimg.com/profile_images/873187917757329408/bkHn6709_normal.jpg","View")</f>
        <v>View</v>
      </c>
      <c r="P7029" s="10"/>
    </row>
    <row r="7030" customFormat="false" ht="15.75" hidden="false" customHeight="false" outlineLevel="0" collapsed="false">
      <c r="A7030" s="6" t="n">
        <v>43031.3334259259</v>
      </c>
      <c r="B7030" s="7" t="str">
        <f aca="false">HYPERLINK("https://twitter.com/luanquan29425","@luanquan29425")</f>
        <v>@luanquan29425</v>
      </c>
      <c r="C7030" s="8" t="s">
        <v>15887</v>
      </c>
      <c r="D7030" s="8" t="s">
        <v>15888</v>
      </c>
      <c r="E7030" s="9" t="str">
        <f aca="false">HYPERLINK("https://twitter.com/luanquan29425/status/922477748626399233","922477748626399233")</f>
        <v>922477748626399233</v>
      </c>
      <c r="F7030" s="10" t="s">
        <v>39</v>
      </c>
      <c r="G7030" s="10" t="n">
        <v>1</v>
      </c>
      <c r="H7030" s="10" t="n">
        <v>0</v>
      </c>
      <c r="I7030" s="10" t="n">
        <v>0</v>
      </c>
      <c r="J7030" s="10" t="n">
        <v>0</v>
      </c>
      <c r="K7030" s="10" t="s">
        <v>20</v>
      </c>
      <c r="L7030" s="11" t="n">
        <v>43029.4722569444</v>
      </c>
      <c r="M7030" s="12"/>
      <c r="N7030" s="12"/>
      <c r="O7030" s="9" t="str">
        <f aca="false">HYPERLINK("https://abs.twimg.com/sticky/default_profile_images/default_profile_normal.png","View")</f>
        <v>View</v>
      </c>
      <c r="P7030" s="10"/>
    </row>
    <row r="7031" customFormat="false" ht="15.75" hidden="false" customHeight="false" outlineLevel="0" collapsed="false">
      <c r="A7031" s="6" t="n">
        <v>43031.3335300926</v>
      </c>
      <c r="B7031" s="7" t="str">
        <f aca="false">HYPERLINK("https://twitter.com/GrahameLucas","@GrahameLucas")</f>
        <v>@GrahameLucas</v>
      </c>
      <c r="C7031" s="8" t="s">
        <v>15889</v>
      </c>
      <c r="D7031" s="8" t="s">
        <v>15890</v>
      </c>
      <c r="E7031" s="9" t="str">
        <f aca="false">HYPERLINK("https://twitter.com/GrahameLucas/status/922477785242853376","922477785242853376")</f>
        <v>922477785242853376</v>
      </c>
      <c r="F7031" s="10" t="s">
        <v>15891</v>
      </c>
      <c r="G7031" s="10" t="n">
        <v>42682</v>
      </c>
      <c r="H7031" s="10" t="n">
        <v>23006</v>
      </c>
      <c r="I7031" s="10" t="n">
        <v>1</v>
      </c>
      <c r="J7031" s="10" t="n">
        <v>1</v>
      </c>
      <c r="K7031" s="10" t="s">
        <v>20</v>
      </c>
      <c r="L7031" s="11" t="n">
        <v>39940.4379166667</v>
      </c>
      <c r="M7031" s="12" t="s">
        <v>15892</v>
      </c>
      <c r="N7031" s="12" t="s">
        <v>15893</v>
      </c>
      <c r="O7031" s="9" t="str">
        <f aca="false">HYPERLINK("https://pbs.twimg.com/profile_images/752976272570085376/IEmg4zC5_normal.jpg","View")</f>
        <v>View</v>
      </c>
      <c r="P7031" s="10"/>
    </row>
    <row r="7032" customFormat="false" ht="15.75" hidden="false" customHeight="false" outlineLevel="0" collapsed="false">
      <c r="A7032" s="6" t="n">
        <v>43031.3340393519</v>
      </c>
      <c r="B7032" s="7" t="str">
        <f aca="false">HYPERLINK("https://twitter.com/BreakageNews","@BreakageNews")</f>
        <v>@BreakageNews</v>
      </c>
      <c r="C7032" s="8" t="s">
        <v>310</v>
      </c>
      <c r="D7032" s="8" t="s">
        <v>15894</v>
      </c>
      <c r="E7032" s="9" t="str">
        <f aca="false">HYPERLINK("https://twitter.com/BreakageNews/status/922477969683005440","922477969683005440")</f>
        <v>922477969683005440</v>
      </c>
      <c r="F7032" s="10" t="s">
        <v>12444</v>
      </c>
      <c r="G7032" s="10" t="n">
        <v>84</v>
      </c>
      <c r="H7032" s="10" t="n">
        <v>2</v>
      </c>
      <c r="I7032" s="10" t="n">
        <v>0</v>
      </c>
      <c r="J7032" s="10" t="n">
        <v>0</v>
      </c>
      <c r="K7032" s="10" t="s">
        <v>20</v>
      </c>
      <c r="L7032" s="11" t="n">
        <v>42728.9117939815</v>
      </c>
      <c r="M7032" s="12" t="s">
        <v>1143</v>
      </c>
      <c r="N7032" s="15" t="s">
        <v>15895</v>
      </c>
      <c r="O7032" s="9" t="str">
        <f aca="false">HYPERLINK("https://pbs.twimg.com/profile_images/859335461008965633/YpXjKxaQ_normal.jpg","View")</f>
        <v>View</v>
      </c>
      <c r="P7032" s="10"/>
    </row>
    <row r="7033" customFormat="false" ht="15.75" hidden="false" customHeight="false" outlineLevel="0" collapsed="false">
      <c r="A7033" s="6" t="n">
        <v>43031.3343865741</v>
      </c>
      <c r="B7033" s="7" t="str">
        <f aca="false">HYPERLINK("https://twitter.com/CanadaFP","@CanadaFP")</f>
        <v>@CanadaFP</v>
      </c>
      <c r="C7033" s="8" t="s">
        <v>15896</v>
      </c>
      <c r="D7033" s="8" t="s">
        <v>15821</v>
      </c>
      <c r="E7033" s="9" t="str">
        <f aca="false">HYPERLINK("https://twitter.com/CanadaFP/status/922478094069522433","922478094069522433")</f>
        <v>922478094069522433</v>
      </c>
      <c r="F7033" s="10" t="s">
        <v>110</v>
      </c>
      <c r="G7033" s="10" t="n">
        <v>74038</v>
      </c>
      <c r="H7033" s="10" t="n">
        <v>1210</v>
      </c>
      <c r="I7033" s="10" t="n">
        <v>41</v>
      </c>
      <c r="J7033" s="10" t="n">
        <v>0</v>
      </c>
      <c r="K7033" s="10" t="s">
        <v>20</v>
      </c>
      <c r="L7033" s="11" t="n">
        <v>40246.4542708333</v>
      </c>
      <c r="M7033" s="12" t="s">
        <v>4050</v>
      </c>
      <c r="N7033" s="12" t="s">
        <v>15897</v>
      </c>
      <c r="O7033" s="9" t="str">
        <f aca="false">HYPERLINK("https://pbs.twimg.com/profile_images/378800000302497336/8e74cba395963a4646b8d50e58e69685_normal.png","View")</f>
        <v>View</v>
      </c>
      <c r="P7033" s="10"/>
    </row>
    <row r="7034" customFormat="false" ht="15.75" hidden="false" customHeight="false" outlineLevel="0" collapsed="false">
      <c r="A7034" s="6" t="n">
        <v>43031.3353472222</v>
      </c>
      <c r="B7034" s="7" t="str">
        <f aca="false">HYPERLINK("https://twitter.com/inky_mark","@inky_mark")</f>
        <v>@inky_mark</v>
      </c>
      <c r="C7034" s="8" t="s">
        <v>15898</v>
      </c>
      <c r="D7034" s="8" t="s">
        <v>15899</v>
      </c>
      <c r="E7034" s="9" t="str">
        <f aca="false">HYPERLINK("https://twitter.com/inky_mark/status/922478444432314368","922478444432314368")</f>
        <v>922478444432314368</v>
      </c>
      <c r="F7034" s="10" t="s">
        <v>177</v>
      </c>
      <c r="G7034" s="10" t="n">
        <v>13818</v>
      </c>
      <c r="H7034" s="10" t="n">
        <v>15171</v>
      </c>
      <c r="I7034" s="10" t="n">
        <v>1</v>
      </c>
      <c r="J7034" s="10" t="n">
        <v>0</v>
      </c>
      <c r="K7034" s="10" t="s">
        <v>20</v>
      </c>
      <c r="L7034" s="11" t="n">
        <v>41634.4733101852</v>
      </c>
      <c r="M7034" s="12" t="s">
        <v>15900</v>
      </c>
      <c r="N7034" s="12" t="s">
        <v>15901</v>
      </c>
      <c r="O7034" s="9" t="str">
        <f aca="false">HYPERLINK("https://pbs.twimg.com/profile_images/559167372871753729/Ng4DbSZQ_normal.jpeg","View")</f>
        <v>View</v>
      </c>
      <c r="P7034" s="10"/>
    </row>
    <row r="7035" customFormat="false" ht="15.75" hidden="false" customHeight="false" outlineLevel="0" collapsed="false">
      <c r="A7035" s="6" t="n">
        <v>43031.3355787037</v>
      </c>
      <c r="B7035" s="7" t="str">
        <f aca="false">HYPERLINK("https://twitter.com/singpraveer","@singpraveer")</f>
        <v>@singpraveer</v>
      </c>
      <c r="C7035" s="8" t="s">
        <v>15902</v>
      </c>
      <c r="D7035" s="8" t="s">
        <v>8538</v>
      </c>
      <c r="E7035" s="9" t="str">
        <f aca="false">HYPERLINK("https://twitter.com/singpraveer/status/922478528871907328","922478528871907328")</f>
        <v>922478528871907328</v>
      </c>
      <c r="F7035" s="10" t="s">
        <v>25</v>
      </c>
      <c r="G7035" s="10" t="n">
        <v>1392</v>
      </c>
      <c r="H7035" s="10" t="n">
        <v>1235</v>
      </c>
      <c r="I7035" s="10" t="n">
        <v>1015</v>
      </c>
      <c r="J7035" s="10" t="n">
        <v>0</v>
      </c>
      <c r="K7035" s="10" t="s">
        <v>20</v>
      </c>
      <c r="L7035" s="11" t="n">
        <v>40281.4963657407</v>
      </c>
      <c r="M7035" s="12" t="s">
        <v>12193</v>
      </c>
      <c r="N7035" s="12" t="s">
        <v>15903</v>
      </c>
      <c r="O7035" s="9" t="str">
        <f aca="false">HYPERLINK("https://pbs.twimg.com/profile_images/497986898384527360/r3Xy-_dL_normal.jpeg","View")</f>
        <v>View</v>
      </c>
      <c r="P7035" s="10"/>
    </row>
    <row r="7036" customFormat="false" ht="15.75" hidden="false" customHeight="false" outlineLevel="0" collapsed="false">
      <c r="A7036" s="6" t="n">
        <v>43031.3363425926</v>
      </c>
      <c r="B7036" s="7" t="str">
        <f aca="false">HYPERLINK("https://twitter.com/summedupkenya","@summedupkenya")</f>
        <v>@summedupkenya</v>
      </c>
      <c r="C7036" s="8" t="s">
        <v>15904</v>
      </c>
      <c r="D7036" s="8" t="s">
        <v>15905</v>
      </c>
      <c r="E7036" s="9" t="str">
        <f aca="false">HYPERLINK("https://twitter.com/summedupkenya/status/922478804668334080","922478804668334080")</f>
        <v>922478804668334080</v>
      </c>
      <c r="F7036" s="10" t="s">
        <v>1179</v>
      </c>
      <c r="G7036" s="10" t="n">
        <v>158</v>
      </c>
      <c r="H7036" s="10" t="n">
        <v>174</v>
      </c>
      <c r="I7036" s="10" t="n">
        <v>0</v>
      </c>
      <c r="J7036" s="10" t="n">
        <v>0</v>
      </c>
      <c r="K7036" s="10" t="s">
        <v>20</v>
      </c>
      <c r="L7036" s="11" t="n">
        <v>42534.2084606482</v>
      </c>
      <c r="M7036" s="12" t="s">
        <v>1028</v>
      </c>
      <c r="N7036" s="12" t="s">
        <v>15906</v>
      </c>
      <c r="O7036" s="9" t="str">
        <f aca="false">HYPERLINK("https://pbs.twimg.com/profile_images/742664722734927872/jhFht9g4_normal.jpg","View")</f>
        <v>View</v>
      </c>
      <c r="P7036" s="10"/>
    </row>
    <row r="7037" customFormat="false" ht="15.75" hidden="false" customHeight="false" outlineLevel="0" collapsed="false">
      <c r="A7037" s="6" t="n">
        <v>43031.3368055556</v>
      </c>
      <c r="B7037" s="7" t="str">
        <f aca="false">HYPERLINK("https://twitter.com/MaxSecurityLTD","@MaxSecurityLTD")</f>
        <v>@MaxSecurityLTD</v>
      </c>
      <c r="C7037" s="8" t="s">
        <v>15907</v>
      </c>
      <c r="D7037" s="8" t="s">
        <v>15908</v>
      </c>
      <c r="E7037" s="9" t="str">
        <f aca="false">HYPERLINK("https://twitter.com/MaxSecurityLTD/status/922478971702464513","922478971702464513")</f>
        <v>922478971702464513</v>
      </c>
      <c r="F7037" s="10" t="s">
        <v>15909</v>
      </c>
      <c r="G7037" s="10" t="n">
        <v>1404</v>
      </c>
      <c r="H7037" s="10" t="n">
        <v>720</v>
      </c>
      <c r="I7037" s="10" t="n">
        <v>0</v>
      </c>
      <c r="J7037" s="10" t="n">
        <v>0</v>
      </c>
      <c r="K7037" s="10" t="s">
        <v>20</v>
      </c>
      <c r="L7037" s="11" t="n">
        <v>40567.9658101852</v>
      </c>
      <c r="M7037" s="12" t="s">
        <v>15910</v>
      </c>
      <c r="N7037" s="12" t="s">
        <v>15911</v>
      </c>
      <c r="O7037" s="9" t="str">
        <f aca="false">HYPERLINK("https://pbs.twimg.com/profile_images/581107313265811456/TCGC7bNZ_normal.jpg","View")</f>
        <v>View</v>
      </c>
      <c r="P7037" s="10"/>
    </row>
    <row r="7038" customFormat="false" ht="15.75" hidden="false" customHeight="false" outlineLevel="0" collapsed="false">
      <c r="A7038" s="6" t="n">
        <v>43031.3369560185</v>
      </c>
      <c r="B7038" s="7" t="str">
        <f aca="false">HYPERLINK("https://twitter.com/Subhank25219819","@Subhank25219819")</f>
        <v>@Subhank25219819</v>
      </c>
      <c r="C7038" s="8" t="s">
        <v>12286</v>
      </c>
      <c r="D7038" s="8" t="s">
        <v>15790</v>
      </c>
      <c r="E7038" s="9" t="str">
        <f aca="false">HYPERLINK("https://twitter.com/Subhank25219819/status/922479028338032641","922479028338032641")</f>
        <v>922479028338032641</v>
      </c>
      <c r="F7038" s="10" t="s">
        <v>51</v>
      </c>
      <c r="G7038" s="10" t="n">
        <v>215</v>
      </c>
      <c r="H7038" s="10" t="n">
        <v>227</v>
      </c>
      <c r="I7038" s="10" t="n">
        <v>10</v>
      </c>
      <c r="J7038" s="10" t="n">
        <v>0</v>
      </c>
      <c r="K7038" s="10" t="s">
        <v>20</v>
      </c>
      <c r="L7038" s="11" t="n">
        <v>42542.1566435185</v>
      </c>
      <c r="M7038" s="12" t="s">
        <v>253</v>
      </c>
      <c r="N7038" s="12"/>
      <c r="O7038" s="9" t="str">
        <f aca="false">HYPERLINK("https://abs.twimg.com/sticky/default_profile_images/default_profile_normal.png","View")</f>
        <v>View</v>
      </c>
      <c r="P7038" s="10"/>
    </row>
    <row r="7039" customFormat="false" ht="15.75" hidden="false" customHeight="false" outlineLevel="0" collapsed="false">
      <c r="A7039" s="6" t="n">
        <v>43031.3370023148</v>
      </c>
      <c r="B7039" s="7" t="str">
        <f aca="false">HYPERLINK("https://twitter.com/Remberto1010","@Remberto1010")</f>
        <v>@Remberto1010</v>
      </c>
      <c r="C7039" s="8" t="s">
        <v>15912</v>
      </c>
      <c r="D7039" s="8" t="s">
        <v>15913</v>
      </c>
      <c r="E7039" s="9" t="str">
        <f aca="false">HYPERLINK("https://twitter.com/Remberto1010/status/922479044272074753","922479044272074753")</f>
        <v>922479044272074753</v>
      </c>
      <c r="F7039" s="10" t="s">
        <v>25</v>
      </c>
      <c r="G7039" s="10" t="n">
        <v>147</v>
      </c>
      <c r="H7039" s="10" t="n">
        <v>283</v>
      </c>
      <c r="I7039" s="10" t="n">
        <v>1</v>
      </c>
      <c r="J7039" s="10" t="n">
        <v>0</v>
      </c>
      <c r="K7039" s="10" t="s">
        <v>20</v>
      </c>
      <c r="L7039" s="11" t="n">
        <v>42601.9926967593</v>
      </c>
      <c r="M7039" s="12"/>
      <c r="N7039" s="12"/>
      <c r="O7039" s="9" t="str">
        <f aca="false">HYPERLINK("https://pbs.twimg.com/profile_images/875706728079347712/MfVhd3rK_normal.jpg","View")</f>
        <v>View</v>
      </c>
      <c r="P7039" s="10"/>
    </row>
    <row r="7040" customFormat="false" ht="15.75" hidden="false" customHeight="false" outlineLevel="0" collapsed="false">
      <c r="A7040" s="6" t="n">
        <v>43031.3386342593</v>
      </c>
      <c r="B7040" s="7" t="str">
        <f aca="false">HYPERLINK("https://twitter.com/WyndTalkr","@WyndTalkr")</f>
        <v>@WyndTalkr</v>
      </c>
      <c r="C7040" s="8" t="s">
        <v>15914</v>
      </c>
      <c r="D7040" s="8" t="s">
        <v>8538</v>
      </c>
      <c r="E7040" s="9" t="str">
        <f aca="false">HYPERLINK("https://twitter.com/WyndTalkr/status/922479632997167105","922479632997167105")</f>
        <v>922479632997167105</v>
      </c>
      <c r="F7040" s="10" t="s">
        <v>39</v>
      </c>
      <c r="G7040" s="10" t="n">
        <v>55</v>
      </c>
      <c r="H7040" s="10" t="n">
        <v>345</v>
      </c>
      <c r="I7040" s="10" t="n">
        <v>1015</v>
      </c>
      <c r="J7040" s="10" t="n">
        <v>0</v>
      </c>
      <c r="K7040" s="10" t="s">
        <v>20</v>
      </c>
      <c r="L7040" s="11" t="n">
        <v>41656.320787037</v>
      </c>
      <c r="M7040" s="12" t="s">
        <v>15915</v>
      </c>
      <c r="N7040" s="12" t="s">
        <v>15916</v>
      </c>
      <c r="O7040" s="9" t="str">
        <f aca="false">HYPERLINK("https://pbs.twimg.com/profile_images/811266676280868864/irI8Vlrf_normal.jpg","View")</f>
        <v>View</v>
      </c>
      <c r="P7040" s="10"/>
    </row>
    <row r="7041" customFormat="false" ht="15.75" hidden="false" customHeight="false" outlineLevel="0" collapsed="false">
      <c r="A7041" s="6" t="n">
        <v>43031.339212963</v>
      </c>
      <c r="B7041" s="7" t="str">
        <f aca="false">HYPERLINK("https://twitter.com/bcburden","@bcburden")</f>
        <v>@bcburden</v>
      </c>
      <c r="C7041" s="8" t="s">
        <v>15917</v>
      </c>
      <c r="D7041" s="8" t="s">
        <v>15918</v>
      </c>
      <c r="E7041" s="9" t="str">
        <f aca="false">HYPERLINK("https://twitter.com/bcburden/status/922479843572318208","922479843572318208")</f>
        <v>922479843572318208</v>
      </c>
      <c r="F7041" s="10" t="s">
        <v>39</v>
      </c>
      <c r="G7041" s="10" t="n">
        <v>2079</v>
      </c>
      <c r="H7041" s="10" t="n">
        <v>124</v>
      </c>
      <c r="I7041" s="10" t="n">
        <v>3</v>
      </c>
      <c r="J7041" s="10" t="n">
        <v>0</v>
      </c>
      <c r="K7041" s="10" t="s">
        <v>20</v>
      </c>
      <c r="L7041" s="11" t="n">
        <v>39972.5792708333</v>
      </c>
      <c r="M7041" s="12" t="s">
        <v>15919</v>
      </c>
      <c r="N7041" s="12" t="s">
        <v>15920</v>
      </c>
      <c r="O7041" s="9" t="str">
        <f aca="false">HYPERLINK("https://pbs.twimg.com/profile_images/836661406665564160/sBzzTOgC_normal.jpg","View")</f>
        <v>View</v>
      </c>
      <c r="P7041" s="10"/>
    </row>
    <row r="7042" customFormat="false" ht="15.75" hidden="false" customHeight="false" outlineLevel="0" collapsed="false">
      <c r="A7042" s="6" t="n">
        <v>43031.339537037</v>
      </c>
      <c r="B7042" s="7" t="str">
        <f aca="false">HYPERLINK("https://twitter.com/AGamalinda","@AGamalinda")</f>
        <v>@AGamalinda</v>
      </c>
      <c r="C7042" s="8" t="s">
        <v>15921</v>
      </c>
      <c r="D7042" s="8" t="s">
        <v>15821</v>
      </c>
      <c r="E7042" s="9" t="str">
        <f aca="false">HYPERLINK("https://twitter.com/AGamalinda/status/922479963256668160","922479963256668160")</f>
        <v>922479963256668160</v>
      </c>
      <c r="F7042" s="10" t="s">
        <v>51</v>
      </c>
      <c r="G7042" s="10" t="n">
        <v>121</v>
      </c>
      <c r="H7042" s="10" t="n">
        <v>942</v>
      </c>
      <c r="I7042" s="10" t="n">
        <v>41</v>
      </c>
      <c r="J7042" s="10" t="n">
        <v>0</v>
      </c>
      <c r="K7042" s="10" t="s">
        <v>20</v>
      </c>
      <c r="L7042" s="11" t="n">
        <v>41119.8199305556</v>
      </c>
      <c r="M7042" s="12" t="s">
        <v>15922</v>
      </c>
      <c r="N7042" s="12" t="s">
        <v>15923</v>
      </c>
      <c r="O7042" s="9" t="str">
        <f aca="false">HYPERLINK("https://pbs.twimg.com/profile_images/875984901585031169/Y5sosDkJ_normal.jpg","View")</f>
        <v>View</v>
      </c>
      <c r="P7042" s="10"/>
    </row>
    <row r="7043" customFormat="false" ht="15.75" hidden="false" customHeight="false" outlineLevel="0" collapsed="false">
      <c r="A7043" s="6" t="n">
        <v>43031.3396527778</v>
      </c>
      <c r="B7043" s="7" t="str">
        <f aca="false">HYPERLINK("https://twitter.com/fpinterrupted","@fpinterrupted")</f>
        <v>@fpinterrupted</v>
      </c>
      <c r="C7043" s="8" t="s">
        <v>15924</v>
      </c>
      <c r="D7043" s="8" t="s">
        <v>15925</v>
      </c>
      <c r="E7043" s="9" t="str">
        <f aca="false">HYPERLINK("https://twitter.com/fpinterrupted/status/922480006005252096","922480006005252096")</f>
        <v>922480006005252096</v>
      </c>
      <c r="F7043" s="10" t="s">
        <v>1167</v>
      </c>
      <c r="G7043" s="10" t="n">
        <v>8062</v>
      </c>
      <c r="H7043" s="10" t="n">
        <v>548</v>
      </c>
      <c r="I7043" s="10" t="n">
        <v>0</v>
      </c>
      <c r="J7043" s="10" t="n">
        <v>1</v>
      </c>
      <c r="K7043" s="10" t="s">
        <v>20</v>
      </c>
      <c r="L7043" s="11" t="n">
        <v>41324.3008449074</v>
      </c>
      <c r="M7043" s="12" t="s">
        <v>357</v>
      </c>
      <c r="N7043" s="12" t="s">
        <v>15926</v>
      </c>
      <c r="O7043" s="9" t="str">
        <f aca="false">HYPERLINK("https://pbs.twimg.com/profile_images/475587280694804480/u5fUO_Ne_normal.png","View")</f>
        <v>View</v>
      </c>
      <c r="P7043" s="10"/>
    </row>
    <row r="7044" customFormat="false" ht="15.75" hidden="false" customHeight="false" outlineLevel="0" collapsed="false">
      <c r="A7044" s="6" t="n">
        <v>43031.3397222222</v>
      </c>
      <c r="B7044" s="7" t="str">
        <f aca="false">HYPERLINK("https://twitter.com/OmarV09241992","@OmarV09241992")</f>
        <v>@OmarV09241992</v>
      </c>
      <c r="C7044" s="8" t="s">
        <v>15927</v>
      </c>
      <c r="D7044" s="8" t="s">
        <v>15821</v>
      </c>
      <c r="E7044" s="9" t="str">
        <f aca="false">HYPERLINK("https://twitter.com/OmarV09241992/status/922480027589017600","922480027589017600")</f>
        <v>922480027589017600</v>
      </c>
      <c r="F7044" s="10" t="s">
        <v>177</v>
      </c>
      <c r="G7044" s="10" t="n">
        <v>344</v>
      </c>
      <c r="H7044" s="10" t="n">
        <v>890</v>
      </c>
      <c r="I7044" s="10" t="n">
        <v>41</v>
      </c>
      <c r="J7044" s="10" t="n">
        <v>0</v>
      </c>
      <c r="K7044" s="10" t="s">
        <v>20</v>
      </c>
      <c r="L7044" s="11" t="n">
        <v>42296.2771296296</v>
      </c>
      <c r="M7044" s="12" t="s">
        <v>15928</v>
      </c>
      <c r="N7044" s="12" t="s">
        <v>15929</v>
      </c>
      <c r="O7044" s="9" t="str">
        <f aca="false">HYPERLINK("https://pbs.twimg.com/profile_images/842118047703941121/hW32nr4Y_normal.jpg","View")</f>
        <v>View</v>
      </c>
      <c r="P7044" s="10"/>
    </row>
    <row r="7045" customFormat="false" ht="15.75" hidden="false" customHeight="false" outlineLevel="0" collapsed="false">
      <c r="A7045" s="6" t="n">
        <v>43031.3401967593</v>
      </c>
      <c r="B7045" s="7" t="str">
        <f aca="false">HYPERLINK("https://twitter.com/jfalbertos","@jfalbertos")</f>
        <v>@jfalbertos</v>
      </c>
      <c r="C7045" s="8" t="s">
        <v>15930</v>
      </c>
      <c r="D7045" s="8" t="s">
        <v>15931</v>
      </c>
      <c r="E7045" s="9" t="str">
        <f aca="false">HYPERLINK("https://twitter.com/jfalbertos/status/922480200402817024","922480200402817024")</f>
        <v>922480200402817024</v>
      </c>
      <c r="F7045" s="10" t="s">
        <v>25</v>
      </c>
      <c r="G7045" s="10" t="n">
        <v>20462</v>
      </c>
      <c r="H7045" s="10" t="n">
        <v>1482</v>
      </c>
      <c r="I7045" s="10" t="n">
        <v>3</v>
      </c>
      <c r="J7045" s="10" t="n">
        <v>0</v>
      </c>
      <c r="K7045" s="10" t="s">
        <v>20</v>
      </c>
      <c r="L7045" s="11" t="n">
        <v>40686.1733217593</v>
      </c>
      <c r="M7045" s="12"/>
      <c r="N7045" s="12" t="s">
        <v>15932</v>
      </c>
      <c r="O7045" s="9" t="str">
        <f aca="false">HYPERLINK("https://pbs.twimg.com/profile_images/614486826028539904/yEDZd6Go_normal.jpg","View")</f>
        <v>View</v>
      </c>
      <c r="P7045" s="10"/>
    </row>
    <row r="7046" customFormat="false" ht="15.75" hidden="false" customHeight="false" outlineLevel="0" collapsed="false">
      <c r="A7046" s="6" t="n">
        <v>43031.3407291667</v>
      </c>
      <c r="B7046" s="7" t="str">
        <f aca="false">HYPERLINK("https://twitter.com/pogi946","@pogi946")</f>
        <v>@pogi946</v>
      </c>
      <c r="C7046" s="8" t="s">
        <v>15933</v>
      </c>
      <c r="D7046" s="8" t="s">
        <v>14598</v>
      </c>
      <c r="E7046" s="9" t="str">
        <f aca="false">HYPERLINK("https://twitter.com/pogi946/status/922480393651187712","922480393651187712")</f>
        <v>922480393651187712</v>
      </c>
      <c r="F7046" s="10" t="s">
        <v>25</v>
      </c>
      <c r="G7046" s="10" t="n">
        <v>59</v>
      </c>
      <c r="H7046" s="10" t="n">
        <v>2247</v>
      </c>
      <c r="I7046" s="10" t="n">
        <v>23</v>
      </c>
      <c r="J7046" s="10" t="n">
        <v>0</v>
      </c>
      <c r="K7046" s="10" t="s">
        <v>20</v>
      </c>
      <c r="L7046" s="11" t="n">
        <v>40900.4573958333</v>
      </c>
      <c r="M7046" s="12" t="s">
        <v>15934</v>
      </c>
      <c r="N7046" s="12" t="s">
        <v>15935</v>
      </c>
      <c r="O7046" s="9" t="str">
        <f aca="false">HYPERLINK("https://pbs.twimg.com/profile_images/763011853278642176/32BVs0yV_normal.jpg","View")</f>
        <v>View</v>
      </c>
      <c r="P7046" s="10"/>
    </row>
    <row r="7047" customFormat="false" ht="15.75" hidden="false" customHeight="false" outlineLevel="0" collapsed="false">
      <c r="A7047" s="6" t="n">
        <v>43031.3413773148</v>
      </c>
      <c r="B7047" s="7" t="str">
        <f aca="false">HYPERLINK("https://twitter.com/virgini40329920","@virgini40329920")</f>
        <v>@virgini40329920</v>
      </c>
      <c r="C7047" s="8" t="s">
        <v>15936</v>
      </c>
      <c r="D7047" s="8" t="s">
        <v>15937</v>
      </c>
      <c r="E7047" s="9" t="str">
        <f aca="false">HYPERLINK("https://twitter.com/virgini40329920/status/922480629425590272","922480629425590272")</f>
        <v>922480629425590272</v>
      </c>
      <c r="F7047" s="10" t="s">
        <v>98</v>
      </c>
      <c r="G7047" s="10" t="n">
        <v>58</v>
      </c>
      <c r="H7047" s="10" t="n">
        <v>445</v>
      </c>
      <c r="I7047" s="10" t="n">
        <v>1</v>
      </c>
      <c r="J7047" s="10" t="n">
        <v>0</v>
      </c>
      <c r="K7047" s="10" t="s">
        <v>20</v>
      </c>
      <c r="L7047" s="11" t="n">
        <v>42992.1113310185</v>
      </c>
      <c r="M7047" s="12" t="s">
        <v>15938</v>
      </c>
      <c r="N7047" s="12" t="s">
        <v>15939</v>
      </c>
      <c r="O7047" s="9" t="str">
        <f aca="false">HYPERLINK("https://pbs.twimg.com/profile_images/908312481872973825/aSgXGqa__normal.jpg","View")</f>
        <v>View</v>
      </c>
      <c r="P7047" s="10"/>
    </row>
    <row r="7048" customFormat="false" ht="15.75" hidden="false" customHeight="false" outlineLevel="0" collapsed="false">
      <c r="A7048" s="6" t="n">
        <v>43031.3421412037</v>
      </c>
      <c r="B7048" s="7" t="str">
        <f aca="false">HYPERLINK("https://twitter.com/premagarwal1945","@premagarwal1945")</f>
        <v>@premagarwal1945</v>
      </c>
      <c r="C7048" s="8" t="s">
        <v>15940</v>
      </c>
      <c r="D7048" s="8" t="s">
        <v>8538</v>
      </c>
      <c r="E7048" s="9" t="str">
        <f aca="false">HYPERLINK("https://twitter.com/premagarwal1945/status/922480904605335553","922480904605335553")</f>
        <v>922480904605335553</v>
      </c>
      <c r="F7048" s="10" t="s">
        <v>25</v>
      </c>
      <c r="G7048" s="10" t="n">
        <v>226</v>
      </c>
      <c r="H7048" s="10" t="n">
        <v>193</v>
      </c>
      <c r="I7048" s="10" t="n">
        <v>1015</v>
      </c>
      <c r="J7048" s="10" t="n">
        <v>0</v>
      </c>
      <c r="K7048" s="10" t="s">
        <v>20</v>
      </c>
      <c r="L7048" s="11" t="n">
        <v>42729.3485763889</v>
      </c>
      <c r="M7048" s="12"/>
      <c r="N7048" s="12"/>
      <c r="O7048" s="9" t="str">
        <f aca="false">HYPERLINK("https://abs.twimg.com/sticky/default_profile_images/default_profile_normal.png","View")</f>
        <v>View</v>
      </c>
      <c r="P7048" s="10"/>
    </row>
    <row r="7049" customFormat="false" ht="15.75" hidden="false" customHeight="false" outlineLevel="0" collapsed="false">
      <c r="A7049" s="6" t="n">
        <v>43031.3421759259</v>
      </c>
      <c r="B7049" s="7" t="str">
        <f aca="false">HYPERLINK("https://twitter.com/isumitksinha","@isumitksinha")</f>
        <v>@isumitksinha</v>
      </c>
      <c r="C7049" s="8" t="s">
        <v>855</v>
      </c>
      <c r="D7049" s="8" t="s">
        <v>15941</v>
      </c>
      <c r="E7049" s="9" t="str">
        <f aca="false">HYPERLINK("https://twitter.com/isumitksinha/status/922480920367640576","922480920367640576")</f>
        <v>922480920367640576</v>
      </c>
      <c r="F7049" s="10" t="s">
        <v>55</v>
      </c>
      <c r="G7049" s="10" t="n">
        <v>821</v>
      </c>
      <c r="H7049" s="10" t="n">
        <v>110</v>
      </c>
      <c r="I7049" s="10" t="n">
        <v>0</v>
      </c>
      <c r="J7049" s="10" t="n">
        <v>0</v>
      </c>
      <c r="K7049" s="10" t="s">
        <v>20</v>
      </c>
      <c r="L7049" s="11" t="n">
        <v>40211.2578125</v>
      </c>
      <c r="M7049" s="12" t="s">
        <v>857</v>
      </c>
      <c r="N7049" s="12" t="s">
        <v>858</v>
      </c>
      <c r="O7049" s="9" t="str">
        <f aca="false">HYPERLINK("https://pbs.twimg.com/profile_images/662292972654870528/N3kLvWAZ_normal.jpg","View")</f>
        <v>View</v>
      </c>
      <c r="P7049" s="10"/>
    </row>
    <row r="7050" customFormat="false" ht="15.75" hidden="false" customHeight="false" outlineLevel="0" collapsed="false">
      <c r="A7050" s="6" t="n">
        <v>43031.3428935185</v>
      </c>
      <c r="B7050" s="7" t="str">
        <f aca="false">HYPERLINK("https://twitter.com/TheJaggi","@TheJaggi")</f>
        <v>@TheJaggi</v>
      </c>
      <c r="C7050" s="8" t="s">
        <v>15942</v>
      </c>
      <c r="D7050" s="8" t="s">
        <v>8538</v>
      </c>
      <c r="E7050" s="9" t="str">
        <f aca="false">HYPERLINK("https://twitter.com/TheJaggi/status/922481178866630656","922481178866630656")</f>
        <v>922481178866630656</v>
      </c>
      <c r="F7050" s="10" t="s">
        <v>25</v>
      </c>
      <c r="G7050" s="10" t="n">
        <v>116082</v>
      </c>
      <c r="H7050" s="10" t="n">
        <v>347</v>
      </c>
      <c r="I7050" s="10" t="n">
        <v>1015</v>
      </c>
      <c r="J7050" s="10" t="n">
        <v>0</v>
      </c>
      <c r="K7050" s="10" t="s">
        <v>20</v>
      </c>
      <c r="L7050" s="11" t="n">
        <v>40312.1602662037</v>
      </c>
      <c r="M7050" s="12" t="s">
        <v>860</v>
      </c>
      <c r="N7050" s="12" t="s">
        <v>15943</v>
      </c>
      <c r="O7050" s="9" t="str">
        <f aca="false">HYPERLINK("https://pbs.twimg.com/profile_images/435760729921052672/o6z1YeQF_normal.jpeg","View")</f>
        <v>View</v>
      </c>
      <c r="P7050" s="10"/>
    </row>
    <row r="7051" customFormat="false" ht="15.75" hidden="false" customHeight="false" outlineLevel="0" collapsed="false">
      <c r="A7051" s="6" t="n">
        <v>43031.3430208333</v>
      </c>
      <c r="B7051" s="7" t="str">
        <f aca="false">HYPERLINK("https://twitter.com/neeleshjadhav","@neeleshjadhav")</f>
        <v>@neeleshjadhav</v>
      </c>
      <c r="C7051" s="8" t="s">
        <v>15944</v>
      </c>
      <c r="D7051" s="8" t="s">
        <v>8538</v>
      </c>
      <c r="E7051" s="9" t="str">
        <f aca="false">HYPERLINK("https://twitter.com/neeleshjadhav/status/922481225851289601","922481225851289601")</f>
        <v>922481225851289601</v>
      </c>
      <c r="F7051" s="10" t="s">
        <v>25</v>
      </c>
      <c r="G7051" s="10" t="n">
        <v>34</v>
      </c>
      <c r="H7051" s="10" t="n">
        <v>142</v>
      </c>
      <c r="I7051" s="10" t="n">
        <v>1015</v>
      </c>
      <c r="J7051" s="10" t="n">
        <v>0</v>
      </c>
      <c r="K7051" s="10" t="s">
        <v>20</v>
      </c>
      <c r="L7051" s="11" t="n">
        <v>40303.3783217593</v>
      </c>
      <c r="M7051" s="12" t="s">
        <v>186</v>
      </c>
      <c r="N7051" s="12"/>
      <c r="O7051" s="9" t="str">
        <f aca="false">HYPERLINK("https://pbs.twimg.com/profile_images/669448144514621440/vsxz1zxM_normal.jpg","View")</f>
        <v>View</v>
      </c>
      <c r="P7051" s="10"/>
    </row>
    <row r="7052" customFormat="false" ht="15.75" hidden="false" customHeight="false" outlineLevel="0" collapsed="false">
      <c r="A7052" s="6" t="n">
        <v>43031.3431944444</v>
      </c>
      <c r="B7052" s="7" t="str">
        <f aca="false">HYPERLINK("https://twitter.com/yinhew1","@yinhew1")</f>
        <v>@yinhew1</v>
      </c>
      <c r="C7052" s="8" t="s">
        <v>15945</v>
      </c>
      <c r="D7052" s="8" t="s">
        <v>15946</v>
      </c>
      <c r="E7052" s="9" t="str">
        <f aca="false">HYPERLINK("https://twitter.com/yinhew1/status/922481287683854336","922481287683854336")</f>
        <v>922481287683854336</v>
      </c>
      <c r="F7052" s="10" t="s">
        <v>39</v>
      </c>
      <c r="G7052" s="10" t="n">
        <v>558</v>
      </c>
      <c r="H7052" s="10" t="n">
        <v>474</v>
      </c>
      <c r="I7052" s="10" t="n">
        <v>0</v>
      </c>
      <c r="J7052" s="10" t="n">
        <v>0</v>
      </c>
      <c r="K7052" s="10" t="s">
        <v>20</v>
      </c>
      <c r="L7052" s="11" t="n">
        <v>41304.7980324074</v>
      </c>
      <c r="M7052" s="12" t="s">
        <v>3032</v>
      </c>
      <c r="N7052" s="12" t="s">
        <v>15947</v>
      </c>
      <c r="O7052" s="9" t="str">
        <f aca="false">HYPERLINK("https://pbs.twimg.com/profile_images/519511366214750209/MwTy-8mz_normal.jpeg","View")</f>
        <v>View</v>
      </c>
      <c r="P7052" s="10"/>
    </row>
    <row r="7053" customFormat="false" ht="15.75" hidden="false" customHeight="false" outlineLevel="0" collapsed="false">
      <c r="A7053" s="6" t="n">
        <v>43031.3434490741</v>
      </c>
      <c r="B7053" s="7" t="str">
        <f aca="false">HYPERLINK("https://twitter.com/almond3131","@almond3131")</f>
        <v>@almond3131</v>
      </c>
      <c r="C7053" s="8" t="s">
        <v>15948</v>
      </c>
      <c r="D7053" s="8" t="s">
        <v>7515</v>
      </c>
      <c r="E7053" s="9" t="str">
        <f aca="false">HYPERLINK("https://twitter.com/almond3131/status/922481381816467456","922481381816467456")</f>
        <v>922481381816467456</v>
      </c>
      <c r="F7053" s="10" t="s">
        <v>51</v>
      </c>
      <c r="G7053" s="10" t="n">
        <v>5374</v>
      </c>
      <c r="H7053" s="10" t="n">
        <v>2154</v>
      </c>
      <c r="I7053" s="10" t="n">
        <v>25</v>
      </c>
      <c r="J7053" s="10" t="n">
        <v>0</v>
      </c>
      <c r="K7053" s="10" t="s">
        <v>20</v>
      </c>
      <c r="L7053" s="11" t="n">
        <v>41549.0625462963</v>
      </c>
      <c r="M7053" s="12"/>
      <c r="N7053" s="12"/>
      <c r="O7053" s="9" t="str">
        <f aca="false">HYPERLINK("https://pbs.twimg.com/profile_images/582543275900321792/IShps4O7_normal.jpg","View")</f>
        <v>View</v>
      </c>
      <c r="P7053" s="10"/>
    </row>
    <row r="7054" customFormat="false" ht="15.75" hidden="false" customHeight="false" outlineLevel="0" collapsed="false">
      <c r="A7054" s="6" t="n">
        <v>43031.3435416667</v>
      </c>
      <c r="B7054" s="7" t="str">
        <f aca="false">HYPERLINK("https://twitter.com/stelly_alice","@stelly_alice")</f>
        <v>@stelly_alice</v>
      </c>
      <c r="C7054" s="8" t="s">
        <v>15949</v>
      </c>
      <c r="D7054" s="8" t="s">
        <v>15950</v>
      </c>
      <c r="E7054" s="9" t="str">
        <f aca="false">HYPERLINK("https://twitter.com/stelly_alice/status/922481412913147905","922481412913147905")</f>
        <v>922481412913147905</v>
      </c>
      <c r="F7054" s="10" t="s">
        <v>51</v>
      </c>
      <c r="G7054" s="10" t="n">
        <v>530</v>
      </c>
      <c r="H7054" s="10" t="n">
        <v>856</v>
      </c>
      <c r="I7054" s="10" t="n">
        <v>3</v>
      </c>
      <c r="J7054" s="10" t="n">
        <v>0</v>
      </c>
      <c r="K7054" s="10" t="s">
        <v>20</v>
      </c>
      <c r="L7054" s="11" t="n">
        <v>42655.4870486111</v>
      </c>
      <c r="M7054" s="12"/>
      <c r="N7054" s="12" t="s">
        <v>15951</v>
      </c>
      <c r="O7054" s="9" t="str">
        <f aca="false">HYPERLINK("https://pbs.twimg.com/profile_images/853303060411666432/RS1WaXUW_normal.jpg","View")</f>
        <v>View</v>
      </c>
      <c r="P7054" s="10"/>
    </row>
    <row r="7055" customFormat="false" ht="15.75" hidden="false" customHeight="false" outlineLevel="0" collapsed="false">
      <c r="A7055" s="6" t="n">
        <v>43031.343599537</v>
      </c>
      <c r="B7055" s="7" t="str">
        <f aca="false">HYPERLINK("https://twitter.com/manojthaker33","@manojthaker33")</f>
        <v>@manojthaker33</v>
      </c>
      <c r="C7055" s="8" t="s">
        <v>15952</v>
      </c>
      <c r="D7055" s="8" t="s">
        <v>15953</v>
      </c>
      <c r="E7055" s="9" t="str">
        <f aca="false">HYPERLINK("https://twitter.com/manojthaker33/status/922481434501136384","922481434501136384")</f>
        <v>922481434501136384</v>
      </c>
      <c r="F7055" s="10" t="s">
        <v>39</v>
      </c>
      <c r="G7055" s="10" t="n">
        <v>179</v>
      </c>
      <c r="H7055" s="10" t="n">
        <v>413</v>
      </c>
      <c r="I7055" s="10" t="n">
        <v>0</v>
      </c>
      <c r="J7055" s="10" t="n">
        <v>2</v>
      </c>
      <c r="K7055" s="10" t="s">
        <v>20</v>
      </c>
      <c r="L7055" s="11" t="n">
        <v>40760.527349537</v>
      </c>
      <c r="M7055" s="12" t="s">
        <v>8918</v>
      </c>
      <c r="N7055" s="12" t="s">
        <v>15954</v>
      </c>
      <c r="O7055" s="9" t="str">
        <f aca="false">HYPERLINK("https://pbs.twimg.com/profile_images/671761857410170880/NPVoPIFN_normal.jpg","View")</f>
        <v>View</v>
      </c>
      <c r="P7055" s="10"/>
    </row>
    <row r="7056" customFormat="false" ht="15.75" hidden="false" customHeight="false" outlineLevel="0" collapsed="false">
      <c r="A7056" s="6" t="n">
        <v>43031.3436805556</v>
      </c>
      <c r="B7056" s="7" t="str">
        <f aca="false">HYPERLINK("https://twitter.com/monkeychar","@monkeychar")</f>
        <v>@monkeychar</v>
      </c>
      <c r="C7056" s="8" t="s">
        <v>15955</v>
      </c>
      <c r="D7056" s="8" t="s">
        <v>15956</v>
      </c>
      <c r="E7056" s="9" t="str">
        <f aca="false">HYPERLINK("https://twitter.com/monkeychar/status/922481463823437824","922481463823437824")</f>
        <v>922481463823437824</v>
      </c>
      <c r="F7056" s="10" t="s">
        <v>39</v>
      </c>
      <c r="G7056" s="10" t="n">
        <v>87</v>
      </c>
      <c r="H7056" s="10" t="n">
        <v>78</v>
      </c>
      <c r="I7056" s="10" t="n">
        <v>0</v>
      </c>
      <c r="J7056" s="10" t="n">
        <v>0</v>
      </c>
      <c r="K7056" s="10" t="s">
        <v>20</v>
      </c>
      <c r="L7056" s="11" t="n">
        <v>40198.2452199074</v>
      </c>
      <c r="M7056" s="13" t="s">
        <v>3128</v>
      </c>
      <c r="N7056" s="13" t="s">
        <v>15957</v>
      </c>
      <c r="O7056" s="9" t="str">
        <f aca="false">HYPERLINK("https://pbs.twimg.com/profile_images/877972915253280771/uzEJi4Xp_normal.jpg","View")</f>
        <v>View</v>
      </c>
      <c r="P7056" s="10"/>
    </row>
    <row r="7057" customFormat="false" ht="15.75" hidden="false" customHeight="false" outlineLevel="0" collapsed="false">
      <c r="A7057" s="6" t="n">
        <v>43031.3439930556</v>
      </c>
      <c r="B7057" s="7" t="str">
        <f aca="false">HYPERLINK("https://twitter.com/asianstudiesgu","@asianstudiesgu")</f>
        <v>@asianstudiesgu</v>
      </c>
      <c r="C7057" s="8" t="s">
        <v>15958</v>
      </c>
      <c r="D7057" s="8" t="s">
        <v>15959</v>
      </c>
      <c r="E7057" s="9" t="str">
        <f aca="false">HYPERLINK("https://twitter.com/asianstudiesgu/status/922481576189022208","922481576189022208")</f>
        <v>922481576189022208</v>
      </c>
      <c r="F7057" s="10" t="s">
        <v>110</v>
      </c>
      <c r="G7057" s="10" t="n">
        <v>2810</v>
      </c>
      <c r="H7057" s="10" t="n">
        <v>388</v>
      </c>
      <c r="I7057" s="10" t="n">
        <v>2</v>
      </c>
      <c r="J7057" s="10" t="n">
        <v>3</v>
      </c>
      <c r="K7057" s="10" t="s">
        <v>20</v>
      </c>
      <c r="L7057" s="11" t="n">
        <v>40127.5530787037</v>
      </c>
      <c r="M7057" s="12" t="s">
        <v>723</v>
      </c>
      <c r="N7057" s="12" t="s">
        <v>15960</v>
      </c>
      <c r="O7057" s="9" t="str">
        <f aca="false">HYPERLINK("https://pbs.twimg.com/profile_images/493810600196063233/b-0WMGka_normal.jpeg","View")</f>
        <v>View</v>
      </c>
      <c r="P7057" s="10"/>
    </row>
    <row r="7058" customFormat="false" ht="15.75" hidden="false" customHeight="false" outlineLevel="0" collapsed="false">
      <c r="A7058" s="6" t="n">
        <v>43031.3441087963</v>
      </c>
      <c r="B7058" s="7" t="str">
        <f aca="false">HYPERLINK("https://twitter.com/AsifPatel79","@AsifPatel79")</f>
        <v>@AsifPatel79</v>
      </c>
      <c r="C7058" s="8" t="s">
        <v>15961</v>
      </c>
      <c r="D7058" s="8" t="s">
        <v>15962</v>
      </c>
      <c r="E7058" s="9" t="str">
        <f aca="false">HYPERLINK("https://twitter.com/AsifPatel79/status/922481619910496256","922481619910496256")</f>
        <v>922481619910496256</v>
      </c>
      <c r="F7058" s="10" t="s">
        <v>110</v>
      </c>
      <c r="G7058" s="10" t="n">
        <v>560</v>
      </c>
      <c r="H7058" s="10" t="n">
        <v>1277</v>
      </c>
      <c r="I7058" s="10" t="n">
        <v>0</v>
      </c>
      <c r="J7058" s="10" t="n">
        <v>1</v>
      </c>
      <c r="K7058" s="10" t="s">
        <v>20</v>
      </c>
      <c r="L7058" s="11" t="n">
        <v>39303.6314814815</v>
      </c>
      <c r="M7058" s="12" t="s">
        <v>1319</v>
      </c>
      <c r="N7058" s="12" t="s">
        <v>15963</v>
      </c>
      <c r="O7058" s="9" t="str">
        <f aca="false">HYPERLINK("https://pbs.twimg.com/profile_images/2738826855/2848424fb05a52666aa76cd4b1f29c0b_normal.jpeg","View")</f>
        <v>View</v>
      </c>
      <c r="P7058" s="10"/>
    </row>
    <row r="7059" customFormat="false" ht="15.75" hidden="false" customHeight="false" outlineLevel="0" collapsed="false">
      <c r="A7059" s="6" t="n">
        <v>43031.3446412037</v>
      </c>
      <c r="B7059" s="7" t="str">
        <f aca="false">HYPERLINK("https://twitter.com/saravindraj","@saravindraj")</f>
        <v>@saravindraj</v>
      </c>
      <c r="C7059" s="8" t="s">
        <v>6238</v>
      </c>
      <c r="D7059" s="8" t="s">
        <v>8538</v>
      </c>
      <c r="E7059" s="9" t="str">
        <f aca="false">HYPERLINK("https://twitter.com/saravindraj/status/922481812542251008","922481812542251008")</f>
        <v>922481812542251008</v>
      </c>
      <c r="F7059" s="10" t="s">
        <v>98</v>
      </c>
      <c r="G7059" s="10" t="n">
        <v>39</v>
      </c>
      <c r="H7059" s="10" t="n">
        <v>92</v>
      </c>
      <c r="I7059" s="10" t="n">
        <v>1015</v>
      </c>
      <c r="J7059" s="10" t="n">
        <v>0</v>
      </c>
      <c r="K7059" s="10" t="s">
        <v>20</v>
      </c>
      <c r="L7059" s="11" t="n">
        <v>40667.8307523148</v>
      </c>
      <c r="M7059" s="12" t="s">
        <v>6240</v>
      </c>
      <c r="N7059" s="12" t="s">
        <v>6241</v>
      </c>
      <c r="O7059" s="9" t="str">
        <f aca="false">HYPERLINK("https://pbs.twimg.com/profile_images/847630153098305537/0z3-Ym9W_normal.jpg","View")</f>
        <v>View</v>
      </c>
      <c r="P7059" s="10"/>
    </row>
    <row r="7060" customFormat="false" ht="15.75" hidden="false" customHeight="false" outlineLevel="0" collapsed="false">
      <c r="A7060" s="6" t="n">
        <v>43031.3446643519</v>
      </c>
      <c r="B7060" s="7" t="str">
        <f aca="false">HYPERLINK("https://twitter.com/LALITSHARMAHP","@LALITSHARMAHP")</f>
        <v>@LALITSHARMAHP</v>
      </c>
      <c r="C7060" s="8" t="s">
        <v>15964</v>
      </c>
      <c r="D7060" s="8" t="s">
        <v>8538</v>
      </c>
      <c r="E7060" s="9" t="str">
        <f aca="false">HYPERLINK("https://twitter.com/LALITSHARMAHP/status/922481821027155968","922481821027155968")</f>
        <v>922481821027155968</v>
      </c>
      <c r="F7060" s="10" t="s">
        <v>98</v>
      </c>
      <c r="G7060" s="10" t="n">
        <v>55</v>
      </c>
      <c r="H7060" s="10" t="n">
        <v>55</v>
      </c>
      <c r="I7060" s="10" t="n">
        <v>1015</v>
      </c>
      <c r="J7060" s="10" t="n">
        <v>0</v>
      </c>
      <c r="K7060" s="10" t="s">
        <v>20</v>
      </c>
      <c r="L7060" s="11" t="n">
        <v>42338.8364583333</v>
      </c>
      <c r="M7060" s="12"/>
      <c r="N7060" s="12" t="s">
        <v>15965</v>
      </c>
      <c r="O7060" s="9" t="str">
        <f aca="false">HYPERLINK("https://abs.twimg.com/sticky/default_profile_images/default_profile_normal.png","View")</f>
        <v>View</v>
      </c>
      <c r="P7060" s="10"/>
    </row>
    <row r="7061" customFormat="false" ht="15.75" hidden="false" customHeight="false" outlineLevel="0" collapsed="false">
      <c r="A7061" s="6" t="n">
        <v>43031.3446990741</v>
      </c>
      <c r="B7061" s="7" t="str">
        <f aca="false">HYPERLINK("https://twitter.com/SureshSadagopan","@SureshSadagopan")</f>
        <v>@SureshSadagopan</v>
      </c>
      <c r="C7061" s="8" t="s">
        <v>15966</v>
      </c>
      <c r="D7061" s="8" t="s">
        <v>8538</v>
      </c>
      <c r="E7061" s="9" t="str">
        <f aca="false">HYPERLINK("https://twitter.com/SureshSadagopan/status/922481833446604801","922481833446604801")</f>
        <v>922481833446604801</v>
      </c>
      <c r="F7061" s="10" t="s">
        <v>25</v>
      </c>
      <c r="G7061" s="10" t="n">
        <v>3207</v>
      </c>
      <c r="H7061" s="10" t="n">
        <v>213</v>
      </c>
      <c r="I7061" s="10" t="n">
        <v>1015</v>
      </c>
      <c r="J7061" s="10" t="n">
        <v>0</v>
      </c>
      <c r="K7061" s="10" t="s">
        <v>20</v>
      </c>
      <c r="L7061" s="11" t="n">
        <v>40015.9287615741</v>
      </c>
      <c r="M7061" s="12" t="s">
        <v>860</v>
      </c>
      <c r="N7061" s="12" t="s">
        <v>15967</v>
      </c>
      <c r="O7061" s="9" t="str">
        <f aca="false">HYPERLINK("https://pbs.twimg.com/profile_images/1363154134/Cropped___low_resol_normal.jpg","View")</f>
        <v>View</v>
      </c>
      <c r="P7061" s="10"/>
    </row>
    <row r="7062" customFormat="false" ht="15.75" hidden="false" customHeight="false" outlineLevel="0" collapsed="false">
      <c r="A7062" s="6" t="n">
        <v>43031.3454282407</v>
      </c>
      <c r="B7062" s="7" t="str">
        <f aca="false">HYPERLINK("https://twitter.com/Madrid_exterior","@Madrid_exterior")</f>
        <v>@Madrid_exterior</v>
      </c>
      <c r="C7062" s="8" t="s">
        <v>15968</v>
      </c>
      <c r="D7062" s="8" t="s">
        <v>15969</v>
      </c>
      <c r="E7062" s="9" t="str">
        <f aca="false">HYPERLINK("https://twitter.com/Madrid_exterior/status/922482097733931008","922482097733931008")</f>
        <v>922482097733931008</v>
      </c>
      <c r="F7062" s="10" t="s">
        <v>60</v>
      </c>
      <c r="G7062" s="10" t="n">
        <v>2941</v>
      </c>
      <c r="H7062" s="10" t="n">
        <v>2871</v>
      </c>
      <c r="I7062" s="10" t="n">
        <v>0</v>
      </c>
      <c r="J7062" s="10" t="n">
        <v>0</v>
      </c>
      <c r="K7062" s="10" t="s">
        <v>20</v>
      </c>
      <c r="L7062" s="11" t="n">
        <v>42557.0230671296</v>
      </c>
      <c r="M7062" s="12" t="s">
        <v>13378</v>
      </c>
      <c r="N7062" s="12" t="s">
        <v>15970</v>
      </c>
      <c r="O7062" s="9" t="str">
        <f aca="false">HYPERLINK("https://pbs.twimg.com/profile_images/750599999436840960/OnHOjWT0_normal.jpg","View")</f>
        <v>View</v>
      </c>
      <c r="P7062" s="10"/>
    </row>
    <row r="7063" customFormat="false" ht="15.75" hidden="false" customHeight="false" outlineLevel="0" collapsed="false">
      <c r="A7063" s="6" t="n">
        <v>43031.3456365741</v>
      </c>
      <c r="B7063" s="7" t="str">
        <f aca="false">HYPERLINK("https://twitter.com/stocks_in","@stocks_in")</f>
        <v>@stocks_in</v>
      </c>
      <c r="C7063" s="8" t="s">
        <v>15971</v>
      </c>
      <c r="D7063" s="8" t="s">
        <v>15972</v>
      </c>
      <c r="E7063" s="9" t="str">
        <f aca="false">HYPERLINK("https://twitter.com/stocks_in/status/922482171146850304","922482171146850304")</f>
        <v>922482171146850304</v>
      </c>
      <c r="F7063" s="10" t="s">
        <v>15973</v>
      </c>
      <c r="G7063" s="10" t="n">
        <v>1990</v>
      </c>
      <c r="H7063" s="10" t="n">
        <v>160</v>
      </c>
      <c r="I7063" s="10" t="n">
        <v>0</v>
      </c>
      <c r="J7063" s="10" t="n">
        <v>1</v>
      </c>
      <c r="K7063" s="10" t="s">
        <v>20</v>
      </c>
      <c r="L7063" s="11" t="n">
        <v>42291.3513657407</v>
      </c>
      <c r="M7063" s="12" t="s">
        <v>72</v>
      </c>
      <c r="N7063" s="12" t="s">
        <v>15974</v>
      </c>
      <c r="O7063" s="9" t="str">
        <f aca="false">HYPERLINK("https://pbs.twimg.com/profile_images/671062865382649861/uH4WrOOm_normal.jpg","View")</f>
        <v>View</v>
      </c>
      <c r="P7063" s="10"/>
    </row>
    <row r="7064" customFormat="false" ht="15.75" hidden="false" customHeight="false" outlineLevel="0" collapsed="false">
      <c r="A7064" s="6" t="n">
        <v>43031.3461226852</v>
      </c>
      <c r="B7064" s="7" t="str">
        <f aca="false">HYPERLINK("https://twitter.com/shantichennai","@shantichennai")</f>
        <v>@shantichennai</v>
      </c>
      <c r="C7064" s="8" t="s">
        <v>15975</v>
      </c>
      <c r="D7064" s="8" t="s">
        <v>8538</v>
      </c>
      <c r="E7064" s="9" t="str">
        <f aca="false">HYPERLINK("https://twitter.com/shantichennai/status/922482349949960192","922482349949960192")</f>
        <v>922482349949960192</v>
      </c>
      <c r="F7064" s="10" t="s">
        <v>39</v>
      </c>
      <c r="G7064" s="10" t="n">
        <v>135</v>
      </c>
      <c r="H7064" s="10" t="n">
        <v>140</v>
      </c>
      <c r="I7064" s="10" t="n">
        <v>1015</v>
      </c>
      <c r="J7064" s="10" t="n">
        <v>0</v>
      </c>
      <c r="K7064" s="10" t="s">
        <v>20</v>
      </c>
      <c r="L7064" s="11" t="n">
        <v>40512.2029513889</v>
      </c>
      <c r="M7064" s="12" t="s">
        <v>72</v>
      </c>
      <c r="N7064" s="12" t="s">
        <v>15976</v>
      </c>
      <c r="O7064" s="9" t="str">
        <f aca="false">HYPERLINK("https://pbs.twimg.com/profile_images/858734329572204544/00cO8PS3_normal.jpg","View")</f>
        <v>View</v>
      </c>
      <c r="P7064" s="10"/>
    </row>
    <row r="7065" customFormat="false" ht="15.75" hidden="false" customHeight="false" outlineLevel="0" collapsed="false">
      <c r="A7065" s="6" t="n">
        <v>43031.3463773148</v>
      </c>
      <c r="B7065" s="7" t="str">
        <f aca="false">HYPERLINK("https://twitter.com/ILoveIndia86","@ILoveIndia86")</f>
        <v>@ILoveIndia86</v>
      </c>
      <c r="C7065" s="8" t="s">
        <v>15977</v>
      </c>
      <c r="D7065" s="8" t="s">
        <v>8538</v>
      </c>
      <c r="E7065" s="9" t="str">
        <f aca="false">HYPERLINK("https://twitter.com/ILoveIndia86/status/922482439997370369","922482439997370369")</f>
        <v>922482439997370369</v>
      </c>
      <c r="F7065" s="10" t="s">
        <v>25</v>
      </c>
      <c r="G7065" s="10" t="n">
        <v>74</v>
      </c>
      <c r="H7065" s="10" t="n">
        <v>191</v>
      </c>
      <c r="I7065" s="10" t="n">
        <v>1015</v>
      </c>
      <c r="J7065" s="10" t="n">
        <v>0</v>
      </c>
      <c r="K7065" s="10" t="s">
        <v>20</v>
      </c>
      <c r="L7065" s="11" t="n">
        <v>42088.9324652778</v>
      </c>
      <c r="M7065" s="12"/>
      <c r="N7065" s="12" t="s">
        <v>15978</v>
      </c>
      <c r="O7065" s="9" t="str">
        <f aca="false">HYPERLINK("https://pbs.twimg.com/profile_images/580964444366249985/9iTsPvsA_normal.jpg","View")</f>
        <v>View</v>
      </c>
      <c r="P7065" s="10"/>
    </row>
    <row r="7066" customFormat="false" ht="15.75" hidden="false" customHeight="false" outlineLevel="0" collapsed="false">
      <c r="A7066" s="6" t="n">
        <v>43031.3466898148</v>
      </c>
      <c r="B7066" s="7" t="str">
        <f aca="false">HYPERLINK("https://twitter.com/BijuNair20","@BijuNair20")</f>
        <v>@BijuNair20</v>
      </c>
      <c r="C7066" s="8" t="s">
        <v>15979</v>
      </c>
      <c r="D7066" s="8" t="s">
        <v>8538</v>
      </c>
      <c r="E7066" s="9" t="str">
        <f aca="false">HYPERLINK("https://twitter.com/BijuNair20/status/922482554908717056","922482554908717056")</f>
        <v>922482554908717056</v>
      </c>
      <c r="F7066" s="10" t="s">
        <v>25</v>
      </c>
      <c r="G7066" s="10" t="n">
        <v>5896</v>
      </c>
      <c r="H7066" s="10" t="n">
        <v>3744</v>
      </c>
      <c r="I7066" s="10" t="n">
        <v>1015</v>
      </c>
      <c r="J7066" s="10" t="n">
        <v>0</v>
      </c>
      <c r="K7066" s="10" t="s">
        <v>20</v>
      </c>
      <c r="L7066" s="11" t="n">
        <v>41217.3669675926</v>
      </c>
      <c r="M7066" s="12" t="s">
        <v>72</v>
      </c>
      <c r="N7066" s="12" t="s">
        <v>15980</v>
      </c>
      <c r="O7066" s="9" t="str">
        <f aca="false">HYPERLINK("https://pbs.twimg.com/profile_images/804246718506102784/1uO9Sf8n_normal.jpg","View")</f>
        <v>View</v>
      </c>
      <c r="P7066" s="10"/>
    </row>
    <row r="7067" customFormat="false" ht="15.75" hidden="false" customHeight="false" outlineLevel="0" collapsed="false">
      <c r="A7067" s="6" t="n">
        <v>43031.3468055556</v>
      </c>
      <c r="B7067" s="7" t="str">
        <f aca="false">HYPERLINK("https://twitter.com/SheilaSmithCFR","@SheilaSmithCFR")</f>
        <v>@SheilaSmithCFR</v>
      </c>
      <c r="C7067" s="8" t="s">
        <v>1397</v>
      </c>
      <c r="D7067" s="8" t="s">
        <v>15327</v>
      </c>
      <c r="E7067" s="9" t="str">
        <f aca="false">HYPERLINK("https://twitter.com/SheilaSmithCFR/status/922482597216903168","922482597216903168")</f>
        <v>922482597216903168</v>
      </c>
      <c r="F7067" s="10" t="s">
        <v>51</v>
      </c>
      <c r="G7067" s="10" t="n">
        <v>4440</v>
      </c>
      <c r="H7067" s="10" t="n">
        <v>310</v>
      </c>
      <c r="I7067" s="10" t="n">
        <v>4</v>
      </c>
      <c r="J7067" s="10" t="n">
        <v>0</v>
      </c>
      <c r="K7067" s="10" t="s">
        <v>20</v>
      </c>
      <c r="L7067" s="11" t="n">
        <v>40897.7983564815</v>
      </c>
      <c r="M7067" s="12" t="s">
        <v>723</v>
      </c>
      <c r="N7067" s="12" t="s">
        <v>1398</v>
      </c>
      <c r="O7067" s="9" t="str">
        <f aca="false">HYPERLINK("https://pbs.twimg.com/profile_images/474587797337042945/HOSFbOao_normal.jpeg","View")</f>
        <v>View</v>
      </c>
      <c r="P7067" s="10"/>
    </row>
    <row r="7068" customFormat="false" ht="15.75" hidden="false" customHeight="false" outlineLevel="0" collapsed="false">
      <c r="A7068" s="6" t="n">
        <v>43031.3470949074</v>
      </c>
      <c r="B7068" s="7" t="str">
        <f aca="false">HYPERLINK("https://twitter.com/YYCFLFedLiberal","@YYCFLFedLiberal")</f>
        <v>@YYCFLFedLiberal</v>
      </c>
      <c r="C7068" s="8" t="s">
        <v>15981</v>
      </c>
      <c r="D7068" s="8" t="s">
        <v>15821</v>
      </c>
      <c r="E7068" s="9" t="str">
        <f aca="false">HYPERLINK("https://twitter.com/YYCFLFedLiberal/status/922482699876548608","922482699876548608")</f>
        <v>922482699876548608</v>
      </c>
      <c r="F7068" s="10" t="s">
        <v>51</v>
      </c>
      <c r="G7068" s="10" t="n">
        <v>640</v>
      </c>
      <c r="H7068" s="10" t="n">
        <v>754</v>
      </c>
      <c r="I7068" s="10" t="n">
        <v>41</v>
      </c>
      <c r="J7068" s="10" t="n">
        <v>0</v>
      </c>
      <c r="K7068" s="10" t="s">
        <v>20</v>
      </c>
      <c r="L7068" s="11" t="n">
        <v>40621.6808217593</v>
      </c>
      <c r="M7068" s="12" t="s">
        <v>2632</v>
      </c>
      <c r="N7068" s="12" t="s">
        <v>15982</v>
      </c>
      <c r="O7068" s="9" t="str">
        <f aca="false">HYPERLINK("https://pbs.twimg.com/profile_images/543994114933415936/g9jOQGXN_normal.jpeg","View")</f>
        <v>View</v>
      </c>
      <c r="P7068" s="10"/>
    </row>
    <row r="7069" customFormat="false" ht="15.75" hidden="false" customHeight="false" outlineLevel="0" collapsed="false">
      <c r="A7069" s="6" t="n">
        <v>43031.3473032407</v>
      </c>
      <c r="B7069" s="7" t="str">
        <f aca="false">HYPERLINK("https://twitter.com/debeshmajumdar","@debeshmajumdar")</f>
        <v>@debeshmajumdar</v>
      </c>
      <c r="C7069" s="8" t="s">
        <v>15983</v>
      </c>
      <c r="D7069" s="8" t="s">
        <v>8538</v>
      </c>
      <c r="E7069" s="9" t="str">
        <f aca="false">HYPERLINK("https://twitter.com/debeshmajumdar/status/922482775290032129","922482775290032129")</f>
        <v>922482775290032129</v>
      </c>
      <c r="F7069" s="10" t="s">
        <v>25</v>
      </c>
      <c r="G7069" s="10" t="n">
        <v>270</v>
      </c>
      <c r="H7069" s="10" t="n">
        <v>784</v>
      </c>
      <c r="I7069" s="10" t="n">
        <v>1015</v>
      </c>
      <c r="J7069" s="10" t="n">
        <v>0</v>
      </c>
      <c r="K7069" s="10" t="s">
        <v>20</v>
      </c>
      <c r="L7069" s="11" t="n">
        <v>39970.9621064815</v>
      </c>
      <c r="M7069" s="12" t="s">
        <v>6635</v>
      </c>
      <c r="N7069" s="12" t="s">
        <v>15984</v>
      </c>
      <c r="O7069" s="9" t="str">
        <f aca="false">HYPERLINK("https://pbs.twimg.com/profile_images/378800000773766877/1e7e2ff1ae896b3fe4d5407a07965b9f_normal.jpeg","View")</f>
        <v>View</v>
      </c>
      <c r="P7069" s="10"/>
    </row>
    <row r="7070" customFormat="false" ht="15.75" hidden="false" customHeight="false" outlineLevel="0" collapsed="false">
      <c r="A7070" s="6" t="n">
        <v>43031.3474537037</v>
      </c>
      <c r="B7070" s="7" t="str">
        <f aca="false">HYPERLINK("https://twitter.com/TheNobel","@TheNobel")</f>
        <v>@TheNobel</v>
      </c>
      <c r="C7070" s="8" t="s">
        <v>15985</v>
      </c>
      <c r="D7070" s="8" t="s">
        <v>15821</v>
      </c>
      <c r="E7070" s="9" t="str">
        <f aca="false">HYPERLINK("https://twitter.com/TheNobel/status/922482829472169984","922482829472169984")</f>
        <v>922482829472169984</v>
      </c>
      <c r="F7070" s="10" t="s">
        <v>51</v>
      </c>
      <c r="G7070" s="10" t="n">
        <v>3485</v>
      </c>
      <c r="H7070" s="10" t="n">
        <v>3941</v>
      </c>
      <c r="I7070" s="10" t="n">
        <v>41</v>
      </c>
      <c r="J7070" s="10" t="n">
        <v>0</v>
      </c>
      <c r="K7070" s="10" t="s">
        <v>20</v>
      </c>
      <c r="L7070" s="11" t="n">
        <v>39975.481400463</v>
      </c>
      <c r="M7070" s="12" t="s">
        <v>15986</v>
      </c>
      <c r="N7070" s="12" t="s">
        <v>15987</v>
      </c>
      <c r="O7070" s="9" t="str">
        <f aca="false">HYPERLINK("https://pbs.twimg.com/profile_images/900921793166417920/MKyB1LwJ_normal.jpg","View")</f>
        <v>View</v>
      </c>
      <c r="P7070" s="10"/>
    </row>
    <row r="7071" customFormat="false" ht="15.75" hidden="false" customHeight="false" outlineLevel="0" collapsed="false">
      <c r="A7071" s="6" t="n">
        <v>43031.3482407407</v>
      </c>
      <c r="B7071" s="7" t="str">
        <f aca="false">HYPERLINK("https://twitter.com/KabraMohit","@KabraMohit")</f>
        <v>@KabraMohit</v>
      </c>
      <c r="C7071" s="8" t="s">
        <v>15988</v>
      </c>
      <c r="D7071" s="8" t="s">
        <v>8538</v>
      </c>
      <c r="E7071" s="9" t="str">
        <f aca="false">HYPERLINK("https://twitter.com/KabraMohit/status/922483114823376896","922483114823376896")</f>
        <v>922483114823376896</v>
      </c>
      <c r="F7071" s="10" t="s">
        <v>25</v>
      </c>
      <c r="G7071" s="10" t="n">
        <v>420</v>
      </c>
      <c r="H7071" s="10" t="n">
        <v>259</v>
      </c>
      <c r="I7071" s="10" t="n">
        <v>1015</v>
      </c>
      <c r="J7071" s="10" t="n">
        <v>0</v>
      </c>
      <c r="K7071" s="10" t="s">
        <v>20</v>
      </c>
      <c r="L7071" s="11" t="n">
        <v>40690.0002546296</v>
      </c>
      <c r="M7071" s="12" t="s">
        <v>860</v>
      </c>
      <c r="N7071" s="12" t="s">
        <v>15989</v>
      </c>
      <c r="O7071" s="9" t="str">
        <f aca="false">HYPERLINK("https://pbs.twimg.com/profile_images/915471027655786496/UDLTtpWS_normal.jpg","View")</f>
        <v>View</v>
      </c>
      <c r="P7071" s="10"/>
    </row>
    <row r="7072" customFormat="false" ht="15.75" hidden="false" customHeight="false" outlineLevel="0" collapsed="false">
      <c r="A7072" s="6" t="n">
        <v>43031.3488194444</v>
      </c>
      <c r="B7072" s="7" t="str">
        <f aca="false">HYPERLINK("https://twitter.com/isumitksinha","@isumitksinha")</f>
        <v>@isumitksinha</v>
      </c>
      <c r="C7072" s="8" t="s">
        <v>855</v>
      </c>
      <c r="D7072" s="8" t="s">
        <v>15990</v>
      </c>
      <c r="E7072" s="9" t="str">
        <f aca="false">HYPERLINK("https://twitter.com/isumitksinha/status/922483327453552640","922483327453552640")</f>
        <v>922483327453552640</v>
      </c>
      <c r="F7072" s="10" t="s">
        <v>55</v>
      </c>
      <c r="G7072" s="10" t="n">
        <v>821</v>
      </c>
      <c r="H7072" s="10" t="n">
        <v>110</v>
      </c>
      <c r="I7072" s="10" t="n">
        <v>0</v>
      </c>
      <c r="J7072" s="10" t="n">
        <v>0</v>
      </c>
      <c r="K7072" s="10" t="s">
        <v>20</v>
      </c>
      <c r="L7072" s="11" t="n">
        <v>40211.2578125</v>
      </c>
      <c r="M7072" s="12" t="s">
        <v>857</v>
      </c>
      <c r="N7072" s="12" t="s">
        <v>858</v>
      </c>
      <c r="O7072" s="9" t="str">
        <f aca="false">HYPERLINK("https://pbs.twimg.com/profile_images/662292972654870528/N3kLvWAZ_normal.jpg","View")</f>
        <v>View</v>
      </c>
      <c r="P7072" s="10"/>
    </row>
    <row r="7073" customFormat="false" ht="15.75" hidden="false" customHeight="false" outlineLevel="0" collapsed="false">
      <c r="A7073" s="6" t="n">
        <v>43031.3488310185</v>
      </c>
      <c r="B7073" s="7" t="str">
        <f aca="false">HYPERLINK("https://twitter.com/INA99thBrigade","@INA99thBrigade")</f>
        <v>@INA99thBrigade</v>
      </c>
      <c r="C7073" s="8" t="s">
        <v>15991</v>
      </c>
      <c r="D7073" s="8" t="s">
        <v>8538</v>
      </c>
      <c r="E7073" s="9" t="str">
        <f aca="false">HYPERLINK("https://twitter.com/INA99thBrigade/status/922483328724242433","922483328724242433")</f>
        <v>922483328724242433</v>
      </c>
      <c r="F7073" s="10" t="s">
        <v>39</v>
      </c>
      <c r="G7073" s="10" t="n">
        <v>394</v>
      </c>
      <c r="H7073" s="10" t="n">
        <v>316</v>
      </c>
      <c r="I7073" s="10" t="n">
        <v>1015</v>
      </c>
      <c r="J7073" s="10" t="n">
        <v>0</v>
      </c>
      <c r="K7073" s="10" t="s">
        <v>20</v>
      </c>
      <c r="L7073" s="11" t="n">
        <v>42465.5358217593</v>
      </c>
      <c r="M7073" s="12" t="s">
        <v>14419</v>
      </c>
      <c r="N7073" s="12" t="s">
        <v>15992</v>
      </c>
      <c r="O7073" s="9" t="str">
        <f aca="false">HYPERLINK("https://pbs.twimg.com/profile_images/785909706615160832/VY-esrcu_normal.jpg","View")</f>
        <v>View</v>
      </c>
      <c r="P7073" s="10"/>
    </row>
    <row r="7074" customFormat="false" ht="15.75" hidden="false" customHeight="false" outlineLevel="0" collapsed="false">
      <c r="A7074" s="6" t="n">
        <v>43031.3503125</v>
      </c>
      <c r="B7074" s="7" t="str">
        <f aca="false">HYPERLINK("https://twitter.com/palliravi","@palliravi")</f>
        <v>@palliravi</v>
      </c>
      <c r="C7074" s="8" t="s">
        <v>15993</v>
      </c>
      <c r="D7074" s="8" t="s">
        <v>8538</v>
      </c>
      <c r="E7074" s="9" t="str">
        <f aca="false">HYPERLINK("https://twitter.com/palliravi/status/922483865460944897","922483865460944897")</f>
        <v>922483865460944897</v>
      </c>
      <c r="F7074" s="10" t="s">
        <v>25</v>
      </c>
      <c r="G7074" s="10" t="n">
        <v>312</v>
      </c>
      <c r="H7074" s="10" t="n">
        <v>1584</v>
      </c>
      <c r="I7074" s="10" t="n">
        <v>1015</v>
      </c>
      <c r="J7074" s="10" t="n">
        <v>0</v>
      </c>
      <c r="K7074" s="10" t="s">
        <v>20</v>
      </c>
      <c r="L7074" s="11" t="n">
        <v>40461.7992708333</v>
      </c>
      <c r="M7074" s="12" t="s">
        <v>5883</v>
      </c>
      <c r="N7074" s="12"/>
      <c r="O7074" s="9" t="str">
        <f aca="false">HYPERLINK("https://pbs.twimg.com/profile_images/808665669956825088/eA83r4XN_normal.jpg","View")</f>
        <v>View</v>
      </c>
      <c r="P7074" s="10"/>
    </row>
    <row r="7075" customFormat="false" ht="15.75" hidden="false" customHeight="false" outlineLevel="0" collapsed="false">
      <c r="A7075" s="6" t="n">
        <v>43031.3507638889</v>
      </c>
      <c r="B7075" s="7" t="str">
        <f aca="false">HYPERLINK("https://twitter.com/BipWit","@BipWit")</f>
        <v>@BipWit</v>
      </c>
      <c r="C7075" s="8" t="s">
        <v>15994</v>
      </c>
      <c r="D7075" s="8" t="s">
        <v>8538</v>
      </c>
      <c r="E7075" s="9" t="str">
        <f aca="false">HYPERLINK("https://twitter.com/BipWit/status/922484030607691776","922484030607691776")</f>
        <v>922484030607691776</v>
      </c>
      <c r="F7075" s="10" t="s">
        <v>25</v>
      </c>
      <c r="G7075" s="10" t="n">
        <v>734</v>
      </c>
      <c r="H7075" s="10" t="n">
        <v>557</v>
      </c>
      <c r="I7075" s="10" t="n">
        <v>1015</v>
      </c>
      <c r="J7075" s="10" t="n">
        <v>0</v>
      </c>
      <c r="K7075" s="10" t="s">
        <v>20</v>
      </c>
      <c r="L7075" s="11" t="n">
        <v>42121.5809259259</v>
      </c>
      <c r="M7075" s="12" t="s">
        <v>15995</v>
      </c>
      <c r="N7075" s="12" t="s">
        <v>15996</v>
      </c>
      <c r="O7075" s="9" t="str">
        <f aca="false">HYPERLINK("https://pbs.twimg.com/profile_images/899998332763897856/Lhjw9Dq8_normal.jpg","View")</f>
        <v>View</v>
      </c>
      <c r="P7075" s="10"/>
    </row>
    <row r="7076" customFormat="false" ht="15.75" hidden="false" customHeight="false" outlineLevel="0" collapsed="false">
      <c r="A7076" s="6" t="n">
        <v>43031.3511458333</v>
      </c>
      <c r="B7076" s="7" t="str">
        <f aca="false">HYPERLINK("https://twitter.com/AngryNiteNinja","@AngryNiteNinja")</f>
        <v>@AngryNiteNinja</v>
      </c>
      <c r="C7076" s="8" t="s">
        <v>15997</v>
      </c>
      <c r="D7076" s="8" t="s">
        <v>11356</v>
      </c>
      <c r="E7076" s="9" t="str">
        <f aca="false">HYPERLINK("https://twitter.com/AngryNiteNinja/status/922484168705171457","922484168705171457")</f>
        <v>922484168705171457</v>
      </c>
      <c r="F7076" s="10" t="s">
        <v>51</v>
      </c>
      <c r="G7076" s="10" t="n">
        <v>229</v>
      </c>
      <c r="H7076" s="10" t="n">
        <v>1580</v>
      </c>
      <c r="I7076" s="10" t="n">
        <v>8</v>
      </c>
      <c r="J7076" s="10" t="n">
        <v>0</v>
      </c>
      <c r="K7076" s="10" t="s">
        <v>20</v>
      </c>
      <c r="L7076" s="11" t="n">
        <v>41387.1796759259</v>
      </c>
      <c r="M7076" s="12" t="s">
        <v>319</v>
      </c>
      <c r="N7076" s="12" t="s">
        <v>15998</v>
      </c>
      <c r="O7076" s="9" t="str">
        <f aca="false">HYPERLINK("https://pbs.twimg.com/profile_images/498489003436703744/Dp9si9c6_normal.jpeg","View")</f>
        <v>View</v>
      </c>
      <c r="P7076" s="10"/>
    </row>
    <row r="7077" customFormat="false" ht="15.75" hidden="false" customHeight="false" outlineLevel="0" collapsed="false">
      <c r="A7077" s="6" t="n">
        <v>43031.3523726852</v>
      </c>
      <c r="B7077" s="7" t="str">
        <f aca="false">HYPERLINK("https://twitter.com/shrikant_in","@shrikant_in")</f>
        <v>@shrikant_in</v>
      </c>
      <c r="C7077" s="8" t="s">
        <v>15999</v>
      </c>
      <c r="D7077" s="8" t="s">
        <v>8538</v>
      </c>
      <c r="E7077" s="9" t="str">
        <f aca="false">HYPERLINK("https://twitter.com/shrikant_in/status/922484615608176642","922484615608176642")</f>
        <v>922484615608176642</v>
      </c>
      <c r="F7077" s="10" t="s">
        <v>51</v>
      </c>
      <c r="G7077" s="10" t="n">
        <v>722</v>
      </c>
      <c r="H7077" s="10" t="n">
        <v>2240</v>
      </c>
      <c r="I7077" s="10" t="n">
        <v>1015</v>
      </c>
      <c r="J7077" s="10" t="n">
        <v>0</v>
      </c>
      <c r="K7077" s="10" t="s">
        <v>20</v>
      </c>
      <c r="L7077" s="11" t="n">
        <v>40125.2619097222</v>
      </c>
      <c r="M7077" s="12" t="s">
        <v>4532</v>
      </c>
      <c r="N7077" s="12" t="s">
        <v>16000</v>
      </c>
      <c r="O7077" s="9" t="str">
        <f aca="false">HYPERLINK("https://pbs.twimg.com/profile_images/808635625012416514/ObZOOTUs_normal.jpg","View")</f>
        <v>View</v>
      </c>
      <c r="P7077" s="10"/>
    </row>
    <row r="7078" customFormat="false" ht="15.75" hidden="false" customHeight="false" outlineLevel="0" collapsed="false">
      <c r="A7078" s="6" t="n">
        <v>43031.3532175926</v>
      </c>
      <c r="B7078" s="7" t="str">
        <f aca="false">HYPERLINK("https://twitter.com/LondonCanucks","@LondonCanucks")</f>
        <v>@LondonCanucks</v>
      </c>
      <c r="C7078" s="8" t="s">
        <v>14931</v>
      </c>
      <c r="D7078" s="8" t="s">
        <v>15821</v>
      </c>
      <c r="E7078" s="9" t="str">
        <f aca="false">HYPERLINK("https://twitter.com/LondonCanucks/status/922484918566998016","922484918566998016")</f>
        <v>922484918566998016</v>
      </c>
      <c r="F7078" s="10" t="s">
        <v>51</v>
      </c>
      <c r="G7078" s="10" t="n">
        <v>391</v>
      </c>
      <c r="H7078" s="10" t="n">
        <v>662</v>
      </c>
      <c r="I7078" s="10" t="n">
        <v>41</v>
      </c>
      <c r="J7078" s="10" t="n">
        <v>0</v>
      </c>
      <c r="K7078" s="10" t="s">
        <v>20</v>
      </c>
      <c r="L7078" s="11" t="n">
        <v>42379.1907291667</v>
      </c>
      <c r="M7078" s="12"/>
      <c r="N7078" s="12" t="s">
        <v>14932</v>
      </c>
      <c r="O7078" s="9" t="str">
        <f aca="false">HYPERLINK("https://pbs.twimg.com/profile_images/921176378762059777/baH-8AjW_normal.jpg","View")</f>
        <v>View</v>
      </c>
      <c r="P7078" s="10"/>
    </row>
    <row r="7079" customFormat="false" ht="15.75" hidden="false" customHeight="false" outlineLevel="0" collapsed="false">
      <c r="A7079" s="6" t="n">
        <v>43031.3532523148</v>
      </c>
      <c r="B7079" s="7" t="str">
        <f aca="false">HYPERLINK("https://twitter.com/JKumarRai","@JKumarRai")</f>
        <v>@JKumarRai</v>
      </c>
      <c r="C7079" s="8" t="s">
        <v>16001</v>
      </c>
      <c r="D7079" s="8" t="s">
        <v>8538</v>
      </c>
      <c r="E7079" s="9" t="str">
        <f aca="false">HYPERLINK("https://twitter.com/JKumarRai/status/922484932957446144","922484932957446144")</f>
        <v>922484932957446144</v>
      </c>
      <c r="F7079" s="10" t="s">
        <v>25</v>
      </c>
      <c r="G7079" s="10" t="n">
        <v>402</v>
      </c>
      <c r="H7079" s="10" t="n">
        <v>317</v>
      </c>
      <c r="I7079" s="10" t="n">
        <v>1015</v>
      </c>
      <c r="J7079" s="10" t="n">
        <v>0</v>
      </c>
      <c r="K7079" s="10" t="s">
        <v>20</v>
      </c>
      <c r="L7079" s="11" t="n">
        <v>41007.3616898148</v>
      </c>
      <c r="M7079" s="12" t="s">
        <v>10800</v>
      </c>
      <c r="N7079" s="12"/>
      <c r="O7079" s="9" t="str">
        <f aca="false">HYPERLINK("https://pbs.twimg.com/profile_images/913440029476741122/Rx-c_VFX_normal.jpg","View")</f>
        <v>View</v>
      </c>
      <c r="P7079" s="10"/>
    </row>
    <row r="7080" customFormat="false" ht="15.75" hidden="false" customHeight="false" outlineLevel="0" collapsed="false">
      <c r="A7080" s="6" t="n">
        <v>43031.3533333333</v>
      </c>
      <c r="B7080" s="7" t="str">
        <f aca="false">HYPERLINK("https://twitter.com/ibombayduck","@ibombayduck")</f>
        <v>@ibombayduck</v>
      </c>
      <c r="C7080" s="8" t="s">
        <v>16002</v>
      </c>
      <c r="D7080" s="8" t="s">
        <v>8538</v>
      </c>
      <c r="E7080" s="9" t="str">
        <f aca="false">HYPERLINK("https://twitter.com/ibombayduck/status/922484960367276033","922484960367276033")</f>
        <v>922484960367276033</v>
      </c>
      <c r="F7080" s="10" t="s">
        <v>25</v>
      </c>
      <c r="G7080" s="10" t="n">
        <v>256</v>
      </c>
      <c r="H7080" s="10" t="n">
        <v>288</v>
      </c>
      <c r="I7080" s="10" t="n">
        <v>1015</v>
      </c>
      <c r="J7080" s="10" t="n">
        <v>0</v>
      </c>
      <c r="K7080" s="10" t="s">
        <v>20</v>
      </c>
      <c r="L7080" s="11" t="n">
        <v>40509.0763194445</v>
      </c>
      <c r="M7080" s="12" t="s">
        <v>16003</v>
      </c>
      <c r="N7080" s="12" t="s">
        <v>16004</v>
      </c>
      <c r="O7080" s="9" t="str">
        <f aca="false">HYPERLINK("https://pbs.twimg.com/profile_images/665552974513487873/uU0qId5__normal.jpg","View")</f>
        <v>View</v>
      </c>
      <c r="P7080" s="10"/>
    </row>
    <row r="7081" customFormat="false" ht="15.75" hidden="false" customHeight="false" outlineLevel="0" collapsed="false">
      <c r="A7081" s="6" t="n">
        <v>43031.3543634259</v>
      </c>
      <c r="B7081" s="7" t="str">
        <f aca="false">HYPERLINK("https://twitter.com/WSJ","@WSJ")</f>
        <v>@WSJ</v>
      </c>
      <c r="C7081" s="8" t="s">
        <v>2335</v>
      </c>
      <c r="D7081" s="8" t="s">
        <v>16005</v>
      </c>
      <c r="E7081" s="9" t="str">
        <f aca="false">HYPERLINK("https://twitter.com/WSJ/status/922485334637711360","922485334637711360")</f>
        <v>922485334637711360</v>
      </c>
      <c r="F7081" s="10" t="s">
        <v>268</v>
      </c>
      <c r="G7081" s="10" t="n">
        <v>15033056</v>
      </c>
      <c r="H7081" s="10" t="n">
        <v>1094</v>
      </c>
      <c r="I7081" s="10" t="n">
        <v>32</v>
      </c>
      <c r="J7081" s="10" t="n">
        <v>47</v>
      </c>
      <c r="K7081" s="10" t="s">
        <v>20</v>
      </c>
      <c r="L7081" s="11" t="n">
        <v>39172.9737615741</v>
      </c>
      <c r="M7081" s="12" t="s">
        <v>491</v>
      </c>
      <c r="N7081" s="12" t="s">
        <v>2337</v>
      </c>
      <c r="O7081" s="9" t="str">
        <f aca="false">HYPERLINK("https://pbs.twimg.com/profile_images/685113343204585473/jV72Zljq_normal.jpg","View")</f>
        <v>View</v>
      </c>
      <c r="P7081" s="10"/>
    </row>
    <row r="7082" customFormat="false" ht="15.75" hidden="false" customHeight="false" outlineLevel="0" collapsed="false">
      <c r="A7082" s="6" t="n">
        <v>43031.354537037</v>
      </c>
      <c r="B7082" s="7" t="str">
        <f aca="false">HYPERLINK("https://twitter.com/TheBFRoom","@TheBFRoom")</f>
        <v>@TheBFRoom</v>
      </c>
      <c r="C7082" s="8" t="s">
        <v>674</v>
      </c>
      <c r="D7082" s="8" t="s">
        <v>16006</v>
      </c>
      <c r="E7082" s="9" t="str">
        <f aca="false">HYPERLINK("https://twitter.com/TheBFRoom/status/922485397967507456","922485397967507456")</f>
        <v>922485397967507456</v>
      </c>
      <c r="F7082" s="10" t="s">
        <v>60</v>
      </c>
      <c r="G7082" s="10" t="n">
        <v>3259</v>
      </c>
      <c r="H7082" s="10" t="n">
        <v>3958</v>
      </c>
      <c r="I7082" s="10" t="n">
        <v>0</v>
      </c>
      <c r="J7082" s="10" t="n">
        <v>0</v>
      </c>
      <c r="K7082" s="10" t="s">
        <v>20</v>
      </c>
      <c r="L7082" s="11" t="n">
        <v>42761.325162037</v>
      </c>
      <c r="M7082" s="12" t="s">
        <v>230</v>
      </c>
      <c r="N7082" s="12" t="s">
        <v>676</v>
      </c>
      <c r="O7082" s="9" t="str">
        <f aca="false">HYPERLINK("https://pbs.twimg.com/profile_images/898379268778020864/0u1zlj_B_normal.jpg","View")</f>
        <v>View</v>
      </c>
      <c r="P7082" s="10"/>
    </row>
    <row r="7083" customFormat="false" ht="15.75" hidden="false" customHeight="false" outlineLevel="0" collapsed="false">
      <c r="A7083" s="6" t="n">
        <v>43031.3545833333</v>
      </c>
      <c r="B7083" s="7" t="str">
        <f aca="false">HYPERLINK("https://twitter.com/aiuneom","@aiuneom")</f>
        <v>@aiuneom</v>
      </c>
      <c r="C7083" s="14" t="s">
        <v>16007</v>
      </c>
      <c r="D7083" s="8" t="s">
        <v>16008</v>
      </c>
      <c r="E7083" s="9" t="str">
        <f aca="false">HYPERLINK("https://twitter.com/aiuneom/status/922485414862000128","922485414862000128")</f>
        <v>922485414862000128</v>
      </c>
      <c r="F7083" s="10" t="s">
        <v>51</v>
      </c>
      <c r="G7083" s="10" t="n">
        <v>524</v>
      </c>
      <c r="H7083" s="10" t="n">
        <v>2124</v>
      </c>
      <c r="I7083" s="10" t="n">
        <v>32</v>
      </c>
      <c r="J7083" s="10" t="n">
        <v>0</v>
      </c>
      <c r="K7083" s="10" t="s">
        <v>20</v>
      </c>
      <c r="L7083" s="11" t="n">
        <v>41603.2885300926</v>
      </c>
      <c r="M7083" s="12"/>
      <c r="N7083" s="13" t="s">
        <v>16009</v>
      </c>
      <c r="O7083" s="9" t="str">
        <f aca="false">HYPERLINK("https://pbs.twimg.com/profile_images/563197316660604928/ZBAeXyCd_normal.jpeg","View")</f>
        <v>View</v>
      </c>
      <c r="P7083" s="10"/>
    </row>
    <row r="7084" customFormat="false" ht="15.75" hidden="false" customHeight="false" outlineLevel="0" collapsed="false">
      <c r="A7084" s="6" t="n">
        <v>43031.3546527778</v>
      </c>
      <c r="B7084" s="7" t="str">
        <f aca="false">HYPERLINK("https://twitter.com/wsj_once","@wsj_once")</f>
        <v>@wsj_once</v>
      </c>
      <c r="C7084" s="8" t="s">
        <v>2375</v>
      </c>
      <c r="D7084" s="8" t="s">
        <v>16008</v>
      </c>
      <c r="E7084" s="9" t="str">
        <f aca="false">HYPERLINK("https://twitter.com/wsj_once/status/922485439319150592","922485439319150592")</f>
        <v>922485439319150592</v>
      </c>
      <c r="F7084" s="10" t="s">
        <v>737</v>
      </c>
      <c r="G7084" s="10" t="n">
        <v>68</v>
      </c>
      <c r="H7084" s="10" t="n">
        <v>0</v>
      </c>
      <c r="I7084" s="10" t="n">
        <v>32</v>
      </c>
      <c r="J7084" s="10" t="n">
        <v>0</v>
      </c>
      <c r="K7084" s="10" t="s">
        <v>20</v>
      </c>
      <c r="L7084" s="11" t="n">
        <v>42758.8956018519</v>
      </c>
      <c r="M7084" s="12"/>
      <c r="N7084" s="12" t="s">
        <v>2376</v>
      </c>
      <c r="O7084" s="9" t="str">
        <f aca="false">HYPERLINK("https://pbs.twimg.com/profile_images/823940129786134528/unGg-KRZ_normal.jpg","View")</f>
        <v>View</v>
      </c>
      <c r="P7084" s="10"/>
    </row>
    <row r="7085" customFormat="false" ht="15.75" hidden="false" customHeight="false" outlineLevel="0" collapsed="false">
      <c r="A7085" s="6" t="n">
        <v>43031.3546643519</v>
      </c>
      <c r="B7085" s="7" t="str">
        <f aca="false">HYPERLINK("https://twitter.com/EnLawded","@EnLawded")</f>
        <v>@EnLawded</v>
      </c>
      <c r="C7085" s="7" t="s">
        <v>16010</v>
      </c>
      <c r="D7085" s="8" t="s">
        <v>16008</v>
      </c>
      <c r="E7085" s="9" t="str">
        <f aca="false">HYPERLINK("https://twitter.com/EnLawded/status/922485445056978946","922485445056978946")</f>
        <v>922485445056978946</v>
      </c>
      <c r="F7085" s="10" t="s">
        <v>16011</v>
      </c>
      <c r="G7085" s="10" t="n">
        <v>4184</v>
      </c>
      <c r="H7085" s="10" t="n">
        <v>3494</v>
      </c>
      <c r="I7085" s="10" t="n">
        <v>32</v>
      </c>
      <c r="J7085" s="10" t="n">
        <v>0</v>
      </c>
      <c r="K7085" s="10" t="s">
        <v>20</v>
      </c>
      <c r="L7085" s="11" t="n">
        <v>41225.3967708333</v>
      </c>
      <c r="M7085" s="12" t="s">
        <v>1754</v>
      </c>
      <c r="N7085" s="12" t="s">
        <v>16012</v>
      </c>
      <c r="O7085" s="9" t="str">
        <f aca="false">HYPERLINK("https://pbs.twimg.com/profile_images/2841168194/b5e45134b758b5356775705887d7cbaa_normal.jpeg","View")</f>
        <v>View</v>
      </c>
      <c r="P7085" s="10"/>
    </row>
    <row r="7086" customFormat="false" ht="15.75" hidden="false" customHeight="false" outlineLevel="0" collapsed="false">
      <c r="A7086" s="6" t="n">
        <v>43031.3547106482</v>
      </c>
      <c r="B7086" s="7" t="str">
        <f aca="false">HYPERLINK("https://twitter.com/360BizInfo","@360BizInfo")</f>
        <v>@360BizInfo</v>
      </c>
      <c r="C7086" s="8" t="s">
        <v>2470</v>
      </c>
      <c r="D7086" s="8" t="s">
        <v>16013</v>
      </c>
      <c r="E7086" s="9" t="str">
        <f aca="false">HYPERLINK("https://twitter.com/360BizInfo/status/922485460835995651","922485460835995651")</f>
        <v>922485460835995651</v>
      </c>
      <c r="F7086" s="10" t="s">
        <v>60</v>
      </c>
      <c r="G7086" s="10" t="n">
        <v>412</v>
      </c>
      <c r="H7086" s="10" t="n">
        <v>368</v>
      </c>
      <c r="I7086" s="10" t="n">
        <v>0</v>
      </c>
      <c r="J7086" s="10" t="n">
        <v>0</v>
      </c>
      <c r="K7086" s="10" t="s">
        <v>20</v>
      </c>
      <c r="L7086" s="11" t="n">
        <v>42378.7195486111</v>
      </c>
      <c r="M7086" s="12"/>
      <c r="N7086" s="12" t="s">
        <v>2472</v>
      </c>
      <c r="O7086" s="9" t="str">
        <f aca="false">HYPERLINK("https://pbs.twimg.com/profile_images/867458762877095936/iANdaTlX_normal.jpg","View")</f>
        <v>View</v>
      </c>
      <c r="P7086" s="10"/>
    </row>
    <row r="7087" customFormat="false" ht="15.75" hidden="false" customHeight="false" outlineLevel="0" collapsed="false">
      <c r="A7087" s="6" t="n">
        <v>43031.3548032407</v>
      </c>
      <c r="B7087" s="7" t="str">
        <f aca="false">HYPERLINK("https://twitter.com/PMA_Accountants","@PMA_Accountants")</f>
        <v>@PMA_Accountants</v>
      </c>
      <c r="C7087" s="8" t="s">
        <v>16014</v>
      </c>
      <c r="D7087" s="8" t="s">
        <v>16015</v>
      </c>
      <c r="E7087" s="9" t="str">
        <f aca="false">HYPERLINK("https://twitter.com/PMA_Accountants/status/922485492893003777","922485492893003777")</f>
        <v>922485492893003777</v>
      </c>
      <c r="F7087" s="10" t="s">
        <v>110</v>
      </c>
      <c r="G7087" s="10" t="n">
        <v>1574</v>
      </c>
      <c r="H7087" s="10" t="n">
        <v>203</v>
      </c>
      <c r="I7087" s="10" t="n">
        <v>0</v>
      </c>
      <c r="J7087" s="10" t="n">
        <v>1</v>
      </c>
      <c r="K7087" s="10" t="s">
        <v>20</v>
      </c>
      <c r="L7087" s="11" t="n">
        <v>39908.6939467593</v>
      </c>
      <c r="M7087" s="12" t="s">
        <v>16016</v>
      </c>
      <c r="N7087" s="12" t="s">
        <v>16017</v>
      </c>
      <c r="O7087" s="9" t="str">
        <f aca="false">HYPERLINK("https://pbs.twimg.com/profile_images/847258072640770050/ndeUbKQf_normal.jpg","View")</f>
        <v>View</v>
      </c>
      <c r="P7087" s="10"/>
    </row>
    <row r="7088" customFormat="false" ht="15.75" hidden="false" customHeight="false" outlineLevel="0" collapsed="false">
      <c r="A7088" s="6" t="n">
        <v>43031.3548611111</v>
      </c>
      <c r="B7088" s="7" t="str">
        <f aca="false">HYPERLINK("https://twitter.com/fxzoneofficial","@fxzoneofficial")</f>
        <v>@fxzoneofficial</v>
      </c>
      <c r="C7088" s="8" t="s">
        <v>16018</v>
      </c>
      <c r="D7088" s="8" t="s">
        <v>16019</v>
      </c>
      <c r="E7088" s="9" t="str">
        <f aca="false">HYPERLINK("https://twitter.com/fxzoneofficial/status/922485514233696256","922485514233696256")</f>
        <v>922485514233696256</v>
      </c>
      <c r="F7088" s="10" t="s">
        <v>16020</v>
      </c>
      <c r="G7088" s="10" t="n">
        <v>500</v>
      </c>
      <c r="H7088" s="10" t="n">
        <v>210</v>
      </c>
      <c r="I7088" s="10" t="n">
        <v>0</v>
      </c>
      <c r="J7088" s="10" t="n">
        <v>0</v>
      </c>
      <c r="K7088" s="10" t="s">
        <v>20</v>
      </c>
      <c r="L7088" s="11" t="n">
        <v>41987.2166666667</v>
      </c>
      <c r="M7088" s="12"/>
      <c r="N7088" s="12" t="s">
        <v>16021</v>
      </c>
      <c r="O7088" s="9" t="str">
        <f aca="false">HYPERLINK("https://pbs.twimg.com/profile_images/898679417635045376/0ecZuQDQ_normal.jpg","View")</f>
        <v>View</v>
      </c>
      <c r="P7088" s="10"/>
    </row>
    <row r="7089" customFormat="false" ht="15.75" hidden="false" customHeight="false" outlineLevel="0" collapsed="false">
      <c r="A7089" s="6" t="n">
        <v>43031.3548842593</v>
      </c>
      <c r="B7089" s="7" t="str">
        <f aca="false">HYPERLINK("https://twitter.com/ken_blvd","@ken_blvd")</f>
        <v>@ken_blvd</v>
      </c>
      <c r="C7089" s="8" t="s">
        <v>16022</v>
      </c>
      <c r="D7089" s="8" t="s">
        <v>16008</v>
      </c>
      <c r="E7089" s="9" t="str">
        <f aca="false">HYPERLINK("https://twitter.com/ken_blvd/status/922485523830263808","922485523830263808")</f>
        <v>922485523830263808</v>
      </c>
      <c r="F7089" s="10" t="s">
        <v>51</v>
      </c>
      <c r="G7089" s="10" t="n">
        <v>161</v>
      </c>
      <c r="H7089" s="10" t="n">
        <v>1477</v>
      </c>
      <c r="I7089" s="10" t="n">
        <v>32</v>
      </c>
      <c r="J7089" s="10" t="n">
        <v>0</v>
      </c>
      <c r="K7089" s="10" t="s">
        <v>20</v>
      </c>
      <c r="L7089" s="11" t="n">
        <v>43028.9563310185</v>
      </c>
      <c r="M7089" s="12" t="s">
        <v>6162</v>
      </c>
      <c r="N7089" s="12"/>
      <c r="O7089" s="9" t="str">
        <f aca="false">HYPERLINK("https://pbs.twimg.com/profile_images/921776951332831233/LEXIdAP2_normal.jpg","View")</f>
        <v>View</v>
      </c>
      <c r="P7089" s="10"/>
    </row>
    <row r="7090" customFormat="false" ht="15.75" hidden="false" customHeight="false" outlineLevel="0" collapsed="false">
      <c r="A7090" s="6" t="n">
        <v>43031.3549537037</v>
      </c>
      <c r="B7090" s="7" t="str">
        <f aca="false">HYPERLINK("https://twitter.com/TirtaNews","@TirtaNews")</f>
        <v>@TirtaNews</v>
      </c>
      <c r="C7090" s="8" t="s">
        <v>2387</v>
      </c>
      <c r="D7090" s="8" t="s">
        <v>16023</v>
      </c>
      <c r="E7090" s="9" t="str">
        <f aca="false">HYPERLINK("https://twitter.com/TirtaNews/status/922485547901300736","922485547901300736")</f>
        <v>922485547901300736</v>
      </c>
      <c r="F7090" s="10" t="s">
        <v>60</v>
      </c>
      <c r="G7090" s="10" t="n">
        <v>185</v>
      </c>
      <c r="H7090" s="10" t="n">
        <v>66</v>
      </c>
      <c r="I7090" s="10" t="n">
        <v>0</v>
      </c>
      <c r="J7090" s="10" t="n">
        <v>0</v>
      </c>
      <c r="K7090" s="10" t="s">
        <v>20</v>
      </c>
      <c r="L7090" s="11" t="n">
        <v>41894.3403009259</v>
      </c>
      <c r="M7090" s="12"/>
      <c r="N7090" s="12"/>
      <c r="O7090" s="9" t="str">
        <f aca="false">HYPERLINK("https://pbs.twimg.com/profile_images/510469173214846976/ZLGHsEM0_normal.png","View")</f>
        <v>View</v>
      </c>
      <c r="P7090" s="10"/>
    </row>
    <row r="7091" customFormat="false" ht="15.75" hidden="false" customHeight="false" outlineLevel="0" collapsed="false">
      <c r="A7091" s="6" t="n">
        <v>43031.3549884259</v>
      </c>
      <c r="B7091" s="7" t="str">
        <f aca="false">HYPERLINK("https://twitter.com/srussolillo","@srussolillo")</f>
        <v>@srussolillo</v>
      </c>
      <c r="C7091" s="8" t="s">
        <v>16024</v>
      </c>
      <c r="D7091" s="8" t="s">
        <v>16008</v>
      </c>
      <c r="E7091" s="9" t="str">
        <f aca="false">HYPERLINK("https://twitter.com/srussolillo/status/922485561671032832","922485561671032832")</f>
        <v>922485561671032832</v>
      </c>
      <c r="F7091" s="10" t="s">
        <v>51</v>
      </c>
      <c r="G7091" s="10" t="n">
        <v>14808</v>
      </c>
      <c r="H7091" s="10" t="n">
        <v>4562</v>
      </c>
      <c r="I7091" s="10" t="n">
        <v>32</v>
      </c>
      <c r="J7091" s="10" t="n">
        <v>0</v>
      </c>
      <c r="K7091" s="10" t="s">
        <v>20</v>
      </c>
      <c r="L7091" s="11" t="n">
        <v>39711.7937615741</v>
      </c>
      <c r="M7091" s="12" t="s">
        <v>68</v>
      </c>
      <c r="N7091" s="12" t="s">
        <v>16025</v>
      </c>
      <c r="O7091" s="9" t="str">
        <f aca="false">HYPERLINK("https://pbs.twimg.com/profile_images/801540403149180929/NhPOMP69_normal.jpg","View")</f>
        <v>View</v>
      </c>
      <c r="P7091" s="10"/>
    </row>
    <row r="7092" customFormat="false" ht="15.75" hidden="false" customHeight="false" outlineLevel="0" collapsed="false">
      <c r="A7092" s="6" t="n">
        <v>43031.3550115741</v>
      </c>
      <c r="B7092" s="7" t="str">
        <f aca="false">HYPERLINK("https://twitter.com/the__himanish","@the__himanish")</f>
        <v>@the__himanish</v>
      </c>
      <c r="C7092" s="8" t="s">
        <v>382</v>
      </c>
      <c r="D7092" s="8" t="s">
        <v>16026</v>
      </c>
      <c r="E7092" s="9" t="str">
        <f aca="false">HYPERLINK("https://twitter.com/the__himanish/status/922485571955625986","922485571955625986")</f>
        <v>922485571955625986</v>
      </c>
      <c r="F7092" s="10" t="s">
        <v>60</v>
      </c>
      <c r="G7092" s="10" t="n">
        <v>1811</v>
      </c>
      <c r="H7092" s="10" t="n">
        <v>1625</v>
      </c>
      <c r="I7092" s="10" t="n">
        <v>0</v>
      </c>
      <c r="J7092" s="10" t="n">
        <v>0</v>
      </c>
      <c r="K7092" s="10" t="s">
        <v>20</v>
      </c>
      <c r="L7092" s="11" t="n">
        <v>40222.1517824074</v>
      </c>
      <c r="M7092" s="12" t="s">
        <v>87</v>
      </c>
      <c r="N7092" s="12" t="s">
        <v>384</v>
      </c>
      <c r="O7092" s="9" t="str">
        <f aca="false">HYPERLINK("https://pbs.twimg.com/profile_images/914165533918015489/A6iR_gz2_normal.jpg","View")</f>
        <v>View</v>
      </c>
      <c r="P7092" s="10"/>
    </row>
    <row r="7093" customFormat="false" ht="15.75" hidden="false" customHeight="false" outlineLevel="0" collapsed="false">
      <c r="A7093" s="6" t="n">
        <v>43031.3551851852</v>
      </c>
      <c r="B7093" s="7" t="str">
        <f aca="false">HYPERLINK("https://twitter.com/msnt222","@msnt222")</f>
        <v>@msnt222</v>
      </c>
      <c r="C7093" s="8" t="s">
        <v>16027</v>
      </c>
      <c r="D7093" s="8" t="s">
        <v>8538</v>
      </c>
      <c r="E7093" s="9" t="str">
        <f aca="false">HYPERLINK("https://twitter.com/msnt222/status/922485634656124928","922485634656124928")</f>
        <v>922485634656124928</v>
      </c>
      <c r="F7093" s="10" t="s">
        <v>39</v>
      </c>
      <c r="G7093" s="10" t="n">
        <v>195</v>
      </c>
      <c r="H7093" s="10" t="n">
        <v>221</v>
      </c>
      <c r="I7093" s="10" t="n">
        <v>1015</v>
      </c>
      <c r="J7093" s="10" t="n">
        <v>0</v>
      </c>
      <c r="K7093" s="10" t="s">
        <v>20</v>
      </c>
      <c r="L7093" s="11" t="n">
        <v>42350.888125</v>
      </c>
      <c r="M7093" s="12"/>
      <c r="N7093" s="12"/>
      <c r="O7093" s="9" t="str">
        <f aca="false">HYPERLINK("https://pbs.twimg.com/profile_images/822117325180719104/lafDcoii_normal.jpg","View")</f>
        <v>View</v>
      </c>
      <c r="P7093" s="10"/>
    </row>
    <row r="7094" customFormat="false" ht="15.75" hidden="false" customHeight="false" outlineLevel="0" collapsed="false">
      <c r="A7094" s="6" t="n">
        <v>43031.3552662037</v>
      </c>
      <c r="B7094" s="7" t="str">
        <f aca="false">HYPERLINK("https://twitter.com/AllianceAsian","@AllianceAsian")</f>
        <v>@AllianceAsian</v>
      </c>
      <c r="C7094" s="8" t="s">
        <v>16028</v>
      </c>
      <c r="D7094" s="8" t="s">
        <v>15547</v>
      </c>
      <c r="E7094" s="9" t="str">
        <f aca="false">HYPERLINK("https://twitter.com/AllianceAsian/status/922485662489575425","922485662489575425")</f>
        <v>922485662489575425</v>
      </c>
      <c r="F7094" s="10" t="s">
        <v>39</v>
      </c>
      <c r="G7094" s="10" t="n">
        <v>1124</v>
      </c>
      <c r="H7094" s="10" t="n">
        <v>1336</v>
      </c>
      <c r="I7094" s="10" t="n">
        <v>6</v>
      </c>
      <c r="J7094" s="10" t="n">
        <v>0</v>
      </c>
      <c r="K7094" s="10" t="s">
        <v>20</v>
      </c>
      <c r="L7094" s="11" t="n">
        <v>42979.9144675926</v>
      </c>
      <c r="M7094" s="12" t="s">
        <v>16029</v>
      </c>
      <c r="N7094" s="12" t="s">
        <v>16030</v>
      </c>
      <c r="O7094" s="9" t="str">
        <f aca="false">HYPERLINK("https://pbs.twimg.com/profile_images/903891550463070208/gsNJ2A01_normal.jpg","View")</f>
        <v>View</v>
      </c>
      <c r="P7094" s="10"/>
    </row>
    <row r="7095" customFormat="false" ht="15.75" hidden="false" customHeight="false" outlineLevel="0" collapsed="false">
      <c r="A7095" s="6" t="n">
        <v>43031.3553356482</v>
      </c>
      <c r="B7095" s="7" t="str">
        <f aca="false">HYPERLINK("https://twitter.com/CentralJapanF3","@CentralJapanF3")</f>
        <v>@CentralJapanF3</v>
      </c>
      <c r="C7095" s="14" t="s">
        <v>11083</v>
      </c>
      <c r="D7095" s="8" t="s">
        <v>16008</v>
      </c>
      <c r="E7095" s="9" t="str">
        <f aca="false">HYPERLINK("https://twitter.com/CentralJapanF3/status/922485688330620929","922485688330620929")</f>
        <v>922485688330620929</v>
      </c>
      <c r="F7095" s="10" t="s">
        <v>51</v>
      </c>
      <c r="G7095" s="10" t="n">
        <v>499</v>
      </c>
      <c r="H7095" s="10" t="n">
        <v>773</v>
      </c>
      <c r="I7095" s="10" t="n">
        <v>32</v>
      </c>
      <c r="J7095" s="10" t="n">
        <v>0</v>
      </c>
      <c r="K7095" s="10" t="s">
        <v>20</v>
      </c>
      <c r="L7095" s="11" t="n">
        <v>42029.2278009259</v>
      </c>
      <c r="M7095" s="12" t="s">
        <v>11085</v>
      </c>
      <c r="N7095" s="12" t="s">
        <v>11086</v>
      </c>
      <c r="O7095" s="9" t="str">
        <f aca="false">HYPERLINK("https://pbs.twimg.com/profile_images/918114527547293697/kzgrbGSn_normal.jpg","View")</f>
        <v>View</v>
      </c>
      <c r="P7095" s="10"/>
    </row>
    <row r="7096" customFormat="false" ht="15.75" hidden="false" customHeight="false" outlineLevel="0" collapsed="false">
      <c r="A7096" s="6" t="n">
        <v>43031.3555092593</v>
      </c>
      <c r="B7096" s="7" t="str">
        <f aca="false">HYPERLINK("https://twitter.com/BanankoJanko","@BanankoJanko")</f>
        <v>@BanankoJanko</v>
      </c>
      <c r="C7096" s="8" t="s">
        <v>1034</v>
      </c>
      <c r="D7096" s="8" t="s">
        <v>16031</v>
      </c>
      <c r="E7096" s="9" t="str">
        <f aca="false">HYPERLINK("https://twitter.com/BanankoJanko/status/922485748401614849","922485748401614849")</f>
        <v>922485748401614849</v>
      </c>
      <c r="F7096" s="10" t="s">
        <v>60</v>
      </c>
      <c r="G7096" s="10" t="n">
        <v>87</v>
      </c>
      <c r="H7096" s="10" t="n">
        <v>53</v>
      </c>
      <c r="I7096" s="10" t="n">
        <v>0</v>
      </c>
      <c r="J7096" s="10" t="n">
        <v>0</v>
      </c>
      <c r="K7096" s="10" t="s">
        <v>20</v>
      </c>
      <c r="L7096" s="11" t="n">
        <v>42837.1011458333</v>
      </c>
      <c r="M7096" s="12"/>
      <c r="N7096" s="15" t="s">
        <v>1036</v>
      </c>
      <c r="O7096" s="9" t="str">
        <f aca="false">HYPERLINK("https://pbs.twimg.com/profile_images/852669910123675651/CVUt6bXC_normal.jpg","View")</f>
        <v>View</v>
      </c>
      <c r="P7096" s="10"/>
    </row>
    <row r="7097" customFormat="false" ht="15.75" hidden="false" customHeight="false" outlineLevel="0" collapsed="false">
      <c r="A7097" s="6" t="n">
        <v>43031.355787037</v>
      </c>
      <c r="B7097" s="7" t="str">
        <f aca="false">HYPERLINK("https://twitter.com/Jordan_FHT","@Jordan_FHT")</f>
        <v>@Jordan_FHT</v>
      </c>
      <c r="C7097" s="8" t="s">
        <v>16032</v>
      </c>
      <c r="D7097" s="8" t="s">
        <v>16008</v>
      </c>
      <c r="E7097" s="9" t="str">
        <f aca="false">HYPERLINK("https://twitter.com/Jordan_FHT/status/922485849085894656","922485849085894656")</f>
        <v>922485849085894656</v>
      </c>
      <c r="F7097" s="10" t="s">
        <v>563</v>
      </c>
      <c r="G7097" s="10" t="n">
        <v>252</v>
      </c>
      <c r="H7097" s="10" t="n">
        <v>77</v>
      </c>
      <c r="I7097" s="10" t="n">
        <v>32</v>
      </c>
      <c r="J7097" s="10" t="n">
        <v>0</v>
      </c>
      <c r="K7097" s="10" t="s">
        <v>20</v>
      </c>
      <c r="L7097" s="11" t="n">
        <v>42419.2768634259</v>
      </c>
      <c r="M7097" s="12" t="s">
        <v>16033</v>
      </c>
      <c r="N7097" s="12" t="s">
        <v>16034</v>
      </c>
      <c r="O7097" s="9" t="str">
        <f aca="false">HYPERLINK("https://pbs.twimg.com/profile_images/703246800833089536/QK8e-yOG_normal.jpg","View")</f>
        <v>View</v>
      </c>
      <c r="P7097" s="10"/>
    </row>
    <row r="7098" customFormat="false" ht="15.75" hidden="false" customHeight="false" outlineLevel="0" collapsed="false">
      <c r="A7098" s="6" t="n">
        <v>43031.3560069444</v>
      </c>
      <c r="B7098" s="7" t="str">
        <f aca="false">HYPERLINK("https://twitter.com/observer1076","@observer1076")</f>
        <v>@observer1076</v>
      </c>
      <c r="C7098" s="8" t="s">
        <v>16035</v>
      </c>
      <c r="D7098" s="8" t="s">
        <v>8538</v>
      </c>
      <c r="E7098" s="9" t="str">
        <f aca="false">HYPERLINK("https://twitter.com/observer1076/status/922485932275613696","922485932275613696")</f>
        <v>922485932275613696</v>
      </c>
      <c r="F7098" s="10" t="s">
        <v>98</v>
      </c>
      <c r="G7098" s="10" t="n">
        <v>164</v>
      </c>
      <c r="H7098" s="10" t="n">
        <v>1011</v>
      </c>
      <c r="I7098" s="10" t="n">
        <v>1015</v>
      </c>
      <c r="J7098" s="10" t="n">
        <v>0</v>
      </c>
      <c r="K7098" s="10" t="s">
        <v>20</v>
      </c>
      <c r="L7098" s="11" t="n">
        <v>41992.3996759259</v>
      </c>
      <c r="M7098" s="12"/>
      <c r="N7098" s="12"/>
      <c r="O7098" s="9" t="str">
        <f aca="false">HYPERLINK("https://pbs.twimg.com/profile_images/798951561644818432/x-EitQKS_normal.jpg","View")</f>
        <v>View</v>
      </c>
      <c r="P7098" s="10"/>
    </row>
    <row r="7099" customFormat="false" ht="15.75" hidden="false" customHeight="false" outlineLevel="0" collapsed="false">
      <c r="A7099" s="6" t="n">
        <v>43031.3560300926</v>
      </c>
      <c r="B7099" s="7" t="str">
        <f aca="false">HYPERLINK("https://twitter.com/vtn449","@vtn449")</f>
        <v>@vtn449</v>
      </c>
      <c r="C7099" s="8" t="s">
        <v>3513</v>
      </c>
      <c r="D7099" s="8" t="s">
        <v>16008</v>
      </c>
      <c r="E7099" s="9" t="str">
        <f aca="false">HYPERLINK("https://twitter.com/vtn449/status/922485940592840704","922485940592840704")</f>
        <v>922485940592840704</v>
      </c>
      <c r="F7099" s="10" t="s">
        <v>39</v>
      </c>
      <c r="G7099" s="10" t="n">
        <v>572</v>
      </c>
      <c r="H7099" s="10" t="n">
        <v>137</v>
      </c>
      <c r="I7099" s="10" t="n">
        <v>32</v>
      </c>
      <c r="J7099" s="10" t="n">
        <v>0</v>
      </c>
      <c r="K7099" s="10" t="s">
        <v>20</v>
      </c>
      <c r="L7099" s="11" t="n">
        <v>40242.6141203704</v>
      </c>
      <c r="M7099" s="12" t="s">
        <v>186</v>
      </c>
      <c r="N7099" s="13" t="s">
        <v>3515</v>
      </c>
      <c r="O7099" s="9" t="str">
        <f aca="false">HYPERLINK("https://pbs.twimg.com/profile_images/1764956709/390211_215966585155112_151206238297814_485912_1341909967_n_normal.jpg","View")</f>
        <v>View</v>
      </c>
      <c r="P7099" s="10"/>
    </row>
    <row r="7100" customFormat="false" ht="15.75" hidden="false" customHeight="false" outlineLevel="0" collapsed="false">
      <c r="A7100" s="6" t="n">
        <v>43031.3560763889</v>
      </c>
      <c r="B7100" s="7" t="str">
        <f aca="false">HYPERLINK("https://twitter.com/MerlinGyr","@MerlinGyr")</f>
        <v>@MerlinGyr</v>
      </c>
      <c r="C7100" s="8" t="s">
        <v>16036</v>
      </c>
      <c r="D7100" s="8" t="s">
        <v>16008</v>
      </c>
      <c r="E7100" s="9" t="str">
        <f aca="false">HYPERLINK("https://twitter.com/MerlinGyr/status/922485954924789765","922485954924789765")</f>
        <v>922485954924789765</v>
      </c>
      <c r="F7100" s="10" t="s">
        <v>177</v>
      </c>
      <c r="G7100" s="10" t="n">
        <v>556</v>
      </c>
      <c r="H7100" s="10" t="n">
        <v>679</v>
      </c>
      <c r="I7100" s="10" t="n">
        <v>32</v>
      </c>
      <c r="J7100" s="10" t="n">
        <v>0</v>
      </c>
      <c r="K7100" s="10" t="s">
        <v>20</v>
      </c>
      <c r="L7100" s="11" t="n">
        <v>42760.2839351852</v>
      </c>
      <c r="M7100" s="12"/>
      <c r="N7100" s="12"/>
      <c r="O7100" s="9" t="str">
        <f aca="false">HYPERLINK("https://pbs.twimg.com/profile_images/854499965174915072/8YbOLTx6_normal.jpg","View")</f>
        <v>View</v>
      </c>
      <c r="P7100" s="10"/>
    </row>
    <row r="7101" customFormat="false" ht="15.75" hidden="false" customHeight="false" outlineLevel="0" collapsed="false">
      <c r="A7101" s="6" t="n">
        <v>43031.3561458333</v>
      </c>
      <c r="B7101" s="7" t="str">
        <f aca="false">HYPERLINK("https://twitter.com/livechannelfeed","@livechannelfeed")</f>
        <v>@livechannelfeed</v>
      </c>
      <c r="C7101" s="8" t="s">
        <v>2384</v>
      </c>
      <c r="D7101" s="8" t="s">
        <v>16037</v>
      </c>
      <c r="E7101" s="9" t="str">
        <f aca="false">HYPERLINK("https://twitter.com/livechannelfeed/status/922485982695436288","922485982695436288")</f>
        <v>922485982695436288</v>
      </c>
      <c r="F7101" s="10" t="s">
        <v>60</v>
      </c>
      <c r="G7101" s="10" t="n">
        <v>3925</v>
      </c>
      <c r="H7101" s="10" t="n">
        <v>3266</v>
      </c>
      <c r="I7101" s="10" t="n">
        <v>0</v>
      </c>
      <c r="J7101" s="10" t="n">
        <v>0</v>
      </c>
      <c r="K7101" s="10" t="s">
        <v>20</v>
      </c>
      <c r="L7101" s="11" t="n">
        <v>42710.8456365741</v>
      </c>
      <c r="M7101" s="12" t="s">
        <v>312</v>
      </c>
      <c r="N7101" s="12" t="s">
        <v>2386</v>
      </c>
      <c r="O7101" s="9" t="str">
        <f aca="false">HYPERLINK("https://pbs.twimg.com/profile_images/806606820504731649/rCR1WeBs_normal.jpg","View")</f>
        <v>View</v>
      </c>
      <c r="P7101" s="10"/>
    </row>
    <row r="7102" customFormat="false" ht="15.75" hidden="false" customHeight="false" outlineLevel="0" collapsed="false">
      <c r="A7102" s="6" t="n">
        <v>43031.3561921296</v>
      </c>
      <c r="B7102" s="7" t="str">
        <f aca="false">HYPERLINK("https://twitter.com/kotaknaren","@kotaknaren")</f>
        <v>@kotaknaren</v>
      </c>
      <c r="C7102" s="8" t="s">
        <v>14628</v>
      </c>
      <c r="D7102" s="8" t="s">
        <v>16038</v>
      </c>
      <c r="E7102" s="9" t="str">
        <f aca="false">HYPERLINK("https://twitter.com/kotaknaren/status/922485997841141760","922485997841141760")</f>
        <v>922485997841141760</v>
      </c>
      <c r="F7102" s="10" t="s">
        <v>60</v>
      </c>
      <c r="G7102" s="10" t="n">
        <v>1023</v>
      </c>
      <c r="H7102" s="10" t="n">
        <v>2700</v>
      </c>
      <c r="I7102" s="10" t="n">
        <v>0</v>
      </c>
      <c r="J7102" s="10" t="n">
        <v>0</v>
      </c>
      <c r="K7102" s="10" t="s">
        <v>20</v>
      </c>
      <c r="L7102" s="11" t="n">
        <v>40248.484849537</v>
      </c>
      <c r="M7102" s="12" t="s">
        <v>860</v>
      </c>
      <c r="N7102" s="12" t="s">
        <v>14630</v>
      </c>
      <c r="O7102" s="9" t="str">
        <f aca="false">HYPERLINK("https://pbs.twimg.com/profile_images/923280279812362240/hDLmoPnz_normal.jpg","View")</f>
        <v>View</v>
      </c>
      <c r="P7102" s="10"/>
    </row>
    <row r="7103" customFormat="false" ht="15.75" hidden="false" customHeight="false" outlineLevel="0" collapsed="false">
      <c r="A7103" s="6" t="n">
        <v>43031.356400463</v>
      </c>
      <c r="B7103" s="7" t="str">
        <f aca="false">HYPERLINK("https://twitter.com/serge_poznanski","@serge_poznanski")</f>
        <v>@serge_poznanski</v>
      </c>
      <c r="C7103" s="8" t="s">
        <v>212</v>
      </c>
      <c r="D7103" s="8" t="s">
        <v>16039</v>
      </c>
      <c r="E7103" s="9" t="str">
        <f aca="false">HYPERLINK("https://twitter.com/serge_poznanski/status/922486071992176640","922486071992176640")</f>
        <v>922486071992176640</v>
      </c>
      <c r="F7103" s="10" t="s">
        <v>60</v>
      </c>
      <c r="G7103" s="10" t="n">
        <v>1424</v>
      </c>
      <c r="H7103" s="10" t="n">
        <v>2136</v>
      </c>
      <c r="I7103" s="10" t="n">
        <v>0</v>
      </c>
      <c r="J7103" s="10" t="n">
        <v>0</v>
      </c>
      <c r="K7103" s="10" t="s">
        <v>20</v>
      </c>
      <c r="L7103" s="11" t="n">
        <v>42271.4744560185</v>
      </c>
      <c r="M7103" s="12"/>
      <c r="N7103" s="12"/>
      <c r="O7103" s="9" t="str">
        <f aca="false">HYPERLINK("https://pbs.twimg.com/profile_images/647277253240291328/3GezjFCJ_normal.jpg","View")</f>
        <v>View</v>
      </c>
      <c r="P7103" s="10"/>
    </row>
    <row r="7104" customFormat="false" ht="15.75" hidden="false" customHeight="false" outlineLevel="0" collapsed="false">
      <c r="A7104" s="6" t="n">
        <v>43031.3564814815</v>
      </c>
      <c r="B7104" s="7" t="str">
        <f aca="false">HYPERLINK("https://twitter.com/InvestingLatest","@InvestingLatest")</f>
        <v>@InvestingLatest</v>
      </c>
      <c r="C7104" s="8" t="s">
        <v>934</v>
      </c>
      <c r="D7104" s="8" t="s">
        <v>16040</v>
      </c>
      <c r="E7104" s="9" t="str">
        <f aca="false">HYPERLINK("https://twitter.com/InvestingLatest/status/922486104007331840","922486104007331840")</f>
        <v>922486104007331840</v>
      </c>
      <c r="F7104" s="10" t="s">
        <v>60</v>
      </c>
      <c r="G7104" s="10" t="n">
        <v>1538</v>
      </c>
      <c r="H7104" s="10" t="n">
        <v>33</v>
      </c>
      <c r="I7104" s="10" t="n">
        <v>0</v>
      </c>
      <c r="J7104" s="10" t="n">
        <v>0</v>
      </c>
      <c r="K7104" s="10" t="s">
        <v>20</v>
      </c>
      <c r="L7104" s="11" t="n">
        <v>41946.3308912037</v>
      </c>
      <c r="M7104" s="12"/>
      <c r="N7104" s="12" t="s">
        <v>936</v>
      </c>
      <c r="O7104" s="9" t="str">
        <f aca="false">HYPERLINK("https://pbs.twimg.com/profile_images/529461684297945089/uscUz0UO_normal.jpeg","View")</f>
        <v>View</v>
      </c>
      <c r="P7104" s="10"/>
    </row>
    <row r="7105" customFormat="false" ht="15.75" hidden="false" customHeight="false" outlineLevel="0" collapsed="false">
      <c r="A7105" s="6" t="n">
        <v>43031.3565277778</v>
      </c>
      <c r="B7105" s="7" t="str">
        <f aca="false">HYPERLINK("https://twitter.com/KSP_Libs","@KSP_Libs")</f>
        <v>@KSP_Libs</v>
      </c>
      <c r="C7105" s="8" t="s">
        <v>16041</v>
      </c>
      <c r="D7105" s="8" t="s">
        <v>15821</v>
      </c>
      <c r="E7105" s="9" t="str">
        <f aca="false">HYPERLINK("https://twitter.com/KSP_Libs/status/922486121233346560","922486121233346560")</f>
        <v>922486121233346560</v>
      </c>
      <c r="F7105" s="10" t="s">
        <v>25</v>
      </c>
      <c r="G7105" s="10" t="n">
        <v>2200</v>
      </c>
      <c r="H7105" s="10" t="n">
        <v>3109</v>
      </c>
      <c r="I7105" s="10" t="n">
        <v>41</v>
      </c>
      <c r="J7105" s="10" t="n">
        <v>0</v>
      </c>
      <c r="K7105" s="10" t="s">
        <v>20</v>
      </c>
      <c r="L7105" s="11" t="n">
        <v>41332.0203356482</v>
      </c>
      <c r="M7105" s="12" t="s">
        <v>16042</v>
      </c>
      <c r="N7105" s="12" t="s">
        <v>16043</v>
      </c>
      <c r="O7105" s="9" t="str">
        <f aca="false">HYPERLINK("https://pbs.twimg.com/profile_images/799847465138540545/yH3aKw7f_normal.jpg","View")</f>
        <v>View</v>
      </c>
      <c r="P7105" s="10"/>
    </row>
    <row r="7106" customFormat="false" ht="15.75" hidden="false" customHeight="false" outlineLevel="0" collapsed="false">
      <c r="A7106" s="6" t="n">
        <v>43031.3566435185</v>
      </c>
      <c r="B7106" s="7" t="str">
        <f aca="false">HYPERLINK("https://twitter.com/CA_Saiprasad","@CA_Saiprasad")</f>
        <v>@CA_Saiprasad</v>
      </c>
      <c r="C7106" s="8" t="s">
        <v>16044</v>
      </c>
      <c r="D7106" s="8" t="s">
        <v>16045</v>
      </c>
      <c r="E7106" s="9" t="str">
        <f aca="false">HYPERLINK("https://twitter.com/CA_Saiprasad/status/922486161544683521","922486161544683521")</f>
        <v>922486161544683521</v>
      </c>
      <c r="F7106" s="10" t="s">
        <v>16046</v>
      </c>
      <c r="G7106" s="10" t="n">
        <v>499</v>
      </c>
      <c r="H7106" s="10" t="n">
        <v>22</v>
      </c>
      <c r="I7106" s="10" t="n">
        <v>0</v>
      </c>
      <c r="J7106" s="10" t="n">
        <v>0</v>
      </c>
      <c r="K7106" s="10" t="s">
        <v>20</v>
      </c>
      <c r="L7106" s="11" t="n">
        <v>40347.9925347222</v>
      </c>
      <c r="M7106" s="12" t="s">
        <v>72</v>
      </c>
      <c r="N7106" s="12" t="s">
        <v>16047</v>
      </c>
      <c r="O7106" s="9" t="str">
        <f aca="false">HYPERLINK("https://pbs.twimg.com/profile_images/1512664304/0306d4b_normal.jpg","View")</f>
        <v>View</v>
      </c>
      <c r="P7106" s="10"/>
    </row>
    <row r="7107" customFormat="false" ht="15.75" hidden="false" customHeight="false" outlineLevel="0" collapsed="false">
      <c r="A7107" s="6" t="n">
        <v>43031.3566666667</v>
      </c>
      <c r="B7107" s="7" t="str">
        <f aca="false">HYPERLINK("https://twitter.com/Sorgitzak","@Sorgitzak")</f>
        <v>@Sorgitzak</v>
      </c>
      <c r="C7107" s="8" t="s">
        <v>421</v>
      </c>
      <c r="D7107" s="8" t="s">
        <v>16048</v>
      </c>
      <c r="E7107" s="9" t="str">
        <f aca="false">HYPERLINK("https://twitter.com/Sorgitzak/status/922486170575044608","922486170575044608")</f>
        <v>922486170575044608</v>
      </c>
      <c r="F7107" s="10" t="s">
        <v>60</v>
      </c>
      <c r="G7107" s="10" t="n">
        <v>719</v>
      </c>
      <c r="H7107" s="10" t="n">
        <v>1309</v>
      </c>
      <c r="I7107" s="10" t="n">
        <v>0</v>
      </c>
      <c r="J7107" s="10" t="n">
        <v>0</v>
      </c>
      <c r="K7107" s="10" t="s">
        <v>20</v>
      </c>
      <c r="L7107" s="11" t="n">
        <v>39990.5521527778</v>
      </c>
      <c r="M7107" s="12" t="s">
        <v>423</v>
      </c>
      <c r="N7107" s="12"/>
      <c r="O7107" s="9" t="str">
        <f aca="false">HYPERLINK("https://pbs.twimg.com/profile_images/284404970/sorgitzak_normal.JPG","View")</f>
        <v>View</v>
      </c>
      <c r="P7107" s="10"/>
    </row>
    <row r="7108" customFormat="false" ht="15.75" hidden="false" customHeight="false" outlineLevel="0" collapsed="false">
      <c r="A7108" s="6" t="n">
        <v>43031.3570138889</v>
      </c>
      <c r="B7108" s="7" t="str">
        <f aca="false">HYPERLINK("https://twitter.com/nishiki_e","@nishiki_e")</f>
        <v>@nishiki_e</v>
      </c>
      <c r="C7108" s="8" t="s">
        <v>16049</v>
      </c>
      <c r="D7108" s="8" t="s">
        <v>16050</v>
      </c>
      <c r="E7108" s="9" t="str">
        <f aca="false">HYPERLINK("https://twitter.com/nishiki_e/status/922486297293230080","922486297293230080")</f>
        <v>922486297293230080</v>
      </c>
      <c r="F7108" s="10" t="s">
        <v>51</v>
      </c>
      <c r="G7108" s="10" t="n">
        <v>58</v>
      </c>
      <c r="H7108" s="10" t="n">
        <v>106</v>
      </c>
      <c r="I7108" s="10" t="n">
        <v>0</v>
      </c>
      <c r="J7108" s="10" t="n">
        <v>0</v>
      </c>
      <c r="K7108" s="10" t="s">
        <v>20</v>
      </c>
      <c r="L7108" s="11" t="n">
        <v>40088.4822916667</v>
      </c>
      <c r="M7108" s="12"/>
      <c r="N7108" s="13" t="s">
        <v>16051</v>
      </c>
      <c r="O7108" s="9" t="str">
        <f aca="false">HYPERLINK("https://pbs.twimg.com/profile_images/815553609848864768/3FM6D4mc_normal.jpg","View")</f>
        <v>View</v>
      </c>
      <c r="P7108" s="10"/>
    </row>
    <row r="7109" customFormat="false" ht="15.75" hidden="false" customHeight="false" outlineLevel="0" collapsed="false">
      <c r="A7109" s="6" t="n">
        <v>43031.3576273148</v>
      </c>
      <c r="B7109" s="7" t="str">
        <f aca="false">HYPERLINK("https://twitter.com/SocialLifeLA","@SocialLifeLA")</f>
        <v>@SocialLifeLA</v>
      </c>
      <c r="C7109" s="8" t="s">
        <v>750</v>
      </c>
      <c r="D7109" s="8" t="s">
        <v>16052</v>
      </c>
      <c r="E7109" s="9" t="str">
        <f aca="false">HYPERLINK("https://twitter.com/SocialLifeLA/status/922486518459064321","922486518459064321")</f>
        <v>922486518459064321</v>
      </c>
      <c r="F7109" s="10" t="s">
        <v>60</v>
      </c>
      <c r="G7109" s="10" t="n">
        <v>200</v>
      </c>
      <c r="H7109" s="10" t="n">
        <v>60</v>
      </c>
      <c r="I7109" s="10" t="n">
        <v>0</v>
      </c>
      <c r="J7109" s="10" t="n">
        <v>0</v>
      </c>
      <c r="K7109" s="10" t="s">
        <v>20</v>
      </c>
      <c r="L7109" s="11" t="n">
        <v>42604.7538078704</v>
      </c>
      <c r="M7109" s="12" t="s">
        <v>752</v>
      </c>
      <c r="N7109" s="12" t="s">
        <v>753</v>
      </c>
      <c r="O7109" s="9" t="str">
        <f aca="false">HYPERLINK("https://pbs.twimg.com/profile_images/767891928948023296/dUdnMBLO_normal.jpg","View")</f>
        <v>View</v>
      </c>
      <c r="P7109" s="10"/>
    </row>
    <row r="7110" customFormat="false" ht="15.75" hidden="false" customHeight="false" outlineLevel="0" collapsed="false">
      <c r="A7110" s="6" t="n">
        <v>43031.3578009259</v>
      </c>
      <c r="B7110" s="7" t="str">
        <f aca="false">HYPERLINK("https://twitter.com/mlnangalama","@mlnangalama")</f>
        <v>@mlnangalama</v>
      </c>
      <c r="C7110" s="8" t="s">
        <v>255</v>
      </c>
      <c r="D7110" s="8" t="s">
        <v>16053</v>
      </c>
      <c r="E7110" s="9" t="str">
        <f aca="false">HYPERLINK("https://twitter.com/mlnangalama/status/922486578945167361","922486578945167361")</f>
        <v>922486578945167361</v>
      </c>
      <c r="F7110" s="10" t="s">
        <v>60</v>
      </c>
      <c r="G7110" s="10" t="n">
        <v>2370</v>
      </c>
      <c r="H7110" s="10" t="n">
        <v>1584</v>
      </c>
      <c r="I7110" s="10" t="n">
        <v>0</v>
      </c>
      <c r="J7110" s="10" t="n">
        <v>0</v>
      </c>
      <c r="K7110" s="10" t="s">
        <v>20</v>
      </c>
      <c r="L7110" s="11" t="n">
        <v>41041.5437847222</v>
      </c>
      <c r="M7110" s="12" t="s">
        <v>257</v>
      </c>
      <c r="N7110" s="12" t="s">
        <v>258</v>
      </c>
      <c r="O7110" s="9" t="str">
        <f aca="false">HYPERLINK("https://pbs.twimg.com/profile_images/900915882444173313/biUHzvpx_normal.jpg","View")</f>
        <v>View</v>
      </c>
      <c r="P7110" s="10"/>
    </row>
    <row r="7111" customFormat="false" ht="15.75" hidden="false" customHeight="false" outlineLevel="0" collapsed="false">
      <c r="A7111" s="6" t="n">
        <v>43031.3581712963</v>
      </c>
      <c r="B7111" s="7" t="str">
        <f aca="false">HYPERLINK("https://twitter.com/khaliedfalah","@khaliedfalah")</f>
        <v>@khaliedfalah</v>
      </c>
      <c r="C7111" s="8" t="s">
        <v>5153</v>
      </c>
      <c r="D7111" s="8" t="s">
        <v>16008</v>
      </c>
      <c r="E7111" s="9" t="str">
        <f aca="false">HYPERLINK("https://twitter.com/khaliedfalah/status/922486714677022720","922486714677022720")</f>
        <v>922486714677022720</v>
      </c>
      <c r="F7111" s="10" t="s">
        <v>5154</v>
      </c>
      <c r="G7111" s="10" t="n">
        <v>49</v>
      </c>
      <c r="H7111" s="10" t="n">
        <v>0</v>
      </c>
      <c r="I7111" s="10" t="n">
        <v>32</v>
      </c>
      <c r="J7111" s="10" t="n">
        <v>0</v>
      </c>
      <c r="K7111" s="10" t="s">
        <v>20</v>
      </c>
      <c r="L7111" s="11" t="n">
        <v>42526.6455902778</v>
      </c>
      <c r="M7111" s="12"/>
      <c r="N7111" s="12"/>
      <c r="O7111" s="9" t="str">
        <f aca="false">HYPERLINK("https://pbs.twimg.com/profile_images/739593793226297344/2x8A03Y6_normal.jpg","View")</f>
        <v>View</v>
      </c>
      <c r="P7111" s="10"/>
    </row>
    <row r="7112" customFormat="false" ht="15.75" hidden="false" customHeight="false" outlineLevel="0" collapsed="false">
      <c r="A7112" s="6" t="n">
        <v>43031.358287037</v>
      </c>
      <c r="B7112" s="7" t="str">
        <f aca="false">HYPERLINK("https://twitter.com/sabrimgd","@sabrimgd")</f>
        <v>@sabrimgd</v>
      </c>
      <c r="C7112" s="8" t="s">
        <v>16054</v>
      </c>
      <c r="D7112" s="8" t="s">
        <v>16008</v>
      </c>
      <c r="E7112" s="9" t="str">
        <f aca="false">HYPERLINK("https://twitter.com/sabrimgd/status/922486759090507778","922486759090507778")</f>
        <v>922486759090507778</v>
      </c>
      <c r="F7112" s="10" t="s">
        <v>51</v>
      </c>
      <c r="G7112" s="10" t="n">
        <v>3057</v>
      </c>
      <c r="H7112" s="10" t="n">
        <v>1465</v>
      </c>
      <c r="I7112" s="10" t="n">
        <v>32</v>
      </c>
      <c r="J7112" s="10" t="n">
        <v>0</v>
      </c>
      <c r="K7112" s="10" t="s">
        <v>20</v>
      </c>
      <c r="L7112" s="11" t="n">
        <v>41294.4397453704</v>
      </c>
      <c r="M7112" s="12" t="s">
        <v>16055</v>
      </c>
      <c r="N7112" s="12" t="s">
        <v>16056</v>
      </c>
      <c r="O7112" s="9" t="str">
        <f aca="false">HYPERLINK("https://pbs.twimg.com/profile_images/921829346498707456/PgU_6JHs_normal.jpg","View")</f>
        <v>View</v>
      </c>
      <c r="P7112" s="10"/>
    </row>
    <row r="7113" customFormat="false" ht="15.75" hidden="false" customHeight="false" outlineLevel="0" collapsed="false">
      <c r="A7113" s="6" t="n">
        <v>43031.358587963</v>
      </c>
      <c r="B7113" s="7" t="str">
        <f aca="false">HYPERLINK("https://twitter.com/AraoLeroy","@AraoLeroy")</f>
        <v>@AraoLeroy</v>
      </c>
      <c r="C7113" s="8" t="s">
        <v>16057</v>
      </c>
      <c r="D7113" s="8" t="s">
        <v>16008</v>
      </c>
      <c r="E7113" s="9" t="str">
        <f aca="false">HYPERLINK("https://twitter.com/AraoLeroy/status/922486864103264257","922486864103264257")</f>
        <v>922486864103264257</v>
      </c>
      <c r="F7113" s="10" t="s">
        <v>25</v>
      </c>
      <c r="G7113" s="10" t="n">
        <v>317</v>
      </c>
      <c r="H7113" s="10" t="n">
        <v>795</v>
      </c>
      <c r="I7113" s="10" t="n">
        <v>32</v>
      </c>
      <c r="J7113" s="10" t="n">
        <v>0</v>
      </c>
      <c r="K7113" s="10" t="s">
        <v>20</v>
      </c>
      <c r="L7113" s="11" t="n">
        <v>41613.5839814815</v>
      </c>
      <c r="M7113" s="12"/>
      <c r="N7113" s="12"/>
      <c r="O7113" s="9" t="str">
        <f aca="false">HYPERLINK("https://pbs.twimg.com/profile_images/662300524654538753/_bgdj586_normal.jpg","View")</f>
        <v>View</v>
      </c>
      <c r="P7113" s="10"/>
    </row>
    <row r="7114" customFormat="false" ht="15.75" hidden="false" customHeight="false" outlineLevel="0" collapsed="false">
      <c r="A7114" s="6" t="n">
        <v>43031.358587963</v>
      </c>
      <c r="B7114" s="7" t="str">
        <f aca="false">HYPERLINK("https://twitter.com/SocialLifeMiami","@SocialLifeMiami")</f>
        <v>@SocialLifeMiami</v>
      </c>
      <c r="C7114" s="8" t="s">
        <v>1047</v>
      </c>
      <c r="D7114" s="8" t="s">
        <v>16058</v>
      </c>
      <c r="E7114" s="9" t="str">
        <f aca="false">HYPERLINK("https://twitter.com/SocialLifeMiami/status/922486867555209216","922486867555209216")</f>
        <v>922486867555209216</v>
      </c>
      <c r="F7114" s="10" t="s">
        <v>60</v>
      </c>
      <c r="G7114" s="10" t="n">
        <v>567</v>
      </c>
      <c r="H7114" s="10" t="n">
        <v>792</v>
      </c>
      <c r="I7114" s="10" t="n">
        <v>0</v>
      </c>
      <c r="J7114" s="10" t="n">
        <v>0</v>
      </c>
      <c r="K7114" s="10" t="s">
        <v>20</v>
      </c>
      <c r="L7114" s="11" t="n">
        <v>42603.6747106482</v>
      </c>
      <c r="M7114" s="12" t="s">
        <v>476</v>
      </c>
      <c r="N7114" s="12" t="s">
        <v>753</v>
      </c>
      <c r="O7114" s="9" t="str">
        <f aca="false">HYPERLINK("https://pbs.twimg.com/profile_images/767547452878647296/oD-Hg_jO_normal.jpg","View")</f>
        <v>View</v>
      </c>
      <c r="P7114" s="10"/>
    </row>
    <row r="7115" customFormat="false" ht="15.75" hidden="false" customHeight="false" outlineLevel="0" collapsed="false">
      <c r="A7115" s="6" t="n">
        <v>43031.3586805556</v>
      </c>
      <c r="B7115" s="7" t="str">
        <f aca="false">HYPERLINK("https://twitter.com/jackfpaylor","@jackfpaylor")</f>
        <v>@jackfpaylor</v>
      </c>
      <c r="C7115" s="8" t="s">
        <v>2354</v>
      </c>
      <c r="D7115" s="8" t="s">
        <v>16059</v>
      </c>
      <c r="E7115" s="9" t="str">
        <f aca="false">HYPERLINK("https://twitter.com/jackfpaylor/status/922486899595468800","922486899595468800")</f>
        <v>922486899595468800</v>
      </c>
      <c r="F7115" s="10" t="s">
        <v>60</v>
      </c>
      <c r="G7115" s="10" t="n">
        <v>4578</v>
      </c>
      <c r="H7115" s="10" t="n">
        <v>4996</v>
      </c>
      <c r="I7115" s="10" t="n">
        <v>0</v>
      </c>
      <c r="J7115" s="10" t="n">
        <v>0</v>
      </c>
      <c r="K7115" s="10" t="s">
        <v>20</v>
      </c>
      <c r="L7115" s="11" t="n">
        <v>42880.7746180556</v>
      </c>
      <c r="M7115" s="12" t="s">
        <v>2356</v>
      </c>
      <c r="N7115" s="12" t="s">
        <v>2357</v>
      </c>
      <c r="O7115" s="9" t="str">
        <f aca="false">HYPERLINK("https://pbs.twimg.com/profile_images/911761399902334976/emBMaAAb_normal.jpg","View")</f>
        <v>View</v>
      </c>
      <c r="P7115" s="10"/>
    </row>
    <row r="7116" customFormat="false" ht="15.75" hidden="false" customHeight="false" outlineLevel="0" collapsed="false">
      <c r="A7116" s="6" t="n">
        <v>43031.3589467593</v>
      </c>
      <c r="B7116" s="7" t="str">
        <f aca="false">HYPERLINK("https://twitter.com/RunRrai74","@RunRrai74")</f>
        <v>@RunRrai74</v>
      </c>
      <c r="C7116" s="8" t="s">
        <v>16060</v>
      </c>
      <c r="D7116" s="8" t="s">
        <v>16008</v>
      </c>
      <c r="E7116" s="9" t="str">
        <f aca="false">HYPERLINK("https://twitter.com/RunRrai74/status/922486996785917952","922486996785917952")</f>
        <v>922486996785917952</v>
      </c>
      <c r="F7116" s="10" t="s">
        <v>25</v>
      </c>
      <c r="G7116" s="10" t="n">
        <v>79</v>
      </c>
      <c r="H7116" s="10" t="n">
        <v>281</v>
      </c>
      <c r="I7116" s="10" t="n">
        <v>32</v>
      </c>
      <c r="J7116" s="10" t="n">
        <v>0</v>
      </c>
      <c r="K7116" s="10" t="s">
        <v>20</v>
      </c>
      <c r="L7116" s="11" t="n">
        <v>41800.5368865741</v>
      </c>
      <c r="M7116" s="12"/>
      <c r="N7116" s="12"/>
      <c r="O7116" s="9" t="str">
        <f aca="false">HYPERLINK("https://pbs.twimg.com/profile_images/919585790447022080/C-_Upv-w_normal.jpg","View")</f>
        <v>View</v>
      </c>
      <c r="P7116" s="10"/>
    </row>
    <row r="7117" customFormat="false" ht="15.75" hidden="false" customHeight="false" outlineLevel="0" collapsed="false">
      <c r="A7117" s="6" t="n">
        <v>43031.3589930556</v>
      </c>
      <c r="B7117" s="7" t="str">
        <f aca="false">HYPERLINK("https://twitter.com/A31X64Vijay","@A31X64Vijay")</f>
        <v>@A31X64Vijay</v>
      </c>
      <c r="C7117" s="8" t="s">
        <v>16061</v>
      </c>
      <c r="D7117" s="8" t="s">
        <v>8538</v>
      </c>
      <c r="E7117" s="9" t="str">
        <f aca="false">HYPERLINK("https://twitter.com/A31X64Vijay/status/922487013965643777","922487013965643777")</f>
        <v>922487013965643777</v>
      </c>
      <c r="F7117" s="10" t="s">
        <v>39</v>
      </c>
      <c r="G7117" s="10" t="n">
        <v>3533</v>
      </c>
      <c r="H7117" s="10" t="n">
        <v>2827</v>
      </c>
      <c r="I7117" s="10" t="n">
        <v>1015</v>
      </c>
      <c r="J7117" s="10" t="n">
        <v>0</v>
      </c>
      <c r="K7117" s="10" t="s">
        <v>20</v>
      </c>
      <c r="L7117" s="11" t="n">
        <v>41774.3795949074</v>
      </c>
      <c r="M7117" s="12" t="s">
        <v>16062</v>
      </c>
      <c r="N7117" s="12" t="s">
        <v>16063</v>
      </c>
      <c r="O7117" s="9" t="str">
        <f aca="false">HYPERLINK("https://pbs.twimg.com/profile_images/802544681816985600/EC1_nijK_normal.png","View")</f>
        <v>View</v>
      </c>
      <c r="P7117" s="10"/>
    </row>
    <row r="7118" customFormat="false" ht="15.75" hidden="false" customHeight="false" outlineLevel="0" collapsed="false">
      <c r="A7118" s="6" t="n">
        <v>43031.3591550926</v>
      </c>
      <c r="B7118" s="7" t="str">
        <f aca="false">HYPERLINK("https://twitter.com/KetugaAmega","@KetugaAmega")</f>
        <v>@KetugaAmega</v>
      </c>
      <c r="C7118" s="8" t="s">
        <v>16064</v>
      </c>
      <c r="D7118" s="8" t="s">
        <v>16008</v>
      </c>
      <c r="E7118" s="9" t="str">
        <f aca="false">HYPERLINK("https://twitter.com/KetugaAmega/status/922487071255691264","922487071255691264")</f>
        <v>922487071255691264</v>
      </c>
      <c r="F7118" s="10" t="s">
        <v>2620</v>
      </c>
      <c r="G7118" s="10" t="n">
        <v>1292</v>
      </c>
      <c r="H7118" s="10" t="n">
        <v>1281</v>
      </c>
      <c r="I7118" s="10" t="n">
        <v>32</v>
      </c>
      <c r="J7118" s="10" t="n">
        <v>0</v>
      </c>
      <c r="K7118" s="10" t="s">
        <v>20</v>
      </c>
      <c r="L7118" s="11" t="n">
        <v>41282.4380787037</v>
      </c>
      <c r="M7118" s="12" t="s">
        <v>16065</v>
      </c>
      <c r="N7118" s="12"/>
      <c r="O7118" s="9" t="str">
        <f aca="false">HYPERLINK("https://pbs.twimg.com/profile_images/797077833407459328/KocJHkwM_normal.jpg","View")</f>
        <v>View</v>
      </c>
      <c r="P7118" s="10"/>
    </row>
    <row r="7119" customFormat="false" ht="15.75" hidden="false" customHeight="false" outlineLevel="0" collapsed="false">
      <c r="A7119" s="6" t="n">
        <v>43031.3592361111</v>
      </c>
      <c r="B7119" s="7" t="str">
        <f aca="false">HYPERLINK("https://twitter.com/BillTurcke","@BillTurcke")</f>
        <v>@BillTurcke</v>
      </c>
      <c r="C7119" s="8" t="s">
        <v>2418</v>
      </c>
      <c r="D7119" s="8" t="s">
        <v>16066</v>
      </c>
      <c r="E7119" s="9" t="str">
        <f aca="false">HYPERLINK("https://twitter.com/BillTurcke/status/922487100292857857","922487100292857857")</f>
        <v>922487100292857857</v>
      </c>
      <c r="F7119" s="10" t="s">
        <v>60</v>
      </c>
      <c r="G7119" s="10" t="n">
        <v>329</v>
      </c>
      <c r="H7119" s="10" t="n">
        <v>471</v>
      </c>
      <c r="I7119" s="10" t="n">
        <v>0</v>
      </c>
      <c r="J7119" s="10" t="n">
        <v>0</v>
      </c>
      <c r="K7119" s="10" t="s">
        <v>20</v>
      </c>
      <c r="L7119" s="11" t="n">
        <v>42882.6207986111</v>
      </c>
      <c r="M7119" s="12" t="s">
        <v>502</v>
      </c>
      <c r="N7119" s="12" t="s">
        <v>2420</v>
      </c>
      <c r="O7119" s="9" t="str">
        <f aca="false">HYPERLINK("https://pbs.twimg.com/profile_images/923892619167649792/sisC2DYy_normal.jpg","View")</f>
        <v>View</v>
      </c>
      <c r="P7119" s="10"/>
    </row>
    <row r="7120" customFormat="false" ht="15.75" hidden="false" customHeight="false" outlineLevel="0" collapsed="false">
      <c r="A7120" s="6" t="n">
        <v>43031.3594328704</v>
      </c>
      <c r="B7120" s="7" t="str">
        <f aca="false">HYPERLINK("https://twitter.com/Bullish","@Bullish")</f>
        <v>@Bullish</v>
      </c>
      <c r="C7120" s="8" t="s">
        <v>223</v>
      </c>
      <c r="D7120" s="8" t="s">
        <v>16067</v>
      </c>
      <c r="E7120" s="9" t="str">
        <f aca="false">HYPERLINK("https://twitter.com/Bullish/status/922487172422406144","922487172422406144")</f>
        <v>922487172422406144</v>
      </c>
      <c r="F7120" s="10" t="s">
        <v>60</v>
      </c>
      <c r="G7120" s="10" t="n">
        <v>184</v>
      </c>
      <c r="H7120" s="10" t="n">
        <v>87</v>
      </c>
      <c r="I7120" s="10" t="n">
        <v>0</v>
      </c>
      <c r="J7120" s="10" t="n">
        <v>0</v>
      </c>
      <c r="K7120" s="10" t="s">
        <v>20</v>
      </c>
      <c r="L7120" s="11" t="n">
        <v>42618.7530439815</v>
      </c>
      <c r="M7120" s="12"/>
      <c r="N7120" s="12"/>
      <c r="O7120" s="9" t="str">
        <f aca="false">HYPERLINK("https://pbs.twimg.com/profile_images/798692093736599552/UikI9dNE_normal.jpg","View")</f>
        <v>View</v>
      </c>
      <c r="P7120" s="10"/>
    </row>
    <row r="7121" customFormat="false" ht="15.75" hidden="false" customHeight="false" outlineLevel="0" collapsed="false">
      <c r="A7121" s="6" t="n">
        <v>43031.3597569444</v>
      </c>
      <c r="B7121" s="7" t="str">
        <f aca="false">HYPERLINK("https://twitter.com/NolanDraco","@NolanDraco")</f>
        <v>@NolanDraco</v>
      </c>
      <c r="C7121" s="8" t="s">
        <v>16068</v>
      </c>
      <c r="D7121" s="8" t="s">
        <v>16069</v>
      </c>
      <c r="E7121" s="9" t="str">
        <f aca="false">HYPERLINK("https://twitter.com/NolanDraco/status/922487289963536384","922487289963536384")</f>
        <v>922487289963536384</v>
      </c>
      <c r="F7121" s="10" t="s">
        <v>16070</v>
      </c>
      <c r="G7121" s="10" t="n">
        <v>3046</v>
      </c>
      <c r="H7121" s="10" t="n">
        <v>2985</v>
      </c>
      <c r="I7121" s="10" t="n">
        <v>0</v>
      </c>
      <c r="J7121" s="10" t="n">
        <v>0</v>
      </c>
      <c r="K7121" s="10" t="s">
        <v>20</v>
      </c>
      <c r="L7121" s="11" t="n">
        <v>42456.0405208333</v>
      </c>
      <c r="M7121" s="12" t="s">
        <v>16071</v>
      </c>
      <c r="N7121" s="12" t="s">
        <v>16072</v>
      </c>
      <c r="O7121" s="9" t="str">
        <f aca="false">HYPERLINK("https://pbs.twimg.com/profile_images/761423350761713664/5LLRQ-Pz_normal.jpg","View")</f>
        <v>View</v>
      </c>
      <c r="P7121" s="10"/>
    </row>
    <row r="7122" customFormat="false" ht="15.75" hidden="false" customHeight="false" outlineLevel="0" collapsed="false">
      <c r="A7122" s="6" t="n">
        <v>43031.3599768518</v>
      </c>
      <c r="B7122" s="7" t="str">
        <f aca="false">HYPERLINK("https://twitter.com/salqahtani1111","@salqahtani1111")</f>
        <v>@salqahtani1111</v>
      </c>
      <c r="C7122" s="8" t="s">
        <v>2358</v>
      </c>
      <c r="D7122" s="8" t="s">
        <v>16073</v>
      </c>
      <c r="E7122" s="9" t="str">
        <f aca="false">HYPERLINK("https://twitter.com/salqahtani1111/status/922487368250265601","922487368250265601")</f>
        <v>922487368250265601</v>
      </c>
      <c r="F7122" s="10" t="s">
        <v>60</v>
      </c>
      <c r="G7122" s="10" t="n">
        <v>80</v>
      </c>
      <c r="H7122" s="10" t="n">
        <v>355</v>
      </c>
      <c r="I7122" s="10" t="n">
        <v>0</v>
      </c>
      <c r="J7122" s="10" t="n">
        <v>0</v>
      </c>
      <c r="K7122" s="10" t="s">
        <v>20</v>
      </c>
      <c r="L7122" s="11" t="n">
        <v>42389.4186805556</v>
      </c>
      <c r="M7122" s="12" t="s">
        <v>2360</v>
      </c>
      <c r="N7122" s="12" t="s">
        <v>2361</v>
      </c>
      <c r="O7122" s="9" t="str">
        <f aca="false">HYPERLINK("https://pbs.twimg.com/profile_images/862802411659952129/c6waLNgv_normal.jpg","View")</f>
        <v>View</v>
      </c>
      <c r="P7122" s="10"/>
    </row>
    <row r="7123" customFormat="false" ht="15.75" hidden="false" customHeight="false" outlineLevel="0" collapsed="false">
      <c r="A7123" s="6" t="n">
        <v>43031.360162037</v>
      </c>
      <c r="B7123" s="7" t="str">
        <f aca="false">HYPERLINK("https://twitter.com/LE_Guides","@LE_Guides")</f>
        <v>@LE_Guides</v>
      </c>
      <c r="C7123" s="8" t="s">
        <v>16074</v>
      </c>
      <c r="D7123" s="8" t="s">
        <v>16008</v>
      </c>
      <c r="E7123" s="9" t="str">
        <f aca="false">HYPERLINK("https://twitter.com/LE_Guides/status/922487438106349568","922487438106349568")</f>
        <v>922487438106349568</v>
      </c>
      <c r="F7123" s="10" t="s">
        <v>39</v>
      </c>
      <c r="G7123" s="10" t="n">
        <v>6434</v>
      </c>
      <c r="H7123" s="10" t="n">
        <v>222</v>
      </c>
      <c r="I7123" s="10" t="n">
        <v>32</v>
      </c>
      <c r="J7123" s="10" t="n">
        <v>0</v>
      </c>
      <c r="K7123" s="10" t="s">
        <v>20</v>
      </c>
      <c r="L7123" s="11" t="n">
        <v>42465.3167361111</v>
      </c>
      <c r="M7123" s="12"/>
      <c r="N7123" s="12"/>
      <c r="O7123" s="9" t="str">
        <f aca="false">HYPERLINK("https://pbs.twimg.com/profile_images/717360684288356352/IkaNjYk5_normal.jpg","View")</f>
        <v>View</v>
      </c>
      <c r="P7123" s="10"/>
    </row>
    <row r="7124" customFormat="false" ht="15.75" hidden="false" customHeight="false" outlineLevel="0" collapsed="false">
      <c r="A7124" s="6" t="n">
        <v>43031.3603009259</v>
      </c>
      <c r="B7124" s="7" t="str">
        <f aca="false">HYPERLINK("https://twitter.com/PoliusVanessa","@PoliusVanessa")</f>
        <v>@PoliusVanessa</v>
      </c>
      <c r="C7124" s="8" t="s">
        <v>16075</v>
      </c>
      <c r="D7124" s="8" t="s">
        <v>16008</v>
      </c>
      <c r="E7124" s="9" t="str">
        <f aca="false">HYPERLINK("https://twitter.com/PoliusVanessa/status/922487486298906624","922487486298906624")</f>
        <v>922487486298906624</v>
      </c>
      <c r="F7124" s="10" t="s">
        <v>25</v>
      </c>
      <c r="G7124" s="10" t="n">
        <v>120</v>
      </c>
      <c r="H7124" s="10" t="n">
        <v>100</v>
      </c>
      <c r="I7124" s="10" t="n">
        <v>32</v>
      </c>
      <c r="J7124" s="10" t="n">
        <v>0</v>
      </c>
      <c r="K7124" s="10" t="s">
        <v>20</v>
      </c>
      <c r="L7124" s="11" t="n">
        <v>41907.0003240741</v>
      </c>
      <c r="M7124" s="12" t="s">
        <v>182</v>
      </c>
      <c r="N7124" s="12" t="s">
        <v>16076</v>
      </c>
      <c r="O7124" s="9" t="str">
        <f aca="false">HYPERLINK("https://pbs.twimg.com/profile_images/682072139625664512/XMCkGvIA_normal.jpg","View")</f>
        <v>View</v>
      </c>
      <c r="P7124" s="10"/>
    </row>
    <row r="7125" customFormat="false" ht="15.75" hidden="false" customHeight="false" outlineLevel="0" collapsed="false">
      <c r="A7125" s="6" t="n">
        <v>43031.3604282407</v>
      </c>
      <c r="B7125" s="7" t="str">
        <f aca="false">HYPERLINK("https://twitter.com/NicolasMamadera","@NicolasMamadera")</f>
        <v>@NicolasMamadera</v>
      </c>
      <c r="C7125" s="8" t="s">
        <v>16077</v>
      </c>
      <c r="D7125" s="8" t="s">
        <v>16008</v>
      </c>
      <c r="E7125" s="9" t="str">
        <f aca="false">HYPERLINK("https://twitter.com/NicolasMamadera/status/922487533291876353","922487533291876353")</f>
        <v>922487533291876353</v>
      </c>
      <c r="F7125" s="10" t="s">
        <v>51</v>
      </c>
      <c r="G7125" s="10" t="n">
        <v>157</v>
      </c>
      <c r="H7125" s="10" t="n">
        <v>186</v>
      </c>
      <c r="I7125" s="10" t="n">
        <v>32</v>
      </c>
      <c r="J7125" s="10" t="n">
        <v>0</v>
      </c>
      <c r="K7125" s="10" t="s">
        <v>20</v>
      </c>
      <c r="L7125" s="11" t="n">
        <v>42395.6735416667</v>
      </c>
      <c r="M7125" s="12"/>
      <c r="N7125" s="12" t="s">
        <v>16078</v>
      </c>
      <c r="O7125" s="9" t="str">
        <f aca="false">HYPERLINK("https://pbs.twimg.com/profile_images/748615942805012481/UAGpPeBl_normal.jpg","View")</f>
        <v>View</v>
      </c>
      <c r="P7125" s="10"/>
    </row>
    <row r="7126" customFormat="false" ht="15.75" hidden="false" customHeight="false" outlineLevel="0" collapsed="false">
      <c r="A7126" s="6" t="n">
        <v>43031.3604282407</v>
      </c>
      <c r="B7126" s="7" t="str">
        <f aca="false">HYPERLINK("https://twitter.com/gamolo79","@gamolo79")</f>
        <v>@gamolo79</v>
      </c>
      <c r="C7126" s="8" t="s">
        <v>16079</v>
      </c>
      <c r="D7126" s="8" t="s">
        <v>16008</v>
      </c>
      <c r="E7126" s="9" t="str">
        <f aca="false">HYPERLINK("https://twitter.com/gamolo79/status/922487533849776129","922487533849776129")</f>
        <v>922487533849776129</v>
      </c>
      <c r="F7126" s="10" t="s">
        <v>39</v>
      </c>
      <c r="G7126" s="10" t="n">
        <v>1909</v>
      </c>
      <c r="H7126" s="10" t="n">
        <v>381</v>
      </c>
      <c r="I7126" s="10" t="n">
        <v>32</v>
      </c>
      <c r="J7126" s="10" t="n">
        <v>0</v>
      </c>
      <c r="K7126" s="10" t="s">
        <v>20</v>
      </c>
      <c r="L7126" s="11" t="n">
        <v>40084.5106597222</v>
      </c>
      <c r="M7126" s="12" t="s">
        <v>16080</v>
      </c>
      <c r="N7126" s="12" t="s">
        <v>16081</v>
      </c>
      <c r="O7126" s="9" t="str">
        <f aca="false">HYPERLINK("https://pbs.twimg.com/profile_images/609782410184556544/XdrgEMlY_normal.jpg","View")</f>
        <v>View</v>
      </c>
      <c r="P7126" s="10"/>
    </row>
    <row r="7127" customFormat="false" ht="15.75" hidden="false" customHeight="false" outlineLevel="0" collapsed="false">
      <c r="A7127" s="6" t="n">
        <v>43031.3607291667</v>
      </c>
      <c r="B7127" s="7" t="str">
        <f aca="false">HYPERLINK("https://twitter.com/FXDD","@FXDD")</f>
        <v>@FXDD</v>
      </c>
      <c r="C7127" s="8" t="s">
        <v>16082</v>
      </c>
      <c r="D7127" s="8" t="s">
        <v>16008</v>
      </c>
      <c r="E7127" s="9" t="str">
        <f aca="false">HYPERLINK("https://twitter.com/FXDD/status/922487640414412807","922487640414412807")</f>
        <v>922487640414412807</v>
      </c>
      <c r="F7127" s="10" t="s">
        <v>39</v>
      </c>
      <c r="G7127" s="10" t="n">
        <v>23738</v>
      </c>
      <c r="H7127" s="10" t="n">
        <v>96</v>
      </c>
      <c r="I7127" s="10" t="n">
        <v>32</v>
      </c>
      <c r="J7127" s="10" t="n">
        <v>0</v>
      </c>
      <c r="K7127" s="10" t="s">
        <v>20</v>
      </c>
      <c r="L7127" s="11" t="n">
        <v>39782.6628240741</v>
      </c>
      <c r="M7127" s="12" t="s">
        <v>989</v>
      </c>
      <c r="N7127" s="12" t="s">
        <v>16083</v>
      </c>
      <c r="O7127" s="9" t="str">
        <f aca="false">HYPERLINK("https://pbs.twimg.com/profile_images/2645418300/8cb9ab80e1258da4b8be566ec300fb5d_normal.png","View")</f>
        <v>View</v>
      </c>
      <c r="P7127" s="10"/>
    </row>
    <row r="7128" customFormat="false" ht="15.75" hidden="false" customHeight="false" outlineLevel="0" collapsed="false">
      <c r="A7128" s="6" t="n">
        <v>43031.3612037037</v>
      </c>
      <c r="B7128" s="7" t="str">
        <f aca="false">HYPERLINK("https://twitter.com/aitepaeapaea","@aitepaeapaea")</f>
        <v>@aitepaeapaea</v>
      </c>
      <c r="C7128" s="8" t="s">
        <v>16084</v>
      </c>
      <c r="D7128" s="8" t="s">
        <v>16008</v>
      </c>
      <c r="E7128" s="9" t="str">
        <f aca="false">HYPERLINK("https://twitter.com/aitepaeapaea/status/922487813446107137","922487813446107137")</f>
        <v>922487813446107137</v>
      </c>
      <c r="F7128" s="10" t="s">
        <v>39</v>
      </c>
      <c r="G7128" s="10" t="n">
        <v>1565</v>
      </c>
      <c r="H7128" s="10" t="n">
        <v>257</v>
      </c>
      <c r="I7128" s="10" t="n">
        <v>32</v>
      </c>
      <c r="J7128" s="10" t="n">
        <v>0</v>
      </c>
      <c r="K7128" s="10" t="s">
        <v>20</v>
      </c>
      <c r="L7128" s="11" t="n">
        <v>39922.3407986111</v>
      </c>
      <c r="M7128" s="12" t="s">
        <v>10007</v>
      </c>
      <c r="N7128" s="12" t="s">
        <v>16085</v>
      </c>
      <c r="O7128" s="9" t="str">
        <f aca="false">HYPERLINK("https://pbs.twimg.com/profile_images/146641211/got_oil__normal.jpg","View")</f>
        <v>View</v>
      </c>
      <c r="P7128" s="10"/>
    </row>
    <row r="7129" customFormat="false" ht="15.75" hidden="false" customHeight="false" outlineLevel="0" collapsed="false">
      <c r="A7129" s="6" t="n">
        <v>43031.3621064815</v>
      </c>
      <c r="B7129" s="7" t="str">
        <f aca="false">HYPERLINK("https://twitter.com/USAGOLD","@USAGOLD")</f>
        <v>@USAGOLD</v>
      </c>
      <c r="C7129" s="8" t="s">
        <v>15516</v>
      </c>
      <c r="D7129" s="8" t="s">
        <v>16008</v>
      </c>
      <c r="E7129" s="9" t="str">
        <f aca="false">HYPERLINK("https://twitter.com/USAGOLD/status/922488141260374016","922488141260374016")</f>
        <v>922488141260374016</v>
      </c>
      <c r="F7129" s="10" t="s">
        <v>276</v>
      </c>
      <c r="G7129" s="10" t="n">
        <v>3959</v>
      </c>
      <c r="H7129" s="10" t="n">
        <v>170</v>
      </c>
      <c r="I7129" s="10" t="n">
        <v>32</v>
      </c>
      <c r="J7129" s="10" t="n">
        <v>0</v>
      </c>
      <c r="K7129" s="10" t="s">
        <v>20</v>
      </c>
      <c r="L7129" s="11" t="n">
        <v>39792.4603009259</v>
      </c>
      <c r="M7129" s="12" t="s">
        <v>15517</v>
      </c>
      <c r="N7129" s="12" t="s">
        <v>15518</v>
      </c>
      <c r="O7129" s="9" t="str">
        <f aca="false">HYPERLINK("https://pbs.twimg.com/profile_images/1638967045/usagold_normal.jpg","View")</f>
        <v>View</v>
      </c>
      <c r="P7129" s="10"/>
    </row>
    <row r="7130" customFormat="false" ht="15.75" hidden="false" customHeight="false" outlineLevel="0" collapsed="false">
      <c r="A7130" s="6" t="n">
        <v>43031.3635185185</v>
      </c>
      <c r="B7130" s="7" t="str">
        <f aca="false">HYPERLINK("https://twitter.com/TheNaaKwaamah","@TheNaaKwaamah")</f>
        <v>@TheNaaKwaamah</v>
      </c>
      <c r="C7130" s="8" t="s">
        <v>5044</v>
      </c>
      <c r="D7130" s="8" t="s">
        <v>16008</v>
      </c>
      <c r="E7130" s="9" t="str">
        <f aca="false">HYPERLINK("https://twitter.com/TheNaaKwaamah/status/922488651031998464","922488651031998464")</f>
        <v>922488651031998464</v>
      </c>
      <c r="F7130" s="10" t="s">
        <v>25</v>
      </c>
      <c r="G7130" s="10" t="n">
        <v>83</v>
      </c>
      <c r="H7130" s="10" t="n">
        <v>306</v>
      </c>
      <c r="I7130" s="10" t="n">
        <v>32</v>
      </c>
      <c r="J7130" s="10" t="n">
        <v>0</v>
      </c>
      <c r="K7130" s="10" t="s">
        <v>20</v>
      </c>
      <c r="L7130" s="11" t="n">
        <v>42895.9970138889</v>
      </c>
      <c r="M7130" s="12" t="s">
        <v>5045</v>
      </c>
      <c r="N7130" s="12" t="s">
        <v>5046</v>
      </c>
      <c r="O7130" s="9" t="str">
        <f aca="false">HYPERLINK("https://pbs.twimg.com/profile_images/914184808024158209/sMDC3HMl_normal.jpg","View")</f>
        <v>View</v>
      </c>
      <c r="P7130" s="10"/>
    </row>
    <row r="7131" customFormat="false" ht="15.75" hidden="false" customHeight="false" outlineLevel="0" collapsed="false">
      <c r="A7131" s="6" t="n">
        <v>43031.3641435185</v>
      </c>
      <c r="B7131" s="7" t="str">
        <f aca="false">HYPERLINK("https://twitter.com/PalanHemang","@PalanHemang")</f>
        <v>@PalanHemang</v>
      </c>
      <c r="C7131" s="8" t="s">
        <v>16086</v>
      </c>
      <c r="D7131" s="8" t="s">
        <v>8538</v>
      </c>
      <c r="E7131" s="9" t="str">
        <f aca="false">HYPERLINK("https://twitter.com/PalanHemang/status/922488878673432577","922488878673432577")</f>
        <v>922488878673432577</v>
      </c>
      <c r="F7131" s="10" t="s">
        <v>25</v>
      </c>
      <c r="G7131" s="10" t="n">
        <v>920</v>
      </c>
      <c r="H7131" s="10" t="n">
        <v>163</v>
      </c>
      <c r="I7131" s="10" t="n">
        <v>1015</v>
      </c>
      <c r="J7131" s="10" t="n">
        <v>0</v>
      </c>
      <c r="K7131" s="10" t="s">
        <v>20</v>
      </c>
      <c r="L7131" s="11" t="n">
        <v>41061.4444560185</v>
      </c>
      <c r="M7131" s="12" t="s">
        <v>16087</v>
      </c>
      <c r="N7131" s="12" t="s">
        <v>16088</v>
      </c>
      <c r="O7131" s="9" t="str">
        <f aca="false">HYPERLINK("https://pbs.twimg.com/profile_images/869228794925666304/x5ttsizS_normal.jpg","View")</f>
        <v>View</v>
      </c>
      <c r="P7131" s="10"/>
    </row>
    <row r="7132" customFormat="false" ht="15.75" hidden="false" customHeight="false" outlineLevel="0" collapsed="false">
      <c r="A7132" s="6" t="n">
        <v>43031.3644907407</v>
      </c>
      <c r="B7132" s="7" t="str">
        <f aca="false">HYPERLINK("https://twitter.com/aman199368","@aman199368")</f>
        <v>@aman199368</v>
      </c>
      <c r="C7132" s="8" t="s">
        <v>5147</v>
      </c>
      <c r="D7132" s="8" t="s">
        <v>16008</v>
      </c>
      <c r="E7132" s="9" t="str">
        <f aca="false">HYPERLINK("https://twitter.com/aman199368/status/922489004531912704","922489004531912704")</f>
        <v>922489004531912704</v>
      </c>
      <c r="F7132" s="10" t="s">
        <v>25</v>
      </c>
      <c r="G7132" s="10" t="n">
        <v>188</v>
      </c>
      <c r="H7132" s="10" t="n">
        <v>528</v>
      </c>
      <c r="I7132" s="10" t="n">
        <v>32</v>
      </c>
      <c r="J7132" s="10" t="n">
        <v>0</v>
      </c>
      <c r="K7132" s="10" t="s">
        <v>20</v>
      </c>
      <c r="L7132" s="11" t="n">
        <v>42995.9763541667</v>
      </c>
      <c r="M7132" s="12" t="s">
        <v>72</v>
      </c>
      <c r="N7132" s="12" t="s">
        <v>5148</v>
      </c>
      <c r="O7132" s="9" t="str">
        <f aca="false">HYPERLINK("https://pbs.twimg.com/profile_images/916921890010152961/FbM8olrg_normal.jpg","View")</f>
        <v>View</v>
      </c>
      <c r="P7132" s="10"/>
    </row>
    <row r="7133" customFormat="false" ht="15.75" hidden="false" customHeight="false" outlineLevel="0" collapsed="false">
      <c r="A7133" s="6" t="n">
        <v>43031.3649305556</v>
      </c>
      <c r="B7133" s="7" t="str">
        <f aca="false">HYPERLINK("https://twitter.com/gvnair91","@gvnair91")</f>
        <v>@gvnair91</v>
      </c>
      <c r="C7133" s="8" t="s">
        <v>4284</v>
      </c>
      <c r="D7133" s="8" t="s">
        <v>8538</v>
      </c>
      <c r="E7133" s="9" t="str">
        <f aca="false">HYPERLINK("https://twitter.com/gvnair91/status/922489162510475264","922489162510475264")</f>
        <v>922489162510475264</v>
      </c>
      <c r="F7133" s="10" t="s">
        <v>25</v>
      </c>
      <c r="G7133" s="10" t="n">
        <v>403</v>
      </c>
      <c r="H7133" s="10" t="n">
        <v>536</v>
      </c>
      <c r="I7133" s="10" t="n">
        <v>1015</v>
      </c>
      <c r="J7133" s="10" t="n">
        <v>0</v>
      </c>
      <c r="K7133" s="10" t="s">
        <v>20</v>
      </c>
      <c r="L7133" s="11" t="n">
        <v>41527.3874074074</v>
      </c>
      <c r="M7133" s="12" t="s">
        <v>4286</v>
      </c>
      <c r="N7133" s="12" t="s">
        <v>4287</v>
      </c>
      <c r="O7133" s="9" t="str">
        <f aca="false">HYPERLINK("https://pbs.twimg.com/profile_images/571337680002240512/RApXYlga_normal.jpeg","View")</f>
        <v>View</v>
      </c>
      <c r="P7133" s="10"/>
    </row>
    <row r="7134" customFormat="false" ht="15.75" hidden="false" customHeight="false" outlineLevel="0" collapsed="false">
      <c r="A7134" s="6" t="n">
        <v>43031.3649884259</v>
      </c>
      <c r="B7134" s="7" t="str">
        <f aca="false">HYPERLINK("https://twitter.com/MDPsoru","@MDPsoru")</f>
        <v>@MDPsoru</v>
      </c>
      <c r="C7134" s="8" t="s">
        <v>16089</v>
      </c>
      <c r="D7134" s="8" t="s">
        <v>16090</v>
      </c>
      <c r="E7134" s="9" t="str">
        <f aca="false">HYPERLINK("https://twitter.com/MDPsoru/status/922489185453461504","922489185453461504")</f>
        <v>922489185453461504</v>
      </c>
      <c r="F7134" s="10" t="s">
        <v>60</v>
      </c>
      <c r="G7134" s="10" t="n">
        <v>50282</v>
      </c>
      <c r="H7134" s="10" t="n">
        <v>1787</v>
      </c>
      <c r="I7134" s="10" t="n">
        <v>0</v>
      </c>
      <c r="J7134" s="10" t="n">
        <v>0</v>
      </c>
      <c r="K7134" s="10" t="s">
        <v>20</v>
      </c>
      <c r="L7134" s="11" t="n">
        <v>40448.3221759259</v>
      </c>
      <c r="M7134" s="12" t="s">
        <v>16091</v>
      </c>
      <c r="N7134" s="12" t="s">
        <v>16092</v>
      </c>
      <c r="O7134" s="9" t="str">
        <f aca="false">HYPERLINK("https://pbs.twimg.com/profile_images/856047993006444544/1OiIY5r9_normal.jpg","View")</f>
        <v>View</v>
      </c>
      <c r="P7134" s="10"/>
    </row>
    <row r="7135" customFormat="false" ht="15.75" hidden="false" customHeight="false" outlineLevel="0" collapsed="false">
      <c r="A7135" s="6" t="n">
        <v>43031.3655092593</v>
      </c>
      <c r="B7135" s="7" t="str">
        <f aca="false">HYPERLINK("https://twitter.com/Piyushs7","@Piyushs7")</f>
        <v>@Piyushs7</v>
      </c>
      <c r="C7135" s="8" t="s">
        <v>16093</v>
      </c>
      <c r="D7135" s="8" t="s">
        <v>15327</v>
      </c>
      <c r="E7135" s="9" t="str">
        <f aca="false">HYPERLINK("https://twitter.com/Piyushs7/status/922489373777526785","922489373777526785")</f>
        <v>922489373777526785</v>
      </c>
      <c r="F7135" s="10" t="s">
        <v>51</v>
      </c>
      <c r="G7135" s="10" t="n">
        <v>224</v>
      </c>
      <c r="H7135" s="10" t="n">
        <v>1021</v>
      </c>
      <c r="I7135" s="10" t="n">
        <v>4</v>
      </c>
      <c r="J7135" s="10" t="n">
        <v>0</v>
      </c>
      <c r="K7135" s="10" t="s">
        <v>20</v>
      </c>
      <c r="L7135" s="11" t="n">
        <v>41184.7520949074</v>
      </c>
      <c r="M7135" s="12" t="s">
        <v>72</v>
      </c>
      <c r="N7135" s="12" t="s">
        <v>16094</v>
      </c>
      <c r="O7135" s="9" t="str">
        <f aca="false">HYPERLINK("https://pbs.twimg.com/profile_images/613449310479319040/ut0_d8lj_normal.jpg","View")</f>
        <v>View</v>
      </c>
      <c r="P7135" s="10"/>
    </row>
    <row r="7136" customFormat="false" ht="15.75" hidden="false" customHeight="false" outlineLevel="0" collapsed="false">
      <c r="A7136" s="6" t="n">
        <v>43031.3667939815</v>
      </c>
      <c r="B7136" s="7" t="str">
        <f aca="false">HYPERLINK("https://twitter.com/BloombergTV","@BloombergTV")</f>
        <v>@BloombergTV</v>
      </c>
      <c r="C7136" s="8" t="s">
        <v>317</v>
      </c>
      <c r="D7136" s="8" t="s">
        <v>14886</v>
      </c>
      <c r="E7136" s="9" t="str">
        <f aca="false">HYPERLINK("https://twitter.com/BloombergTV/status/922489839185997824","922489839185997824")</f>
        <v>922489839185997824</v>
      </c>
      <c r="F7136" s="10" t="s">
        <v>268</v>
      </c>
      <c r="G7136" s="10" t="n">
        <v>452918</v>
      </c>
      <c r="H7136" s="10" t="n">
        <v>458</v>
      </c>
      <c r="I7136" s="10" t="n">
        <v>2</v>
      </c>
      <c r="J7136" s="10" t="n">
        <v>2</v>
      </c>
      <c r="K7136" s="10" t="s">
        <v>20</v>
      </c>
      <c r="L7136" s="11" t="n">
        <v>39927.4899768519</v>
      </c>
      <c r="M7136" s="12" t="s">
        <v>319</v>
      </c>
      <c r="N7136" s="12" t="s">
        <v>320</v>
      </c>
      <c r="O7136" s="9" t="str">
        <f aca="false">HYPERLINK("https://pbs.twimg.com/profile_images/714801760632770560/7My2hMBt_normal.jpg","View")</f>
        <v>View</v>
      </c>
      <c r="P7136" s="10"/>
    </row>
    <row r="7137" customFormat="false" ht="15.75" hidden="false" customHeight="false" outlineLevel="0" collapsed="false">
      <c r="A7137" s="6" t="n">
        <v>43031.3681944444</v>
      </c>
      <c r="B7137" s="7" t="str">
        <f aca="false">HYPERLINK("https://twitter.com/DrJoybanerji","@DrJoybanerji")</f>
        <v>@DrJoybanerji</v>
      </c>
      <c r="C7137" s="8" t="s">
        <v>16095</v>
      </c>
      <c r="D7137" s="8" t="s">
        <v>8538</v>
      </c>
      <c r="E7137" s="9" t="str">
        <f aca="false">HYPERLINK("https://twitter.com/DrJoybanerji/status/922490349129363456","922490349129363456")</f>
        <v>922490349129363456</v>
      </c>
      <c r="F7137" s="10" t="s">
        <v>25</v>
      </c>
      <c r="G7137" s="10" t="n">
        <v>108</v>
      </c>
      <c r="H7137" s="10" t="n">
        <v>64</v>
      </c>
      <c r="I7137" s="10" t="n">
        <v>1015</v>
      </c>
      <c r="J7137" s="10" t="n">
        <v>0</v>
      </c>
      <c r="K7137" s="10" t="s">
        <v>20</v>
      </c>
      <c r="L7137" s="11" t="n">
        <v>42229.3235532407</v>
      </c>
      <c r="M7137" s="12" t="s">
        <v>16096</v>
      </c>
      <c r="N7137" s="12" t="s">
        <v>16097</v>
      </c>
      <c r="O7137" s="9" t="str">
        <f aca="false">HYPERLINK("https://pbs.twimg.com/profile_images/855868091934195712/ypY46paS_normal.jpg","View")</f>
        <v>View</v>
      </c>
      <c r="P7137" s="10"/>
    </row>
    <row r="7138" customFormat="false" ht="15.75" hidden="false" customHeight="false" outlineLevel="0" collapsed="false">
      <c r="A7138" s="6" t="n">
        <v>43031.3683564815</v>
      </c>
      <c r="B7138" s="7" t="str">
        <f aca="false">HYPERLINK("https://twitter.com/mercadoRheiEd","@mercadoRheiEd")</f>
        <v>@mercadoRheiEd</v>
      </c>
      <c r="C7138" s="8" t="s">
        <v>16098</v>
      </c>
      <c r="D7138" s="8" t="s">
        <v>16008</v>
      </c>
      <c r="E7138" s="9" t="str">
        <f aca="false">HYPERLINK("https://twitter.com/mercadoRheiEd/status/922490405744029696","922490405744029696")</f>
        <v>922490405744029696</v>
      </c>
      <c r="F7138" s="10" t="s">
        <v>51</v>
      </c>
      <c r="G7138" s="10" t="n">
        <v>225</v>
      </c>
      <c r="H7138" s="10" t="n">
        <v>609</v>
      </c>
      <c r="I7138" s="10" t="n">
        <v>32</v>
      </c>
      <c r="J7138" s="10" t="n">
        <v>0</v>
      </c>
      <c r="K7138" s="10" t="s">
        <v>20</v>
      </c>
      <c r="L7138" s="11" t="n">
        <v>41866.6877893519</v>
      </c>
      <c r="M7138" s="12" t="s">
        <v>295</v>
      </c>
      <c r="N7138" s="12" t="s">
        <v>16099</v>
      </c>
      <c r="O7138" s="9" t="str">
        <f aca="false">HYPERLINK("https://pbs.twimg.com/profile_images/602894756637638656/6HsF7MsH_normal.jpg","View")</f>
        <v>View</v>
      </c>
      <c r="P7138" s="10"/>
    </row>
    <row r="7139" customFormat="false" ht="15.75" hidden="false" customHeight="false" outlineLevel="0" collapsed="false">
      <c r="A7139" s="6" t="n">
        <v>43031.3693518519</v>
      </c>
      <c r="B7139" s="7" t="str">
        <f aca="false">HYPERLINK("https://twitter.com/CarolNDrake1","@CarolNDrake1")</f>
        <v>@CarolNDrake1</v>
      </c>
      <c r="C7139" s="8" t="s">
        <v>8592</v>
      </c>
      <c r="D7139" s="8" t="s">
        <v>14725</v>
      </c>
      <c r="E7139" s="9" t="str">
        <f aca="false">HYPERLINK("https://twitter.com/CarolNDrake1/status/922490767838531586","922490767838531586")</f>
        <v>922490767838531586</v>
      </c>
      <c r="F7139" s="10" t="s">
        <v>51</v>
      </c>
      <c r="G7139" s="10" t="n">
        <v>42</v>
      </c>
      <c r="H7139" s="10" t="n">
        <v>84</v>
      </c>
      <c r="I7139" s="10" t="n">
        <v>4</v>
      </c>
      <c r="J7139" s="10" t="n">
        <v>0</v>
      </c>
      <c r="K7139" s="10" t="s">
        <v>20</v>
      </c>
      <c r="L7139" s="11" t="n">
        <v>42738.6025810185</v>
      </c>
      <c r="M7139" s="12" t="s">
        <v>8594</v>
      </c>
      <c r="N7139" s="12"/>
      <c r="O7139" s="9" t="str">
        <f aca="false">HYPERLINK("https://abs.twimg.com/sticky/default_profile_images/default_profile_normal.png","View")</f>
        <v>View</v>
      </c>
      <c r="P7139" s="10"/>
    </row>
    <row r="7140" customFormat="false" ht="15.75" hidden="false" customHeight="false" outlineLevel="0" collapsed="false">
      <c r="A7140" s="6" t="n">
        <v>43031.3701736111</v>
      </c>
      <c r="B7140" s="7" t="str">
        <f aca="false">HYPERLINK("https://twitter.com/BurqaButt","@BurqaButt")</f>
        <v>@BurqaButt</v>
      </c>
      <c r="C7140" s="8" t="s">
        <v>16100</v>
      </c>
      <c r="D7140" s="8" t="s">
        <v>8538</v>
      </c>
      <c r="E7140" s="9" t="str">
        <f aca="false">HYPERLINK("https://twitter.com/BurqaButt/status/922491062840471552","922491062840471552")</f>
        <v>922491062840471552</v>
      </c>
      <c r="F7140" s="10" t="s">
        <v>25</v>
      </c>
      <c r="G7140" s="10" t="n">
        <v>96</v>
      </c>
      <c r="H7140" s="10" t="n">
        <v>341</v>
      </c>
      <c r="I7140" s="10" t="n">
        <v>1015</v>
      </c>
      <c r="J7140" s="10" t="n">
        <v>0</v>
      </c>
      <c r="K7140" s="10" t="s">
        <v>20</v>
      </c>
      <c r="L7140" s="11" t="n">
        <v>42085.1701851852</v>
      </c>
      <c r="M7140" s="12"/>
      <c r="N7140" s="12" t="s">
        <v>16101</v>
      </c>
      <c r="O7140" s="9" t="str">
        <f aca="false">HYPERLINK("https://pbs.twimg.com/profile_images/579600526607712256/wWCA5A5t_normal.png","View")</f>
        <v>View</v>
      </c>
      <c r="P7140" s="10"/>
    </row>
    <row r="7141" customFormat="false" ht="15.75" hidden="false" customHeight="false" outlineLevel="0" collapsed="false">
      <c r="A7141" s="6" t="n">
        <v>43031.3707407407</v>
      </c>
      <c r="B7141" s="7" t="str">
        <f aca="false">HYPERLINK("https://twitter.com/pipsnticks","@pipsnticks")</f>
        <v>@pipsnticks</v>
      </c>
      <c r="C7141" s="8" t="s">
        <v>16102</v>
      </c>
      <c r="D7141" s="8" t="s">
        <v>14906</v>
      </c>
      <c r="E7141" s="9" t="str">
        <f aca="false">HYPERLINK("https://twitter.com/pipsnticks/status/922491268516605952","922491268516605952")</f>
        <v>922491268516605952</v>
      </c>
      <c r="F7141" s="10" t="s">
        <v>177</v>
      </c>
      <c r="G7141" s="10" t="n">
        <v>626</v>
      </c>
      <c r="H7141" s="10" t="n">
        <v>1225</v>
      </c>
      <c r="I7141" s="10" t="n">
        <v>2</v>
      </c>
      <c r="J7141" s="10" t="n">
        <v>0</v>
      </c>
      <c r="K7141" s="10" t="s">
        <v>20</v>
      </c>
      <c r="L7141" s="11" t="n">
        <v>41962.3580439815</v>
      </c>
      <c r="M7141" s="12"/>
      <c r="N7141" s="12" t="s">
        <v>16103</v>
      </c>
      <c r="O7141" s="9" t="str">
        <f aca="false">HYPERLINK("https://pbs.twimg.com/profile_images/535110024834461696/2gxMoFFq_normal.jpeg","View")</f>
        <v>View</v>
      </c>
      <c r="P7141" s="10"/>
    </row>
    <row r="7142" customFormat="false" ht="15.75" hidden="false" customHeight="false" outlineLevel="0" collapsed="false">
      <c r="A7142" s="6" t="n">
        <v>43031.3713078704</v>
      </c>
      <c r="B7142" s="7" t="str">
        <f aca="false">HYPERLINK("https://twitter.com/CoffeePenCamera","@CoffeePenCamera")</f>
        <v>@CoffeePenCamera</v>
      </c>
      <c r="C7142" s="8" t="s">
        <v>16104</v>
      </c>
      <c r="D7142" s="8" t="s">
        <v>8538</v>
      </c>
      <c r="E7142" s="9" t="str">
        <f aca="false">HYPERLINK("https://twitter.com/CoffeePenCamera/status/922491474180050945","922491474180050945")</f>
        <v>922491474180050945</v>
      </c>
      <c r="F7142" s="10" t="s">
        <v>39</v>
      </c>
      <c r="G7142" s="10" t="n">
        <v>923</v>
      </c>
      <c r="H7142" s="10" t="n">
        <v>502</v>
      </c>
      <c r="I7142" s="10" t="n">
        <v>1015</v>
      </c>
      <c r="J7142" s="10" t="n">
        <v>0</v>
      </c>
      <c r="K7142" s="10" t="s">
        <v>20</v>
      </c>
      <c r="L7142" s="11" t="n">
        <v>39819.7181828704</v>
      </c>
      <c r="M7142" s="12" t="s">
        <v>16105</v>
      </c>
      <c r="N7142" s="12" t="s">
        <v>16106</v>
      </c>
      <c r="O7142" s="9" t="str">
        <f aca="false">HYPERLINK("https://pbs.twimg.com/profile_images/827011755318538242/5KuyK_C3_normal.jpg","View")</f>
        <v>View</v>
      </c>
      <c r="P7142" s="10"/>
    </row>
    <row r="7143" customFormat="false" ht="15.75" hidden="false" customHeight="false" outlineLevel="0" collapsed="false">
      <c r="A7143" s="6" t="n">
        <v>43031.3716782407</v>
      </c>
      <c r="B7143" s="7" t="str">
        <f aca="false">HYPERLINK("https://twitter.com/bdnews24","@bdnews24")</f>
        <v>@bdnews24</v>
      </c>
      <c r="C7143" s="8" t="s">
        <v>216</v>
      </c>
      <c r="D7143" s="8" t="s">
        <v>16107</v>
      </c>
      <c r="E7143" s="9" t="str">
        <f aca="false">HYPERLINK("https://twitter.com/bdnews24/status/922491610251911168","922491610251911168")</f>
        <v>922491610251911168</v>
      </c>
      <c r="F7143" s="10" t="s">
        <v>60</v>
      </c>
      <c r="G7143" s="10" t="n">
        <v>215604</v>
      </c>
      <c r="H7143" s="10" t="n">
        <v>67887</v>
      </c>
      <c r="I7143" s="10" t="n">
        <v>0</v>
      </c>
      <c r="J7143" s="10" t="n">
        <v>0</v>
      </c>
      <c r="K7143" s="10" t="s">
        <v>20</v>
      </c>
      <c r="L7143" s="11" t="n">
        <v>39844.4680439815</v>
      </c>
      <c r="M7143" s="12" t="s">
        <v>218</v>
      </c>
      <c r="N7143" s="12" t="s">
        <v>219</v>
      </c>
      <c r="O7143" s="9" t="str">
        <f aca="false">HYPERLINK("https://pbs.twimg.com/profile_images/718433521509994497/4iW9RC_r_normal.jpg","View")</f>
        <v>View</v>
      </c>
      <c r="P7143" s="10"/>
    </row>
    <row r="7144" customFormat="false" ht="15.75" hidden="false" customHeight="false" outlineLevel="0" collapsed="false">
      <c r="A7144" s="6" t="n">
        <v>43031.3736921296</v>
      </c>
      <c r="B7144" s="7" t="str">
        <f aca="false">HYPERLINK("https://twitter.com/sinclairda","@sinclairda")</f>
        <v>@sinclairda</v>
      </c>
      <c r="C7144" s="8" t="s">
        <v>16108</v>
      </c>
      <c r="D7144" s="8" t="s">
        <v>16109</v>
      </c>
      <c r="E7144" s="9" t="str">
        <f aca="false">HYPERLINK("https://twitter.com/sinclairda/status/922492338924027904","922492338924027904")</f>
        <v>922492338924027904</v>
      </c>
      <c r="F7144" s="10" t="s">
        <v>276</v>
      </c>
      <c r="G7144" s="10" t="n">
        <v>1415</v>
      </c>
      <c r="H7144" s="10" t="n">
        <v>2591</v>
      </c>
      <c r="I7144" s="10" t="n">
        <v>0</v>
      </c>
      <c r="J7144" s="10" t="n">
        <v>0</v>
      </c>
      <c r="K7144" s="10" t="s">
        <v>20</v>
      </c>
      <c r="L7144" s="11" t="n">
        <v>39804.5415046296</v>
      </c>
      <c r="M7144" s="12" t="s">
        <v>16110</v>
      </c>
      <c r="N7144" s="12" t="s">
        <v>16111</v>
      </c>
      <c r="O7144" s="9" t="str">
        <f aca="false">HYPERLINK("https://pbs.twimg.com/profile_images/507059663443992576/XNFshlSm_normal.jpeg","View")</f>
        <v>View</v>
      </c>
      <c r="P7144" s="10"/>
    </row>
    <row r="7145" customFormat="false" ht="15.75" hidden="false" customHeight="false" outlineLevel="0" collapsed="false">
      <c r="A7145" s="6" t="n">
        <v>43031.3736921296</v>
      </c>
      <c r="B7145" s="7" t="str">
        <f aca="false">HYPERLINK("https://twitter.com/ILCUK","@ILCUK")</f>
        <v>@ILCUK</v>
      </c>
      <c r="C7145" s="8" t="s">
        <v>16112</v>
      </c>
      <c r="D7145" s="8" t="s">
        <v>16113</v>
      </c>
      <c r="E7145" s="9" t="str">
        <f aca="false">HYPERLINK("https://twitter.com/ILCUK/status/922492339020615681","922492339020615681")</f>
        <v>922492339020615681</v>
      </c>
      <c r="F7145" s="10" t="s">
        <v>276</v>
      </c>
      <c r="G7145" s="10" t="n">
        <v>6513</v>
      </c>
      <c r="H7145" s="10" t="n">
        <v>1323</v>
      </c>
      <c r="I7145" s="10" t="n">
        <v>1</v>
      </c>
      <c r="J7145" s="10" t="n">
        <v>1</v>
      </c>
      <c r="K7145" s="10" t="s">
        <v>20</v>
      </c>
      <c r="L7145" s="11" t="n">
        <v>39966.5307638889</v>
      </c>
      <c r="M7145" s="12" t="s">
        <v>893</v>
      </c>
      <c r="N7145" s="12" t="s">
        <v>16114</v>
      </c>
      <c r="O7145" s="9" t="str">
        <f aca="false">HYPERLINK("https://pbs.twimg.com/profile_images/349164391/final_ILC_logo_JPEG_file_5_normal.JPG","View")</f>
        <v>View</v>
      </c>
      <c r="P7145" s="10"/>
    </row>
    <row r="7146" customFormat="false" ht="15.75" hidden="false" customHeight="false" outlineLevel="0" collapsed="false">
      <c r="A7146" s="6" t="n">
        <v>43031.3748263889</v>
      </c>
      <c r="B7146" s="7" t="str">
        <f aca="false">HYPERLINK("https://twitter.com/tdalmoe","@tdalmoe")</f>
        <v>@tdalmoe</v>
      </c>
      <c r="C7146" s="8" t="s">
        <v>16115</v>
      </c>
      <c r="D7146" s="8" t="s">
        <v>16116</v>
      </c>
      <c r="E7146" s="9" t="str">
        <f aca="false">HYPERLINK("https://twitter.com/tdalmoe/status/922492750142033921","922492750142033921")</f>
        <v>922492750142033921</v>
      </c>
      <c r="F7146" s="10" t="s">
        <v>39</v>
      </c>
      <c r="G7146" s="10" t="n">
        <v>1834</v>
      </c>
      <c r="H7146" s="10" t="n">
        <v>1807</v>
      </c>
      <c r="I7146" s="10" t="n">
        <v>0</v>
      </c>
      <c r="J7146" s="10" t="n">
        <v>0</v>
      </c>
      <c r="K7146" s="10" t="s">
        <v>20</v>
      </c>
      <c r="L7146" s="11" t="n">
        <v>39881.523287037</v>
      </c>
      <c r="M7146" s="12" t="s">
        <v>16117</v>
      </c>
      <c r="N7146" s="12" t="s">
        <v>16118</v>
      </c>
      <c r="O7146" s="9" t="str">
        <f aca="false">HYPERLINK("https://pbs.twimg.com/profile_images/910516007390900225/APkEg9rd_normal.jpg","View")</f>
        <v>View</v>
      </c>
      <c r="P7146" s="10"/>
    </row>
    <row r="7147" customFormat="false" ht="15.75" hidden="false" customHeight="false" outlineLevel="0" collapsed="false">
      <c r="A7147" s="6" t="n">
        <v>43031.3758564815</v>
      </c>
      <c r="B7147" s="7" t="str">
        <f aca="false">HYPERLINK("https://twitter.com/johangreg","@johangreg")</f>
        <v>@johangreg</v>
      </c>
      <c r="C7147" s="8" t="s">
        <v>16119</v>
      </c>
      <c r="D7147" s="8" t="s">
        <v>15821</v>
      </c>
      <c r="E7147" s="9" t="str">
        <f aca="false">HYPERLINK("https://twitter.com/johangreg/status/922493122440970242","922493122440970242")</f>
        <v>922493122440970242</v>
      </c>
      <c r="F7147" s="10" t="s">
        <v>51</v>
      </c>
      <c r="G7147" s="10" t="n">
        <v>2085</v>
      </c>
      <c r="H7147" s="10" t="n">
        <v>807</v>
      </c>
      <c r="I7147" s="10" t="n">
        <v>41</v>
      </c>
      <c r="J7147" s="10" t="n">
        <v>0</v>
      </c>
      <c r="K7147" s="10" t="s">
        <v>20</v>
      </c>
      <c r="L7147" s="11" t="n">
        <v>39704.3780671296</v>
      </c>
      <c r="M7147" s="12" t="s">
        <v>16120</v>
      </c>
      <c r="N7147" s="12" t="s">
        <v>16121</v>
      </c>
      <c r="O7147" s="9" t="str">
        <f aca="false">HYPERLINK("https://pbs.twimg.com/profile_images/894369129217445888/EjyEiKAz_normal.jpg","View")</f>
        <v>View</v>
      </c>
      <c r="P7147" s="10"/>
    </row>
    <row r="7148" customFormat="false" ht="15.75" hidden="false" customHeight="false" outlineLevel="0" collapsed="false">
      <c r="A7148" s="6" t="n">
        <v>43031.376099537</v>
      </c>
      <c r="B7148" s="7" t="str">
        <f aca="false">HYPERLINK("https://twitter.com/AllianzGI_Media","@AllianzGI_Media")</f>
        <v>@AllianzGI_Media</v>
      </c>
      <c r="C7148" s="8" t="s">
        <v>16122</v>
      </c>
      <c r="D7148" s="8" t="s">
        <v>16123</v>
      </c>
      <c r="E7148" s="9" t="str">
        <f aca="false">HYPERLINK("https://twitter.com/AllianzGI_Media/status/922493213998542853","922493213998542853")</f>
        <v>922493213998542853</v>
      </c>
      <c r="F7148" s="10" t="s">
        <v>110</v>
      </c>
      <c r="G7148" s="10" t="n">
        <v>2762</v>
      </c>
      <c r="H7148" s="10" t="n">
        <v>2458</v>
      </c>
      <c r="I7148" s="10" t="n">
        <v>1</v>
      </c>
      <c r="J7148" s="10" t="n">
        <v>1</v>
      </c>
      <c r="K7148" s="10" t="s">
        <v>20</v>
      </c>
      <c r="L7148" s="11" t="n">
        <v>40897.4129282407</v>
      </c>
      <c r="M7148" s="12"/>
      <c r="N7148" s="12" t="s">
        <v>16124</v>
      </c>
      <c r="O7148" s="9" t="str">
        <f aca="false">HYPERLINK("https://pbs.twimg.com/profile_images/901099583132094464/JRkrIiV1_normal.jpg","View")</f>
        <v>View</v>
      </c>
      <c r="P7148" s="10"/>
    </row>
    <row r="7149" customFormat="false" ht="15.75" hidden="false" customHeight="false" outlineLevel="0" collapsed="false">
      <c r="A7149" s="6" t="n">
        <v>43031.3764814815</v>
      </c>
      <c r="B7149" s="7" t="str">
        <f aca="false">HYPERLINK("https://twitter.com/Milatrud11","@Milatrud11")</f>
        <v>@Milatrud11</v>
      </c>
      <c r="C7149" s="8" t="s">
        <v>16125</v>
      </c>
      <c r="D7149" s="8" t="s">
        <v>12764</v>
      </c>
      <c r="E7149" s="9" t="str">
        <f aca="false">HYPERLINK("https://twitter.com/Milatrud11/status/922493349495492608","922493349495492608")</f>
        <v>922493349495492608</v>
      </c>
      <c r="F7149" s="10" t="s">
        <v>39</v>
      </c>
      <c r="G7149" s="10" t="n">
        <v>2445</v>
      </c>
      <c r="H7149" s="10" t="n">
        <v>2998</v>
      </c>
      <c r="I7149" s="10" t="n">
        <v>170</v>
      </c>
      <c r="J7149" s="10" t="n">
        <v>0</v>
      </c>
      <c r="K7149" s="10" t="s">
        <v>20</v>
      </c>
      <c r="L7149" s="11" t="n">
        <v>41336.0736342593</v>
      </c>
      <c r="M7149" s="12"/>
      <c r="N7149" s="12" t="s">
        <v>16126</v>
      </c>
      <c r="O7149" s="9" t="str">
        <f aca="false">HYPERLINK("https://abs.twimg.com/sticky/default_profile_images/default_profile_normal.png","View")</f>
        <v>View</v>
      </c>
      <c r="P7149" s="10"/>
    </row>
    <row r="7150" customFormat="false" ht="15.75" hidden="false" customHeight="false" outlineLevel="0" collapsed="false">
      <c r="A7150" s="6" t="n">
        <v>43031.3769675926</v>
      </c>
      <c r="B7150" s="7" t="str">
        <f aca="false">HYPERLINK("https://twitter.com/Milatrud11","@Milatrud11")</f>
        <v>@Milatrud11</v>
      </c>
      <c r="C7150" s="8" t="s">
        <v>16125</v>
      </c>
      <c r="D7150" s="8" t="s">
        <v>16008</v>
      </c>
      <c r="E7150" s="9" t="str">
        <f aca="false">HYPERLINK("https://twitter.com/Milatrud11/status/922493525249413122","922493525249413122")</f>
        <v>922493525249413122</v>
      </c>
      <c r="F7150" s="10" t="s">
        <v>39</v>
      </c>
      <c r="G7150" s="10" t="n">
        <v>2445</v>
      </c>
      <c r="H7150" s="10" t="n">
        <v>2998</v>
      </c>
      <c r="I7150" s="10" t="n">
        <v>32</v>
      </c>
      <c r="J7150" s="10" t="n">
        <v>0</v>
      </c>
      <c r="K7150" s="10" t="s">
        <v>20</v>
      </c>
      <c r="L7150" s="11" t="n">
        <v>41336.0736342593</v>
      </c>
      <c r="M7150" s="12"/>
      <c r="N7150" s="12" t="s">
        <v>16126</v>
      </c>
      <c r="O7150" s="9" t="str">
        <f aca="false">HYPERLINK("https://abs.twimg.com/sticky/default_profile_images/default_profile_normal.png","View")</f>
        <v>View</v>
      </c>
      <c r="P7150" s="10"/>
    </row>
    <row r="7151" customFormat="false" ht="15.75" hidden="false" customHeight="false" outlineLevel="0" collapsed="false">
      <c r="A7151" s="6" t="n">
        <v>43031.3775694444</v>
      </c>
      <c r="B7151" s="7" t="str">
        <f aca="false">HYPERLINK("https://twitter.com/NSK_Kochhar","@NSK_Kochhar")</f>
        <v>@NSK_Kochhar</v>
      </c>
      <c r="C7151" s="8" t="s">
        <v>16127</v>
      </c>
      <c r="D7151" s="8" t="s">
        <v>8538</v>
      </c>
      <c r="E7151" s="9" t="str">
        <f aca="false">HYPERLINK("https://twitter.com/NSK_Kochhar/status/922493744363868160","922493744363868160")</f>
        <v>922493744363868160</v>
      </c>
      <c r="F7151" s="10" t="s">
        <v>25</v>
      </c>
      <c r="G7151" s="10" t="n">
        <v>269</v>
      </c>
      <c r="H7151" s="10" t="n">
        <v>276</v>
      </c>
      <c r="I7151" s="10" t="n">
        <v>1015</v>
      </c>
      <c r="J7151" s="10" t="n">
        <v>0</v>
      </c>
      <c r="K7151" s="10" t="s">
        <v>20</v>
      </c>
      <c r="L7151" s="11" t="n">
        <v>41236.1803125</v>
      </c>
      <c r="M7151" s="12" t="s">
        <v>64</v>
      </c>
      <c r="N7151" s="12" t="s">
        <v>16128</v>
      </c>
      <c r="O7151" s="9" t="str">
        <f aca="false">HYPERLINK("https://pbs.twimg.com/profile_images/469794091924873217/S-mETxY7_normal.jpeg","View")</f>
        <v>View</v>
      </c>
      <c r="P7151" s="10"/>
    </row>
    <row r="7152" customFormat="false" ht="15.75" hidden="false" customHeight="false" outlineLevel="0" collapsed="false">
      <c r="A7152" s="6" t="n">
        <v>43031.3776851852</v>
      </c>
      <c r="B7152" s="7" t="str">
        <f aca="false">HYPERLINK("https://twitter.com/BGanduri","@BGanduri")</f>
        <v>@BGanduri</v>
      </c>
      <c r="C7152" s="8" t="s">
        <v>9119</v>
      </c>
      <c r="D7152" s="8" t="s">
        <v>8538</v>
      </c>
      <c r="E7152" s="9" t="str">
        <f aca="false">HYPERLINK("https://twitter.com/BGanduri/status/922493787372269568","922493787372269568")</f>
        <v>922493787372269568</v>
      </c>
      <c r="F7152" s="10" t="s">
        <v>51</v>
      </c>
      <c r="G7152" s="10" t="n">
        <v>170</v>
      </c>
      <c r="H7152" s="10" t="n">
        <v>183</v>
      </c>
      <c r="I7152" s="10" t="n">
        <v>1015</v>
      </c>
      <c r="J7152" s="10" t="n">
        <v>0</v>
      </c>
      <c r="K7152" s="10" t="s">
        <v>20</v>
      </c>
      <c r="L7152" s="11" t="n">
        <v>40107.217349537</v>
      </c>
      <c r="M7152" s="12" t="s">
        <v>6635</v>
      </c>
      <c r="N7152" s="12" t="s">
        <v>9120</v>
      </c>
      <c r="O7152" s="9" t="str">
        <f aca="false">HYPERLINK("https://pbs.twimg.com/profile_images/891606282720772097/sa2rI8-H_normal.jpg","View")</f>
        <v>View</v>
      </c>
      <c r="P7152" s="10"/>
    </row>
    <row r="7153" customFormat="false" ht="15.75" hidden="false" customHeight="false" outlineLevel="0" collapsed="false">
      <c r="A7153" s="6" t="n">
        <v>43031.3778587963</v>
      </c>
      <c r="B7153" s="7" t="str">
        <f aca="false">HYPERLINK("https://twitter.com/ByrdSpeaks","@ByrdSpeaks")</f>
        <v>@ByrdSpeaks</v>
      </c>
      <c r="C7153" s="8" t="s">
        <v>16129</v>
      </c>
      <c r="D7153" s="8" t="s">
        <v>14725</v>
      </c>
      <c r="E7153" s="9" t="str">
        <f aca="false">HYPERLINK("https://twitter.com/ByrdSpeaks/status/922493849074913280","922493849074913280")</f>
        <v>922493849074913280</v>
      </c>
      <c r="F7153" s="10" t="s">
        <v>51</v>
      </c>
      <c r="G7153" s="10" t="n">
        <v>771</v>
      </c>
      <c r="H7153" s="10" t="n">
        <v>487</v>
      </c>
      <c r="I7153" s="10" t="n">
        <v>4</v>
      </c>
      <c r="J7153" s="10" t="n">
        <v>0</v>
      </c>
      <c r="K7153" s="10" t="s">
        <v>20</v>
      </c>
      <c r="L7153" s="11" t="n">
        <v>40702.3042013889</v>
      </c>
      <c r="M7153" s="12" t="s">
        <v>16130</v>
      </c>
      <c r="N7153" s="12" t="s">
        <v>16131</v>
      </c>
      <c r="O7153" s="9" t="str">
        <f aca="false">HYPERLINK("https://pbs.twimg.com/profile_images/2974970539/ba04eda636fe0984be4aca15cdb726fe_normal.jpeg","View")</f>
        <v>View</v>
      </c>
      <c r="P7153" s="10"/>
    </row>
    <row r="7154" customFormat="false" ht="15.75" hidden="false" customHeight="false" outlineLevel="0" collapsed="false">
      <c r="A7154" s="6" t="n">
        <v>43031.3780671296</v>
      </c>
      <c r="B7154" s="7" t="str">
        <f aca="false">HYPERLINK("https://twitter.com/AlastrF","@AlastrF")</f>
        <v>@AlastrF</v>
      </c>
      <c r="C7154" s="8" t="s">
        <v>16132</v>
      </c>
      <c r="D7154" s="8" t="s">
        <v>16133</v>
      </c>
      <c r="E7154" s="9" t="str">
        <f aca="false">HYPERLINK("https://twitter.com/AlastrF/status/922493925474136064","922493925474136064")</f>
        <v>922493925474136064</v>
      </c>
      <c r="F7154" s="10" t="s">
        <v>51</v>
      </c>
      <c r="G7154" s="10" t="n">
        <v>286</v>
      </c>
      <c r="H7154" s="10" t="n">
        <v>377</v>
      </c>
      <c r="I7154" s="10" t="n">
        <v>1</v>
      </c>
      <c r="J7154" s="10" t="n">
        <v>0</v>
      </c>
      <c r="K7154" s="10" t="s">
        <v>20</v>
      </c>
      <c r="L7154" s="11" t="n">
        <v>40988.2018287037</v>
      </c>
      <c r="M7154" s="12" t="s">
        <v>893</v>
      </c>
      <c r="N7154" s="12" t="s">
        <v>16134</v>
      </c>
      <c r="O7154" s="9" t="str">
        <f aca="false">HYPERLINK("https://pbs.twimg.com/profile_images/454532849597960192/a4IaLZ3Z_normal.jpeg","View")</f>
        <v>View</v>
      </c>
      <c r="P7154" s="10"/>
    </row>
    <row r="7155" customFormat="false" ht="15.75" hidden="false" customHeight="false" outlineLevel="0" collapsed="false">
      <c r="A7155" s="6" t="n">
        <v>43031.3805324074</v>
      </c>
      <c r="B7155" s="7" t="str">
        <f aca="false">HYPERLINK("https://twitter.com/RajpalAmar","@RajpalAmar")</f>
        <v>@RajpalAmar</v>
      </c>
      <c r="C7155" s="8" t="s">
        <v>16135</v>
      </c>
      <c r="D7155" s="8" t="s">
        <v>8538</v>
      </c>
      <c r="E7155" s="9" t="str">
        <f aca="false">HYPERLINK("https://twitter.com/RajpalAmar/status/922494817795424256","922494817795424256")</f>
        <v>922494817795424256</v>
      </c>
      <c r="F7155" s="10" t="s">
        <v>25</v>
      </c>
      <c r="G7155" s="10" t="n">
        <v>245</v>
      </c>
      <c r="H7155" s="10" t="n">
        <v>685</v>
      </c>
      <c r="I7155" s="10" t="n">
        <v>1015</v>
      </c>
      <c r="J7155" s="10" t="n">
        <v>0</v>
      </c>
      <c r="K7155" s="10" t="s">
        <v>20</v>
      </c>
      <c r="L7155" s="11" t="n">
        <v>41058.084837963</v>
      </c>
      <c r="M7155" s="12" t="s">
        <v>5920</v>
      </c>
      <c r="N7155" s="12" t="s">
        <v>16136</v>
      </c>
      <c r="O7155" s="9" t="str">
        <f aca="false">HYPERLINK("https://pbs.twimg.com/profile_images/902496417796694016/jJcc0_LL_normal.jpg","View")</f>
        <v>View</v>
      </c>
      <c r="P7155" s="10"/>
    </row>
    <row r="7156" customFormat="false" ht="15.75" hidden="false" customHeight="false" outlineLevel="0" collapsed="false">
      <c r="A7156" s="6" t="n">
        <v>43031.3805902778</v>
      </c>
      <c r="B7156" s="7" t="str">
        <f aca="false">HYPERLINK("https://twitter.com/SingapoRRe","@SingapoRRe")</f>
        <v>@SingapoRRe</v>
      </c>
      <c r="C7156" s="8" t="s">
        <v>186</v>
      </c>
      <c r="D7156" s="8" t="s">
        <v>16137</v>
      </c>
      <c r="E7156" s="9" t="str">
        <f aca="false">HYPERLINK("https://twitter.com/SingapoRRe/status/922494841489166336","922494841489166336")</f>
        <v>922494841489166336</v>
      </c>
      <c r="F7156" s="10" t="s">
        <v>6103</v>
      </c>
      <c r="G7156" s="10" t="n">
        <v>2428</v>
      </c>
      <c r="H7156" s="10" t="n">
        <v>1411</v>
      </c>
      <c r="I7156" s="10" t="n">
        <v>0</v>
      </c>
      <c r="J7156" s="10" t="n">
        <v>0</v>
      </c>
      <c r="K7156" s="10" t="s">
        <v>20</v>
      </c>
      <c r="L7156" s="11" t="n">
        <v>41967.9496296296</v>
      </c>
      <c r="M7156" s="12"/>
      <c r="N7156" s="12" t="s">
        <v>10313</v>
      </c>
      <c r="O7156" s="9" t="str">
        <f aca="false">HYPERLINK("https://pbs.twimg.com/profile_images/749157593252233221/ZZTQW68O_normal.jpg","View")</f>
        <v>View</v>
      </c>
      <c r="P7156" s="10"/>
    </row>
    <row r="7157" customFormat="false" ht="15.75" hidden="false" customHeight="false" outlineLevel="0" collapsed="false">
      <c r="A7157" s="6" t="n">
        <v>43031.3809375</v>
      </c>
      <c r="B7157" s="7" t="str">
        <f aca="false">HYPERLINK("https://twitter.com/Social_MediaNws","@Social_MediaNws")</f>
        <v>@Social_MediaNws</v>
      </c>
      <c r="C7157" s="8" t="s">
        <v>4387</v>
      </c>
      <c r="D7157" s="8" t="s">
        <v>16138</v>
      </c>
      <c r="E7157" s="9" t="str">
        <f aca="false">HYPERLINK("https://twitter.com/Social_MediaNws/status/922494963509755904","922494963509755904")</f>
        <v>922494963509755904</v>
      </c>
      <c r="F7157" s="10" t="s">
        <v>3042</v>
      </c>
      <c r="G7157" s="10" t="n">
        <v>2898</v>
      </c>
      <c r="H7157" s="10" t="n">
        <v>2963</v>
      </c>
      <c r="I7157" s="10" t="n">
        <v>0</v>
      </c>
      <c r="J7157" s="10" t="n">
        <v>0</v>
      </c>
      <c r="K7157" s="10" t="s">
        <v>20</v>
      </c>
      <c r="L7157" s="11" t="n">
        <v>41150.3123032407</v>
      </c>
      <c r="M7157" s="12"/>
      <c r="N7157" s="12" t="s">
        <v>16139</v>
      </c>
      <c r="O7157" s="9" t="str">
        <f aca="false">HYPERLINK("https://pbs.twimg.com/profile_images/2555906299/2t28xm5pll2gy9p25785_normal.png","View")</f>
        <v>View</v>
      </c>
      <c r="P7157" s="10"/>
    </row>
    <row r="7158" customFormat="false" ht="15.75" hidden="false" customHeight="false" outlineLevel="0" collapsed="false">
      <c r="A7158" s="6" t="n">
        <v>43031.3826273148</v>
      </c>
      <c r="B7158" s="7" t="str">
        <f aca="false">HYPERLINK("https://twitter.com/vyshaka","@vyshaka")</f>
        <v>@vyshaka</v>
      </c>
      <c r="C7158" s="8" t="s">
        <v>16140</v>
      </c>
      <c r="D7158" s="8" t="s">
        <v>8538</v>
      </c>
      <c r="E7158" s="9" t="str">
        <f aca="false">HYPERLINK("https://twitter.com/vyshaka/status/922495578461708288","922495578461708288")</f>
        <v>922495578461708288</v>
      </c>
      <c r="F7158" s="10" t="s">
        <v>51</v>
      </c>
      <c r="G7158" s="10" t="n">
        <v>223</v>
      </c>
      <c r="H7158" s="10" t="n">
        <v>788</v>
      </c>
      <c r="I7158" s="10" t="n">
        <v>1015</v>
      </c>
      <c r="J7158" s="10" t="n">
        <v>0</v>
      </c>
      <c r="K7158" s="10" t="s">
        <v>20</v>
      </c>
      <c r="L7158" s="11" t="n">
        <v>40575.2845138889</v>
      </c>
      <c r="M7158" s="12" t="s">
        <v>6635</v>
      </c>
      <c r="N7158" s="12" t="s">
        <v>16141</v>
      </c>
      <c r="O7158" s="9" t="str">
        <f aca="false">HYPERLINK("https://pbs.twimg.com/profile_images/888189879233925120/8AQS4lC1_normal.jpg","View")</f>
        <v>View</v>
      </c>
      <c r="P7158" s="10"/>
    </row>
    <row r="7159" customFormat="false" ht="15.75" hidden="false" customHeight="false" outlineLevel="0" collapsed="false">
      <c r="A7159" s="6" t="n">
        <v>43031.3828009259</v>
      </c>
      <c r="B7159" s="7" t="str">
        <f aca="false">HYPERLINK("https://twitter.com/NatLoveTenn","@NatLoveTenn")</f>
        <v>@NatLoveTenn</v>
      </c>
      <c r="C7159" s="8" t="s">
        <v>16142</v>
      </c>
      <c r="D7159" s="8" t="s">
        <v>14106</v>
      </c>
      <c r="E7159" s="9" t="str">
        <f aca="false">HYPERLINK("https://twitter.com/NatLoveTenn/status/922495642064351232","922495642064351232")</f>
        <v>922495642064351232</v>
      </c>
      <c r="F7159" s="10" t="s">
        <v>25</v>
      </c>
      <c r="G7159" s="10" t="n">
        <v>325</v>
      </c>
      <c r="H7159" s="10" t="n">
        <v>35</v>
      </c>
      <c r="I7159" s="10" t="n">
        <v>30</v>
      </c>
      <c r="J7159" s="10" t="n">
        <v>0</v>
      </c>
      <c r="K7159" s="10" t="s">
        <v>20</v>
      </c>
      <c r="L7159" s="11" t="n">
        <v>42075.9381365741</v>
      </c>
      <c r="M7159" s="12"/>
      <c r="N7159" s="12" t="s">
        <v>16143</v>
      </c>
      <c r="O7159" s="9" t="str">
        <f aca="false">HYPERLINK("https://pbs.twimg.com/profile_images/585262651330011137/u8hq3TZV_normal.jpg","View")</f>
        <v>View</v>
      </c>
      <c r="P7159" s="10"/>
    </row>
    <row r="7160" customFormat="false" ht="15.75" hidden="false" customHeight="false" outlineLevel="0" collapsed="false">
      <c r="A7160" s="6" t="n">
        <v>43031.3828472222</v>
      </c>
      <c r="B7160" s="7" t="str">
        <f aca="false">HYPERLINK("https://twitter.com/FTIactivism","@FTIactivism")</f>
        <v>@FTIactivism</v>
      </c>
      <c r="C7160" s="8" t="s">
        <v>16144</v>
      </c>
      <c r="D7160" s="8" t="s">
        <v>14725</v>
      </c>
      <c r="E7160" s="9" t="str">
        <f aca="false">HYPERLINK("https://twitter.com/FTIactivism/status/922495658174513152","922495658174513152")</f>
        <v>922495658174513152</v>
      </c>
      <c r="F7160" s="10" t="s">
        <v>110</v>
      </c>
      <c r="G7160" s="10" t="n">
        <v>1101</v>
      </c>
      <c r="H7160" s="10" t="n">
        <v>1190</v>
      </c>
      <c r="I7160" s="10" t="n">
        <v>4</v>
      </c>
      <c r="J7160" s="10" t="n">
        <v>0</v>
      </c>
      <c r="K7160" s="10" t="s">
        <v>20</v>
      </c>
      <c r="L7160" s="11" t="n">
        <v>42423.2842939815</v>
      </c>
      <c r="M7160" s="12" t="s">
        <v>723</v>
      </c>
      <c r="N7160" s="12" t="s">
        <v>16145</v>
      </c>
      <c r="O7160" s="9" t="str">
        <f aca="false">HYPERLINK("https://pbs.twimg.com/profile_images/705427075218350080/KJHYmjfg_normal.jpg","View")</f>
        <v>View</v>
      </c>
      <c r="P7160" s="10"/>
    </row>
    <row r="7161" customFormat="false" ht="15.75" hidden="false" customHeight="false" outlineLevel="0" collapsed="false">
      <c r="A7161" s="6" t="n">
        <v>43031.3830208333</v>
      </c>
      <c r="B7161" s="7" t="str">
        <f aca="false">HYPERLINK("https://twitter.com/Mr_Insanity97","@Mr_Insanity97")</f>
        <v>@Mr_Insanity97</v>
      </c>
      <c r="C7161" s="8" t="s">
        <v>16146</v>
      </c>
      <c r="D7161" s="8" t="s">
        <v>13595</v>
      </c>
      <c r="E7161" s="9" t="str">
        <f aca="false">HYPERLINK("https://twitter.com/Mr_Insanity97/status/922495719721914368","922495719721914368")</f>
        <v>922495719721914368</v>
      </c>
      <c r="F7161" s="10" t="s">
        <v>51</v>
      </c>
      <c r="G7161" s="10" t="n">
        <v>989</v>
      </c>
      <c r="H7161" s="10" t="n">
        <v>5001</v>
      </c>
      <c r="I7161" s="10" t="n">
        <v>88</v>
      </c>
      <c r="J7161" s="10" t="n">
        <v>0</v>
      </c>
      <c r="K7161" s="10" t="s">
        <v>20</v>
      </c>
      <c r="L7161" s="11" t="n">
        <v>41877.7618634259</v>
      </c>
      <c r="M7161" s="12" t="s">
        <v>16147</v>
      </c>
      <c r="N7161" s="12" t="s">
        <v>16148</v>
      </c>
      <c r="O7161" s="9" t="str">
        <f aca="false">HYPERLINK("https://pbs.twimg.com/profile_images/841832752353812481/55UBynaq_normal.jpg","View")</f>
        <v>View</v>
      </c>
      <c r="P7161" s="10"/>
    </row>
    <row r="7162" customFormat="false" ht="15.75" hidden="false" customHeight="false" outlineLevel="0" collapsed="false">
      <c r="A7162" s="6" t="n">
        <v>43031.3833449074</v>
      </c>
      <c r="B7162" s="7" t="str">
        <f aca="false">HYPERLINK("https://twitter.com/BloombergAsia","@BloombergAsia")</f>
        <v>@BloombergAsia</v>
      </c>
      <c r="C7162" s="8" t="s">
        <v>1399</v>
      </c>
      <c r="D7162" s="8" t="s">
        <v>16149</v>
      </c>
      <c r="E7162" s="9" t="str">
        <f aca="false">HYPERLINK("https://twitter.com/BloombergAsia/status/922495836847788032","922495836847788032")</f>
        <v>922495836847788032</v>
      </c>
      <c r="F7162" s="10" t="s">
        <v>268</v>
      </c>
      <c r="G7162" s="10" t="n">
        <v>28824</v>
      </c>
      <c r="H7162" s="10" t="n">
        <v>97</v>
      </c>
      <c r="I7162" s="10" t="n">
        <v>2</v>
      </c>
      <c r="J7162" s="10" t="n">
        <v>3</v>
      </c>
      <c r="K7162" s="10" t="s">
        <v>20</v>
      </c>
      <c r="L7162" s="11" t="n">
        <v>41052.2384837963</v>
      </c>
      <c r="M7162" s="12"/>
      <c r="N7162" s="12" t="s">
        <v>1401</v>
      </c>
      <c r="O7162" s="9" t="str">
        <f aca="false">HYPERLINK("https://pbs.twimg.com/profile_images/778129630284902401/gXjFkqGM_normal.jpg","View")</f>
        <v>View</v>
      </c>
      <c r="P7162" s="10"/>
    </row>
    <row r="7163" customFormat="false" ht="15.75" hidden="false" customHeight="false" outlineLevel="0" collapsed="false">
      <c r="A7163" s="6" t="n">
        <v>43031.3837268519</v>
      </c>
      <c r="B7163" s="7" t="str">
        <f aca="false">HYPERLINK("https://twitter.com/EdVanDerWalt","@EdVanDerWalt")</f>
        <v>@EdVanDerWalt</v>
      </c>
      <c r="C7163" s="8" t="s">
        <v>16150</v>
      </c>
      <c r="D7163" s="8" t="s">
        <v>16151</v>
      </c>
      <c r="E7163" s="9" t="str">
        <f aca="false">HYPERLINK("https://twitter.com/EdVanDerWalt/status/922495974660038658","922495974660038658")</f>
        <v>922495974660038658</v>
      </c>
      <c r="F7163" s="10" t="s">
        <v>39</v>
      </c>
      <c r="G7163" s="10" t="n">
        <v>15296</v>
      </c>
      <c r="H7163" s="10" t="n">
        <v>5021</v>
      </c>
      <c r="I7163" s="10" t="n">
        <v>2</v>
      </c>
      <c r="J7163" s="10" t="n">
        <v>0</v>
      </c>
      <c r="K7163" s="10" t="s">
        <v>20</v>
      </c>
      <c r="L7163" s="11" t="n">
        <v>39882.3617824074</v>
      </c>
      <c r="M7163" s="12" t="s">
        <v>1319</v>
      </c>
      <c r="N7163" s="12" t="s">
        <v>16152</v>
      </c>
      <c r="O7163" s="9" t="str">
        <f aca="false">HYPERLINK("https://pbs.twimg.com/profile_images/556947634330824704/zeY2EWH6_normal.jpeg","View")</f>
        <v>View</v>
      </c>
      <c r="P7163" s="10"/>
    </row>
    <row r="7164" customFormat="false" ht="15.75" hidden="false" customHeight="false" outlineLevel="0" collapsed="false">
      <c r="A7164" s="6" t="n">
        <v>43031.3853240741</v>
      </c>
      <c r="B7164" s="7" t="str">
        <f aca="false">HYPERLINK("https://twitter.com/ParisFranceNews","@ParisFranceNews")</f>
        <v>@ParisFranceNews</v>
      </c>
      <c r="C7164" s="8" t="s">
        <v>1884</v>
      </c>
      <c r="D7164" s="8" t="s">
        <v>16153</v>
      </c>
      <c r="E7164" s="9" t="str">
        <f aca="false">HYPERLINK("https://twitter.com/ParisFranceNews/status/922496555281801216","922496555281801216")</f>
        <v>922496555281801216</v>
      </c>
      <c r="F7164" s="10" t="s">
        <v>39</v>
      </c>
      <c r="G7164" s="10" t="n">
        <v>3677</v>
      </c>
      <c r="H7164" s="10" t="n">
        <v>4270</v>
      </c>
      <c r="I7164" s="10" t="n">
        <v>0</v>
      </c>
      <c r="J7164" s="10" t="n">
        <v>0</v>
      </c>
      <c r="K7164" s="10" t="s">
        <v>20</v>
      </c>
      <c r="L7164" s="11" t="n">
        <v>41000.109837963</v>
      </c>
      <c r="M7164" s="12" t="s">
        <v>805</v>
      </c>
      <c r="N7164" s="12" t="s">
        <v>1886</v>
      </c>
      <c r="O7164" s="9" t="str">
        <f aca="false">HYPERLINK("https://pbs.twimg.com/profile_images/2007919170/parisnews_normal.png","View")</f>
        <v>View</v>
      </c>
      <c r="P7164" s="10"/>
    </row>
    <row r="7165" customFormat="false" ht="15.75" hidden="false" customHeight="false" outlineLevel="0" collapsed="false">
      <c r="A7165" s="6" t="n">
        <v>43031.385787037</v>
      </c>
      <c r="B7165" s="7" t="str">
        <f aca="false">HYPERLINK("https://twitter.com/Venkatks711","@Venkatks711")</f>
        <v>@Venkatks711</v>
      </c>
      <c r="C7165" s="8" t="s">
        <v>16154</v>
      </c>
      <c r="D7165" s="8" t="s">
        <v>8538</v>
      </c>
      <c r="E7165" s="9" t="str">
        <f aca="false">HYPERLINK("https://twitter.com/Venkatks711/status/922496723745873920","922496723745873920")</f>
        <v>922496723745873920</v>
      </c>
      <c r="F7165" s="10" t="s">
        <v>25</v>
      </c>
      <c r="G7165" s="10" t="n">
        <v>40</v>
      </c>
      <c r="H7165" s="10" t="n">
        <v>130</v>
      </c>
      <c r="I7165" s="10" t="n">
        <v>1015</v>
      </c>
      <c r="J7165" s="10" t="n">
        <v>0</v>
      </c>
      <c r="K7165" s="10" t="s">
        <v>20</v>
      </c>
      <c r="L7165" s="11" t="n">
        <v>41750.2077430556</v>
      </c>
      <c r="M7165" s="12" t="s">
        <v>860</v>
      </c>
      <c r="N7165" s="12" t="s">
        <v>16155</v>
      </c>
      <c r="O7165" s="9" t="str">
        <f aca="false">HYPERLINK("https://pbs.twimg.com/profile_images/722056012715421697/idjIsPHh_normal.jpg","View")</f>
        <v>View</v>
      </c>
      <c r="P7165" s="10"/>
    </row>
    <row r="7166" customFormat="false" ht="15.75" hidden="false" customHeight="false" outlineLevel="0" collapsed="false">
      <c r="A7166" s="6" t="n">
        <v>43031.3859837963</v>
      </c>
      <c r="B7166" s="7" t="str">
        <f aca="false">HYPERLINK("https://twitter.com/KazimotoBaraka3","@KazimotoBaraka3")</f>
        <v>@KazimotoBaraka3</v>
      </c>
      <c r="C7166" s="8" t="s">
        <v>6059</v>
      </c>
      <c r="D7166" s="8" t="s">
        <v>13229</v>
      </c>
      <c r="E7166" s="9" t="str">
        <f aca="false">HYPERLINK("https://twitter.com/KazimotoBaraka3/status/922496791999852544","922496791999852544")</f>
        <v>922496791999852544</v>
      </c>
      <c r="F7166" s="10" t="s">
        <v>25</v>
      </c>
      <c r="G7166" s="10" t="n">
        <v>482</v>
      </c>
      <c r="H7166" s="10" t="n">
        <v>5000</v>
      </c>
      <c r="I7166" s="10" t="n">
        <v>18</v>
      </c>
      <c r="J7166" s="10" t="n">
        <v>0</v>
      </c>
      <c r="K7166" s="10" t="s">
        <v>20</v>
      </c>
      <c r="L7166" s="11" t="n">
        <v>42834.0741319445</v>
      </c>
      <c r="M7166" s="12" t="s">
        <v>5398</v>
      </c>
      <c r="N7166" s="12" t="s">
        <v>6060</v>
      </c>
      <c r="O7166" s="9" t="str">
        <f aca="false">HYPERLINK("https://pbs.twimg.com/profile_images/912565184815882240/RnjIyacP_normal.jpg","View")</f>
        <v>View</v>
      </c>
      <c r="P7166" s="10"/>
    </row>
    <row r="7167" customFormat="false" ht="15.75" hidden="false" customHeight="false" outlineLevel="0" collapsed="false">
      <c r="A7167" s="6" t="n">
        <v>43031.3870601852</v>
      </c>
      <c r="B7167" s="7" t="str">
        <f aca="false">HYPERLINK("https://twitter.com/scabra_gentiana","@scabra_gentiana")</f>
        <v>@scabra_gentiana</v>
      </c>
      <c r="C7167" s="14" t="s">
        <v>16156</v>
      </c>
      <c r="D7167" s="8" t="s">
        <v>16008</v>
      </c>
      <c r="E7167" s="9" t="str">
        <f aca="false">HYPERLINK("https://twitter.com/scabra_gentiana/status/922497185450569729","922497185450569729")</f>
        <v>922497185450569729</v>
      </c>
      <c r="F7167" s="10" t="s">
        <v>98</v>
      </c>
      <c r="G7167" s="10" t="n">
        <v>13</v>
      </c>
      <c r="H7167" s="10" t="n">
        <v>121</v>
      </c>
      <c r="I7167" s="10" t="n">
        <v>32</v>
      </c>
      <c r="J7167" s="10" t="n">
        <v>0</v>
      </c>
      <c r="K7167" s="10" t="s">
        <v>20</v>
      </c>
      <c r="L7167" s="11" t="n">
        <v>42966.873587963</v>
      </c>
      <c r="M7167" s="12"/>
      <c r="N7167" s="13" t="s">
        <v>16157</v>
      </c>
      <c r="O7167" s="9" t="str">
        <f aca="false">HYPERLINK("https://abs.twimg.com/sticky/default_profile_images/default_profile_normal.png","View")</f>
        <v>View</v>
      </c>
      <c r="P7167" s="10"/>
    </row>
    <row r="7168" customFormat="false" ht="15.75" hidden="false" customHeight="false" outlineLevel="0" collapsed="false">
      <c r="A7168" s="6" t="n">
        <v>43031.387662037</v>
      </c>
      <c r="B7168" s="7" t="str">
        <f aca="false">HYPERLINK("https://twitter.com/Paveluljuk","@Paveluljuk")</f>
        <v>@Paveluljuk</v>
      </c>
      <c r="C7168" s="8" t="s">
        <v>3263</v>
      </c>
      <c r="D7168" s="8" t="s">
        <v>16158</v>
      </c>
      <c r="E7168" s="9" t="str">
        <f aca="false">HYPERLINK("https://twitter.com/Paveluljuk/status/922497401268703232","922497401268703232")</f>
        <v>922497401268703232</v>
      </c>
      <c r="F7168" s="10" t="s">
        <v>39</v>
      </c>
      <c r="G7168" s="10" t="n">
        <v>6638</v>
      </c>
      <c r="H7168" s="10" t="n">
        <v>5936</v>
      </c>
      <c r="I7168" s="10" t="n">
        <v>0</v>
      </c>
      <c r="J7168" s="10" t="n">
        <v>0</v>
      </c>
      <c r="K7168" s="10" t="s">
        <v>20</v>
      </c>
      <c r="L7168" s="11" t="n">
        <v>41065.235775463</v>
      </c>
      <c r="M7168" s="12" t="s">
        <v>3265</v>
      </c>
      <c r="N7168" s="12" t="s">
        <v>3266</v>
      </c>
      <c r="O7168" s="9" t="str">
        <f aca="false">HYPERLINK("https://pbs.twimg.com/profile_images/886198487137873921/zmFeaY9W_normal.jpg","View")</f>
        <v>View</v>
      </c>
      <c r="P7168" s="10"/>
    </row>
    <row r="7169" customFormat="false" ht="15.75" hidden="false" customHeight="false" outlineLevel="0" collapsed="false">
      <c r="A7169" s="6" t="n">
        <v>43031.3886111111</v>
      </c>
      <c r="B7169" s="7" t="str">
        <f aca="false">HYPERLINK("https://twitter.com/luckkeyme","@luckkeyme")</f>
        <v>@luckkeyme</v>
      </c>
      <c r="C7169" s="8" t="s">
        <v>16159</v>
      </c>
      <c r="D7169" s="8" t="s">
        <v>14906</v>
      </c>
      <c r="E7169" s="9" t="str">
        <f aca="false">HYPERLINK("https://twitter.com/luckkeyme/status/922497746522853381","922497746522853381")</f>
        <v>922497746522853381</v>
      </c>
      <c r="F7169" s="10" t="s">
        <v>51</v>
      </c>
      <c r="G7169" s="10" t="n">
        <v>154</v>
      </c>
      <c r="H7169" s="10" t="n">
        <v>998</v>
      </c>
      <c r="I7169" s="10" t="n">
        <v>2</v>
      </c>
      <c r="J7169" s="10" t="n">
        <v>0</v>
      </c>
      <c r="K7169" s="10" t="s">
        <v>20</v>
      </c>
      <c r="L7169" s="11" t="n">
        <v>41019.5403935185</v>
      </c>
      <c r="M7169" s="12" t="s">
        <v>16160</v>
      </c>
      <c r="N7169" s="12" t="s">
        <v>16161</v>
      </c>
      <c r="O7169" s="9" t="str">
        <f aca="false">HYPERLINK("https://abs.twimg.com/sticky/default_profile_images/default_profile_normal.png","View")</f>
        <v>View</v>
      </c>
      <c r="P7169" s="10"/>
    </row>
    <row r="7170" customFormat="false" ht="15.75" hidden="false" customHeight="false" outlineLevel="0" collapsed="false">
      <c r="A7170" s="6" t="n">
        <v>43031.389375</v>
      </c>
      <c r="B7170" s="7" t="str">
        <f aca="false">HYPERLINK("https://twitter.com/FredMatics","@FredMatics")</f>
        <v>@FredMatics</v>
      </c>
      <c r="C7170" s="8" t="s">
        <v>16162</v>
      </c>
      <c r="D7170" s="8" t="s">
        <v>15285</v>
      </c>
      <c r="E7170" s="9" t="str">
        <f aca="false">HYPERLINK("https://twitter.com/FredMatics/status/922498022759718912","922498022759718912")</f>
        <v>922498022759718912</v>
      </c>
      <c r="F7170" s="10" t="s">
        <v>25</v>
      </c>
      <c r="G7170" s="10" t="n">
        <v>2109</v>
      </c>
      <c r="H7170" s="10" t="n">
        <v>1558</v>
      </c>
      <c r="I7170" s="10" t="n">
        <v>16</v>
      </c>
      <c r="J7170" s="10" t="n">
        <v>0</v>
      </c>
      <c r="K7170" s="10" t="s">
        <v>20</v>
      </c>
      <c r="L7170" s="11" t="n">
        <v>40064.1390509259</v>
      </c>
      <c r="M7170" s="12" t="s">
        <v>16163</v>
      </c>
      <c r="N7170" s="12" t="s">
        <v>16164</v>
      </c>
      <c r="O7170" s="9" t="str">
        <f aca="false">HYPERLINK("https://pbs.twimg.com/profile_images/912416829884309505/eGzzAc9-_normal.jpg","View")</f>
        <v>View</v>
      </c>
      <c r="P7170" s="10"/>
    </row>
    <row r="7171" customFormat="false" ht="15.75" hidden="false" customHeight="false" outlineLevel="0" collapsed="false">
      <c r="A7171" s="6" t="n">
        <v>43031.3897685185</v>
      </c>
      <c r="B7171" s="7" t="str">
        <f aca="false">HYPERLINK("https://twitter.com/bluebirdtrini","@bluebirdtrini")</f>
        <v>@bluebirdtrini</v>
      </c>
      <c r="C7171" s="8" t="s">
        <v>16165</v>
      </c>
      <c r="D7171" s="8" t="s">
        <v>11356</v>
      </c>
      <c r="E7171" s="9" t="str">
        <f aca="false">HYPERLINK("https://twitter.com/bluebirdtrini/status/922498165147828225","922498165147828225")</f>
        <v>922498165147828225</v>
      </c>
      <c r="F7171" s="10" t="s">
        <v>39</v>
      </c>
      <c r="G7171" s="10" t="n">
        <v>421</v>
      </c>
      <c r="H7171" s="10" t="n">
        <v>1088</v>
      </c>
      <c r="I7171" s="10" t="n">
        <v>8</v>
      </c>
      <c r="J7171" s="10" t="n">
        <v>0</v>
      </c>
      <c r="K7171" s="10" t="s">
        <v>20</v>
      </c>
      <c r="L7171" s="11" t="n">
        <v>40475.6274652778</v>
      </c>
      <c r="M7171" s="12" t="s">
        <v>16166</v>
      </c>
      <c r="N7171" s="12" t="s">
        <v>16167</v>
      </c>
      <c r="O7171" s="9" t="str">
        <f aca="false">HYPERLINK("https://pbs.twimg.com/profile_images/879733500773113856/Zywm_1I5_normal.jpg","View")</f>
        <v>View</v>
      </c>
      <c r="P7171" s="10"/>
    </row>
    <row r="7172" customFormat="false" ht="15.75" hidden="false" customHeight="false" outlineLevel="0" collapsed="false">
      <c r="A7172" s="6" t="n">
        <v>43031.3916782407</v>
      </c>
      <c r="B7172" s="7" t="str">
        <f aca="false">HYPERLINK("https://twitter.com/ducoexperts","@ducoexperts")</f>
        <v>@ducoexperts</v>
      </c>
      <c r="C7172" s="8" t="s">
        <v>16168</v>
      </c>
      <c r="D7172" s="8" t="s">
        <v>15302</v>
      </c>
      <c r="E7172" s="9" t="str">
        <f aca="false">HYPERLINK("https://twitter.com/ducoexperts/status/922498857652461573","922498857652461573")</f>
        <v>922498857652461573</v>
      </c>
      <c r="F7172" s="10" t="s">
        <v>39</v>
      </c>
      <c r="G7172" s="10" t="n">
        <v>595</v>
      </c>
      <c r="H7172" s="10" t="n">
        <v>1130</v>
      </c>
      <c r="I7172" s="10" t="n">
        <v>11</v>
      </c>
      <c r="J7172" s="10" t="n">
        <v>0</v>
      </c>
      <c r="K7172" s="10" t="s">
        <v>20</v>
      </c>
      <c r="L7172" s="11" t="n">
        <v>42495.3529976852</v>
      </c>
      <c r="M7172" s="12" t="s">
        <v>588</v>
      </c>
      <c r="N7172" s="12" t="s">
        <v>16169</v>
      </c>
      <c r="O7172" s="9" t="str">
        <f aca="false">HYPERLINK("https://pbs.twimg.com/profile_images/789655089816428545/fWtCCxTV_normal.jpg","View")</f>
        <v>View</v>
      </c>
      <c r="P7172" s="10"/>
    </row>
    <row r="7173" customFormat="false" ht="15.75" hidden="false" customHeight="false" outlineLevel="0" collapsed="false">
      <c r="A7173" s="6" t="n">
        <v>43031.3927893519</v>
      </c>
      <c r="B7173" s="7" t="str">
        <f aca="false">HYPERLINK("https://twitter.com/anil2653","@anil2653")</f>
        <v>@anil2653</v>
      </c>
      <c r="C7173" s="8" t="s">
        <v>16170</v>
      </c>
      <c r="D7173" s="8" t="s">
        <v>8538</v>
      </c>
      <c r="E7173" s="9" t="str">
        <f aca="false">HYPERLINK("https://twitter.com/anil2653/status/922499260205035520","922499260205035520")</f>
        <v>922499260205035520</v>
      </c>
      <c r="F7173" s="10" t="s">
        <v>1289</v>
      </c>
      <c r="G7173" s="10" t="n">
        <v>226</v>
      </c>
      <c r="H7173" s="10" t="n">
        <v>49</v>
      </c>
      <c r="I7173" s="10" t="n">
        <v>1015</v>
      </c>
      <c r="J7173" s="10" t="n">
        <v>0</v>
      </c>
      <c r="K7173" s="10" t="s">
        <v>20</v>
      </c>
      <c r="L7173" s="11" t="n">
        <v>40791.4121180556</v>
      </c>
      <c r="M7173" s="12" t="s">
        <v>868</v>
      </c>
      <c r="N7173" s="12" t="s">
        <v>16171</v>
      </c>
      <c r="O7173" s="9" t="str">
        <f aca="false">HYPERLINK("https://pbs.twimg.com/profile_images/686884915447631872/qVbxvlEK_normal.jpg","View")</f>
        <v>View</v>
      </c>
      <c r="P7173" s="10"/>
    </row>
    <row r="7174" customFormat="false" ht="15.75" hidden="false" customHeight="false" outlineLevel="0" collapsed="false">
      <c r="A7174" s="6" t="n">
        <v>43031.3959143519</v>
      </c>
      <c r="B7174" s="7" t="str">
        <f aca="false">HYPERLINK("https://twitter.com/HIMESH_SS","@HIMESH_SS")</f>
        <v>@HIMESH_SS</v>
      </c>
      <c r="C7174" s="8" t="s">
        <v>16172</v>
      </c>
      <c r="D7174" s="8" t="s">
        <v>8538</v>
      </c>
      <c r="E7174" s="9" t="str">
        <f aca="false">HYPERLINK("https://twitter.com/HIMESH_SS/status/922500394110001153","922500394110001153")</f>
        <v>922500394110001153</v>
      </c>
      <c r="F7174" s="10" t="s">
        <v>25</v>
      </c>
      <c r="G7174" s="10" t="n">
        <v>3261</v>
      </c>
      <c r="H7174" s="10" t="n">
        <v>3286</v>
      </c>
      <c r="I7174" s="10" t="n">
        <v>1015</v>
      </c>
      <c r="J7174" s="10" t="n">
        <v>0</v>
      </c>
      <c r="K7174" s="10" t="s">
        <v>20</v>
      </c>
      <c r="L7174" s="11" t="n">
        <v>40350.009525463</v>
      </c>
      <c r="M7174" s="12" t="s">
        <v>16173</v>
      </c>
      <c r="N7174" s="12" t="s">
        <v>16174</v>
      </c>
      <c r="O7174" s="9" t="str">
        <f aca="false">HYPERLINK("https://pbs.twimg.com/profile_images/744497543413850112/O3OgfIfs_normal.jpg","View")</f>
        <v>View</v>
      </c>
      <c r="P7174" s="10"/>
    </row>
    <row r="7175" customFormat="false" ht="15.75" hidden="false" customHeight="false" outlineLevel="0" collapsed="false">
      <c r="A7175" s="6" t="n">
        <v>43031.396087963</v>
      </c>
      <c r="B7175" s="7" t="str">
        <f aca="false">HYPERLINK("https://twitter.com/krishnansram","@krishnansram")</f>
        <v>@krishnansram</v>
      </c>
      <c r="C7175" s="8" t="s">
        <v>16175</v>
      </c>
      <c r="D7175" s="8" t="s">
        <v>8538</v>
      </c>
      <c r="E7175" s="9" t="str">
        <f aca="false">HYPERLINK("https://twitter.com/krishnansram/status/922500457175572480","922500457175572480")</f>
        <v>922500457175572480</v>
      </c>
      <c r="F7175" s="10" t="s">
        <v>25</v>
      </c>
      <c r="G7175" s="10" t="n">
        <v>414</v>
      </c>
      <c r="H7175" s="10" t="n">
        <v>1429</v>
      </c>
      <c r="I7175" s="10" t="n">
        <v>1015</v>
      </c>
      <c r="J7175" s="10" t="n">
        <v>0</v>
      </c>
      <c r="K7175" s="10" t="s">
        <v>20</v>
      </c>
      <c r="L7175" s="11" t="n">
        <v>41387.5750231481</v>
      </c>
      <c r="M7175" s="12" t="s">
        <v>16176</v>
      </c>
      <c r="N7175" s="12"/>
      <c r="O7175" s="9" t="str">
        <f aca="false">HYPERLINK("https://pbs.twimg.com/profile_images/753912129053306880/A-LCN5zZ_normal.jpg","View")</f>
        <v>View</v>
      </c>
      <c r="P7175" s="10"/>
    </row>
    <row r="7176" customFormat="false" ht="15.75" hidden="false" customHeight="false" outlineLevel="0" collapsed="false">
      <c r="A7176" s="6" t="n">
        <v>43031.396099537</v>
      </c>
      <c r="B7176" s="7" t="str">
        <f aca="false">HYPERLINK("https://twitter.com/malang0000000","@malang0000000")</f>
        <v>@malang0000000</v>
      </c>
      <c r="C7176" s="8" t="s">
        <v>16177</v>
      </c>
      <c r="D7176" s="8" t="s">
        <v>14676</v>
      </c>
      <c r="E7176" s="9" t="str">
        <f aca="false">HYPERLINK("https://twitter.com/malang0000000/status/922500459784474624","922500459784474624")</f>
        <v>922500459784474624</v>
      </c>
      <c r="F7176" s="10" t="s">
        <v>25</v>
      </c>
      <c r="G7176" s="10" t="n">
        <v>22</v>
      </c>
      <c r="H7176" s="10" t="n">
        <v>34</v>
      </c>
      <c r="I7176" s="10" t="n">
        <v>6</v>
      </c>
      <c r="J7176" s="10" t="n">
        <v>0</v>
      </c>
      <c r="K7176" s="10" t="s">
        <v>20</v>
      </c>
      <c r="L7176" s="11" t="n">
        <v>42186.9989351852</v>
      </c>
      <c r="M7176" s="12" t="s">
        <v>16178</v>
      </c>
      <c r="N7176" s="12" t="s">
        <v>16179</v>
      </c>
      <c r="O7176" s="9" t="str">
        <f aca="false">HYPERLINK("https://pbs.twimg.com/profile_images/921618749471457280/nRJIkNNB_normal.jpg","View")</f>
        <v>View</v>
      </c>
      <c r="P7176" s="10"/>
    </row>
    <row r="7177" customFormat="false" ht="15.75" hidden="false" customHeight="false" outlineLevel="0" collapsed="false">
      <c r="A7177" s="6" t="n">
        <v>43031.3975231482</v>
      </c>
      <c r="B7177" s="7" t="str">
        <f aca="false">HYPERLINK("https://twitter.com/tweet2kishore","@tweet2kishore")</f>
        <v>@tweet2kishore</v>
      </c>
      <c r="C7177" s="8" t="s">
        <v>16180</v>
      </c>
      <c r="D7177" s="8" t="s">
        <v>8538</v>
      </c>
      <c r="E7177" s="9" t="str">
        <f aca="false">HYPERLINK("https://twitter.com/tweet2kishore/status/922500974194737152","922500974194737152")</f>
        <v>922500974194737152</v>
      </c>
      <c r="F7177" s="10" t="s">
        <v>25</v>
      </c>
      <c r="G7177" s="10" t="n">
        <v>323</v>
      </c>
      <c r="H7177" s="10" t="n">
        <v>266</v>
      </c>
      <c r="I7177" s="10" t="n">
        <v>1015</v>
      </c>
      <c r="J7177" s="10" t="n">
        <v>0</v>
      </c>
      <c r="K7177" s="10" t="s">
        <v>20</v>
      </c>
      <c r="L7177" s="11" t="n">
        <v>39973.2115277778</v>
      </c>
      <c r="M7177" s="12" t="s">
        <v>72</v>
      </c>
      <c r="N7177" s="12" t="s">
        <v>16181</v>
      </c>
      <c r="O7177" s="9" t="str">
        <f aca="false">HYPERLINK("https://pbs.twimg.com/profile_images/595112162776850432/xFeqfpua_normal.jpg","View")</f>
        <v>View</v>
      </c>
      <c r="P7177" s="10"/>
    </row>
    <row r="7178" customFormat="false" ht="15.75" hidden="false" customHeight="false" outlineLevel="0" collapsed="false">
      <c r="A7178" s="6" t="n">
        <v>43031.3990277778</v>
      </c>
      <c r="B7178" s="7" t="str">
        <f aca="false">HYPERLINK("https://twitter.com/krunox123","@krunox123")</f>
        <v>@krunox123</v>
      </c>
      <c r="C7178" s="8" t="s">
        <v>1049</v>
      </c>
      <c r="D7178" s="8" t="s">
        <v>16182</v>
      </c>
      <c r="E7178" s="9" t="str">
        <f aca="false">HYPERLINK("https://twitter.com/krunox123/status/922501521048207362","922501521048207362")</f>
        <v>922501521048207362</v>
      </c>
      <c r="F7178" s="10" t="s">
        <v>60</v>
      </c>
      <c r="G7178" s="10" t="n">
        <v>10225</v>
      </c>
      <c r="H7178" s="10" t="n">
        <v>2</v>
      </c>
      <c r="I7178" s="10" t="n">
        <v>0</v>
      </c>
      <c r="J7178" s="10" t="n">
        <v>0</v>
      </c>
      <c r="K7178" s="10" t="s">
        <v>20</v>
      </c>
      <c r="L7178" s="11" t="n">
        <v>40938.2278935185</v>
      </c>
      <c r="M7178" s="12" t="s">
        <v>1051</v>
      </c>
      <c r="N7178" s="12" t="s">
        <v>1052</v>
      </c>
      <c r="O7178" s="9" t="str">
        <f aca="false">HYPERLINK("https://pbs.twimg.com/profile_images/824952382618349568/2SFIkM2x_normal.jpg","View")</f>
        <v>View</v>
      </c>
      <c r="P7178" s="10"/>
    </row>
    <row r="7179" customFormat="false" ht="15.75" hidden="false" customHeight="false" outlineLevel="0" collapsed="false">
      <c r="A7179" s="6" t="n">
        <v>43031.3996643519</v>
      </c>
      <c r="B7179" s="7" t="str">
        <f aca="false">HYPERLINK("https://twitter.com/luanquan29425","@luanquan29425")</f>
        <v>@luanquan29425</v>
      </c>
      <c r="C7179" s="8" t="s">
        <v>15887</v>
      </c>
      <c r="D7179" s="8" t="s">
        <v>16183</v>
      </c>
      <c r="E7179" s="9" t="str">
        <f aca="false">HYPERLINK("https://twitter.com/luanquan29425/status/922501749956493314","922501749956493314")</f>
        <v>922501749956493314</v>
      </c>
      <c r="F7179" s="10" t="s">
        <v>39</v>
      </c>
      <c r="G7179" s="10" t="n">
        <v>1</v>
      </c>
      <c r="H7179" s="10" t="n">
        <v>0</v>
      </c>
      <c r="I7179" s="10" t="n">
        <v>0</v>
      </c>
      <c r="J7179" s="10" t="n">
        <v>0</v>
      </c>
      <c r="K7179" s="10" t="s">
        <v>20</v>
      </c>
      <c r="L7179" s="11" t="n">
        <v>43029.4722569444</v>
      </c>
      <c r="M7179" s="12"/>
      <c r="N7179" s="12"/>
      <c r="O7179" s="9" t="str">
        <f aca="false">HYPERLINK("https://abs.twimg.com/sticky/default_profile_images/default_profile_normal.png","View")</f>
        <v>View</v>
      </c>
      <c r="P7179" s="10"/>
    </row>
    <row r="7180" customFormat="false" ht="15.75" hidden="false" customHeight="false" outlineLevel="0" collapsed="false">
      <c r="A7180" s="6" t="n">
        <v>43031.4006712963</v>
      </c>
      <c r="B7180" s="7" t="str">
        <f aca="false">HYPERLINK("https://twitter.com/tezuma75","@tezuma75")</f>
        <v>@tezuma75</v>
      </c>
      <c r="C7180" s="8" t="s">
        <v>6650</v>
      </c>
      <c r="D7180" s="8" t="s">
        <v>16008</v>
      </c>
      <c r="E7180" s="9" t="str">
        <f aca="false">HYPERLINK("https://twitter.com/tezuma75/status/922502116186374144","922502116186374144")</f>
        <v>922502116186374144</v>
      </c>
      <c r="F7180" s="10" t="s">
        <v>25</v>
      </c>
      <c r="G7180" s="10" t="n">
        <v>364</v>
      </c>
      <c r="H7180" s="10" t="n">
        <v>1614</v>
      </c>
      <c r="I7180" s="10" t="n">
        <v>32</v>
      </c>
      <c r="J7180" s="10" t="n">
        <v>0</v>
      </c>
      <c r="K7180" s="10" t="s">
        <v>20</v>
      </c>
      <c r="L7180" s="11" t="n">
        <v>40796.2496759259</v>
      </c>
      <c r="M7180" s="12" t="s">
        <v>6653</v>
      </c>
      <c r="N7180" s="12" t="s">
        <v>6654</v>
      </c>
      <c r="O7180" s="9" t="str">
        <f aca="false">HYPERLINK("https://pbs.twimg.com/profile_images/883089556379017217/YmqNlQsU_normal.jpg","View")</f>
        <v>View</v>
      </c>
      <c r="P7180" s="10"/>
    </row>
    <row r="7181" customFormat="false" ht="15.75" hidden="false" customHeight="false" outlineLevel="0" collapsed="false">
      <c r="A7181" s="6" t="n">
        <v>43031.4007291667</v>
      </c>
      <c r="B7181" s="7" t="str">
        <f aca="false">HYPERLINK("https://twitter.com/sawhney_d","@sawhney_d")</f>
        <v>@sawhney_d</v>
      </c>
      <c r="C7181" s="8" t="s">
        <v>16184</v>
      </c>
      <c r="D7181" s="8" t="s">
        <v>8538</v>
      </c>
      <c r="E7181" s="9" t="str">
        <f aca="false">HYPERLINK("https://twitter.com/sawhney_d/status/922502137111707648","922502137111707648")</f>
        <v>922502137111707648</v>
      </c>
      <c r="F7181" s="10" t="s">
        <v>51</v>
      </c>
      <c r="G7181" s="10" t="n">
        <v>40</v>
      </c>
      <c r="H7181" s="10" t="n">
        <v>248</v>
      </c>
      <c r="I7181" s="10" t="n">
        <v>1015</v>
      </c>
      <c r="J7181" s="10" t="n">
        <v>0</v>
      </c>
      <c r="K7181" s="10" t="s">
        <v>20</v>
      </c>
      <c r="L7181" s="11" t="n">
        <v>41777.9552083333</v>
      </c>
      <c r="M7181" s="12"/>
      <c r="N7181" s="12"/>
      <c r="O7181" s="9" t="str">
        <f aca="false">HYPERLINK("https://abs.twimg.com/sticky/default_profile_images/default_profile_normal.png","View")</f>
        <v>View</v>
      </c>
      <c r="P7181" s="10"/>
    </row>
    <row r="7182" customFormat="false" ht="15.75" hidden="false" customHeight="false" outlineLevel="0" collapsed="false">
      <c r="A7182" s="6" t="n">
        <v>43031.4008680556</v>
      </c>
      <c r="B7182" s="7" t="str">
        <f aca="false">HYPERLINK("https://twitter.com/toddler_treat","@toddler_treat")</f>
        <v>@toddler_treat</v>
      </c>
      <c r="C7182" s="8" t="s">
        <v>16185</v>
      </c>
      <c r="D7182" s="8" t="s">
        <v>16186</v>
      </c>
      <c r="E7182" s="9" t="str">
        <f aca="false">HYPERLINK("https://twitter.com/toddler_treat/status/922502187888140289","922502187888140289")</f>
        <v>922502187888140289</v>
      </c>
      <c r="F7182" s="10" t="s">
        <v>55</v>
      </c>
      <c r="G7182" s="10" t="n">
        <v>127</v>
      </c>
      <c r="H7182" s="10" t="n">
        <v>211</v>
      </c>
      <c r="I7182" s="10" t="n">
        <v>0</v>
      </c>
      <c r="J7182" s="10" t="n">
        <v>0</v>
      </c>
      <c r="K7182" s="10" t="s">
        <v>20</v>
      </c>
      <c r="L7182" s="11" t="n">
        <v>41237.3613541667</v>
      </c>
      <c r="M7182" s="12" t="s">
        <v>5224</v>
      </c>
      <c r="N7182" s="12"/>
      <c r="O7182" s="9" t="str">
        <f aca="false">HYPERLINK("https://pbs.twimg.com/profile_images/3025251286/5cfe0f3e4c3f0d44cb664a98b9e6f156_normal.jpeg","View")</f>
        <v>View</v>
      </c>
      <c r="P7182" s="10"/>
    </row>
    <row r="7183" customFormat="false" ht="15.75" hidden="false" customHeight="false" outlineLevel="0" collapsed="false">
      <c r="A7183" s="6" t="n">
        <v>43031.4009722222</v>
      </c>
      <c r="B7183" s="7" t="str">
        <f aca="false">HYPERLINK("https://twitter.com/msfsinfo","@msfsinfo")</f>
        <v>@msfsinfo</v>
      </c>
      <c r="C7183" s="8" t="s">
        <v>16187</v>
      </c>
      <c r="D7183" s="8" t="s">
        <v>16188</v>
      </c>
      <c r="E7183" s="9" t="str">
        <f aca="false">HYPERLINK("https://twitter.com/msfsinfo/status/922502223640264704","922502223640264704")</f>
        <v>922502223640264704</v>
      </c>
      <c r="F7183" s="10" t="s">
        <v>110</v>
      </c>
      <c r="G7183" s="10" t="n">
        <v>3460</v>
      </c>
      <c r="H7183" s="10" t="n">
        <v>2995</v>
      </c>
      <c r="I7183" s="10" t="n">
        <v>0</v>
      </c>
      <c r="J7183" s="10" t="n">
        <v>0</v>
      </c>
      <c r="K7183" s="10" t="s">
        <v>20</v>
      </c>
      <c r="L7183" s="11" t="n">
        <v>39896.4378587963</v>
      </c>
      <c r="M7183" s="12" t="s">
        <v>723</v>
      </c>
      <c r="N7183" s="12" t="s">
        <v>16189</v>
      </c>
      <c r="O7183" s="9" t="str">
        <f aca="false">HYPERLINK("https://pbs.twimg.com/profile_images/1133962560/facebook_prof_pic_normal.JPG","View")</f>
        <v>View</v>
      </c>
      <c r="P7183" s="10"/>
    </row>
    <row r="7184" customFormat="false" ht="15.75" hidden="false" customHeight="false" outlineLevel="0" collapsed="false">
      <c r="A7184" s="6" t="n">
        <v>43031.4010763889</v>
      </c>
      <c r="B7184" s="7" t="str">
        <f aca="false">HYPERLINK("https://twitter.com/kengtwo","@kengtwo")</f>
        <v>@kengtwo</v>
      </c>
      <c r="C7184" s="8" t="s">
        <v>16190</v>
      </c>
      <c r="D7184" s="8" t="s">
        <v>16191</v>
      </c>
      <c r="E7184" s="9" t="str">
        <f aca="false">HYPERLINK("https://twitter.com/kengtwo/status/922502263389675520","922502263389675520")</f>
        <v>922502263389675520</v>
      </c>
      <c r="F7184" s="10" t="s">
        <v>39</v>
      </c>
      <c r="G7184" s="10" t="n">
        <v>2120</v>
      </c>
      <c r="H7184" s="10" t="n">
        <v>2411</v>
      </c>
      <c r="I7184" s="10" t="n">
        <v>0</v>
      </c>
      <c r="J7184" s="10" t="n">
        <v>0</v>
      </c>
      <c r="K7184" s="10" t="s">
        <v>20</v>
      </c>
      <c r="L7184" s="11" t="n">
        <v>40270.3575462963</v>
      </c>
      <c r="M7184" s="12" t="s">
        <v>16192</v>
      </c>
      <c r="N7184" s="12" t="s">
        <v>16193</v>
      </c>
      <c r="O7184" s="9" t="str">
        <f aca="false">HYPERLINK("https://pbs.twimg.com/profile_images/671721173244186625/pKe6Gj-O_normal.jpg","View")</f>
        <v>View</v>
      </c>
      <c r="P7184" s="10"/>
    </row>
    <row r="7185" customFormat="false" ht="15.75" hidden="false" customHeight="false" outlineLevel="0" collapsed="false">
      <c r="A7185" s="6" t="n">
        <v>43031.4013078704</v>
      </c>
      <c r="B7185" s="7" t="str">
        <f aca="false">HYPERLINK("https://twitter.com/b_Ky0m4","@b_Ky0m4")</f>
        <v>@b_Ky0m4</v>
      </c>
      <c r="C7185" s="8" t="s">
        <v>16194</v>
      </c>
      <c r="D7185" s="8" t="s">
        <v>16195</v>
      </c>
      <c r="E7185" s="9" t="str">
        <f aca="false">HYPERLINK("https://twitter.com/b_Ky0m4/status/922502348185980930","922502348185980930")</f>
        <v>922502348185980930</v>
      </c>
      <c r="F7185" s="10" t="s">
        <v>39</v>
      </c>
      <c r="G7185" s="10" t="n">
        <v>199</v>
      </c>
      <c r="H7185" s="10" t="n">
        <v>341</v>
      </c>
      <c r="I7185" s="10" t="n">
        <v>0</v>
      </c>
      <c r="J7185" s="10" t="n">
        <v>0</v>
      </c>
      <c r="K7185" s="10" t="s">
        <v>20</v>
      </c>
      <c r="L7185" s="11" t="n">
        <v>41905.4502777778</v>
      </c>
      <c r="M7185" s="12" t="s">
        <v>16196</v>
      </c>
      <c r="N7185" s="12" t="s">
        <v>16197</v>
      </c>
      <c r="O7185" s="9" t="str">
        <f aca="false">HYPERLINK("https://pbs.twimg.com/profile_images/642089847390257153/vqXX2eEf_normal.jpg","View")</f>
        <v>View</v>
      </c>
      <c r="P7185" s="10"/>
    </row>
    <row r="7186" customFormat="false" ht="15.75" hidden="false" customHeight="false" outlineLevel="0" collapsed="false">
      <c r="A7186" s="6" t="n">
        <v>43031.4020833333</v>
      </c>
      <c r="B7186" s="7" t="str">
        <f aca="false">HYPERLINK("https://twitter.com/kuriharan","@kuriharan")</f>
        <v>@kuriharan</v>
      </c>
      <c r="C7186" s="8" t="s">
        <v>16198</v>
      </c>
      <c r="D7186" s="8" t="s">
        <v>16199</v>
      </c>
      <c r="E7186" s="9" t="str">
        <f aca="false">HYPERLINK("https://twitter.com/kuriharan/status/922502628063318016","922502628063318016")</f>
        <v>922502628063318016</v>
      </c>
      <c r="F7186" s="10" t="s">
        <v>276</v>
      </c>
      <c r="G7186" s="10" t="n">
        <v>25331</v>
      </c>
      <c r="H7186" s="10" t="n">
        <v>23890</v>
      </c>
      <c r="I7186" s="10" t="n">
        <v>2</v>
      </c>
      <c r="J7186" s="10" t="n">
        <v>1</v>
      </c>
      <c r="K7186" s="10" t="s">
        <v>20</v>
      </c>
      <c r="L7186" s="11" t="n">
        <v>40290.339837963</v>
      </c>
      <c r="M7186" s="12" t="s">
        <v>102</v>
      </c>
      <c r="N7186" s="12" t="s">
        <v>16200</v>
      </c>
      <c r="O7186" s="9" t="str">
        <f aca="false">HYPERLINK("https://pbs.twimg.com/profile_images/2510071258/293602_198108886915711_3847245_n-1_normal.png","View")</f>
        <v>View</v>
      </c>
      <c r="P7186" s="10"/>
    </row>
    <row r="7187" customFormat="false" ht="15.75" hidden="false" customHeight="false" outlineLevel="0" collapsed="false">
      <c r="A7187" s="6" t="n">
        <v>43031.4021180556</v>
      </c>
      <c r="B7187" s="7" t="str">
        <f aca="false">HYPERLINK("https://twitter.com/General_News_","@General_News_")</f>
        <v>@General_News_</v>
      </c>
      <c r="C7187" s="8" t="s">
        <v>3040</v>
      </c>
      <c r="D7187" s="8" t="s">
        <v>16201</v>
      </c>
      <c r="E7187" s="9" t="str">
        <f aca="false">HYPERLINK("https://twitter.com/General_News_/status/922502640440922112","922502640440922112")</f>
        <v>922502640440922112</v>
      </c>
      <c r="F7187" s="10" t="s">
        <v>3042</v>
      </c>
      <c r="G7187" s="10" t="n">
        <v>1986</v>
      </c>
      <c r="H7187" s="10" t="n">
        <v>1964</v>
      </c>
      <c r="I7187" s="10" t="n">
        <v>0</v>
      </c>
      <c r="J7187" s="10" t="n">
        <v>0</v>
      </c>
      <c r="K7187" s="10" t="s">
        <v>20</v>
      </c>
      <c r="L7187" s="11" t="n">
        <v>40621.3476967593</v>
      </c>
      <c r="M7187" s="12" t="s">
        <v>230</v>
      </c>
      <c r="N7187" s="12" t="s">
        <v>3043</v>
      </c>
      <c r="O7187" s="9" t="str">
        <f aca="false">HYPERLINK("https://pbs.twimg.com/profile_images/1279304346/Afbeelding_35_normal.png","View")</f>
        <v>View</v>
      </c>
      <c r="P7187" s="10"/>
    </row>
    <row r="7188" customFormat="false" ht="15.75" hidden="false" customHeight="false" outlineLevel="0" collapsed="false">
      <c r="A7188" s="6" t="n">
        <v>43031.4021527778</v>
      </c>
      <c r="B7188" s="7" t="str">
        <f aca="false">HYPERLINK("https://twitter.com/BondsDiva","@BondsDiva")</f>
        <v>@BondsDiva</v>
      </c>
      <c r="C7188" s="8" t="s">
        <v>16202</v>
      </c>
      <c r="D7188" s="8" t="s">
        <v>16203</v>
      </c>
      <c r="E7188" s="9" t="str">
        <f aca="false">HYPERLINK("https://twitter.com/BondsDiva/status/922502651736199168","922502651736199168")</f>
        <v>922502651736199168</v>
      </c>
      <c r="F7188" s="10" t="s">
        <v>39</v>
      </c>
      <c r="G7188" s="10" t="n">
        <v>5</v>
      </c>
      <c r="H7188" s="10" t="n">
        <v>18</v>
      </c>
      <c r="I7188" s="10" t="n">
        <v>10</v>
      </c>
      <c r="J7188" s="10" t="n">
        <v>0</v>
      </c>
      <c r="K7188" s="10" t="s">
        <v>20</v>
      </c>
      <c r="L7188" s="11" t="n">
        <v>41171.8372916667</v>
      </c>
      <c r="M7188" s="12"/>
      <c r="N7188" s="12" t="s">
        <v>16204</v>
      </c>
      <c r="O7188" s="9" t="str">
        <f aca="false">HYPERLINK("https://pbs.twimg.com/profile_images/2628889827/5275ef2adb7e778ddaa0321fedf65c88_normal.jpeg","View")</f>
        <v>View</v>
      </c>
      <c r="P7188" s="10"/>
    </row>
    <row r="7189" customFormat="false" ht="15.75" hidden="false" customHeight="false" outlineLevel="0" collapsed="false">
      <c r="A7189" s="6" t="n">
        <v>43031.4026041667</v>
      </c>
      <c r="B7189" s="7" t="str">
        <f aca="false">HYPERLINK("https://twitter.com/chatura44","@chatura44")</f>
        <v>@chatura44</v>
      </c>
      <c r="C7189" s="8" t="s">
        <v>16205</v>
      </c>
      <c r="D7189" s="8" t="s">
        <v>8538</v>
      </c>
      <c r="E7189" s="9" t="str">
        <f aca="false">HYPERLINK("https://twitter.com/chatura44/status/922502818430304256","922502818430304256")</f>
        <v>922502818430304256</v>
      </c>
      <c r="F7189" s="10" t="s">
        <v>39</v>
      </c>
      <c r="G7189" s="10" t="n">
        <v>177</v>
      </c>
      <c r="H7189" s="10" t="n">
        <v>256</v>
      </c>
      <c r="I7189" s="10" t="n">
        <v>1015</v>
      </c>
      <c r="J7189" s="10" t="n">
        <v>0</v>
      </c>
      <c r="K7189" s="10" t="s">
        <v>20</v>
      </c>
      <c r="L7189" s="11" t="n">
        <v>42888.0115509259</v>
      </c>
      <c r="M7189" s="12"/>
      <c r="N7189" s="12"/>
      <c r="O7189" s="9" t="str">
        <f aca="false">HYPERLINK("https://pbs.twimg.com/profile_images/921067249464631297/j-2yNrze_normal.jpg","View")</f>
        <v>View</v>
      </c>
      <c r="P7189" s="10"/>
    </row>
    <row r="7190" customFormat="false" ht="15.75" hidden="false" customHeight="false" outlineLevel="0" collapsed="false">
      <c r="A7190" s="6" t="n">
        <v>43031.4040509259</v>
      </c>
      <c r="B7190" s="7" t="str">
        <f aca="false">HYPERLINK("https://twitter.com/BusinessesDiva","@BusinessesDiva")</f>
        <v>@BusinessesDiva</v>
      </c>
      <c r="C7190" s="8" t="s">
        <v>16206</v>
      </c>
      <c r="D7190" s="8" t="s">
        <v>16203</v>
      </c>
      <c r="E7190" s="9" t="str">
        <f aca="false">HYPERLINK("https://twitter.com/BusinessesDiva/status/922503340218388480","922503340218388480")</f>
        <v>922503340218388480</v>
      </c>
      <c r="F7190" s="10" t="s">
        <v>39</v>
      </c>
      <c r="G7190" s="10" t="n">
        <v>13</v>
      </c>
      <c r="H7190" s="10" t="n">
        <v>118</v>
      </c>
      <c r="I7190" s="10" t="n">
        <v>10</v>
      </c>
      <c r="J7190" s="10" t="n">
        <v>0</v>
      </c>
      <c r="K7190" s="10" t="s">
        <v>20</v>
      </c>
      <c r="L7190" s="11" t="n">
        <v>41171.8459722222</v>
      </c>
      <c r="M7190" s="12"/>
      <c r="N7190" s="12" t="s">
        <v>16207</v>
      </c>
      <c r="O7190" s="9" t="str">
        <f aca="false">HYPERLINK("https://pbs.twimg.com/profile_images/2628920520/d5682a5052c43d2794ba2aac71aefed3_normal.png","View")</f>
        <v>View</v>
      </c>
      <c r="P7190" s="10"/>
    </row>
    <row r="7191" customFormat="false" ht="15.75" hidden="false" customHeight="false" outlineLevel="0" collapsed="false">
      <c r="A7191" s="6" t="n">
        <v>43031.4061111111</v>
      </c>
      <c r="B7191" s="7" t="str">
        <f aca="false">HYPERLINK("https://twitter.com/CurrenciesDiva","@CurrenciesDiva")</f>
        <v>@CurrenciesDiva</v>
      </c>
      <c r="C7191" s="8" t="s">
        <v>16208</v>
      </c>
      <c r="D7191" s="8" t="s">
        <v>16203</v>
      </c>
      <c r="E7191" s="9" t="str">
        <f aca="false">HYPERLINK("https://twitter.com/CurrenciesDiva/status/922504088792600576","922504088792600576")</f>
        <v>922504088792600576</v>
      </c>
      <c r="F7191" s="10" t="s">
        <v>39</v>
      </c>
      <c r="G7191" s="10" t="n">
        <v>2</v>
      </c>
      <c r="H7191" s="10" t="n">
        <v>5</v>
      </c>
      <c r="I7191" s="10" t="n">
        <v>10</v>
      </c>
      <c r="J7191" s="10" t="n">
        <v>0</v>
      </c>
      <c r="K7191" s="10" t="s">
        <v>20</v>
      </c>
      <c r="L7191" s="11" t="n">
        <v>41779.4723032407</v>
      </c>
      <c r="M7191" s="12"/>
      <c r="N7191" s="12"/>
      <c r="O7191" s="9" t="str">
        <f aca="false">HYPERLINK("https://abs.twimg.com/sticky/default_profile_images/default_profile_normal.png","View")</f>
        <v>View</v>
      </c>
      <c r="P7191" s="10"/>
    </row>
    <row r="7192" customFormat="false" ht="15.75" hidden="false" customHeight="false" outlineLevel="0" collapsed="false">
      <c r="A7192" s="6" t="n">
        <v>43031.4071875</v>
      </c>
      <c r="B7192" s="7" t="str">
        <f aca="false">HYPERLINK("https://twitter.com/k3shtk4r","@k3shtk4r")</f>
        <v>@k3shtk4r</v>
      </c>
      <c r="C7192" s="8" t="s">
        <v>5547</v>
      </c>
      <c r="D7192" s="8" t="s">
        <v>16209</v>
      </c>
      <c r="E7192" s="9" t="str">
        <f aca="false">HYPERLINK("https://twitter.com/k3shtk4r/status/922504478280085509","922504478280085509")</f>
        <v>922504478280085509</v>
      </c>
      <c r="F7192" s="10" t="s">
        <v>60</v>
      </c>
      <c r="G7192" s="10" t="n">
        <v>376</v>
      </c>
      <c r="H7192" s="10" t="n">
        <v>99</v>
      </c>
      <c r="I7192" s="10" t="n">
        <v>0</v>
      </c>
      <c r="J7192" s="10" t="n">
        <v>0</v>
      </c>
      <c r="K7192" s="10" t="s">
        <v>20</v>
      </c>
      <c r="L7192" s="11" t="n">
        <v>40445.0624074074</v>
      </c>
      <c r="M7192" s="12"/>
      <c r="N7192" s="12" t="s">
        <v>5549</v>
      </c>
      <c r="O7192" s="9" t="str">
        <f aca="false">HYPERLINK("https://pbs.twimg.com/profile_images/1643334812/1_normal.jpg","View")</f>
        <v>View</v>
      </c>
      <c r="P7192" s="10"/>
    </row>
    <row r="7193" customFormat="false" ht="15.75" hidden="false" customHeight="false" outlineLevel="0" collapsed="false">
      <c r="A7193" s="6" t="n">
        <v>43031.4075</v>
      </c>
      <c r="B7193" s="7" t="str">
        <f aca="false">HYPERLINK("https://twitter.com/ProductiveMoms","@ProductiveMoms")</f>
        <v>@ProductiveMoms</v>
      </c>
      <c r="C7193" s="8" t="s">
        <v>16210</v>
      </c>
      <c r="D7193" s="8" t="s">
        <v>16203</v>
      </c>
      <c r="E7193" s="9" t="str">
        <f aca="false">HYPERLINK("https://twitter.com/ProductiveMoms/status/922504592612397056","922504592612397056")</f>
        <v>922504592612397056</v>
      </c>
      <c r="F7193" s="10" t="s">
        <v>39</v>
      </c>
      <c r="G7193" s="10" t="n">
        <v>17</v>
      </c>
      <c r="H7193" s="10" t="n">
        <v>61</v>
      </c>
      <c r="I7193" s="10" t="n">
        <v>10</v>
      </c>
      <c r="J7193" s="10" t="n">
        <v>0</v>
      </c>
      <c r="K7193" s="10" t="s">
        <v>20</v>
      </c>
      <c r="L7193" s="11" t="n">
        <v>41114.2458796296</v>
      </c>
      <c r="M7193" s="12"/>
      <c r="N7193" s="12" t="s">
        <v>16211</v>
      </c>
      <c r="O7193" s="9" t="str">
        <f aca="false">HYPERLINK("https://pbs.twimg.com/profile_images/780509612676157440/3jycMKlk_normal.jpg","View")</f>
        <v>View</v>
      </c>
      <c r="P7193" s="10"/>
    </row>
    <row r="7194" customFormat="false" ht="15.75" hidden="false" customHeight="false" outlineLevel="0" collapsed="false">
      <c r="A7194" s="6" t="n">
        <v>43031.4085416667</v>
      </c>
      <c r="B7194" s="7" t="str">
        <f aca="false">HYPERLINK("https://twitter.com/sitifatimahnet","@sitifatimahnet")</f>
        <v>@sitifatimahnet</v>
      </c>
      <c r="C7194" s="8" t="s">
        <v>11184</v>
      </c>
      <c r="D7194" s="8" t="s">
        <v>16212</v>
      </c>
      <c r="E7194" s="9" t="str">
        <f aca="false">HYPERLINK("https://twitter.com/sitifatimahnet/status/922504969722499072","922504969722499072")</f>
        <v>922504969722499072</v>
      </c>
      <c r="F7194" s="10" t="s">
        <v>60</v>
      </c>
      <c r="G7194" s="10" t="n">
        <v>312</v>
      </c>
      <c r="H7194" s="10" t="n">
        <v>27</v>
      </c>
      <c r="I7194" s="10" t="n">
        <v>0</v>
      </c>
      <c r="J7194" s="10" t="n">
        <v>0</v>
      </c>
      <c r="K7194" s="10" t="s">
        <v>20</v>
      </c>
      <c r="L7194" s="11" t="n">
        <v>42698.4371990741</v>
      </c>
      <c r="M7194" s="12" t="s">
        <v>11186</v>
      </c>
      <c r="N7194" s="12" t="s">
        <v>11187</v>
      </c>
      <c r="O7194" s="9" t="str">
        <f aca="false">HYPERLINK("https://pbs.twimg.com/profile_images/897683241594912769/-rSDzg9T_normal.jpg","View")</f>
        <v>View</v>
      </c>
      <c r="P7194" s="10"/>
    </row>
    <row r="7195" customFormat="false" ht="15.75" hidden="false" customHeight="false" outlineLevel="0" collapsed="false">
      <c r="A7195" s="6" t="n">
        <v>43031.4087268518</v>
      </c>
      <c r="B7195" s="7" t="str">
        <f aca="false">HYPERLINK("https://twitter.com/electionguide","@electionguide")</f>
        <v>@electionguide</v>
      </c>
      <c r="C7195" s="8" t="s">
        <v>16213</v>
      </c>
      <c r="D7195" s="8" t="s">
        <v>16214</v>
      </c>
      <c r="E7195" s="9" t="str">
        <f aca="false">HYPERLINK("https://twitter.com/electionguide/status/922505037422710784","922505037422710784")</f>
        <v>922505037422710784</v>
      </c>
      <c r="F7195" s="10" t="s">
        <v>39</v>
      </c>
      <c r="G7195" s="10" t="n">
        <v>4879</v>
      </c>
      <c r="H7195" s="10" t="n">
        <v>422</v>
      </c>
      <c r="I7195" s="10" t="n">
        <v>0</v>
      </c>
      <c r="J7195" s="10" t="n">
        <v>1</v>
      </c>
      <c r="K7195" s="10" t="s">
        <v>20</v>
      </c>
      <c r="L7195" s="11" t="n">
        <v>39913.5185532407</v>
      </c>
      <c r="M7195" s="12" t="s">
        <v>16215</v>
      </c>
      <c r="N7195" s="12" t="s">
        <v>16216</v>
      </c>
      <c r="O7195" s="9" t="str">
        <f aca="false">HYPERLINK("https://pbs.twimg.com/profile_images/2563549760/ej8qmi76ugrunlxbnjpf_normal.png","View")</f>
        <v>View</v>
      </c>
      <c r="P7195" s="10"/>
    </row>
    <row r="7196" customFormat="false" ht="15.75" hidden="false" customHeight="false" outlineLevel="0" collapsed="false">
      <c r="A7196" s="6" t="n">
        <v>43031.4088541667</v>
      </c>
      <c r="B7196" s="7" t="str">
        <f aca="false">HYPERLINK("https://twitter.com/MarilynTaylorTX","@MarilynTaylorTX")</f>
        <v>@MarilynTaylorTX</v>
      </c>
      <c r="C7196" s="8" t="s">
        <v>16217</v>
      </c>
      <c r="D7196" s="8" t="s">
        <v>16203</v>
      </c>
      <c r="E7196" s="9" t="str">
        <f aca="false">HYPERLINK("https://twitter.com/MarilynTaylorTX/status/922505081416589313","922505081416589313")</f>
        <v>922505081416589313</v>
      </c>
      <c r="F7196" s="10" t="s">
        <v>39</v>
      </c>
      <c r="G7196" s="10" t="n">
        <v>184</v>
      </c>
      <c r="H7196" s="10" t="n">
        <v>691</v>
      </c>
      <c r="I7196" s="10" t="n">
        <v>10</v>
      </c>
      <c r="J7196" s="10" t="n">
        <v>0</v>
      </c>
      <c r="K7196" s="10" t="s">
        <v>20</v>
      </c>
      <c r="L7196" s="11" t="n">
        <v>41228.5400694444</v>
      </c>
      <c r="M7196" s="12"/>
      <c r="N7196" s="12" t="s">
        <v>16218</v>
      </c>
      <c r="O7196" s="9" t="str">
        <f aca="false">HYPERLINK("https://pbs.twimg.com/profile_images/2853626167/0825bb7eef56fbd82750329744a5afb6_normal.jpeg","View")</f>
        <v>View</v>
      </c>
      <c r="P7196" s="10"/>
    </row>
    <row r="7197" customFormat="false" ht="15.75" hidden="false" customHeight="false" outlineLevel="0" collapsed="false">
      <c r="A7197" s="6" t="n">
        <v>43031.4090740741</v>
      </c>
      <c r="B7197" s="7" t="str">
        <f aca="false">HYPERLINK("https://twitter.com/Mr_Insanity97","@Mr_Insanity97")</f>
        <v>@Mr_Insanity97</v>
      </c>
      <c r="C7197" s="8" t="s">
        <v>16146</v>
      </c>
      <c r="D7197" s="8" t="s">
        <v>11356</v>
      </c>
      <c r="E7197" s="9" t="str">
        <f aca="false">HYPERLINK("https://twitter.com/Mr_Insanity97/status/922505159707627520","922505159707627520")</f>
        <v>922505159707627520</v>
      </c>
      <c r="F7197" s="10" t="s">
        <v>51</v>
      </c>
      <c r="G7197" s="10" t="n">
        <v>989</v>
      </c>
      <c r="H7197" s="10" t="n">
        <v>5001</v>
      </c>
      <c r="I7197" s="10" t="n">
        <v>8</v>
      </c>
      <c r="J7197" s="10" t="n">
        <v>0</v>
      </c>
      <c r="K7197" s="10" t="s">
        <v>20</v>
      </c>
      <c r="L7197" s="11" t="n">
        <v>41877.7618634259</v>
      </c>
      <c r="M7197" s="12" t="s">
        <v>16147</v>
      </c>
      <c r="N7197" s="12" t="s">
        <v>16148</v>
      </c>
      <c r="O7197" s="9" t="str">
        <f aca="false">HYPERLINK("https://pbs.twimg.com/profile_images/841832752353812481/55UBynaq_normal.jpg","View")</f>
        <v>View</v>
      </c>
      <c r="P7197" s="10"/>
    </row>
    <row r="7198" customFormat="false" ht="15.75" hidden="false" customHeight="false" outlineLevel="0" collapsed="false">
      <c r="A7198" s="6" t="n">
        <v>43031.4092013889</v>
      </c>
      <c r="B7198" s="7" t="str">
        <f aca="false">HYPERLINK("https://twitter.com/Mr_Insanity97","@Mr_Insanity97")</f>
        <v>@Mr_Insanity97</v>
      </c>
      <c r="C7198" s="8" t="s">
        <v>16146</v>
      </c>
      <c r="D7198" s="8" t="s">
        <v>11418</v>
      </c>
      <c r="E7198" s="9" t="str">
        <f aca="false">HYPERLINK("https://twitter.com/Mr_Insanity97/status/922505205828276224","922505205828276224")</f>
        <v>922505205828276224</v>
      </c>
      <c r="F7198" s="10" t="s">
        <v>51</v>
      </c>
      <c r="G7198" s="10" t="n">
        <v>989</v>
      </c>
      <c r="H7198" s="10" t="n">
        <v>5001</v>
      </c>
      <c r="I7198" s="10" t="n">
        <v>38</v>
      </c>
      <c r="J7198" s="10" t="n">
        <v>0</v>
      </c>
      <c r="K7198" s="10" t="s">
        <v>20</v>
      </c>
      <c r="L7198" s="11" t="n">
        <v>41877.7618634259</v>
      </c>
      <c r="M7198" s="12" t="s">
        <v>16147</v>
      </c>
      <c r="N7198" s="12" t="s">
        <v>16148</v>
      </c>
      <c r="O7198" s="9" t="str">
        <f aca="false">HYPERLINK("https://pbs.twimg.com/profile_images/841832752353812481/55UBynaq_normal.jpg","View")</f>
        <v>View</v>
      </c>
      <c r="P7198" s="10"/>
    </row>
    <row r="7199" customFormat="false" ht="15.75" hidden="false" customHeight="false" outlineLevel="0" collapsed="false">
      <c r="A7199" s="6" t="n">
        <v>43031.4092592593</v>
      </c>
      <c r="B7199" s="7" t="str">
        <f aca="false">HYPERLINK("https://twitter.com/Mr_Insanity97","@Mr_Insanity97")</f>
        <v>@Mr_Insanity97</v>
      </c>
      <c r="C7199" s="8" t="s">
        <v>16146</v>
      </c>
      <c r="D7199" s="8" t="s">
        <v>11033</v>
      </c>
      <c r="E7199" s="9" t="str">
        <f aca="false">HYPERLINK("https://twitter.com/Mr_Insanity97/status/922505226799771648","922505226799771648")</f>
        <v>922505226799771648</v>
      </c>
      <c r="F7199" s="10" t="s">
        <v>51</v>
      </c>
      <c r="G7199" s="10" t="n">
        <v>989</v>
      </c>
      <c r="H7199" s="10" t="n">
        <v>5001</v>
      </c>
      <c r="I7199" s="10" t="n">
        <v>60</v>
      </c>
      <c r="J7199" s="10" t="n">
        <v>0</v>
      </c>
      <c r="K7199" s="10" t="s">
        <v>20</v>
      </c>
      <c r="L7199" s="11" t="n">
        <v>41877.7618634259</v>
      </c>
      <c r="M7199" s="12" t="s">
        <v>16147</v>
      </c>
      <c r="N7199" s="12" t="s">
        <v>16148</v>
      </c>
      <c r="O7199" s="9" t="str">
        <f aca="false">HYPERLINK("https://pbs.twimg.com/profile_images/841832752353812481/55UBynaq_normal.jpg","View")</f>
        <v>View</v>
      </c>
      <c r="P7199" s="10"/>
    </row>
    <row r="7200" customFormat="false" ht="15.75" hidden="false" customHeight="false" outlineLevel="0" collapsed="false">
      <c r="A7200" s="6" t="n">
        <v>43031.4095949074</v>
      </c>
      <c r="B7200" s="7" t="str">
        <f aca="false">HYPERLINK("https://twitter.com/billysnow20","@billysnow20")</f>
        <v>@billysnow20</v>
      </c>
      <c r="C7200" s="8" t="s">
        <v>16219</v>
      </c>
      <c r="D7200" s="8" t="s">
        <v>16220</v>
      </c>
      <c r="E7200" s="9" t="str">
        <f aca="false">HYPERLINK("https://twitter.com/billysnow20/status/922505349080367104","922505349080367104")</f>
        <v>922505349080367104</v>
      </c>
      <c r="F7200" s="9" t="s">
        <v>1147</v>
      </c>
      <c r="G7200" s="10" t="n">
        <v>10</v>
      </c>
      <c r="H7200" s="10" t="n">
        <v>3</v>
      </c>
      <c r="I7200" s="10" t="n">
        <v>0</v>
      </c>
      <c r="J7200" s="10" t="n">
        <v>0</v>
      </c>
      <c r="K7200" s="10" t="s">
        <v>20</v>
      </c>
      <c r="L7200" s="11" t="n">
        <v>43022.1994444444</v>
      </c>
      <c r="M7200" s="12" t="s">
        <v>295</v>
      </c>
      <c r="N7200" s="12" t="s">
        <v>16221</v>
      </c>
      <c r="O7200" s="9" t="str">
        <f aca="false">HYPERLINK("https://pbs.twimg.com/profile_images/919169002856783873/bGloqq9z_normal.jpg","View")</f>
        <v>View</v>
      </c>
      <c r="P7200" s="10"/>
    </row>
    <row r="7201" customFormat="false" ht="15.75" hidden="false" customHeight="false" outlineLevel="0" collapsed="false">
      <c r="A7201" s="6" t="n">
        <v>43031.409837963</v>
      </c>
      <c r="B7201" s="7" t="str">
        <f aca="false">HYPERLINK("https://twitter.com/Newsweek","@Newsweek")</f>
        <v>@Newsweek</v>
      </c>
      <c r="C7201" s="8" t="s">
        <v>1895</v>
      </c>
      <c r="D7201" s="8" t="s">
        <v>16222</v>
      </c>
      <c r="E7201" s="9" t="str">
        <f aca="false">HYPERLINK("https://twitter.com/Newsweek/status/922505439081791488","922505439081791488")</f>
        <v>922505439081791488</v>
      </c>
      <c r="F7201" s="10" t="s">
        <v>268</v>
      </c>
      <c r="G7201" s="10" t="n">
        <v>3374203</v>
      </c>
      <c r="H7201" s="10" t="n">
        <v>75</v>
      </c>
      <c r="I7201" s="10" t="n">
        <v>19</v>
      </c>
      <c r="J7201" s="10" t="n">
        <v>16</v>
      </c>
      <c r="K7201" s="10" t="s">
        <v>20</v>
      </c>
      <c r="L7201" s="11" t="n">
        <v>39170.5355439815</v>
      </c>
      <c r="M7201" s="12" t="s">
        <v>491</v>
      </c>
      <c r="N7201" s="12" t="s">
        <v>1897</v>
      </c>
      <c r="O7201" s="9" t="str">
        <f aca="false">HYPERLINK("https://pbs.twimg.com/profile_images/741603495929905152/di0NxkFa_normal.jpg","View")</f>
        <v>View</v>
      </c>
      <c r="P7201" s="10"/>
    </row>
    <row r="7202" customFormat="false" ht="15.75" hidden="false" customHeight="false" outlineLevel="0" collapsed="false">
      <c r="A7202" s="6" t="n">
        <v>43031.4098611111</v>
      </c>
      <c r="B7202" s="7" t="str">
        <f aca="false">HYPERLINK("https://twitter.com/NicoleSales7","@NicoleSales7")</f>
        <v>@NicoleSales7</v>
      </c>
      <c r="C7202" s="8" t="s">
        <v>16223</v>
      </c>
      <c r="D7202" s="8" t="s">
        <v>16203</v>
      </c>
      <c r="E7202" s="9" t="str">
        <f aca="false">HYPERLINK("https://twitter.com/NicoleSales7/status/922505445763293184","922505445763293184")</f>
        <v>922505445763293184</v>
      </c>
      <c r="F7202" s="10" t="s">
        <v>39</v>
      </c>
      <c r="G7202" s="10" t="n">
        <v>171</v>
      </c>
      <c r="H7202" s="10" t="n">
        <v>409</v>
      </c>
      <c r="I7202" s="10" t="n">
        <v>10</v>
      </c>
      <c r="J7202" s="10" t="n">
        <v>0</v>
      </c>
      <c r="K7202" s="10" t="s">
        <v>20</v>
      </c>
      <c r="L7202" s="11" t="n">
        <v>41228.5206018519</v>
      </c>
      <c r="M7202" s="12"/>
      <c r="N7202" s="12" t="s">
        <v>16224</v>
      </c>
      <c r="O7202" s="9" t="str">
        <f aca="false">HYPERLINK("https://pbs.twimg.com/profile_images/2853489650/9fe31658fee05b934f82a4c5678ad241_normal.png","View")</f>
        <v>View</v>
      </c>
      <c r="P7202" s="10"/>
    </row>
    <row r="7203" customFormat="false" ht="15.75" hidden="false" customHeight="false" outlineLevel="0" collapsed="false">
      <c r="A7203" s="6" t="n">
        <v>43031.4100810185</v>
      </c>
      <c r="B7203" s="7" t="str">
        <f aca="false">HYPERLINK("https://twitter.com/jg_mcfadden","@jg_mcfadden")</f>
        <v>@jg_mcfadden</v>
      </c>
      <c r="C7203" s="8" t="s">
        <v>16225</v>
      </c>
      <c r="D7203" s="8" t="s">
        <v>16226</v>
      </c>
      <c r="E7203" s="9" t="str">
        <f aca="false">HYPERLINK("https://twitter.com/jg_mcfadden/status/922505525677342720","922505525677342720")</f>
        <v>922505525677342720</v>
      </c>
      <c r="F7203" s="10" t="s">
        <v>25</v>
      </c>
      <c r="G7203" s="10" t="n">
        <v>1006</v>
      </c>
      <c r="H7203" s="10" t="n">
        <v>3310</v>
      </c>
      <c r="I7203" s="10" t="n">
        <v>19</v>
      </c>
      <c r="J7203" s="10" t="n">
        <v>0</v>
      </c>
      <c r="K7203" s="10" t="s">
        <v>20</v>
      </c>
      <c r="L7203" s="11" t="n">
        <v>41484.9232986111</v>
      </c>
      <c r="M7203" s="12" t="s">
        <v>16227</v>
      </c>
      <c r="N7203" s="12" t="s">
        <v>16228</v>
      </c>
      <c r="O7203" s="9" t="str">
        <f aca="false">HYPERLINK("https://pbs.twimg.com/profile_images/882121486370168835/GZtX0EBc_normal.jpg","View")</f>
        <v>View</v>
      </c>
      <c r="P7203" s="10"/>
    </row>
    <row r="7204" customFormat="false" ht="15.75" hidden="false" customHeight="false" outlineLevel="0" collapsed="false">
      <c r="A7204" s="6" t="n">
        <v>43031.4104976852</v>
      </c>
      <c r="B7204" s="7" t="str">
        <f aca="false">HYPERLINK("https://twitter.com/ForexHoney","@ForexHoney")</f>
        <v>@ForexHoney</v>
      </c>
      <c r="C7204" s="8" t="s">
        <v>16229</v>
      </c>
      <c r="D7204" s="8" t="s">
        <v>16203</v>
      </c>
      <c r="E7204" s="9" t="str">
        <f aca="false">HYPERLINK("https://twitter.com/ForexHoney/status/922505675850203137","922505675850203137")</f>
        <v>922505675850203137</v>
      </c>
      <c r="F7204" s="10" t="s">
        <v>39</v>
      </c>
      <c r="G7204" s="10" t="n">
        <v>12</v>
      </c>
      <c r="H7204" s="10" t="n">
        <v>18</v>
      </c>
      <c r="I7204" s="10" t="n">
        <v>10</v>
      </c>
      <c r="J7204" s="10" t="n">
        <v>0</v>
      </c>
      <c r="K7204" s="10" t="s">
        <v>20</v>
      </c>
      <c r="L7204" s="11" t="n">
        <v>40934.8414699074</v>
      </c>
      <c r="M7204" s="12"/>
      <c r="N7204" s="12"/>
      <c r="O7204" s="9" t="str">
        <f aca="false">HYPERLINK("https://pbs.twimg.com/profile_images/598868178882592770/GrWt18gI_normal.jpg","View")</f>
        <v>View</v>
      </c>
      <c r="P7204" s="10"/>
    </row>
    <row r="7205" customFormat="false" ht="15.75" hidden="false" customHeight="false" outlineLevel="0" collapsed="false">
      <c r="A7205" s="6" t="n">
        <v>43031.4104976852</v>
      </c>
      <c r="B7205" s="7" t="str">
        <f aca="false">HYPERLINK("https://twitter.com/JasminLucci","@JasminLucci")</f>
        <v>@JasminLucci</v>
      </c>
      <c r="C7205" s="8" t="s">
        <v>16230</v>
      </c>
      <c r="D7205" s="8" t="s">
        <v>16226</v>
      </c>
      <c r="E7205" s="9" t="str">
        <f aca="false">HYPERLINK("https://twitter.com/JasminLucci/status/922505677498613760","922505677498613760")</f>
        <v>922505677498613760</v>
      </c>
      <c r="F7205" s="10" t="s">
        <v>51</v>
      </c>
      <c r="G7205" s="10" t="n">
        <v>813</v>
      </c>
      <c r="H7205" s="10" t="n">
        <v>516</v>
      </c>
      <c r="I7205" s="10" t="n">
        <v>19</v>
      </c>
      <c r="J7205" s="10" t="n">
        <v>0</v>
      </c>
      <c r="K7205" s="10" t="s">
        <v>20</v>
      </c>
      <c r="L7205" s="11" t="n">
        <v>41773.6483680556</v>
      </c>
      <c r="M7205" s="12" t="s">
        <v>16231</v>
      </c>
      <c r="N7205" s="12" t="s">
        <v>16232</v>
      </c>
      <c r="O7205" s="9" t="str">
        <f aca="false">HYPERLINK("https://pbs.twimg.com/profile_images/471740687621160963/XNOkn3bQ_normal.jpeg","View")</f>
        <v>View</v>
      </c>
      <c r="P7205" s="10"/>
    </row>
    <row r="7206" customFormat="false" ht="15.75" hidden="false" customHeight="false" outlineLevel="0" collapsed="false">
      <c r="A7206" s="6" t="n">
        <v>43031.4106018519</v>
      </c>
      <c r="B7206" s="7" t="str">
        <f aca="false">HYPERLINK("https://twitter.com/minminnyer","@minminnyer")</f>
        <v>@minminnyer</v>
      </c>
      <c r="C7206" s="8" t="s">
        <v>16233</v>
      </c>
      <c r="D7206" s="8" t="s">
        <v>12764</v>
      </c>
      <c r="E7206" s="9" t="str">
        <f aca="false">HYPERLINK("https://twitter.com/minminnyer/status/922505714010152960","922505714010152960")</f>
        <v>922505714010152960</v>
      </c>
      <c r="F7206" s="10" t="s">
        <v>51</v>
      </c>
      <c r="G7206" s="10" t="n">
        <v>64</v>
      </c>
      <c r="H7206" s="10" t="n">
        <v>395</v>
      </c>
      <c r="I7206" s="10" t="n">
        <v>170</v>
      </c>
      <c r="J7206" s="10" t="n">
        <v>0</v>
      </c>
      <c r="K7206" s="10" t="s">
        <v>20</v>
      </c>
      <c r="L7206" s="11" t="n">
        <v>42659.3603819444</v>
      </c>
      <c r="M7206" s="12" t="s">
        <v>491</v>
      </c>
      <c r="N7206" s="12" t="s">
        <v>16234</v>
      </c>
      <c r="O7206" s="9" t="str">
        <f aca="false">HYPERLINK("https://pbs.twimg.com/profile_images/853402041095397376/MsXq39WD_normal.jpg","View")</f>
        <v>View</v>
      </c>
      <c r="P7206" s="10"/>
    </row>
    <row r="7207" customFormat="false" ht="15.75" hidden="false" customHeight="false" outlineLevel="0" collapsed="false">
      <c r="A7207" s="6" t="n">
        <v>43031.4114236111</v>
      </c>
      <c r="B7207" s="7" t="str">
        <f aca="false">HYPERLINK("https://twitter.com/MyHistoryMaster","@MyHistoryMaster")</f>
        <v>@MyHistoryMaster</v>
      </c>
      <c r="C7207" s="8" t="s">
        <v>16235</v>
      </c>
      <c r="D7207" s="8" t="s">
        <v>16008</v>
      </c>
      <c r="E7207" s="9" t="str">
        <f aca="false">HYPERLINK("https://twitter.com/MyHistoryMaster/status/922506011692490753","922506011692490753")</f>
        <v>922506011692490753</v>
      </c>
      <c r="F7207" s="10" t="s">
        <v>39</v>
      </c>
      <c r="G7207" s="10" t="n">
        <v>44</v>
      </c>
      <c r="H7207" s="10" t="n">
        <v>99</v>
      </c>
      <c r="I7207" s="10" t="n">
        <v>32</v>
      </c>
      <c r="J7207" s="10" t="n">
        <v>0</v>
      </c>
      <c r="K7207" s="10" t="s">
        <v>20</v>
      </c>
      <c r="L7207" s="11" t="n">
        <v>42000.6036689815</v>
      </c>
      <c r="M7207" s="12" t="s">
        <v>4050</v>
      </c>
      <c r="N7207" s="12" t="s">
        <v>16236</v>
      </c>
      <c r="O7207" s="9" t="str">
        <f aca="false">HYPERLINK("https://pbs.twimg.com/profile_images/823025688957419520/4_lFVc05_normal.jpg","View")</f>
        <v>View</v>
      </c>
      <c r="P7207" s="10"/>
    </row>
    <row r="7208" customFormat="false" ht="15.75" hidden="false" customHeight="false" outlineLevel="0" collapsed="false">
      <c r="A7208" s="6" t="n">
        <v>43031.4115162037</v>
      </c>
      <c r="B7208" s="7" t="str">
        <f aca="false">HYPERLINK("https://twitter.com/Mr_Insanity97","@Mr_Insanity97")</f>
        <v>@Mr_Insanity97</v>
      </c>
      <c r="C7208" s="8" t="s">
        <v>16146</v>
      </c>
      <c r="D7208" s="8" t="s">
        <v>11738</v>
      </c>
      <c r="E7208" s="9" t="str">
        <f aca="false">HYPERLINK("https://twitter.com/Mr_Insanity97/status/922506048057106433","922506048057106433")</f>
        <v>922506048057106433</v>
      </c>
      <c r="F7208" s="10" t="s">
        <v>51</v>
      </c>
      <c r="G7208" s="10" t="n">
        <v>989</v>
      </c>
      <c r="H7208" s="10" t="n">
        <v>5001</v>
      </c>
      <c r="I7208" s="10" t="n">
        <v>11</v>
      </c>
      <c r="J7208" s="10" t="n">
        <v>0</v>
      </c>
      <c r="K7208" s="10" t="s">
        <v>20</v>
      </c>
      <c r="L7208" s="11" t="n">
        <v>41877.7618634259</v>
      </c>
      <c r="M7208" s="12" t="s">
        <v>16147</v>
      </c>
      <c r="N7208" s="12" t="s">
        <v>16148</v>
      </c>
      <c r="O7208" s="9" t="str">
        <f aca="false">HYPERLINK("https://pbs.twimg.com/profile_images/841832752353812481/55UBynaq_normal.jpg","View")</f>
        <v>View</v>
      </c>
      <c r="P7208" s="10"/>
    </row>
    <row r="7209" customFormat="false" ht="15.75" hidden="false" customHeight="false" outlineLevel="0" collapsed="false">
      <c r="A7209" s="6" t="n">
        <v>43031.4119097222</v>
      </c>
      <c r="B7209" s="7" t="str">
        <f aca="false">HYPERLINK("https://twitter.com/BSAFunds","@BSAFunds")</f>
        <v>@BSAFunds</v>
      </c>
      <c r="C7209" s="8" t="s">
        <v>924</v>
      </c>
      <c r="D7209" s="8" t="s">
        <v>16237</v>
      </c>
      <c r="E7209" s="9" t="str">
        <f aca="false">HYPERLINK("https://twitter.com/BSAFunds/status/922506187492470787","922506187492470787")</f>
        <v>922506187492470787</v>
      </c>
      <c r="F7209" s="10" t="s">
        <v>60</v>
      </c>
      <c r="G7209" s="10" t="n">
        <v>20871</v>
      </c>
      <c r="H7209" s="10" t="n">
        <v>8926</v>
      </c>
      <c r="I7209" s="10" t="n">
        <v>0</v>
      </c>
      <c r="J7209" s="10" t="n">
        <v>0</v>
      </c>
      <c r="K7209" s="10" t="s">
        <v>20</v>
      </c>
      <c r="L7209" s="11" t="n">
        <v>42601.9481828704</v>
      </c>
      <c r="M7209" s="12" t="s">
        <v>312</v>
      </c>
      <c r="N7209" s="12" t="s">
        <v>926</v>
      </c>
      <c r="O7209" s="9" t="str">
        <f aca="false">HYPERLINK("https://pbs.twimg.com/profile_images/912769166960033792/N4LAmrTs_normal.jpg","View")</f>
        <v>View</v>
      </c>
      <c r="P7209" s="10"/>
    </row>
    <row r="7210" customFormat="false" ht="15.75" hidden="false" customHeight="false" outlineLevel="0" collapsed="false">
      <c r="A7210" s="6" t="n">
        <v>43031.4127199074</v>
      </c>
      <c r="B7210" s="7" t="str">
        <f aca="false">HYPERLINK("https://twitter.com/tono_vanvi","@tono_vanvi")</f>
        <v>@tono_vanvi</v>
      </c>
      <c r="C7210" s="14" t="s">
        <v>16238</v>
      </c>
      <c r="D7210" s="8" t="s">
        <v>12493</v>
      </c>
      <c r="E7210" s="9" t="str">
        <f aca="false">HYPERLINK("https://twitter.com/tono_vanvi/status/922506484377776128","922506484377776128")</f>
        <v>922506484377776128</v>
      </c>
      <c r="F7210" s="10" t="s">
        <v>25</v>
      </c>
      <c r="G7210" s="10" t="n">
        <v>43880</v>
      </c>
      <c r="H7210" s="10" t="n">
        <v>5479</v>
      </c>
      <c r="I7210" s="10" t="n">
        <v>63</v>
      </c>
      <c r="J7210" s="10" t="n">
        <v>0</v>
      </c>
      <c r="K7210" s="10" t="s">
        <v>20</v>
      </c>
      <c r="L7210" s="11" t="n">
        <v>41720.7255787037</v>
      </c>
      <c r="M7210" s="12" t="s">
        <v>16239</v>
      </c>
      <c r="N7210" s="13" t="s">
        <v>16240</v>
      </c>
      <c r="O7210" s="9" t="str">
        <f aca="false">HYPERLINK("https://pbs.twimg.com/profile_images/798178011581321216/yDuYxGdc_normal.jpg","View")</f>
        <v>View</v>
      </c>
      <c r="P7210" s="10"/>
    </row>
    <row r="7211" customFormat="false" ht="15.75" hidden="false" customHeight="false" outlineLevel="0" collapsed="false">
      <c r="A7211" s="6" t="n">
        <v>43031.4128240741</v>
      </c>
      <c r="B7211" s="7" t="str">
        <f aca="false">HYPERLINK("https://twitter.com/RiyadhAlrifai","@RiyadhAlrifai")</f>
        <v>@RiyadhAlrifai</v>
      </c>
      <c r="C7211" s="8" t="s">
        <v>16241</v>
      </c>
      <c r="D7211" s="8" t="s">
        <v>16226</v>
      </c>
      <c r="E7211" s="9" t="str">
        <f aca="false">HYPERLINK("https://twitter.com/RiyadhAlrifai/status/922506519844925440","922506519844925440")</f>
        <v>922506519844925440</v>
      </c>
      <c r="F7211" s="10" t="s">
        <v>98</v>
      </c>
      <c r="G7211" s="10" t="n">
        <v>552</v>
      </c>
      <c r="H7211" s="10" t="n">
        <v>372</v>
      </c>
      <c r="I7211" s="10" t="n">
        <v>19</v>
      </c>
      <c r="J7211" s="10" t="n">
        <v>0</v>
      </c>
      <c r="K7211" s="10" t="s">
        <v>20</v>
      </c>
      <c r="L7211" s="11" t="n">
        <v>40821.9998958333</v>
      </c>
      <c r="M7211" s="12" t="s">
        <v>16242</v>
      </c>
      <c r="N7211" s="12"/>
      <c r="O7211" s="9" t="str">
        <f aca="false">HYPERLINK("https://pbs.twimg.com/profile_images/450300748321271808/k0-9mBoK_normal.png","View")</f>
        <v>View</v>
      </c>
      <c r="P7211" s="10"/>
    </row>
    <row r="7212" customFormat="false" ht="15.75" hidden="false" customHeight="false" outlineLevel="0" collapsed="false">
      <c r="A7212" s="6" t="n">
        <v>43031.4129166667</v>
      </c>
      <c r="B7212" s="7" t="str">
        <f aca="false">HYPERLINK("https://twitter.com/anirudhpandeyji","@anirudhpandeyji")</f>
        <v>@anirudhpandeyji</v>
      </c>
      <c r="C7212" s="8" t="s">
        <v>16243</v>
      </c>
      <c r="D7212" s="8" t="s">
        <v>16226</v>
      </c>
      <c r="E7212" s="9" t="str">
        <f aca="false">HYPERLINK("https://twitter.com/anirudhpandeyji/status/922506554556821504","922506554556821504")</f>
        <v>922506554556821504</v>
      </c>
      <c r="F7212" s="10" t="s">
        <v>25</v>
      </c>
      <c r="G7212" s="10" t="n">
        <v>2033</v>
      </c>
      <c r="H7212" s="10" t="n">
        <v>2427</v>
      </c>
      <c r="I7212" s="10" t="n">
        <v>19</v>
      </c>
      <c r="J7212" s="10" t="n">
        <v>0</v>
      </c>
      <c r="K7212" s="10" t="s">
        <v>20</v>
      </c>
      <c r="L7212" s="11" t="n">
        <v>41616.2816666667</v>
      </c>
      <c r="M7212" s="12" t="s">
        <v>7847</v>
      </c>
      <c r="N7212" s="12" t="s">
        <v>16244</v>
      </c>
      <c r="O7212" s="9" t="str">
        <f aca="false">HYPERLINK("https://pbs.twimg.com/profile_images/642171362153394176/xBIL7GCv_normal.jpg","View")</f>
        <v>View</v>
      </c>
      <c r="P7212" s="10"/>
    </row>
    <row r="7213" customFormat="false" ht="15.75" hidden="false" customHeight="false" outlineLevel="0" collapsed="false">
      <c r="A7213" s="6" t="n">
        <v>43031.4134722222</v>
      </c>
      <c r="B7213" s="7" t="str">
        <f aca="false">HYPERLINK("https://twitter.com/agrawalamit11","@agrawalamit11")</f>
        <v>@agrawalamit11</v>
      </c>
      <c r="C7213" s="8" t="s">
        <v>16245</v>
      </c>
      <c r="D7213" s="8" t="s">
        <v>8538</v>
      </c>
      <c r="E7213" s="9" t="str">
        <f aca="false">HYPERLINK("https://twitter.com/agrawalamit11/status/922506757116715011","922506757116715011")</f>
        <v>922506757116715011</v>
      </c>
      <c r="F7213" s="10" t="s">
        <v>25</v>
      </c>
      <c r="G7213" s="10" t="n">
        <v>1017</v>
      </c>
      <c r="H7213" s="10" t="n">
        <v>184</v>
      </c>
      <c r="I7213" s="10" t="n">
        <v>1015</v>
      </c>
      <c r="J7213" s="10" t="n">
        <v>0</v>
      </c>
      <c r="K7213" s="10" t="s">
        <v>20</v>
      </c>
      <c r="L7213" s="11" t="n">
        <v>40829.035787037</v>
      </c>
      <c r="M7213" s="12" t="s">
        <v>16246</v>
      </c>
      <c r="N7213" s="12" t="s">
        <v>16247</v>
      </c>
      <c r="O7213" s="9" t="str">
        <f aca="false">HYPERLINK("https://pbs.twimg.com/profile_images/840619453792542720/w1InLsVH_normal.jpg","View")</f>
        <v>View</v>
      </c>
      <c r="P7213" s="10"/>
    </row>
    <row r="7214" customFormat="false" ht="15.75" hidden="false" customHeight="false" outlineLevel="0" collapsed="false">
      <c r="A7214" s="6" t="n">
        <v>43031.4136574074</v>
      </c>
      <c r="B7214" s="7" t="str">
        <f aca="false">HYPERLINK("https://twitter.com/S_Galimberti","@S_Galimberti")</f>
        <v>@S_Galimberti</v>
      </c>
      <c r="C7214" s="8" t="s">
        <v>16248</v>
      </c>
      <c r="D7214" s="8" t="s">
        <v>16249</v>
      </c>
      <c r="E7214" s="9" t="str">
        <f aca="false">HYPERLINK("https://twitter.com/S_Galimberti/status/922506821113348099","922506821113348099")</f>
        <v>922506821113348099</v>
      </c>
      <c r="F7214" s="10" t="s">
        <v>51</v>
      </c>
      <c r="G7214" s="10" t="n">
        <v>90749</v>
      </c>
      <c r="H7214" s="10" t="n">
        <v>87602</v>
      </c>
      <c r="I7214" s="10" t="n">
        <v>3</v>
      </c>
      <c r="J7214" s="10" t="n">
        <v>2</v>
      </c>
      <c r="K7214" s="10" t="s">
        <v>20</v>
      </c>
      <c r="L7214" s="11" t="n">
        <v>41507.2158101852</v>
      </c>
      <c r="M7214" s="12" t="s">
        <v>13704</v>
      </c>
      <c r="N7214" s="12" t="s">
        <v>16250</v>
      </c>
      <c r="O7214" s="9" t="str">
        <f aca="false">HYPERLINK("https://pbs.twimg.com/profile_images/688140202565476352/EvprkhJd_normal.jpg","View")</f>
        <v>View</v>
      </c>
      <c r="P7214" s="10"/>
    </row>
    <row r="7215" customFormat="false" ht="15.75" hidden="false" customHeight="false" outlineLevel="0" collapsed="false">
      <c r="A7215" s="6" t="n">
        <v>43031.4139583333</v>
      </c>
      <c r="B7215" s="7" t="str">
        <f aca="false">HYPERLINK("https://twitter.com/Durgeshrai2013","@Durgeshrai2013")</f>
        <v>@Durgeshrai2013</v>
      </c>
      <c r="C7215" s="8" t="s">
        <v>16251</v>
      </c>
      <c r="D7215" s="8" t="s">
        <v>8538</v>
      </c>
      <c r="E7215" s="9" t="str">
        <f aca="false">HYPERLINK("https://twitter.com/Durgeshrai2013/status/922506932920995842","922506932920995842")</f>
        <v>922506932920995842</v>
      </c>
      <c r="F7215" s="10" t="s">
        <v>25</v>
      </c>
      <c r="G7215" s="10" t="n">
        <v>115</v>
      </c>
      <c r="H7215" s="10" t="n">
        <v>284</v>
      </c>
      <c r="I7215" s="10" t="n">
        <v>1015</v>
      </c>
      <c r="J7215" s="10" t="n">
        <v>0</v>
      </c>
      <c r="K7215" s="10" t="s">
        <v>20</v>
      </c>
      <c r="L7215" s="11" t="n">
        <v>41426.170625</v>
      </c>
      <c r="M7215" s="12"/>
      <c r="N7215" s="12"/>
      <c r="O7215" s="9" t="str">
        <f aca="false">HYPERLINK("https://pbs.twimg.com/profile_images/567611788766625792/zguv87zs_normal.jpeg","View")</f>
        <v>View</v>
      </c>
      <c r="P7215" s="10"/>
    </row>
    <row r="7216" customFormat="false" ht="15.75" hidden="false" customHeight="false" outlineLevel="0" collapsed="false">
      <c r="A7216" s="6" t="n">
        <v>43031.4141782407</v>
      </c>
      <c r="B7216" s="7" t="str">
        <f aca="false">HYPERLINK("https://twitter.com/AmorShabbi","@AmorShabbi")</f>
        <v>@AmorShabbi</v>
      </c>
      <c r="C7216" s="8" t="s">
        <v>16252</v>
      </c>
      <c r="D7216" s="8" t="s">
        <v>16226</v>
      </c>
      <c r="E7216" s="9" t="str">
        <f aca="false">HYPERLINK("https://twitter.com/AmorShabbi/status/922507011098664960","922507011098664960")</f>
        <v>922507011098664960</v>
      </c>
      <c r="F7216" s="10" t="s">
        <v>51</v>
      </c>
      <c r="G7216" s="10" t="n">
        <v>4718</v>
      </c>
      <c r="H7216" s="10" t="n">
        <v>2298</v>
      </c>
      <c r="I7216" s="10" t="n">
        <v>19</v>
      </c>
      <c r="J7216" s="10" t="n">
        <v>0</v>
      </c>
      <c r="K7216" s="10" t="s">
        <v>20</v>
      </c>
      <c r="L7216" s="11" t="n">
        <v>40247.3938888889</v>
      </c>
      <c r="M7216" s="12" t="s">
        <v>16253</v>
      </c>
      <c r="N7216" s="12" t="s">
        <v>16254</v>
      </c>
      <c r="O7216" s="9" t="str">
        <f aca="false">HYPERLINK("https://pbs.twimg.com/profile_images/551336594053943296/tlmS2Bu7_normal.jpeg","View")</f>
        <v>View</v>
      </c>
      <c r="P7216" s="10"/>
    </row>
    <row r="7217" customFormat="false" ht="15.75" hidden="false" customHeight="false" outlineLevel="0" collapsed="false">
      <c r="A7217" s="6" t="n">
        <v>43031.4144328704</v>
      </c>
      <c r="B7217" s="7" t="str">
        <f aca="false">HYPERLINK("https://twitter.com/FXGoddess","@FXGoddess")</f>
        <v>@FXGoddess</v>
      </c>
      <c r="C7217" s="8" t="s">
        <v>16255</v>
      </c>
      <c r="D7217" s="8" t="s">
        <v>16203</v>
      </c>
      <c r="E7217" s="9" t="str">
        <f aca="false">HYPERLINK("https://twitter.com/FXGoddess/status/922507101645062144","922507101645062144")</f>
        <v>922507101645062144</v>
      </c>
      <c r="F7217" s="10" t="s">
        <v>39</v>
      </c>
      <c r="G7217" s="10" t="n">
        <v>7</v>
      </c>
      <c r="H7217" s="10" t="n">
        <v>5</v>
      </c>
      <c r="I7217" s="10" t="n">
        <v>10</v>
      </c>
      <c r="J7217" s="10" t="n">
        <v>0</v>
      </c>
      <c r="K7217" s="10" t="s">
        <v>20</v>
      </c>
      <c r="L7217" s="11" t="n">
        <v>40934.8212152778</v>
      </c>
      <c r="M7217" s="12"/>
      <c r="N7217" s="12" t="s">
        <v>16256</v>
      </c>
      <c r="O7217" s="9" t="str">
        <f aca="false">HYPERLINK("https://pbs.twimg.com/profile_images/2690534289/d2af177d803a938d2d6f3d7481c4ab91_normal.png","View")</f>
        <v>View</v>
      </c>
      <c r="P7217" s="10"/>
    </row>
    <row r="7218" customFormat="false" ht="15.75" hidden="false" customHeight="false" outlineLevel="0" collapsed="false">
      <c r="A7218" s="6" t="n">
        <v>43031.4144328704</v>
      </c>
      <c r="B7218" s="7" t="str">
        <f aca="false">HYPERLINK("https://twitter.com/mikemoratinos","@mikemoratinos")</f>
        <v>@mikemoratinos</v>
      </c>
      <c r="C7218" s="8" t="s">
        <v>16257</v>
      </c>
      <c r="D7218" s="8" t="s">
        <v>16258</v>
      </c>
      <c r="E7218" s="9" t="str">
        <f aca="false">HYPERLINK("https://twitter.com/mikemoratinos/status/922507105206140928","922507105206140928")</f>
        <v>922507105206140928</v>
      </c>
      <c r="F7218" s="10" t="s">
        <v>25</v>
      </c>
      <c r="G7218" s="10" t="n">
        <v>2345</v>
      </c>
      <c r="H7218" s="10" t="n">
        <v>3501</v>
      </c>
      <c r="I7218" s="10" t="n">
        <v>3</v>
      </c>
      <c r="J7218" s="10" t="n">
        <v>0</v>
      </c>
      <c r="K7218" s="10" t="s">
        <v>20</v>
      </c>
      <c r="L7218" s="11" t="n">
        <v>40918.0631597222</v>
      </c>
      <c r="M7218" s="12" t="s">
        <v>16259</v>
      </c>
      <c r="N7218" s="12" t="s">
        <v>16260</v>
      </c>
      <c r="O7218" s="9" t="str">
        <f aca="false">HYPERLINK("https://pbs.twimg.com/profile_images/920441610458017793/9tsfmLhJ_normal.jpg","View")</f>
        <v>View</v>
      </c>
      <c r="P7218" s="10"/>
    </row>
    <row r="7219" customFormat="false" ht="15.75" hidden="false" customHeight="false" outlineLevel="0" collapsed="false">
      <c r="A7219" s="6" t="n">
        <v>43031.4145601852</v>
      </c>
      <c r="B7219" s="7" t="str">
        <f aca="false">HYPERLINK("https://twitter.com/SridharPaladugu","@SridharPaladugu")</f>
        <v>@SridharPaladugu</v>
      </c>
      <c r="C7219" s="8" t="s">
        <v>16261</v>
      </c>
      <c r="D7219" s="8" t="s">
        <v>8538</v>
      </c>
      <c r="E7219" s="9" t="str">
        <f aca="false">HYPERLINK("https://twitter.com/SridharPaladugu/status/922507148055187457","922507148055187457")</f>
        <v>922507148055187457</v>
      </c>
      <c r="F7219" s="10" t="s">
        <v>39</v>
      </c>
      <c r="G7219" s="10" t="n">
        <v>550</v>
      </c>
      <c r="H7219" s="10" t="n">
        <v>83</v>
      </c>
      <c r="I7219" s="10" t="n">
        <v>1015</v>
      </c>
      <c r="J7219" s="10" t="n">
        <v>0</v>
      </c>
      <c r="K7219" s="10" t="s">
        <v>20</v>
      </c>
      <c r="L7219" s="11" t="n">
        <v>41539.4864583333</v>
      </c>
      <c r="M7219" s="12"/>
      <c r="N7219" s="12" t="s">
        <v>16262</v>
      </c>
      <c r="O7219" s="9" t="str">
        <f aca="false">HYPERLINK("https://pbs.twimg.com/profile_images/427448976229810176/9ZRfKRw4_normal.jpeg","View")</f>
        <v>View</v>
      </c>
      <c r="P7219" s="10"/>
    </row>
    <row r="7220" customFormat="false" ht="15.75" hidden="false" customHeight="false" outlineLevel="0" collapsed="false">
      <c r="A7220" s="6" t="n">
        <v>43031.4147685185</v>
      </c>
      <c r="B7220" s="7" t="str">
        <f aca="false">HYPERLINK("https://twitter.com/komarova5675","@komarova5675")</f>
        <v>@komarova5675</v>
      </c>
      <c r="C7220" s="8" t="s">
        <v>16263</v>
      </c>
      <c r="D7220" s="8" t="s">
        <v>16264</v>
      </c>
      <c r="E7220" s="9" t="str">
        <f aca="false">HYPERLINK("https://twitter.com/komarova5675/status/922507225804947457","922507225804947457")</f>
        <v>922507225804947457</v>
      </c>
      <c r="F7220" s="9" t="s">
        <v>1147</v>
      </c>
      <c r="G7220" s="10" t="n">
        <v>0</v>
      </c>
      <c r="H7220" s="10" t="n">
        <v>2</v>
      </c>
      <c r="I7220" s="10" t="n">
        <v>0</v>
      </c>
      <c r="J7220" s="10" t="n">
        <v>0</v>
      </c>
      <c r="K7220" s="10" t="s">
        <v>20</v>
      </c>
      <c r="L7220" s="11" t="n">
        <v>43013.0932060185</v>
      </c>
      <c r="M7220" s="12"/>
      <c r="N7220" s="12"/>
      <c r="O7220" s="9" t="str">
        <f aca="false">HYPERLINK("https://pbs.twimg.com/profile_images/922058810885251072/11NkzPiN_normal.jpg","View")</f>
        <v>View</v>
      </c>
      <c r="P7220" s="10"/>
    </row>
    <row r="7221" customFormat="false" ht="15.75" hidden="false" customHeight="false" outlineLevel="0" collapsed="false">
      <c r="A7221" s="6" t="n">
        <v>43031.4148263889</v>
      </c>
      <c r="B7221" s="7" t="str">
        <f aca="false">HYPERLINK("https://twitter.com/sengarajay235","@sengarajay235")</f>
        <v>@sengarajay235</v>
      </c>
      <c r="C7221" s="8" t="s">
        <v>16265</v>
      </c>
      <c r="D7221" s="8" t="s">
        <v>13320</v>
      </c>
      <c r="E7221" s="9" t="str">
        <f aca="false">HYPERLINK("https://twitter.com/sengarajay235/status/922507247258710018","922507247258710018")</f>
        <v>922507247258710018</v>
      </c>
      <c r="F7221" s="10" t="s">
        <v>25</v>
      </c>
      <c r="G7221" s="10" t="n">
        <v>16077</v>
      </c>
      <c r="H7221" s="10" t="n">
        <v>1005</v>
      </c>
      <c r="I7221" s="10" t="n">
        <v>5</v>
      </c>
      <c r="J7221" s="10" t="n">
        <v>0</v>
      </c>
      <c r="K7221" s="10" t="s">
        <v>20</v>
      </c>
      <c r="L7221" s="11" t="n">
        <v>42547.9680208333</v>
      </c>
      <c r="M7221" s="12" t="s">
        <v>16266</v>
      </c>
      <c r="N7221" s="12" t="s">
        <v>16267</v>
      </c>
      <c r="O7221" s="9" t="str">
        <f aca="false">HYPERLINK("https://pbs.twimg.com/profile_images/914143515914862592/G8W64Ko5_normal.jpg","View")</f>
        <v>View</v>
      </c>
      <c r="P7221" s="10"/>
    </row>
    <row r="7222" customFormat="false" ht="15.75" hidden="false" customHeight="false" outlineLevel="0" collapsed="false">
      <c r="A7222" s="6" t="n">
        <v>43031.4153472222</v>
      </c>
      <c r="B7222" s="7" t="str">
        <f aca="false">HYPERLINK("https://twitter.com/harish_purohit","@harish_purohit")</f>
        <v>@harish_purohit</v>
      </c>
      <c r="C7222" s="8" t="s">
        <v>15603</v>
      </c>
      <c r="D7222" s="8" t="s">
        <v>13320</v>
      </c>
      <c r="E7222" s="9" t="str">
        <f aca="false">HYPERLINK("https://twitter.com/harish_purohit/status/922507435012603904","922507435012603904")</f>
        <v>922507435012603904</v>
      </c>
      <c r="F7222" s="10" t="s">
        <v>25</v>
      </c>
      <c r="G7222" s="10" t="n">
        <v>18677</v>
      </c>
      <c r="H7222" s="10" t="n">
        <v>5880</v>
      </c>
      <c r="I7222" s="10" t="n">
        <v>5</v>
      </c>
      <c r="J7222" s="10" t="n">
        <v>0</v>
      </c>
      <c r="K7222" s="10" t="s">
        <v>20</v>
      </c>
      <c r="L7222" s="11" t="n">
        <v>40272.5109953704</v>
      </c>
      <c r="M7222" s="12"/>
      <c r="N7222" s="12" t="s">
        <v>15604</v>
      </c>
      <c r="O7222" s="9" t="str">
        <f aca="false">HYPERLINK("https://pbs.twimg.com/profile_images/832158664786006017/TUQsb_jf_normal.jpg","View")</f>
        <v>View</v>
      </c>
      <c r="P7222" s="10"/>
    </row>
    <row r="7223" customFormat="false" ht="15.75" hidden="false" customHeight="false" outlineLevel="0" collapsed="false">
      <c r="A7223" s="6" t="n">
        <v>43031.4157638889</v>
      </c>
      <c r="B7223" s="7" t="str">
        <f aca="false">HYPERLINK("https://twitter.com/FXProPrincess","@FXProPrincess")</f>
        <v>@FXProPrincess</v>
      </c>
      <c r="C7223" s="8" t="s">
        <v>16268</v>
      </c>
      <c r="D7223" s="8" t="s">
        <v>16203</v>
      </c>
      <c r="E7223" s="9" t="str">
        <f aca="false">HYPERLINK("https://twitter.com/FXProPrincess/status/922507586145894400","922507586145894400")</f>
        <v>922507586145894400</v>
      </c>
      <c r="F7223" s="10" t="s">
        <v>39</v>
      </c>
      <c r="G7223" s="10" t="n">
        <v>8</v>
      </c>
      <c r="H7223" s="10" t="n">
        <v>5</v>
      </c>
      <c r="I7223" s="10" t="n">
        <v>10</v>
      </c>
      <c r="J7223" s="10" t="n">
        <v>0</v>
      </c>
      <c r="K7223" s="10" t="s">
        <v>20</v>
      </c>
      <c r="L7223" s="11" t="n">
        <v>40934.8133101852</v>
      </c>
      <c r="M7223" s="12"/>
      <c r="N7223" s="12"/>
      <c r="O7223" s="9" t="str">
        <f aca="false">HYPERLINK("https://abs.twimg.com/sticky/default_profile_images/default_profile_normal.png","View")</f>
        <v>View</v>
      </c>
      <c r="P7223" s="10"/>
    </row>
    <row r="7224" customFormat="false" ht="15.75" hidden="false" customHeight="false" outlineLevel="0" collapsed="false">
      <c r="A7224" s="6" t="n">
        <v>43031.415787037</v>
      </c>
      <c r="B7224" s="7" t="str">
        <f aca="false">HYPERLINK("https://twitter.com/Kaveio1","@Kaveio1")</f>
        <v>@Kaveio1</v>
      </c>
      <c r="C7224" s="8" t="s">
        <v>16269</v>
      </c>
      <c r="D7224" s="8" t="s">
        <v>16258</v>
      </c>
      <c r="E7224" s="9" t="str">
        <f aca="false">HYPERLINK("https://twitter.com/Kaveio1/status/922507594819874817","922507594819874817")</f>
        <v>922507594819874817</v>
      </c>
      <c r="F7224" s="10" t="s">
        <v>98</v>
      </c>
      <c r="G7224" s="10" t="n">
        <v>924</v>
      </c>
      <c r="H7224" s="10" t="n">
        <v>1166</v>
      </c>
      <c r="I7224" s="10" t="n">
        <v>3</v>
      </c>
      <c r="J7224" s="10" t="n">
        <v>0</v>
      </c>
      <c r="K7224" s="10" t="s">
        <v>20</v>
      </c>
      <c r="L7224" s="11" t="n">
        <v>41260.175162037</v>
      </c>
      <c r="M7224" s="12" t="s">
        <v>16270</v>
      </c>
      <c r="N7224" s="12" t="s">
        <v>16271</v>
      </c>
      <c r="O7224" s="9" t="str">
        <f aca="false">HYPERLINK("https://pbs.twimg.com/profile_images/678273302058659840/y18kdFNi_normal.jpg","View")</f>
        <v>View</v>
      </c>
      <c r="P7224" s="10"/>
    </row>
    <row r="7225" customFormat="false" ht="15.75" hidden="false" customHeight="false" outlineLevel="0" collapsed="false">
      <c r="A7225" s="6" t="n">
        <v>43031.4161458333</v>
      </c>
      <c r="B7225" s="7" t="str">
        <f aca="false">HYPERLINK("https://twitter.com/francmolica","@francmolica")</f>
        <v>@francmolica</v>
      </c>
      <c r="C7225" s="8" t="s">
        <v>16272</v>
      </c>
      <c r="D7225" s="8" t="s">
        <v>16273</v>
      </c>
      <c r="E7225" s="9" t="str">
        <f aca="false">HYPERLINK("https://twitter.com/francmolica/status/922507722985213956","922507722985213956")</f>
        <v>922507722985213956</v>
      </c>
      <c r="F7225" s="10" t="s">
        <v>25</v>
      </c>
      <c r="G7225" s="10" t="n">
        <v>27274</v>
      </c>
      <c r="H7225" s="10" t="n">
        <v>21115</v>
      </c>
      <c r="I7225" s="10" t="n">
        <v>2</v>
      </c>
      <c r="J7225" s="10" t="n">
        <v>0</v>
      </c>
      <c r="K7225" s="10" t="s">
        <v>20</v>
      </c>
      <c r="L7225" s="11" t="n">
        <v>42243.2721180556</v>
      </c>
      <c r="M7225" s="12" t="s">
        <v>16274</v>
      </c>
      <c r="N7225" s="12" t="s">
        <v>16275</v>
      </c>
      <c r="O7225" s="9" t="str">
        <f aca="false">HYPERLINK("https://pbs.twimg.com/profile_images/917902016298483712/HTzhHZCY_normal.jpg","View")</f>
        <v>View</v>
      </c>
      <c r="P7225" s="10"/>
    </row>
    <row r="7226" customFormat="false" ht="15.75" hidden="false" customHeight="false" outlineLevel="0" collapsed="false">
      <c r="A7226" s="6" t="n">
        <v>43031.4162731481</v>
      </c>
      <c r="B7226" s="7" t="str">
        <f aca="false">HYPERLINK("https://twitter.com/CouponsDeals_","@CouponsDeals_")</f>
        <v>@CouponsDeals_</v>
      </c>
      <c r="C7226" s="8" t="s">
        <v>16276</v>
      </c>
      <c r="D7226" s="8" t="s">
        <v>16277</v>
      </c>
      <c r="E7226" s="9" t="str">
        <f aca="false">HYPERLINK("https://twitter.com/CouponsDeals_/status/922507769621766144","922507769621766144")</f>
        <v>922507769621766144</v>
      </c>
      <c r="F7226" s="10" t="s">
        <v>55</v>
      </c>
      <c r="G7226" s="10" t="n">
        <v>1005</v>
      </c>
      <c r="H7226" s="10" t="n">
        <v>1316</v>
      </c>
      <c r="I7226" s="10" t="n">
        <v>0</v>
      </c>
      <c r="J7226" s="10" t="n">
        <v>0</v>
      </c>
      <c r="K7226" s="10" t="s">
        <v>20</v>
      </c>
      <c r="L7226" s="11" t="n">
        <v>40864.254212963</v>
      </c>
      <c r="M7226" s="12"/>
      <c r="N7226" s="12"/>
      <c r="O7226" s="9" t="str">
        <f aca="false">HYPERLINK("https://pbs.twimg.com/profile_images/1646301554/plannerws_normal.jpg","View")</f>
        <v>View</v>
      </c>
      <c r="P7226" s="10"/>
    </row>
    <row r="7227" customFormat="false" ht="15.75" hidden="false" customHeight="false" outlineLevel="0" collapsed="false">
      <c r="A7227" s="6" t="n">
        <v>43031.4167476852</v>
      </c>
      <c r="B7227" s="7" t="str">
        <f aca="false">HYPERLINK("https://twitter.com/FXDivaReal","@FXDivaReal")</f>
        <v>@FXDivaReal</v>
      </c>
      <c r="C7227" s="8" t="s">
        <v>16278</v>
      </c>
      <c r="D7227" s="8" t="s">
        <v>16203</v>
      </c>
      <c r="E7227" s="9" t="str">
        <f aca="false">HYPERLINK("https://twitter.com/FXDivaReal/status/922507944373055488","922507944373055488")</f>
        <v>922507944373055488</v>
      </c>
      <c r="F7227" s="10" t="s">
        <v>39</v>
      </c>
      <c r="G7227" s="10" t="n">
        <v>17</v>
      </c>
      <c r="H7227" s="10" t="n">
        <v>11</v>
      </c>
      <c r="I7227" s="10" t="n">
        <v>10</v>
      </c>
      <c r="J7227" s="10" t="n">
        <v>0</v>
      </c>
      <c r="K7227" s="10" t="s">
        <v>20</v>
      </c>
      <c r="L7227" s="11" t="n">
        <v>40934.8066666667</v>
      </c>
      <c r="M7227" s="12"/>
      <c r="N7227" s="12"/>
      <c r="O7227" s="9" t="str">
        <f aca="false">HYPERLINK("https://abs.twimg.com/sticky/default_profile_images/default_profile_normal.png","View")</f>
        <v>View</v>
      </c>
      <c r="P7227" s="10"/>
    </row>
    <row r="7228" customFormat="false" ht="15.75" hidden="false" customHeight="false" outlineLevel="0" collapsed="false">
      <c r="A7228" s="6" t="n">
        <v>43031.4168287037</v>
      </c>
      <c r="B7228" s="7" t="str">
        <f aca="false">HYPERLINK("https://twitter.com/webnauta5_9","@webnauta5_9")</f>
        <v>@webnauta5_9</v>
      </c>
      <c r="C7228" s="8" t="s">
        <v>16279</v>
      </c>
      <c r="D7228" s="8" t="s">
        <v>16258</v>
      </c>
      <c r="E7228" s="9" t="str">
        <f aca="false">HYPERLINK("https://twitter.com/webnauta5_9/status/922507969979387905","922507969979387905")</f>
        <v>922507969979387905</v>
      </c>
      <c r="F7228" s="10" t="s">
        <v>25</v>
      </c>
      <c r="G7228" s="10" t="n">
        <v>3331</v>
      </c>
      <c r="H7228" s="10" t="n">
        <v>3730</v>
      </c>
      <c r="I7228" s="10" t="n">
        <v>3</v>
      </c>
      <c r="J7228" s="10" t="n">
        <v>0</v>
      </c>
      <c r="K7228" s="10" t="s">
        <v>20</v>
      </c>
      <c r="L7228" s="11" t="n">
        <v>42067.2167361111</v>
      </c>
      <c r="M7228" s="12" t="s">
        <v>13704</v>
      </c>
      <c r="N7228" s="12" t="s">
        <v>16280</v>
      </c>
      <c r="O7228" s="9" t="str">
        <f aca="false">HYPERLINK("https://pbs.twimg.com/profile_images/887734771060756480/GdALMDTL_normal.jpg","View")</f>
        <v>View</v>
      </c>
      <c r="P7228" s="10"/>
    </row>
    <row r="7229" customFormat="false" ht="15.75" hidden="false" customHeight="false" outlineLevel="0" collapsed="false">
      <c r="A7229" s="6" t="n">
        <v>43031.4171643519</v>
      </c>
      <c r="B7229" s="7" t="str">
        <f aca="false">HYPERLINK("https://twitter.com/4everVancouver","@4everVancouver")</f>
        <v>@4everVancouver</v>
      </c>
      <c r="C7229" s="8" t="s">
        <v>16281</v>
      </c>
      <c r="D7229" s="8" t="s">
        <v>16226</v>
      </c>
      <c r="E7229" s="9" t="str">
        <f aca="false">HYPERLINK("https://twitter.com/4everVancouver/status/922508091400232960","922508091400232960")</f>
        <v>922508091400232960</v>
      </c>
      <c r="F7229" s="10" t="s">
        <v>51</v>
      </c>
      <c r="G7229" s="10" t="n">
        <v>177</v>
      </c>
      <c r="H7229" s="10" t="n">
        <v>480</v>
      </c>
      <c r="I7229" s="10" t="n">
        <v>19</v>
      </c>
      <c r="J7229" s="10" t="n">
        <v>0</v>
      </c>
      <c r="K7229" s="10" t="s">
        <v>20</v>
      </c>
      <c r="L7229" s="11" t="n">
        <v>42289.4998726852</v>
      </c>
      <c r="M7229" s="12" t="s">
        <v>16282</v>
      </c>
      <c r="N7229" s="12" t="s">
        <v>16283</v>
      </c>
      <c r="O7229" s="9" t="str">
        <f aca="false">HYPERLINK("https://pbs.twimg.com/profile_images/818643761336942592/wo6AabJU_normal.jpg","View")</f>
        <v>View</v>
      </c>
      <c r="P7229" s="10"/>
    </row>
    <row r="7230" customFormat="false" ht="15.75" hidden="false" customHeight="false" outlineLevel="0" collapsed="false">
      <c r="A7230" s="6" t="n">
        <v>43031.4171875</v>
      </c>
      <c r="B7230" s="7" t="str">
        <f aca="false">HYPERLINK("https://twitter.com/Estherlennaert1","@Estherlennaert1")</f>
        <v>@Estherlennaert1</v>
      </c>
      <c r="C7230" s="8" t="s">
        <v>16284</v>
      </c>
      <c r="D7230" s="8" t="s">
        <v>16226</v>
      </c>
      <c r="E7230" s="9" t="str">
        <f aca="false">HYPERLINK("https://twitter.com/Estherlennaert1/status/922508102469025792","922508102469025792")</f>
        <v>922508102469025792</v>
      </c>
      <c r="F7230" s="10" t="s">
        <v>98</v>
      </c>
      <c r="G7230" s="10" t="n">
        <v>118</v>
      </c>
      <c r="H7230" s="10" t="n">
        <v>222</v>
      </c>
      <c r="I7230" s="10" t="n">
        <v>19</v>
      </c>
      <c r="J7230" s="10" t="n">
        <v>0</v>
      </c>
      <c r="K7230" s="10" t="s">
        <v>20</v>
      </c>
      <c r="L7230" s="11" t="n">
        <v>42723.1893865741</v>
      </c>
      <c r="M7230" s="12" t="s">
        <v>3832</v>
      </c>
      <c r="N7230" s="12"/>
      <c r="O7230" s="9" t="str">
        <f aca="false">HYPERLINK("https://pbs.twimg.com/profile_images/907858432442728448/i61sgRS5_normal.jpg","View")</f>
        <v>View</v>
      </c>
      <c r="P7230" s="10"/>
    </row>
    <row r="7231" customFormat="false" ht="15.75" hidden="false" customHeight="false" outlineLevel="0" collapsed="false">
      <c r="A7231" s="6" t="n">
        <v>43031.417650463</v>
      </c>
      <c r="B7231" s="7" t="str">
        <f aca="false">HYPERLINK("https://twitter.com/TonerBuyer","@TonerBuyer")</f>
        <v>@TonerBuyer</v>
      </c>
      <c r="C7231" s="8" t="s">
        <v>16285</v>
      </c>
      <c r="D7231" s="8" t="s">
        <v>16286</v>
      </c>
      <c r="E7231" s="9" t="str">
        <f aca="false">HYPERLINK("https://twitter.com/TonerBuyer/status/922508270564077568","922508270564077568")</f>
        <v>922508270564077568</v>
      </c>
      <c r="F7231" s="10" t="s">
        <v>39</v>
      </c>
      <c r="G7231" s="10" t="n">
        <v>2794</v>
      </c>
      <c r="H7231" s="10" t="n">
        <v>4991</v>
      </c>
      <c r="I7231" s="10" t="n">
        <v>0</v>
      </c>
      <c r="J7231" s="10" t="n">
        <v>0</v>
      </c>
      <c r="K7231" s="10" t="s">
        <v>20</v>
      </c>
      <c r="L7231" s="11" t="n">
        <v>41154.7825115741</v>
      </c>
      <c r="M7231" s="12" t="s">
        <v>16287</v>
      </c>
      <c r="N7231" s="12" t="s">
        <v>16288</v>
      </c>
      <c r="O7231" s="9" t="str">
        <f aca="false">HYPERLINK("https://pbs.twimg.com/profile_images/863869318764810240/L24dOj5G_normal.jpg","View")</f>
        <v>View</v>
      </c>
      <c r="P7231" s="10"/>
    </row>
    <row r="7232" customFormat="false" ht="15.75" hidden="false" customHeight="false" outlineLevel="0" collapsed="false">
      <c r="A7232" s="6" t="n">
        <v>43031.4176736111</v>
      </c>
      <c r="B7232" s="7" t="str">
        <f aca="false">HYPERLINK("https://twitter.com/atlantesindia","@atlantesindia")</f>
        <v>@atlantesindia</v>
      </c>
      <c r="C7232" s="8" t="s">
        <v>16289</v>
      </c>
      <c r="D7232" s="8" t="s">
        <v>13320</v>
      </c>
      <c r="E7232" s="9" t="str">
        <f aca="false">HYPERLINK("https://twitter.com/atlantesindia/status/922508277786615808","922508277786615808")</f>
        <v>922508277786615808</v>
      </c>
      <c r="F7232" s="10" t="s">
        <v>25</v>
      </c>
      <c r="G7232" s="10" t="n">
        <v>2649</v>
      </c>
      <c r="H7232" s="10" t="n">
        <v>3108</v>
      </c>
      <c r="I7232" s="10" t="n">
        <v>5</v>
      </c>
      <c r="J7232" s="10" t="n">
        <v>0</v>
      </c>
      <c r="K7232" s="10" t="s">
        <v>20</v>
      </c>
      <c r="L7232" s="11" t="n">
        <v>42390.0685416667</v>
      </c>
      <c r="M7232" s="12" t="s">
        <v>8728</v>
      </c>
      <c r="N7232" s="12" t="s">
        <v>16290</v>
      </c>
      <c r="O7232" s="9" t="str">
        <f aca="false">HYPERLINK("https://abs.twimg.com/sticky/default_profile_images/default_profile_normal.png","View")</f>
        <v>View</v>
      </c>
      <c r="P7232" s="10"/>
    </row>
    <row r="7233" customFormat="false" ht="15.75" hidden="false" customHeight="false" outlineLevel="0" collapsed="false">
      <c r="A7233" s="6" t="n">
        <v>43031.4178472222</v>
      </c>
      <c r="B7233" s="7" t="str">
        <f aca="false">HYPERLINK("https://twitter.com/jaynya13","@jaynya13")</f>
        <v>@jaynya13</v>
      </c>
      <c r="C7233" s="8" t="s">
        <v>16291</v>
      </c>
      <c r="D7233" s="8" t="s">
        <v>16226</v>
      </c>
      <c r="E7233" s="9" t="str">
        <f aca="false">HYPERLINK("https://twitter.com/jaynya13/status/922508341208846337","922508341208846337")</f>
        <v>922508341208846337</v>
      </c>
      <c r="F7233" s="10" t="s">
        <v>25</v>
      </c>
      <c r="G7233" s="10" t="n">
        <v>2120</v>
      </c>
      <c r="H7233" s="10" t="n">
        <v>1885</v>
      </c>
      <c r="I7233" s="10" t="n">
        <v>19</v>
      </c>
      <c r="J7233" s="10" t="n">
        <v>0</v>
      </c>
      <c r="K7233" s="10" t="s">
        <v>20</v>
      </c>
      <c r="L7233" s="11" t="n">
        <v>40130.3759953704</v>
      </c>
      <c r="M7233" s="12" t="s">
        <v>16292</v>
      </c>
      <c r="N7233" s="12" t="s">
        <v>16293</v>
      </c>
      <c r="O7233" s="9" t="str">
        <f aca="false">HYPERLINK("https://pbs.twimg.com/profile_images/872609001640517634/oLdAxfWC_normal.jpg","View")</f>
        <v>View</v>
      </c>
      <c r="P7233" s="10"/>
    </row>
    <row r="7234" customFormat="false" ht="15.75" hidden="false" customHeight="false" outlineLevel="0" collapsed="false">
      <c r="A7234" s="6" t="n">
        <v>43031.417974537</v>
      </c>
      <c r="B7234" s="7" t="str">
        <f aca="false">HYPERLINK("https://twitter.com/gwtspppa","@gwtspppa")</f>
        <v>@gwtspppa</v>
      </c>
      <c r="C7234" s="8" t="s">
        <v>16294</v>
      </c>
      <c r="D7234" s="8" t="s">
        <v>16295</v>
      </c>
      <c r="E7234" s="9" t="str">
        <f aca="false">HYPERLINK("https://twitter.com/gwtspppa/status/922508387102760960","922508387102760960")</f>
        <v>922508387102760960</v>
      </c>
      <c r="F7234" s="10" t="s">
        <v>110</v>
      </c>
      <c r="G7234" s="10" t="n">
        <v>1047</v>
      </c>
      <c r="H7234" s="10" t="n">
        <v>657</v>
      </c>
      <c r="I7234" s="10" t="n">
        <v>0</v>
      </c>
      <c r="J7234" s="10" t="n">
        <v>0</v>
      </c>
      <c r="K7234" s="10" t="s">
        <v>20</v>
      </c>
      <c r="L7234" s="11" t="n">
        <v>40011.4174189815</v>
      </c>
      <c r="M7234" s="12" t="s">
        <v>723</v>
      </c>
      <c r="N7234" s="12" t="s">
        <v>16296</v>
      </c>
      <c r="O7234" s="9" t="str">
        <f aca="false">HYPERLINK("https://pbs.twimg.com/profile_images/378800000572256396/7e788c963a09f72ee0b6524df8f11bf1_normal.jpeg","View")</f>
        <v>View</v>
      </c>
      <c r="P7234" s="10"/>
    </row>
    <row r="7235" customFormat="false" ht="15.75" hidden="false" customHeight="false" outlineLevel="0" collapsed="false">
      <c r="A7235" s="6" t="n">
        <v>43031.4183912037</v>
      </c>
      <c r="B7235" s="7" t="str">
        <f aca="false">HYPERLINK("https://twitter.com/BobbyJHays","@BobbyJHays")</f>
        <v>@BobbyJHays</v>
      </c>
      <c r="C7235" s="8" t="s">
        <v>16297</v>
      </c>
      <c r="D7235" s="8" t="s">
        <v>16226</v>
      </c>
      <c r="E7235" s="9" t="str">
        <f aca="false">HYPERLINK("https://twitter.com/BobbyJHays/status/922508536902385666","922508536902385666")</f>
        <v>922508536902385666</v>
      </c>
      <c r="F7235" s="10" t="s">
        <v>39</v>
      </c>
      <c r="G7235" s="10" t="n">
        <v>1159</v>
      </c>
      <c r="H7235" s="10" t="n">
        <v>968</v>
      </c>
      <c r="I7235" s="10" t="n">
        <v>19</v>
      </c>
      <c r="J7235" s="10" t="n">
        <v>0</v>
      </c>
      <c r="K7235" s="10" t="s">
        <v>20</v>
      </c>
      <c r="L7235" s="11" t="n">
        <v>41150.8572916667</v>
      </c>
      <c r="M7235" s="12" t="s">
        <v>4590</v>
      </c>
      <c r="N7235" s="12" t="s">
        <v>16298</v>
      </c>
      <c r="O7235" s="9" t="str">
        <f aca="false">HYPERLINK("https://pbs.twimg.com/profile_images/900872140525666305/b8TavS2C_normal.jpg","View")</f>
        <v>View</v>
      </c>
      <c r="P7235" s="10"/>
    </row>
    <row r="7236" customFormat="false" ht="15.75" hidden="false" customHeight="false" outlineLevel="0" collapsed="false">
      <c r="A7236" s="6" t="n">
        <v>43031.4185069444</v>
      </c>
      <c r="B7236" s="7" t="str">
        <f aca="false">HYPERLINK("https://twitter.com/JonLuckhurst","@JonLuckhurst")</f>
        <v>@JonLuckhurst</v>
      </c>
      <c r="C7236" s="8" t="s">
        <v>16299</v>
      </c>
      <c r="D7236" s="8" t="s">
        <v>16300</v>
      </c>
      <c r="E7236" s="9" t="str">
        <f aca="false">HYPERLINK("https://twitter.com/JonLuckhurst/status/922508578027720704","922508578027720704")</f>
        <v>922508578027720704</v>
      </c>
      <c r="F7236" s="10" t="s">
        <v>39</v>
      </c>
      <c r="G7236" s="10" t="n">
        <v>455</v>
      </c>
      <c r="H7236" s="10" t="n">
        <v>232</v>
      </c>
      <c r="I7236" s="10" t="n">
        <v>0</v>
      </c>
      <c r="J7236" s="10" t="n">
        <v>0</v>
      </c>
      <c r="K7236" s="10" t="s">
        <v>20</v>
      </c>
      <c r="L7236" s="11" t="n">
        <v>39994.5205902778</v>
      </c>
      <c r="M7236" s="12"/>
      <c r="N7236" s="12" t="s">
        <v>16301</v>
      </c>
      <c r="O7236" s="9" t="str">
        <f aca="false">HYPERLINK("https://pbs.twimg.com/profile_images/1792624968/me_at_wedding_normal.jpg","View")</f>
        <v>View</v>
      </c>
      <c r="P7236" s="10"/>
    </row>
    <row r="7237" customFormat="false" ht="15.75" hidden="false" customHeight="false" outlineLevel="0" collapsed="false">
      <c r="A7237" s="6" t="n">
        <v>43031.41875</v>
      </c>
      <c r="B7237" s="7" t="str">
        <f aca="false">HYPERLINK("https://twitter.com/theirnews","@theirnews")</f>
        <v>@theirnews</v>
      </c>
      <c r="C7237" s="8" t="s">
        <v>16302</v>
      </c>
      <c r="D7237" s="8" t="s">
        <v>16303</v>
      </c>
      <c r="E7237" s="9" t="str">
        <f aca="false">HYPERLINK("https://twitter.com/theirnews/status/922508669094264834","922508669094264834")</f>
        <v>922508669094264834</v>
      </c>
      <c r="F7237" s="10" t="s">
        <v>276</v>
      </c>
      <c r="G7237" s="10" t="n">
        <v>53237</v>
      </c>
      <c r="H7237" s="10" t="n">
        <v>1523</v>
      </c>
      <c r="I7237" s="10" t="n">
        <v>4</v>
      </c>
      <c r="J7237" s="10" t="n">
        <v>7</v>
      </c>
      <c r="K7237" s="10" t="s">
        <v>20</v>
      </c>
      <c r="L7237" s="11" t="n">
        <v>41318.6809606481</v>
      </c>
      <c r="M7237" s="12"/>
      <c r="N7237" s="12" t="s">
        <v>16304</v>
      </c>
      <c r="O7237" s="9" t="str">
        <f aca="false">HYPERLINK("https://pbs.twimg.com/profile_images/877158723793412096/rYeMlb6c_normal.jpg","View")</f>
        <v>View</v>
      </c>
      <c r="P7237" s="10"/>
    </row>
    <row r="7238" customFormat="false" ht="15.75" hidden="false" customHeight="false" outlineLevel="0" collapsed="false">
      <c r="A7238" s="6" t="n">
        <v>43031.4187615741</v>
      </c>
      <c r="B7238" s="7" t="str">
        <f aca="false">HYPERLINK("https://twitter.com/theirworld","@theirworld")</f>
        <v>@theirworld</v>
      </c>
      <c r="C7238" s="8" t="s">
        <v>16305</v>
      </c>
      <c r="D7238" s="8" t="s">
        <v>16306</v>
      </c>
      <c r="E7238" s="9" t="str">
        <f aca="false">HYPERLINK("https://twitter.com/theirworld/status/922508672806342656","922508672806342656")</f>
        <v>922508672806342656</v>
      </c>
      <c r="F7238" s="10" t="s">
        <v>276</v>
      </c>
      <c r="G7238" s="10" t="n">
        <v>5446</v>
      </c>
      <c r="H7238" s="10" t="n">
        <v>1274</v>
      </c>
      <c r="I7238" s="10" t="n">
        <v>2</v>
      </c>
      <c r="J7238" s="10" t="n">
        <v>0</v>
      </c>
      <c r="K7238" s="10" t="s">
        <v>20</v>
      </c>
      <c r="L7238" s="11" t="n">
        <v>39912.1131828704</v>
      </c>
      <c r="M7238" s="12" t="s">
        <v>16307</v>
      </c>
      <c r="N7238" s="12" t="s">
        <v>16308</v>
      </c>
      <c r="O7238" s="9" t="str">
        <f aca="false">HYPERLINK("https://pbs.twimg.com/profile_images/378800000833479836/bc7776bfb324b4558732055cf66affed_normal.jpeg","View")</f>
        <v>View</v>
      </c>
      <c r="P7238" s="10"/>
    </row>
    <row r="7239" customFormat="false" ht="15.75" hidden="false" customHeight="false" outlineLevel="0" collapsed="false">
      <c r="A7239" s="6" t="n">
        <v>43031.4188194445</v>
      </c>
      <c r="B7239" s="7" t="str">
        <f aca="false">HYPERLINK("https://twitter.com/Iluvmy_India","@Iluvmy_India")</f>
        <v>@Iluvmy_India</v>
      </c>
      <c r="C7239" s="8" t="s">
        <v>16309</v>
      </c>
      <c r="D7239" s="8" t="s">
        <v>8538</v>
      </c>
      <c r="E7239" s="9" t="str">
        <f aca="false">HYPERLINK("https://twitter.com/Iluvmy_India/status/922508694536851456","922508694536851456")</f>
        <v>922508694536851456</v>
      </c>
      <c r="F7239" s="10" t="s">
        <v>25</v>
      </c>
      <c r="G7239" s="10" t="n">
        <v>73</v>
      </c>
      <c r="H7239" s="10" t="n">
        <v>292</v>
      </c>
      <c r="I7239" s="10" t="n">
        <v>1015</v>
      </c>
      <c r="J7239" s="10" t="n">
        <v>0</v>
      </c>
      <c r="K7239" s="10" t="s">
        <v>20</v>
      </c>
      <c r="L7239" s="11" t="n">
        <v>42325.2558680556</v>
      </c>
      <c r="M7239" s="12" t="s">
        <v>12148</v>
      </c>
      <c r="N7239" s="12"/>
      <c r="O7239" s="9" t="str">
        <f aca="false">HYPERLINK("https://pbs.twimg.com/profile_images/666619991467294721/arIZEIQW_normal.jpg","View")</f>
        <v>View</v>
      </c>
      <c r="P7239" s="10"/>
    </row>
    <row r="7240" customFormat="false" ht="15.75" hidden="false" customHeight="false" outlineLevel="0" collapsed="false">
      <c r="A7240" s="6" t="n">
        <v>43031.4194560185</v>
      </c>
      <c r="B7240" s="7" t="str">
        <f aca="false">HYPERLINK("https://twitter.com/dpoeaton","@dpoeaton")</f>
        <v>@dpoeaton</v>
      </c>
      <c r="C7240" s="8" t="s">
        <v>16310</v>
      </c>
      <c r="D7240" s="8" t="s">
        <v>16311</v>
      </c>
      <c r="E7240" s="9" t="str">
        <f aca="false">HYPERLINK("https://twitter.com/dpoeaton/status/922508925911601152","922508925911601152")</f>
        <v>922508925911601152</v>
      </c>
      <c r="F7240" s="10" t="s">
        <v>51</v>
      </c>
      <c r="G7240" s="10" t="n">
        <v>318</v>
      </c>
      <c r="H7240" s="10" t="n">
        <v>359</v>
      </c>
      <c r="I7240" s="10" t="n">
        <v>1</v>
      </c>
      <c r="J7240" s="10" t="n">
        <v>0</v>
      </c>
      <c r="K7240" s="10" t="s">
        <v>20</v>
      </c>
      <c r="L7240" s="11" t="n">
        <v>41065.4829050926</v>
      </c>
      <c r="M7240" s="12" t="s">
        <v>893</v>
      </c>
      <c r="N7240" s="12" t="s">
        <v>16312</v>
      </c>
      <c r="O7240" s="9" t="str">
        <f aca="false">HYPERLINK("https://pbs.twimg.com/profile_images/642820218042077186/spl4Um8W_normal.jpg","View")</f>
        <v>View</v>
      </c>
      <c r="P7240" s="10"/>
    </row>
    <row r="7241" customFormat="false" ht="15.75" hidden="false" customHeight="false" outlineLevel="0" collapsed="false">
      <c r="A7241" s="6" t="n">
        <v>43031.4203819444</v>
      </c>
      <c r="B7241" s="7" t="str">
        <f aca="false">HYPERLINK("https://twitter.com/bishakha","@bishakha")</f>
        <v>@bishakha</v>
      </c>
      <c r="C7241" s="8" t="s">
        <v>16313</v>
      </c>
      <c r="D7241" s="8" t="s">
        <v>16226</v>
      </c>
      <c r="E7241" s="9" t="str">
        <f aca="false">HYPERLINK("https://twitter.com/bishakha/status/922509258276577280","922509258276577280")</f>
        <v>922509258276577280</v>
      </c>
      <c r="F7241" s="10" t="s">
        <v>51</v>
      </c>
      <c r="G7241" s="10" t="n">
        <v>258</v>
      </c>
      <c r="H7241" s="10" t="n">
        <v>1626</v>
      </c>
      <c r="I7241" s="10" t="n">
        <v>19</v>
      </c>
      <c r="J7241" s="10" t="n">
        <v>0</v>
      </c>
      <c r="K7241" s="10" t="s">
        <v>20</v>
      </c>
      <c r="L7241" s="11" t="n">
        <v>39919.374375</v>
      </c>
      <c r="M7241" s="12"/>
      <c r="N7241" s="12" t="s">
        <v>16314</v>
      </c>
      <c r="O7241" s="9" t="str">
        <f aca="false">HYPERLINK("https://pbs.twimg.com/profile_images/1306997409/Hydrangeas_normal.jpg","View")</f>
        <v>View</v>
      </c>
      <c r="P7241" s="10"/>
    </row>
    <row r="7242" customFormat="false" ht="15.75" hidden="false" customHeight="false" outlineLevel="0" collapsed="false">
      <c r="A7242" s="6" t="n">
        <v>43031.4207175926</v>
      </c>
      <c r="B7242" s="7" t="str">
        <f aca="false">HYPERLINK("https://twitter.com/IbrahimHossainA","@IbrahimHossainA")</f>
        <v>@IbrahimHossainA</v>
      </c>
      <c r="C7242" s="8" t="s">
        <v>16315</v>
      </c>
      <c r="D7242" s="8" t="s">
        <v>16316</v>
      </c>
      <c r="E7242" s="9" t="str">
        <f aca="false">HYPERLINK("https://twitter.com/IbrahimHossainA/status/922509380377038848","922509380377038848")</f>
        <v>922509380377038848</v>
      </c>
      <c r="F7242" s="10" t="s">
        <v>60</v>
      </c>
      <c r="G7242" s="10" t="n">
        <v>1254</v>
      </c>
      <c r="H7242" s="10" t="n">
        <v>1869</v>
      </c>
      <c r="I7242" s="10" t="n">
        <v>0</v>
      </c>
      <c r="J7242" s="10" t="n">
        <v>0</v>
      </c>
      <c r="K7242" s="10" t="s">
        <v>20</v>
      </c>
      <c r="L7242" s="11" t="n">
        <v>42708.4203125</v>
      </c>
      <c r="M7242" s="12" t="s">
        <v>2875</v>
      </c>
      <c r="N7242" s="12" t="s">
        <v>16317</v>
      </c>
      <c r="O7242" s="9" t="str">
        <f aca="false">HYPERLINK("https://pbs.twimg.com/profile_images/856152910060584961/HrdKYh8E_normal.jpg","View")</f>
        <v>View</v>
      </c>
      <c r="P7242" s="10"/>
    </row>
    <row r="7243" customFormat="false" ht="15.75" hidden="false" customHeight="false" outlineLevel="0" collapsed="false">
      <c r="A7243" s="6" t="n">
        <v>43031.4216782408</v>
      </c>
      <c r="B7243" s="7" t="str">
        <f aca="false">HYPERLINK("https://twitter.com/flwrpwr1969","@flwrpwr1969")</f>
        <v>@flwrpwr1969</v>
      </c>
      <c r="C7243" s="8" t="s">
        <v>16318</v>
      </c>
      <c r="D7243" s="8" t="s">
        <v>16319</v>
      </c>
      <c r="E7243" s="9" t="str">
        <f aca="false">HYPERLINK("https://twitter.com/flwrpwr1969/status/922509728646881280","922509728646881280")</f>
        <v>922509728646881280</v>
      </c>
      <c r="F7243" s="10" t="s">
        <v>51</v>
      </c>
      <c r="G7243" s="10" t="n">
        <v>7684</v>
      </c>
      <c r="H7243" s="10" t="n">
        <v>7256</v>
      </c>
      <c r="I7243" s="10" t="n">
        <v>1</v>
      </c>
      <c r="J7243" s="10" t="n">
        <v>0</v>
      </c>
      <c r="K7243" s="10" t="s">
        <v>20</v>
      </c>
      <c r="L7243" s="11" t="n">
        <v>41359.652662037</v>
      </c>
      <c r="M7243" s="12" t="s">
        <v>16320</v>
      </c>
      <c r="N7243" s="12" t="s">
        <v>16321</v>
      </c>
      <c r="O7243" s="9" t="str">
        <f aca="false">HYPERLINK("https://pbs.twimg.com/profile_images/378800000122282895/2ec93c73f4b4c254498f725492304d6b_normal.jpeg","View")</f>
        <v>View</v>
      </c>
      <c r="P7243" s="10"/>
    </row>
    <row r="7244" customFormat="false" ht="15.75" hidden="false" customHeight="false" outlineLevel="0" collapsed="false">
      <c r="A7244" s="6" t="n">
        <v>43031.4221643519</v>
      </c>
      <c r="B7244" s="7" t="str">
        <f aca="false">HYPERLINK("https://twitter.com/AbhimanyuDhruv","@AbhimanyuDhruv")</f>
        <v>@AbhimanyuDhruv</v>
      </c>
      <c r="C7244" s="8" t="s">
        <v>16322</v>
      </c>
      <c r="D7244" s="8" t="s">
        <v>8538</v>
      </c>
      <c r="E7244" s="9" t="str">
        <f aca="false">HYPERLINK("https://twitter.com/AbhimanyuDhruv/status/922509905751396353","922509905751396353")</f>
        <v>922509905751396353</v>
      </c>
      <c r="F7244" s="10" t="s">
        <v>51</v>
      </c>
      <c r="G7244" s="10" t="n">
        <v>411</v>
      </c>
      <c r="H7244" s="10" t="n">
        <v>591</v>
      </c>
      <c r="I7244" s="10" t="n">
        <v>1015</v>
      </c>
      <c r="J7244" s="10" t="n">
        <v>0</v>
      </c>
      <c r="K7244" s="10" t="s">
        <v>20</v>
      </c>
      <c r="L7244" s="11" t="n">
        <v>40335.2762962963</v>
      </c>
      <c r="M7244" s="12" t="s">
        <v>87</v>
      </c>
      <c r="N7244" s="12" t="s">
        <v>16323</v>
      </c>
      <c r="O7244" s="9" t="str">
        <f aca="false">HYPERLINK("https://pbs.twimg.com/profile_images/436217361473875968/Q_iJ9aY5_normal.jpeg","View")</f>
        <v>View</v>
      </c>
      <c r="P7244" s="10"/>
    </row>
    <row r="7245" customFormat="false" ht="15.75" hidden="false" customHeight="false" outlineLevel="0" collapsed="false">
      <c r="A7245" s="6" t="n">
        <v>43031.4225231481</v>
      </c>
      <c r="B7245" s="7" t="str">
        <f aca="false">HYPERLINK("https://twitter.com/didierdelmer","@didierdelmer")</f>
        <v>@didierdelmer</v>
      </c>
      <c r="C7245" s="8" t="s">
        <v>16324</v>
      </c>
      <c r="D7245" s="8" t="s">
        <v>13595</v>
      </c>
      <c r="E7245" s="9" t="str">
        <f aca="false">HYPERLINK("https://twitter.com/didierdelmer/status/922510035741130753","922510035741130753")</f>
        <v>922510035741130753</v>
      </c>
      <c r="F7245" s="10" t="s">
        <v>51</v>
      </c>
      <c r="G7245" s="10" t="n">
        <v>19648</v>
      </c>
      <c r="H7245" s="10" t="n">
        <v>12994</v>
      </c>
      <c r="I7245" s="10" t="n">
        <v>88</v>
      </c>
      <c r="J7245" s="10" t="n">
        <v>0</v>
      </c>
      <c r="K7245" s="10" t="s">
        <v>20</v>
      </c>
      <c r="L7245" s="11" t="n">
        <v>39272.1671527778</v>
      </c>
      <c r="M7245" s="12" t="s">
        <v>16325</v>
      </c>
      <c r="N7245" s="12" t="s">
        <v>16326</v>
      </c>
      <c r="O7245" s="9" t="str">
        <f aca="false">HYPERLINK("https://pbs.twimg.com/profile_images/749347780657897473/EPMIfAjG_normal.jpg","View")</f>
        <v>View</v>
      </c>
      <c r="P7245" s="10"/>
    </row>
    <row r="7246" customFormat="false" ht="15.75" hidden="false" customHeight="false" outlineLevel="0" collapsed="false">
      <c r="A7246" s="6" t="n">
        <v>43031.4226851852</v>
      </c>
      <c r="B7246" s="7" t="str">
        <f aca="false">HYPERLINK("https://twitter.com/matrix____","@matrix____")</f>
        <v>@matrix____</v>
      </c>
      <c r="C7246" s="8" t="s">
        <v>3429</v>
      </c>
      <c r="D7246" s="8" t="s">
        <v>16226</v>
      </c>
      <c r="E7246" s="9" t="str">
        <f aca="false">HYPERLINK("https://twitter.com/matrix____/status/922510096084561920","922510096084561920")</f>
        <v>922510096084561920</v>
      </c>
      <c r="F7246" s="10" t="s">
        <v>39</v>
      </c>
      <c r="G7246" s="10" t="n">
        <v>3025</v>
      </c>
      <c r="H7246" s="10" t="n">
        <v>99</v>
      </c>
      <c r="I7246" s="10" t="n">
        <v>19</v>
      </c>
      <c r="J7246" s="10" t="n">
        <v>0</v>
      </c>
      <c r="K7246" s="10" t="s">
        <v>20</v>
      </c>
      <c r="L7246" s="11" t="n">
        <v>40899.4175231482</v>
      </c>
      <c r="M7246" s="12"/>
      <c r="N7246" s="12" t="s">
        <v>3430</v>
      </c>
      <c r="O7246" s="9" t="str">
        <f aca="false">HYPERLINK("https://pbs.twimg.com/profile_images/2562735424/xehron89ogped2vk6umj_normal.jpeg","View")</f>
        <v>View</v>
      </c>
      <c r="P7246" s="10"/>
    </row>
    <row r="7247" customFormat="false" ht="15.75" hidden="false" customHeight="false" outlineLevel="0" collapsed="false">
      <c r="A7247" s="6" t="n">
        <v>43031.4227662037</v>
      </c>
      <c r="B7247" s="7" t="str">
        <f aca="false">HYPERLINK("https://twitter.com/TeacherWanjiku","@TeacherWanjiku")</f>
        <v>@TeacherWanjiku</v>
      </c>
      <c r="C7247" s="8" t="s">
        <v>16327</v>
      </c>
      <c r="D7247" s="8" t="s">
        <v>16328</v>
      </c>
      <c r="E7247" s="9" t="str">
        <f aca="false">HYPERLINK("https://twitter.com/TeacherWanjiku/status/922510123750363136","922510123750363136")</f>
        <v>922510123750363136</v>
      </c>
      <c r="F7247" s="10" t="s">
        <v>25</v>
      </c>
      <c r="G7247" s="10" t="n">
        <v>9362</v>
      </c>
      <c r="H7247" s="10" t="n">
        <v>980</v>
      </c>
      <c r="I7247" s="10" t="n">
        <v>2</v>
      </c>
      <c r="J7247" s="10" t="n">
        <v>0</v>
      </c>
      <c r="K7247" s="10" t="s">
        <v>20</v>
      </c>
      <c r="L7247" s="11" t="n">
        <v>40980.2109837963</v>
      </c>
      <c r="M7247" s="12" t="s">
        <v>13780</v>
      </c>
      <c r="N7247" s="12" t="s">
        <v>16329</v>
      </c>
      <c r="O7247" s="9" t="str">
        <f aca="false">HYPERLINK("https://pbs.twimg.com/profile_images/814951958163423232/VMjDZm6O_normal.jpg","View")</f>
        <v>View</v>
      </c>
      <c r="P7247" s="10"/>
    </row>
    <row r="7248" customFormat="false" ht="15.75" hidden="false" customHeight="false" outlineLevel="0" collapsed="false">
      <c r="A7248" s="6" t="n">
        <v>43031.4231481481</v>
      </c>
      <c r="B7248" s="7" t="str">
        <f aca="false">HYPERLINK("https://twitter.com/Kaushikj2017","@Kaushikj2017")</f>
        <v>@Kaushikj2017</v>
      </c>
      <c r="C7248" s="8" t="s">
        <v>16330</v>
      </c>
      <c r="D7248" s="8" t="s">
        <v>16151</v>
      </c>
      <c r="E7248" s="9" t="str">
        <f aca="false">HYPERLINK("https://twitter.com/Kaushikj2017/status/922510263147999232","922510263147999232")</f>
        <v>922510263147999232</v>
      </c>
      <c r="F7248" s="10" t="s">
        <v>8280</v>
      </c>
      <c r="G7248" s="10" t="n">
        <v>1</v>
      </c>
      <c r="H7248" s="10" t="n">
        <v>0</v>
      </c>
      <c r="I7248" s="10" t="n">
        <v>2</v>
      </c>
      <c r="J7248" s="10" t="n">
        <v>0</v>
      </c>
      <c r="K7248" s="10" t="s">
        <v>20</v>
      </c>
      <c r="L7248" s="11" t="n">
        <v>42769.3320138889</v>
      </c>
      <c r="M7248" s="12"/>
      <c r="N7248" s="12"/>
      <c r="O7248" s="9" t="str">
        <f aca="false">HYPERLINK("https://abs.twimg.com/sticky/default_profile_images/default_profile_normal.png","View")</f>
        <v>View</v>
      </c>
      <c r="P7248" s="10"/>
    </row>
    <row r="7249" customFormat="false" ht="15.75" hidden="false" customHeight="false" outlineLevel="0" collapsed="false">
      <c r="A7249" s="6" t="n">
        <v>43031.4244560185</v>
      </c>
      <c r="B7249" s="7" t="str">
        <f aca="false">HYPERLINK("https://twitter.com/australizer","@australizer")</f>
        <v>@australizer</v>
      </c>
      <c r="C7249" s="8" t="s">
        <v>16331</v>
      </c>
      <c r="D7249" s="8" t="s">
        <v>16332</v>
      </c>
      <c r="E7249" s="9" t="str">
        <f aca="false">HYPERLINK("https://twitter.com/australizer/status/922510737184100352","922510737184100352")</f>
        <v>922510737184100352</v>
      </c>
      <c r="F7249" s="10" t="s">
        <v>5782</v>
      </c>
      <c r="G7249" s="10" t="n">
        <v>1533</v>
      </c>
      <c r="H7249" s="10" t="n">
        <v>418</v>
      </c>
      <c r="I7249" s="10" t="n">
        <v>0</v>
      </c>
      <c r="J7249" s="10" t="n">
        <v>0</v>
      </c>
      <c r="K7249" s="10" t="s">
        <v>20</v>
      </c>
      <c r="L7249" s="11" t="n">
        <v>41987.5316782407</v>
      </c>
      <c r="M7249" s="12" t="s">
        <v>1199</v>
      </c>
      <c r="N7249" s="12" t="s">
        <v>16333</v>
      </c>
      <c r="O7249" s="9" t="str">
        <f aca="false">HYPERLINK("https://pbs.twimg.com/profile_images/544232582020210689/4XKtv5uU_normal.png","View")</f>
        <v>View</v>
      </c>
      <c r="P7249" s="10"/>
    </row>
    <row r="7250" customFormat="false" ht="15.75" hidden="false" customHeight="false" outlineLevel="0" collapsed="false">
      <c r="A7250" s="6" t="n">
        <v>43031.4254050926</v>
      </c>
      <c r="B7250" s="7" t="str">
        <f aca="false">HYPERLINK("https://twitter.com/varunurav08","@varunurav08")</f>
        <v>@varunurav08</v>
      </c>
      <c r="C7250" s="8" t="s">
        <v>16334</v>
      </c>
      <c r="D7250" s="8" t="s">
        <v>15790</v>
      </c>
      <c r="E7250" s="9" t="str">
        <f aca="false">HYPERLINK("https://twitter.com/varunurav08/status/922511077849448448","922511077849448448")</f>
        <v>922511077849448448</v>
      </c>
      <c r="F7250" s="10" t="s">
        <v>25</v>
      </c>
      <c r="G7250" s="10" t="n">
        <v>94</v>
      </c>
      <c r="H7250" s="10" t="n">
        <v>16</v>
      </c>
      <c r="I7250" s="10" t="n">
        <v>10</v>
      </c>
      <c r="J7250" s="10" t="n">
        <v>0</v>
      </c>
      <c r="K7250" s="10" t="s">
        <v>20</v>
      </c>
      <c r="L7250" s="11" t="n">
        <v>40274.2915277778</v>
      </c>
      <c r="M7250" s="12"/>
      <c r="N7250" s="12" t="s">
        <v>16335</v>
      </c>
      <c r="O7250" s="9" t="str">
        <f aca="false">HYPERLINK("https://pbs.twimg.com/profile_images/810471165206536192/UTZvFecJ_normal.jpg","View")</f>
        <v>View</v>
      </c>
      <c r="P7250" s="10"/>
    </row>
    <row r="7251" customFormat="false" ht="15.75" hidden="false" customHeight="false" outlineLevel="0" collapsed="false">
      <c r="A7251" s="6" t="n">
        <v>43031.4267361111</v>
      </c>
      <c r="B7251" s="7" t="str">
        <f aca="false">HYPERLINK("https://twitter.com/shalin5960","@shalin5960")</f>
        <v>@shalin5960</v>
      </c>
      <c r="C7251" s="8" t="s">
        <v>812</v>
      </c>
      <c r="D7251" s="8" t="s">
        <v>16336</v>
      </c>
      <c r="E7251" s="9" t="str">
        <f aca="false">HYPERLINK("https://twitter.com/shalin5960/status/922511561914273792","922511561914273792")</f>
        <v>922511561914273792</v>
      </c>
      <c r="F7251" s="10" t="s">
        <v>60</v>
      </c>
      <c r="G7251" s="10" t="n">
        <v>235</v>
      </c>
      <c r="H7251" s="10" t="n">
        <v>167</v>
      </c>
      <c r="I7251" s="10" t="n">
        <v>0</v>
      </c>
      <c r="J7251" s="10" t="n">
        <v>0</v>
      </c>
      <c r="K7251" s="10" t="s">
        <v>20</v>
      </c>
      <c r="L7251" s="11" t="n">
        <v>40276.4158564815</v>
      </c>
      <c r="M7251" s="12" t="s">
        <v>814</v>
      </c>
      <c r="N7251" s="12" t="s">
        <v>815</v>
      </c>
      <c r="O7251" s="9" t="str">
        <f aca="false">HYPERLINK("https://pbs.twimg.com/profile_images/883907510070935552/d2p-brHu_normal.jpg","View")</f>
        <v>View</v>
      </c>
      <c r="P7251" s="10"/>
    </row>
    <row r="7252" customFormat="false" ht="15.75" hidden="false" customHeight="false" outlineLevel="0" collapsed="false">
      <c r="A7252" s="6" t="n">
        <v>43031.426875</v>
      </c>
      <c r="B7252" s="7" t="str">
        <f aca="false">HYPERLINK("https://twitter.com/ErNamdeo","@ErNamdeo")</f>
        <v>@ErNamdeo</v>
      </c>
      <c r="C7252" s="8" t="s">
        <v>16337</v>
      </c>
      <c r="D7252" s="8" t="s">
        <v>8538</v>
      </c>
      <c r="E7252" s="9" t="str">
        <f aca="false">HYPERLINK("https://twitter.com/ErNamdeo/status/922511612614807552","922511612614807552")</f>
        <v>922511612614807552</v>
      </c>
      <c r="F7252" s="10" t="s">
        <v>25</v>
      </c>
      <c r="G7252" s="10" t="n">
        <v>434</v>
      </c>
      <c r="H7252" s="10" t="n">
        <v>658</v>
      </c>
      <c r="I7252" s="10" t="n">
        <v>1015</v>
      </c>
      <c r="J7252" s="10" t="n">
        <v>0</v>
      </c>
      <c r="K7252" s="10" t="s">
        <v>20</v>
      </c>
      <c r="L7252" s="11" t="n">
        <v>40222.0124768519</v>
      </c>
      <c r="M7252" s="12" t="s">
        <v>16338</v>
      </c>
      <c r="N7252" s="12" t="s">
        <v>16339</v>
      </c>
      <c r="O7252" s="9" t="str">
        <f aca="false">HYPERLINK("https://pbs.twimg.com/profile_images/898426179912212480/5igA28N0_normal.jpg","View")</f>
        <v>View</v>
      </c>
      <c r="P7252" s="10"/>
    </row>
    <row r="7253" customFormat="false" ht="15.75" hidden="false" customHeight="false" outlineLevel="0" collapsed="false">
      <c r="A7253" s="6" t="n">
        <v>43031.4280324074</v>
      </c>
      <c r="B7253" s="7" t="str">
        <f aca="false">HYPERLINK("https://twitter.com/livemint","@livemint")</f>
        <v>@livemint</v>
      </c>
      <c r="C7253" s="8" t="s">
        <v>816</v>
      </c>
      <c r="D7253" s="8" t="s">
        <v>16340</v>
      </c>
      <c r="E7253" s="9" t="str">
        <f aca="false">HYPERLINK("https://twitter.com/livemint/status/922512031831482368","922512031831482368")</f>
        <v>922512031831482368</v>
      </c>
      <c r="F7253" s="10" t="s">
        <v>60</v>
      </c>
      <c r="G7253" s="10" t="n">
        <v>1692767</v>
      </c>
      <c r="H7253" s="10" t="n">
        <v>352</v>
      </c>
      <c r="I7253" s="10" t="n">
        <v>2</v>
      </c>
      <c r="J7253" s="10" t="n">
        <v>9</v>
      </c>
      <c r="K7253" s="10" t="s">
        <v>20</v>
      </c>
      <c r="L7253" s="11" t="n">
        <v>39779.0469675926</v>
      </c>
      <c r="M7253" s="12" t="s">
        <v>72</v>
      </c>
      <c r="N7253" s="12" t="s">
        <v>818</v>
      </c>
      <c r="O7253" s="9" t="str">
        <f aca="false">HYPERLINK("https://pbs.twimg.com/profile_images/786768566280458240/10bMmNvU_normal.jpg","View")</f>
        <v>View</v>
      </c>
      <c r="P7253" s="10"/>
    </row>
    <row r="7254" customFormat="false" ht="15.75" hidden="false" customHeight="false" outlineLevel="0" collapsed="false">
      <c r="A7254" s="6" t="n">
        <v>43031.4284837963</v>
      </c>
      <c r="B7254" s="7" t="str">
        <f aca="false">HYPERLINK("https://twitter.com/zrthzmri","@zrthzmri")</f>
        <v>@zrthzmri</v>
      </c>
      <c r="C7254" s="8" t="s">
        <v>16341</v>
      </c>
      <c r="D7254" s="8" t="s">
        <v>16226</v>
      </c>
      <c r="E7254" s="9" t="str">
        <f aca="false">HYPERLINK("https://twitter.com/zrthzmri/status/922512194847178753","922512194847178753")</f>
        <v>922512194847178753</v>
      </c>
      <c r="F7254" s="10" t="s">
        <v>51</v>
      </c>
      <c r="G7254" s="10" t="n">
        <v>133</v>
      </c>
      <c r="H7254" s="10" t="n">
        <v>129</v>
      </c>
      <c r="I7254" s="10" t="n">
        <v>19</v>
      </c>
      <c r="J7254" s="10" t="n">
        <v>0</v>
      </c>
      <c r="K7254" s="10" t="s">
        <v>20</v>
      </c>
      <c r="L7254" s="11" t="n">
        <v>40766.896412037</v>
      </c>
      <c r="M7254" s="12" t="s">
        <v>2797</v>
      </c>
      <c r="N7254" s="12" t="s">
        <v>16342</v>
      </c>
      <c r="O7254" s="9" t="str">
        <f aca="false">HYPERLINK("https://pbs.twimg.com/profile_images/923824858344992768/T0c8TX12_normal.jpg","View")</f>
        <v>View</v>
      </c>
      <c r="P7254" s="10"/>
    </row>
    <row r="7255" customFormat="false" ht="15.75" hidden="false" customHeight="false" outlineLevel="0" collapsed="false">
      <c r="A7255" s="6" t="n">
        <v>43031.4285532407</v>
      </c>
      <c r="B7255" s="7" t="str">
        <f aca="false">HYPERLINK("https://twitter.com/IndiasBigdebate","@IndiasBigdebate")</f>
        <v>@IndiasBigdebate</v>
      </c>
      <c r="C7255" s="8" t="s">
        <v>2302</v>
      </c>
      <c r="D7255" s="8" t="s">
        <v>16343</v>
      </c>
      <c r="E7255" s="9" t="str">
        <f aca="false">HYPERLINK("https://twitter.com/IndiasBigdebate/status/922512220847726593","922512220847726593")</f>
        <v>922512220847726593</v>
      </c>
      <c r="F7255" s="10" t="s">
        <v>25</v>
      </c>
      <c r="G7255" s="10" t="n">
        <v>1137</v>
      </c>
      <c r="H7255" s="10" t="n">
        <v>195</v>
      </c>
      <c r="I7255" s="10" t="n">
        <v>2</v>
      </c>
      <c r="J7255" s="10" t="n">
        <v>0</v>
      </c>
      <c r="K7255" s="10" t="s">
        <v>20</v>
      </c>
      <c r="L7255" s="11" t="n">
        <v>42216.4747916667</v>
      </c>
      <c r="M7255" s="12" t="s">
        <v>72</v>
      </c>
      <c r="N7255" s="12" t="s">
        <v>2303</v>
      </c>
      <c r="O7255" s="9" t="str">
        <f aca="false">HYPERLINK("https://pbs.twimg.com/profile_images/747690422248538112/8vtnmm--_normal.jpg","View")</f>
        <v>View</v>
      </c>
      <c r="P7255" s="10"/>
    </row>
    <row r="7256" customFormat="false" ht="15.75" hidden="false" customHeight="false" outlineLevel="0" collapsed="false">
      <c r="A7256" s="6" t="n">
        <v>43031.4299074074</v>
      </c>
      <c r="B7256" s="7" t="str">
        <f aca="false">HYPERLINK("https://twitter.com/AntonLaGuardia","@AntonLaGuardia")</f>
        <v>@AntonLaGuardia</v>
      </c>
      <c r="C7256" s="8" t="s">
        <v>16344</v>
      </c>
      <c r="D7256" s="8" t="s">
        <v>16345</v>
      </c>
      <c r="E7256" s="9" t="str">
        <f aca="false">HYPERLINK("https://twitter.com/AntonLaGuardia/status/922512713397481472","922512713397481472")</f>
        <v>922512713397481472</v>
      </c>
      <c r="F7256" s="10" t="s">
        <v>268</v>
      </c>
      <c r="G7256" s="10" t="n">
        <v>24517</v>
      </c>
      <c r="H7256" s="10" t="n">
        <v>844</v>
      </c>
      <c r="I7256" s="10" t="n">
        <v>0</v>
      </c>
      <c r="J7256" s="10" t="n">
        <v>0</v>
      </c>
      <c r="K7256" s="10" t="s">
        <v>20</v>
      </c>
      <c r="L7256" s="11" t="n">
        <v>40603.3629861111</v>
      </c>
      <c r="M7256" s="12" t="s">
        <v>893</v>
      </c>
      <c r="N7256" s="12" t="s">
        <v>16346</v>
      </c>
      <c r="O7256" s="9" t="str">
        <f aca="false">HYPERLINK("https://pbs.twimg.com/profile_images/3608120175/641670d8318088a23f55291d5604fcdc_normal.jpeg","View")</f>
        <v>View</v>
      </c>
      <c r="P7256" s="10"/>
    </row>
    <row r="7257" customFormat="false" ht="15.75" hidden="false" customHeight="false" outlineLevel="0" collapsed="false">
      <c r="A7257" s="6" t="n">
        <v>43031.4302430556</v>
      </c>
      <c r="B7257" s="7" t="str">
        <f aca="false">HYPERLINK("https://twitter.com/AficionadoYash","@AficionadoYash")</f>
        <v>@AficionadoYash</v>
      </c>
      <c r="C7257" s="8" t="s">
        <v>819</v>
      </c>
      <c r="D7257" s="8" t="s">
        <v>16347</v>
      </c>
      <c r="E7257" s="9" t="str">
        <f aca="false">HYPERLINK("https://twitter.com/AficionadoYash/status/922512833736269825","922512833736269825")</f>
        <v>922512833736269825</v>
      </c>
      <c r="F7257" s="10" t="s">
        <v>60</v>
      </c>
      <c r="G7257" s="10" t="n">
        <v>2582</v>
      </c>
      <c r="H7257" s="10" t="n">
        <v>948</v>
      </c>
      <c r="I7257" s="10" t="n">
        <v>0</v>
      </c>
      <c r="J7257" s="10" t="n">
        <v>0</v>
      </c>
      <c r="K7257" s="10" t="s">
        <v>20</v>
      </c>
      <c r="L7257" s="11" t="n">
        <v>40905.1268287037</v>
      </c>
      <c r="M7257" s="12" t="s">
        <v>72</v>
      </c>
      <c r="N7257" s="12" t="s">
        <v>821</v>
      </c>
      <c r="O7257" s="9" t="str">
        <f aca="false">HYPERLINK("https://pbs.twimg.com/profile_images/731065154129928192/gauLWTlp_normal.jpg","View")</f>
        <v>View</v>
      </c>
      <c r="P7257" s="10"/>
    </row>
    <row r="7258" customFormat="false" ht="15.75" hidden="false" customHeight="false" outlineLevel="0" collapsed="false">
      <c r="A7258" s="6" t="n">
        <v>43031.4306018519</v>
      </c>
      <c r="B7258" s="7" t="str">
        <f aca="false">HYPERLINK("https://twitter.com/itinittu","@itinittu")</f>
        <v>@itinittu</v>
      </c>
      <c r="C7258" s="14" t="s">
        <v>16348</v>
      </c>
      <c r="D7258" s="8" t="s">
        <v>16226</v>
      </c>
      <c r="E7258" s="9" t="str">
        <f aca="false">HYPERLINK("https://twitter.com/itinittu/status/922512961825992704","922512961825992704")</f>
        <v>922512961825992704</v>
      </c>
      <c r="F7258" s="10" t="s">
        <v>51</v>
      </c>
      <c r="G7258" s="10" t="n">
        <v>497</v>
      </c>
      <c r="H7258" s="10" t="n">
        <v>1354</v>
      </c>
      <c r="I7258" s="10" t="n">
        <v>19</v>
      </c>
      <c r="J7258" s="10" t="n">
        <v>0</v>
      </c>
      <c r="K7258" s="10" t="s">
        <v>20</v>
      </c>
      <c r="L7258" s="11" t="n">
        <v>40565.8453703704</v>
      </c>
      <c r="M7258" s="12"/>
      <c r="N7258" s="13" t="s">
        <v>16349</v>
      </c>
      <c r="O7258" s="9" t="str">
        <f aca="false">HYPERLINK("https://pbs.twimg.com/profile_images/1255277964/___086_normal.jpg","View")</f>
        <v>View</v>
      </c>
      <c r="P7258" s="10"/>
    </row>
    <row r="7259" customFormat="false" ht="15.75" hidden="false" customHeight="false" outlineLevel="0" collapsed="false">
      <c r="A7259" s="6" t="n">
        <v>43031.4318634259</v>
      </c>
      <c r="B7259" s="7" t="str">
        <f aca="false">HYPERLINK("https://twitter.com/Nuwagaba","@Nuwagaba")</f>
        <v>@Nuwagaba</v>
      </c>
      <c r="C7259" s="8" t="s">
        <v>16350</v>
      </c>
      <c r="D7259" s="8" t="s">
        <v>16351</v>
      </c>
      <c r="E7259" s="9" t="str">
        <f aca="false">HYPERLINK("https://twitter.com/Nuwagaba/status/922513420209065984","922513420209065984")</f>
        <v>922513420209065984</v>
      </c>
      <c r="F7259" s="10" t="s">
        <v>51</v>
      </c>
      <c r="G7259" s="10" t="n">
        <v>836</v>
      </c>
      <c r="H7259" s="10" t="n">
        <v>585</v>
      </c>
      <c r="I7259" s="10" t="n">
        <v>4</v>
      </c>
      <c r="J7259" s="10" t="n">
        <v>0</v>
      </c>
      <c r="K7259" s="10" t="s">
        <v>20</v>
      </c>
      <c r="L7259" s="11" t="n">
        <v>39895.0102662037</v>
      </c>
      <c r="M7259" s="12" t="s">
        <v>16352</v>
      </c>
      <c r="N7259" s="12" t="s">
        <v>16353</v>
      </c>
      <c r="O7259" s="9" t="str">
        <f aca="false">HYPERLINK("https://pbs.twimg.com/profile_images/748818781523369984/YiRsnmWh_normal.jpg","View")</f>
        <v>View</v>
      </c>
      <c r="P7259" s="10"/>
    </row>
    <row r="7260" customFormat="false" ht="15.75" hidden="false" customHeight="false" outlineLevel="0" collapsed="false">
      <c r="A7260" s="6" t="n">
        <v>43031.4325694444</v>
      </c>
      <c r="B7260" s="7" t="str">
        <f aca="false">HYPERLINK("https://twitter.com/GabbyOgbechie1","@GabbyOgbechie1")</f>
        <v>@GabbyOgbechie1</v>
      </c>
      <c r="C7260" s="8" t="s">
        <v>16354</v>
      </c>
      <c r="D7260" s="8" t="s">
        <v>16355</v>
      </c>
      <c r="E7260" s="9" t="str">
        <f aca="false">HYPERLINK("https://twitter.com/GabbyOgbechie1/status/922513676770390016","922513676770390016")</f>
        <v>922513676770390016</v>
      </c>
      <c r="F7260" s="10" t="s">
        <v>25</v>
      </c>
      <c r="G7260" s="10" t="n">
        <v>5053</v>
      </c>
      <c r="H7260" s="10" t="n">
        <v>5448</v>
      </c>
      <c r="I7260" s="10" t="n">
        <v>0</v>
      </c>
      <c r="J7260" s="10" t="n">
        <v>0</v>
      </c>
      <c r="K7260" s="10" t="s">
        <v>20</v>
      </c>
      <c r="L7260" s="11" t="n">
        <v>41416.5349421296</v>
      </c>
      <c r="M7260" s="12" t="s">
        <v>2645</v>
      </c>
      <c r="N7260" s="12" t="s">
        <v>16356</v>
      </c>
      <c r="O7260" s="9" t="str">
        <f aca="false">HYPERLINK("https://pbs.twimg.com/profile_images/475710173135122433/g6d6rAYp_normal.jpeg","View")</f>
        <v>View</v>
      </c>
      <c r="P7260" s="10"/>
    </row>
    <row r="7261" customFormat="false" ht="15.75" hidden="false" customHeight="false" outlineLevel="0" collapsed="false">
      <c r="A7261" s="6" t="n">
        <v>43031.4331712963</v>
      </c>
      <c r="B7261" s="7" t="str">
        <f aca="false">HYPERLINK("https://twitter.com/fujitayuh","@fujitayuh")</f>
        <v>@fujitayuh</v>
      </c>
      <c r="C7261" s="8" t="s">
        <v>2092</v>
      </c>
      <c r="D7261" s="8" t="s">
        <v>16226</v>
      </c>
      <c r="E7261" s="9" t="str">
        <f aca="false">HYPERLINK("https://twitter.com/fujitayuh/status/922513894181978112","922513894181978112")</f>
        <v>922513894181978112</v>
      </c>
      <c r="F7261" s="10" t="s">
        <v>177</v>
      </c>
      <c r="G7261" s="10" t="n">
        <v>457</v>
      </c>
      <c r="H7261" s="10" t="n">
        <v>265</v>
      </c>
      <c r="I7261" s="10" t="n">
        <v>19</v>
      </c>
      <c r="J7261" s="10" t="n">
        <v>0</v>
      </c>
      <c r="K7261" s="10" t="s">
        <v>20</v>
      </c>
      <c r="L7261" s="11" t="n">
        <v>40208.2397222222</v>
      </c>
      <c r="M7261" s="12" t="s">
        <v>2093</v>
      </c>
      <c r="N7261" s="13" t="s">
        <v>2094</v>
      </c>
      <c r="O7261" s="9" t="str">
        <f aca="false">HYPERLINK("https://pbs.twimg.com/profile_images/667191542/800px-Four_of_the_Seven_Sisters_normal.jpg","View")</f>
        <v>View</v>
      </c>
      <c r="P7261" s="10"/>
    </row>
    <row r="7262" customFormat="false" ht="15.75" hidden="false" customHeight="false" outlineLevel="0" collapsed="false">
      <c r="A7262" s="6" t="n">
        <v>43031.4334375</v>
      </c>
      <c r="B7262" s="7" t="str">
        <f aca="false">HYPERLINK("https://twitter.com/9t_news","@9t_news")</f>
        <v>@9t_news</v>
      </c>
      <c r="C7262" s="8" t="s">
        <v>16357</v>
      </c>
      <c r="D7262" s="8" t="s">
        <v>16358</v>
      </c>
      <c r="E7262" s="9" t="str">
        <f aca="false">HYPERLINK("https://twitter.com/9t_news/status/922513991728906241","922513991728906241")</f>
        <v>922513991728906241</v>
      </c>
      <c r="F7262" s="10" t="s">
        <v>12444</v>
      </c>
      <c r="G7262" s="10" t="n">
        <v>343</v>
      </c>
      <c r="H7262" s="10" t="n">
        <v>52</v>
      </c>
      <c r="I7262" s="10" t="n">
        <v>0</v>
      </c>
      <c r="J7262" s="10" t="n">
        <v>0</v>
      </c>
      <c r="K7262" s="10" t="s">
        <v>20</v>
      </c>
      <c r="L7262" s="11" t="n">
        <v>42011.3950810185</v>
      </c>
      <c r="M7262" s="12"/>
      <c r="N7262" s="12"/>
      <c r="O7262" s="9" t="str">
        <f aca="false">HYPERLINK("https://abs.twimg.com/sticky/default_profile_images/default_profile_normal.png","View")</f>
        <v>View</v>
      </c>
      <c r="P7262" s="10"/>
    </row>
    <row r="7263" customFormat="false" ht="15.75" hidden="false" customHeight="false" outlineLevel="0" collapsed="false">
      <c r="A7263" s="6" t="n">
        <v>43031.4352083333</v>
      </c>
      <c r="B7263" s="7" t="str">
        <f aca="false">HYPERLINK("https://twitter.com/sheikismail","@sheikismail")</f>
        <v>@sheikismail</v>
      </c>
      <c r="C7263" s="8" t="s">
        <v>8418</v>
      </c>
      <c r="D7263" s="8" t="s">
        <v>16359</v>
      </c>
      <c r="E7263" s="9" t="str">
        <f aca="false">HYPERLINK("https://twitter.com/sheikismail/status/922514630986960897","922514630986960897")</f>
        <v>922514630986960897</v>
      </c>
      <c r="F7263" s="10" t="s">
        <v>25</v>
      </c>
      <c r="G7263" s="10" t="n">
        <v>66</v>
      </c>
      <c r="H7263" s="10" t="n">
        <v>48</v>
      </c>
      <c r="I7263" s="10" t="n">
        <v>0</v>
      </c>
      <c r="J7263" s="10" t="n">
        <v>0</v>
      </c>
      <c r="K7263" s="10" t="s">
        <v>20</v>
      </c>
      <c r="L7263" s="11" t="n">
        <v>39727.2513310185</v>
      </c>
      <c r="M7263" s="12"/>
      <c r="N7263" s="12" t="s">
        <v>8420</v>
      </c>
      <c r="O7263" s="9" t="str">
        <f aca="false">HYPERLINK("https://pbs.twimg.com/profile_images/893836391708147712/p8xQaEbZ_normal.jpg","View")</f>
        <v>View</v>
      </c>
      <c r="P7263" s="10"/>
    </row>
    <row r="7264" customFormat="false" ht="15.75" hidden="false" customHeight="false" outlineLevel="0" collapsed="false">
      <c r="A7264" s="6" t="n">
        <v>43031.435775463</v>
      </c>
      <c r="B7264" s="7" t="str">
        <f aca="false">HYPERLINK("https://twitter.com/isumitksinha","@isumitksinha")</f>
        <v>@isumitksinha</v>
      </c>
      <c r="C7264" s="8" t="s">
        <v>855</v>
      </c>
      <c r="D7264" s="8" t="s">
        <v>16360</v>
      </c>
      <c r="E7264" s="9" t="str">
        <f aca="false">HYPERLINK("https://twitter.com/isumitksinha/status/922514837283975168","922514837283975168")</f>
        <v>922514837283975168</v>
      </c>
      <c r="F7264" s="10" t="s">
        <v>55</v>
      </c>
      <c r="G7264" s="10" t="n">
        <v>821</v>
      </c>
      <c r="H7264" s="10" t="n">
        <v>110</v>
      </c>
      <c r="I7264" s="10" t="n">
        <v>0</v>
      </c>
      <c r="J7264" s="10" t="n">
        <v>0</v>
      </c>
      <c r="K7264" s="10" t="s">
        <v>20</v>
      </c>
      <c r="L7264" s="11" t="n">
        <v>40211.2578125</v>
      </c>
      <c r="M7264" s="12" t="s">
        <v>857</v>
      </c>
      <c r="N7264" s="12" t="s">
        <v>858</v>
      </c>
      <c r="O7264" s="9" t="str">
        <f aca="false">HYPERLINK("https://pbs.twimg.com/profile_images/662292972654870528/N3kLvWAZ_normal.jpg","View")</f>
        <v>View</v>
      </c>
      <c r="P7264" s="10"/>
    </row>
    <row r="7265" customFormat="false" ht="15.75" hidden="false" customHeight="false" outlineLevel="0" collapsed="false">
      <c r="A7265" s="6" t="n">
        <v>43031.4375</v>
      </c>
      <c r="B7265" s="7" t="str">
        <f aca="false">HYPERLINK("https://twitter.com/keloland","@keloland")</f>
        <v>@keloland</v>
      </c>
      <c r="C7265" s="8" t="s">
        <v>16361</v>
      </c>
      <c r="D7265" s="8" t="s">
        <v>16362</v>
      </c>
      <c r="E7265" s="9" t="str">
        <f aca="false">HYPERLINK("https://twitter.com/keloland/status/922515464185577477","922515464185577477")</f>
        <v>922515464185577477</v>
      </c>
      <c r="F7265" s="10" t="s">
        <v>3677</v>
      </c>
      <c r="G7265" s="10" t="n">
        <v>80342</v>
      </c>
      <c r="H7265" s="10" t="n">
        <v>771</v>
      </c>
      <c r="I7265" s="10" t="n">
        <v>0</v>
      </c>
      <c r="J7265" s="10" t="n">
        <v>0</v>
      </c>
      <c r="K7265" s="10" t="s">
        <v>20</v>
      </c>
      <c r="L7265" s="11" t="n">
        <v>39717.5000115741</v>
      </c>
      <c r="M7265" s="12" t="s">
        <v>16363</v>
      </c>
      <c r="N7265" s="12" t="s">
        <v>16364</v>
      </c>
      <c r="O7265" s="9" t="str">
        <f aca="false">HYPERLINK("https://pbs.twimg.com/profile_images/814840481993457667/bLZiM8NC_normal.jpg","View")</f>
        <v>View</v>
      </c>
      <c r="P7265" s="10"/>
    </row>
    <row r="7266" customFormat="false" ht="15.75" hidden="false" customHeight="false" outlineLevel="0" collapsed="false">
      <c r="A7266" s="6" t="n">
        <v>43031.4384953704</v>
      </c>
      <c r="B7266" s="7" t="str">
        <f aca="false">HYPERLINK("https://twitter.com/jenkwn","@jenkwn")</f>
        <v>@jenkwn</v>
      </c>
      <c r="C7266" s="8" t="s">
        <v>16365</v>
      </c>
      <c r="D7266" s="8" t="s">
        <v>10225</v>
      </c>
      <c r="E7266" s="9" t="str">
        <f aca="false">HYPERLINK("https://twitter.com/jenkwn/status/922515823201107968","922515823201107968")</f>
        <v>922515823201107968</v>
      </c>
      <c r="F7266" s="10" t="s">
        <v>39</v>
      </c>
      <c r="G7266" s="10" t="n">
        <v>41</v>
      </c>
      <c r="H7266" s="10" t="n">
        <v>106</v>
      </c>
      <c r="I7266" s="10" t="n">
        <v>16</v>
      </c>
      <c r="J7266" s="10" t="n">
        <v>0</v>
      </c>
      <c r="K7266" s="10" t="s">
        <v>20</v>
      </c>
      <c r="L7266" s="11" t="n">
        <v>41879.3548148148</v>
      </c>
      <c r="M7266" s="12" t="s">
        <v>16366</v>
      </c>
      <c r="N7266" s="12" t="s">
        <v>16367</v>
      </c>
      <c r="O7266" s="9" t="str">
        <f aca="false">HYPERLINK("https://pbs.twimg.com/profile_images/835558346715385856/1Fh2_9Jm_normal.jpg","View")</f>
        <v>View</v>
      </c>
      <c r="P7266" s="10"/>
    </row>
    <row r="7267" customFormat="false" ht="15.75" hidden="false" customHeight="false" outlineLevel="0" collapsed="false">
      <c r="A7267" s="6" t="n">
        <v>43031.4387962963</v>
      </c>
      <c r="B7267" s="7" t="str">
        <f aca="false">HYPERLINK("https://twitter.com/3arti1yakitdahl","@3arti1yakitdahl")</f>
        <v>@3arti1yakitdahl</v>
      </c>
      <c r="C7267" s="8" t="s">
        <v>16368</v>
      </c>
      <c r="D7267" s="8" t="s">
        <v>14929</v>
      </c>
      <c r="E7267" s="9" t="str">
        <f aca="false">HYPERLINK("https://twitter.com/3arti1yakitdahl/status/922515930504220673","922515930504220673")</f>
        <v>922515930504220673</v>
      </c>
      <c r="F7267" s="10" t="s">
        <v>51</v>
      </c>
      <c r="G7267" s="10" t="n">
        <v>207</v>
      </c>
      <c r="H7267" s="10" t="n">
        <v>882</v>
      </c>
      <c r="I7267" s="10" t="n">
        <v>16</v>
      </c>
      <c r="J7267" s="10" t="n">
        <v>0</v>
      </c>
      <c r="K7267" s="10" t="s">
        <v>20</v>
      </c>
      <c r="L7267" s="11" t="n">
        <v>40761.7251157407</v>
      </c>
      <c r="M7267" s="12" t="s">
        <v>491</v>
      </c>
      <c r="N7267" s="12" t="s">
        <v>16369</v>
      </c>
      <c r="O7267" s="9" t="str">
        <f aca="false">HYPERLINK("https://pbs.twimg.com/profile_images/851396114326618113/AuuCtoBL_normal.jpg","View")</f>
        <v>View</v>
      </c>
      <c r="P7267" s="10"/>
    </row>
    <row r="7268" customFormat="false" ht="15.75" hidden="false" customHeight="false" outlineLevel="0" collapsed="false">
      <c r="A7268" s="6" t="n">
        <v>43031.4388888889</v>
      </c>
      <c r="B7268" s="7" t="str">
        <f aca="false">HYPERLINK("https://twitter.com/Krish_BJP","@Krish_BJP")</f>
        <v>@Krish_BJP</v>
      </c>
      <c r="C7268" s="8" t="s">
        <v>16370</v>
      </c>
      <c r="D7268" s="8" t="s">
        <v>8538</v>
      </c>
      <c r="E7268" s="9" t="str">
        <f aca="false">HYPERLINK("https://twitter.com/Krish_BJP/status/922515965161521152","922515965161521152")</f>
        <v>922515965161521152</v>
      </c>
      <c r="F7268" s="10" t="s">
        <v>25</v>
      </c>
      <c r="G7268" s="10" t="n">
        <v>395</v>
      </c>
      <c r="H7268" s="10" t="n">
        <v>1193</v>
      </c>
      <c r="I7268" s="10" t="n">
        <v>1015</v>
      </c>
      <c r="J7268" s="10" t="n">
        <v>0</v>
      </c>
      <c r="K7268" s="10" t="s">
        <v>20</v>
      </c>
      <c r="L7268" s="11" t="n">
        <v>42521.350775463</v>
      </c>
      <c r="M7268" s="12" t="s">
        <v>72</v>
      </c>
      <c r="N7268" s="12" t="s">
        <v>16371</v>
      </c>
      <c r="O7268" s="9" t="str">
        <f aca="false">HYPERLINK("https://pbs.twimg.com/profile_images/844224263993212934/iAi5NAUt_normal.jpg","View")</f>
        <v>View</v>
      </c>
      <c r="P7268" s="10"/>
    </row>
    <row r="7269" customFormat="false" ht="15.75" hidden="false" customHeight="false" outlineLevel="0" collapsed="false">
      <c r="A7269" s="6" t="n">
        <v>43031.4389236111</v>
      </c>
      <c r="B7269" s="7" t="str">
        <f aca="false">HYPERLINK("https://twitter.com/maryverobeach","@maryverobeach")</f>
        <v>@maryverobeach</v>
      </c>
      <c r="C7269" s="8" t="s">
        <v>16372</v>
      </c>
      <c r="D7269" s="8" t="s">
        <v>13595</v>
      </c>
      <c r="E7269" s="9" t="str">
        <f aca="false">HYPERLINK("https://twitter.com/maryverobeach/status/922515976800866305","922515976800866305")</f>
        <v>922515976800866305</v>
      </c>
      <c r="F7269" s="10" t="s">
        <v>51</v>
      </c>
      <c r="G7269" s="10" t="n">
        <v>407</v>
      </c>
      <c r="H7269" s="10" t="n">
        <v>410</v>
      </c>
      <c r="I7269" s="10" t="n">
        <v>88</v>
      </c>
      <c r="J7269" s="10" t="n">
        <v>0</v>
      </c>
      <c r="K7269" s="10" t="s">
        <v>20</v>
      </c>
      <c r="L7269" s="11" t="n">
        <v>42617.627025463</v>
      </c>
      <c r="M7269" s="12" t="s">
        <v>1961</v>
      </c>
      <c r="N7269" s="12"/>
      <c r="O7269" s="9" t="str">
        <f aca="false">HYPERLINK("https://pbs.twimg.com/profile_images/772570726394109952/Ir1ncuL4_normal.jpg","View")</f>
        <v>View</v>
      </c>
      <c r="P7269" s="10"/>
    </row>
    <row r="7270" customFormat="false" ht="15.75" hidden="false" customHeight="false" outlineLevel="0" collapsed="false">
      <c r="A7270" s="6" t="n">
        <v>43031.4402083333</v>
      </c>
      <c r="B7270" s="7" t="str">
        <f aca="false">HYPERLINK("https://twitter.com/newslivenetwork","@newslivenetwork")</f>
        <v>@newslivenetwork</v>
      </c>
      <c r="C7270" s="8" t="s">
        <v>1668</v>
      </c>
      <c r="D7270" s="8" t="s">
        <v>16373</v>
      </c>
      <c r="E7270" s="9" t="str">
        <f aca="false">HYPERLINK("https://twitter.com/newslivenetwork/status/922516445250183168","922516445250183168")</f>
        <v>922516445250183168</v>
      </c>
      <c r="F7270" s="10" t="s">
        <v>55</v>
      </c>
      <c r="G7270" s="10" t="n">
        <v>272</v>
      </c>
      <c r="H7270" s="10" t="n">
        <v>87</v>
      </c>
      <c r="I7270" s="10" t="n">
        <v>0</v>
      </c>
      <c r="J7270" s="10" t="n">
        <v>0</v>
      </c>
      <c r="K7270" s="10" t="s">
        <v>20</v>
      </c>
      <c r="L7270" s="11" t="n">
        <v>42741.4719675926</v>
      </c>
      <c r="M7270" s="12" t="s">
        <v>1670</v>
      </c>
      <c r="N7270" s="12" t="s">
        <v>1671</v>
      </c>
      <c r="O7270" s="9" t="str">
        <f aca="false">HYPERLINK("https://pbs.twimg.com/profile_images/877414144424660992/scfhocj3_normal.jpg","View")</f>
        <v>View</v>
      </c>
      <c r="P7270" s="10"/>
    </row>
    <row r="7271" customFormat="false" ht="15.75" hidden="false" customHeight="false" outlineLevel="0" collapsed="false">
      <c r="A7271" s="6" t="n">
        <v>43031.4411805556</v>
      </c>
      <c r="B7271" s="7" t="str">
        <f aca="false">HYPERLINK("https://twitter.com/EconomyWrld","@EconomyWrld")</f>
        <v>@EconomyWrld</v>
      </c>
      <c r="C7271" s="8" t="s">
        <v>16374</v>
      </c>
      <c r="D7271" s="8" t="s">
        <v>16375</v>
      </c>
      <c r="E7271" s="9" t="str">
        <f aca="false">HYPERLINK("https://twitter.com/EconomyWrld/status/922516797940748288","922516797940748288")</f>
        <v>922516797940748288</v>
      </c>
      <c r="F7271" s="10" t="s">
        <v>6032</v>
      </c>
      <c r="G7271" s="10" t="n">
        <v>38141</v>
      </c>
      <c r="H7271" s="10" t="n">
        <v>0</v>
      </c>
      <c r="I7271" s="10" t="n">
        <v>0</v>
      </c>
      <c r="J7271" s="10" t="n">
        <v>0</v>
      </c>
      <c r="K7271" s="10" t="s">
        <v>20</v>
      </c>
      <c r="L7271" s="11" t="n">
        <v>41220.5565277778</v>
      </c>
      <c r="M7271" s="12" t="s">
        <v>230</v>
      </c>
      <c r="N7271" s="12" t="s">
        <v>16376</v>
      </c>
      <c r="O7271" s="9" t="str">
        <f aca="false">HYPERLINK("https://pbs.twimg.com/profile_images/689163422655737856/T-4kh_eQ_normal.png","View")</f>
        <v>View</v>
      </c>
      <c r="P7271" s="10"/>
    </row>
    <row r="7272" customFormat="false" ht="15.75" hidden="false" customHeight="false" outlineLevel="0" collapsed="false">
      <c r="A7272" s="6" t="n">
        <v>43031.4413541667</v>
      </c>
      <c r="B7272" s="7" t="str">
        <f aca="false">HYPERLINK("https://twitter.com/R__Kid","@R__Kid")</f>
        <v>@R__Kid</v>
      </c>
      <c r="C7272" s="8" t="s">
        <v>16377</v>
      </c>
      <c r="D7272" s="8" t="s">
        <v>11738</v>
      </c>
      <c r="E7272" s="9" t="str">
        <f aca="false">HYPERLINK("https://twitter.com/R__Kid/status/922516859483820032","922516859483820032")</f>
        <v>922516859483820032</v>
      </c>
      <c r="F7272" s="10" t="s">
        <v>177</v>
      </c>
      <c r="G7272" s="10" t="n">
        <v>798</v>
      </c>
      <c r="H7272" s="10" t="n">
        <v>4976</v>
      </c>
      <c r="I7272" s="10" t="n">
        <v>11</v>
      </c>
      <c r="J7272" s="10" t="n">
        <v>0</v>
      </c>
      <c r="K7272" s="10" t="s">
        <v>20</v>
      </c>
      <c r="L7272" s="11" t="n">
        <v>40393.0816435185</v>
      </c>
      <c r="M7272" s="12" t="s">
        <v>16378</v>
      </c>
      <c r="N7272" s="12" t="s">
        <v>16379</v>
      </c>
      <c r="O7272" s="9" t="str">
        <f aca="false">HYPERLINK("https://pbs.twimg.com/profile_images/491547014732079104/4K3Tfcz9_normal.jpeg","View")</f>
        <v>View</v>
      </c>
      <c r="P7272" s="10"/>
    </row>
    <row r="7273" customFormat="false" ht="15.75" hidden="false" customHeight="false" outlineLevel="0" collapsed="false">
      <c r="A7273" s="6" t="n">
        <v>43031.4416666667</v>
      </c>
      <c r="B7273" s="7" t="str">
        <f aca="false">HYPERLINK("https://twitter.com/GracmVeCo","@GracmVeCo")</f>
        <v>@GracmVeCo</v>
      </c>
      <c r="C7273" s="8" t="s">
        <v>16380</v>
      </c>
      <c r="D7273" s="8" t="s">
        <v>16381</v>
      </c>
      <c r="E7273" s="9" t="str">
        <f aca="false">HYPERLINK("https://twitter.com/GracmVeCo/status/922516972465569792","922516972465569792")</f>
        <v>922516972465569792</v>
      </c>
      <c r="F7273" s="10" t="s">
        <v>276</v>
      </c>
      <c r="G7273" s="10" t="n">
        <v>85</v>
      </c>
      <c r="H7273" s="10" t="n">
        <v>106</v>
      </c>
      <c r="I7273" s="10" t="n">
        <v>0</v>
      </c>
      <c r="J7273" s="10" t="n">
        <v>0</v>
      </c>
      <c r="K7273" s="10" t="s">
        <v>20</v>
      </c>
      <c r="L7273" s="11" t="n">
        <v>42687.4155902778</v>
      </c>
      <c r="M7273" s="12" t="s">
        <v>16382</v>
      </c>
      <c r="N7273" s="12" t="s">
        <v>16383</v>
      </c>
      <c r="O7273" s="9" t="str">
        <f aca="false">HYPERLINK("https://pbs.twimg.com/profile_images/797864079008399360/489jwXbT_normal.jpg","View")</f>
        <v>View</v>
      </c>
      <c r="P7273" s="10"/>
    </row>
    <row r="7274" customFormat="false" ht="15.75" hidden="false" customHeight="false" outlineLevel="0" collapsed="false">
      <c r="A7274" s="6" t="n">
        <v>43031.4420023148</v>
      </c>
      <c r="B7274" s="7" t="str">
        <f aca="false">HYPERLINK("https://twitter.com/DiChristine","@DiChristine")</f>
        <v>@DiChristine</v>
      </c>
      <c r="C7274" s="8" t="s">
        <v>16384</v>
      </c>
      <c r="D7274" s="8" t="s">
        <v>4984</v>
      </c>
      <c r="E7274" s="9" t="str">
        <f aca="false">HYPERLINK("https://twitter.com/DiChristine/status/922517094100602886","922517094100602886")</f>
        <v>922517094100602886</v>
      </c>
      <c r="F7274" s="10" t="s">
        <v>25</v>
      </c>
      <c r="G7274" s="10" t="n">
        <v>2761</v>
      </c>
      <c r="H7274" s="10" t="n">
        <v>559</v>
      </c>
      <c r="I7274" s="10" t="n">
        <v>187</v>
      </c>
      <c r="J7274" s="10" t="n">
        <v>0</v>
      </c>
      <c r="K7274" s="10" t="s">
        <v>20</v>
      </c>
      <c r="L7274" s="11" t="n">
        <v>39864.77875</v>
      </c>
      <c r="M7274" s="12"/>
      <c r="N7274" s="12"/>
      <c r="O7274" s="9" t="str">
        <f aca="false">HYPERLINK("https://pbs.twimg.com/profile_images/822281973087539205/0tAzeiYe_normal.jpg","View")</f>
        <v>View</v>
      </c>
      <c r="P7274" s="10"/>
    </row>
    <row r="7275" customFormat="false" ht="15.75" hidden="false" customHeight="false" outlineLevel="0" collapsed="false">
      <c r="A7275" s="6" t="n">
        <v>43031.4422916667</v>
      </c>
      <c r="B7275" s="7" t="str">
        <f aca="false">HYPERLINK("https://twitter.com/Susheel_Indra","@Susheel_Indra")</f>
        <v>@Susheel_Indra</v>
      </c>
      <c r="C7275" s="8" t="s">
        <v>16385</v>
      </c>
      <c r="D7275" s="8" t="s">
        <v>8538</v>
      </c>
      <c r="E7275" s="9" t="str">
        <f aca="false">HYPERLINK("https://twitter.com/Susheel_Indra/status/922517198492516352","922517198492516352")</f>
        <v>922517198492516352</v>
      </c>
      <c r="F7275" s="10" t="s">
        <v>25</v>
      </c>
      <c r="G7275" s="10" t="n">
        <v>469</v>
      </c>
      <c r="H7275" s="10" t="n">
        <v>682</v>
      </c>
      <c r="I7275" s="10" t="n">
        <v>1015</v>
      </c>
      <c r="J7275" s="10" t="n">
        <v>0</v>
      </c>
      <c r="K7275" s="10" t="s">
        <v>20</v>
      </c>
      <c r="L7275" s="11" t="n">
        <v>41592.1282407407</v>
      </c>
      <c r="M7275" s="12" t="s">
        <v>72</v>
      </c>
      <c r="N7275" s="12" t="s">
        <v>16386</v>
      </c>
      <c r="O7275" s="9" t="str">
        <f aca="false">HYPERLINK("https://pbs.twimg.com/profile_images/805284257933443072/LN-a6PKg_normal.jpg","View")</f>
        <v>View</v>
      </c>
      <c r="P7275" s="10"/>
    </row>
    <row r="7276" customFormat="false" ht="15.75" hidden="false" customHeight="false" outlineLevel="0" collapsed="false">
      <c r="A7276" s="6" t="n">
        <v>43031.4436805556</v>
      </c>
      <c r="B7276" s="7" t="str">
        <f aca="false">HYPERLINK("https://twitter.com/sarge920","@sarge920")</f>
        <v>@sarge920</v>
      </c>
      <c r="C7276" s="8" t="s">
        <v>16387</v>
      </c>
      <c r="D7276" s="8" t="s">
        <v>14598</v>
      </c>
      <c r="E7276" s="9" t="str">
        <f aca="false">HYPERLINK("https://twitter.com/sarge920/status/922517702719221762","922517702719221762")</f>
        <v>922517702719221762</v>
      </c>
      <c r="F7276" s="10" t="s">
        <v>25</v>
      </c>
      <c r="G7276" s="10" t="n">
        <v>50</v>
      </c>
      <c r="H7276" s="10" t="n">
        <v>1764</v>
      </c>
      <c r="I7276" s="10" t="n">
        <v>23</v>
      </c>
      <c r="J7276" s="10" t="n">
        <v>0</v>
      </c>
      <c r="K7276" s="10" t="s">
        <v>20</v>
      </c>
      <c r="L7276" s="11" t="n">
        <v>41742.2736458333</v>
      </c>
      <c r="M7276" s="12" t="s">
        <v>8012</v>
      </c>
      <c r="N7276" s="12" t="s">
        <v>16388</v>
      </c>
      <c r="O7276" s="9" t="str">
        <f aca="false">HYPERLINK("https://pbs.twimg.com/profile_images/749753798596452352/B_D0S0WJ_normal.jpg","View")</f>
        <v>View</v>
      </c>
      <c r="P7276" s="10"/>
    </row>
    <row r="7277" customFormat="false" ht="15.75" hidden="false" customHeight="false" outlineLevel="0" collapsed="false">
      <c r="A7277" s="6" t="n">
        <v>43031.4451157407</v>
      </c>
      <c r="B7277" s="7" t="str">
        <f aca="false">HYPERLINK("https://twitter.com/SaurabhJoshi","@SaurabhJoshi")</f>
        <v>@SaurabhJoshi</v>
      </c>
      <c r="C7277" s="8" t="s">
        <v>16389</v>
      </c>
      <c r="D7277" s="8" t="s">
        <v>16390</v>
      </c>
      <c r="E7277" s="9" t="str">
        <f aca="false">HYPERLINK("https://twitter.com/SaurabhJoshi/status/922518222045200388","922518222045200388")</f>
        <v>922518222045200388</v>
      </c>
      <c r="F7277" s="10" t="s">
        <v>39</v>
      </c>
      <c r="G7277" s="10" t="n">
        <v>3996</v>
      </c>
      <c r="H7277" s="10" t="n">
        <v>1213</v>
      </c>
      <c r="I7277" s="10" t="n">
        <v>3</v>
      </c>
      <c r="J7277" s="10" t="n">
        <v>3</v>
      </c>
      <c r="K7277" s="10" t="s">
        <v>20</v>
      </c>
      <c r="L7277" s="11" t="n">
        <v>39793.0899652778</v>
      </c>
      <c r="M7277" s="12" t="s">
        <v>64</v>
      </c>
      <c r="N7277" s="12" t="s">
        <v>16391</v>
      </c>
      <c r="O7277" s="9" t="str">
        <f aca="false">HYPERLINK("https://pbs.twimg.com/profile_images/855396361105166337/rUBeRxHy_normal.jpg","View")</f>
        <v>View</v>
      </c>
      <c r="P7277" s="10"/>
    </row>
    <row r="7278" customFormat="false" ht="15.75" hidden="false" customHeight="false" outlineLevel="0" collapsed="false">
      <c r="A7278" s="6" t="n">
        <v>43031.4460069445</v>
      </c>
      <c r="B7278" s="7" t="str">
        <f aca="false">HYPERLINK("https://twitter.com/RaisinaSeries","@RaisinaSeries")</f>
        <v>@RaisinaSeries</v>
      </c>
      <c r="C7278" s="8" t="s">
        <v>5007</v>
      </c>
      <c r="D7278" s="8" t="s">
        <v>16392</v>
      </c>
      <c r="E7278" s="9" t="str">
        <f aca="false">HYPERLINK("https://twitter.com/RaisinaSeries/status/922518546969542657","922518546969542657")</f>
        <v>922518546969542657</v>
      </c>
      <c r="F7278" s="10" t="s">
        <v>51</v>
      </c>
      <c r="G7278" s="10" t="n">
        <v>24201</v>
      </c>
      <c r="H7278" s="10" t="n">
        <v>229</v>
      </c>
      <c r="I7278" s="10" t="n">
        <v>3</v>
      </c>
      <c r="J7278" s="10" t="n">
        <v>0</v>
      </c>
      <c r="K7278" s="10" t="s">
        <v>20</v>
      </c>
      <c r="L7278" s="11" t="n">
        <v>41291.4987384259</v>
      </c>
      <c r="M7278" s="12" t="s">
        <v>5008</v>
      </c>
      <c r="N7278" s="12" t="s">
        <v>5009</v>
      </c>
      <c r="O7278" s="9" t="str">
        <f aca="false">HYPERLINK("https://pbs.twimg.com/profile_images/835127600716525568/SKkzaFgh_normal.jpg","View")</f>
        <v>View</v>
      </c>
      <c r="P7278" s="10"/>
    </row>
    <row r="7279" customFormat="false" ht="15.75" hidden="false" customHeight="false" outlineLevel="0" collapsed="false">
      <c r="A7279" s="6" t="n">
        <v>43031.4461805556</v>
      </c>
      <c r="B7279" s="7" t="str">
        <f aca="false">HYPERLINK("https://twitter.com/RANATABASSUM3","@RANATABASSUM3")</f>
        <v>@RANATABASSUM3</v>
      </c>
      <c r="C7279" s="8" t="s">
        <v>16393</v>
      </c>
      <c r="D7279" s="8" t="s">
        <v>16394</v>
      </c>
      <c r="E7279" s="9" t="str">
        <f aca="false">HYPERLINK("https://twitter.com/RANATABASSUM3/status/922518608974110722","922518608974110722")</f>
        <v>922518608974110722</v>
      </c>
      <c r="F7279" s="10" t="s">
        <v>39</v>
      </c>
      <c r="G7279" s="10" t="n">
        <v>440</v>
      </c>
      <c r="H7279" s="10" t="n">
        <v>530</v>
      </c>
      <c r="I7279" s="10" t="n">
        <v>0</v>
      </c>
      <c r="J7279" s="10" t="n">
        <v>0</v>
      </c>
      <c r="K7279" s="10" t="s">
        <v>20</v>
      </c>
      <c r="L7279" s="11" t="n">
        <v>41067.6777662037</v>
      </c>
      <c r="M7279" s="12" t="s">
        <v>16395</v>
      </c>
      <c r="N7279" s="12" t="s">
        <v>16396</v>
      </c>
      <c r="O7279" s="9" t="str">
        <f aca="false">HYPERLINK("https://pbs.twimg.com/profile_images/2289173358/ge4nohgwzbi5nf09o9ks_normal.jpeg","View")</f>
        <v>View</v>
      </c>
      <c r="P7279" s="10"/>
    </row>
    <row r="7280" customFormat="false" ht="15.75" hidden="false" customHeight="false" outlineLevel="0" collapsed="false">
      <c r="A7280" s="6" t="n">
        <v>43031.4468981482</v>
      </c>
      <c r="B7280" s="7" t="str">
        <f aca="false">HYPERLINK("https://twitter.com/Randhir2687910","@Randhir2687910")</f>
        <v>@Randhir2687910</v>
      </c>
      <c r="C7280" s="8" t="s">
        <v>16397</v>
      </c>
      <c r="D7280" s="8" t="s">
        <v>8538</v>
      </c>
      <c r="E7280" s="9" t="str">
        <f aca="false">HYPERLINK("https://twitter.com/Randhir2687910/status/922518867737395200","922518867737395200")</f>
        <v>922518867737395200</v>
      </c>
      <c r="F7280" s="10" t="s">
        <v>25</v>
      </c>
      <c r="G7280" s="10" t="n">
        <v>56</v>
      </c>
      <c r="H7280" s="10" t="n">
        <v>780</v>
      </c>
      <c r="I7280" s="10" t="n">
        <v>1015</v>
      </c>
      <c r="J7280" s="10" t="n">
        <v>0</v>
      </c>
      <c r="K7280" s="10" t="s">
        <v>20</v>
      </c>
      <c r="L7280" s="11" t="n">
        <v>42610.4964236111</v>
      </c>
      <c r="M7280" s="12" t="s">
        <v>3531</v>
      </c>
      <c r="N7280" s="12" t="s">
        <v>16398</v>
      </c>
      <c r="O7280" s="9" t="str">
        <f aca="false">HYPERLINK("https://pbs.twimg.com/profile_images/791305797691072512/hixaKlb__normal.jpg","View")</f>
        <v>View</v>
      </c>
      <c r="P7280" s="10"/>
    </row>
    <row r="7281" customFormat="false" ht="15.75" hidden="false" customHeight="false" outlineLevel="0" collapsed="false">
      <c r="A7281" s="6" t="n">
        <v>43031.447037037</v>
      </c>
      <c r="B7281" s="7" t="str">
        <f aca="false">HYPERLINK("https://twitter.com/KiwiPMI","@KiwiPMI")</f>
        <v>@KiwiPMI</v>
      </c>
      <c r="C7281" s="8" t="s">
        <v>16399</v>
      </c>
      <c r="D7281" s="8" t="s">
        <v>16400</v>
      </c>
      <c r="E7281" s="9" t="str">
        <f aca="false">HYPERLINK("https://twitter.com/KiwiPMI/status/922518918912200704","922518918912200704")</f>
        <v>922518918912200704</v>
      </c>
      <c r="F7281" s="10" t="s">
        <v>39</v>
      </c>
      <c r="G7281" s="10" t="n">
        <v>302</v>
      </c>
      <c r="H7281" s="10" t="n">
        <v>426</v>
      </c>
      <c r="I7281" s="10" t="n">
        <v>0</v>
      </c>
      <c r="J7281" s="10" t="n">
        <v>1</v>
      </c>
      <c r="K7281" s="10" t="s">
        <v>20</v>
      </c>
      <c r="L7281" s="11" t="n">
        <v>41486.5246875</v>
      </c>
      <c r="M7281" s="12" t="s">
        <v>9682</v>
      </c>
      <c r="N7281" s="12" t="s">
        <v>16401</v>
      </c>
      <c r="O7281" s="9" t="str">
        <f aca="false">HYPERLINK("https://pbs.twimg.com/profile_images/610850039426998272/ZNViE6Kq_normal.jpg","View")</f>
        <v>View</v>
      </c>
      <c r="P7281" s="10"/>
    </row>
    <row r="7282" customFormat="false" ht="15.75" hidden="false" customHeight="false" outlineLevel="0" collapsed="false">
      <c r="A7282" s="6" t="n">
        <v>43031.4474074074</v>
      </c>
      <c r="B7282" s="7" t="str">
        <f aca="false">HYPERLINK("https://twitter.com/TheEconomist","@TheEconomist")</f>
        <v>@TheEconomist</v>
      </c>
      <c r="C7282" s="8" t="s">
        <v>16402</v>
      </c>
      <c r="D7282" s="8" t="s">
        <v>16403</v>
      </c>
      <c r="E7282" s="9" t="str">
        <f aca="false">HYPERLINK("https://twitter.com/TheEconomist/status/922519053960404992","922519053960404992")</f>
        <v>922519053960404992</v>
      </c>
      <c r="F7282" s="10" t="s">
        <v>268</v>
      </c>
      <c r="G7282" s="10" t="n">
        <v>22245265</v>
      </c>
      <c r="H7282" s="10" t="n">
        <v>157</v>
      </c>
      <c r="I7282" s="10" t="n">
        <v>46</v>
      </c>
      <c r="J7282" s="10" t="n">
        <v>52</v>
      </c>
      <c r="K7282" s="10" t="s">
        <v>20</v>
      </c>
      <c r="L7282" s="11" t="n">
        <v>39214.2533564815</v>
      </c>
      <c r="M7282" s="12" t="s">
        <v>893</v>
      </c>
      <c r="N7282" s="12" t="s">
        <v>16404</v>
      </c>
      <c r="O7282" s="9" t="str">
        <f aca="false">HYPERLINK("https://pbs.twimg.com/profile_images/879361767914262528/HdRauDM-_normal.jpg","View")</f>
        <v>View</v>
      </c>
      <c r="P7282" s="10"/>
    </row>
    <row r="7283" customFormat="false" ht="15.75" hidden="false" customHeight="false" outlineLevel="0" collapsed="false">
      <c r="A7283" s="6" t="n">
        <v>43031.4474421296</v>
      </c>
      <c r="B7283" s="7" t="str">
        <f aca="false">HYPERLINK("https://twitter.com/candangacasique","@candangacasique")</f>
        <v>@candangacasique</v>
      </c>
      <c r="C7283" s="8" t="s">
        <v>16405</v>
      </c>
      <c r="D7283" s="8" t="s">
        <v>16406</v>
      </c>
      <c r="E7283" s="9" t="str">
        <f aca="false">HYPERLINK("https://twitter.com/candangacasique/status/922519067755507712","922519067755507712")</f>
        <v>922519067755507712</v>
      </c>
      <c r="F7283" s="10" t="s">
        <v>60</v>
      </c>
      <c r="G7283" s="10" t="n">
        <v>4403</v>
      </c>
      <c r="H7283" s="10" t="n">
        <v>5000</v>
      </c>
      <c r="I7283" s="10" t="n">
        <v>0</v>
      </c>
      <c r="J7283" s="10" t="n">
        <v>0</v>
      </c>
      <c r="K7283" s="10" t="s">
        <v>20</v>
      </c>
      <c r="L7283" s="11" t="n">
        <v>40364.6803587963</v>
      </c>
      <c r="M7283" s="12" t="s">
        <v>16407</v>
      </c>
      <c r="N7283" s="12" t="s">
        <v>16408</v>
      </c>
      <c r="O7283" s="9" t="str">
        <f aca="false">HYPERLINK("https://pbs.twimg.com/profile_images/874831349672267776/k2WGcjH1_normal.jpg","View")</f>
        <v>View</v>
      </c>
      <c r="P7283" s="10"/>
    </row>
    <row r="7284" customFormat="false" ht="15.75" hidden="false" customHeight="false" outlineLevel="0" collapsed="false">
      <c r="A7284" s="6" t="n">
        <v>43031.4474652778</v>
      </c>
      <c r="B7284" s="7" t="str">
        <f aca="false">HYPERLINK("https://twitter.com/Essay_Lords","@Essay_Lords")</f>
        <v>@Essay_Lords</v>
      </c>
      <c r="C7284" s="8" t="s">
        <v>16409</v>
      </c>
      <c r="D7284" s="8" t="s">
        <v>16410</v>
      </c>
      <c r="E7284" s="9" t="str">
        <f aca="false">HYPERLINK("https://twitter.com/Essay_Lords/status/922519074881630216","922519074881630216")</f>
        <v>922519074881630216</v>
      </c>
      <c r="F7284" s="10" t="s">
        <v>60</v>
      </c>
      <c r="G7284" s="10" t="n">
        <v>4286</v>
      </c>
      <c r="H7284" s="10" t="n">
        <v>3618</v>
      </c>
      <c r="I7284" s="10" t="n">
        <v>0</v>
      </c>
      <c r="J7284" s="10" t="n">
        <v>0</v>
      </c>
      <c r="K7284" s="10" t="s">
        <v>20</v>
      </c>
      <c r="L7284" s="11" t="n">
        <v>41982.4216550926</v>
      </c>
      <c r="M7284" s="12" t="s">
        <v>3712</v>
      </c>
      <c r="N7284" s="12" t="s">
        <v>16411</v>
      </c>
      <c r="O7284" s="9" t="str">
        <f aca="false">HYPERLINK("https://pbs.twimg.com/profile_images/722066414362894336/kHUvL0fA_normal.jpg","View")</f>
        <v>View</v>
      </c>
      <c r="P7284" s="10"/>
    </row>
    <row r="7285" customFormat="false" ht="15.75" hidden="false" customHeight="false" outlineLevel="0" collapsed="false">
      <c r="A7285" s="6" t="n">
        <v>43031.4476967593</v>
      </c>
      <c r="B7285" s="7" t="str">
        <f aca="false">HYPERLINK("https://twitter.com/SudeepPaw89","@SudeepPaw89")</f>
        <v>@SudeepPaw89</v>
      </c>
      <c r="C7285" s="8" t="s">
        <v>16412</v>
      </c>
      <c r="D7285" s="8" t="s">
        <v>16413</v>
      </c>
      <c r="E7285" s="9" t="str">
        <f aca="false">HYPERLINK("https://twitter.com/SudeepPaw89/status/922519159157743616","922519159157743616")</f>
        <v>922519159157743616</v>
      </c>
      <c r="F7285" s="10" t="s">
        <v>25</v>
      </c>
      <c r="G7285" s="10" t="n">
        <v>549</v>
      </c>
      <c r="H7285" s="10" t="n">
        <v>4990</v>
      </c>
      <c r="I7285" s="10" t="n">
        <v>46</v>
      </c>
      <c r="J7285" s="10" t="n">
        <v>0</v>
      </c>
      <c r="K7285" s="10" t="s">
        <v>20</v>
      </c>
      <c r="L7285" s="11" t="n">
        <v>41931.3466435185</v>
      </c>
      <c r="M7285" s="12" t="s">
        <v>16414</v>
      </c>
      <c r="N7285" s="12" t="s">
        <v>16415</v>
      </c>
      <c r="O7285" s="9" t="str">
        <f aca="false">HYPERLINK("https://pbs.twimg.com/profile_images/900716115298537473/UOTA0zxx_normal.jpg","View")</f>
        <v>View</v>
      </c>
      <c r="P7285" s="10"/>
    </row>
    <row r="7286" customFormat="false" ht="15.75" hidden="false" customHeight="false" outlineLevel="0" collapsed="false">
      <c r="A7286" s="6" t="n">
        <v>43031.4478240741</v>
      </c>
      <c r="B7286" s="7" t="str">
        <f aca="false">HYPERLINK("https://twitter.com/malcom2x","@malcom2x")</f>
        <v>@malcom2x</v>
      </c>
      <c r="C7286" s="8" t="s">
        <v>16416</v>
      </c>
      <c r="D7286" s="8" t="s">
        <v>16413</v>
      </c>
      <c r="E7286" s="9" t="str">
        <f aca="false">HYPERLINK("https://twitter.com/malcom2x/status/922519204187856896","922519204187856896")</f>
        <v>922519204187856896</v>
      </c>
      <c r="F7286" s="10" t="s">
        <v>51</v>
      </c>
      <c r="G7286" s="10" t="n">
        <v>1357</v>
      </c>
      <c r="H7286" s="10" t="n">
        <v>1102</v>
      </c>
      <c r="I7286" s="10" t="n">
        <v>46</v>
      </c>
      <c r="J7286" s="10" t="n">
        <v>0</v>
      </c>
      <c r="K7286" s="10" t="s">
        <v>20</v>
      </c>
      <c r="L7286" s="11" t="n">
        <v>40191.6390740741</v>
      </c>
      <c r="M7286" s="12" t="s">
        <v>752</v>
      </c>
      <c r="N7286" s="12" t="s">
        <v>16417</v>
      </c>
      <c r="O7286" s="9" t="str">
        <f aca="false">HYPERLINK("https://pbs.twimg.com/profile_images/757599504346517504/TKKMDUvp_normal.jpg","View")</f>
        <v>View</v>
      </c>
      <c r="P7286" s="10"/>
    </row>
    <row r="7287" customFormat="false" ht="15.75" hidden="false" customHeight="false" outlineLevel="0" collapsed="false">
      <c r="A7287" s="6" t="n">
        <v>43031.4479513889</v>
      </c>
      <c r="B7287" s="7" t="str">
        <f aca="false">HYPERLINK("https://twitter.com/deduped_economi","@deduped_economi")</f>
        <v>@deduped_economi</v>
      </c>
      <c r="C7287" s="8" t="s">
        <v>16418</v>
      </c>
      <c r="D7287" s="8" t="s">
        <v>16413</v>
      </c>
      <c r="E7287" s="9" t="str">
        <f aca="false">HYPERLINK("https://twitter.com/deduped_economi/status/922519250262040576","922519250262040576")</f>
        <v>922519250262040576</v>
      </c>
      <c r="F7287" s="10" t="s">
        <v>16419</v>
      </c>
      <c r="G7287" s="10" t="n">
        <v>166</v>
      </c>
      <c r="H7287" s="10" t="n">
        <v>0</v>
      </c>
      <c r="I7287" s="10" t="n">
        <v>46</v>
      </c>
      <c r="J7287" s="10" t="n">
        <v>0</v>
      </c>
      <c r="K7287" s="10" t="s">
        <v>20</v>
      </c>
      <c r="L7287" s="11" t="n">
        <v>42228.5692476852</v>
      </c>
      <c r="M7287" s="12"/>
      <c r="N7287" s="12"/>
      <c r="O7287" s="9" t="str">
        <f aca="false">HYPERLINK("https://abs.twimg.com/sticky/default_profile_images/default_profile_normal.png","View")</f>
        <v>View</v>
      </c>
      <c r="P7287" s="10"/>
    </row>
    <row r="7288" customFormat="false" ht="15.75" hidden="false" customHeight="false" outlineLevel="0" collapsed="false">
      <c r="A7288" s="6" t="n">
        <v>43031.4483680556</v>
      </c>
      <c r="B7288" s="7" t="str">
        <f aca="false">HYPERLINK("https://twitter.com/alllibertynews","@alllibertynews")</f>
        <v>@alllibertynews</v>
      </c>
      <c r="C7288" s="8" t="s">
        <v>16420</v>
      </c>
      <c r="D7288" s="8" t="s">
        <v>16413</v>
      </c>
      <c r="E7288" s="9" t="str">
        <f aca="false">HYPERLINK("https://twitter.com/alllibertynews/status/922519399499694080","922519399499694080")</f>
        <v>922519399499694080</v>
      </c>
      <c r="F7288" s="10" t="s">
        <v>16421</v>
      </c>
      <c r="G7288" s="10" t="n">
        <v>15798</v>
      </c>
      <c r="H7288" s="10" t="n">
        <v>4311</v>
      </c>
      <c r="I7288" s="10" t="n">
        <v>46</v>
      </c>
      <c r="J7288" s="10" t="n">
        <v>0</v>
      </c>
      <c r="K7288" s="10" t="s">
        <v>20</v>
      </c>
      <c r="L7288" s="11" t="n">
        <v>42355.8898842593</v>
      </c>
      <c r="M7288" s="12"/>
      <c r="N7288" s="12"/>
      <c r="O7288" s="9" t="str">
        <f aca="false">HYPERLINK("https://pbs.twimg.com/profile_images/677726486694989824/x5Umx9Jt_normal.png","View")</f>
        <v>View</v>
      </c>
      <c r="P7288" s="10"/>
    </row>
    <row r="7289" customFormat="false" ht="15.75" hidden="false" customHeight="false" outlineLevel="0" collapsed="false">
      <c r="A7289" s="6" t="n">
        <v>43031.4484722222</v>
      </c>
      <c r="B7289" s="7" t="str">
        <f aca="false">HYPERLINK("https://twitter.com/SaraGomezAranci","@SaraGomezAranci")</f>
        <v>@SaraGomezAranci</v>
      </c>
      <c r="C7289" s="8" t="s">
        <v>1443</v>
      </c>
      <c r="D7289" s="8" t="s">
        <v>16413</v>
      </c>
      <c r="E7289" s="9" t="str">
        <f aca="false">HYPERLINK("https://twitter.com/SaraGomezAranci/status/922519438347460608","922519438347460608")</f>
        <v>922519438347460608</v>
      </c>
      <c r="F7289" s="10" t="s">
        <v>51</v>
      </c>
      <c r="G7289" s="10" t="n">
        <v>1718</v>
      </c>
      <c r="H7289" s="10" t="n">
        <v>434</v>
      </c>
      <c r="I7289" s="10" t="n">
        <v>46</v>
      </c>
      <c r="J7289" s="10" t="n">
        <v>0</v>
      </c>
      <c r="K7289" s="10" t="s">
        <v>20</v>
      </c>
      <c r="L7289" s="11" t="n">
        <v>41277.0701041667</v>
      </c>
      <c r="M7289" s="12"/>
      <c r="N7289" s="12" t="s">
        <v>1444</v>
      </c>
      <c r="O7289" s="9" t="str">
        <f aca="false">HYPERLINK("https://pbs.twimg.com/profile_images/909880427351068674/WzgGubCv_normal.jpg","View")</f>
        <v>View</v>
      </c>
      <c r="P7289" s="10"/>
    </row>
    <row r="7290" customFormat="false" ht="15.75" hidden="false" customHeight="false" outlineLevel="0" collapsed="false">
      <c r="A7290" s="6" t="n">
        <v>43031.4484837963</v>
      </c>
      <c r="B7290" s="7" t="str">
        <f aca="false">HYPERLINK("https://twitter.com/JamesSimm4","@JamesSimm4")</f>
        <v>@JamesSimm4</v>
      </c>
      <c r="C7290" s="8" t="s">
        <v>5099</v>
      </c>
      <c r="D7290" s="8" t="s">
        <v>16413</v>
      </c>
      <c r="E7290" s="9" t="str">
        <f aca="false">HYPERLINK("https://twitter.com/JamesSimm4/status/922519441652449280","922519441652449280")</f>
        <v>922519441652449280</v>
      </c>
      <c r="F7290" s="10" t="s">
        <v>51</v>
      </c>
      <c r="G7290" s="10" t="n">
        <v>93</v>
      </c>
      <c r="H7290" s="10" t="n">
        <v>281</v>
      </c>
      <c r="I7290" s="10" t="n">
        <v>46</v>
      </c>
      <c r="J7290" s="10" t="n">
        <v>0</v>
      </c>
      <c r="K7290" s="10" t="s">
        <v>20</v>
      </c>
      <c r="L7290" s="11" t="n">
        <v>41224.2061342593</v>
      </c>
      <c r="M7290" s="12" t="s">
        <v>16422</v>
      </c>
      <c r="N7290" s="12" t="s">
        <v>16423</v>
      </c>
      <c r="O7290" s="9" t="str">
        <f aca="false">HYPERLINK("https://pbs.twimg.com/profile_images/840008700899266561/s7bNFyfs_normal.jpg","View")</f>
        <v>View</v>
      </c>
      <c r="P7290" s="10"/>
    </row>
    <row r="7291" customFormat="false" ht="15.75" hidden="false" customHeight="false" outlineLevel="0" collapsed="false">
      <c r="A7291" s="6" t="n">
        <v>43031.4484953704</v>
      </c>
      <c r="B7291" s="7" t="str">
        <f aca="false">HYPERLINK("https://twitter.com/BartThompsonOE","@BartThompsonOE")</f>
        <v>@BartThompsonOE</v>
      </c>
      <c r="C7291" s="8" t="s">
        <v>16424</v>
      </c>
      <c r="D7291" s="8" t="s">
        <v>16413</v>
      </c>
      <c r="E7291" s="9" t="str">
        <f aca="false">HYPERLINK("https://twitter.com/BartThompsonOE/status/922519447906213890","922519447906213890")</f>
        <v>922519447906213890</v>
      </c>
      <c r="F7291" s="10" t="s">
        <v>51</v>
      </c>
      <c r="G7291" s="10" t="n">
        <v>357</v>
      </c>
      <c r="H7291" s="10" t="n">
        <v>386</v>
      </c>
      <c r="I7291" s="10" t="n">
        <v>46</v>
      </c>
      <c r="J7291" s="10" t="n">
        <v>0</v>
      </c>
      <c r="K7291" s="10" t="s">
        <v>20</v>
      </c>
      <c r="L7291" s="11" t="n">
        <v>40496.7206134259</v>
      </c>
      <c r="M7291" s="12" t="s">
        <v>230</v>
      </c>
      <c r="N7291" s="12" t="s">
        <v>16425</v>
      </c>
      <c r="O7291" s="9" t="str">
        <f aca="false">HYPERLINK("https://pbs.twimg.com/profile_images/875525150803886080/BnH7ks0T_normal.jpg","View")</f>
        <v>View</v>
      </c>
      <c r="P7291" s="10"/>
    </row>
    <row r="7292" customFormat="false" ht="15.75" hidden="false" customHeight="false" outlineLevel="0" collapsed="false">
      <c r="A7292" s="6" t="n">
        <v>43031.4486342593</v>
      </c>
      <c r="B7292" s="7" t="str">
        <f aca="false">HYPERLINK("https://twitter.com/InvestingLatest","@InvestingLatest")</f>
        <v>@InvestingLatest</v>
      </c>
      <c r="C7292" s="8" t="s">
        <v>934</v>
      </c>
      <c r="D7292" s="8" t="s">
        <v>16426</v>
      </c>
      <c r="E7292" s="9" t="str">
        <f aca="false">HYPERLINK("https://twitter.com/InvestingLatest/status/922519496274993156","922519496274993156")</f>
        <v>922519496274993156</v>
      </c>
      <c r="F7292" s="10" t="s">
        <v>60</v>
      </c>
      <c r="G7292" s="10" t="n">
        <v>1538</v>
      </c>
      <c r="H7292" s="10" t="n">
        <v>33</v>
      </c>
      <c r="I7292" s="10" t="n">
        <v>0</v>
      </c>
      <c r="J7292" s="10" t="n">
        <v>0</v>
      </c>
      <c r="K7292" s="10" t="s">
        <v>20</v>
      </c>
      <c r="L7292" s="11" t="n">
        <v>41946.3308912037</v>
      </c>
      <c r="M7292" s="12"/>
      <c r="N7292" s="12" t="s">
        <v>936</v>
      </c>
      <c r="O7292" s="9" t="str">
        <f aca="false">HYPERLINK("https://pbs.twimg.com/profile_images/529461684297945089/uscUz0UO_normal.jpeg","View")</f>
        <v>View</v>
      </c>
      <c r="P7292" s="10"/>
    </row>
    <row r="7293" customFormat="false" ht="15.75" hidden="false" customHeight="false" outlineLevel="0" collapsed="false">
      <c r="A7293" s="6" t="n">
        <v>43031.4486921296</v>
      </c>
      <c r="B7293" s="7" t="str">
        <f aca="false">HYPERLINK("https://twitter.com/kasworld_usa","@kasworld_usa")</f>
        <v>@kasworld_usa</v>
      </c>
      <c r="C7293" s="8" t="s">
        <v>16427</v>
      </c>
      <c r="D7293" s="8" t="s">
        <v>16428</v>
      </c>
      <c r="E7293" s="9" t="str">
        <f aca="false">HYPERLINK("https://twitter.com/kasworld_usa/status/922519519616258049","922519519616258049")</f>
        <v>922519519616258049</v>
      </c>
      <c r="F7293" s="10" t="s">
        <v>60</v>
      </c>
      <c r="G7293" s="10" t="n">
        <v>5</v>
      </c>
      <c r="H7293" s="10" t="n">
        <v>0</v>
      </c>
      <c r="I7293" s="10" t="n">
        <v>0</v>
      </c>
      <c r="J7293" s="10" t="n">
        <v>0</v>
      </c>
      <c r="K7293" s="10" t="s">
        <v>20</v>
      </c>
      <c r="L7293" s="11" t="n">
        <v>43001.218599537</v>
      </c>
      <c r="M7293" s="12" t="s">
        <v>16429</v>
      </c>
      <c r="N7293" s="12" t="s">
        <v>16430</v>
      </c>
      <c r="O7293" s="9" t="str">
        <f aca="false">HYPERLINK("https://pbs.twimg.com/profile_images/921365590719074305/DkuJU8qU_normal.jpg","View")</f>
        <v>View</v>
      </c>
      <c r="P7293" s="10"/>
    </row>
    <row r="7294" customFormat="false" ht="15.75" hidden="false" customHeight="false" outlineLevel="0" collapsed="false">
      <c r="A7294" s="6" t="n">
        <v>43031.449224537</v>
      </c>
      <c r="B7294" s="7" t="str">
        <f aca="false">HYPERLINK("https://twitter.com/aolshiv","@aolshiv")</f>
        <v>@aolshiv</v>
      </c>
      <c r="C7294" s="8" t="s">
        <v>16431</v>
      </c>
      <c r="D7294" s="8" t="s">
        <v>8538</v>
      </c>
      <c r="E7294" s="9" t="str">
        <f aca="false">HYPERLINK("https://twitter.com/aolshiv/status/922519712918945793","922519712918945793")</f>
        <v>922519712918945793</v>
      </c>
      <c r="F7294" s="10" t="s">
        <v>51</v>
      </c>
      <c r="G7294" s="10" t="n">
        <v>380</v>
      </c>
      <c r="H7294" s="10" t="n">
        <v>126</v>
      </c>
      <c r="I7294" s="10" t="n">
        <v>1015</v>
      </c>
      <c r="J7294" s="10" t="n">
        <v>0</v>
      </c>
      <c r="K7294" s="10" t="s">
        <v>20</v>
      </c>
      <c r="L7294" s="11" t="n">
        <v>40156.2013078704</v>
      </c>
      <c r="M7294" s="12" t="s">
        <v>868</v>
      </c>
      <c r="N7294" s="12" t="s">
        <v>16432</v>
      </c>
      <c r="O7294" s="9" t="str">
        <f aca="false">HYPERLINK("https://pbs.twimg.com/profile_images/2642268148/a11781624949e98b008af1def0409e39_normal.jpeg","View")</f>
        <v>View</v>
      </c>
      <c r="P7294" s="10"/>
    </row>
    <row r="7295" customFormat="false" ht="15.75" hidden="false" customHeight="false" outlineLevel="0" collapsed="false">
      <c r="A7295" s="6" t="n">
        <v>43031.4492361111</v>
      </c>
      <c r="B7295" s="7" t="str">
        <f aca="false">HYPERLINK("https://twitter.com/RealityBecky","@RealityBecky")</f>
        <v>@RealityBecky</v>
      </c>
      <c r="C7295" s="8" t="s">
        <v>16433</v>
      </c>
      <c r="D7295" s="8" t="s">
        <v>16413</v>
      </c>
      <c r="E7295" s="9" t="str">
        <f aca="false">HYPERLINK("https://twitter.com/RealityBecky/status/922519715943211008","922519715943211008")</f>
        <v>922519715943211008</v>
      </c>
      <c r="F7295" s="10" t="s">
        <v>98</v>
      </c>
      <c r="G7295" s="10" t="n">
        <v>160</v>
      </c>
      <c r="H7295" s="10" t="n">
        <v>881</v>
      </c>
      <c r="I7295" s="10" t="n">
        <v>46</v>
      </c>
      <c r="J7295" s="10" t="n">
        <v>0</v>
      </c>
      <c r="K7295" s="10" t="s">
        <v>20</v>
      </c>
      <c r="L7295" s="11" t="n">
        <v>42963.1288888889</v>
      </c>
      <c r="M7295" s="12" t="s">
        <v>182</v>
      </c>
      <c r="N7295" s="12" t="s">
        <v>16434</v>
      </c>
      <c r="O7295" s="9" t="str">
        <f aca="false">HYPERLINK("https://pbs.twimg.com/profile_images/897762260076167168/NhTzlkQH_normal.jpg","View")</f>
        <v>View</v>
      </c>
      <c r="P7295" s="10"/>
    </row>
    <row r="7296" customFormat="false" ht="15.75" hidden="false" customHeight="false" outlineLevel="0" collapsed="false">
      <c r="A7296" s="6" t="n">
        <v>43031.4492476852</v>
      </c>
      <c r="B7296" s="7" t="str">
        <f aca="false">HYPERLINK("https://twitter.com/parimalrohit","@parimalrohit")</f>
        <v>@parimalrohit</v>
      </c>
      <c r="C7296" s="8" t="s">
        <v>16435</v>
      </c>
      <c r="D7296" s="8" t="s">
        <v>16413</v>
      </c>
      <c r="E7296" s="9" t="str">
        <f aca="false">HYPERLINK("https://twitter.com/parimalrohit/status/922519718879211520","922519718879211520")</f>
        <v>922519718879211520</v>
      </c>
      <c r="F7296" s="10" t="s">
        <v>39</v>
      </c>
      <c r="G7296" s="10" t="n">
        <v>2558</v>
      </c>
      <c r="H7296" s="10" t="n">
        <v>2103</v>
      </c>
      <c r="I7296" s="10" t="n">
        <v>46</v>
      </c>
      <c r="J7296" s="10" t="n">
        <v>0</v>
      </c>
      <c r="K7296" s="10" t="s">
        <v>20</v>
      </c>
      <c r="L7296" s="11" t="n">
        <v>40357.8424537037</v>
      </c>
      <c r="M7296" s="12" t="s">
        <v>752</v>
      </c>
      <c r="N7296" s="12" t="s">
        <v>16436</v>
      </c>
      <c r="O7296" s="9" t="str">
        <f aca="false">HYPERLINK("https://pbs.twimg.com/profile_images/378800000523553968/32d61fbb9d2d32321955b38d34094edb_normal.jpeg","View")</f>
        <v>View</v>
      </c>
      <c r="P7296" s="10"/>
    </row>
    <row r="7297" customFormat="false" ht="15.75" hidden="false" customHeight="false" outlineLevel="0" collapsed="false">
      <c r="A7297" s="6" t="n">
        <v>43031.4492476852</v>
      </c>
      <c r="B7297" s="7" t="str">
        <f aca="false">HYPERLINK("https://twitter.com/olivlaawolf","@olivlaawolf")</f>
        <v>@olivlaawolf</v>
      </c>
      <c r="C7297" s="8" t="s">
        <v>16437</v>
      </c>
      <c r="D7297" s="8" t="s">
        <v>14598</v>
      </c>
      <c r="E7297" s="9" t="str">
        <f aca="false">HYPERLINK("https://twitter.com/olivlaawolf/status/922519722113032195","922519722113032195")</f>
        <v>922519722113032195</v>
      </c>
      <c r="F7297" s="10" t="s">
        <v>25</v>
      </c>
      <c r="G7297" s="10" t="n">
        <v>116</v>
      </c>
      <c r="H7297" s="10" t="n">
        <v>2296</v>
      </c>
      <c r="I7297" s="10" t="n">
        <v>23</v>
      </c>
      <c r="J7297" s="10" t="n">
        <v>0</v>
      </c>
      <c r="K7297" s="10" t="s">
        <v>20</v>
      </c>
      <c r="L7297" s="11" t="n">
        <v>40627.1504282407</v>
      </c>
      <c r="M7297" s="12" t="s">
        <v>16438</v>
      </c>
      <c r="N7297" s="12" t="s">
        <v>16439</v>
      </c>
      <c r="O7297" s="9" t="str">
        <f aca="false">HYPERLINK("https://pbs.twimg.com/profile_images/764950655308066816/516Y7lV4_normal.jpg","View")</f>
        <v>View</v>
      </c>
      <c r="P7297" s="10"/>
    </row>
    <row r="7298" customFormat="false" ht="15.75" hidden="false" customHeight="false" outlineLevel="0" collapsed="false">
      <c r="A7298" s="6" t="n">
        <v>43031.4493634259</v>
      </c>
      <c r="B7298" s="7" t="str">
        <f aca="false">HYPERLINK("https://twitter.com/HT107642","@HT107642")</f>
        <v>@HT107642</v>
      </c>
      <c r="C7298" s="8" t="s">
        <v>8703</v>
      </c>
      <c r="D7298" s="8" t="s">
        <v>16413</v>
      </c>
      <c r="E7298" s="9" t="str">
        <f aca="false">HYPERLINK("https://twitter.com/HT107642/status/922519762344714240","922519762344714240")</f>
        <v>922519762344714240</v>
      </c>
      <c r="F7298" s="10" t="s">
        <v>25</v>
      </c>
      <c r="G7298" s="10" t="n">
        <v>1797</v>
      </c>
      <c r="H7298" s="10" t="n">
        <v>2412</v>
      </c>
      <c r="I7298" s="10" t="n">
        <v>46</v>
      </c>
      <c r="J7298" s="10" t="n">
        <v>0</v>
      </c>
      <c r="K7298" s="10" t="s">
        <v>20</v>
      </c>
      <c r="L7298" s="11" t="n">
        <v>42384.1563310185</v>
      </c>
      <c r="M7298" s="12"/>
      <c r="N7298" s="12"/>
      <c r="O7298" s="9" t="str">
        <f aca="false">HYPERLINK("https://pbs.twimg.com/profile_images/687965148967915520/v0Wg9mP4_normal.jpg","View")</f>
        <v>View</v>
      </c>
      <c r="P7298" s="10"/>
    </row>
    <row r="7299" customFormat="false" ht="15.75" hidden="false" customHeight="false" outlineLevel="0" collapsed="false">
      <c r="A7299" s="6" t="n">
        <v>43031.4495601852</v>
      </c>
      <c r="B7299" s="7" t="str">
        <f aca="false">HYPERLINK("https://twitter.com/rjimenezu","@rjimenezu")</f>
        <v>@rjimenezu</v>
      </c>
      <c r="C7299" s="8" t="s">
        <v>16440</v>
      </c>
      <c r="D7299" s="8" t="s">
        <v>16441</v>
      </c>
      <c r="E7299" s="9" t="str">
        <f aca="false">HYPERLINK("https://twitter.com/rjimenezu/status/922519833723527168","922519833723527168")</f>
        <v>922519833723527168</v>
      </c>
      <c r="F7299" s="10" t="s">
        <v>60</v>
      </c>
      <c r="G7299" s="10" t="n">
        <v>516</v>
      </c>
      <c r="H7299" s="10" t="n">
        <v>712</v>
      </c>
      <c r="I7299" s="10" t="n">
        <v>0</v>
      </c>
      <c r="J7299" s="10" t="n">
        <v>0</v>
      </c>
      <c r="K7299" s="10" t="s">
        <v>20</v>
      </c>
      <c r="L7299" s="11" t="n">
        <v>40350.5925115741</v>
      </c>
      <c r="M7299" s="12"/>
      <c r="N7299" s="12" t="s">
        <v>16442</v>
      </c>
      <c r="O7299" s="9" t="str">
        <f aca="false">HYPERLINK("https://pbs.twimg.com/profile_images/906645970632417280/gT00Oflk_normal.jpg","View")</f>
        <v>View</v>
      </c>
      <c r="P7299" s="10"/>
    </row>
    <row r="7300" customFormat="false" ht="15.75" hidden="false" customHeight="false" outlineLevel="0" collapsed="false">
      <c r="A7300" s="6" t="n">
        <v>43031.4497337963</v>
      </c>
      <c r="B7300" s="7" t="str">
        <f aca="false">HYPERLINK("https://twitter.com/AludaJoyce","@AludaJoyce")</f>
        <v>@AludaJoyce</v>
      </c>
      <c r="C7300" s="8" t="s">
        <v>16443</v>
      </c>
      <c r="D7300" s="8" t="s">
        <v>16413</v>
      </c>
      <c r="E7300" s="9" t="str">
        <f aca="false">HYPERLINK("https://twitter.com/AludaJoyce/status/922519894746435585","922519894746435585")</f>
        <v>922519894746435585</v>
      </c>
      <c r="F7300" s="10" t="s">
        <v>25</v>
      </c>
      <c r="G7300" s="10" t="n">
        <v>33</v>
      </c>
      <c r="H7300" s="10" t="n">
        <v>436</v>
      </c>
      <c r="I7300" s="10" t="n">
        <v>46</v>
      </c>
      <c r="J7300" s="10" t="n">
        <v>0</v>
      </c>
      <c r="K7300" s="10" t="s">
        <v>20</v>
      </c>
      <c r="L7300" s="11" t="n">
        <v>42904.3429861111</v>
      </c>
      <c r="M7300" s="12"/>
      <c r="N7300" s="12"/>
      <c r="O7300" s="9" t="str">
        <f aca="false">HYPERLINK("https://abs.twimg.com/sticky/default_profile_images/default_profile_normal.png","View")</f>
        <v>View</v>
      </c>
      <c r="P7300" s="10"/>
    </row>
    <row r="7301" customFormat="false" ht="15.75" hidden="false" customHeight="false" outlineLevel="0" collapsed="false">
      <c r="A7301" s="6" t="n">
        <v>43031.4497800926</v>
      </c>
      <c r="B7301" s="7" t="str">
        <f aca="false">HYPERLINK("https://twitter.com/ADHVAYAM","@ADHVAYAM")</f>
        <v>@ADHVAYAM</v>
      </c>
      <c r="C7301" s="8" t="s">
        <v>16444</v>
      </c>
      <c r="D7301" s="8" t="s">
        <v>8538</v>
      </c>
      <c r="E7301" s="9" t="str">
        <f aca="false">HYPERLINK("https://twitter.com/ADHVAYAM/status/922519914665013249","922519914665013249")</f>
        <v>922519914665013249</v>
      </c>
      <c r="F7301" s="10" t="s">
        <v>25</v>
      </c>
      <c r="G7301" s="10" t="n">
        <v>1471</v>
      </c>
      <c r="H7301" s="10" t="n">
        <v>830</v>
      </c>
      <c r="I7301" s="10" t="n">
        <v>1015</v>
      </c>
      <c r="J7301" s="10" t="n">
        <v>0</v>
      </c>
      <c r="K7301" s="10" t="s">
        <v>20</v>
      </c>
      <c r="L7301" s="11" t="n">
        <v>40091.543287037</v>
      </c>
      <c r="M7301" s="12" t="s">
        <v>87</v>
      </c>
      <c r="N7301" s="12" t="s">
        <v>16445</v>
      </c>
      <c r="O7301" s="9" t="str">
        <f aca="false">HYPERLINK("https://pbs.twimg.com/profile_images/685145220170649600/MV45nfwl_normal.png","View")</f>
        <v>View</v>
      </c>
      <c r="P7301" s="10"/>
    </row>
    <row r="7302" customFormat="false" ht="15.75" hidden="false" customHeight="false" outlineLevel="0" collapsed="false">
      <c r="A7302" s="6" t="n">
        <v>43031.4503125</v>
      </c>
      <c r="B7302" s="7" t="str">
        <f aca="false">HYPERLINK("https://twitter.com/fujitayuh","@fujitayuh")</f>
        <v>@fujitayuh</v>
      </c>
      <c r="C7302" s="8" t="s">
        <v>2092</v>
      </c>
      <c r="D7302" s="8" t="s">
        <v>16413</v>
      </c>
      <c r="E7302" s="9" t="str">
        <f aca="false">HYPERLINK("https://twitter.com/fujitayuh/status/922520107846221824","922520107846221824")</f>
        <v>922520107846221824</v>
      </c>
      <c r="F7302" s="10" t="s">
        <v>177</v>
      </c>
      <c r="G7302" s="10" t="n">
        <v>457</v>
      </c>
      <c r="H7302" s="10" t="n">
        <v>265</v>
      </c>
      <c r="I7302" s="10" t="n">
        <v>46</v>
      </c>
      <c r="J7302" s="10" t="n">
        <v>0</v>
      </c>
      <c r="K7302" s="10" t="s">
        <v>20</v>
      </c>
      <c r="L7302" s="11" t="n">
        <v>40208.2397222222</v>
      </c>
      <c r="M7302" s="12" t="s">
        <v>2093</v>
      </c>
      <c r="N7302" s="13" t="s">
        <v>2094</v>
      </c>
      <c r="O7302" s="9" t="str">
        <f aca="false">HYPERLINK("https://pbs.twimg.com/profile_images/667191542/800px-Four_of_the_Seven_Sisters_normal.jpg","View")</f>
        <v>View</v>
      </c>
      <c r="P7302" s="10"/>
    </row>
    <row r="7303" customFormat="false" ht="15.75" hidden="false" customHeight="false" outlineLevel="0" collapsed="false">
      <c r="A7303" s="6" t="n">
        <v>43031.450474537</v>
      </c>
      <c r="B7303" s="7" t="str">
        <f aca="false">HYPERLINK("https://twitter.com/economist_once","@economist_once")</f>
        <v>@economist_once</v>
      </c>
      <c r="C7303" s="8" t="s">
        <v>16446</v>
      </c>
      <c r="D7303" s="8" t="s">
        <v>16413</v>
      </c>
      <c r="E7303" s="9" t="str">
        <f aca="false">HYPERLINK("https://twitter.com/economist_once/status/922520164771516416","922520164771516416")</f>
        <v>922520164771516416</v>
      </c>
      <c r="F7303" s="10" t="s">
        <v>737</v>
      </c>
      <c r="G7303" s="10" t="n">
        <v>38</v>
      </c>
      <c r="H7303" s="10" t="n">
        <v>0</v>
      </c>
      <c r="I7303" s="10" t="n">
        <v>46</v>
      </c>
      <c r="J7303" s="10" t="n">
        <v>0</v>
      </c>
      <c r="K7303" s="10" t="s">
        <v>20</v>
      </c>
      <c r="L7303" s="11" t="n">
        <v>42758.8939467593</v>
      </c>
      <c r="M7303" s="12"/>
      <c r="N7303" s="12" t="s">
        <v>16447</v>
      </c>
      <c r="O7303" s="9" t="str">
        <f aca="false">HYPERLINK("https://pbs.twimg.com/profile_images/823940707136270336/ixrTluis_normal.jpg","View")</f>
        <v>View</v>
      </c>
      <c r="P7303" s="10"/>
    </row>
    <row r="7304" customFormat="false" ht="15.75" hidden="false" customHeight="false" outlineLevel="0" collapsed="false">
      <c r="A7304" s="6" t="n">
        <v>43031.4504976852</v>
      </c>
      <c r="B7304" s="7" t="str">
        <f aca="false">HYPERLINK("https://twitter.com/Willallchorn","@Willallchorn")</f>
        <v>@Willallchorn</v>
      </c>
      <c r="C7304" s="8" t="s">
        <v>16448</v>
      </c>
      <c r="D7304" s="8" t="s">
        <v>16449</v>
      </c>
      <c r="E7304" s="9" t="str">
        <f aca="false">HYPERLINK("https://twitter.com/Willallchorn/status/922520173831221251","922520173831221251")</f>
        <v>922520173831221251</v>
      </c>
      <c r="F7304" s="10" t="s">
        <v>51</v>
      </c>
      <c r="G7304" s="10" t="n">
        <v>299</v>
      </c>
      <c r="H7304" s="10" t="n">
        <v>415</v>
      </c>
      <c r="I7304" s="10" t="n">
        <v>0</v>
      </c>
      <c r="J7304" s="10" t="n">
        <v>0</v>
      </c>
      <c r="K7304" s="10" t="s">
        <v>20</v>
      </c>
      <c r="L7304" s="11" t="n">
        <v>39932.0262847222</v>
      </c>
      <c r="M7304" s="12"/>
      <c r="N7304" s="12" t="s">
        <v>16450</v>
      </c>
      <c r="O7304" s="9" t="str">
        <f aca="false">HYPERLINK("https://pbs.twimg.com/profile_images/887718204574924800/fSWRSpwS_normal.jpg","View")</f>
        <v>View</v>
      </c>
      <c r="P7304" s="10"/>
    </row>
    <row r="7305" customFormat="false" ht="15.75" hidden="false" customHeight="false" outlineLevel="0" collapsed="false">
      <c r="A7305" s="6" t="n">
        <v>43031.450787037</v>
      </c>
      <c r="B7305" s="7" t="str">
        <f aca="false">HYPERLINK("https://twitter.com/JamesRoy","@JamesRoy")</f>
        <v>@JamesRoy</v>
      </c>
      <c r="C7305" s="8" t="s">
        <v>16451</v>
      </c>
      <c r="D7305" s="8" t="s">
        <v>16452</v>
      </c>
      <c r="E7305" s="9" t="str">
        <f aca="false">HYPERLINK("https://twitter.com/JamesRoy/status/922520278902693888","922520278902693888")</f>
        <v>922520278902693888</v>
      </c>
      <c r="F7305" s="10" t="s">
        <v>60</v>
      </c>
      <c r="G7305" s="10" t="n">
        <v>14356</v>
      </c>
      <c r="H7305" s="10" t="n">
        <v>13697</v>
      </c>
      <c r="I7305" s="10" t="n">
        <v>0</v>
      </c>
      <c r="J7305" s="10" t="n">
        <v>0</v>
      </c>
      <c r="K7305" s="10" t="s">
        <v>20</v>
      </c>
      <c r="L7305" s="11" t="n">
        <v>39826.2566782407</v>
      </c>
      <c r="M7305" s="12" t="s">
        <v>16453</v>
      </c>
      <c r="N7305" s="12" t="s">
        <v>16454</v>
      </c>
      <c r="O7305" s="9" t="str">
        <f aca="false">HYPERLINK("https://pbs.twimg.com/profile_images/638077492847378432/_B521DK6_normal.jpg","View")</f>
        <v>View</v>
      </c>
      <c r="P7305" s="10"/>
    </row>
    <row r="7306" customFormat="false" ht="15.75" hidden="false" customHeight="false" outlineLevel="0" collapsed="false">
      <c r="A7306" s="6" t="n">
        <v>43031.4510185185</v>
      </c>
      <c r="B7306" s="7" t="str">
        <f aca="false">HYPERLINK("https://twitter.com/Sonof76","@Sonof76")</f>
        <v>@Sonof76</v>
      </c>
      <c r="C7306" s="8" t="s">
        <v>13116</v>
      </c>
      <c r="D7306" s="8" t="s">
        <v>16226</v>
      </c>
      <c r="E7306" s="9" t="str">
        <f aca="false">HYPERLINK("https://twitter.com/Sonof76/status/922520359726747648","922520359726747648")</f>
        <v>922520359726747648</v>
      </c>
      <c r="F7306" s="10" t="s">
        <v>39</v>
      </c>
      <c r="G7306" s="10" t="n">
        <v>7</v>
      </c>
      <c r="H7306" s="10" t="n">
        <v>55</v>
      </c>
      <c r="I7306" s="10" t="n">
        <v>19</v>
      </c>
      <c r="J7306" s="10" t="n">
        <v>0</v>
      </c>
      <c r="K7306" s="10" t="s">
        <v>20</v>
      </c>
      <c r="L7306" s="11" t="n">
        <v>42767.9941898148</v>
      </c>
      <c r="M7306" s="12"/>
      <c r="N7306" s="12"/>
      <c r="O7306" s="9" t="str">
        <f aca="false">HYPERLINK("https://pbs.twimg.com/profile_images/831742018149810184/SQc1PWuI_normal.jpg","View")</f>
        <v>View</v>
      </c>
      <c r="P7306" s="10"/>
    </row>
    <row r="7307" customFormat="false" ht="15.75" hidden="false" customHeight="false" outlineLevel="0" collapsed="false">
      <c r="A7307" s="6" t="n">
        <v>43031.4510648148</v>
      </c>
      <c r="B7307" s="7" t="str">
        <f aca="false">HYPERLINK("https://twitter.com/onlinelords","@onlinelords")</f>
        <v>@onlinelords</v>
      </c>
      <c r="C7307" s="8" t="s">
        <v>3710</v>
      </c>
      <c r="D7307" s="8" t="s">
        <v>16455</v>
      </c>
      <c r="E7307" s="9" t="str">
        <f aca="false">HYPERLINK("https://twitter.com/onlinelords/status/922520377603043328","922520377603043328")</f>
        <v>922520377603043328</v>
      </c>
      <c r="F7307" s="10" t="s">
        <v>60</v>
      </c>
      <c r="G7307" s="10" t="n">
        <v>510</v>
      </c>
      <c r="H7307" s="10" t="n">
        <v>1816</v>
      </c>
      <c r="I7307" s="10" t="n">
        <v>0</v>
      </c>
      <c r="J7307" s="10" t="n">
        <v>0</v>
      </c>
      <c r="K7307" s="10" t="s">
        <v>20</v>
      </c>
      <c r="L7307" s="11" t="n">
        <v>42910.4271412037</v>
      </c>
      <c r="M7307" s="12" t="s">
        <v>3712</v>
      </c>
      <c r="N7307" s="12" t="s">
        <v>3713</v>
      </c>
      <c r="O7307" s="9" t="str">
        <f aca="false">HYPERLINK("https://pbs.twimg.com/profile_images/919643248817254400/z8AUB3Qm_normal.jpg","View")</f>
        <v>View</v>
      </c>
      <c r="P7307" s="10"/>
    </row>
    <row r="7308" customFormat="false" ht="15.75" hidden="false" customHeight="false" outlineLevel="0" collapsed="false">
      <c r="A7308" s="6" t="n">
        <v>43031.451099537</v>
      </c>
      <c r="B7308" s="7" t="str">
        <f aca="false">HYPERLINK("https://twitter.com/alfonsoromillo","@alfonsoromillo")</f>
        <v>@alfonsoromillo</v>
      </c>
      <c r="C7308" s="8" t="s">
        <v>16456</v>
      </c>
      <c r="D7308" s="8" t="s">
        <v>16413</v>
      </c>
      <c r="E7308" s="9" t="str">
        <f aca="false">HYPERLINK("https://twitter.com/alfonsoromillo/status/922520390898876416","922520390898876416")</f>
        <v>922520390898876416</v>
      </c>
      <c r="F7308" s="10" t="s">
        <v>51</v>
      </c>
      <c r="G7308" s="10" t="n">
        <v>649</v>
      </c>
      <c r="H7308" s="10" t="n">
        <v>477</v>
      </c>
      <c r="I7308" s="10" t="n">
        <v>46</v>
      </c>
      <c r="J7308" s="10" t="n">
        <v>0</v>
      </c>
      <c r="K7308" s="10" t="s">
        <v>20</v>
      </c>
      <c r="L7308" s="11" t="n">
        <v>40695.1995949074</v>
      </c>
      <c r="M7308" s="12" t="s">
        <v>16457</v>
      </c>
      <c r="N7308" s="12" t="s">
        <v>16458</v>
      </c>
      <c r="O7308" s="9" t="str">
        <f aca="false">HYPERLINK("https://pbs.twimg.com/profile_images/916234406276210688/wPhChmfV_normal.jpg","View")</f>
        <v>View</v>
      </c>
      <c r="P7308" s="10"/>
    </row>
    <row r="7309" customFormat="false" ht="15.75" hidden="false" customHeight="false" outlineLevel="0" collapsed="false">
      <c r="A7309" s="6" t="n">
        <v>43031.4519560185</v>
      </c>
      <c r="B7309" s="7" t="str">
        <f aca="false">HYPERLINK("https://twitter.com/sameeruppal","@sameeruppal")</f>
        <v>@sameeruppal</v>
      </c>
      <c r="C7309" s="8" t="s">
        <v>16459</v>
      </c>
      <c r="D7309" s="8" t="s">
        <v>16392</v>
      </c>
      <c r="E7309" s="9" t="str">
        <f aca="false">HYPERLINK("https://twitter.com/sameeruppal/status/922520702124781569","922520702124781569")</f>
        <v>922520702124781569</v>
      </c>
      <c r="F7309" s="10" t="s">
        <v>51</v>
      </c>
      <c r="G7309" s="10" t="n">
        <v>252</v>
      </c>
      <c r="H7309" s="10" t="n">
        <v>1023</v>
      </c>
      <c r="I7309" s="10" t="n">
        <v>3</v>
      </c>
      <c r="J7309" s="10" t="n">
        <v>0</v>
      </c>
      <c r="K7309" s="10" t="s">
        <v>20</v>
      </c>
      <c r="L7309" s="11" t="n">
        <v>40168.0122453704</v>
      </c>
      <c r="M7309" s="12"/>
      <c r="N7309" s="12" t="s">
        <v>16460</v>
      </c>
      <c r="O7309" s="9" t="str">
        <f aca="false">HYPERLINK("https://pbs.twimg.com/profile_images/824345916974972933/gpD-yvQF_normal.jpg","View")</f>
        <v>View</v>
      </c>
      <c r="P7309" s="10"/>
    </row>
    <row r="7310" customFormat="false" ht="15.75" hidden="false" customHeight="false" outlineLevel="0" collapsed="false">
      <c r="A7310" s="6" t="n">
        <v>43031.4522800926</v>
      </c>
      <c r="B7310" s="7" t="str">
        <f aca="false">HYPERLINK("https://twitter.com/angelmkd","@angelmkd")</f>
        <v>@angelmkd</v>
      </c>
      <c r="C7310" s="8" t="s">
        <v>16461</v>
      </c>
      <c r="D7310" s="8" t="s">
        <v>16413</v>
      </c>
      <c r="E7310" s="9" t="str">
        <f aca="false">HYPERLINK("https://twitter.com/angelmkd/status/922520817098993669","922520817098993669")</f>
        <v>922520817098993669</v>
      </c>
      <c r="F7310" s="10" t="s">
        <v>25</v>
      </c>
      <c r="G7310" s="10" t="n">
        <v>2015</v>
      </c>
      <c r="H7310" s="10" t="n">
        <v>2007</v>
      </c>
      <c r="I7310" s="10" t="n">
        <v>46</v>
      </c>
      <c r="J7310" s="10" t="n">
        <v>0</v>
      </c>
      <c r="K7310" s="10" t="s">
        <v>20</v>
      </c>
      <c r="L7310" s="11" t="n">
        <v>40082.0363078704</v>
      </c>
      <c r="M7310" s="12"/>
      <c r="N7310" s="12" t="s">
        <v>16462</v>
      </c>
      <c r="O7310" s="9" t="str">
        <f aca="false">HYPERLINK("https://pbs.twimg.com/profile_images/908038730958680064/83eIJKN5_normal.jpg","View")</f>
        <v>View</v>
      </c>
      <c r="P7310" s="10"/>
    </row>
    <row r="7311" customFormat="false" ht="15.75" hidden="false" customHeight="false" outlineLevel="0" collapsed="false">
      <c r="A7311" s="6" t="n">
        <v>43031.4522916667</v>
      </c>
      <c r="B7311" s="7" t="str">
        <f aca="false">HYPERLINK("https://twitter.com/MarcoNavarroLor","@MarcoNavarroLor")</f>
        <v>@MarcoNavarroLor</v>
      </c>
      <c r="C7311" s="8" t="s">
        <v>16463</v>
      </c>
      <c r="D7311" s="8" t="s">
        <v>16413</v>
      </c>
      <c r="E7311" s="9" t="str">
        <f aca="false">HYPERLINK("https://twitter.com/MarcoNavarroLor/status/922520823881224193","922520823881224193")</f>
        <v>922520823881224193</v>
      </c>
      <c r="F7311" s="10" t="s">
        <v>51</v>
      </c>
      <c r="G7311" s="10" t="n">
        <v>684</v>
      </c>
      <c r="H7311" s="10" t="n">
        <v>100</v>
      </c>
      <c r="I7311" s="10" t="n">
        <v>46</v>
      </c>
      <c r="J7311" s="10" t="n">
        <v>0</v>
      </c>
      <c r="K7311" s="10" t="s">
        <v>20</v>
      </c>
      <c r="L7311" s="11" t="n">
        <v>42314.4551041667</v>
      </c>
      <c r="M7311" s="12" t="s">
        <v>16464</v>
      </c>
      <c r="N7311" s="12" t="s">
        <v>16465</v>
      </c>
      <c r="O7311" s="9" t="str">
        <f aca="false">HYPERLINK("https://pbs.twimg.com/profile_images/913887688268402688/p4NueOZE_normal.jpg","View")</f>
        <v>View</v>
      </c>
      <c r="P7311" s="10"/>
    </row>
    <row r="7312" customFormat="false" ht="15.75" hidden="false" customHeight="false" outlineLevel="0" collapsed="false">
      <c r="A7312" s="6" t="n">
        <v>43031.4528125</v>
      </c>
      <c r="B7312" s="7" t="str">
        <f aca="false">HYPERLINK("https://twitter.com/aj5XxLissaxX5","@aj5XxLissaxX5")</f>
        <v>@aj5XxLissaxX5</v>
      </c>
      <c r="C7312" s="8" t="s">
        <v>16466</v>
      </c>
      <c r="D7312" s="8" t="s">
        <v>14598</v>
      </c>
      <c r="E7312" s="9" t="str">
        <f aca="false">HYPERLINK("https://twitter.com/aj5XxLissaxX5/status/922521010489901056","922521010489901056")</f>
        <v>922521010489901056</v>
      </c>
      <c r="F7312" s="10" t="s">
        <v>25</v>
      </c>
      <c r="G7312" s="10" t="n">
        <v>40</v>
      </c>
      <c r="H7312" s="10" t="n">
        <v>2225</v>
      </c>
      <c r="I7312" s="10" t="n">
        <v>23</v>
      </c>
      <c r="J7312" s="10" t="n">
        <v>0</v>
      </c>
      <c r="K7312" s="10" t="s">
        <v>20</v>
      </c>
      <c r="L7312" s="11" t="n">
        <v>40913.7860763889</v>
      </c>
      <c r="M7312" s="12" t="s">
        <v>16467</v>
      </c>
      <c r="N7312" s="12" t="s">
        <v>16468</v>
      </c>
      <c r="O7312" s="9" t="str">
        <f aca="false">HYPERLINK("https://pbs.twimg.com/profile_images/523563004898443265/Uc3UWuCq_normal.jpeg","View")</f>
        <v>View</v>
      </c>
      <c r="P7312" s="10"/>
    </row>
    <row r="7313" customFormat="false" ht="15.75" hidden="false" customHeight="false" outlineLevel="0" collapsed="false">
      <c r="A7313" s="6" t="n">
        <v>43031.4535300926</v>
      </c>
      <c r="B7313" s="7" t="str">
        <f aca="false">HYPERLINK("https://twitter.com/MetroDiversity","@MetroDiversity")</f>
        <v>@MetroDiversity</v>
      </c>
      <c r="C7313" s="8" t="s">
        <v>16469</v>
      </c>
      <c r="D7313" s="8" t="s">
        <v>16413</v>
      </c>
      <c r="E7313" s="9" t="str">
        <f aca="false">HYPERLINK("https://twitter.com/MetroDiversity/status/922521272734699522","922521272734699522")</f>
        <v>922521272734699522</v>
      </c>
      <c r="F7313" s="10" t="s">
        <v>25</v>
      </c>
      <c r="G7313" s="10" t="n">
        <v>646</v>
      </c>
      <c r="H7313" s="10" t="n">
        <v>135</v>
      </c>
      <c r="I7313" s="10" t="n">
        <v>46</v>
      </c>
      <c r="J7313" s="10" t="n">
        <v>0</v>
      </c>
      <c r="K7313" s="10" t="s">
        <v>20</v>
      </c>
      <c r="L7313" s="11" t="n">
        <v>40507.0172685185</v>
      </c>
      <c r="M7313" s="12" t="s">
        <v>16470</v>
      </c>
      <c r="N7313" s="12" t="s">
        <v>16471</v>
      </c>
      <c r="O7313" s="9" t="str">
        <f aca="false">HYPERLINK("https://pbs.twimg.com/profile_images/777994642633568256/exmble4h_normal.jpg","View")</f>
        <v>View</v>
      </c>
      <c r="P7313" s="10"/>
    </row>
    <row r="7314" customFormat="false" ht="15.75" hidden="false" customHeight="false" outlineLevel="0" collapsed="false">
      <c r="A7314" s="6" t="n">
        <v>43031.4535648148</v>
      </c>
      <c r="B7314" s="7" t="str">
        <f aca="false">HYPERLINK("https://twitter.com/FogodoEon","@FogodoEon")</f>
        <v>@FogodoEon</v>
      </c>
      <c r="C7314" s="8" t="s">
        <v>16472</v>
      </c>
      <c r="D7314" s="8" t="s">
        <v>16413</v>
      </c>
      <c r="E7314" s="9" t="str">
        <f aca="false">HYPERLINK("https://twitter.com/FogodoEon/status/922521284554014721","922521284554014721")</f>
        <v>922521284554014721</v>
      </c>
      <c r="F7314" s="10" t="s">
        <v>25</v>
      </c>
      <c r="G7314" s="10" t="n">
        <v>704</v>
      </c>
      <c r="H7314" s="10" t="n">
        <v>485</v>
      </c>
      <c r="I7314" s="10" t="n">
        <v>46</v>
      </c>
      <c r="J7314" s="10" t="n">
        <v>0</v>
      </c>
      <c r="K7314" s="10" t="s">
        <v>20</v>
      </c>
      <c r="L7314" s="11" t="n">
        <v>40515.3710648148</v>
      </c>
      <c r="M7314" s="12" t="s">
        <v>16473</v>
      </c>
      <c r="N7314" s="12" t="s">
        <v>16474</v>
      </c>
      <c r="O7314" s="9" t="str">
        <f aca="false">HYPERLINK("https://pbs.twimg.com/profile_images/1182337525/_ndice_normal.jpeg","View")</f>
        <v>View</v>
      </c>
      <c r="P7314" s="10"/>
    </row>
    <row r="7315" customFormat="false" ht="15.75" hidden="false" customHeight="false" outlineLevel="0" collapsed="false">
      <c r="A7315" s="6" t="n">
        <v>43031.4536921296</v>
      </c>
      <c r="B7315" s="7" t="str">
        <f aca="false">HYPERLINK("https://twitter.com/alfredobarleta","@alfredobarleta")</f>
        <v>@alfredobarleta</v>
      </c>
      <c r="C7315" s="8" t="s">
        <v>16475</v>
      </c>
      <c r="D7315" s="8" t="s">
        <v>16413</v>
      </c>
      <c r="E7315" s="9" t="str">
        <f aca="false">HYPERLINK("https://twitter.com/alfredobarleta/status/922521329525501952","922521329525501952")</f>
        <v>922521329525501952</v>
      </c>
      <c r="F7315" s="10" t="s">
        <v>25</v>
      </c>
      <c r="G7315" s="10" t="n">
        <v>757</v>
      </c>
      <c r="H7315" s="10" t="n">
        <v>2811</v>
      </c>
      <c r="I7315" s="10" t="n">
        <v>46</v>
      </c>
      <c r="J7315" s="10" t="n">
        <v>0</v>
      </c>
      <c r="K7315" s="10" t="s">
        <v>20</v>
      </c>
      <c r="L7315" s="11" t="n">
        <v>40700.4470023148</v>
      </c>
      <c r="M7315" s="12" t="s">
        <v>16476</v>
      </c>
      <c r="N7315" s="12" t="s">
        <v>16477</v>
      </c>
      <c r="O7315" s="9" t="str">
        <f aca="false">HYPERLINK("https://pbs.twimg.com/profile_images/765047820730630144/CHSUzbul_normal.jpg","View")</f>
        <v>View</v>
      </c>
      <c r="P7315" s="10"/>
    </row>
    <row r="7316" customFormat="false" ht="15.75" hidden="false" customHeight="false" outlineLevel="0" collapsed="false">
      <c r="A7316" s="6" t="n">
        <v>43031.4537037037</v>
      </c>
      <c r="B7316" s="7" t="str">
        <f aca="false">HYPERLINK("https://twitter.com/kalvinFX","@kalvinFX")</f>
        <v>@kalvinFX</v>
      </c>
      <c r="C7316" s="8" t="s">
        <v>16478</v>
      </c>
      <c r="D7316" s="8" t="s">
        <v>16413</v>
      </c>
      <c r="E7316" s="9" t="str">
        <f aca="false">HYPERLINK("https://twitter.com/kalvinFX/status/922521336240640000","922521336240640000")</f>
        <v>922521336240640000</v>
      </c>
      <c r="F7316" s="10" t="s">
        <v>25</v>
      </c>
      <c r="G7316" s="10" t="n">
        <v>203</v>
      </c>
      <c r="H7316" s="10" t="n">
        <v>625</v>
      </c>
      <c r="I7316" s="10" t="n">
        <v>46</v>
      </c>
      <c r="J7316" s="10" t="n">
        <v>0</v>
      </c>
      <c r="K7316" s="10" t="s">
        <v>20</v>
      </c>
      <c r="L7316" s="11" t="n">
        <v>39942.1839351852</v>
      </c>
      <c r="M7316" s="12" t="s">
        <v>893</v>
      </c>
      <c r="N7316" s="12" t="s">
        <v>16479</v>
      </c>
      <c r="O7316" s="9" t="str">
        <f aca="false">HYPERLINK("https://pbs.twimg.com/profile_images/1611299017/image_normal.jpg","View")</f>
        <v>View</v>
      </c>
      <c r="P7316" s="10"/>
    </row>
    <row r="7317" customFormat="false" ht="15.75" hidden="false" customHeight="false" outlineLevel="0" collapsed="false">
      <c r="A7317" s="6" t="n">
        <v>43031.45375</v>
      </c>
      <c r="B7317" s="7" t="str">
        <f aca="false">HYPERLINK("https://twitter.com/eloquent_bot","@eloquent_bot")</f>
        <v>@eloquent_bot</v>
      </c>
      <c r="C7317" s="8" t="s">
        <v>16480</v>
      </c>
      <c r="D7317" s="8" t="s">
        <v>16481</v>
      </c>
      <c r="E7317" s="9" t="str">
        <f aca="false">HYPERLINK("https://twitter.com/eloquent_bot/status/922521349687599105","922521349687599105")</f>
        <v>922521349687599105</v>
      </c>
      <c r="F7317" s="10" t="s">
        <v>16482</v>
      </c>
      <c r="G7317" s="10" t="n">
        <v>6</v>
      </c>
      <c r="H7317" s="10" t="n">
        <v>12</v>
      </c>
      <c r="I7317" s="10" t="n">
        <v>0</v>
      </c>
      <c r="J7317" s="10" t="n">
        <v>0</v>
      </c>
      <c r="K7317" s="10" t="s">
        <v>20</v>
      </c>
      <c r="L7317" s="11" t="n">
        <v>42978.5166319444</v>
      </c>
      <c r="M7317" s="12" t="s">
        <v>14603</v>
      </c>
      <c r="N7317" s="12" t="s">
        <v>16483</v>
      </c>
      <c r="O7317" s="9" t="str">
        <f aca="false">HYPERLINK("https://pbs.twimg.com/profile_images/905078349168607232/a2qPSu7i_normal.jpg","View")</f>
        <v>View</v>
      </c>
      <c r="P7317" s="10"/>
    </row>
    <row r="7318" customFormat="false" ht="15.75" hidden="false" customHeight="false" outlineLevel="0" collapsed="false">
      <c r="A7318" s="6" t="n">
        <v>43031.4537615741</v>
      </c>
      <c r="B7318" s="7" t="str">
        <f aca="false">HYPERLINK("https://twitter.com/BuzzfreeNews","@BuzzfreeNews")</f>
        <v>@BuzzfreeNews</v>
      </c>
      <c r="C7318" s="8" t="s">
        <v>16484</v>
      </c>
      <c r="D7318" s="8" t="s">
        <v>16485</v>
      </c>
      <c r="E7318" s="9" t="str">
        <f aca="false">HYPERLINK("https://twitter.com/BuzzfreeNews/status/922521357258289154","922521357258289154")</f>
        <v>922521357258289154</v>
      </c>
      <c r="F7318" s="10" t="s">
        <v>60</v>
      </c>
      <c r="G7318" s="10" t="n">
        <v>63</v>
      </c>
      <c r="H7318" s="10" t="n">
        <v>179</v>
      </c>
      <c r="I7318" s="10" t="n">
        <v>0</v>
      </c>
      <c r="J7318" s="10" t="n">
        <v>0</v>
      </c>
      <c r="K7318" s="10" t="s">
        <v>20</v>
      </c>
      <c r="L7318" s="11" t="n">
        <v>42917.2859027778</v>
      </c>
      <c r="M7318" s="12" t="s">
        <v>16486</v>
      </c>
      <c r="N7318" s="12" t="s">
        <v>16487</v>
      </c>
      <c r="O7318" s="9" t="str">
        <f aca="false">HYPERLINK("https://pbs.twimg.com/profile_images/916246359832903680/VQYQAWkL_normal.jpg","View")</f>
        <v>View</v>
      </c>
      <c r="P7318" s="10"/>
    </row>
    <row r="7319" customFormat="false" ht="15.75" hidden="false" customHeight="false" outlineLevel="0" collapsed="false">
      <c r="A7319" s="6" t="n">
        <v>43031.4543287037</v>
      </c>
      <c r="B7319" s="7" t="str">
        <f aca="false">HYPERLINK("https://twitter.com/NGDPLT_no28","@NGDPLT_no28")</f>
        <v>@NGDPLT_no28</v>
      </c>
      <c r="C7319" s="14" t="s">
        <v>16488</v>
      </c>
      <c r="D7319" s="8" t="s">
        <v>16413</v>
      </c>
      <c r="E7319" s="9" t="str">
        <f aca="false">HYPERLINK("https://twitter.com/NGDPLT_no28/status/922521559956197376","922521559956197376")</f>
        <v>922521559956197376</v>
      </c>
      <c r="F7319" s="10" t="s">
        <v>3458</v>
      </c>
      <c r="G7319" s="10" t="n">
        <v>55</v>
      </c>
      <c r="H7319" s="10" t="n">
        <v>73</v>
      </c>
      <c r="I7319" s="10" t="n">
        <v>46</v>
      </c>
      <c r="J7319" s="10" t="n">
        <v>0</v>
      </c>
      <c r="K7319" s="10" t="s">
        <v>20</v>
      </c>
      <c r="L7319" s="11" t="n">
        <v>42260.038912037</v>
      </c>
      <c r="M7319" s="12" t="s">
        <v>574</v>
      </c>
      <c r="N7319" s="12" t="s">
        <v>16489</v>
      </c>
      <c r="O7319" s="9" t="str">
        <f aca="false">HYPERLINK("https://pbs.twimg.com/profile_images/862325348314132480/oH-INEpl_normal.jpg","View")</f>
        <v>View</v>
      </c>
      <c r="P7319" s="10"/>
    </row>
    <row r="7320" customFormat="false" ht="15.75" hidden="false" customHeight="false" outlineLevel="0" collapsed="false">
      <c r="A7320" s="6" t="n">
        <v>43031.4545138889</v>
      </c>
      <c r="B7320" s="7" t="str">
        <f aca="false">HYPERLINK("https://twitter.com/bourtieb","@bourtieb")</f>
        <v>@bourtieb</v>
      </c>
      <c r="C7320" s="8" t="s">
        <v>16490</v>
      </c>
      <c r="D7320" s="8" t="s">
        <v>16413</v>
      </c>
      <c r="E7320" s="9" t="str">
        <f aca="false">HYPERLINK("https://twitter.com/bourtieb/status/922521629451792384","922521629451792384")</f>
        <v>922521629451792384</v>
      </c>
      <c r="F7320" s="10" t="s">
        <v>1017</v>
      </c>
      <c r="G7320" s="10" t="n">
        <v>91</v>
      </c>
      <c r="H7320" s="10" t="n">
        <v>359</v>
      </c>
      <c r="I7320" s="10" t="n">
        <v>46</v>
      </c>
      <c r="J7320" s="10" t="n">
        <v>0</v>
      </c>
      <c r="K7320" s="10" t="s">
        <v>20</v>
      </c>
      <c r="L7320" s="11" t="n">
        <v>40979.1900925926</v>
      </c>
      <c r="M7320" s="12" t="s">
        <v>16491</v>
      </c>
      <c r="N7320" s="12" t="s">
        <v>16492</v>
      </c>
      <c r="O7320" s="9" t="str">
        <f aca="false">HYPERLINK("https://pbs.twimg.com/profile_images/569743333862277120/ajtW6wDx_normal.jpeg","View")</f>
        <v>View</v>
      </c>
      <c r="P7320" s="10"/>
    </row>
    <row r="7321" customFormat="false" ht="15.75" hidden="false" customHeight="false" outlineLevel="0" collapsed="false">
      <c r="A7321" s="6" t="n">
        <v>43031.4545833333</v>
      </c>
      <c r="B7321" s="7" t="str">
        <f aca="false">HYPERLINK("https://twitter.com/GaleonisV","@GaleonisV")</f>
        <v>@GaleonisV</v>
      </c>
      <c r="C7321" s="8" t="s">
        <v>16493</v>
      </c>
      <c r="D7321" s="8" t="s">
        <v>16413</v>
      </c>
      <c r="E7321" s="9" t="str">
        <f aca="false">HYPERLINK("https://twitter.com/GaleonisV/status/922521651916324864","922521651916324864")</f>
        <v>922521651916324864</v>
      </c>
      <c r="F7321" s="10" t="s">
        <v>25</v>
      </c>
      <c r="G7321" s="10" t="n">
        <v>104</v>
      </c>
      <c r="H7321" s="10" t="n">
        <v>131</v>
      </c>
      <c r="I7321" s="10" t="n">
        <v>46</v>
      </c>
      <c r="J7321" s="10" t="n">
        <v>0</v>
      </c>
      <c r="K7321" s="10" t="s">
        <v>20</v>
      </c>
      <c r="L7321" s="11" t="n">
        <v>42434.166412037</v>
      </c>
      <c r="M7321" s="12"/>
      <c r="N7321" s="12"/>
      <c r="O7321" s="9" t="str">
        <f aca="false">HYPERLINK("https://pbs.twimg.com/profile_images/720211445322002433/dLAUkOBS_normal.jpg","View")</f>
        <v>View</v>
      </c>
      <c r="P7321" s="10"/>
    </row>
    <row r="7322" customFormat="false" ht="15.75" hidden="false" customHeight="false" outlineLevel="0" collapsed="false">
      <c r="A7322" s="6" t="n">
        <v>43031.4551273148</v>
      </c>
      <c r="B7322" s="7" t="str">
        <f aca="false">HYPERLINK("https://twitter.com/bobby990r_1","@bobby990r_1")</f>
        <v>@bobby990r_1</v>
      </c>
      <c r="C7322" s="8" t="s">
        <v>16494</v>
      </c>
      <c r="D7322" s="8" t="s">
        <v>16413</v>
      </c>
      <c r="E7322" s="9" t="str">
        <f aca="false">HYPERLINK("https://twitter.com/bobby990r_1/status/922521851041116168","922521851041116168")</f>
        <v>922521851041116168</v>
      </c>
      <c r="F7322" s="10" t="s">
        <v>51</v>
      </c>
      <c r="G7322" s="10" t="n">
        <v>411</v>
      </c>
      <c r="H7322" s="10" t="n">
        <v>357</v>
      </c>
      <c r="I7322" s="10" t="n">
        <v>46</v>
      </c>
      <c r="J7322" s="10" t="n">
        <v>0</v>
      </c>
      <c r="K7322" s="10" t="s">
        <v>20</v>
      </c>
      <c r="L7322" s="11" t="n">
        <v>41659.6568634259</v>
      </c>
      <c r="M7322" s="12"/>
      <c r="N7322" s="12" t="s">
        <v>16495</v>
      </c>
      <c r="O7322" s="9" t="str">
        <f aca="false">HYPERLINK("https://pbs.twimg.com/profile_images/427116344161484801/JsZ1YLcA_normal.jpeg","View")</f>
        <v>View</v>
      </c>
      <c r="P7322" s="10"/>
    </row>
    <row r="7323" customFormat="false" ht="15.75" hidden="false" customHeight="false" outlineLevel="0" collapsed="false">
      <c r="A7323" s="6" t="n">
        <v>43031.4559375</v>
      </c>
      <c r="B7323" s="7" t="str">
        <f aca="false">HYPERLINK("https://twitter.com/o_oz_za_a","@o_oz_za_a")</f>
        <v>@o_oz_za_a</v>
      </c>
      <c r="C7323" s="8" t="s">
        <v>16496</v>
      </c>
      <c r="D7323" s="8" t="s">
        <v>3134</v>
      </c>
      <c r="E7323" s="9" t="str">
        <f aca="false">HYPERLINK("https://twitter.com/o_oz_za_a/status/922522144692633600","922522144692633600")</f>
        <v>922522144692633600</v>
      </c>
      <c r="F7323" s="10" t="s">
        <v>51</v>
      </c>
      <c r="G7323" s="10" t="n">
        <v>228</v>
      </c>
      <c r="H7323" s="10" t="n">
        <v>1607</v>
      </c>
      <c r="I7323" s="10" t="n">
        <v>11</v>
      </c>
      <c r="J7323" s="10" t="n">
        <v>0</v>
      </c>
      <c r="K7323" s="10" t="s">
        <v>20</v>
      </c>
      <c r="L7323" s="11" t="n">
        <v>39921.6853703704</v>
      </c>
      <c r="M7323" s="12"/>
      <c r="N7323" s="12"/>
      <c r="O7323" s="9" t="str">
        <f aca="false">HYPERLINK("https://pbs.twimg.com/profile_images/1246886796/161746_1566156343_6438648_q_normal.jpg","View")</f>
        <v>View</v>
      </c>
      <c r="P7323" s="10"/>
    </row>
    <row r="7324" customFormat="false" ht="15.75" hidden="false" customHeight="false" outlineLevel="0" collapsed="false">
      <c r="A7324" s="6" t="n">
        <v>43031.4569907407</v>
      </c>
      <c r="B7324" s="7" t="str">
        <f aca="false">HYPERLINK("https://twitter.com/shivramsrini","@shivramsrini")</f>
        <v>@shivramsrini</v>
      </c>
      <c r="C7324" s="8" t="s">
        <v>16497</v>
      </c>
      <c r="D7324" s="8" t="s">
        <v>8538</v>
      </c>
      <c r="E7324" s="9" t="str">
        <f aca="false">HYPERLINK("https://twitter.com/shivramsrini/status/922522527208849408","922522527208849408")</f>
        <v>922522527208849408</v>
      </c>
      <c r="F7324" s="10" t="s">
        <v>25</v>
      </c>
      <c r="G7324" s="10" t="n">
        <v>39</v>
      </c>
      <c r="H7324" s="10" t="n">
        <v>53</v>
      </c>
      <c r="I7324" s="10" t="n">
        <v>1015</v>
      </c>
      <c r="J7324" s="10" t="n">
        <v>0</v>
      </c>
      <c r="K7324" s="10" t="s">
        <v>20</v>
      </c>
      <c r="L7324" s="11" t="n">
        <v>41603.078912037</v>
      </c>
      <c r="M7324" s="12" t="s">
        <v>5883</v>
      </c>
      <c r="N7324" s="12" t="s">
        <v>16498</v>
      </c>
      <c r="O7324" s="9" t="str">
        <f aca="false">HYPERLINK("https://pbs.twimg.com/profile_images/574094365200515073/MSuqDZJZ_normal.jpeg","View")</f>
        <v>View</v>
      </c>
      <c r="P7324" s="10"/>
    </row>
    <row r="7325" customFormat="false" ht="15.75" hidden="false" customHeight="false" outlineLevel="0" collapsed="false">
      <c r="A7325" s="6" t="n">
        <v>43031.4570717593</v>
      </c>
      <c r="B7325" s="7" t="str">
        <f aca="false">HYPERLINK("https://twitter.com/Valhalla_Nights","@Valhalla_Nights")</f>
        <v>@Valhalla_Nights</v>
      </c>
      <c r="C7325" s="8" t="s">
        <v>16499</v>
      </c>
      <c r="D7325" s="8" t="s">
        <v>16413</v>
      </c>
      <c r="E7325" s="9" t="str">
        <f aca="false">HYPERLINK("https://twitter.com/Valhalla_Nights/status/922522554270732288","922522554270732288")</f>
        <v>922522554270732288</v>
      </c>
      <c r="F7325" s="10" t="s">
        <v>39</v>
      </c>
      <c r="G7325" s="10" t="n">
        <v>998</v>
      </c>
      <c r="H7325" s="10" t="n">
        <v>3000</v>
      </c>
      <c r="I7325" s="10" t="n">
        <v>46</v>
      </c>
      <c r="J7325" s="10" t="n">
        <v>0</v>
      </c>
      <c r="K7325" s="10" t="s">
        <v>20</v>
      </c>
      <c r="L7325" s="11" t="n">
        <v>40891.6774189815</v>
      </c>
      <c r="M7325" s="12"/>
      <c r="N7325" s="12" t="s">
        <v>16500</v>
      </c>
      <c r="O7325" s="9" t="str">
        <f aca="false">HYPERLINK("https://pbs.twimg.com/profile_images/459031192767954945/BhuwbfcY_normal.png","View")</f>
        <v>View</v>
      </c>
      <c r="P7325" s="10"/>
    </row>
    <row r="7326" customFormat="false" ht="15.75" hidden="false" customHeight="false" outlineLevel="0" collapsed="false">
      <c r="A7326" s="6" t="n">
        <v>43031.4579513889</v>
      </c>
      <c r="B7326" s="7" t="str">
        <f aca="false">HYPERLINK("https://twitter.com/avullamparthie","@avullamparthie")</f>
        <v>@avullamparthie</v>
      </c>
      <c r="C7326" s="8" t="s">
        <v>16501</v>
      </c>
      <c r="D7326" s="8" t="s">
        <v>8538</v>
      </c>
      <c r="E7326" s="9" t="str">
        <f aca="false">HYPERLINK("https://twitter.com/avullamparthie/status/922522874111344642","922522874111344642")</f>
        <v>922522874111344642</v>
      </c>
      <c r="F7326" s="10" t="s">
        <v>25</v>
      </c>
      <c r="G7326" s="10" t="n">
        <v>24</v>
      </c>
      <c r="H7326" s="10" t="n">
        <v>279</v>
      </c>
      <c r="I7326" s="10" t="n">
        <v>1015</v>
      </c>
      <c r="J7326" s="10" t="n">
        <v>0</v>
      </c>
      <c r="K7326" s="10" t="s">
        <v>20</v>
      </c>
      <c r="L7326" s="11" t="n">
        <v>42860.4435300926</v>
      </c>
      <c r="M7326" s="12" t="s">
        <v>16502</v>
      </c>
      <c r="N7326" s="12"/>
      <c r="O7326" s="9" t="str">
        <f aca="false">HYPERLINK("https://pbs.twimg.com/profile_images/861633639510974464/wUMkASEv_normal.jpg","View")</f>
        <v>View</v>
      </c>
      <c r="P7326" s="10"/>
    </row>
    <row r="7327" customFormat="false" ht="15.75" hidden="false" customHeight="false" outlineLevel="0" collapsed="false">
      <c r="A7327" s="6" t="n">
        <v>43031.4580208333</v>
      </c>
      <c r="B7327" s="7" t="str">
        <f aca="false">HYPERLINK("https://twitter.com/CaseyBillX","@CaseyBillX")</f>
        <v>@CaseyBillX</v>
      </c>
      <c r="C7327" s="8" t="s">
        <v>2159</v>
      </c>
      <c r="D7327" s="8" t="s">
        <v>3134</v>
      </c>
      <c r="E7327" s="9" t="str">
        <f aca="false">HYPERLINK("https://twitter.com/CaseyBillX/status/922522900069879808","922522900069879808")</f>
        <v>922522900069879808</v>
      </c>
      <c r="F7327" s="10" t="s">
        <v>2160</v>
      </c>
      <c r="G7327" s="10" t="n">
        <v>2484</v>
      </c>
      <c r="H7327" s="10" t="n">
        <v>5001</v>
      </c>
      <c r="I7327" s="10" t="n">
        <v>11</v>
      </c>
      <c r="J7327" s="10" t="n">
        <v>0</v>
      </c>
      <c r="K7327" s="10" t="s">
        <v>20</v>
      </c>
      <c r="L7327" s="11" t="n">
        <v>42997.1530208333</v>
      </c>
      <c r="M7327" s="12"/>
      <c r="N7327" s="12"/>
      <c r="O7327" s="9" t="str">
        <f aca="false">HYPERLINK("https://pbs.twimg.com/profile_images/910103474003525633/_kzNa9NX_normal.jpg","View")</f>
        <v>View</v>
      </c>
      <c r="P7327" s="10"/>
    </row>
    <row r="7328" customFormat="false" ht="15.75" hidden="false" customHeight="false" outlineLevel="0" collapsed="false">
      <c r="A7328" s="6" t="n">
        <v>43031.4580671296</v>
      </c>
      <c r="B7328" s="7" t="str">
        <f aca="false">HYPERLINK("https://twitter.com/ku_bi_ko","@ku_bi_ko")</f>
        <v>@ku_bi_ko</v>
      </c>
      <c r="C7328" s="14" t="s">
        <v>16503</v>
      </c>
      <c r="D7328" s="8" t="s">
        <v>16413</v>
      </c>
      <c r="E7328" s="9" t="str">
        <f aca="false">HYPERLINK("https://twitter.com/ku_bi_ko/status/922522916633432064","922522916633432064")</f>
        <v>922522916633432064</v>
      </c>
      <c r="F7328" s="10" t="s">
        <v>39</v>
      </c>
      <c r="G7328" s="10" t="n">
        <v>540</v>
      </c>
      <c r="H7328" s="10" t="n">
        <v>501</v>
      </c>
      <c r="I7328" s="10" t="n">
        <v>46</v>
      </c>
      <c r="J7328" s="10" t="n">
        <v>0</v>
      </c>
      <c r="K7328" s="10" t="s">
        <v>20</v>
      </c>
      <c r="L7328" s="11" t="n">
        <v>40678.5587268519</v>
      </c>
      <c r="M7328" s="13" t="s">
        <v>16504</v>
      </c>
      <c r="N7328" s="13" t="s">
        <v>16505</v>
      </c>
      <c r="O7328" s="9" t="str">
        <f aca="false">HYPERLINK("https://pbs.twimg.com/profile_images/909395630405177344/MBOMxy9H_normal.jpg","View")</f>
        <v>View</v>
      </c>
      <c r="P7328" s="10"/>
    </row>
    <row r="7329" customFormat="false" ht="15.75" hidden="false" customHeight="false" outlineLevel="0" collapsed="false">
      <c r="A7329" s="6" t="n">
        <v>43031.4583796296</v>
      </c>
      <c r="B7329" s="7" t="str">
        <f aca="false">HYPERLINK("https://twitter.com/Sorgitzak","@Sorgitzak")</f>
        <v>@Sorgitzak</v>
      </c>
      <c r="C7329" s="8" t="s">
        <v>421</v>
      </c>
      <c r="D7329" s="8" t="s">
        <v>16506</v>
      </c>
      <c r="E7329" s="9" t="str">
        <f aca="false">HYPERLINK("https://twitter.com/Sorgitzak/status/922523029741154305","922523029741154305")</f>
        <v>922523029741154305</v>
      </c>
      <c r="F7329" s="10" t="s">
        <v>60</v>
      </c>
      <c r="G7329" s="10" t="n">
        <v>719</v>
      </c>
      <c r="H7329" s="10" t="n">
        <v>1309</v>
      </c>
      <c r="I7329" s="10" t="n">
        <v>0</v>
      </c>
      <c r="J7329" s="10" t="n">
        <v>0</v>
      </c>
      <c r="K7329" s="10" t="s">
        <v>20</v>
      </c>
      <c r="L7329" s="11" t="n">
        <v>39990.5521527778</v>
      </c>
      <c r="M7329" s="12" t="s">
        <v>423</v>
      </c>
      <c r="N7329" s="12"/>
      <c r="O7329" s="9" t="str">
        <f aca="false">HYPERLINK("https://pbs.twimg.com/profile_images/284404970/sorgitzak_normal.JPG","View")</f>
        <v>View</v>
      </c>
      <c r="P7329" s="10"/>
    </row>
    <row r="7330" customFormat="false" ht="15.75" hidden="false" customHeight="false" outlineLevel="0" collapsed="false">
      <c r="A7330" s="6" t="n">
        <v>43031.4588078704</v>
      </c>
      <c r="B7330" s="7" t="str">
        <f aca="false">HYPERLINK("https://twitter.com/2ysur2ysub","@2ysur2ysub")</f>
        <v>@2ysur2ysub</v>
      </c>
      <c r="C7330" s="8" t="s">
        <v>16507</v>
      </c>
      <c r="D7330" s="8" t="s">
        <v>13595</v>
      </c>
      <c r="E7330" s="9" t="str">
        <f aca="false">HYPERLINK("https://twitter.com/2ysur2ysub/status/922523185513459713","922523185513459713")</f>
        <v>922523185513459713</v>
      </c>
      <c r="F7330" s="10" t="s">
        <v>51</v>
      </c>
      <c r="G7330" s="10" t="n">
        <v>11978</v>
      </c>
      <c r="H7330" s="10" t="n">
        <v>9874</v>
      </c>
      <c r="I7330" s="10" t="n">
        <v>88</v>
      </c>
      <c r="J7330" s="10" t="n">
        <v>0</v>
      </c>
      <c r="K7330" s="10" t="s">
        <v>20</v>
      </c>
      <c r="L7330" s="11" t="n">
        <v>39917.9180439815</v>
      </c>
      <c r="M7330" s="12" t="s">
        <v>16508</v>
      </c>
      <c r="N7330" s="12" t="s">
        <v>16509</v>
      </c>
      <c r="O7330" s="9" t="str">
        <f aca="false">HYPERLINK("https://pbs.twimg.com/profile_images/870612052280213509/NEO1vDBa_normal.jpg","View")</f>
        <v>View</v>
      </c>
      <c r="P7330" s="10"/>
    </row>
    <row r="7331" customFormat="false" ht="15.75" hidden="false" customHeight="false" outlineLevel="0" collapsed="false">
      <c r="A7331" s="6" t="n">
        <v>43031.4589814815</v>
      </c>
      <c r="B7331" s="7" t="str">
        <f aca="false">HYPERLINK("https://twitter.com/EssentiallyLtd","@EssentiallyLtd")</f>
        <v>@EssentiallyLtd</v>
      </c>
      <c r="C7331" s="8" t="s">
        <v>16510</v>
      </c>
      <c r="D7331" s="8" t="s">
        <v>16511</v>
      </c>
      <c r="E7331" s="9" t="str">
        <f aca="false">HYPERLINK("https://twitter.com/EssentiallyLtd/status/922523245756207105","922523245756207105")</f>
        <v>922523245756207105</v>
      </c>
      <c r="F7331" s="10" t="s">
        <v>110</v>
      </c>
      <c r="G7331" s="10" t="n">
        <v>743</v>
      </c>
      <c r="H7331" s="10" t="n">
        <v>2</v>
      </c>
      <c r="I7331" s="10" t="n">
        <v>0</v>
      </c>
      <c r="J7331" s="10" t="n">
        <v>0</v>
      </c>
      <c r="K7331" s="10" t="s">
        <v>20</v>
      </c>
      <c r="L7331" s="11" t="n">
        <v>41386.4006712963</v>
      </c>
      <c r="M7331" s="12" t="s">
        <v>16512</v>
      </c>
      <c r="N7331" s="12" t="s">
        <v>16513</v>
      </c>
      <c r="O7331" s="9" t="str">
        <f aca="false">HYPERLINK("https://pbs.twimg.com/profile_images/702416092371795968/da0lKxnO_normal.jpg","View")</f>
        <v>View</v>
      </c>
      <c r="P7331" s="10"/>
    </row>
    <row r="7332" customFormat="false" ht="15.75" hidden="false" customHeight="false" outlineLevel="0" collapsed="false">
      <c r="A7332" s="6" t="n">
        <v>43031.4591319444</v>
      </c>
      <c r="B7332" s="7" t="str">
        <f aca="false">HYPERLINK("https://twitter.com/cyrillyrics","@cyrillyrics")</f>
        <v>@cyrillyrics</v>
      </c>
      <c r="C7332" s="8" t="s">
        <v>16514</v>
      </c>
      <c r="D7332" s="8" t="s">
        <v>16515</v>
      </c>
      <c r="E7332" s="9" t="str">
        <f aca="false">HYPERLINK("https://twitter.com/cyrillyrics/status/922523303780155397","922523303780155397")</f>
        <v>922523303780155397</v>
      </c>
      <c r="F7332" s="10" t="s">
        <v>25</v>
      </c>
      <c r="G7332" s="10" t="n">
        <v>748</v>
      </c>
      <c r="H7332" s="10" t="n">
        <v>2565</v>
      </c>
      <c r="I7332" s="10" t="n">
        <v>0</v>
      </c>
      <c r="J7332" s="10" t="n">
        <v>0</v>
      </c>
      <c r="K7332" s="10" t="s">
        <v>20</v>
      </c>
      <c r="L7332" s="11" t="n">
        <v>40741.1010532407</v>
      </c>
      <c r="M7332" s="12" t="s">
        <v>16516</v>
      </c>
      <c r="N7332" s="12" t="s">
        <v>16517</v>
      </c>
      <c r="O7332" s="9" t="str">
        <f aca="false">HYPERLINK("https://pbs.twimg.com/profile_images/668578813123653632/xibJ4oRq_normal.jpg","View")</f>
        <v>View</v>
      </c>
      <c r="P7332" s="10"/>
    </row>
    <row r="7333" customFormat="false" ht="15.75" hidden="false" customHeight="false" outlineLevel="0" collapsed="false">
      <c r="A7333" s="6" t="n">
        <v>43031.4592361111</v>
      </c>
      <c r="B7333" s="7" t="str">
        <f aca="false">HYPERLINK("https://twitter.com/the_dwc","@the_dwc")</f>
        <v>@the_dwc</v>
      </c>
      <c r="C7333" s="8" t="s">
        <v>16518</v>
      </c>
      <c r="D7333" s="8" t="s">
        <v>16519</v>
      </c>
      <c r="E7333" s="9" t="str">
        <f aca="false">HYPERLINK("https://twitter.com/the_dwc/status/922523339909890048","922523339909890048")</f>
        <v>922523339909890048</v>
      </c>
      <c r="F7333" s="10" t="s">
        <v>1167</v>
      </c>
      <c r="G7333" s="10" t="n">
        <v>435</v>
      </c>
      <c r="H7333" s="10" t="n">
        <v>5</v>
      </c>
      <c r="I7333" s="10" t="n">
        <v>0</v>
      </c>
      <c r="J7333" s="10" t="n">
        <v>0</v>
      </c>
      <c r="K7333" s="10" t="s">
        <v>20</v>
      </c>
      <c r="L7333" s="11" t="n">
        <v>41480.8905555556</v>
      </c>
      <c r="M7333" s="12" t="s">
        <v>491</v>
      </c>
      <c r="N7333" s="12" t="s">
        <v>16520</v>
      </c>
      <c r="O7333" s="9" t="str">
        <f aca="false">HYPERLINK("https://pbs.twimg.com/profile_images/633362714744745984/42OHGsWh_normal.jpg","View")</f>
        <v>View</v>
      </c>
      <c r="P7333" s="10"/>
    </row>
    <row r="7334" customFormat="false" ht="15.75" hidden="false" customHeight="false" outlineLevel="0" collapsed="false">
      <c r="A7334" s="6" t="n">
        <v>43031.4600694445</v>
      </c>
      <c r="B7334" s="7" t="str">
        <f aca="false">HYPERLINK("https://twitter.com/indianews101","@indianews101")</f>
        <v>@indianews101</v>
      </c>
      <c r="C7334" s="8" t="s">
        <v>5115</v>
      </c>
      <c r="D7334" s="8" t="s">
        <v>16521</v>
      </c>
      <c r="E7334" s="9" t="str">
        <f aca="false">HYPERLINK("https://twitter.com/indianews101/status/922523641493024768","922523641493024768")</f>
        <v>922523641493024768</v>
      </c>
      <c r="F7334" s="10" t="s">
        <v>60</v>
      </c>
      <c r="G7334" s="10" t="n">
        <v>118</v>
      </c>
      <c r="H7334" s="10" t="n">
        <v>0</v>
      </c>
      <c r="I7334" s="10" t="n">
        <v>0</v>
      </c>
      <c r="J7334" s="10" t="n">
        <v>0</v>
      </c>
      <c r="K7334" s="10" t="s">
        <v>20</v>
      </c>
      <c r="L7334" s="11" t="n">
        <v>42720.7780671296</v>
      </c>
      <c r="M7334" s="12"/>
      <c r="N7334" s="12"/>
      <c r="O7334" s="9" t="str">
        <f aca="false">HYPERLINK("https://abs.twimg.com/sticky/default_profile_images/default_profile_normal.png","View")</f>
        <v>View</v>
      </c>
      <c r="P7334" s="10"/>
    </row>
    <row r="7335" customFormat="false" ht="15.75" hidden="false" customHeight="false" outlineLevel="0" collapsed="false">
      <c r="A7335" s="6" t="n">
        <v>43031.4607638889</v>
      </c>
      <c r="B7335" s="7" t="str">
        <f aca="false">HYPERLINK("https://twitter.com/sacchida222","@sacchida222")</f>
        <v>@sacchida222</v>
      </c>
      <c r="C7335" s="8" t="s">
        <v>16522</v>
      </c>
      <c r="D7335" s="8" t="s">
        <v>16413</v>
      </c>
      <c r="E7335" s="9" t="str">
        <f aca="false">HYPERLINK("https://twitter.com/sacchida222/status/922523895097212930","922523895097212930")</f>
        <v>922523895097212930</v>
      </c>
      <c r="F7335" s="10" t="s">
        <v>98</v>
      </c>
      <c r="G7335" s="10" t="n">
        <v>12</v>
      </c>
      <c r="H7335" s="10" t="n">
        <v>171</v>
      </c>
      <c r="I7335" s="10" t="n">
        <v>46</v>
      </c>
      <c r="J7335" s="10" t="n">
        <v>0</v>
      </c>
      <c r="K7335" s="10" t="s">
        <v>20</v>
      </c>
      <c r="L7335" s="11" t="n">
        <v>42678.3195138889</v>
      </c>
      <c r="M7335" s="12" t="s">
        <v>3531</v>
      </c>
      <c r="N7335" s="12"/>
      <c r="O7335" s="9" t="str">
        <f aca="false">HYPERLINK("https://pbs.twimg.com/profile_images/871779146212544513/yJF8SG_-_normal.jpg","View")</f>
        <v>View</v>
      </c>
      <c r="P7335" s="10"/>
    </row>
    <row r="7336" customFormat="false" ht="15.75" hidden="false" customHeight="false" outlineLevel="0" collapsed="false">
      <c r="A7336" s="6" t="n">
        <v>43031.4610763889</v>
      </c>
      <c r="B7336" s="7" t="str">
        <f aca="false">HYPERLINK("https://twitter.com/MPRAJ3","@MPRAJ3")</f>
        <v>@MPRAJ3</v>
      </c>
      <c r="C7336" s="8" t="s">
        <v>16523</v>
      </c>
      <c r="D7336" s="8" t="s">
        <v>7905</v>
      </c>
      <c r="E7336" s="9" t="str">
        <f aca="false">HYPERLINK("https://twitter.com/MPRAJ3/status/922524006074302466","922524006074302466")</f>
        <v>922524006074302466</v>
      </c>
      <c r="F7336" s="10" t="s">
        <v>25</v>
      </c>
      <c r="G7336" s="10" t="n">
        <v>326</v>
      </c>
      <c r="H7336" s="10" t="n">
        <v>507</v>
      </c>
      <c r="I7336" s="10" t="n">
        <v>38</v>
      </c>
      <c r="J7336" s="10" t="n">
        <v>0</v>
      </c>
      <c r="K7336" s="10" t="s">
        <v>20</v>
      </c>
      <c r="L7336" s="11" t="n">
        <v>41706.9998958333</v>
      </c>
      <c r="M7336" s="12" t="s">
        <v>13988</v>
      </c>
      <c r="N7336" s="12" t="s">
        <v>16524</v>
      </c>
      <c r="O7336" s="9" t="str">
        <f aca="false">HYPERLINK("https://pbs.twimg.com/profile_images/809004100188827648/--WyY92i_normal.jpg","View")</f>
        <v>View</v>
      </c>
      <c r="P7336" s="10"/>
    </row>
    <row r="7337" customFormat="false" ht="15.75" hidden="false" customHeight="false" outlineLevel="0" collapsed="false">
      <c r="A7337" s="6" t="n">
        <v>43031.461087963</v>
      </c>
      <c r="B7337" s="7" t="str">
        <f aca="false">HYPERLINK("https://twitter.com/ify_ok72","@ify_ok72")</f>
        <v>@ify_ok72</v>
      </c>
      <c r="C7337" s="8" t="s">
        <v>16525</v>
      </c>
      <c r="D7337" s="8" t="s">
        <v>16413</v>
      </c>
      <c r="E7337" s="9" t="str">
        <f aca="false">HYPERLINK("https://twitter.com/ify_ok72/status/922524012869234688","922524012869234688")</f>
        <v>922524012869234688</v>
      </c>
      <c r="F7337" s="10" t="s">
        <v>25</v>
      </c>
      <c r="G7337" s="10" t="n">
        <v>58</v>
      </c>
      <c r="H7337" s="10" t="n">
        <v>177</v>
      </c>
      <c r="I7337" s="10" t="n">
        <v>46</v>
      </c>
      <c r="J7337" s="10" t="n">
        <v>0</v>
      </c>
      <c r="K7337" s="10" t="s">
        <v>20</v>
      </c>
      <c r="L7337" s="11" t="n">
        <v>42993.1760300926</v>
      </c>
      <c r="M7337" s="12" t="s">
        <v>526</v>
      </c>
      <c r="N7337" s="12" t="s">
        <v>16526</v>
      </c>
      <c r="O7337" s="9" t="str">
        <f aca="false">HYPERLINK("https://pbs.twimg.com/profile_images/917790351963951104/9FVrPZos_normal.jpg","View")</f>
        <v>View</v>
      </c>
      <c r="P7337" s="10"/>
    </row>
    <row r="7338" customFormat="false" ht="15.75" hidden="false" customHeight="false" outlineLevel="0" collapsed="false">
      <c r="A7338" s="6" t="n">
        <v>43031.4611111111</v>
      </c>
      <c r="B7338" s="7" t="str">
        <f aca="false">HYPERLINK("https://twitter.com/Golstream","@Golstream")</f>
        <v>@Golstream</v>
      </c>
      <c r="C7338" s="8" t="s">
        <v>16527</v>
      </c>
      <c r="D7338" s="8" t="s">
        <v>16528</v>
      </c>
      <c r="E7338" s="9" t="str">
        <f aca="false">HYPERLINK("https://twitter.com/Golstream/status/922524018913267713","922524018913267713")</f>
        <v>922524018913267713</v>
      </c>
      <c r="F7338" s="10" t="s">
        <v>60</v>
      </c>
      <c r="G7338" s="10" t="n">
        <v>169</v>
      </c>
      <c r="H7338" s="10" t="n">
        <v>39</v>
      </c>
      <c r="I7338" s="10" t="n">
        <v>0</v>
      </c>
      <c r="J7338" s="10" t="n">
        <v>0</v>
      </c>
      <c r="K7338" s="10" t="s">
        <v>20</v>
      </c>
      <c r="L7338" s="11" t="n">
        <v>41206.5884375</v>
      </c>
      <c r="M7338" s="12" t="s">
        <v>72</v>
      </c>
      <c r="N7338" s="12" t="s">
        <v>16529</v>
      </c>
      <c r="O7338" s="9" t="str">
        <f aca="false">HYPERLINK("https://pbs.twimg.com/profile_images/890646874465619968/L3Sl3aGV_normal.jpg","View")</f>
        <v>View</v>
      </c>
      <c r="P7338" s="10"/>
    </row>
    <row r="7339" customFormat="false" ht="15.75" hidden="false" customHeight="false" outlineLevel="0" collapsed="false">
      <c r="A7339" s="6" t="n">
        <v>43031.4636458333</v>
      </c>
      <c r="B7339" s="7" t="str">
        <f aca="false">HYPERLINK("https://twitter.com/tuubol","@tuubol")</f>
        <v>@tuubol</v>
      </c>
      <c r="C7339" s="8" t="s">
        <v>16530</v>
      </c>
      <c r="D7339" s="8" t="s">
        <v>16531</v>
      </c>
      <c r="E7339" s="9" t="str">
        <f aca="false">HYPERLINK("https://twitter.com/tuubol/status/922524938321514496","922524938321514496")</f>
        <v>922524938321514496</v>
      </c>
      <c r="F7339" s="10" t="s">
        <v>60</v>
      </c>
      <c r="G7339" s="10" t="n">
        <v>1785</v>
      </c>
      <c r="H7339" s="10" t="n">
        <v>1901</v>
      </c>
      <c r="I7339" s="10" t="n">
        <v>0</v>
      </c>
      <c r="J7339" s="10" t="n">
        <v>0</v>
      </c>
      <c r="K7339" s="10" t="s">
        <v>20</v>
      </c>
      <c r="L7339" s="11" t="n">
        <v>40639.7802199074</v>
      </c>
      <c r="M7339" s="12"/>
      <c r="N7339" s="12" t="s">
        <v>16532</v>
      </c>
      <c r="O7339" s="9" t="str">
        <f aca="false">HYPERLINK("https://pbs.twimg.com/profile_images/1309398317/tuubol-logo-short_normal.png","View")</f>
        <v>View</v>
      </c>
      <c r="P7339" s="10"/>
    </row>
    <row r="7340" customFormat="false" ht="15.75" hidden="false" customHeight="false" outlineLevel="0" collapsed="false">
      <c r="A7340" s="6" t="n">
        <v>43031.4642708333</v>
      </c>
      <c r="B7340" s="7" t="str">
        <f aca="false">HYPERLINK("https://twitter.com/realrobotnews","@realrobotnews")</f>
        <v>@realrobotnews</v>
      </c>
      <c r="C7340" s="8" t="s">
        <v>6920</v>
      </c>
      <c r="D7340" s="8" t="s">
        <v>16533</v>
      </c>
      <c r="E7340" s="9" t="str">
        <f aca="false">HYPERLINK("https://twitter.com/realrobotnews/status/922525163694055424","922525163694055424")</f>
        <v>922525163694055424</v>
      </c>
      <c r="F7340" s="10" t="s">
        <v>60</v>
      </c>
      <c r="G7340" s="10" t="n">
        <v>7</v>
      </c>
      <c r="H7340" s="10" t="n">
        <v>0</v>
      </c>
      <c r="I7340" s="10" t="n">
        <v>0</v>
      </c>
      <c r="J7340" s="10" t="n">
        <v>0</v>
      </c>
      <c r="K7340" s="10" t="s">
        <v>20</v>
      </c>
      <c r="L7340" s="11" t="n">
        <v>42994.3548842593</v>
      </c>
      <c r="M7340" s="12"/>
      <c r="N7340" s="12" t="s">
        <v>6922</v>
      </c>
      <c r="O7340" s="9" t="str">
        <f aca="false">HYPERLINK("https://pbs.twimg.com/profile_images/909080561938964480/9DGgVL-6_normal.jpg","View")</f>
        <v>View</v>
      </c>
      <c r="P7340" s="10"/>
    </row>
    <row r="7341" customFormat="false" ht="15.75" hidden="false" customHeight="false" outlineLevel="0" collapsed="false">
      <c r="A7341" s="6" t="n">
        <v>43031.4649305556</v>
      </c>
      <c r="B7341" s="7" t="str">
        <f aca="false">HYPERLINK("https://twitter.com/vishalfast007","@vishalfast007")</f>
        <v>@vishalfast007</v>
      </c>
      <c r="C7341" s="8" t="s">
        <v>12996</v>
      </c>
      <c r="D7341" s="8" t="s">
        <v>16534</v>
      </c>
      <c r="E7341" s="9" t="str">
        <f aca="false">HYPERLINK("https://twitter.com/vishalfast007/status/922525401351688195","922525401351688195")</f>
        <v>922525401351688195</v>
      </c>
      <c r="F7341" s="10" t="s">
        <v>60</v>
      </c>
      <c r="G7341" s="10" t="n">
        <v>6461</v>
      </c>
      <c r="H7341" s="10" t="n">
        <v>6149</v>
      </c>
      <c r="I7341" s="10" t="n">
        <v>0</v>
      </c>
      <c r="J7341" s="10" t="n">
        <v>0</v>
      </c>
      <c r="K7341" s="10" t="s">
        <v>20</v>
      </c>
      <c r="L7341" s="11" t="n">
        <v>40275.9858449074</v>
      </c>
      <c r="M7341" s="12"/>
      <c r="N7341" s="12" t="s">
        <v>12998</v>
      </c>
      <c r="O7341" s="9" t="str">
        <f aca="false">HYPERLINK("https://pbs.twimg.com/profile_images/560334179481571329/aGzct4Ns_normal.jpeg","View")</f>
        <v>View</v>
      </c>
      <c r="P7341" s="10"/>
    </row>
    <row r="7342" customFormat="false" ht="15.75" hidden="false" customHeight="false" outlineLevel="0" collapsed="false">
      <c r="A7342" s="6" t="n">
        <v>43031.4653819444</v>
      </c>
      <c r="B7342" s="7" t="str">
        <f aca="false">HYPERLINK("https://twitter.com/varhaiskasvatus","@varhaiskasvatus")</f>
        <v>@varhaiskasvatus</v>
      </c>
      <c r="C7342" s="8" t="s">
        <v>16535</v>
      </c>
      <c r="D7342" s="8" t="s">
        <v>16351</v>
      </c>
      <c r="E7342" s="9" t="str">
        <f aca="false">HYPERLINK("https://twitter.com/varhaiskasvatus/status/922525565734871042","922525565734871042")</f>
        <v>922525565734871042</v>
      </c>
      <c r="F7342" s="10" t="s">
        <v>51</v>
      </c>
      <c r="G7342" s="10" t="n">
        <v>389</v>
      </c>
      <c r="H7342" s="10" t="n">
        <v>175</v>
      </c>
      <c r="I7342" s="10" t="n">
        <v>4</v>
      </c>
      <c r="J7342" s="10" t="n">
        <v>0</v>
      </c>
      <c r="K7342" s="10" t="s">
        <v>20</v>
      </c>
      <c r="L7342" s="11" t="n">
        <v>42311.2101273148</v>
      </c>
      <c r="M7342" s="12" t="s">
        <v>1964</v>
      </c>
      <c r="N7342" s="12" t="s">
        <v>16536</v>
      </c>
      <c r="O7342" s="9" t="str">
        <f aca="false">HYPERLINK("https://pbs.twimg.com/profile_images/715872916286652416/7f5UUgHw_normal.jpg","View")</f>
        <v>View</v>
      </c>
      <c r="P7342" s="10"/>
    </row>
    <row r="7343" customFormat="false" ht="15.75" hidden="false" customHeight="false" outlineLevel="0" collapsed="false">
      <c r="A7343" s="6" t="n">
        <v>43031.465474537</v>
      </c>
      <c r="B7343" s="7" t="str">
        <f aca="false">HYPERLINK("https://twitter.com/Petchary","@Petchary")</f>
        <v>@Petchary</v>
      </c>
      <c r="C7343" s="8" t="s">
        <v>16537</v>
      </c>
      <c r="D7343" s="8" t="s">
        <v>16538</v>
      </c>
      <c r="E7343" s="9" t="str">
        <f aca="false">HYPERLINK("https://twitter.com/Petchary/status/922525600446808067","922525600446808067")</f>
        <v>922525600446808067</v>
      </c>
      <c r="F7343" s="10" t="s">
        <v>39</v>
      </c>
      <c r="G7343" s="10" t="n">
        <v>11620</v>
      </c>
      <c r="H7343" s="10" t="n">
        <v>11370</v>
      </c>
      <c r="I7343" s="10" t="n">
        <v>0</v>
      </c>
      <c r="J7343" s="10" t="n">
        <v>0</v>
      </c>
      <c r="K7343" s="10" t="s">
        <v>20</v>
      </c>
      <c r="L7343" s="11" t="n">
        <v>40395.5816782407</v>
      </c>
      <c r="M7343" s="12" t="s">
        <v>5843</v>
      </c>
      <c r="N7343" s="12" t="s">
        <v>16539</v>
      </c>
      <c r="O7343" s="9" t="str">
        <f aca="false">HYPERLINK("https://pbs.twimg.com/profile_images/921965691904946176/ACYPR7Xd_normal.jpg","View")</f>
        <v>View</v>
      </c>
      <c r="P7343" s="10"/>
    </row>
    <row r="7344" customFormat="false" ht="15.75" hidden="false" customHeight="false" outlineLevel="0" collapsed="false">
      <c r="A7344" s="6" t="n">
        <v>43031.4656134259</v>
      </c>
      <c r="B7344" s="7" t="str">
        <f aca="false">HYPERLINK("https://twitter.com/vishalfast007","@vishalfast007")</f>
        <v>@vishalfast007</v>
      </c>
      <c r="C7344" s="8" t="s">
        <v>12996</v>
      </c>
      <c r="D7344" s="8" t="s">
        <v>16540</v>
      </c>
      <c r="E7344" s="9" t="str">
        <f aca="false">HYPERLINK("https://twitter.com/vishalfast007/status/922525652267487233","922525652267487233")</f>
        <v>922525652267487233</v>
      </c>
      <c r="F7344" s="10" t="s">
        <v>60</v>
      </c>
      <c r="G7344" s="10" t="n">
        <v>6461</v>
      </c>
      <c r="H7344" s="10" t="n">
        <v>6149</v>
      </c>
      <c r="I7344" s="10" t="n">
        <v>0</v>
      </c>
      <c r="J7344" s="10" t="n">
        <v>0</v>
      </c>
      <c r="K7344" s="10" t="s">
        <v>20</v>
      </c>
      <c r="L7344" s="11" t="n">
        <v>40275.9858449074</v>
      </c>
      <c r="M7344" s="12"/>
      <c r="N7344" s="12" t="s">
        <v>12998</v>
      </c>
      <c r="O7344" s="9" t="str">
        <f aca="false">HYPERLINK("https://pbs.twimg.com/profile_images/560334179481571329/aGzct4Ns_normal.jpeg","View")</f>
        <v>View</v>
      </c>
      <c r="P7344" s="10"/>
    </row>
    <row r="7345" customFormat="false" ht="15.75" hidden="false" customHeight="false" outlineLevel="0" collapsed="false">
      <c r="A7345" s="6" t="n">
        <v>43031.4663541667</v>
      </c>
      <c r="B7345" s="7" t="str">
        <f aca="false">HYPERLINK("https://twitter.com/Sandeeprachepal","@Sandeeprachepal")</f>
        <v>@Sandeeprachepal</v>
      </c>
      <c r="C7345" s="8" t="s">
        <v>16541</v>
      </c>
      <c r="D7345" s="8" t="s">
        <v>8538</v>
      </c>
      <c r="E7345" s="9" t="str">
        <f aca="false">HYPERLINK("https://twitter.com/Sandeeprachepal/status/922525918630780928","922525918630780928")</f>
        <v>922525918630780928</v>
      </c>
      <c r="F7345" s="10" t="s">
        <v>39</v>
      </c>
      <c r="G7345" s="10" t="n">
        <v>27</v>
      </c>
      <c r="H7345" s="10" t="n">
        <v>51</v>
      </c>
      <c r="I7345" s="10" t="n">
        <v>1015</v>
      </c>
      <c r="J7345" s="10" t="n">
        <v>0</v>
      </c>
      <c r="K7345" s="10" t="s">
        <v>20</v>
      </c>
      <c r="L7345" s="11" t="n">
        <v>42331.3108217593</v>
      </c>
      <c r="M7345" s="12"/>
      <c r="N7345" s="12"/>
      <c r="O7345" s="9" t="str">
        <f aca="false">HYPERLINK("https://pbs.twimg.com/profile_images/841733493650554880/8hLKPju9_normal.jpg","View")</f>
        <v>View</v>
      </c>
      <c r="P7345" s="10"/>
    </row>
    <row r="7346" customFormat="false" ht="15.75" hidden="false" customHeight="false" outlineLevel="0" collapsed="false">
      <c r="A7346" s="6" t="n">
        <v>43031.4667013889</v>
      </c>
      <c r="B7346" s="7" t="str">
        <f aca="false">HYPERLINK("https://twitter.com/Matujhesalam272","@Matujhesalam272")</f>
        <v>@Matujhesalam272</v>
      </c>
      <c r="C7346" s="8" t="s">
        <v>16542</v>
      </c>
      <c r="D7346" s="8" t="s">
        <v>16413</v>
      </c>
      <c r="E7346" s="9" t="str">
        <f aca="false">HYPERLINK("https://twitter.com/Matujhesalam272/status/922526044350857216","922526044350857216")</f>
        <v>922526044350857216</v>
      </c>
      <c r="F7346" s="10" t="s">
        <v>51</v>
      </c>
      <c r="G7346" s="10" t="n">
        <v>424</v>
      </c>
      <c r="H7346" s="10" t="n">
        <v>872</v>
      </c>
      <c r="I7346" s="10" t="n">
        <v>46</v>
      </c>
      <c r="J7346" s="10" t="n">
        <v>0</v>
      </c>
      <c r="K7346" s="10" t="s">
        <v>20</v>
      </c>
      <c r="L7346" s="11" t="n">
        <v>41633.6273611111</v>
      </c>
      <c r="M7346" s="12"/>
      <c r="N7346" s="12"/>
      <c r="O7346" s="9" t="str">
        <f aca="false">HYPERLINK("https://pbs.twimg.com/profile_images/909117754791170048/De9l4iRB_normal.jpg","View")</f>
        <v>View</v>
      </c>
      <c r="P7346" s="10"/>
    </row>
    <row r="7347" customFormat="false" ht="15.75" hidden="false" customHeight="false" outlineLevel="0" collapsed="false">
      <c r="A7347" s="6" t="n">
        <v>43031.4680671296</v>
      </c>
      <c r="B7347" s="7" t="str">
        <f aca="false">HYPERLINK("https://twitter.com/newsatire","@newsatire")</f>
        <v>@newsatire</v>
      </c>
      <c r="C7347" s="8" t="s">
        <v>16543</v>
      </c>
      <c r="D7347" s="8" t="s">
        <v>16544</v>
      </c>
      <c r="E7347" s="9" t="str">
        <f aca="false">HYPERLINK("https://twitter.com/newsatire/status/922526538184224769","922526538184224769")</f>
        <v>922526538184224769</v>
      </c>
      <c r="F7347" s="10" t="s">
        <v>16545</v>
      </c>
      <c r="G7347" s="10" t="n">
        <v>492</v>
      </c>
      <c r="H7347" s="10" t="n">
        <v>215</v>
      </c>
      <c r="I7347" s="10" t="n">
        <v>0</v>
      </c>
      <c r="J7347" s="10" t="n">
        <v>0</v>
      </c>
      <c r="K7347" s="10" t="s">
        <v>20</v>
      </c>
      <c r="L7347" s="11" t="n">
        <v>41786.4561574074</v>
      </c>
      <c r="M7347" s="12" t="s">
        <v>72</v>
      </c>
      <c r="N7347" s="12" t="s">
        <v>16546</v>
      </c>
      <c r="O7347" s="9" t="str">
        <f aca="false">HYPERLINK("https://pbs.twimg.com/profile_images/471382556059787264/Z4WHjxPh_normal.jpeg","View")</f>
        <v>View</v>
      </c>
      <c r="P7347" s="10"/>
    </row>
    <row r="7348" customFormat="false" ht="15.75" hidden="false" customHeight="false" outlineLevel="0" collapsed="false">
      <c r="A7348" s="6" t="n">
        <v>43031.4687384259</v>
      </c>
      <c r="B7348" s="7" t="str">
        <f aca="false">HYPERLINK("https://twitter.com/ashuthosh_","@ashuthosh_")</f>
        <v>@ashuthosh_</v>
      </c>
      <c r="C7348" s="8" t="s">
        <v>16547</v>
      </c>
      <c r="D7348" s="8" t="s">
        <v>8538</v>
      </c>
      <c r="E7348" s="9" t="str">
        <f aca="false">HYPERLINK("https://twitter.com/ashuthosh_/status/922526784406638592","922526784406638592")</f>
        <v>922526784406638592</v>
      </c>
      <c r="F7348" s="10" t="s">
        <v>25</v>
      </c>
      <c r="G7348" s="10" t="n">
        <v>67</v>
      </c>
      <c r="H7348" s="10" t="n">
        <v>119</v>
      </c>
      <c r="I7348" s="10" t="n">
        <v>1015</v>
      </c>
      <c r="J7348" s="10" t="n">
        <v>0</v>
      </c>
      <c r="K7348" s="10" t="s">
        <v>20</v>
      </c>
      <c r="L7348" s="11" t="n">
        <v>41785.5161574074</v>
      </c>
      <c r="M7348" s="12"/>
      <c r="N7348" s="12"/>
      <c r="O7348" s="9" t="str">
        <f aca="false">HYPERLINK("https://pbs.twimg.com/profile_images/557630182467829760/zV6h3CQ__normal.jpeg","View")</f>
        <v>View</v>
      </c>
      <c r="P7348" s="10"/>
    </row>
    <row r="7349" customFormat="false" ht="15.75" hidden="false" customHeight="false" outlineLevel="0" collapsed="false">
      <c r="A7349" s="6" t="n">
        <v>43031.4689467593</v>
      </c>
      <c r="B7349" s="7" t="str">
        <f aca="false">HYPERLINK("https://twitter.com/Barasa89","@Barasa89")</f>
        <v>@Barasa89</v>
      </c>
      <c r="C7349" s="8" t="s">
        <v>14952</v>
      </c>
      <c r="D7349" s="8" t="s">
        <v>16413</v>
      </c>
      <c r="E7349" s="9" t="str">
        <f aca="false">HYPERLINK("https://twitter.com/Barasa89/status/922526858863923201","922526858863923201")</f>
        <v>922526858863923201</v>
      </c>
      <c r="F7349" s="10" t="s">
        <v>25</v>
      </c>
      <c r="G7349" s="10" t="n">
        <v>646</v>
      </c>
      <c r="H7349" s="10" t="n">
        <v>464</v>
      </c>
      <c r="I7349" s="10" t="n">
        <v>46</v>
      </c>
      <c r="J7349" s="10" t="n">
        <v>0</v>
      </c>
      <c r="K7349" s="10" t="s">
        <v>20</v>
      </c>
      <c r="L7349" s="11" t="n">
        <v>41730.1536805556</v>
      </c>
      <c r="M7349" s="12"/>
      <c r="N7349" s="12" t="s">
        <v>14953</v>
      </c>
      <c r="O7349" s="9" t="str">
        <f aca="false">HYPERLINK("https://pbs.twimg.com/profile_images/819845661172658176/NhXCjfVm_normal.jpg","View")</f>
        <v>View</v>
      </c>
      <c r="P7349" s="10"/>
    </row>
    <row r="7350" customFormat="false" ht="15.75" hidden="false" customHeight="false" outlineLevel="0" collapsed="false">
      <c r="A7350" s="6" t="n">
        <v>43031.4693171296</v>
      </c>
      <c r="B7350" s="7" t="str">
        <f aca="false">HYPERLINK("https://twitter.com/EpsllonRedCross","@EpsllonRedCross")</f>
        <v>@EpsllonRedCross</v>
      </c>
      <c r="C7350" s="8" t="s">
        <v>16548</v>
      </c>
      <c r="D7350" s="8" t="s">
        <v>14598</v>
      </c>
      <c r="E7350" s="9" t="str">
        <f aca="false">HYPERLINK("https://twitter.com/EpsllonRedCross/status/922526993933111297","922526993933111297")</f>
        <v>922526993933111297</v>
      </c>
      <c r="F7350" s="10" t="s">
        <v>25</v>
      </c>
      <c r="G7350" s="10" t="n">
        <v>37</v>
      </c>
      <c r="H7350" s="10" t="n">
        <v>1009</v>
      </c>
      <c r="I7350" s="10" t="n">
        <v>23</v>
      </c>
      <c r="J7350" s="10" t="n">
        <v>0</v>
      </c>
      <c r="K7350" s="10" t="s">
        <v>20</v>
      </c>
      <c r="L7350" s="11" t="n">
        <v>41742.9140277778</v>
      </c>
      <c r="M7350" s="12" t="s">
        <v>16549</v>
      </c>
      <c r="N7350" s="12" t="s">
        <v>16550</v>
      </c>
      <c r="O7350" s="9" t="str">
        <f aca="false">HYPERLINK("https://pbs.twimg.com/profile_images/749769552494530561/0sOe8U3k_normal.jpg","View")</f>
        <v>View</v>
      </c>
      <c r="P7350" s="10"/>
    </row>
    <row r="7351" customFormat="false" ht="15.75" hidden="false" customHeight="false" outlineLevel="0" collapsed="false">
      <c r="A7351" s="6" t="n">
        <v>43031.469375</v>
      </c>
      <c r="B7351" s="7" t="str">
        <f aca="false">HYPERLINK("https://twitter.com/PMunozLorite","@PMunozLorite")</f>
        <v>@PMunozLorite</v>
      </c>
      <c r="C7351" s="8" t="s">
        <v>351</v>
      </c>
      <c r="D7351" s="8" t="s">
        <v>16551</v>
      </c>
      <c r="E7351" s="9" t="str">
        <f aca="false">HYPERLINK("https://twitter.com/PMunozLorite/status/922527015034552320","922527015034552320")</f>
        <v>922527015034552320</v>
      </c>
      <c r="F7351" s="10" t="s">
        <v>110</v>
      </c>
      <c r="G7351" s="10" t="n">
        <v>2678</v>
      </c>
      <c r="H7351" s="10" t="n">
        <v>4946</v>
      </c>
      <c r="I7351" s="10" t="n">
        <v>0</v>
      </c>
      <c r="J7351" s="10" t="n">
        <v>0</v>
      </c>
      <c r="K7351" s="10" t="s">
        <v>20</v>
      </c>
      <c r="L7351" s="11" t="n">
        <v>39769.5892939815</v>
      </c>
      <c r="M7351" s="12" t="s">
        <v>353</v>
      </c>
      <c r="N7351" s="12" t="s">
        <v>354</v>
      </c>
      <c r="O7351" s="9" t="str">
        <f aca="false">HYPERLINK("https://pbs.twimg.com/profile_images/574247662901403648/LzeOfYmt_normal.jpeg","View")</f>
        <v>View</v>
      </c>
      <c r="P7351" s="10"/>
    </row>
    <row r="7352" customFormat="false" ht="15.75" hidden="false" customHeight="false" outlineLevel="0" collapsed="false">
      <c r="A7352" s="6" t="n">
        <v>43031.4703009259</v>
      </c>
      <c r="B7352" s="7" t="str">
        <f aca="false">HYPERLINK("https://twitter.com/farpavillians","@farpavillians")</f>
        <v>@farpavillians</v>
      </c>
      <c r="C7352" s="8" t="s">
        <v>16552</v>
      </c>
      <c r="D7352" s="8" t="s">
        <v>16553</v>
      </c>
      <c r="E7352" s="9" t="str">
        <f aca="false">HYPERLINK("https://twitter.com/farpavillians/status/922527350700630016","922527350700630016")</f>
        <v>922527350700630016</v>
      </c>
      <c r="F7352" s="10" t="s">
        <v>39</v>
      </c>
      <c r="G7352" s="10" t="n">
        <v>272</v>
      </c>
      <c r="H7352" s="10" t="n">
        <v>1155</v>
      </c>
      <c r="I7352" s="10" t="n">
        <v>0</v>
      </c>
      <c r="J7352" s="10" t="n">
        <v>0</v>
      </c>
      <c r="K7352" s="10" t="s">
        <v>20</v>
      </c>
      <c r="L7352" s="11" t="n">
        <v>39935.4295949074</v>
      </c>
      <c r="M7352" s="12" t="s">
        <v>16554</v>
      </c>
      <c r="N7352" s="12" t="s">
        <v>16555</v>
      </c>
      <c r="O7352" s="9" t="str">
        <f aca="false">HYPERLINK("https://pbs.twimg.com/profile_images/3572663278/1ac686328e3c62f50183e7c4428f9b62_normal.jpeg","View")</f>
        <v>View</v>
      </c>
      <c r="P7352" s="10"/>
    </row>
    <row r="7353" customFormat="false" ht="15.75" hidden="false" customHeight="false" outlineLevel="0" collapsed="false">
      <c r="A7353" s="6" t="n">
        <v>43031.4724305556</v>
      </c>
      <c r="B7353" s="7" t="str">
        <f aca="false">HYPERLINK("https://twitter.com/GabbyOgbechie1","@GabbyOgbechie1")</f>
        <v>@GabbyOgbechie1</v>
      </c>
      <c r="C7353" s="8" t="s">
        <v>16354</v>
      </c>
      <c r="D7353" s="8" t="s">
        <v>16556</v>
      </c>
      <c r="E7353" s="9" t="str">
        <f aca="false">HYPERLINK("https://twitter.com/GabbyOgbechie1/status/922528119797534725","922528119797534725")</f>
        <v>922528119797534725</v>
      </c>
      <c r="F7353" s="9" t="s">
        <v>979</v>
      </c>
      <c r="G7353" s="10" t="n">
        <v>5053</v>
      </c>
      <c r="H7353" s="10" t="n">
        <v>5448</v>
      </c>
      <c r="I7353" s="10" t="n">
        <v>0</v>
      </c>
      <c r="J7353" s="10" t="n">
        <v>0</v>
      </c>
      <c r="K7353" s="10" t="s">
        <v>20</v>
      </c>
      <c r="L7353" s="11" t="n">
        <v>41416.5349421296</v>
      </c>
      <c r="M7353" s="12" t="s">
        <v>2645</v>
      </c>
      <c r="N7353" s="12" t="s">
        <v>16356</v>
      </c>
      <c r="O7353" s="9" t="str">
        <f aca="false">HYPERLINK("https://pbs.twimg.com/profile_images/475710173135122433/g6d6rAYp_normal.jpeg","View")</f>
        <v>View</v>
      </c>
      <c r="P7353" s="10"/>
    </row>
    <row r="7354" customFormat="false" ht="15.75" hidden="false" customHeight="false" outlineLevel="0" collapsed="false">
      <c r="A7354" s="6" t="n">
        <v>43031.4724421296</v>
      </c>
      <c r="B7354" s="7" t="str">
        <f aca="false">HYPERLINK("https://twitter.com/TPGazette","@TPGazette")</f>
        <v>@TPGazette</v>
      </c>
      <c r="C7354" s="8" t="s">
        <v>16557</v>
      </c>
      <c r="D7354" s="8" t="s">
        <v>16558</v>
      </c>
      <c r="E7354" s="9" t="str">
        <f aca="false">HYPERLINK("https://twitter.com/TPGazette/status/922528127192043523","922528127192043523")</f>
        <v>922528127192043523</v>
      </c>
      <c r="F7354" s="9" t="s">
        <v>979</v>
      </c>
      <c r="G7354" s="10" t="n">
        <v>1775</v>
      </c>
      <c r="H7354" s="10" t="n">
        <v>3080</v>
      </c>
      <c r="I7354" s="10" t="n">
        <v>0</v>
      </c>
      <c r="J7354" s="10" t="n">
        <v>0</v>
      </c>
      <c r="K7354" s="10" t="s">
        <v>20</v>
      </c>
      <c r="L7354" s="11" t="n">
        <v>41810.6677083333</v>
      </c>
      <c r="M7354" s="12" t="s">
        <v>526</v>
      </c>
      <c r="N7354" s="12"/>
      <c r="O7354" s="9" t="str">
        <f aca="false">HYPERLINK("https://pbs.twimg.com/profile_images/480127633238155264/J6JkunUi_normal.jpeg","View")</f>
        <v>View</v>
      </c>
      <c r="P7354" s="10"/>
    </row>
    <row r="7355" customFormat="false" ht="15.75" hidden="false" customHeight="false" outlineLevel="0" collapsed="false">
      <c r="A7355" s="6" t="n">
        <v>43031.4746643519</v>
      </c>
      <c r="B7355" s="7" t="str">
        <f aca="false">HYPERLINK("https://twitter.com/mrglenferris","@mrglenferris")</f>
        <v>@mrglenferris</v>
      </c>
      <c r="C7355" s="8" t="s">
        <v>16559</v>
      </c>
      <c r="D7355" s="8" t="s">
        <v>16560</v>
      </c>
      <c r="E7355" s="9" t="str">
        <f aca="false">HYPERLINK("https://twitter.com/mrglenferris/status/922528932246753282","922528932246753282")</f>
        <v>922528932246753282</v>
      </c>
      <c r="F7355" s="10" t="s">
        <v>25</v>
      </c>
      <c r="G7355" s="10" t="n">
        <v>155</v>
      </c>
      <c r="H7355" s="10" t="n">
        <v>40</v>
      </c>
      <c r="I7355" s="10" t="n">
        <v>1</v>
      </c>
      <c r="J7355" s="10" t="n">
        <v>0</v>
      </c>
      <c r="K7355" s="10" t="s">
        <v>20</v>
      </c>
      <c r="L7355" s="11" t="n">
        <v>41264.7382986111</v>
      </c>
      <c r="M7355" s="12" t="s">
        <v>16561</v>
      </c>
      <c r="N7355" s="12" t="s">
        <v>16562</v>
      </c>
      <c r="O7355" s="9" t="str">
        <f aca="false">HYPERLINK("https://pbs.twimg.com/profile_images/841715131457376258/0fdxZQI2_normal.jpg","View")</f>
        <v>View</v>
      </c>
      <c r="P7355" s="10"/>
    </row>
    <row r="7356" customFormat="false" ht="15.75" hidden="false" customHeight="false" outlineLevel="0" collapsed="false">
      <c r="A7356" s="6" t="n">
        <v>43031.4750347222</v>
      </c>
      <c r="B7356" s="7" t="str">
        <f aca="false">HYPERLINK("https://twitter.com/AsiaPacificFdn","@AsiaPacificFdn")</f>
        <v>@AsiaPacificFdn</v>
      </c>
      <c r="C7356" s="8" t="s">
        <v>16563</v>
      </c>
      <c r="D7356" s="8" t="s">
        <v>15821</v>
      </c>
      <c r="E7356" s="9" t="str">
        <f aca="false">HYPERLINK("https://twitter.com/AsiaPacificFdn/status/922529063327055872","922529063327055872")</f>
        <v>922529063327055872</v>
      </c>
      <c r="F7356" s="10" t="s">
        <v>39</v>
      </c>
      <c r="G7356" s="10" t="n">
        <v>4164</v>
      </c>
      <c r="H7356" s="10" t="n">
        <v>1165</v>
      </c>
      <c r="I7356" s="10" t="n">
        <v>41</v>
      </c>
      <c r="J7356" s="10" t="n">
        <v>0</v>
      </c>
      <c r="K7356" s="10" t="s">
        <v>20</v>
      </c>
      <c r="L7356" s="11" t="n">
        <v>39940.4577083333</v>
      </c>
      <c r="M7356" s="12" t="s">
        <v>10193</v>
      </c>
      <c r="N7356" s="12" t="s">
        <v>16564</v>
      </c>
      <c r="O7356" s="9" t="str">
        <f aca="false">HYPERLINK("https://pbs.twimg.com/profile_images/550019363000950784/gRaBYFSY_normal.png","View")</f>
        <v>View</v>
      </c>
      <c r="P7356" s="10"/>
    </row>
    <row r="7357" customFormat="false" ht="15.75" hidden="false" customHeight="false" outlineLevel="0" collapsed="false">
      <c r="A7357" s="6" t="n">
        <v>43031.4753935185</v>
      </c>
      <c r="B7357" s="7" t="str">
        <f aca="false">HYPERLINK("https://twitter.com/PouniRMM","@PouniRMM")</f>
        <v>@PouniRMM</v>
      </c>
      <c r="C7357" s="8" t="s">
        <v>16565</v>
      </c>
      <c r="D7357" s="8" t="s">
        <v>16566</v>
      </c>
      <c r="E7357" s="9" t="str">
        <f aca="false">HYPERLINK("https://twitter.com/PouniRMM/status/922529196550901760","922529196550901760")</f>
        <v>922529196550901760</v>
      </c>
      <c r="F7357" s="10" t="s">
        <v>1658</v>
      </c>
      <c r="G7357" s="10" t="n">
        <v>408</v>
      </c>
      <c r="H7357" s="10" t="n">
        <v>1952</v>
      </c>
      <c r="I7357" s="10" t="n">
        <v>0</v>
      </c>
      <c r="J7357" s="10" t="n">
        <v>0</v>
      </c>
      <c r="K7357" s="10" t="s">
        <v>20</v>
      </c>
      <c r="L7357" s="11" t="n">
        <v>39984.7218287037</v>
      </c>
      <c r="M7357" s="12" t="s">
        <v>13614</v>
      </c>
      <c r="N7357" s="12" t="s">
        <v>16567</v>
      </c>
      <c r="O7357" s="9" t="str">
        <f aca="false">HYPERLINK("https://pbs.twimg.com/profile_images/668152258438307841/EKbQ09HP_normal.jpg","View")</f>
        <v>View</v>
      </c>
      <c r="P7357" s="10"/>
    </row>
    <row r="7358" customFormat="false" ht="15.75" hidden="false" customHeight="false" outlineLevel="0" collapsed="false">
      <c r="A7358" s="6" t="n">
        <v>43031.4768402778</v>
      </c>
      <c r="B7358" s="7" t="str">
        <f aca="false">HYPERLINK("https://twitter.com/charbone1","@charbone1")</f>
        <v>@charbone1</v>
      </c>
      <c r="C7358" s="8" t="s">
        <v>16568</v>
      </c>
      <c r="D7358" s="8" t="s">
        <v>15821</v>
      </c>
      <c r="E7358" s="9" t="str">
        <f aca="false">HYPERLINK("https://twitter.com/charbone1/status/922529717198012416","922529717198012416")</f>
        <v>922529717198012416</v>
      </c>
      <c r="F7358" s="10" t="s">
        <v>51</v>
      </c>
      <c r="G7358" s="10" t="n">
        <v>174</v>
      </c>
      <c r="H7358" s="10" t="n">
        <v>128</v>
      </c>
      <c r="I7358" s="10" t="n">
        <v>41</v>
      </c>
      <c r="J7358" s="10" t="n">
        <v>0</v>
      </c>
      <c r="K7358" s="10" t="s">
        <v>20</v>
      </c>
      <c r="L7358" s="11" t="n">
        <v>42828.5009259259</v>
      </c>
      <c r="M7358" s="12" t="s">
        <v>16569</v>
      </c>
      <c r="N7358" s="12" t="s">
        <v>16570</v>
      </c>
      <c r="O7358" s="9" t="str">
        <f aca="false">HYPERLINK("https://pbs.twimg.com/profile_images/900090007125348353/tVGBIcEp_normal.jpg","View")</f>
        <v>View</v>
      </c>
      <c r="P7358" s="10"/>
    </row>
    <row r="7359" customFormat="false" ht="15.75" hidden="false" customHeight="false" outlineLevel="0" collapsed="false">
      <c r="A7359" s="6" t="n">
        <v>43031.4773611111</v>
      </c>
      <c r="B7359" s="7" t="str">
        <f aca="false">HYPERLINK("https://twitter.com/OptionsTip","@OptionsTip")</f>
        <v>@OptionsTip</v>
      </c>
      <c r="C7359" s="8" t="s">
        <v>16571</v>
      </c>
      <c r="D7359" s="8" t="s">
        <v>16572</v>
      </c>
      <c r="E7359" s="9" t="str">
        <f aca="false">HYPERLINK("https://twitter.com/OptionsTip/status/922529909779652608","922529909779652608")</f>
        <v>922529909779652608</v>
      </c>
      <c r="F7359" s="10" t="s">
        <v>16573</v>
      </c>
      <c r="G7359" s="10" t="n">
        <v>678</v>
      </c>
      <c r="H7359" s="10" t="n">
        <v>954</v>
      </c>
      <c r="I7359" s="10" t="n">
        <v>0</v>
      </c>
      <c r="J7359" s="10" t="n">
        <v>0</v>
      </c>
      <c r="K7359" s="10" t="s">
        <v>20</v>
      </c>
      <c r="L7359" s="11" t="n">
        <v>40034.7752893519</v>
      </c>
      <c r="M7359" s="12" t="s">
        <v>72</v>
      </c>
      <c r="N7359" s="12"/>
      <c r="O7359" s="9" t="str">
        <f aca="false">HYPERLINK("https://pbs.twimg.com/profile_images/3698484594/e5ae6371e9d39a2561f3815c47b6b5db_normal.jpeg","View")</f>
        <v>View</v>
      </c>
      <c r="P7359" s="10"/>
    </row>
    <row r="7360" customFormat="false" ht="15.75" hidden="false" customHeight="false" outlineLevel="0" collapsed="false">
      <c r="A7360" s="6" t="n">
        <v>43031.4775347222</v>
      </c>
      <c r="B7360" s="7" t="str">
        <f aca="false">HYPERLINK("https://twitter.com/PorterJLeaman","@PorterJLeaman")</f>
        <v>@PorterJLeaman</v>
      </c>
      <c r="C7360" s="8" t="s">
        <v>16574</v>
      </c>
      <c r="D7360" s="8" t="s">
        <v>16575</v>
      </c>
      <c r="E7360" s="9" t="str">
        <f aca="false">HYPERLINK("https://twitter.com/PorterJLeaman/status/922529971872194560","922529971872194560")</f>
        <v>922529971872194560</v>
      </c>
      <c r="F7360" s="10" t="s">
        <v>39</v>
      </c>
      <c r="G7360" s="10" t="n">
        <v>853</v>
      </c>
      <c r="H7360" s="10" t="n">
        <v>1505</v>
      </c>
      <c r="I7360" s="10" t="n">
        <v>0</v>
      </c>
      <c r="J7360" s="10" t="n">
        <v>1</v>
      </c>
      <c r="K7360" s="10" t="s">
        <v>20</v>
      </c>
      <c r="L7360" s="11" t="n">
        <v>41167.5546527778</v>
      </c>
      <c r="M7360" s="12" t="s">
        <v>16576</v>
      </c>
      <c r="N7360" s="12"/>
      <c r="O7360" s="9" t="str">
        <f aca="false">HYPERLINK("https://pbs.twimg.com/profile_images/577841064767201280/rc2wvWxK_normal.jpeg","View")</f>
        <v>View</v>
      </c>
      <c r="P7360" s="10"/>
    </row>
    <row r="7361" customFormat="false" ht="15.75" hidden="false" customHeight="false" outlineLevel="0" collapsed="false">
      <c r="A7361" s="6" t="n">
        <v>43031.4776967593</v>
      </c>
      <c r="B7361" s="7" t="str">
        <f aca="false">HYPERLINK("https://twitter.com/shamikindian","@shamikindian")</f>
        <v>@shamikindian</v>
      </c>
      <c r="C7361" s="8" t="s">
        <v>16577</v>
      </c>
      <c r="D7361" s="8" t="s">
        <v>8538</v>
      </c>
      <c r="E7361" s="9" t="str">
        <f aca="false">HYPERLINK("https://twitter.com/shamikindian/status/922530031208775682","922530031208775682")</f>
        <v>922530031208775682</v>
      </c>
      <c r="F7361" s="10" t="s">
        <v>25</v>
      </c>
      <c r="G7361" s="10" t="n">
        <v>74</v>
      </c>
      <c r="H7361" s="10" t="n">
        <v>190</v>
      </c>
      <c r="I7361" s="10" t="n">
        <v>1015</v>
      </c>
      <c r="J7361" s="10" t="n">
        <v>0</v>
      </c>
      <c r="K7361" s="10" t="s">
        <v>20</v>
      </c>
      <c r="L7361" s="11" t="n">
        <v>42438.3263078704</v>
      </c>
      <c r="M7361" s="12"/>
      <c r="N7361" s="12"/>
      <c r="O7361" s="9" t="str">
        <f aca="false">HYPERLINK("https://abs.twimg.com/sticky/default_profile_images/default_profile_normal.png","View")</f>
        <v>View</v>
      </c>
      <c r="P7361" s="10"/>
    </row>
    <row r="7362" customFormat="false" ht="15.75" hidden="false" customHeight="false" outlineLevel="0" collapsed="false">
      <c r="A7362" s="6" t="n">
        <v>43031.4777893519</v>
      </c>
      <c r="B7362" s="7" t="str">
        <f aca="false">HYPERLINK("https://twitter.com/makgalegwangwa","@makgalegwangwa")</f>
        <v>@makgalegwangwa</v>
      </c>
      <c r="C7362" s="8" t="s">
        <v>16578</v>
      </c>
      <c r="D7362" s="8" t="s">
        <v>16579</v>
      </c>
      <c r="E7362" s="9" t="str">
        <f aca="false">HYPERLINK("https://twitter.com/makgalegwangwa/status/922530065044459521","922530065044459521")</f>
        <v>922530065044459521</v>
      </c>
      <c r="F7362" s="10" t="s">
        <v>1658</v>
      </c>
      <c r="G7362" s="10" t="n">
        <v>10</v>
      </c>
      <c r="H7362" s="10" t="n">
        <v>246</v>
      </c>
      <c r="I7362" s="10" t="n">
        <v>0</v>
      </c>
      <c r="J7362" s="10" t="n">
        <v>0</v>
      </c>
      <c r="K7362" s="10" t="s">
        <v>20</v>
      </c>
      <c r="L7362" s="11" t="n">
        <v>41506.3365277778</v>
      </c>
      <c r="M7362" s="12"/>
      <c r="N7362" s="12"/>
      <c r="O7362" s="9" t="str">
        <f aca="false">HYPERLINK("https://abs.twimg.com/sticky/default_profile_images/default_profile_normal.png","View")</f>
        <v>View</v>
      </c>
      <c r="P7362" s="10"/>
    </row>
    <row r="7363" customFormat="false" ht="15.75" hidden="false" customHeight="false" outlineLevel="0" collapsed="false">
      <c r="A7363" s="6" t="n">
        <v>43031.4788888889</v>
      </c>
      <c r="B7363" s="7" t="str">
        <f aca="false">HYPERLINK("https://twitter.com/CanadaNevada","@CanadaNevada")</f>
        <v>@CanadaNevada</v>
      </c>
      <c r="C7363" s="8" t="s">
        <v>16580</v>
      </c>
      <c r="D7363" s="8" t="s">
        <v>15821</v>
      </c>
      <c r="E7363" s="9" t="str">
        <f aca="false">HYPERLINK("https://twitter.com/CanadaNevada/status/922530462488084480","922530462488084480")</f>
        <v>922530462488084480</v>
      </c>
      <c r="F7363" s="10" t="s">
        <v>25</v>
      </c>
      <c r="G7363" s="10" t="n">
        <v>25</v>
      </c>
      <c r="H7363" s="10" t="n">
        <v>241</v>
      </c>
      <c r="I7363" s="10" t="n">
        <v>41</v>
      </c>
      <c r="J7363" s="10" t="n">
        <v>0</v>
      </c>
      <c r="K7363" s="10" t="s">
        <v>20</v>
      </c>
      <c r="L7363" s="11" t="n">
        <v>42471.6597800926</v>
      </c>
      <c r="M7363" s="12" t="s">
        <v>16581</v>
      </c>
      <c r="N7363" s="12"/>
      <c r="O7363" s="9" t="str">
        <f aca="false">HYPERLINK("https://pbs.twimg.com/profile_images/719733680202076161/vPTCSC_m_normal.jpg","View")</f>
        <v>View</v>
      </c>
      <c r="P7363" s="10"/>
    </row>
    <row r="7364" customFormat="false" ht="15.75" hidden="false" customHeight="false" outlineLevel="0" collapsed="false">
      <c r="A7364" s="6" t="n">
        <v>43031.4789351852</v>
      </c>
      <c r="B7364" s="7" t="str">
        <f aca="false">HYPERLINK("https://twitter.com/samachaar","@samachaar")</f>
        <v>@samachaar</v>
      </c>
      <c r="C7364" s="8" t="s">
        <v>16582</v>
      </c>
      <c r="D7364" s="8" t="s">
        <v>16583</v>
      </c>
      <c r="E7364" s="9" t="str">
        <f aca="false">HYPERLINK("https://twitter.com/samachaar/status/922530477923123201","922530477923123201")</f>
        <v>922530477923123201</v>
      </c>
      <c r="F7364" s="9" t="s">
        <v>1147</v>
      </c>
      <c r="G7364" s="10" t="n">
        <v>811</v>
      </c>
      <c r="H7364" s="10" t="n">
        <v>0</v>
      </c>
      <c r="I7364" s="10" t="n">
        <v>0</v>
      </c>
      <c r="J7364" s="10" t="n">
        <v>0</v>
      </c>
      <c r="K7364" s="10" t="s">
        <v>20</v>
      </c>
      <c r="L7364" s="11" t="n">
        <v>39937.0101157407</v>
      </c>
      <c r="M7364" s="12" t="s">
        <v>72</v>
      </c>
      <c r="N7364" s="12" t="s">
        <v>16584</v>
      </c>
      <c r="O7364" s="9" t="str">
        <f aca="false">HYPERLINK("https://pbs.twimg.com/profile_images/740231702/Internet-news-reader_normal.png","View")</f>
        <v>View</v>
      </c>
      <c r="P7364" s="10"/>
    </row>
    <row r="7365" customFormat="false" ht="15.75" hidden="false" customHeight="false" outlineLevel="0" collapsed="false">
      <c r="A7365" s="6" t="n">
        <v>43031.4794560185</v>
      </c>
      <c r="B7365" s="7" t="str">
        <f aca="false">HYPERLINK("https://twitter.com/jjj882045","@jjj882045")</f>
        <v>@jjj882045</v>
      </c>
      <c r="C7365" s="8" t="s">
        <v>16585</v>
      </c>
      <c r="D7365" s="8" t="s">
        <v>15821</v>
      </c>
      <c r="E7365" s="9" t="str">
        <f aca="false">HYPERLINK("https://twitter.com/jjj882045/status/922530668210458624","922530668210458624")</f>
        <v>922530668210458624</v>
      </c>
      <c r="F7365" s="10" t="s">
        <v>25</v>
      </c>
      <c r="G7365" s="10" t="n">
        <v>453</v>
      </c>
      <c r="H7365" s="10" t="n">
        <v>756</v>
      </c>
      <c r="I7365" s="10" t="n">
        <v>41</v>
      </c>
      <c r="J7365" s="10" t="n">
        <v>0</v>
      </c>
      <c r="K7365" s="10" t="s">
        <v>20</v>
      </c>
      <c r="L7365" s="11" t="n">
        <v>42683.1355208333</v>
      </c>
      <c r="M7365" s="12"/>
      <c r="N7365" s="12"/>
      <c r="O7365" s="9" t="str">
        <f aca="false">HYPERLINK("https://pbs.twimg.com/profile_images/892037727138582533/GE-1unaU_normal.jpg","View")</f>
        <v>View</v>
      </c>
      <c r="P7365" s="10"/>
    </row>
    <row r="7366" customFormat="false" ht="15.75" hidden="false" customHeight="false" outlineLevel="0" collapsed="false">
      <c r="A7366" s="6" t="n">
        <v>43031.4798032407</v>
      </c>
      <c r="B7366" s="7" t="str">
        <f aca="false">HYPERLINK("https://twitter.com/vappcc","@vappcc")</f>
        <v>@vappcc</v>
      </c>
      <c r="C7366" s="8" t="s">
        <v>16586</v>
      </c>
      <c r="D7366" s="8" t="s">
        <v>8538</v>
      </c>
      <c r="E7366" s="9" t="str">
        <f aca="false">HYPERLINK("https://twitter.com/vappcc/status/922530792097681409","922530792097681409")</f>
        <v>922530792097681409</v>
      </c>
      <c r="F7366" s="10" t="s">
        <v>51</v>
      </c>
      <c r="G7366" s="10" t="n">
        <v>216</v>
      </c>
      <c r="H7366" s="10" t="n">
        <v>657</v>
      </c>
      <c r="I7366" s="10" t="n">
        <v>1015</v>
      </c>
      <c r="J7366" s="10" t="n">
        <v>0</v>
      </c>
      <c r="K7366" s="10" t="s">
        <v>20</v>
      </c>
      <c r="L7366" s="11" t="n">
        <v>41037.9401967593</v>
      </c>
      <c r="M7366" s="12"/>
      <c r="N7366" s="12" t="s">
        <v>16587</v>
      </c>
      <c r="O7366" s="9" t="str">
        <f aca="false">HYPERLINK("https://pbs.twimg.com/profile_images/781593844064346113/vRl3X8wl_normal.jpg","View")</f>
        <v>View</v>
      </c>
      <c r="P7366" s="10"/>
    </row>
    <row r="7367" customFormat="false" ht="15.75" hidden="false" customHeight="false" outlineLevel="0" collapsed="false">
      <c r="A7367" s="6" t="n">
        <v>43031.4805092593</v>
      </c>
      <c r="B7367" s="7" t="str">
        <f aca="false">HYPERLINK("https://twitter.com/walkileaks","@walkileaks")</f>
        <v>@walkileaks</v>
      </c>
      <c r="C7367" s="8" t="s">
        <v>1267</v>
      </c>
      <c r="D7367" s="8" t="s">
        <v>16588</v>
      </c>
      <c r="E7367" s="9" t="str">
        <f aca="false">HYPERLINK("https://twitter.com/walkileaks/status/922531049653129218","922531049653129218")</f>
        <v>922531049653129218</v>
      </c>
      <c r="F7367" s="9" t="s">
        <v>979</v>
      </c>
      <c r="G7367" s="10" t="n">
        <v>533</v>
      </c>
      <c r="H7367" s="10" t="n">
        <v>738</v>
      </c>
      <c r="I7367" s="10" t="n">
        <v>0</v>
      </c>
      <c r="J7367" s="10" t="n">
        <v>0</v>
      </c>
      <c r="K7367" s="10" t="s">
        <v>20</v>
      </c>
      <c r="L7367" s="11" t="n">
        <v>41239.3942361111</v>
      </c>
      <c r="M7367" s="12" t="s">
        <v>230</v>
      </c>
      <c r="N7367" s="12" t="s">
        <v>1269</v>
      </c>
      <c r="O7367" s="9" t="str">
        <f aca="false">HYPERLINK("https://pbs.twimg.com/profile_images/782945569501286401/BOfnIaHw_normal.jpg","View")</f>
        <v>View</v>
      </c>
      <c r="P7367" s="10"/>
    </row>
    <row r="7368" customFormat="false" ht="15.75" hidden="false" customHeight="false" outlineLevel="0" collapsed="false">
      <c r="A7368" s="6" t="n">
        <v>43031.482650463</v>
      </c>
      <c r="B7368" s="7" t="str">
        <f aca="false">HYPERLINK("https://twitter.com/veronikafff","@veronikafff")</f>
        <v>@veronikafff</v>
      </c>
      <c r="C7368" s="8" t="s">
        <v>16589</v>
      </c>
      <c r="D7368" s="8" t="s">
        <v>16413</v>
      </c>
      <c r="E7368" s="9" t="str">
        <f aca="false">HYPERLINK("https://twitter.com/veronikafff/status/922531825913942026","922531825913942026")</f>
        <v>922531825913942026</v>
      </c>
      <c r="F7368" s="10" t="s">
        <v>51</v>
      </c>
      <c r="G7368" s="10" t="n">
        <v>61</v>
      </c>
      <c r="H7368" s="10" t="n">
        <v>307</v>
      </c>
      <c r="I7368" s="10" t="n">
        <v>46</v>
      </c>
      <c r="J7368" s="10" t="n">
        <v>0</v>
      </c>
      <c r="K7368" s="10" t="s">
        <v>20</v>
      </c>
      <c r="L7368" s="11" t="n">
        <v>42130.5686111111</v>
      </c>
      <c r="M7368" s="12" t="s">
        <v>16590</v>
      </c>
      <c r="N7368" s="12"/>
      <c r="O7368" s="9" t="str">
        <f aca="false">HYPERLINK("https://pbs.twimg.com/profile_images/790668454600830976/AUU_O0gJ_normal.jpg","View")</f>
        <v>View</v>
      </c>
      <c r="P7368" s="10"/>
    </row>
    <row r="7369" customFormat="false" ht="15.75" hidden="false" customHeight="false" outlineLevel="0" collapsed="false">
      <c r="A7369" s="6" t="n">
        <v>43031.4829976852</v>
      </c>
      <c r="B7369" s="7" t="str">
        <f aca="false">HYPERLINK("https://twitter.com/moreira_enzo","@moreira_enzo")</f>
        <v>@moreira_enzo</v>
      </c>
      <c r="C7369" s="8" t="s">
        <v>16591</v>
      </c>
      <c r="D7369" s="8" t="s">
        <v>16592</v>
      </c>
      <c r="E7369" s="9" t="str">
        <f aca="false">HYPERLINK("https://twitter.com/moreira_enzo/status/922531950291714049","922531950291714049")</f>
        <v>922531950291714049</v>
      </c>
      <c r="F7369" s="10" t="s">
        <v>39</v>
      </c>
      <c r="G7369" s="10" t="n">
        <v>343</v>
      </c>
      <c r="H7369" s="10" t="n">
        <v>192</v>
      </c>
      <c r="I7369" s="10" t="n">
        <v>0</v>
      </c>
      <c r="J7369" s="10" t="n">
        <v>0</v>
      </c>
      <c r="K7369" s="10" t="s">
        <v>20</v>
      </c>
      <c r="L7369" s="11" t="n">
        <v>41006.3108680556</v>
      </c>
      <c r="M7369" s="12" t="s">
        <v>16593</v>
      </c>
      <c r="N7369" s="12" t="s">
        <v>16594</v>
      </c>
      <c r="O7369" s="9" t="str">
        <f aca="false">HYPERLINK("https://pbs.twimg.com/profile_images/917271790153543681/Lr55KG_o_normal.jpg","View")</f>
        <v>View</v>
      </c>
      <c r="P7369" s="10"/>
    </row>
    <row r="7370" customFormat="false" ht="15.75" hidden="false" customHeight="false" outlineLevel="0" collapsed="false">
      <c r="A7370" s="6" t="n">
        <v>43031.4834606481</v>
      </c>
      <c r="B7370" s="7" t="str">
        <f aca="false">HYPERLINK("https://twitter.com/_nicoladoyle","@_nicoladoyle")</f>
        <v>@_nicoladoyle</v>
      </c>
      <c r="C7370" s="8" t="s">
        <v>16595</v>
      </c>
      <c r="D7370" s="8" t="s">
        <v>16413</v>
      </c>
      <c r="E7370" s="9" t="str">
        <f aca="false">HYPERLINK("https://twitter.com/_nicoladoyle/status/922532118764445696","922532118764445696")</f>
        <v>922532118764445696</v>
      </c>
      <c r="F7370" s="10" t="s">
        <v>51</v>
      </c>
      <c r="G7370" s="10" t="n">
        <v>167</v>
      </c>
      <c r="H7370" s="10" t="n">
        <v>559</v>
      </c>
      <c r="I7370" s="10" t="n">
        <v>46</v>
      </c>
      <c r="J7370" s="10" t="n">
        <v>0</v>
      </c>
      <c r="K7370" s="10" t="s">
        <v>20</v>
      </c>
      <c r="L7370" s="11" t="n">
        <v>41247.1190277778</v>
      </c>
      <c r="M7370" s="12" t="s">
        <v>16596</v>
      </c>
      <c r="N7370" s="12" t="s">
        <v>16597</v>
      </c>
      <c r="O7370" s="9" t="str">
        <f aca="false">HYPERLINK("https://pbs.twimg.com/profile_images/876531756320555009/9v3GI_GE_normal.jpg","View")</f>
        <v>View</v>
      </c>
      <c r="P7370" s="10"/>
    </row>
    <row r="7371" customFormat="false" ht="15.75" hidden="false" customHeight="false" outlineLevel="0" collapsed="false">
      <c r="A7371" s="6" t="n">
        <v>43031.4835069444</v>
      </c>
      <c r="B7371" s="7" t="str">
        <f aca="false">HYPERLINK("https://twitter.com/truesourcemedia","@truesourcemedia")</f>
        <v>@truesourcemedia</v>
      </c>
      <c r="C7371" s="8" t="s">
        <v>16598</v>
      </c>
      <c r="D7371" s="8" t="s">
        <v>16599</v>
      </c>
      <c r="E7371" s="9" t="str">
        <f aca="false">HYPERLINK("https://twitter.com/truesourcemedia/status/922532133582675968","922532133582675968")</f>
        <v>922532133582675968</v>
      </c>
      <c r="F7371" s="10" t="s">
        <v>39</v>
      </c>
      <c r="G7371" s="10" t="n">
        <v>78</v>
      </c>
      <c r="H7371" s="10" t="n">
        <v>1604</v>
      </c>
      <c r="I7371" s="10" t="n">
        <v>2</v>
      </c>
      <c r="J7371" s="10" t="n">
        <v>2</v>
      </c>
      <c r="K7371" s="10" t="s">
        <v>20</v>
      </c>
      <c r="L7371" s="11" t="n">
        <v>42983.3860532407</v>
      </c>
      <c r="M7371" s="12" t="s">
        <v>7908</v>
      </c>
      <c r="N7371" s="12" t="s">
        <v>16600</v>
      </c>
      <c r="O7371" s="9" t="str">
        <f aca="false">HYPERLINK("https://pbs.twimg.com/profile_images/905105133763125248/_xIVLXJ7_normal.jpg","View")</f>
        <v>View</v>
      </c>
      <c r="P7371" s="10"/>
    </row>
    <row r="7372" customFormat="false" ht="15.75" hidden="false" customHeight="false" outlineLevel="0" collapsed="false">
      <c r="A7372" s="6" t="n">
        <v>43031.483587963</v>
      </c>
      <c r="B7372" s="7" t="str">
        <f aca="false">HYPERLINK("https://twitter.com/Apocrifos","@Apocrifos")</f>
        <v>@Apocrifos</v>
      </c>
      <c r="C7372" s="8" t="s">
        <v>1297</v>
      </c>
      <c r="D7372" s="8" t="s">
        <v>16601</v>
      </c>
      <c r="E7372" s="9" t="str">
        <f aca="false">HYPERLINK("https://twitter.com/Apocrifos/status/922532165954523141","922532165954523141")</f>
        <v>922532165954523141</v>
      </c>
      <c r="F7372" s="10" t="s">
        <v>60</v>
      </c>
      <c r="G7372" s="10" t="n">
        <v>777</v>
      </c>
      <c r="H7372" s="10" t="n">
        <v>508</v>
      </c>
      <c r="I7372" s="10" t="n">
        <v>0</v>
      </c>
      <c r="J7372" s="10" t="n">
        <v>0</v>
      </c>
      <c r="K7372" s="10" t="s">
        <v>20</v>
      </c>
      <c r="L7372" s="11" t="n">
        <v>39961.4268287037</v>
      </c>
      <c r="M7372" s="12" t="s">
        <v>551</v>
      </c>
      <c r="N7372" s="12" t="s">
        <v>1299</v>
      </c>
      <c r="O7372" s="9" t="str">
        <f aca="false">HYPERLINK("https://pbs.twimg.com/profile_images/3672960453/ea0d6104e1c4773a26d48d5437e962d8_normal.jpeg","View")</f>
        <v>View</v>
      </c>
      <c r="P7372" s="10"/>
    </row>
    <row r="7373" customFormat="false" ht="15.75" hidden="false" customHeight="false" outlineLevel="0" collapsed="false">
      <c r="A7373" s="6" t="n">
        <v>43031.4844444445</v>
      </c>
      <c r="B7373" s="7" t="str">
        <f aca="false">HYPERLINK("https://twitter.com/PaginaNuova","@PaginaNuova")</f>
        <v>@PaginaNuova</v>
      </c>
      <c r="C7373" s="8" t="s">
        <v>991</v>
      </c>
      <c r="D7373" s="8" t="s">
        <v>16602</v>
      </c>
      <c r="E7373" s="9" t="str">
        <f aca="false">HYPERLINK("https://twitter.com/PaginaNuova/status/922532475246727169","922532475246727169")</f>
        <v>922532475246727169</v>
      </c>
      <c r="F7373" s="10" t="s">
        <v>60</v>
      </c>
      <c r="G7373" s="10" t="n">
        <v>1162</v>
      </c>
      <c r="H7373" s="10" t="n">
        <v>512</v>
      </c>
      <c r="I7373" s="10" t="n">
        <v>0</v>
      </c>
      <c r="J7373" s="10" t="n">
        <v>0</v>
      </c>
      <c r="K7373" s="10" t="s">
        <v>20</v>
      </c>
      <c r="L7373" s="11" t="n">
        <v>39795.7385416667</v>
      </c>
      <c r="M7373" s="12" t="s">
        <v>993</v>
      </c>
      <c r="N7373" s="12" t="s">
        <v>994</v>
      </c>
      <c r="O7373" s="9" t="str">
        <f aca="false">HYPERLINK("https://pbs.twimg.com/profile_images/733085909457993728/CNCcL-S7_normal.jpg","View")</f>
        <v>View</v>
      </c>
      <c r="P7373" s="10"/>
    </row>
    <row r="7374" customFormat="false" ht="15.75" hidden="false" customHeight="false" outlineLevel="0" collapsed="false">
      <c r="A7374" s="6" t="n">
        <v>43031.4848611111</v>
      </c>
      <c r="B7374" s="7" t="str">
        <f aca="false">HYPERLINK("https://twitter.com/Anon_Eu","@Anon_Eu")</f>
        <v>@Anon_Eu</v>
      </c>
      <c r="C7374" s="8" t="s">
        <v>1270</v>
      </c>
      <c r="D7374" s="8" t="s">
        <v>16603</v>
      </c>
      <c r="E7374" s="9" t="str">
        <f aca="false">HYPERLINK("https://twitter.com/Anon_Eu/status/922532624836345858","922532624836345858")</f>
        <v>922532624836345858</v>
      </c>
      <c r="F7374" s="9" t="s">
        <v>1147</v>
      </c>
      <c r="G7374" s="10" t="n">
        <v>13150</v>
      </c>
      <c r="H7374" s="10" t="n">
        <v>6968</v>
      </c>
      <c r="I7374" s="10" t="n">
        <v>0</v>
      </c>
      <c r="J7374" s="10" t="n">
        <v>0</v>
      </c>
      <c r="K7374" s="10" t="s">
        <v>20</v>
      </c>
      <c r="L7374" s="11" t="n">
        <v>41161.5910416667</v>
      </c>
      <c r="M7374" s="12" t="s">
        <v>1272</v>
      </c>
      <c r="N7374" s="12" t="s">
        <v>1273</v>
      </c>
      <c r="O7374" s="9" t="str">
        <f aca="false">HYPERLINK("https://pbs.twimg.com/profile_images/839870179282669570/K5jLYmlF_normal.jpg","View")</f>
        <v>View</v>
      </c>
      <c r="P7374" s="10"/>
    </row>
    <row r="7375" customFormat="false" ht="15.75" hidden="false" customHeight="false" outlineLevel="0" collapsed="false">
      <c r="A7375" s="6" t="n">
        <v>43031.4851273148</v>
      </c>
      <c r="B7375" s="7" t="str">
        <f aca="false">HYPERLINK("https://twitter.com/newsly","@newsly")</f>
        <v>@newsly</v>
      </c>
      <c r="C7375" s="8" t="s">
        <v>1281</v>
      </c>
      <c r="D7375" s="8" t="s">
        <v>16604</v>
      </c>
      <c r="E7375" s="9" t="str">
        <f aca="false">HYPERLINK("https://twitter.com/newsly/status/922532722375118850","922532722375118850")</f>
        <v>922532722375118850</v>
      </c>
      <c r="F7375" s="10" t="s">
        <v>60</v>
      </c>
      <c r="G7375" s="10" t="n">
        <v>313</v>
      </c>
      <c r="H7375" s="10" t="n">
        <v>2</v>
      </c>
      <c r="I7375" s="10" t="n">
        <v>0</v>
      </c>
      <c r="J7375" s="10" t="n">
        <v>0</v>
      </c>
      <c r="K7375" s="10" t="s">
        <v>20</v>
      </c>
      <c r="L7375" s="11" t="n">
        <v>42393.464224537</v>
      </c>
      <c r="M7375" s="12" t="s">
        <v>203</v>
      </c>
      <c r="N7375" s="12" t="s">
        <v>1283</v>
      </c>
      <c r="O7375" s="9" t="str">
        <f aca="false">HYPERLINK("https://pbs.twimg.com/profile_images/776195317549105152/HsppNplW_normal.jpg","View")</f>
        <v>View</v>
      </c>
      <c r="P7375" s="10"/>
    </row>
    <row r="7376" customFormat="false" ht="15.75" hidden="false" customHeight="false" outlineLevel="0" collapsed="false">
      <c r="A7376" s="6" t="n">
        <v>43031.4856597222</v>
      </c>
      <c r="B7376" s="7" t="str">
        <f aca="false">HYPERLINK("https://twitter.com/Ash399W","@Ash399W")</f>
        <v>@Ash399W</v>
      </c>
      <c r="C7376" s="8" t="s">
        <v>1541</v>
      </c>
      <c r="D7376" s="8" t="s">
        <v>15302</v>
      </c>
      <c r="E7376" s="9" t="str">
        <f aca="false">HYPERLINK("https://twitter.com/Ash399W/status/922532914704695297","922532914704695297")</f>
        <v>922532914704695297</v>
      </c>
      <c r="F7376" s="10" t="s">
        <v>25</v>
      </c>
      <c r="G7376" s="10" t="n">
        <v>276</v>
      </c>
      <c r="H7376" s="10" t="n">
        <v>3022</v>
      </c>
      <c r="I7376" s="10" t="n">
        <v>11</v>
      </c>
      <c r="J7376" s="10" t="n">
        <v>0</v>
      </c>
      <c r="K7376" s="10" t="s">
        <v>20</v>
      </c>
      <c r="L7376" s="11" t="n">
        <v>41899.5376157407</v>
      </c>
      <c r="M7376" s="12" t="s">
        <v>3531</v>
      </c>
      <c r="N7376" s="12" t="s">
        <v>9747</v>
      </c>
      <c r="O7376" s="9" t="str">
        <f aca="false">HYPERLINK("https://pbs.twimg.com/profile_images/888052020720001027/71lI34I7_normal.jpg","View")</f>
        <v>View</v>
      </c>
      <c r="P7376" s="10"/>
    </row>
    <row r="7377" customFormat="false" ht="15.75" hidden="false" customHeight="false" outlineLevel="0" collapsed="false">
      <c r="A7377" s="6" t="n">
        <v>43031.4859143519</v>
      </c>
      <c r="B7377" s="7" t="str">
        <f aca="false">HYPERLINK("https://twitter.com/wealocity","@wealocity")</f>
        <v>@wealocity</v>
      </c>
      <c r="C7377" s="8" t="s">
        <v>16605</v>
      </c>
      <c r="D7377" s="8" t="s">
        <v>11084</v>
      </c>
      <c r="E7377" s="9" t="str">
        <f aca="false">HYPERLINK("https://twitter.com/wealocity/status/922533008606773251","922533008606773251")</f>
        <v>922533008606773251</v>
      </c>
      <c r="F7377" s="10" t="s">
        <v>51</v>
      </c>
      <c r="G7377" s="10" t="n">
        <v>57</v>
      </c>
      <c r="H7377" s="10" t="n">
        <v>44</v>
      </c>
      <c r="I7377" s="10" t="n">
        <v>13</v>
      </c>
      <c r="J7377" s="10" t="n">
        <v>0</v>
      </c>
      <c r="K7377" s="10" t="s">
        <v>20</v>
      </c>
      <c r="L7377" s="11" t="n">
        <v>42371.0962268518</v>
      </c>
      <c r="M7377" s="12" t="s">
        <v>11124</v>
      </c>
      <c r="N7377" s="12" t="s">
        <v>16606</v>
      </c>
      <c r="O7377" s="9" t="str">
        <f aca="false">HYPERLINK("https://pbs.twimg.com/profile_images/694455487593603072/hU5_cis8_normal.jpg","View")</f>
        <v>View</v>
      </c>
      <c r="P7377" s="10"/>
    </row>
    <row r="7378" customFormat="false" ht="15.75" hidden="false" customHeight="false" outlineLevel="0" collapsed="false">
      <c r="A7378" s="6" t="n">
        <v>43031.4877314815</v>
      </c>
      <c r="B7378" s="7" t="str">
        <f aca="false">HYPERLINK("https://twitter.com/Independent","@Independent")</f>
        <v>@Independent</v>
      </c>
      <c r="C7378" s="8" t="s">
        <v>1284</v>
      </c>
      <c r="D7378" s="8" t="s">
        <v>16607</v>
      </c>
      <c r="E7378" s="9" t="str">
        <f aca="false">HYPERLINK("https://twitter.com/Independent/status/922533666164789248","922533666164789248")</f>
        <v>922533666164789248</v>
      </c>
      <c r="F7378" s="10" t="s">
        <v>276</v>
      </c>
      <c r="G7378" s="10" t="n">
        <v>2392804</v>
      </c>
      <c r="H7378" s="10" t="n">
        <v>1105</v>
      </c>
      <c r="I7378" s="10" t="n">
        <v>12</v>
      </c>
      <c r="J7378" s="10" t="n">
        <v>10</v>
      </c>
      <c r="K7378" s="10" t="s">
        <v>20</v>
      </c>
      <c r="L7378" s="11" t="n">
        <v>39746.7086689815</v>
      </c>
      <c r="M7378" s="12" t="s">
        <v>893</v>
      </c>
      <c r="N7378" s="12" t="s">
        <v>1286</v>
      </c>
      <c r="O7378" s="9" t="str">
        <f aca="false">HYPERLINK("https://pbs.twimg.com/profile_images/583628771972018176/ztJn926g_normal.png","View")</f>
        <v>View</v>
      </c>
      <c r="P7378" s="10"/>
    </row>
    <row r="7379" customFormat="false" ht="15.75" hidden="false" customHeight="false" outlineLevel="0" collapsed="false">
      <c r="A7379" s="6" t="n">
        <v>43031.4877662037</v>
      </c>
      <c r="B7379" s="7" t="str">
        <f aca="false">HYPERLINK("https://twitter.com/3X04N0N","@3X04N0N")</f>
        <v>@3X04N0N</v>
      </c>
      <c r="C7379" s="8" t="s">
        <v>1278</v>
      </c>
      <c r="D7379" s="8" t="s">
        <v>16608</v>
      </c>
      <c r="E7379" s="9" t="str">
        <f aca="false">HYPERLINK("https://twitter.com/3X04N0N/status/922533677543944192","922533677543944192")</f>
        <v>922533677543944192</v>
      </c>
      <c r="F7379" s="10" t="s">
        <v>60</v>
      </c>
      <c r="G7379" s="10" t="n">
        <v>922</v>
      </c>
      <c r="H7379" s="10" t="n">
        <v>295</v>
      </c>
      <c r="I7379" s="10" t="n">
        <v>0</v>
      </c>
      <c r="J7379" s="10" t="n">
        <v>0</v>
      </c>
      <c r="K7379" s="10" t="s">
        <v>20</v>
      </c>
      <c r="L7379" s="11" t="n">
        <v>42066.5668518519</v>
      </c>
      <c r="M7379" s="12"/>
      <c r="N7379" s="12" t="s">
        <v>1280</v>
      </c>
      <c r="O7379" s="9" t="str">
        <f aca="false">HYPERLINK("https://pbs.twimg.com/profile_images/793550507205914625/qBVxzsrU_normal.jpg","View")</f>
        <v>View</v>
      </c>
      <c r="P7379" s="10"/>
    </row>
    <row r="7380" customFormat="false" ht="15.75" hidden="false" customHeight="false" outlineLevel="0" collapsed="false">
      <c r="A7380" s="6" t="n">
        <v>43031.4879166667</v>
      </c>
      <c r="B7380" s="7" t="str">
        <f aca="false">HYPERLINK("https://twitter.com/AlsinaJuana","@AlsinaJuana")</f>
        <v>@AlsinaJuana</v>
      </c>
      <c r="C7380" s="8" t="s">
        <v>1328</v>
      </c>
      <c r="D7380" s="8" t="s">
        <v>16609</v>
      </c>
      <c r="E7380" s="9" t="str">
        <f aca="false">HYPERLINK("https://twitter.com/AlsinaJuana/status/922533735052009474","922533735052009474")</f>
        <v>922533735052009474</v>
      </c>
      <c r="F7380" s="10" t="s">
        <v>39</v>
      </c>
      <c r="G7380" s="10" t="n">
        <v>610</v>
      </c>
      <c r="H7380" s="10" t="n">
        <v>223</v>
      </c>
      <c r="I7380" s="10" t="n">
        <v>12</v>
      </c>
      <c r="J7380" s="10" t="n">
        <v>0</v>
      </c>
      <c r="K7380" s="10" t="s">
        <v>20</v>
      </c>
      <c r="L7380" s="11" t="n">
        <v>40800.7706365741</v>
      </c>
      <c r="M7380" s="12"/>
      <c r="N7380" s="12"/>
      <c r="O7380" s="9" t="str">
        <f aca="false">HYPERLINK("https://pbs.twimg.com/profile_images/922895285885571075/PyOSFahk_normal.jpg","View")</f>
        <v>View</v>
      </c>
      <c r="P7380" s="10"/>
    </row>
    <row r="7381" customFormat="false" ht="15.75" hidden="false" customHeight="false" outlineLevel="0" collapsed="false">
      <c r="A7381" s="6" t="n">
        <v>43031.4883449074</v>
      </c>
      <c r="B7381" s="7" t="str">
        <f aca="false">HYPERLINK("https://twitter.com/digital_journo","@digital_journo")</f>
        <v>@digital_journo</v>
      </c>
      <c r="C7381" s="8" t="s">
        <v>16610</v>
      </c>
      <c r="D7381" s="8" t="s">
        <v>16609</v>
      </c>
      <c r="E7381" s="9" t="str">
        <f aca="false">HYPERLINK("https://twitter.com/digital_journo/status/922533887296892930","922533887296892930")</f>
        <v>922533887296892930</v>
      </c>
      <c r="F7381" s="10" t="s">
        <v>276</v>
      </c>
      <c r="G7381" s="10" t="n">
        <v>57</v>
      </c>
      <c r="H7381" s="10" t="n">
        <v>852</v>
      </c>
      <c r="I7381" s="10" t="n">
        <v>12</v>
      </c>
      <c r="J7381" s="10" t="n">
        <v>0</v>
      </c>
      <c r="K7381" s="10" t="s">
        <v>20</v>
      </c>
      <c r="L7381" s="11" t="n">
        <v>42241.3507407407</v>
      </c>
      <c r="M7381" s="12"/>
      <c r="N7381" s="12" t="s">
        <v>16611</v>
      </c>
      <c r="O7381" s="9" t="str">
        <f aca="false">HYPERLINK("https://pbs.twimg.com/profile_images/915149971380428800/LgzqfeWj_normal.jpg","View")</f>
        <v>View</v>
      </c>
      <c r="P7381" s="10"/>
    </row>
    <row r="7382" customFormat="false" ht="15.75" hidden="false" customHeight="false" outlineLevel="0" collapsed="false">
      <c r="A7382" s="6" t="n">
        <v>43031.4887847222</v>
      </c>
      <c r="B7382" s="7" t="str">
        <f aca="false">HYPERLINK("https://twitter.com/AliwaOkello","@AliwaOkello")</f>
        <v>@AliwaOkello</v>
      </c>
      <c r="C7382" s="8" t="s">
        <v>14392</v>
      </c>
      <c r="D7382" s="8" t="s">
        <v>16612</v>
      </c>
      <c r="E7382" s="9" t="str">
        <f aca="false">HYPERLINK("https://twitter.com/AliwaOkello/status/922534048605638656","922534048605638656")</f>
        <v>922534048605638656</v>
      </c>
      <c r="F7382" s="9" t="s">
        <v>979</v>
      </c>
      <c r="G7382" s="10" t="n">
        <v>199</v>
      </c>
      <c r="H7382" s="10" t="n">
        <v>30</v>
      </c>
      <c r="I7382" s="10" t="n">
        <v>0</v>
      </c>
      <c r="J7382" s="10" t="n">
        <v>0</v>
      </c>
      <c r="K7382" s="10" t="s">
        <v>20</v>
      </c>
      <c r="L7382" s="11" t="n">
        <v>41411.1703587963</v>
      </c>
      <c r="M7382" s="12" t="s">
        <v>1028</v>
      </c>
      <c r="N7382" s="12" t="s">
        <v>14394</v>
      </c>
      <c r="O7382" s="9" t="str">
        <f aca="false">HYPERLINK("https://pbs.twimg.com/profile_images/796582872782094337/y1nb7iEB_normal.jpg","View")</f>
        <v>View</v>
      </c>
      <c r="P7382" s="10"/>
    </row>
    <row r="7383" customFormat="false" ht="15.75" hidden="false" customHeight="false" outlineLevel="0" collapsed="false">
      <c r="A7383" s="6" t="n">
        <v>43031.4888541667</v>
      </c>
      <c r="B7383" s="7" t="str">
        <f aca="false">HYPERLINK("https://twitter.com/burattino14","@burattino14")</f>
        <v>@burattino14</v>
      </c>
      <c r="C7383" s="8" t="s">
        <v>16613</v>
      </c>
      <c r="D7383" s="8" t="s">
        <v>16609</v>
      </c>
      <c r="E7383" s="9" t="str">
        <f aca="false">HYPERLINK("https://twitter.com/burattino14/status/922534072672452608","922534072672452608")</f>
        <v>922534072672452608</v>
      </c>
      <c r="F7383" s="10" t="s">
        <v>39</v>
      </c>
      <c r="G7383" s="10" t="n">
        <v>1639</v>
      </c>
      <c r="H7383" s="10" t="n">
        <v>1820</v>
      </c>
      <c r="I7383" s="10" t="n">
        <v>12</v>
      </c>
      <c r="J7383" s="10" t="n">
        <v>0</v>
      </c>
      <c r="K7383" s="10" t="s">
        <v>20</v>
      </c>
      <c r="L7383" s="11" t="n">
        <v>41681.4461111111</v>
      </c>
      <c r="M7383" s="12" t="s">
        <v>16614</v>
      </c>
      <c r="N7383" s="12" t="s">
        <v>16615</v>
      </c>
      <c r="O7383" s="9" t="str">
        <f aca="false">HYPERLINK("https://pbs.twimg.com/profile_images/640443880731750400/otMc4e8T_normal.jpg","View")</f>
        <v>View</v>
      </c>
      <c r="P7383" s="10"/>
    </row>
    <row r="7384" customFormat="false" ht="15.75" hidden="false" customHeight="false" outlineLevel="0" collapsed="false">
      <c r="A7384" s="6" t="n">
        <v>43031.4897337963</v>
      </c>
      <c r="B7384" s="7" t="str">
        <f aca="false">HYPERLINK("https://twitter.com/feyzabasar","@feyzabasar")</f>
        <v>@feyzabasar</v>
      </c>
      <c r="C7384" s="8" t="s">
        <v>16616</v>
      </c>
      <c r="D7384" s="8" t="s">
        <v>16617</v>
      </c>
      <c r="E7384" s="9" t="str">
        <f aca="false">HYPERLINK("https://twitter.com/feyzabasar/status/922534392098164741","922534392098164741")</f>
        <v>922534392098164741</v>
      </c>
      <c r="F7384" s="10" t="s">
        <v>51</v>
      </c>
      <c r="G7384" s="10" t="n">
        <v>277</v>
      </c>
      <c r="H7384" s="10" t="n">
        <v>509</v>
      </c>
      <c r="I7384" s="10" t="n">
        <v>0</v>
      </c>
      <c r="J7384" s="10" t="n">
        <v>0</v>
      </c>
      <c r="K7384" s="10" t="s">
        <v>20</v>
      </c>
      <c r="L7384" s="11" t="n">
        <v>40494.2299537037</v>
      </c>
      <c r="M7384" s="12" t="s">
        <v>2008</v>
      </c>
      <c r="N7384" s="12" t="s">
        <v>16618</v>
      </c>
      <c r="O7384" s="9" t="str">
        <f aca="false">HYPERLINK("https://pbs.twimg.com/profile_images/1165699182/18044_290528168463_584058463_3324745_233321_n_normal.jpg","View")</f>
        <v>View</v>
      </c>
      <c r="P7384" s="10"/>
    </row>
    <row r="7385" customFormat="false" ht="15.75" hidden="false" customHeight="false" outlineLevel="0" collapsed="false">
      <c r="A7385" s="6" t="n">
        <v>43031.4902662037</v>
      </c>
      <c r="B7385" s="7" t="str">
        <f aca="false">HYPERLINK("https://twitter.com/Rosamexican01","@Rosamexican01")</f>
        <v>@Rosamexican01</v>
      </c>
      <c r="C7385" s="8" t="s">
        <v>1329</v>
      </c>
      <c r="D7385" s="8" t="s">
        <v>16619</v>
      </c>
      <c r="E7385" s="9" t="str">
        <f aca="false">HYPERLINK("https://twitter.com/Rosamexican01/status/922534585367498752","922534585367498752")</f>
        <v>922534585367498752</v>
      </c>
      <c r="F7385" s="10" t="s">
        <v>39</v>
      </c>
      <c r="G7385" s="10" t="n">
        <v>3327</v>
      </c>
      <c r="H7385" s="10" t="n">
        <v>2445</v>
      </c>
      <c r="I7385" s="10" t="n">
        <v>0</v>
      </c>
      <c r="J7385" s="10" t="n">
        <v>0</v>
      </c>
      <c r="K7385" s="10" t="s">
        <v>20</v>
      </c>
      <c r="L7385" s="11" t="n">
        <v>40305.5168634259</v>
      </c>
      <c r="M7385" s="12" t="s">
        <v>1331</v>
      </c>
      <c r="N7385" s="12" t="s">
        <v>1332</v>
      </c>
      <c r="O7385" s="9" t="str">
        <f aca="false">HYPERLINK("https://pbs.twimg.com/profile_images/881508681/Juergen100-4_normal.jpg","View")</f>
        <v>View</v>
      </c>
      <c r="P7385" s="10"/>
    </row>
    <row r="7386" customFormat="false" ht="15.75" hidden="false" customHeight="false" outlineLevel="0" collapsed="false">
      <c r="A7386" s="6" t="n">
        <v>43031.4905092593</v>
      </c>
      <c r="B7386" s="7" t="str">
        <f aca="false">HYPERLINK("https://twitter.com/BlackRobbtoo","@BlackRobbtoo")</f>
        <v>@BlackRobbtoo</v>
      </c>
      <c r="C7386" s="8" t="s">
        <v>16620</v>
      </c>
      <c r="D7386" s="8" t="s">
        <v>16413</v>
      </c>
      <c r="E7386" s="9" t="str">
        <f aca="false">HYPERLINK("https://twitter.com/BlackRobbtoo/status/922534671816318976","922534671816318976")</f>
        <v>922534671816318976</v>
      </c>
      <c r="F7386" s="10" t="s">
        <v>177</v>
      </c>
      <c r="G7386" s="10" t="n">
        <v>415</v>
      </c>
      <c r="H7386" s="10" t="n">
        <v>4984</v>
      </c>
      <c r="I7386" s="10" t="n">
        <v>46</v>
      </c>
      <c r="J7386" s="10" t="n">
        <v>0</v>
      </c>
      <c r="K7386" s="10" t="s">
        <v>20</v>
      </c>
      <c r="L7386" s="11" t="n">
        <v>40939.7656944445</v>
      </c>
      <c r="M7386" s="12"/>
      <c r="N7386" s="12"/>
      <c r="O7386" s="9" t="str">
        <f aca="false">HYPERLINK("https://abs.twimg.com/sticky/default_profile_images/default_profile_normal.png","View")</f>
        <v>View</v>
      </c>
      <c r="P7386" s="10"/>
    </row>
    <row r="7387" customFormat="false" ht="15.75" hidden="false" customHeight="false" outlineLevel="0" collapsed="false">
      <c r="A7387" s="6" t="n">
        <v>43031.4917361111</v>
      </c>
      <c r="B7387" s="7" t="str">
        <f aca="false">HYPERLINK("https://twitter.com/sambapanthangi","@sambapanthangi")</f>
        <v>@sambapanthangi</v>
      </c>
      <c r="C7387" s="8" t="s">
        <v>16621</v>
      </c>
      <c r="D7387" s="8" t="s">
        <v>8538</v>
      </c>
      <c r="E7387" s="9" t="str">
        <f aca="false">HYPERLINK("https://twitter.com/sambapanthangi/status/922535117930643456","922535117930643456")</f>
        <v>922535117930643456</v>
      </c>
      <c r="F7387" s="10" t="s">
        <v>25</v>
      </c>
      <c r="G7387" s="10" t="n">
        <v>284</v>
      </c>
      <c r="H7387" s="10" t="n">
        <v>121</v>
      </c>
      <c r="I7387" s="10" t="n">
        <v>1015</v>
      </c>
      <c r="J7387" s="10" t="n">
        <v>0</v>
      </c>
      <c r="K7387" s="10" t="s">
        <v>20</v>
      </c>
      <c r="L7387" s="11" t="n">
        <v>40306.3368287037</v>
      </c>
      <c r="M7387" s="12" t="s">
        <v>16622</v>
      </c>
      <c r="N7387" s="12" t="s">
        <v>16623</v>
      </c>
      <c r="O7387" s="9" t="str">
        <f aca="false">HYPERLINK("https://pbs.twimg.com/profile_images/887740656256401409/z1S5OK18_normal.jpg","View")</f>
        <v>View</v>
      </c>
      <c r="P7387" s="10"/>
    </row>
    <row r="7388" customFormat="false" ht="15.75" hidden="false" customHeight="false" outlineLevel="0" collapsed="false">
      <c r="A7388" s="6" t="n">
        <v>43031.4929398148</v>
      </c>
      <c r="B7388" s="7" t="str">
        <f aca="false">HYPERLINK("https://twitter.com/rafaelangel0812","@rafaelangel0812")</f>
        <v>@rafaelangel0812</v>
      </c>
      <c r="C7388" s="8" t="s">
        <v>438</v>
      </c>
      <c r="D7388" s="8" t="s">
        <v>16624</v>
      </c>
      <c r="E7388" s="9" t="str">
        <f aca="false">HYPERLINK("https://twitter.com/rafaelangel0812/status/922535552284594182","922535552284594182")</f>
        <v>922535552284594182</v>
      </c>
      <c r="F7388" s="10" t="s">
        <v>60</v>
      </c>
      <c r="G7388" s="10" t="n">
        <v>280</v>
      </c>
      <c r="H7388" s="10" t="n">
        <v>285</v>
      </c>
      <c r="I7388" s="10" t="n">
        <v>0</v>
      </c>
      <c r="J7388" s="10" t="n">
        <v>0</v>
      </c>
      <c r="K7388" s="10" t="s">
        <v>20</v>
      </c>
      <c r="L7388" s="11" t="n">
        <v>42695.8406597222</v>
      </c>
      <c r="M7388" s="12" t="s">
        <v>440</v>
      </c>
      <c r="N7388" s="12" t="s">
        <v>441</v>
      </c>
      <c r="O7388" s="9" t="str">
        <f aca="false">HYPERLINK("https://pbs.twimg.com/profile_images/844730128311705601/dbv74UTC_normal.jpg","View")</f>
        <v>View</v>
      </c>
      <c r="P7388" s="10"/>
    </row>
    <row r="7389" customFormat="false" ht="15.75" hidden="false" customHeight="false" outlineLevel="0" collapsed="false">
      <c r="A7389" s="6" t="n">
        <v>43031.4944212963</v>
      </c>
      <c r="B7389" s="7" t="str">
        <f aca="false">HYPERLINK("https://twitter.com/IndiaNewsGoogle","@IndiaNewsGoogle")</f>
        <v>@IndiaNewsGoogle</v>
      </c>
      <c r="C7389" s="8" t="s">
        <v>9652</v>
      </c>
      <c r="D7389" s="8" t="s">
        <v>16625</v>
      </c>
      <c r="E7389" s="9" t="str">
        <f aca="false">HYPERLINK("https://twitter.com/IndiaNewsGoogle/status/922536090283728897","922536090283728897")</f>
        <v>922536090283728897</v>
      </c>
      <c r="F7389" s="10" t="s">
        <v>55</v>
      </c>
      <c r="G7389" s="10" t="n">
        <v>122</v>
      </c>
      <c r="H7389" s="10" t="n">
        <v>1</v>
      </c>
      <c r="I7389" s="10" t="n">
        <v>0</v>
      </c>
      <c r="J7389" s="10" t="n">
        <v>0</v>
      </c>
      <c r="K7389" s="10" t="s">
        <v>20</v>
      </c>
      <c r="L7389" s="11" t="n">
        <v>41213.9063541667</v>
      </c>
      <c r="M7389" s="12" t="s">
        <v>72</v>
      </c>
      <c r="N7389" s="12" t="s">
        <v>9654</v>
      </c>
      <c r="O7389" s="9" t="str">
        <f aca="false">HYPERLINK("https://pbs.twimg.com/profile_images/821581869087006721/Dk_gaY0A_normal.jpg","View")</f>
        <v>View</v>
      </c>
      <c r="P7389" s="10"/>
    </row>
    <row r="7390" customFormat="false" ht="15.75" hidden="false" customHeight="false" outlineLevel="0" collapsed="false">
      <c r="A7390" s="6" t="n">
        <v>43031.4951967593</v>
      </c>
      <c r="B7390" s="7" t="str">
        <f aca="false">HYPERLINK("https://twitter.com/ishwaracdas","@ishwaracdas")</f>
        <v>@ishwaracdas</v>
      </c>
      <c r="C7390" s="8" t="s">
        <v>16626</v>
      </c>
      <c r="D7390" s="8" t="s">
        <v>16627</v>
      </c>
      <c r="E7390" s="9" t="str">
        <f aca="false">HYPERLINK("https://twitter.com/ishwaracdas/status/922536370983247872","922536370983247872")</f>
        <v>922536370983247872</v>
      </c>
      <c r="F7390" s="10" t="s">
        <v>177</v>
      </c>
      <c r="G7390" s="10" t="n">
        <v>341</v>
      </c>
      <c r="H7390" s="10" t="n">
        <v>150</v>
      </c>
      <c r="I7390" s="10" t="n">
        <v>0</v>
      </c>
      <c r="J7390" s="10" t="n">
        <v>0</v>
      </c>
      <c r="K7390" s="10" t="s">
        <v>20</v>
      </c>
      <c r="L7390" s="11" t="n">
        <v>41400.2932523148</v>
      </c>
      <c r="M7390" s="12" t="s">
        <v>16628</v>
      </c>
      <c r="N7390" s="12"/>
      <c r="O7390" s="9" t="str">
        <f aca="false">HYPERLINK("https://pbs.twimg.com/profile_images/897148192915156993/8Cozerqc_normal.jpg","View")</f>
        <v>View</v>
      </c>
      <c r="P7390" s="10"/>
    </row>
    <row r="7391" customFormat="false" ht="15.75" hidden="false" customHeight="false" outlineLevel="0" collapsed="false">
      <c r="A7391" s="6" t="n">
        <v>43031.4952083333</v>
      </c>
      <c r="B7391" s="7" t="str">
        <f aca="false">HYPERLINK("https://twitter.com/IamshivamG","@IamshivamG")</f>
        <v>@IamshivamG</v>
      </c>
      <c r="C7391" s="8" t="s">
        <v>16629</v>
      </c>
      <c r="D7391" s="8" t="s">
        <v>16630</v>
      </c>
      <c r="E7391" s="9" t="str">
        <f aca="false">HYPERLINK("https://twitter.com/IamshivamG/status/922536374195994624","922536374195994624")</f>
        <v>922536374195994624</v>
      </c>
      <c r="F7391" s="9" t="s">
        <v>1147</v>
      </c>
      <c r="G7391" s="10" t="n">
        <v>4414</v>
      </c>
      <c r="H7391" s="10" t="n">
        <v>4718</v>
      </c>
      <c r="I7391" s="10" t="n">
        <v>0</v>
      </c>
      <c r="J7391" s="10" t="n">
        <v>0</v>
      </c>
      <c r="K7391" s="10" t="s">
        <v>20</v>
      </c>
      <c r="L7391" s="11" t="n">
        <v>41397.3962268519</v>
      </c>
      <c r="M7391" s="12" t="s">
        <v>8612</v>
      </c>
      <c r="N7391" s="12" t="s">
        <v>16631</v>
      </c>
      <c r="O7391" s="9" t="str">
        <f aca="false">HYPERLINK("https://pbs.twimg.com/profile_images/619805694443687937/ReqWRpPh_normal.jpg","View")</f>
        <v>View</v>
      </c>
      <c r="P7391" s="10"/>
    </row>
    <row r="7392" customFormat="false" ht="15.75" hidden="false" customHeight="false" outlineLevel="0" collapsed="false">
      <c r="A7392" s="6" t="n">
        <v>43031.4952893519</v>
      </c>
      <c r="B7392" s="7" t="str">
        <f aca="false">HYPERLINK("https://twitter.com/PoliticalGaffe","@PoliticalGaffe")</f>
        <v>@PoliticalGaffe</v>
      </c>
      <c r="C7392" s="8" t="s">
        <v>16632</v>
      </c>
      <c r="D7392" s="8" t="s">
        <v>13595</v>
      </c>
      <c r="E7392" s="9" t="str">
        <f aca="false">HYPERLINK("https://twitter.com/PoliticalGaffe/status/922536405326184451","922536405326184451")</f>
        <v>922536405326184451</v>
      </c>
      <c r="F7392" s="10" t="s">
        <v>51</v>
      </c>
      <c r="G7392" s="10" t="n">
        <v>2389</v>
      </c>
      <c r="H7392" s="10" t="n">
        <v>2057</v>
      </c>
      <c r="I7392" s="10" t="n">
        <v>88</v>
      </c>
      <c r="J7392" s="10" t="n">
        <v>0</v>
      </c>
      <c r="K7392" s="10" t="s">
        <v>20</v>
      </c>
      <c r="L7392" s="11" t="n">
        <v>41157.0093634259</v>
      </c>
      <c r="M7392" s="12" t="s">
        <v>16633</v>
      </c>
      <c r="N7392" s="12" t="s">
        <v>16634</v>
      </c>
      <c r="O7392" s="9" t="str">
        <f aca="false">HYPERLINK("https://pbs.twimg.com/profile_images/746871801192427520/h5m5PMy4_normal.jpg","View")</f>
        <v>View</v>
      </c>
      <c r="P7392" s="10"/>
    </row>
    <row r="7393" customFormat="false" ht="15.75" hidden="false" customHeight="false" outlineLevel="0" collapsed="false">
      <c r="A7393" s="6" t="n">
        <v>43031.4971527778</v>
      </c>
      <c r="B7393" s="7" t="str">
        <f aca="false">HYPERLINK("https://twitter.com/Muninchedda","@Muninchedda")</f>
        <v>@Muninchedda</v>
      </c>
      <c r="C7393" s="8" t="s">
        <v>16635</v>
      </c>
      <c r="D7393" s="8" t="s">
        <v>16609</v>
      </c>
      <c r="E7393" s="9" t="str">
        <f aca="false">HYPERLINK("https://twitter.com/Muninchedda/status/922537079204208640","922537079204208640")</f>
        <v>922537079204208640</v>
      </c>
      <c r="F7393" s="10" t="s">
        <v>51</v>
      </c>
      <c r="G7393" s="10" t="n">
        <v>673</v>
      </c>
      <c r="H7393" s="10" t="n">
        <v>778</v>
      </c>
      <c r="I7393" s="10" t="n">
        <v>12</v>
      </c>
      <c r="J7393" s="10" t="n">
        <v>0</v>
      </c>
      <c r="K7393" s="10" t="s">
        <v>20</v>
      </c>
      <c r="L7393" s="11" t="n">
        <v>41154.3705671296</v>
      </c>
      <c r="M7393" s="12" t="s">
        <v>1635</v>
      </c>
      <c r="N7393" s="12" t="s">
        <v>16636</v>
      </c>
      <c r="O7393" s="9" t="str">
        <f aca="false">HYPERLINK("https://pbs.twimg.com/profile_images/880557219519049728/LqMUvuMm_normal.jpg","View")</f>
        <v>View</v>
      </c>
      <c r="P7393" s="10"/>
    </row>
    <row r="7394" customFormat="false" ht="15.75" hidden="false" customHeight="false" outlineLevel="0" collapsed="false">
      <c r="A7394" s="6" t="n">
        <v>43031.4974768519</v>
      </c>
      <c r="B7394" s="7" t="str">
        <f aca="false">HYPERLINK("https://twitter.com/Worldnews_top","@Worldnews_top")</f>
        <v>@Worldnews_top</v>
      </c>
      <c r="C7394" s="8" t="s">
        <v>9676</v>
      </c>
      <c r="D7394" s="8" t="s">
        <v>16637</v>
      </c>
      <c r="E7394" s="9" t="str">
        <f aca="false">HYPERLINK("https://twitter.com/Worldnews_top/status/922537197621993472","922537197621993472")</f>
        <v>922537197621993472</v>
      </c>
      <c r="F7394" s="10" t="s">
        <v>60</v>
      </c>
      <c r="G7394" s="10" t="n">
        <v>1276</v>
      </c>
      <c r="H7394" s="10" t="n">
        <v>0</v>
      </c>
      <c r="I7394" s="10" t="n">
        <v>0</v>
      </c>
      <c r="J7394" s="10" t="n">
        <v>0</v>
      </c>
      <c r="K7394" s="10" t="s">
        <v>20</v>
      </c>
      <c r="L7394" s="11" t="n">
        <v>41708.288599537</v>
      </c>
      <c r="M7394" s="12" t="s">
        <v>2102</v>
      </c>
      <c r="N7394" s="12" t="s">
        <v>9678</v>
      </c>
      <c r="O7394" s="9" t="str">
        <f aca="false">HYPERLINK("https://pbs.twimg.com/profile_images/443033125124198400/I3u-9cWC_normal.jpeg","View")</f>
        <v>View</v>
      </c>
      <c r="P7394" s="10"/>
    </row>
    <row r="7395" customFormat="false" ht="15.75" hidden="false" customHeight="false" outlineLevel="0" collapsed="false">
      <c r="A7395" s="6" t="n">
        <v>43031.4974884259</v>
      </c>
      <c r="B7395" s="7" t="str">
        <f aca="false">HYPERLINK("https://twitter.com/bilalmansoor51","@bilalmansoor51")</f>
        <v>@bilalmansoor51</v>
      </c>
      <c r="C7395" s="8" t="s">
        <v>16638</v>
      </c>
      <c r="D7395" s="8" t="s">
        <v>16609</v>
      </c>
      <c r="E7395" s="9" t="str">
        <f aca="false">HYPERLINK("https://twitter.com/bilalmansoor51/status/922537203741462530","922537203741462530")</f>
        <v>922537203741462530</v>
      </c>
      <c r="F7395" s="10" t="s">
        <v>25</v>
      </c>
      <c r="G7395" s="10" t="n">
        <v>416</v>
      </c>
      <c r="H7395" s="10" t="n">
        <v>839</v>
      </c>
      <c r="I7395" s="10" t="n">
        <v>12</v>
      </c>
      <c r="J7395" s="10" t="n">
        <v>0</v>
      </c>
      <c r="K7395" s="10" t="s">
        <v>20</v>
      </c>
      <c r="L7395" s="11" t="n">
        <v>39864.5767939815</v>
      </c>
      <c r="M7395" s="12" t="s">
        <v>7114</v>
      </c>
      <c r="N7395" s="12" t="s">
        <v>16639</v>
      </c>
      <c r="O7395" s="9" t="str">
        <f aca="false">HYPERLINK("https://pbs.twimg.com/profile_images/877261193764679680/NRIAqhH0_normal.jpg","View")</f>
        <v>View</v>
      </c>
      <c r="P7395" s="10"/>
    </row>
    <row r="7396" customFormat="false" ht="15.75" hidden="false" customHeight="false" outlineLevel="0" collapsed="false">
      <c r="A7396" s="6" t="n">
        <v>43031.4983796296</v>
      </c>
      <c r="B7396" s="7" t="str">
        <f aca="false">HYPERLINK("https://twitter.com/_Pragnik","@_Pragnik")</f>
        <v>@_Pragnik</v>
      </c>
      <c r="C7396" s="8" t="s">
        <v>1517</v>
      </c>
      <c r="D7396" s="8" t="s">
        <v>8538</v>
      </c>
      <c r="E7396" s="9" t="str">
        <f aca="false">HYPERLINK("https://twitter.com/_Pragnik/status/922537525670899712","922537525670899712")</f>
        <v>922537525670899712</v>
      </c>
      <c r="F7396" s="10" t="s">
        <v>25</v>
      </c>
      <c r="G7396" s="10" t="n">
        <v>781</v>
      </c>
      <c r="H7396" s="10" t="n">
        <v>7</v>
      </c>
      <c r="I7396" s="10" t="n">
        <v>1015</v>
      </c>
      <c r="J7396" s="10" t="n">
        <v>0</v>
      </c>
      <c r="K7396" s="10" t="s">
        <v>20</v>
      </c>
      <c r="L7396" s="11" t="n">
        <v>42457.7417476852</v>
      </c>
      <c r="M7396" s="12"/>
      <c r="N7396" s="12" t="s">
        <v>1518</v>
      </c>
      <c r="O7396" s="9" t="str">
        <f aca="false">HYPERLINK("https://pbs.twimg.com/profile_images/865438481576624129/3rMR7Ldg_normal.jpg","View")</f>
        <v>View</v>
      </c>
      <c r="P7396" s="10"/>
    </row>
    <row r="7397" customFormat="false" ht="15.75" hidden="false" customHeight="false" outlineLevel="0" collapsed="false">
      <c r="A7397" s="6" t="n">
        <v>43031.5</v>
      </c>
      <c r="B7397" s="7" t="str">
        <f aca="false">HYPERLINK("https://twitter.com/cnnphilippines","@cnnphilippines")</f>
        <v>@cnnphilippines</v>
      </c>
      <c r="C7397" s="8" t="s">
        <v>16640</v>
      </c>
      <c r="D7397" s="8" t="s">
        <v>16641</v>
      </c>
      <c r="E7397" s="9" t="str">
        <f aca="false">HYPERLINK("https://twitter.com/cnnphilippines/status/922538113796206594","922538113796206594")</f>
        <v>922538113796206594</v>
      </c>
      <c r="F7397" s="10" t="s">
        <v>276</v>
      </c>
      <c r="G7397" s="10" t="n">
        <v>295505</v>
      </c>
      <c r="H7397" s="10" t="n">
        <v>334</v>
      </c>
      <c r="I7397" s="10" t="n">
        <v>2</v>
      </c>
      <c r="J7397" s="10" t="n">
        <v>13</v>
      </c>
      <c r="K7397" s="10" t="s">
        <v>20</v>
      </c>
      <c r="L7397" s="11" t="n">
        <v>41897.3940277778</v>
      </c>
      <c r="M7397" s="12"/>
      <c r="N7397" s="12" t="s">
        <v>16642</v>
      </c>
      <c r="O7397" s="9" t="str">
        <f aca="false">HYPERLINK("https://pbs.twimg.com/profile_images/897002013191397376/g8lh8ADZ_normal.jpg","View")</f>
        <v>View</v>
      </c>
      <c r="P7397" s="10"/>
    </row>
    <row r="7398" customFormat="false" ht="15.75" hidden="false" customHeight="false" outlineLevel="0" collapsed="false">
      <c r="A7398" s="6" t="n">
        <v>43031.5004976852</v>
      </c>
      <c r="B7398" s="7" t="str">
        <f aca="false">HYPERLINK("https://twitter.com/shashikantk4","@shashikantk4")</f>
        <v>@shashikantk4</v>
      </c>
      <c r="C7398" s="8" t="s">
        <v>16643</v>
      </c>
      <c r="D7398" s="8" t="s">
        <v>8538</v>
      </c>
      <c r="E7398" s="9" t="str">
        <f aca="false">HYPERLINK("https://twitter.com/shashikantk4/status/922538292779692032","922538292779692032")</f>
        <v>922538292779692032</v>
      </c>
      <c r="F7398" s="10" t="s">
        <v>25</v>
      </c>
      <c r="G7398" s="10" t="n">
        <v>1123</v>
      </c>
      <c r="H7398" s="10" t="n">
        <v>1729</v>
      </c>
      <c r="I7398" s="10" t="n">
        <v>1015</v>
      </c>
      <c r="J7398" s="10" t="n">
        <v>0</v>
      </c>
      <c r="K7398" s="10" t="s">
        <v>20</v>
      </c>
      <c r="L7398" s="11" t="n">
        <v>40092.3303703704</v>
      </c>
      <c r="M7398" s="12"/>
      <c r="N7398" s="12" t="s">
        <v>16644</v>
      </c>
      <c r="O7398" s="9" t="str">
        <f aca="false">HYPERLINK("https://pbs.twimg.com/profile_images/897130688784224256/jXrCa27H_normal.jpg","View")</f>
        <v>View</v>
      </c>
      <c r="P7398" s="10"/>
    </row>
    <row r="7399" customFormat="false" ht="15.75" hidden="false" customHeight="false" outlineLevel="0" collapsed="false">
      <c r="A7399" s="6" t="n">
        <v>43031.5005555556</v>
      </c>
      <c r="B7399" s="7" t="str">
        <f aca="false">HYPERLINK("https://twitter.com/punjabimodern1","@punjabimodern1")</f>
        <v>@punjabimodern1</v>
      </c>
      <c r="C7399" s="8" t="s">
        <v>16645</v>
      </c>
      <c r="D7399" s="8" t="s">
        <v>16609</v>
      </c>
      <c r="E7399" s="9" t="str">
        <f aca="false">HYPERLINK("https://twitter.com/punjabimodern1/status/922538315408175104","922538315408175104")</f>
        <v>922538315408175104</v>
      </c>
      <c r="F7399" s="10" t="s">
        <v>39</v>
      </c>
      <c r="G7399" s="10" t="n">
        <v>1252</v>
      </c>
      <c r="H7399" s="10" t="n">
        <v>1462</v>
      </c>
      <c r="I7399" s="10" t="n">
        <v>12</v>
      </c>
      <c r="J7399" s="10" t="n">
        <v>0</v>
      </c>
      <c r="K7399" s="10" t="s">
        <v>20</v>
      </c>
      <c r="L7399" s="11" t="n">
        <v>41656.5304861111</v>
      </c>
      <c r="M7399" s="12"/>
      <c r="N7399" s="12"/>
      <c r="O7399" s="9" t="str">
        <f aca="false">HYPERLINK("https://pbs.twimg.com/profile_images/912014863718903813/qPjp9kdx_normal.jpg","View")</f>
        <v>View</v>
      </c>
      <c r="P7399" s="10"/>
    </row>
    <row r="7400" customFormat="false" ht="15.75" hidden="false" customHeight="false" outlineLevel="0" collapsed="false">
      <c r="A7400" s="6" t="n">
        <v>43031.5005787037</v>
      </c>
      <c r="B7400" s="7" t="str">
        <f aca="false">HYPERLINK("https://twitter.com/RielRiderPh","@RielRiderPh")</f>
        <v>@RielRiderPh</v>
      </c>
      <c r="C7400" s="8" t="s">
        <v>16646</v>
      </c>
      <c r="D7400" s="8" t="s">
        <v>16647</v>
      </c>
      <c r="E7400" s="9" t="str">
        <f aca="false">HYPERLINK("https://twitter.com/RielRiderPh/status/922538320462336000","922538320462336000")</f>
        <v>922538320462336000</v>
      </c>
      <c r="F7400" s="10" t="s">
        <v>60</v>
      </c>
      <c r="G7400" s="10" t="n">
        <v>14</v>
      </c>
      <c r="H7400" s="10" t="n">
        <v>30</v>
      </c>
      <c r="I7400" s="10" t="n">
        <v>0</v>
      </c>
      <c r="J7400" s="10" t="n">
        <v>0</v>
      </c>
      <c r="K7400" s="10" t="s">
        <v>20</v>
      </c>
      <c r="L7400" s="11" t="n">
        <v>42744.010150463</v>
      </c>
      <c r="M7400" s="12"/>
      <c r="N7400" s="12"/>
      <c r="O7400" s="9" t="str">
        <f aca="false">HYPERLINK("https://abs.twimg.com/sticky/default_profile_images/default_profile_normal.png","View")</f>
        <v>View</v>
      </c>
      <c r="P7400" s="10"/>
    </row>
    <row r="7401" customFormat="false" ht="15.75" hidden="false" customHeight="false" outlineLevel="0" collapsed="false">
      <c r="A7401" s="6" t="n">
        <v>43031.5020138889</v>
      </c>
      <c r="B7401" s="7" t="str">
        <f aca="false">HYPERLINK("https://twitter.com/PMoallemian","@PMoallemian")</f>
        <v>@PMoallemian</v>
      </c>
      <c r="C7401" s="8" t="s">
        <v>16648</v>
      </c>
      <c r="D7401" s="8" t="s">
        <v>16649</v>
      </c>
      <c r="E7401" s="9" t="str">
        <f aca="false">HYPERLINK("https://twitter.com/PMoallemian/status/922538841910726656","922538841910726656")</f>
        <v>922538841910726656</v>
      </c>
      <c r="F7401" s="10" t="s">
        <v>60</v>
      </c>
      <c r="G7401" s="10" t="n">
        <v>5104</v>
      </c>
      <c r="H7401" s="10" t="n">
        <v>90</v>
      </c>
      <c r="I7401" s="10" t="n">
        <v>0</v>
      </c>
      <c r="J7401" s="10" t="n">
        <v>0</v>
      </c>
      <c r="K7401" s="10" t="s">
        <v>20</v>
      </c>
      <c r="L7401" s="11" t="n">
        <v>39556.6892013889</v>
      </c>
      <c r="M7401" s="12" t="s">
        <v>21</v>
      </c>
      <c r="N7401" s="12" t="s">
        <v>16650</v>
      </c>
      <c r="O7401" s="9" t="str">
        <f aca="false">HYPERLINK("https://pbs.twimg.com/profile_images/2383496814/8p8tjkit7a1nmjrarib6_normal.jpeg","View")</f>
        <v>View</v>
      </c>
      <c r="P7401" s="10"/>
    </row>
    <row r="7402" customFormat="false" ht="15.75" hidden="false" customHeight="false" outlineLevel="0" collapsed="false">
      <c r="A7402" s="6" t="n">
        <v>43031.5027083333</v>
      </c>
      <c r="B7402" s="7" t="str">
        <f aca="false">HYPERLINK("https://twitter.com/KoreaCenterHQ","@KoreaCenterHQ")</f>
        <v>@KoreaCenterHQ</v>
      </c>
      <c r="C7402" s="8" t="s">
        <v>1311</v>
      </c>
      <c r="D7402" s="8" t="s">
        <v>16651</v>
      </c>
      <c r="E7402" s="9" t="str">
        <f aca="false">HYPERLINK("https://twitter.com/KoreaCenterHQ/status/922539094974042112","922539094974042112")</f>
        <v>922539094974042112</v>
      </c>
      <c r="F7402" s="10" t="s">
        <v>60</v>
      </c>
      <c r="G7402" s="10" t="n">
        <v>70</v>
      </c>
      <c r="H7402" s="10" t="n">
        <v>5</v>
      </c>
      <c r="I7402" s="10" t="n">
        <v>0</v>
      </c>
      <c r="J7402" s="10" t="n">
        <v>0</v>
      </c>
      <c r="K7402" s="10" t="s">
        <v>20</v>
      </c>
      <c r="L7402" s="11" t="n">
        <v>42259.7855092593</v>
      </c>
      <c r="M7402" s="12" t="s">
        <v>1313</v>
      </c>
      <c r="N7402" s="12" t="s">
        <v>1314</v>
      </c>
      <c r="O7402" s="9" t="str">
        <f aca="false">HYPERLINK("https://pbs.twimg.com/profile_images/902288054987182080/2Zsh6ms3_normal.jpg","View")</f>
        <v>View</v>
      </c>
      <c r="P7402" s="10"/>
    </row>
    <row r="7403" customFormat="false" ht="15.75" hidden="false" customHeight="false" outlineLevel="0" collapsed="false">
      <c r="A7403" s="6" t="n">
        <v>43031.5028587963</v>
      </c>
      <c r="B7403" s="7" t="str">
        <f aca="false">HYPERLINK("https://twitter.com/XanderNerdski","@XanderNerdski")</f>
        <v>@XanderNerdski</v>
      </c>
      <c r="C7403" s="8" t="s">
        <v>16652</v>
      </c>
      <c r="D7403" s="8" t="s">
        <v>16609</v>
      </c>
      <c r="E7403" s="9" t="str">
        <f aca="false">HYPERLINK("https://twitter.com/XanderNerdski/status/922539150032678912","922539150032678912")</f>
        <v>922539150032678912</v>
      </c>
      <c r="F7403" s="10" t="s">
        <v>39</v>
      </c>
      <c r="G7403" s="10" t="n">
        <v>241</v>
      </c>
      <c r="H7403" s="10" t="n">
        <v>680</v>
      </c>
      <c r="I7403" s="10" t="n">
        <v>12</v>
      </c>
      <c r="J7403" s="10" t="n">
        <v>0</v>
      </c>
      <c r="K7403" s="10" t="s">
        <v>20</v>
      </c>
      <c r="L7403" s="11" t="n">
        <v>40736.6334490741</v>
      </c>
      <c r="M7403" s="12" t="s">
        <v>16653</v>
      </c>
      <c r="N7403" s="12" t="s">
        <v>16654</v>
      </c>
      <c r="O7403" s="9" t="str">
        <f aca="false">HYPERLINK("https://pbs.twimg.com/profile_images/1499231337/HeadCropped3_normal.jpg","View")</f>
        <v>View</v>
      </c>
      <c r="P7403" s="10"/>
    </row>
    <row r="7404" customFormat="false" ht="15.75" hidden="false" customHeight="false" outlineLevel="0" collapsed="false">
      <c r="A7404" s="6" t="n">
        <v>43031.502974537</v>
      </c>
      <c r="B7404" s="7" t="str">
        <f aca="false">HYPERLINK("https://twitter.com/itallo_023","@itallo_023")</f>
        <v>@itallo_023</v>
      </c>
      <c r="C7404" s="8" t="s">
        <v>16655</v>
      </c>
      <c r="D7404" s="8" t="s">
        <v>16656</v>
      </c>
      <c r="E7404" s="9" t="str">
        <f aca="false">HYPERLINK("https://twitter.com/itallo_023/status/922539192055418880","922539192055418880")</f>
        <v>922539192055418880</v>
      </c>
      <c r="F7404" s="10" t="s">
        <v>25</v>
      </c>
      <c r="G7404" s="10" t="n">
        <v>346</v>
      </c>
      <c r="H7404" s="10" t="n">
        <v>304</v>
      </c>
      <c r="I7404" s="10" t="n">
        <v>2</v>
      </c>
      <c r="J7404" s="10" t="n">
        <v>0</v>
      </c>
      <c r="K7404" s="10" t="s">
        <v>20</v>
      </c>
      <c r="L7404" s="11" t="n">
        <v>41061.1151273148</v>
      </c>
      <c r="M7404" s="12"/>
      <c r="N7404" s="12" t="s">
        <v>16657</v>
      </c>
      <c r="O7404" s="9" t="str">
        <f aca="false">HYPERLINK("https://pbs.twimg.com/profile_images/881115162144641024/EPkZAq_x_normal.jpg","View")</f>
        <v>View</v>
      </c>
      <c r="P7404" s="10"/>
    </row>
    <row r="7405" customFormat="false" ht="15.75" hidden="false" customHeight="false" outlineLevel="0" collapsed="false">
      <c r="A7405" s="6" t="n">
        <v>43031.503287037</v>
      </c>
      <c r="B7405" s="7" t="str">
        <f aca="false">HYPERLINK("https://twitter.com/dfutoryan","@dfutoryan")</f>
        <v>@dfutoryan</v>
      </c>
      <c r="C7405" s="8" t="s">
        <v>16658</v>
      </c>
      <c r="D7405" s="8" t="s">
        <v>16659</v>
      </c>
      <c r="E7405" s="9" t="str">
        <f aca="false">HYPERLINK("https://twitter.com/dfutoryan/status/922539302243983361","922539302243983361")</f>
        <v>922539302243983361</v>
      </c>
      <c r="F7405" s="10" t="s">
        <v>47</v>
      </c>
      <c r="G7405" s="10" t="n">
        <v>461</v>
      </c>
      <c r="H7405" s="10" t="n">
        <v>1002</v>
      </c>
      <c r="I7405" s="10" t="n">
        <v>0</v>
      </c>
      <c r="J7405" s="10" t="n">
        <v>0</v>
      </c>
      <c r="K7405" s="10" t="s">
        <v>20</v>
      </c>
      <c r="L7405" s="11" t="n">
        <v>39650.7520717593</v>
      </c>
      <c r="M7405" s="12" t="s">
        <v>319</v>
      </c>
      <c r="N7405" s="12" t="s">
        <v>16660</v>
      </c>
      <c r="O7405" s="9" t="str">
        <f aca="false">HYPERLINK("https://pbs.twimg.com/profile_images/538820424680079361/kh3x5wv9_normal.jpeg","View")</f>
        <v>View</v>
      </c>
      <c r="P7405" s="10"/>
    </row>
    <row r="7406" customFormat="false" ht="15.75" hidden="false" customHeight="false" outlineLevel="0" collapsed="false">
      <c r="A7406" s="6" t="n">
        <v>43031.5039583333</v>
      </c>
      <c r="B7406" s="7" t="str">
        <f aca="false">HYPERLINK("https://twitter.com/raidargist","@raidargist")</f>
        <v>@raidargist</v>
      </c>
      <c r="C7406" s="8" t="s">
        <v>16661</v>
      </c>
      <c r="D7406" s="8" t="s">
        <v>16662</v>
      </c>
      <c r="E7406" s="9" t="str">
        <f aca="false">HYPERLINK("https://twitter.com/raidargist/status/922539547510104064","922539547510104064")</f>
        <v>922539547510104064</v>
      </c>
      <c r="F7406" s="10" t="s">
        <v>16663</v>
      </c>
      <c r="G7406" s="10" t="n">
        <v>333</v>
      </c>
      <c r="H7406" s="10" t="n">
        <v>569</v>
      </c>
      <c r="I7406" s="10" t="n">
        <v>0</v>
      </c>
      <c r="J7406" s="10" t="n">
        <v>0</v>
      </c>
      <c r="K7406" s="10" t="s">
        <v>20</v>
      </c>
      <c r="L7406" s="11" t="n">
        <v>43027.3346527778</v>
      </c>
      <c r="M7406" s="12"/>
      <c r="N7406" s="12" t="s">
        <v>16664</v>
      </c>
      <c r="O7406" s="9" t="str">
        <f aca="false">HYPERLINK("https://pbs.twimg.com/profile_images/922834506536701952/1t9qAL3g_normal.jpg","View")</f>
        <v>View</v>
      </c>
      <c r="P7406" s="10"/>
    </row>
    <row r="7407" customFormat="false" ht="15.75" hidden="false" customHeight="false" outlineLevel="0" collapsed="false">
      <c r="A7407" s="6" t="n">
        <v>43031.5042476852</v>
      </c>
      <c r="B7407" s="7" t="str">
        <f aca="false">HYPERLINK("https://twitter.com/sazamaru","@sazamaru")</f>
        <v>@sazamaru</v>
      </c>
      <c r="C7407" s="8" t="s">
        <v>16665</v>
      </c>
      <c r="D7407" s="8" t="s">
        <v>16609</v>
      </c>
      <c r="E7407" s="9" t="str">
        <f aca="false">HYPERLINK("https://twitter.com/sazamaru/status/922539650865958912","922539650865958912")</f>
        <v>922539650865958912</v>
      </c>
      <c r="F7407" s="10" t="s">
        <v>25</v>
      </c>
      <c r="G7407" s="10" t="n">
        <v>3029</v>
      </c>
      <c r="H7407" s="10" t="n">
        <v>2640</v>
      </c>
      <c r="I7407" s="10" t="n">
        <v>12</v>
      </c>
      <c r="J7407" s="10" t="n">
        <v>0</v>
      </c>
      <c r="K7407" s="10" t="s">
        <v>20</v>
      </c>
      <c r="L7407" s="11" t="n">
        <v>40625.7845833333</v>
      </c>
      <c r="M7407" s="12"/>
      <c r="N7407" s="13" t="s">
        <v>16666</v>
      </c>
      <c r="O7407" s="9" t="str">
        <f aca="false">HYPERLINK("https://pbs.twimg.com/profile_images/2216393949/tw_14403618_1336955451_normal.jpg","View")</f>
        <v>View</v>
      </c>
      <c r="P7407" s="10"/>
    </row>
    <row r="7408" customFormat="false" ht="15.75" hidden="false" customHeight="false" outlineLevel="0" collapsed="false">
      <c r="A7408" s="6" t="n">
        <v>43031.5042939815</v>
      </c>
      <c r="B7408" s="7" t="str">
        <f aca="false">HYPERLINK("https://twitter.com/sadhuvaad","@sadhuvaad")</f>
        <v>@sadhuvaad</v>
      </c>
      <c r="C7408" s="8" t="s">
        <v>16667</v>
      </c>
      <c r="D7408" s="8" t="s">
        <v>8538</v>
      </c>
      <c r="E7408" s="9" t="str">
        <f aca="false">HYPERLINK("https://twitter.com/sadhuvaad/status/922539669836853248","922539669836853248")</f>
        <v>922539669836853248</v>
      </c>
      <c r="F7408" s="10" t="s">
        <v>25</v>
      </c>
      <c r="G7408" s="10" t="n">
        <v>12503</v>
      </c>
      <c r="H7408" s="10" t="n">
        <v>650</v>
      </c>
      <c r="I7408" s="10" t="n">
        <v>1015</v>
      </c>
      <c r="J7408" s="10" t="n">
        <v>0</v>
      </c>
      <c r="K7408" s="10" t="s">
        <v>20</v>
      </c>
      <c r="L7408" s="11" t="n">
        <v>40865.248587963</v>
      </c>
      <c r="M7408" s="12"/>
      <c r="N7408" s="12" t="s">
        <v>16668</v>
      </c>
      <c r="O7408" s="9" t="str">
        <f aca="false">HYPERLINK("https://pbs.twimg.com/profile_images/922155957311832065/uIeU972f_normal.jpg","View")</f>
        <v>View</v>
      </c>
      <c r="P7408" s="10"/>
    </row>
    <row r="7409" customFormat="false" ht="15.75" hidden="false" customHeight="false" outlineLevel="0" collapsed="false">
      <c r="A7409" s="6" t="n">
        <v>43031.5064467593</v>
      </c>
      <c r="B7409" s="7" t="str">
        <f aca="false">HYPERLINK("https://twitter.com/grandted212","@grandted212")</f>
        <v>@grandted212</v>
      </c>
      <c r="C7409" s="8" t="s">
        <v>16669</v>
      </c>
      <c r="D7409" s="8" t="s">
        <v>16670</v>
      </c>
      <c r="E7409" s="9" t="str">
        <f aca="false">HYPERLINK("https://twitter.com/grandted212/status/922540448715083778","922540448715083778")</f>
        <v>922540448715083778</v>
      </c>
      <c r="F7409" s="10" t="s">
        <v>25</v>
      </c>
      <c r="G7409" s="10" t="n">
        <v>2720</v>
      </c>
      <c r="H7409" s="10" t="n">
        <v>2451</v>
      </c>
      <c r="I7409" s="10" t="n">
        <v>0</v>
      </c>
      <c r="J7409" s="10" t="n">
        <v>0</v>
      </c>
      <c r="K7409" s="10" t="s">
        <v>20</v>
      </c>
      <c r="L7409" s="11" t="n">
        <v>41140.3141087963</v>
      </c>
      <c r="M7409" s="12"/>
      <c r="N7409" s="12" t="s">
        <v>16671</v>
      </c>
      <c r="O7409" s="9" t="str">
        <f aca="false">HYPERLINK("https://pbs.twimg.com/profile_images/785451800497364992/FbFOmUqm_normal.jpg","View")</f>
        <v>View</v>
      </c>
      <c r="P7409" s="10"/>
    </row>
    <row r="7410" customFormat="false" ht="15.75" hidden="false" customHeight="false" outlineLevel="0" collapsed="false">
      <c r="A7410" s="6" t="n">
        <v>43031.5096296296</v>
      </c>
      <c r="B7410" s="7" t="str">
        <f aca="false">HYPERLINK("https://twitter.com/_James_Clark_93","@_James_Clark_93")</f>
        <v>@_James_Clark_93</v>
      </c>
      <c r="C7410" s="8" t="s">
        <v>5099</v>
      </c>
      <c r="D7410" s="8" t="s">
        <v>16413</v>
      </c>
      <c r="E7410" s="9" t="str">
        <f aca="false">HYPERLINK("https://twitter.com/_James_Clark_93/status/922541600189894658","922541600189894658")</f>
        <v>922541600189894658</v>
      </c>
      <c r="F7410" s="10" t="s">
        <v>25</v>
      </c>
      <c r="G7410" s="10" t="n">
        <v>117</v>
      </c>
      <c r="H7410" s="10" t="n">
        <v>159</v>
      </c>
      <c r="I7410" s="10" t="n">
        <v>46</v>
      </c>
      <c r="J7410" s="10" t="n">
        <v>0</v>
      </c>
      <c r="K7410" s="10" t="s">
        <v>20</v>
      </c>
      <c r="L7410" s="11" t="n">
        <v>41353.7491898148</v>
      </c>
      <c r="M7410" s="12" t="s">
        <v>182</v>
      </c>
      <c r="N7410" s="12" t="s">
        <v>16672</v>
      </c>
      <c r="O7410" s="9" t="str">
        <f aca="false">HYPERLINK("https://pbs.twimg.com/profile_images/814121704905654272/6yxewOe3_normal.jpg","View")</f>
        <v>View</v>
      </c>
      <c r="P7410" s="10"/>
    </row>
    <row r="7411" customFormat="false" ht="15.75" hidden="false" customHeight="false" outlineLevel="0" collapsed="false">
      <c r="A7411" s="6" t="n">
        <v>43031.5111226852</v>
      </c>
      <c r="B7411" s="7" t="str">
        <f aca="false">HYPERLINK("https://twitter.com/rickrick888","@rickrick888")</f>
        <v>@rickrick888</v>
      </c>
      <c r="C7411" s="8" t="s">
        <v>16673</v>
      </c>
      <c r="D7411" s="8" t="s">
        <v>16674</v>
      </c>
      <c r="E7411" s="9" t="str">
        <f aca="false">HYPERLINK("https://twitter.com/rickrick888/status/922542141657833473","922542141657833473")</f>
        <v>922542141657833473</v>
      </c>
      <c r="F7411" s="10" t="s">
        <v>60</v>
      </c>
      <c r="G7411" s="10" t="n">
        <v>1893</v>
      </c>
      <c r="H7411" s="10" t="n">
        <v>415</v>
      </c>
      <c r="I7411" s="10" t="n">
        <v>0</v>
      </c>
      <c r="J7411" s="10" t="n">
        <v>0</v>
      </c>
      <c r="K7411" s="10" t="s">
        <v>20</v>
      </c>
      <c r="L7411" s="11" t="n">
        <v>39895.2696875</v>
      </c>
      <c r="M7411" s="12"/>
      <c r="N7411" s="12" t="s">
        <v>16675</v>
      </c>
      <c r="O7411" s="9" t="str">
        <f aca="false">HYPERLINK("https://pbs.twimg.com/profile_images/113042143/SymbolicMeaningofLion_normal.jpg","View")</f>
        <v>View</v>
      </c>
      <c r="P7411" s="10"/>
    </row>
    <row r="7412" customFormat="false" ht="15.75" hidden="false" customHeight="false" outlineLevel="0" collapsed="false">
      <c r="A7412" s="6" t="n">
        <v>43031.5146643519</v>
      </c>
      <c r="B7412" s="7" t="str">
        <f aca="false">HYPERLINK("https://twitter.com/bel_shiga","@bel_shiga")</f>
        <v>@bel_shiga</v>
      </c>
      <c r="C7412" s="14" t="s">
        <v>16676</v>
      </c>
      <c r="D7412" s="8" t="s">
        <v>16609</v>
      </c>
      <c r="E7412" s="9" t="str">
        <f aca="false">HYPERLINK("https://twitter.com/bel_shiga/status/922543428180762624","922543428180762624")</f>
        <v>922543428180762624</v>
      </c>
      <c r="F7412" s="10" t="s">
        <v>39</v>
      </c>
      <c r="G7412" s="10" t="n">
        <v>2576</v>
      </c>
      <c r="H7412" s="10" t="n">
        <v>2616</v>
      </c>
      <c r="I7412" s="10" t="n">
        <v>12</v>
      </c>
      <c r="J7412" s="10" t="n">
        <v>0</v>
      </c>
      <c r="K7412" s="10" t="s">
        <v>20</v>
      </c>
      <c r="L7412" s="11" t="n">
        <v>40314.9179050926</v>
      </c>
      <c r="M7412" s="12"/>
      <c r="N7412" s="13" t="s">
        <v>16677</v>
      </c>
      <c r="O7412" s="9" t="str">
        <f aca="false">HYPERLINK("https://pbs.twimg.com/profile_images/818454344819351552/-b1hwHV5_normal.jpg","View")</f>
        <v>View</v>
      </c>
      <c r="P7412" s="10"/>
    </row>
    <row r="7413" customFormat="false" ht="15.75" hidden="false" customHeight="false" outlineLevel="0" collapsed="false">
      <c r="A7413" s="6" t="n">
        <v>43031.5152546296</v>
      </c>
      <c r="B7413" s="7" t="str">
        <f aca="false">HYPERLINK("https://twitter.com/king_michael_ca","@king_michael_ca")</f>
        <v>@king_michael_ca</v>
      </c>
      <c r="C7413" s="8" t="s">
        <v>16678</v>
      </c>
      <c r="D7413" s="8" t="s">
        <v>15821</v>
      </c>
      <c r="E7413" s="9" t="str">
        <f aca="false">HYPERLINK("https://twitter.com/king_michael_ca/status/922543640244781059","922543640244781059")</f>
        <v>922543640244781059</v>
      </c>
      <c r="F7413" s="10" t="s">
        <v>39</v>
      </c>
      <c r="G7413" s="10" t="n">
        <v>66</v>
      </c>
      <c r="H7413" s="10" t="n">
        <v>404</v>
      </c>
      <c r="I7413" s="10" t="n">
        <v>41</v>
      </c>
      <c r="J7413" s="10" t="n">
        <v>0</v>
      </c>
      <c r="K7413" s="10" t="s">
        <v>20</v>
      </c>
      <c r="L7413" s="11" t="n">
        <v>40459.4906481481</v>
      </c>
      <c r="M7413" s="12" t="s">
        <v>4050</v>
      </c>
      <c r="N7413" s="12" t="s">
        <v>16679</v>
      </c>
      <c r="O7413" s="9" t="str">
        <f aca="false">HYPERLINK("https://pbs.twimg.com/profile_images/576713585943957505/xHZpkLvx_normal.png","View")</f>
        <v>View</v>
      </c>
      <c r="P7413" s="10"/>
    </row>
    <row r="7414" customFormat="false" ht="15.75" hidden="false" customHeight="false" outlineLevel="0" collapsed="false">
      <c r="A7414" s="6" t="n">
        <v>43031.5155324074</v>
      </c>
      <c r="B7414" s="7" t="str">
        <f aca="false">HYPERLINK("https://twitter.com/the_policywonk","@the_policywonk")</f>
        <v>@the_policywonk</v>
      </c>
      <c r="C7414" s="8" t="s">
        <v>16680</v>
      </c>
      <c r="D7414" s="8" t="s">
        <v>8538</v>
      </c>
      <c r="E7414" s="9" t="str">
        <f aca="false">HYPERLINK("https://twitter.com/the_policywonk/status/922543739226091523","922543739226091523")</f>
        <v>922543739226091523</v>
      </c>
      <c r="F7414" s="10" t="s">
        <v>25</v>
      </c>
      <c r="G7414" s="10" t="n">
        <v>72</v>
      </c>
      <c r="H7414" s="10" t="n">
        <v>654</v>
      </c>
      <c r="I7414" s="10" t="n">
        <v>1015</v>
      </c>
      <c r="J7414" s="10" t="n">
        <v>0</v>
      </c>
      <c r="K7414" s="10" t="s">
        <v>20</v>
      </c>
      <c r="L7414" s="11" t="n">
        <v>42380.2531481481</v>
      </c>
      <c r="M7414" s="12" t="s">
        <v>16681</v>
      </c>
      <c r="N7414" s="12" t="s">
        <v>16682</v>
      </c>
      <c r="O7414" s="9" t="str">
        <f aca="false">HYPERLINK("https://pbs.twimg.com/profile_images/896665999788744705/Vv0IJDyn_normal.jpg","View")</f>
        <v>View</v>
      </c>
      <c r="P7414" s="10"/>
    </row>
    <row r="7415" customFormat="false" ht="15.75" hidden="false" customHeight="false" outlineLevel="0" collapsed="false">
      <c r="A7415" s="6" t="n">
        <v>43031.5159259259</v>
      </c>
      <c r="B7415" s="7" t="str">
        <f aca="false">HYPERLINK("https://twitter.com/SarahBrownUK","@SarahBrownUK")</f>
        <v>@SarahBrownUK</v>
      </c>
      <c r="C7415" s="8" t="s">
        <v>16683</v>
      </c>
      <c r="D7415" s="8" t="s">
        <v>16351</v>
      </c>
      <c r="E7415" s="9" t="str">
        <f aca="false">HYPERLINK("https://twitter.com/SarahBrownUK/status/922543885368340488","922543885368340488")</f>
        <v>922543885368340488</v>
      </c>
      <c r="F7415" s="10" t="s">
        <v>51</v>
      </c>
      <c r="G7415" s="10" t="n">
        <v>1214893</v>
      </c>
      <c r="H7415" s="10" t="n">
        <v>15064</v>
      </c>
      <c r="I7415" s="10" t="n">
        <v>4</v>
      </c>
      <c r="J7415" s="10" t="n">
        <v>0</v>
      </c>
      <c r="K7415" s="10" t="s">
        <v>20</v>
      </c>
      <c r="L7415" s="11" t="n">
        <v>39893.0932407407</v>
      </c>
      <c r="M7415" s="12" t="s">
        <v>203</v>
      </c>
      <c r="N7415" s="12" t="s">
        <v>16684</v>
      </c>
      <c r="O7415" s="9" t="str">
        <f aca="false">HYPERLINK("https://pbs.twimg.com/profile_images/912715250172092417/pF-nVWnQ_normal.jpg","View")</f>
        <v>View</v>
      </c>
      <c r="P7415" s="10"/>
    </row>
    <row r="7416" customFormat="false" ht="15.75" hidden="false" customHeight="false" outlineLevel="0" collapsed="false">
      <c r="A7416" s="6" t="n">
        <v>43031.5186458333</v>
      </c>
      <c r="B7416" s="7" t="str">
        <f aca="false">HYPERLINK("https://twitter.com/mandargv","@mandargv")</f>
        <v>@mandargv</v>
      </c>
      <c r="C7416" s="8" t="s">
        <v>16685</v>
      </c>
      <c r="D7416" s="8" t="s">
        <v>8538</v>
      </c>
      <c r="E7416" s="9" t="str">
        <f aca="false">HYPERLINK("https://twitter.com/mandargv/status/922544871168233472","922544871168233472")</f>
        <v>922544871168233472</v>
      </c>
      <c r="F7416" s="10" t="s">
        <v>25</v>
      </c>
      <c r="G7416" s="10" t="n">
        <v>127</v>
      </c>
      <c r="H7416" s="10" t="n">
        <v>348</v>
      </c>
      <c r="I7416" s="10" t="n">
        <v>1015</v>
      </c>
      <c r="J7416" s="10" t="n">
        <v>0</v>
      </c>
      <c r="K7416" s="10" t="s">
        <v>20</v>
      </c>
      <c r="L7416" s="11" t="n">
        <v>40164.2472453704</v>
      </c>
      <c r="M7416" s="12" t="s">
        <v>230</v>
      </c>
      <c r="N7416" s="12" t="s">
        <v>16686</v>
      </c>
      <c r="O7416" s="9" t="str">
        <f aca="false">HYPERLINK("https://pbs.twimg.com/profile_images/703593018025181184/h0Lf5rXq_normal.jpg","View")</f>
        <v>View</v>
      </c>
      <c r="P7416" s="10"/>
    </row>
    <row r="7417" customFormat="false" ht="15.75" hidden="false" customHeight="false" outlineLevel="0" collapsed="false">
      <c r="A7417" s="6" t="n">
        <v>43031.5197685185</v>
      </c>
      <c r="B7417" s="7" t="str">
        <f aca="false">HYPERLINK("https://twitter.com/i__Global","@i__Global")</f>
        <v>@i__Global</v>
      </c>
      <c r="C7417" s="8" t="s">
        <v>6771</v>
      </c>
      <c r="D7417" s="8" t="s">
        <v>16687</v>
      </c>
      <c r="E7417" s="9" t="str">
        <f aca="false">HYPERLINK("https://twitter.com/i__Global/status/922545274387664899","922545274387664899")</f>
        <v>922545274387664899</v>
      </c>
      <c r="F7417" s="10" t="s">
        <v>60</v>
      </c>
      <c r="G7417" s="10" t="n">
        <v>317</v>
      </c>
      <c r="H7417" s="10" t="n">
        <v>541</v>
      </c>
      <c r="I7417" s="10" t="n">
        <v>0</v>
      </c>
      <c r="J7417" s="10" t="n">
        <v>0</v>
      </c>
      <c r="K7417" s="10" t="s">
        <v>20</v>
      </c>
      <c r="L7417" s="11" t="n">
        <v>41975.4296412037</v>
      </c>
      <c r="M7417" s="12" t="s">
        <v>1143</v>
      </c>
      <c r="N7417" s="12"/>
      <c r="O7417" s="9" t="str">
        <f aca="false">HYPERLINK("https://pbs.twimg.com/profile_images/539846499421532160/RQ0XgLb__normal.png","View")</f>
        <v>View</v>
      </c>
      <c r="P7417" s="10"/>
    </row>
    <row r="7418" customFormat="false" ht="15.75" hidden="false" customHeight="false" outlineLevel="0" collapsed="false">
      <c r="A7418" s="6" t="n">
        <v>43031.5199074074</v>
      </c>
      <c r="B7418" s="7" t="str">
        <f aca="false">HYPERLINK("https://twitter.com/jdilipjain","@jdilipjain")</f>
        <v>@jdilipjain</v>
      </c>
      <c r="C7418" s="8" t="s">
        <v>16688</v>
      </c>
      <c r="D7418" s="8" t="s">
        <v>8538</v>
      </c>
      <c r="E7418" s="9" t="str">
        <f aca="false">HYPERLINK("https://twitter.com/jdilipjain/status/922545325105016832","922545325105016832")</f>
        <v>922545325105016832</v>
      </c>
      <c r="F7418" s="10" t="s">
        <v>25</v>
      </c>
      <c r="G7418" s="10" t="n">
        <v>1214</v>
      </c>
      <c r="H7418" s="10" t="n">
        <v>1313</v>
      </c>
      <c r="I7418" s="10" t="n">
        <v>1015</v>
      </c>
      <c r="J7418" s="10" t="n">
        <v>0</v>
      </c>
      <c r="K7418" s="10" t="s">
        <v>20</v>
      </c>
      <c r="L7418" s="11" t="n">
        <v>41562.8760069445</v>
      </c>
      <c r="M7418" s="12" t="s">
        <v>868</v>
      </c>
      <c r="N7418" s="12"/>
      <c r="O7418" s="9" t="str">
        <f aca="false">HYPERLINK("https://pbs.twimg.com/profile_images/637139985263558656/wWhZDnAq_normal.jpg","View")</f>
        <v>View</v>
      </c>
      <c r="P7418" s="10"/>
    </row>
    <row r="7419" customFormat="false" ht="15.75" hidden="false" customHeight="false" outlineLevel="0" collapsed="false">
      <c r="A7419" s="6" t="n">
        <v>43031.5200115741</v>
      </c>
      <c r="B7419" s="7" t="str">
        <f aca="false">HYPERLINK("https://twitter.com/HonestWordsOnly","@HonestWordsOnly")</f>
        <v>@HonestWordsOnly</v>
      </c>
      <c r="C7419" s="8" t="s">
        <v>16689</v>
      </c>
      <c r="D7419" s="8" t="s">
        <v>8538</v>
      </c>
      <c r="E7419" s="9" t="str">
        <f aca="false">HYPERLINK("https://twitter.com/HonestWordsOnly/status/922545365676564480","922545365676564480")</f>
        <v>922545365676564480</v>
      </c>
      <c r="F7419" s="10" t="s">
        <v>25</v>
      </c>
      <c r="G7419" s="10" t="n">
        <v>681</v>
      </c>
      <c r="H7419" s="10" t="n">
        <v>396</v>
      </c>
      <c r="I7419" s="10" t="n">
        <v>1015</v>
      </c>
      <c r="J7419" s="10" t="n">
        <v>0</v>
      </c>
      <c r="K7419" s="10" t="s">
        <v>20</v>
      </c>
      <c r="L7419" s="11" t="n">
        <v>40295.1150810185</v>
      </c>
      <c r="M7419" s="12" t="s">
        <v>7740</v>
      </c>
      <c r="N7419" s="12" t="s">
        <v>16690</v>
      </c>
      <c r="O7419" s="9" t="str">
        <f aca="false">HYPERLINK("https://pbs.twimg.com/profile_images/814093301649391618/yQRZJkLo_normal.jpg","View")</f>
        <v>View</v>
      </c>
      <c r="P7419" s="10"/>
    </row>
    <row r="7420" customFormat="false" ht="15.75" hidden="false" customHeight="false" outlineLevel="0" collapsed="false">
      <c r="A7420" s="6" t="n">
        <v>43031.5214236111</v>
      </c>
      <c r="B7420" s="7" t="str">
        <f aca="false">HYPERLINK("https://twitter.com/inews2day","@inews2day")</f>
        <v>@inews2day</v>
      </c>
      <c r="C7420" s="8" t="s">
        <v>10037</v>
      </c>
      <c r="D7420" s="8" t="s">
        <v>16691</v>
      </c>
      <c r="E7420" s="9" t="str">
        <f aca="false">HYPERLINK("https://twitter.com/inews2day/status/922545877427900416","922545877427900416")</f>
        <v>922545877427900416</v>
      </c>
      <c r="F7420" s="10" t="s">
        <v>60</v>
      </c>
      <c r="G7420" s="10" t="n">
        <v>498</v>
      </c>
      <c r="H7420" s="10" t="n">
        <v>0</v>
      </c>
      <c r="I7420" s="10" t="n">
        <v>0</v>
      </c>
      <c r="J7420" s="10" t="n">
        <v>0</v>
      </c>
      <c r="K7420" s="10" t="s">
        <v>20</v>
      </c>
      <c r="L7420" s="11" t="n">
        <v>42055.1109722222</v>
      </c>
      <c r="M7420" s="12" t="s">
        <v>10039</v>
      </c>
      <c r="N7420" s="12" t="s">
        <v>10040</v>
      </c>
      <c r="O7420" s="9" t="str">
        <f aca="false">HYPERLINK("https://pbs.twimg.com/profile_images/568731081323466752/-oyEQpj9_normal.jpeg","View")</f>
        <v>View</v>
      </c>
      <c r="P7420" s="10"/>
    </row>
    <row r="7421" customFormat="false" ht="15.75" hidden="false" customHeight="false" outlineLevel="0" collapsed="false">
      <c r="A7421" s="6" t="n">
        <v>43031.5215277778</v>
      </c>
      <c r="B7421" s="7" t="str">
        <f aca="false">HYPERLINK("https://twitter.com/theirworld","@theirworld")</f>
        <v>@theirworld</v>
      </c>
      <c r="C7421" s="8" t="s">
        <v>16305</v>
      </c>
      <c r="D7421" s="8" t="s">
        <v>16692</v>
      </c>
      <c r="E7421" s="9" t="str">
        <f aca="false">HYPERLINK("https://twitter.com/theirworld/status/922545913435844608","922545913435844608")</f>
        <v>922545913435844608</v>
      </c>
      <c r="F7421" s="10" t="s">
        <v>276</v>
      </c>
      <c r="G7421" s="10" t="n">
        <v>5446</v>
      </c>
      <c r="H7421" s="10" t="n">
        <v>1274</v>
      </c>
      <c r="I7421" s="10" t="n">
        <v>0</v>
      </c>
      <c r="J7421" s="10" t="n">
        <v>3</v>
      </c>
      <c r="K7421" s="10" t="s">
        <v>20</v>
      </c>
      <c r="L7421" s="11" t="n">
        <v>39912.1131828704</v>
      </c>
      <c r="M7421" s="12" t="s">
        <v>16307</v>
      </c>
      <c r="N7421" s="12" t="s">
        <v>16308</v>
      </c>
      <c r="O7421" s="9" t="str">
        <f aca="false">HYPERLINK("https://pbs.twimg.com/profile_images/378800000833479836/bc7776bfb324b4558732055cf66affed_normal.jpeg","View")</f>
        <v>View</v>
      </c>
      <c r="P7421" s="10"/>
    </row>
    <row r="7422" customFormat="false" ht="15.75" hidden="false" customHeight="false" outlineLevel="0" collapsed="false">
      <c r="A7422" s="6" t="n">
        <v>43031.5215393519</v>
      </c>
      <c r="B7422" s="7" t="str">
        <f aca="false">HYPERLINK("https://twitter.com/theirnews","@theirnews")</f>
        <v>@theirnews</v>
      </c>
      <c r="C7422" s="8" t="s">
        <v>16302</v>
      </c>
      <c r="D7422" s="8" t="s">
        <v>16693</v>
      </c>
      <c r="E7422" s="9" t="str">
        <f aca="false">HYPERLINK("https://twitter.com/theirnews/status/922545917613486081","922545917613486081")</f>
        <v>922545917613486081</v>
      </c>
      <c r="F7422" s="10" t="s">
        <v>276</v>
      </c>
      <c r="G7422" s="10" t="n">
        <v>53237</v>
      </c>
      <c r="H7422" s="10" t="n">
        <v>1523</v>
      </c>
      <c r="I7422" s="10" t="n">
        <v>0</v>
      </c>
      <c r="J7422" s="10" t="n">
        <v>1</v>
      </c>
      <c r="K7422" s="10" t="s">
        <v>20</v>
      </c>
      <c r="L7422" s="11" t="n">
        <v>41318.6809606481</v>
      </c>
      <c r="M7422" s="12"/>
      <c r="N7422" s="12" t="s">
        <v>16304</v>
      </c>
      <c r="O7422" s="9" t="str">
        <f aca="false">HYPERLINK("https://pbs.twimg.com/profile_images/877158723793412096/rYeMlb6c_normal.jpg","View")</f>
        <v>View</v>
      </c>
      <c r="P7422" s="10"/>
    </row>
    <row r="7423" customFormat="false" ht="15.75" hidden="false" customHeight="false" outlineLevel="0" collapsed="false">
      <c r="A7423" s="6" t="n">
        <v>43031.5215625</v>
      </c>
      <c r="B7423" s="7" t="str">
        <f aca="false">HYPERLINK("https://twitter.com/WorldNewsNgayon","@WorldNewsNgayon")</f>
        <v>@WorldNewsNgayon</v>
      </c>
      <c r="C7423" s="8" t="s">
        <v>16694</v>
      </c>
      <c r="D7423" s="8" t="s">
        <v>16695</v>
      </c>
      <c r="E7423" s="9" t="str">
        <f aca="false">HYPERLINK("https://twitter.com/WorldNewsNgayon/status/922545926077648896","922545926077648896")</f>
        <v>922545926077648896</v>
      </c>
      <c r="F7423" s="10" t="s">
        <v>60</v>
      </c>
      <c r="G7423" s="10" t="n">
        <v>1174</v>
      </c>
      <c r="H7423" s="10" t="n">
        <v>9</v>
      </c>
      <c r="I7423" s="10" t="n">
        <v>0</v>
      </c>
      <c r="J7423" s="10" t="n">
        <v>0</v>
      </c>
      <c r="K7423" s="10" t="s">
        <v>20</v>
      </c>
      <c r="L7423" s="11" t="n">
        <v>41174.8472337963</v>
      </c>
      <c r="M7423" s="12" t="s">
        <v>370</v>
      </c>
      <c r="N7423" s="12" t="s">
        <v>16696</v>
      </c>
      <c r="O7423" s="9" t="str">
        <f aca="false">HYPERLINK("https://pbs.twimg.com/profile_images/425420772534784000/_u4Vu6V1_normal.jpeg","View")</f>
        <v>View</v>
      </c>
      <c r="P7423" s="10"/>
    </row>
    <row r="7424" customFormat="false" ht="15.75" hidden="false" customHeight="false" outlineLevel="0" collapsed="false">
      <c r="A7424" s="6" t="n">
        <v>43031.5217476852</v>
      </c>
      <c r="B7424" s="7" t="str">
        <f aca="false">HYPERLINK("https://twitter.com/kabarberita","@kabarberita")</f>
        <v>@kabarberita</v>
      </c>
      <c r="C7424" s="8" t="s">
        <v>6218</v>
      </c>
      <c r="D7424" s="8" t="s">
        <v>16697</v>
      </c>
      <c r="E7424" s="9" t="str">
        <f aca="false">HYPERLINK("https://twitter.com/kabarberita/status/922545994138636289","922545994138636289")</f>
        <v>922545994138636289</v>
      </c>
      <c r="F7424" s="10" t="s">
        <v>55</v>
      </c>
      <c r="G7424" s="10" t="n">
        <v>2729</v>
      </c>
      <c r="H7424" s="10" t="n">
        <v>111</v>
      </c>
      <c r="I7424" s="10" t="n">
        <v>0</v>
      </c>
      <c r="J7424" s="10" t="n">
        <v>0</v>
      </c>
      <c r="K7424" s="10" t="s">
        <v>20</v>
      </c>
      <c r="L7424" s="11" t="n">
        <v>40259.2492592593</v>
      </c>
      <c r="M7424" s="12" t="s">
        <v>6220</v>
      </c>
      <c r="N7424" s="12" t="s">
        <v>6221</v>
      </c>
      <c r="O7424" s="9" t="str">
        <f aca="false">HYPERLINK("https://pbs.twimg.com/profile_images/1496838853/download_normal.jpg","View")</f>
        <v>View</v>
      </c>
      <c r="P7424" s="10"/>
    </row>
    <row r="7425" customFormat="false" ht="15.75" hidden="false" customHeight="false" outlineLevel="0" collapsed="false">
      <c r="A7425" s="6" t="n">
        <v>43031.5223611111</v>
      </c>
      <c r="B7425" s="7" t="str">
        <f aca="false">HYPERLINK("https://twitter.com/breaking_news_4","@breaking_news_4")</f>
        <v>@breaking_news_4</v>
      </c>
      <c r="C7425" s="8" t="s">
        <v>310</v>
      </c>
      <c r="D7425" s="8" t="s">
        <v>16698</v>
      </c>
      <c r="E7425" s="9" t="str">
        <f aca="false">HYPERLINK("https://twitter.com/breaking_news_4/status/922546216470220807","922546216470220807")</f>
        <v>922546216470220807</v>
      </c>
      <c r="F7425" s="10" t="s">
        <v>60</v>
      </c>
      <c r="G7425" s="10" t="n">
        <v>1569</v>
      </c>
      <c r="H7425" s="10" t="n">
        <v>168</v>
      </c>
      <c r="I7425" s="10" t="n">
        <v>0</v>
      </c>
      <c r="J7425" s="10" t="n">
        <v>0</v>
      </c>
      <c r="K7425" s="10" t="s">
        <v>20</v>
      </c>
      <c r="L7425" s="11" t="n">
        <v>41323.5986111111</v>
      </c>
      <c r="M7425" s="12"/>
      <c r="N7425" s="12"/>
      <c r="O7425" s="9" t="str">
        <f aca="false">HYPERLINK("https://pbs.twimg.com/profile_images/3506234829/a38e573d69ee71fcc25830b97d00c179_normal.png","View")</f>
        <v>View</v>
      </c>
      <c r="P7425" s="10"/>
    </row>
    <row r="7426" customFormat="false" ht="15.75" hidden="false" customHeight="false" outlineLevel="0" collapsed="false">
      <c r="A7426" s="6" t="n">
        <v>43031.5233101852</v>
      </c>
      <c r="B7426" s="7" t="str">
        <f aca="false">HYPERLINK("https://twitter.com/NewsTweetsWorld","@NewsTweetsWorld")</f>
        <v>@NewsTweetsWorld</v>
      </c>
      <c r="C7426" s="8" t="s">
        <v>4884</v>
      </c>
      <c r="D7426" s="8" t="s">
        <v>16699</v>
      </c>
      <c r="E7426" s="9" t="str">
        <f aca="false">HYPERLINK("https://twitter.com/NewsTweetsWorld/status/922546560961056768","922546560961056768")</f>
        <v>922546560961056768</v>
      </c>
      <c r="F7426" s="10" t="s">
        <v>60</v>
      </c>
      <c r="G7426" s="10" t="n">
        <v>104</v>
      </c>
      <c r="H7426" s="10" t="n">
        <v>1</v>
      </c>
      <c r="I7426" s="10" t="n">
        <v>0</v>
      </c>
      <c r="J7426" s="10" t="n">
        <v>0</v>
      </c>
      <c r="K7426" s="10" t="s">
        <v>20</v>
      </c>
      <c r="L7426" s="11" t="n">
        <v>41532.0089351852</v>
      </c>
      <c r="M7426" s="12" t="s">
        <v>72</v>
      </c>
      <c r="N7426" s="12" t="s">
        <v>4886</v>
      </c>
      <c r="O7426" s="9" t="str">
        <f aca="false">HYPERLINK("https://pbs.twimg.com/profile_images/843820599508066304/J82aiBad_normal.jpg","View")</f>
        <v>View</v>
      </c>
      <c r="P7426" s="10"/>
    </row>
    <row r="7427" customFormat="false" ht="15.75" hidden="false" customHeight="false" outlineLevel="0" collapsed="false">
      <c r="A7427" s="6" t="n">
        <v>43031.5236111111</v>
      </c>
      <c r="B7427" s="7" t="str">
        <f aca="false">HYPERLINK("https://twitter.com/SpreadHedger","@SpreadHedger")</f>
        <v>@SpreadHedger</v>
      </c>
      <c r="C7427" s="8" t="s">
        <v>16700</v>
      </c>
      <c r="D7427" s="8" t="s">
        <v>10997</v>
      </c>
      <c r="E7427" s="9" t="str">
        <f aca="false">HYPERLINK("https://twitter.com/SpreadHedger/status/922546667039150080","922546667039150080")</f>
        <v>922546667039150080</v>
      </c>
      <c r="F7427" s="10" t="s">
        <v>16701</v>
      </c>
      <c r="G7427" s="10" t="n">
        <v>1048</v>
      </c>
      <c r="H7427" s="10" t="n">
        <v>1350</v>
      </c>
      <c r="I7427" s="10" t="n">
        <v>27</v>
      </c>
      <c r="J7427" s="10" t="n">
        <v>0</v>
      </c>
      <c r="K7427" s="10" t="s">
        <v>20</v>
      </c>
      <c r="L7427" s="11" t="n">
        <v>42313.8854861111</v>
      </c>
      <c r="M7427" s="12" t="n">
        <v>1735</v>
      </c>
      <c r="N7427" s="12"/>
      <c r="O7427" s="9" t="str">
        <f aca="false">HYPERLINK("https://pbs.twimg.com/profile_images/892270656225759232/w2bC2x6o_normal.jpg","View")</f>
        <v>View</v>
      </c>
      <c r="P7427" s="10"/>
    </row>
    <row r="7428" customFormat="false" ht="15.75" hidden="false" customHeight="false" outlineLevel="0" collapsed="false">
      <c r="A7428" s="6" t="n">
        <v>43031.5264930556</v>
      </c>
      <c r="B7428" s="7" t="str">
        <f aca="false">HYPERLINK("https://twitter.com/london_peter","@london_peter")</f>
        <v>@london_peter</v>
      </c>
      <c r="C7428" s="8" t="s">
        <v>16702</v>
      </c>
      <c r="D7428" s="8" t="s">
        <v>14358</v>
      </c>
      <c r="E7428" s="9" t="str">
        <f aca="false">HYPERLINK("https://twitter.com/london_peter/status/922547713429901312","922547713429901312")</f>
        <v>922547713429901312</v>
      </c>
      <c r="F7428" s="10" t="s">
        <v>51</v>
      </c>
      <c r="G7428" s="10" t="n">
        <v>229</v>
      </c>
      <c r="H7428" s="10" t="n">
        <v>350</v>
      </c>
      <c r="I7428" s="10" t="n">
        <v>2</v>
      </c>
      <c r="J7428" s="10" t="n">
        <v>0</v>
      </c>
      <c r="K7428" s="10" t="s">
        <v>20</v>
      </c>
      <c r="L7428" s="11" t="n">
        <v>40758.3211111111</v>
      </c>
      <c r="M7428" s="12" t="s">
        <v>16703</v>
      </c>
      <c r="N7428" s="12" t="s">
        <v>16704</v>
      </c>
      <c r="O7428" s="9" t="str">
        <f aca="false">HYPERLINK("https://pbs.twimg.com/profile_images/731922501526261760/2ZyeM7w1_normal.jpg","View")</f>
        <v>View</v>
      </c>
      <c r="P7428" s="10"/>
    </row>
    <row r="7429" customFormat="false" ht="15.75" hidden="false" customHeight="false" outlineLevel="0" collapsed="false">
      <c r="A7429" s="6" t="n">
        <v>43031.5266898148</v>
      </c>
      <c r="B7429" s="7" t="str">
        <f aca="false">HYPERLINK("https://twitter.com/hamassenger","@hamassenger")</f>
        <v>@hamassenger</v>
      </c>
      <c r="C7429" s="7" t="s">
        <v>16705</v>
      </c>
      <c r="D7429" s="8" t="s">
        <v>16706</v>
      </c>
      <c r="E7429" s="9" t="str">
        <f aca="false">HYPERLINK("https://twitter.com/hamassenger/status/922547783646744577","922547783646744577")</f>
        <v>922547783646744577</v>
      </c>
      <c r="F7429" s="9" t="s">
        <v>16705</v>
      </c>
      <c r="G7429" s="10" t="n">
        <v>1427</v>
      </c>
      <c r="H7429" s="10" t="n">
        <v>2018</v>
      </c>
      <c r="I7429" s="10" t="n">
        <v>0</v>
      </c>
      <c r="J7429" s="10" t="n">
        <v>0</v>
      </c>
      <c r="K7429" s="10" t="s">
        <v>20</v>
      </c>
      <c r="L7429" s="11" t="n">
        <v>39872.0473958333</v>
      </c>
      <c r="M7429" s="12" t="s">
        <v>132</v>
      </c>
      <c r="N7429" s="12" t="s">
        <v>16707</v>
      </c>
      <c r="O7429" s="9" t="str">
        <f aca="false">HYPERLINK("https://pbs.twimg.com/profile_images/1057889562/green_5459_green_2196_Picture_3_normal.jpg","View")</f>
        <v>View</v>
      </c>
      <c r="P7429" s="10"/>
    </row>
    <row r="7430" customFormat="false" ht="15.75" hidden="false" customHeight="false" outlineLevel="0" collapsed="false">
      <c r="A7430" s="6" t="n">
        <v>43031.5269328704</v>
      </c>
      <c r="B7430" s="7" t="str">
        <f aca="false">HYPERLINK("https://twitter.com/sumsat33","@sumsat33")</f>
        <v>@sumsat33</v>
      </c>
      <c r="C7430" s="8" t="s">
        <v>16708</v>
      </c>
      <c r="D7430" s="8" t="s">
        <v>8538</v>
      </c>
      <c r="E7430" s="9" t="str">
        <f aca="false">HYPERLINK("https://twitter.com/sumsat33/status/922547874046423040","922547874046423040")</f>
        <v>922547874046423040</v>
      </c>
      <c r="F7430" s="10" t="s">
        <v>25</v>
      </c>
      <c r="G7430" s="10" t="n">
        <v>189</v>
      </c>
      <c r="H7430" s="10" t="n">
        <v>39</v>
      </c>
      <c r="I7430" s="10" t="n">
        <v>1015</v>
      </c>
      <c r="J7430" s="10" t="n">
        <v>0</v>
      </c>
      <c r="K7430" s="10" t="s">
        <v>20</v>
      </c>
      <c r="L7430" s="11" t="n">
        <v>41610.8275925926</v>
      </c>
      <c r="M7430" s="12"/>
      <c r="N7430" s="12" t="s">
        <v>16709</v>
      </c>
      <c r="O7430" s="9" t="str">
        <f aca="false">HYPERLINK("https://pbs.twimg.com/profile_images/682263166139502592/9TPGp0PY_normal.jpg","View")</f>
        <v>View</v>
      </c>
      <c r="P7430" s="10"/>
    </row>
    <row r="7431" customFormat="false" ht="15.75" hidden="false" customHeight="false" outlineLevel="0" collapsed="false">
      <c r="A7431" s="6" t="n">
        <v>43031.5270949074</v>
      </c>
      <c r="B7431" s="7" t="str">
        <f aca="false">HYPERLINK("https://twitter.com/graduatesfs","@graduatesfs")</f>
        <v>@graduatesfs</v>
      </c>
      <c r="C7431" s="8" t="s">
        <v>16710</v>
      </c>
      <c r="D7431" s="8" t="s">
        <v>16711</v>
      </c>
      <c r="E7431" s="9" t="str">
        <f aca="false">HYPERLINK("https://twitter.com/graduatesfs/status/922547932842389504","922547932842389504")</f>
        <v>922547932842389504</v>
      </c>
      <c r="F7431" s="10" t="s">
        <v>39</v>
      </c>
      <c r="G7431" s="10" t="n">
        <v>104</v>
      </c>
      <c r="H7431" s="10" t="n">
        <v>488</v>
      </c>
      <c r="I7431" s="10" t="n">
        <v>2</v>
      </c>
      <c r="J7431" s="10" t="n">
        <v>0</v>
      </c>
      <c r="K7431" s="10" t="s">
        <v>20</v>
      </c>
      <c r="L7431" s="11" t="n">
        <v>43019.457650463</v>
      </c>
      <c r="M7431" s="12" t="s">
        <v>723</v>
      </c>
      <c r="N7431" s="12" t="s">
        <v>16712</v>
      </c>
      <c r="O7431" s="9" t="str">
        <f aca="false">HYPERLINK("https://pbs.twimg.com/profile_images/920346597585817601/2wfniZ-1_normal.jpg","View")</f>
        <v>View</v>
      </c>
      <c r="P7431" s="10"/>
    </row>
    <row r="7432" customFormat="false" ht="15.75" hidden="false" customHeight="false" outlineLevel="0" collapsed="false">
      <c r="A7432" s="6" t="n">
        <v>43031.5272916667</v>
      </c>
      <c r="B7432" s="7" t="str">
        <f aca="false">HYPERLINK("https://twitter.com/Mike_Bennett","@Mike_Bennett")</f>
        <v>@Mike_Bennett</v>
      </c>
      <c r="C7432" s="8" t="s">
        <v>16713</v>
      </c>
      <c r="D7432" s="8" t="s">
        <v>16714</v>
      </c>
      <c r="E7432" s="9" t="str">
        <f aca="false">HYPERLINK("https://twitter.com/Mike_Bennett/status/922548001326985222","922548001326985222")</f>
        <v>922548001326985222</v>
      </c>
      <c r="F7432" s="10" t="s">
        <v>39</v>
      </c>
      <c r="G7432" s="10" t="n">
        <v>753</v>
      </c>
      <c r="H7432" s="10" t="n">
        <v>684</v>
      </c>
      <c r="I7432" s="10" t="n">
        <v>0</v>
      </c>
      <c r="J7432" s="10" t="n">
        <v>0</v>
      </c>
      <c r="K7432" s="10" t="s">
        <v>20</v>
      </c>
      <c r="L7432" s="11" t="n">
        <v>39801.3159837963</v>
      </c>
      <c r="M7432" s="12" t="s">
        <v>16715</v>
      </c>
      <c r="N7432" s="12" t="s">
        <v>16716</v>
      </c>
      <c r="O7432" s="9" t="str">
        <f aca="false">HYPERLINK("https://pbs.twimg.com/profile_images/469934816872255488/8bUz71ZP_normal.jpeg","View")</f>
        <v>View</v>
      </c>
      <c r="P7432" s="10"/>
    </row>
    <row r="7433" customFormat="false" ht="15.75" hidden="false" customHeight="false" outlineLevel="0" collapsed="false">
      <c r="A7433" s="6" t="n">
        <v>43031.5273032407</v>
      </c>
      <c r="B7433" s="7" t="str">
        <f aca="false">HYPERLINK("https://twitter.com/INFOCELLNYC","@INFOCELLNYC")</f>
        <v>@INFOCELLNYC</v>
      </c>
      <c r="C7433" s="8" t="s">
        <v>7691</v>
      </c>
      <c r="D7433" s="8" t="s">
        <v>16717</v>
      </c>
      <c r="E7433" s="9" t="str">
        <f aca="false">HYPERLINK("https://twitter.com/INFOCELLNYC/status/922548005789732864","922548005789732864")</f>
        <v>922548005789732864</v>
      </c>
      <c r="F7433" s="10" t="s">
        <v>60</v>
      </c>
      <c r="G7433" s="10" t="n">
        <v>716</v>
      </c>
      <c r="H7433" s="10" t="n">
        <v>1503</v>
      </c>
      <c r="I7433" s="10" t="n">
        <v>0</v>
      </c>
      <c r="J7433" s="10" t="n">
        <v>0</v>
      </c>
      <c r="K7433" s="10" t="s">
        <v>20</v>
      </c>
      <c r="L7433" s="11" t="n">
        <v>41346.4520717593</v>
      </c>
      <c r="M7433" s="12"/>
      <c r="N7433" s="12" t="s">
        <v>7693</v>
      </c>
      <c r="O7433" s="9" t="str">
        <f aca="false">HYPERLINK("https://pbs.twimg.com/profile_images/3749469858/d3a714151a7b66baaf3741420e3cd9be_normal.jpeg","View")</f>
        <v>View</v>
      </c>
      <c r="P7433" s="10"/>
    </row>
    <row r="7434" customFormat="false" ht="15.75" hidden="false" customHeight="false" outlineLevel="0" collapsed="false">
      <c r="A7434" s="6" t="n">
        <v>43031.5280208333</v>
      </c>
      <c r="B7434" s="7" t="str">
        <f aca="false">HYPERLINK("https://twitter.com/JuanMSolana","@JuanMSolana")</f>
        <v>@JuanMSolana</v>
      </c>
      <c r="C7434" s="8" t="s">
        <v>16718</v>
      </c>
      <c r="D7434" s="8" t="s">
        <v>12764</v>
      </c>
      <c r="E7434" s="9" t="str">
        <f aca="false">HYPERLINK("https://twitter.com/JuanMSolana/status/922548267166056448","922548267166056448")</f>
        <v>922548267166056448</v>
      </c>
      <c r="F7434" s="10" t="s">
        <v>51</v>
      </c>
      <c r="G7434" s="10" t="n">
        <v>560</v>
      </c>
      <c r="H7434" s="10" t="n">
        <v>792</v>
      </c>
      <c r="I7434" s="10" t="n">
        <v>170</v>
      </c>
      <c r="J7434" s="10" t="n">
        <v>0</v>
      </c>
      <c r="K7434" s="10" t="s">
        <v>20</v>
      </c>
      <c r="L7434" s="11" t="n">
        <v>41801.5061342593</v>
      </c>
      <c r="M7434" s="12"/>
      <c r="N7434" s="12" t="s">
        <v>16719</v>
      </c>
      <c r="O7434" s="9" t="str">
        <f aca="false">HYPERLINK("https://pbs.twimg.com/profile_images/806552839761891328/qvYpa6s3_normal.jpg","View")</f>
        <v>View</v>
      </c>
      <c r="P7434" s="10"/>
    </row>
    <row r="7435" customFormat="false" ht="15.75" hidden="false" customHeight="false" outlineLevel="0" collapsed="false">
      <c r="A7435" s="6" t="n">
        <v>43031.5294212963</v>
      </c>
      <c r="B7435" s="7" t="str">
        <f aca="false">HYPERLINK("https://twitter.com/Rajeevrajat","@Rajeevrajat")</f>
        <v>@Rajeevrajat</v>
      </c>
      <c r="C7435" s="8" t="s">
        <v>16720</v>
      </c>
      <c r="D7435" s="8" t="s">
        <v>8538</v>
      </c>
      <c r="E7435" s="9" t="str">
        <f aca="false">HYPERLINK("https://twitter.com/Rajeevrajat/status/922548774693564417","922548774693564417")</f>
        <v>922548774693564417</v>
      </c>
      <c r="F7435" s="10" t="s">
        <v>25</v>
      </c>
      <c r="G7435" s="10" t="n">
        <v>963</v>
      </c>
      <c r="H7435" s="10" t="n">
        <v>1061</v>
      </c>
      <c r="I7435" s="10" t="n">
        <v>1015</v>
      </c>
      <c r="J7435" s="10" t="n">
        <v>0</v>
      </c>
      <c r="K7435" s="10" t="s">
        <v>20</v>
      </c>
      <c r="L7435" s="11" t="n">
        <v>40936.4680092593</v>
      </c>
      <c r="M7435" s="12" t="s">
        <v>72</v>
      </c>
      <c r="N7435" s="12"/>
      <c r="O7435" s="9" t="str">
        <f aca="false">HYPERLINK("https://pbs.twimg.com/profile_images/822716794167300096/zWrdEio6_normal.jpg","View")</f>
        <v>View</v>
      </c>
      <c r="P7435" s="10"/>
    </row>
    <row r="7436" customFormat="false" ht="15.75" hidden="false" customHeight="false" outlineLevel="0" collapsed="false">
      <c r="A7436" s="6" t="n">
        <v>43031.5299305556</v>
      </c>
      <c r="B7436" s="7" t="str">
        <f aca="false">HYPERLINK("https://twitter.com/mariuskarma","@mariuskarma")</f>
        <v>@mariuskarma</v>
      </c>
      <c r="C7436" s="8" t="s">
        <v>16721</v>
      </c>
      <c r="D7436" s="8" t="s">
        <v>16273</v>
      </c>
      <c r="E7436" s="9" t="str">
        <f aca="false">HYPERLINK("https://twitter.com/mariuskarma/status/922548959301730304","922548959301730304")</f>
        <v>922548959301730304</v>
      </c>
      <c r="F7436" s="10" t="s">
        <v>25</v>
      </c>
      <c r="G7436" s="10" t="n">
        <v>6382</v>
      </c>
      <c r="H7436" s="10" t="n">
        <v>6044</v>
      </c>
      <c r="I7436" s="10" t="n">
        <v>2</v>
      </c>
      <c r="J7436" s="10" t="n">
        <v>0</v>
      </c>
      <c r="K7436" s="10" t="s">
        <v>20</v>
      </c>
      <c r="L7436" s="11" t="n">
        <v>41050.6009375</v>
      </c>
      <c r="M7436" s="12" t="s">
        <v>16722</v>
      </c>
      <c r="N7436" s="12" t="s">
        <v>16723</v>
      </c>
      <c r="O7436" s="9" t="str">
        <f aca="false">HYPERLINK("https://pbs.twimg.com/profile_images/588820751844843520/wACaBi5Z_normal.jpg","View")</f>
        <v>View</v>
      </c>
      <c r="P7436" s="10"/>
    </row>
    <row r="7437" customFormat="false" ht="15.75" hidden="false" customHeight="false" outlineLevel="0" collapsed="false">
      <c r="A7437" s="6" t="n">
        <v>43031.5306944445</v>
      </c>
      <c r="B7437" s="7" t="str">
        <f aca="false">HYPERLINK("https://twitter.com/everiting","@everiting")</f>
        <v>@everiting</v>
      </c>
      <c r="C7437" s="8" t="s">
        <v>16724</v>
      </c>
      <c r="D7437" s="8" t="s">
        <v>16725</v>
      </c>
      <c r="E7437" s="9" t="str">
        <f aca="false">HYPERLINK("https://twitter.com/everiting/status/922549237329559558","922549237329559558")</f>
        <v>922549237329559558</v>
      </c>
      <c r="F7437" s="9" t="s">
        <v>14450</v>
      </c>
      <c r="G7437" s="10" t="n">
        <v>8445</v>
      </c>
      <c r="H7437" s="10" t="n">
        <v>9324</v>
      </c>
      <c r="I7437" s="10" t="n">
        <v>0</v>
      </c>
      <c r="J7437" s="10" t="n">
        <v>0</v>
      </c>
      <c r="K7437" s="10" t="s">
        <v>20</v>
      </c>
      <c r="L7437" s="11" t="n">
        <v>40060.5202893519</v>
      </c>
      <c r="M7437" s="12" t="s">
        <v>423</v>
      </c>
      <c r="N7437" s="12" t="s">
        <v>16726</v>
      </c>
      <c r="O7437" s="9" t="str">
        <f aca="false">HYPERLINK("https://pbs.twimg.com/profile_images/1836448667/twitter_normal.png","View")</f>
        <v>View</v>
      </c>
      <c r="P7437" s="10"/>
    </row>
    <row r="7438" customFormat="false" ht="15.75" hidden="false" customHeight="false" outlineLevel="0" collapsed="false">
      <c r="A7438" s="6" t="n">
        <v>43031.5309722222</v>
      </c>
      <c r="B7438" s="7" t="str">
        <f aca="false">HYPERLINK("https://twitter.com/Redking47175373","@Redking47175373")</f>
        <v>@Redking47175373</v>
      </c>
      <c r="C7438" s="8" t="s">
        <v>16727</v>
      </c>
      <c r="D7438" s="8" t="s">
        <v>10987</v>
      </c>
      <c r="E7438" s="9" t="str">
        <f aca="false">HYPERLINK("https://twitter.com/Redking47175373/status/922549334855569408","922549334855569408")</f>
        <v>922549334855569408</v>
      </c>
      <c r="F7438" s="10" t="s">
        <v>39</v>
      </c>
      <c r="G7438" s="10" t="n">
        <v>735</v>
      </c>
      <c r="H7438" s="10" t="n">
        <v>4843</v>
      </c>
      <c r="I7438" s="10" t="n">
        <v>9</v>
      </c>
      <c r="J7438" s="10" t="n">
        <v>0</v>
      </c>
      <c r="K7438" s="10" t="s">
        <v>20</v>
      </c>
      <c r="L7438" s="11" t="n">
        <v>42777.1702314815</v>
      </c>
      <c r="M7438" s="12" t="s">
        <v>1843</v>
      </c>
      <c r="N7438" s="12" t="s">
        <v>16728</v>
      </c>
      <c r="O7438" s="9" t="str">
        <f aca="false">HYPERLINK("https://pbs.twimg.com/profile_images/830388069408899072/q_DNMJdR_normal.jpg","View")</f>
        <v>View</v>
      </c>
      <c r="P7438" s="10"/>
    </row>
    <row r="7439" customFormat="false" ht="15.75" hidden="false" customHeight="false" outlineLevel="0" collapsed="false">
      <c r="A7439" s="6" t="n">
        <v>43031.5313773148</v>
      </c>
      <c r="B7439" s="7" t="str">
        <f aca="false">HYPERLINK("https://twitter.com/FortuneMagazine","@FortuneMagazine")</f>
        <v>@FortuneMagazine</v>
      </c>
      <c r="C7439" s="8" t="s">
        <v>12154</v>
      </c>
      <c r="D7439" s="8" t="s">
        <v>16729</v>
      </c>
      <c r="E7439" s="9" t="str">
        <f aca="false">HYPERLINK("https://twitter.com/FortuneMagazine/status/922549484529291271","922549484529291271")</f>
        <v>922549484529291271</v>
      </c>
      <c r="F7439" s="10" t="s">
        <v>268</v>
      </c>
      <c r="G7439" s="10" t="n">
        <v>2264859</v>
      </c>
      <c r="H7439" s="10" t="n">
        <v>452</v>
      </c>
      <c r="I7439" s="10" t="n">
        <v>7</v>
      </c>
      <c r="J7439" s="10" t="n">
        <v>9</v>
      </c>
      <c r="K7439" s="10" t="s">
        <v>20</v>
      </c>
      <c r="L7439" s="11" t="n">
        <v>39890.1415972222</v>
      </c>
      <c r="M7439" s="12" t="s">
        <v>319</v>
      </c>
      <c r="N7439" s="12" t="s">
        <v>12156</v>
      </c>
      <c r="O7439" s="9" t="str">
        <f aca="false">HYPERLINK("https://pbs.twimg.com/profile_images/875382047216467972/3119VjuE_normal.jpg","View")</f>
        <v>View</v>
      </c>
      <c r="P7439" s="10"/>
    </row>
    <row r="7440" customFormat="false" ht="15.75" hidden="false" customHeight="false" outlineLevel="0" collapsed="false">
      <c r="A7440" s="6" t="n">
        <v>43031.5315625</v>
      </c>
      <c r="B7440" s="7" t="str">
        <f aca="false">HYPERLINK("https://twitter.com/ggnewsus","@ggnewsus")</f>
        <v>@ggnewsus</v>
      </c>
      <c r="C7440" s="8" t="s">
        <v>16730</v>
      </c>
      <c r="D7440" s="8" t="s">
        <v>16731</v>
      </c>
      <c r="E7440" s="9" t="str">
        <f aca="false">HYPERLINK("https://twitter.com/ggnewsus/status/922549548924403712","922549548924403712")</f>
        <v>922549548924403712</v>
      </c>
      <c r="F7440" s="10" t="s">
        <v>60</v>
      </c>
      <c r="G7440" s="10" t="n">
        <v>862</v>
      </c>
      <c r="H7440" s="10" t="n">
        <v>143</v>
      </c>
      <c r="I7440" s="10" t="n">
        <v>0</v>
      </c>
      <c r="J7440" s="10" t="n">
        <v>0</v>
      </c>
      <c r="K7440" s="10" t="s">
        <v>20</v>
      </c>
      <c r="L7440" s="11" t="n">
        <v>41679.770775463</v>
      </c>
      <c r="M7440" s="12" t="s">
        <v>16732</v>
      </c>
      <c r="N7440" s="12" t="s">
        <v>2091</v>
      </c>
      <c r="O7440" s="9" t="str">
        <f aca="false">HYPERLINK("https://pbs.twimg.com/profile_images/432706003285450752/IHK6C475_normal.png","View")</f>
        <v>View</v>
      </c>
      <c r="P7440" s="10"/>
    </row>
    <row r="7441" customFormat="false" ht="15.75" hidden="false" customHeight="false" outlineLevel="0" collapsed="false">
      <c r="A7441" s="6" t="n">
        <v>43031.5316203704</v>
      </c>
      <c r="B7441" s="7" t="str">
        <f aca="false">HYPERLINK("https://twitter.com/BSAFunds","@BSAFunds")</f>
        <v>@BSAFunds</v>
      </c>
      <c r="C7441" s="8" t="s">
        <v>924</v>
      </c>
      <c r="D7441" s="8" t="s">
        <v>16733</v>
      </c>
      <c r="E7441" s="9" t="str">
        <f aca="false">HYPERLINK("https://twitter.com/BSAFunds/status/922549570038624256","922549570038624256")</f>
        <v>922549570038624256</v>
      </c>
      <c r="F7441" s="10" t="s">
        <v>60</v>
      </c>
      <c r="G7441" s="10" t="n">
        <v>20871</v>
      </c>
      <c r="H7441" s="10" t="n">
        <v>8926</v>
      </c>
      <c r="I7441" s="10" t="n">
        <v>0</v>
      </c>
      <c r="J7441" s="10" t="n">
        <v>0</v>
      </c>
      <c r="K7441" s="10" t="s">
        <v>20</v>
      </c>
      <c r="L7441" s="11" t="n">
        <v>42601.9481828704</v>
      </c>
      <c r="M7441" s="12" t="s">
        <v>312</v>
      </c>
      <c r="N7441" s="12" t="s">
        <v>926</v>
      </c>
      <c r="O7441" s="9" t="str">
        <f aca="false">HYPERLINK("https://pbs.twimg.com/profile_images/912769166960033792/N4LAmrTs_normal.jpg","View")</f>
        <v>View</v>
      </c>
      <c r="P7441" s="10"/>
    </row>
    <row r="7442" customFormat="false" ht="15.75" hidden="false" customHeight="false" outlineLevel="0" collapsed="false">
      <c r="A7442" s="6" t="n">
        <v>43031.5318287037</v>
      </c>
      <c r="B7442" s="7" t="str">
        <f aca="false">HYPERLINK("https://twitter.com/worldnewsrelay","@worldnewsrelay")</f>
        <v>@worldnewsrelay</v>
      </c>
      <c r="C7442" s="8" t="s">
        <v>2893</v>
      </c>
      <c r="D7442" s="8" t="s">
        <v>16734</v>
      </c>
      <c r="E7442" s="9" t="str">
        <f aca="false">HYPERLINK("https://twitter.com/worldnewsrelay/status/922549648224542720","922549648224542720")</f>
        <v>922549648224542720</v>
      </c>
      <c r="F7442" s="10" t="s">
        <v>51</v>
      </c>
      <c r="G7442" s="10" t="n">
        <v>386</v>
      </c>
      <c r="H7442" s="10" t="n">
        <v>1973</v>
      </c>
      <c r="I7442" s="10" t="n">
        <v>7</v>
      </c>
      <c r="J7442" s="10" t="n">
        <v>0</v>
      </c>
      <c r="K7442" s="10" t="s">
        <v>20</v>
      </c>
      <c r="L7442" s="11" t="n">
        <v>40931.4530208333</v>
      </c>
      <c r="M7442" s="12" t="s">
        <v>13897</v>
      </c>
      <c r="N7442" s="12" t="s">
        <v>16735</v>
      </c>
      <c r="O7442" s="9" t="str">
        <f aca="false">HYPERLINK("https://pbs.twimg.com/profile_images/443186196718419969/ajg4Bo3__normal.jpeg","View")</f>
        <v>View</v>
      </c>
      <c r="P7442" s="10"/>
    </row>
    <row r="7443" customFormat="false" ht="15.75" hidden="false" customHeight="false" outlineLevel="0" collapsed="false">
      <c r="A7443" s="6" t="n">
        <v>43031.5318518518</v>
      </c>
      <c r="B7443" s="7" t="str">
        <f aca="false">HYPERLINK("https://twitter.com/navycapital","@navycapital")</f>
        <v>@navycapital</v>
      </c>
      <c r="C7443" s="8" t="s">
        <v>12177</v>
      </c>
      <c r="D7443" s="8" t="s">
        <v>16736</v>
      </c>
      <c r="E7443" s="9" t="str">
        <f aca="false">HYPERLINK("https://twitter.com/navycapital/status/922549653119361025","922549653119361025")</f>
        <v>922549653119361025</v>
      </c>
      <c r="F7443" s="10" t="s">
        <v>60</v>
      </c>
      <c r="G7443" s="10" t="n">
        <v>2789</v>
      </c>
      <c r="H7443" s="10" t="n">
        <v>54</v>
      </c>
      <c r="I7443" s="10" t="n">
        <v>0</v>
      </c>
      <c r="J7443" s="10" t="n">
        <v>0</v>
      </c>
      <c r="K7443" s="10" t="s">
        <v>20</v>
      </c>
      <c r="L7443" s="11" t="n">
        <v>42126.8694444444</v>
      </c>
      <c r="M7443" s="12"/>
      <c r="N7443" s="12" t="s">
        <v>12179</v>
      </c>
      <c r="O7443" s="9" t="str">
        <f aca="false">HYPERLINK("https://pbs.twimg.com/profile_images/657674778833063936/NAhBN525_normal.png","View")</f>
        <v>View</v>
      </c>
      <c r="P7443" s="10"/>
    </row>
    <row r="7444" customFormat="false" ht="15.75" hidden="false" customHeight="false" outlineLevel="0" collapsed="false">
      <c r="A7444" s="6" t="n">
        <v>43031.5322453704</v>
      </c>
      <c r="B7444" s="7" t="str">
        <f aca="false">HYPERLINK("https://twitter.com/menaleeciara","@menaleeciara")</f>
        <v>@menaleeciara</v>
      </c>
      <c r="C7444" s="8" t="s">
        <v>12289</v>
      </c>
      <c r="D7444" s="8" t="s">
        <v>16737</v>
      </c>
      <c r="E7444" s="9" t="str">
        <f aca="false">HYPERLINK("https://twitter.com/menaleeciara/status/922549797189537793","922549797189537793")</f>
        <v>922549797189537793</v>
      </c>
      <c r="F7444" s="10" t="s">
        <v>60</v>
      </c>
      <c r="G7444" s="10" t="n">
        <v>63</v>
      </c>
      <c r="H7444" s="10" t="n">
        <v>87</v>
      </c>
      <c r="I7444" s="10" t="n">
        <v>0</v>
      </c>
      <c r="J7444" s="10" t="n">
        <v>0</v>
      </c>
      <c r="K7444" s="10" t="s">
        <v>20</v>
      </c>
      <c r="L7444" s="11" t="n">
        <v>42815.6670949074</v>
      </c>
      <c r="M7444" s="12" t="s">
        <v>12291</v>
      </c>
      <c r="N7444" s="12" t="s">
        <v>12292</v>
      </c>
      <c r="O7444" s="9" t="str">
        <f aca="false">HYPERLINK("https://pbs.twimg.com/profile_images/862405264473026560/ENa3420v_normal.jpg","View")</f>
        <v>View</v>
      </c>
      <c r="P7444" s="10"/>
    </row>
    <row r="7445" customFormat="false" ht="15.75" hidden="false" customHeight="false" outlineLevel="0" collapsed="false">
      <c r="A7445" s="6" t="n">
        <v>43031.5323842593</v>
      </c>
      <c r="B7445" s="7" t="str">
        <f aca="false">HYPERLINK("https://twitter.com/PoliticsOfWorld","@PoliticsOfWorld")</f>
        <v>@PoliticsOfWorld</v>
      </c>
      <c r="C7445" s="8" t="s">
        <v>16738</v>
      </c>
      <c r="D7445" s="8" t="s">
        <v>16739</v>
      </c>
      <c r="E7445" s="9" t="str">
        <f aca="false">HYPERLINK("https://twitter.com/PoliticsOfWorld/status/922549849484087296","922549849484087296")</f>
        <v>922549849484087296</v>
      </c>
      <c r="F7445" s="10" t="s">
        <v>39</v>
      </c>
      <c r="G7445" s="10" t="n">
        <v>362</v>
      </c>
      <c r="H7445" s="10" t="n">
        <v>439</v>
      </c>
      <c r="I7445" s="10" t="n">
        <v>0</v>
      </c>
      <c r="J7445" s="10" t="n">
        <v>0</v>
      </c>
      <c r="K7445" s="10" t="s">
        <v>20</v>
      </c>
      <c r="L7445" s="11" t="n">
        <v>40491.4766203704</v>
      </c>
      <c r="M7445" s="12" t="s">
        <v>4050</v>
      </c>
      <c r="N7445" s="12" t="s">
        <v>16740</v>
      </c>
      <c r="O7445" s="9" t="str">
        <f aca="false">HYPERLINK("https://pbs.twimg.com/profile_images/496173463946547200/rSXwtHBs_normal.png","View")</f>
        <v>View</v>
      </c>
      <c r="P7445" s="10"/>
    </row>
    <row r="7446" customFormat="false" ht="15.75" hidden="false" customHeight="false" outlineLevel="0" collapsed="false">
      <c r="A7446" s="6" t="n">
        <v>43031.5365277778</v>
      </c>
      <c r="B7446" s="7" t="str">
        <f aca="false">HYPERLINK("https://twitter.com/AileanBeaton","@AileanBeaton")</f>
        <v>@AileanBeaton</v>
      </c>
      <c r="C7446" s="8" t="s">
        <v>16741</v>
      </c>
      <c r="D7446" s="8" t="s">
        <v>12764</v>
      </c>
      <c r="E7446" s="9" t="str">
        <f aca="false">HYPERLINK("https://twitter.com/AileanBeaton/status/922551350256422912","922551350256422912")</f>
        <v>922551350256422912</v>
      </c>
      <c r="F7446" s="10" t="s">
        <v>51</v>
      </c>
      <c r="G7446" s="10" t="n">
        <v>611</v>
      </c>
      <c r="H7446" s="10" t="n">
        <v>2478</v>
      </c>
      <c r="I7446" s="10" t="n">
        <v>170</v>
      </c>
      <c r="J7446" s="10" t="n">
        <v>0</v>
      </c>
      <c r="K7446" s="10" t="s">
        <v>20</v>
      </c>
      <c r="L7446" s="11" t="n">
        <v>40699.31375</v>
      </c>
      <c r="M7446" s="12" t="s">
        <v>16742</v>
      </c>
      <c r="N7446" s="12" t="s">
        <v>16743</v>
      </c>
      <c r="O7446" s="9" t="str">
        <f aca="false">HYPERLINK("https://pbs.twimg.com/profile_images/770043718548201472/1OCU58h5_normal.jpg","View")</f>
        <v>View</v>
      </c>
      <c r="P7446" s="10"/>
    </row>
    <row r="7447" customFormat="false" ht="15.75" hidden="false" customHeight="false" outlineLevel="0" collapsed="false">
      <c r="A7447" s="6" t="n">
        <v>43031.5378935185</v>
      </c>
      <c r="B7447" s="7" t="str">
        <f aca="false">HYPERLINK("https://twitter.com/billockovic","@billockovic")</f>
        <v>@billockovic</v>
      </c>
      <c r="C7447" s="8" t="s">
        <v>16744</v>
      </c>
      <c r="D7447" s="8" t="s">
        <v>16734</v>
      </c>
      <c r="E7447" s="9" t="str">
        <f aca="false">HYPERLINK("https://twitter.com/billockovic/status/922551843443625984","922551843443625984")</f>
        <v>922551843443625984</v>
      </c>
      <c r="F7447" s="10" t="s">
        <v>25</v>
      </c>
      <c r="G7447" s="10" t="n">
        <v>199</v>
      </c>
      <c r="H7447" s="10" t="n">
        <v>751</v>
      </c>
      <c r="I7447" s="10" t="n">
        <v>7</v>
      </c>
      <c r="J7447" s="10" t="n">
        <v>0</v>
      </c>
      <c r="K7447" s="10" t="s">
        <v>20</v>
      </c>
      <c r="L7447" s="11" t="n">
        <v>40425.0048726852</v>
      </c>
      <c r="M7447" s="12" t="s">
        <v>16745</v>
      </c>
      <c r="N7447" s="12" t="s">
        <v>16746</v>
      </c>
      <c r="O7447" s="9" t="str">
        <f aca="false">HYPERLINK("https://pbs.twimg.com/profile_images/1117028812/Bilder_2010_125_normal.JPG","View")</f>
        <v>View</v>
      </c>
      <c r="P7447" s="10"/>
    </row>
    <row r="7448" customFormat="false" ht="15.75" hidden="false" customHeight="false" outlineLevel="0" collapsed="false">
      <c r="A7448" s="6" t="n">
        <v>43031.5383912037</v>
      </c>
      <c r="B7448" s="7" t="str">
        <f aca="false">HYPERLINK("https://twitter.com/courtmanning74","@courtmanning74")</f>
        <v>@courtmanning74</v>
      </c>
      <c r="C7448" s="8" t="s">
        <v>16747</v>
      </c>
      <c r="D7448" s="8" t="s">
        <v>12764</v>
      </c>
      <c r="E7448" s="9" t="str">
        <f aca="false">HYPERLINK("https://twitter.com/courtmanning74/status/922552024205578240","922552024205578240")</f>
        <v>922552024205578240</v>
      </c>
      <c r="F7448" s="10" t="s">
        <v>39</v>
      </c>
      <c r="G7448" s="10" t="n">
        <v>28</v>
      </c>
      <c r="H7448" s="10" t="n">
        <v>160</v>
      </c>
      <c r="I7448" s="10" t="n">
        <v>170</v>
      </c>
      <c r="J7448" s="10" t="n">
        <v>0</v>
      </c>
      <c r="K7448" s="10" t="s">
        <v>20</v>
      </c>
      <c r="L7448" s="11" t="n">
        <v>43027.4860069444</v>
      </c>
      <c r="M7448" s="12" t="s">
        <v>16742</v>
      </c>
      <c r="N7448" s="12" t="s">
        <v>16748</v>
      </c>
      <c r="O7448" s="9" t="str">
        <f aca="false">HYPERLINK("https://pbs.twimg.com/profile_images/921086273497870336/vcObSRgO_normal.jpg","View")</f>
        <v>View</v>
      </c>
      <c r="P7448" s="10"/>
    </row>
    <row r="7449" customFormat="false" ht="15.75" hidden="false" customHeight="false" outlineLevel="0" collapsed="false">
      <c r="A7449" s="6" t="n">
        <v>43031.5407060185</v>
      </c>
      <c r="B7449" s="7" t="str">
        <f aca="false">HYPERLINK("https://twitter.com/WolffYair","@WolffYair")</f>
        <v>@WolffYair</v>
      </c>
      <c r="C7449" s="8" t="s">
        <v>16749</v>
      </c>
      <c r="D7449" s="8" t="s">
        <v>16734</v>
      </c>
      <c r="E7449" s="9" t="str">
        <f aca="false">HYPERLINK("https://twitter.com/WolffYair/status/922552863368327168","922552863368327168")</f>
        <v>922552863368327168</v>
      </c>
      <c r="F7449" s="10" t="s">
        <v>51</v>
      </c>
      <c r="G7449" s="10" t="n">
        <v>65</v>
      </c>
      <c r="H7449" s="10" t="n">
        <v>730</v>
      </c>
      <c r="I7449" s="10" t="n">
        <v>7</v>
      </c>
      <c r="J7449" s="10" t="n">
        <v>0</v>
      </c>
      <c r="K7449" s="10" t="s">
        <v>20</v>
      </c>
      <c r="L7449" s="11" t="n">
        <v>42446.0846296296</v>
      </c>
      <c r="M7449" s="12"/>
      <c r="N7449" s="12"/>
      <c r="O7449" s="9" t="str">
        <f aca="false">HYPERLINK("https://pbs.twimg.com/profile_images/722340755168239616/-wgNMQeX_normal.jpg","View")</f>
        <v>View</v>
      </c>
      <c r="P7449" s="10"/>
    </row>
    <row r="7450" customFormat="false" ht="15.75" hidden="false" customHeight="false" outlineLevel="0" collapsed="false">
      <c r="A7450" s="6" t="n">
        <v>43031.5423263889</v>
      </c>
      <c r="B7450" s="7" t="str">
        <f aca="false">HYPERLINK("https://twitter.com/Hola_Soy_Solde","@Hola_Soy_Solde")</f>
        <v>@Hola_Soy_Solde</v>
      </c>
      <c r="C7450" s="8" t="s">
        <v>16750</v>
      </c>
      <c r="D7450" s="8" t="s">
        <v>7515</v>
      </c>
      <c r="E7450" s="9" t="str">
        <f aca="false">HYPERLINK("https://twitter.com/Hola_Soy_Solde/status/922553450264711180","922553450264711180")</f>
        <v>922553450264711180</v>
      </c>
      <c r="F7450" s="10" t="s">
        <v>25</v>
      </c>
      <c r="G7450" s="10" t="n">
        <v>26</v>
      </c>
      <c r="H7450" s="10" t="n">
        <v>642</v>
      </c>
      <c r="I7450" s="10" t="n">
        <v>25</v>
      </c>
      <c r="J7450" s="10" t="n">
        <v>0</v>
      </c>
      <c r="K7450" s="10" t="s">
        <v>20</v>
      </c>
      <c r="L7450" s="11" t="n">
        <v>41819.5995138889</v>
      </c>
      <c r="M7450" s="12" t="s">
        <v>16751</v>
      </c>
      <c r="N7450" s="12" t="s">
        <v>16752</v>
      </c>
      <c r="O7450" s="9" t="str">
        <f aca="false">HYPERLINK("https://pbs.twimg.com/profile_images/895494084705624064/AuMrPVZV_normal.jpg","View")</f>
        <v>View</v>
      </c>
      <c r="P7450" s="10"/>
    </row>
    <row r="7451" customFormat="false" ht="15.75" hidden="false" customHeight="false" outlineLevel="0" collapsed="false">
      <c r="A7451" s="6" t="n">
        <v>43031.542650463</v>
      </c>
      <c r="B7451" s="7" t="str">
        <f aca="false">HYPERLINK("https://twitter.com/RodPDavison","@RodPDavison")</f>
        <v>@RodPDavison</v>
      </c>
      <c r="C7451" s="8" t="s">
        <v>16753</v>
      </c>
      <c r="D7451" s="8" t="s">
        <v>16734</v>
      </c>
      <c r="E7451" s="9" t="str">
        <f aca="false">HYPERLINK("https://twitter.com/RodPDavison/status/922553567415799811","922553567415799811")</f>
        <v>922553567415799811</v>
      </c>
      <c r="F7451" s="10" t="s">
        <v>39</v>
      </c>
      <c r="G7451" s="10" t="n">
        <v>1687</v>
      </c>
      <c r="H7451" s="10" t="n">
        <v>4998</v>
      </c>
      <c r="I7451" s="10" t="n">
        <v>7</v>
      </c>
      <c r="J7451" s="10" t="n">
        <v>0</v>
      </c>
      <c r="K7451" s="10" t="s">
        <v>20</v>
      </c>
      <c r="L7451" s="11" t="n">
        <v>40204.5287037037</v>
      </c>
      <c r="M7451" s="12" t="s">
        <v>16754</v>
      </c>
      <c r="N7451" s="12" t="s">
        <v>16755</v>
      </c>
      <c r="O7451" s="9" t="str">
        <f aca="false">HYPERLINK("https://pbs.twimg.com/profile_images/828722036348444676/WHdJUqIk_normal.jpg","View")</f>
        <v>View</v>
      </c>
      <c r="P7451" s="10"/>
    </row>
    <row r="7452" customFormat="false" ht="15.75" hidden="false" customHeight="false" outlineLevel="0" collapsed="false">
      <c r="A7452" s="6" t="n">
        <v>43031.5455787037</v>
      </c>
      <c r="B7452" s="7" t="str">
        <f aca="false">HYPERLINK("https://twitter.com/Channel4Radio","@Channel4Radio")</f>
        <v>@Channel4Radio</v>
      </c>
      <c r="C7452" s="8" t="s">
        <v>16756</v>
      </c>
      <c r="D7452" s="8" t="s">
        <v>16757</v>
      </c>
      <c r="E7452" s="9" t="str">
        <f aca="false">HYPERLINK("https://twitter.com/Channel4Radio/status/922554628570480641","922554628570480641")</f>
        <v>922554628570480641</v>
      </c>
      <c r="F7452" s="10" t="s">
        <v>39</v>
      </c>
      <c r="G7452" s="10" t="n">
        <v>1011</v>
      </c>
      <c r="H7452" s="10" t="n">
        <v>777</v>
      </c>
      <c r="I7452" s="10" t="n">
        <v>0</v>
      </c>
      <c r="J7452" s="10" t="n">
        <v>0</v>
      </c>
      <c r="K7452" s="10" t="s">
        <v>20</v>
      </c>
      <c r="L7452" s="11" t="n">
        <v>40894.8479282407</v>
      </c>
      <c r="M7452" s="12" t="s">
        <v>16758</v>
      </c>
      <c r="N7452" s="12" t="s">
        <v>16759</v>
      </c>
      <c r="O7452" s="9" t="str">
        <f aca="false">HYPERLINK("https://pbs.twimg.com/profile_images/923745289650913280/2zpNHjlM_normal.jpg","View")</f>
        <v>View</v>
      </c>
      <c r="P7452" s="10"/>
    </row>
    <row r="7453" customFormat="false" ht="15.75" hidden="false" customHeight="false" outlineLevel="0" collapsed="false">
      <c r="A7453" s="6" t="n">
        <v>43031.5460763889</v>
      </c>
      <c r="B7453" s="7" t="str">
        <f aca="false">HYPERLINK("https://twitter.com/Babuji9","@Babuji9")</f>
        <v>@Babuji9</v>
      </c>
      <c r="C7453" s="8" t="s">
        <v>16760</v>
      </c>
      <c r="D7453" s="8" t="s">
        <v>8538</v>
      </c>
      <c r="E7453" s="9" t="str">
        <f aca="false">HYPERLINK("https://twitter.com/Babuji9/status/922554810326503424","922554810326503424")</f>
        <v>922554810326503424</v>
      </c>
      <c r="F7453" s="10" t="s">
        <v>98</v>
      </c>
      <c r="G7453" s="10" t="n">
        <v>165</v>
      </c>
      <c r="H7453" s="10" t="n">
        <v>142</v>
      </c>
      <c r="I7453" s="10" t="n">
        <v>1015</v>
      </c>
      <c r="J7453" s="10" t="n">
        <v>0</v>
      </c>
      <c r="K7453" s="10" t="s">
        <v>20</v>
      </c>
      <c r="L7453" s="11" t="n">
        <v>40771.8299305556</v>
      </c>
      <c r="M7453" s="12" t="s">
        <v>16761</v>
      </c>
      <c r="N7453" s="12" t="s">
        <v>16762</v>
      </c>
      <c r="O7453" s="9" t="str">
        <f aca="false">HYPERLINK("https://abs.twimg.com/sticky/default_profile_images/default_profile_normal.png","View")</f>
        <v>View</v>
      </c>
      <c r="P7453" s="10"/>
    </row>
    <row r="7454" customFormat="false" ht="15.75" hidden="false" customHeight="false" outlineLevel="0" collapsed="false">
      <c r="A7454" s="6" t="n">
        <v>43031.5462268519</v>
      </c>
      <c r="B7454" s="7" t="str">
        <f aca="false">HYPERLINK("https://twitter.com/purengom","@purengom")</f>
        <v>@purengom</v>
      </c>
      <c r="C7454" s="14" t="s">
        <v>9817</v>
      </c>
      <c r="D7454" s="8" t="s">
        <v>16763</v>
      </c>
      <c r="E7454" s="9" t="str">
        <f aca="false">HYPERLINK("https://twitter.com/purengom/status/922554863770374144","922554863770374144")</f>
        <v>922554863770374144</v>
      </c>
      <c r="F7454" s="9" t="s">
        <v>1147</v>
      </c>
      <c r="G7454" s="10" t="n">
        <v>2493</v>
      </c>
      <c r="H7454" s="10" t="n">
        <v>2116</v>
      </c>
      <c r="I7454" s="10" t="n">
        <v>0</v>
      </c>
      <c r="J7454" s="10" t="n">
        <v>0</v>
      </c>
      <c r="K7454" s="10" t="s">
        <v>20</v>
      </c>
      <c r="L7454" s="11" t="n">
        <v>40032.3920138889</v>
      </c>
      <c r="M7454" s="12" t="s">
        <v>4161</v>
      </c>
      <c r="N7454" s="12" t="s">
        <v>9819</v>
      </c>
      <c r="O7454" s="9" t="str">
        <f aca="false">HYPERLINK("https://pbs.twimg.com/profile_images/877844139957641216/p_-HFqBn_normal.jpg","View")</f>
        <v>View</v>
      </c>
      <c r="P7454" s="10"/>
    </row>
    <row r="7455" customFormat="false" ht="15.75" hidden="false" customHeight="false" outlineLevel="0" collapsed="false">
      <c r="A7455" s="6" t="n">
        <v>43031.5462731482</v>
      </c>
      <c r="B7455" s="7" t="str">
        <f aca="false">HYPERLINK("https://twitter.com/TownhallReview","@TownhallReview")</f>
        <v>@TownhallReview</v>
      </c>
      <c r="C7455" s="8" t="s">
        <v>16764</v>
      </c>
      <c r="D7455" s="8" t="s">
        <v>16765</v>
      </c>
      <c r="E7455" s="9" t="str">
        <f aca="false">HYPERLINK("https://twitter.com/TownhallReview/status/922554879930978306","922554879930978306")</f>
        <v>922554879930978306</v>
      </c>
      <c r="F7455" s="10" t="s">
        <v>16766</v>
      </c>
      <c r="G7455" s="10" t="n">
        <v>4448</v>
      </c>
      <c r="H7455" s="10" t="n">
        <v>4245</v>
      </c>
      <c r="I7455" s="10" t="n">
        <v>0</v>
      </c>
      <c r="J7455" s="10" t="n">
        <v>0</v>
      </c>
      <c r="K7455" s="10" t="s">
        <v>20</v>
      </c>
      <c r="L7455" s="11" t="n">
        <v>41053.5670949074</v>
      </c>
      <c r="M7455" s="12"/>
      <c r="N7455" s="12" t="s">
        <v>16767</v>
      </c>
      <c r="O7455" s="9" t="str">
        <f aca="false">HYPERLINK("https://pbs.twimg.com/profile_images/601863408695119872/niyOIDMP_normal.jpg","View")</f>
        <v>View</v>
      </c>
      <c r="P7455" s="10"/>
    </row>
    <row r="7456" customFormat="false" ht="15.75" hidden="false" customHeight="false" outlineLevel="0" collapsed="false">
      <c r="A7456" s="6" t="n">
        <v>43031.5493981481</v>
      </c>
      <c r="B7456" s="7" t="str">
        <f aca="false">HYPERLINK("https://twitter.com/mrfigglns","@mrfigglns")</f>
        <v>@mrfigglns</v>
      </c>
      <c r="C7456" s="8" t="s">
        <v>16768</v>
      </c>
      <c r="D7456" s="8" t="s">
        <v>16734</v>
      </c>
      <c r="E7456" s="9" t="str">
        <f aca="false">HYPERLINK("https://twitter.com/mrfigglns/status/922556014909689856","922556014909689856")</f>
        <v>922556014909689856</v>
      </c>
      <c r="F7456" s="10" t="s">
        <v>25</v>
      </c>
      <c r="G7456" s="10" t="n">
        <v>115</v>
      </c>
      <c r="H7456" s="10" t="n">
        <v>2259</v>
      </c>
      <c r="I7456" s="10" t="n">
        <v>7</v>
      </c>
      <c r="J7456" s="10" t="n">
        <v>0</v>
      </c>
      <c r="K7456" s="10" t="s">
        <v>20</v>
      </c>
      <c r="L7456" s="11" t="n">
        <v>40635.2004398148</v>
      </c>
      <c r="M7456" s="12" t="s">
        <v>1359</v>
      </c>
      <c r="N7456" s="12" t="s">
        <v>16769</v>
      </c>
      <c r="O7456" s="9" t="str">
        <f aca="false">HYPERLINK("https://pbs.twimg.com/profile_images/764943004935258112/oZrboDfJ_normal.jpg","View")</f>
        <v>View</v>
      </c>
      <c r="P7456" s="10"/>
    </row>
    <row r="7457" customFormat="false" ht="15.75" hidden="false" customHeight="false" outlineLevel="0" collapsed="false">
      <c r="A7457" s="6" t="n">
        <v>43031.5501157407</v>
      </c>
      <c r="B7457" s="7" t="str">
        <f aca="false">HYPERLINK("https://twitter.com/whatslot","@whatslot")</f>
        <v>@whatslot</v>
      </c>
      <c r="C7457" s="8" t="s">
        <v>16770</v>
      </c>
      <c r="D7457" s="8" t="s">
        <v>16771</v>
      </c>
      <c r="E7457" s="9" t="str">
        <f aca="false">HYPERLINK("https://twitter.com/whatslot/status/922556272095977472","922556272095977472")</f>
        <v>922556272095977472</v>
      </c>
      <c r="F7457" s="10" t="s">
        <v>60</v>
      </c>
      <c r="G7457" s="10" t="n">
        <v>256</v>
      </c>
      <c r="H7457" s="10" t="n">
        <v>64</v>
      </c>
      <c r="I7457" s="10" t="n">
        <v>0</v>
      </c>
      <c r="J7457" s="10" t="n">
        <v>0</v>
      </c>
      <c r="K7457" s="10" t="s">
        <v>20</v>
      </c>
      <c r="L7457" s="11" t="n">
        <v>42087.6132523148</v>
      </c>
      <c r="M7457" s="12"/>
      <c r="N7457" s="12" t="s">
        <v>16772</v>
      </c>
      <c r="O7457" s="9" t="str">
        <f aca="false">HYPERLINK("https://pbs.twimg.com/profile_images/663468255298912256/0DKUgjU__normal.png","View")</f>
        <v>View</v>
      </c>
      <c r="P7457" s="10"/>
    </row>
    <row r="7458" customFormat="false" ht="15.75" hidden="false" customHeight="false" outlineLevel="0" collapsed="false">
      <c r="A7458" s="6" t="n">
        <v>43031.5502314815</v>
      </c>
      <c r="B7458" s="7" t="str">
        <f aca="false">HYPERLINK("https://twitter.com/EggmanOrWalrus","@EggmanOrWalrus")</f>
        <v>@EggmanOrWalrus</v>
      </c>
      <c r="C7458" s="8" t="s">
        <v>16773</v>
      </c>
      <c r="D7458" s="8" t="s">
        <v>16774</v>
      </c>
      <c r="E7458" s="9" t="str">
        <f aca="false">HYPERLINK("https://twitter.com/EggmanOrWalrus/status/922556313976139777","922556313976139777")</f>
        <v>922556313976139777</v>
      </c>
      <c r="F7458" s="10" t="s">
        <v>16775</v>
      </c>
      <c r="G7458" s="10" t="n">
        <v>149</v>
      </c>
      <c r="H7458" s="10" t="n">
        <v>35</v>
      </c>
      <c r="I7458" s="10" t="n">
        <v>0</v>
      </c>
      <c r="J7458" s="10" t="n">
        <v>0</v>
      </c>
      <c r="K7458" s="10" t="s">
        <v>20</v>
      </c>
      <c r="L7458" s="11" t="n">
        <v>39883.6917476852</v>
      </c>
      <c r="M7458" s="12" t="s">
        <v>588</v>
      </c>
      <c r="N7458" s="12" t="s">
        <v>16776</v>
      </c>
      <c r="O7458" s="9" t="str">
        <f aca="false">HYPERLINK("https://pbs.twimg.com/profile_images/805175433767567360/yLKWytM0_normal.jpg","View")</f>
        <v>View</v>
      </c>
      <c r="P7458" s="10"/>
    </row>
    <row r="7459" customFormat="false" ht="15.75" hidden="false" customHeight="false" outlineLevel="0" collapsed="false">
      <c r="A7459" s="6" t="n">
        <v>43031.5523958333</v>
      </c>
      <c r="B7459" s="7" t="str">
        <f aca="false">HYPERLINK("https://twitter.com/AdvocateIndian","@AdvocateIndian")</f>
        <v>@AdvocateIndian</v>
      </c>
      <c r="C7459" s="8" t="s">
        <v>16777</v>
      </c>
      <c r="D7459" s="8" t="s">
        <v>16778</v>
      </c>
      <c r="E7459" s="9" t="str">
        <f aca="false">HYPERLINK("https://twitter.com/AdvocateIndian/status/922557101213282304","922557101213282304")</f>
        <v>922557101213282304</v>
      </c>
      <c r="F7459" s="10" t="s">
        <v>39</v>
      </c>
      <c r="G7459" s="10" t="n">
        <v>282</v>
      </c>
      <c r="H7459" s="10" t="n">
        <v>167</v>
      </c>
      <c r="I7459" s="10" t="n">
        <v>0</v>
      </c>
      <c r="J7459" s="10" t="n">
        <v>0</v>
      </c>
      <c r="K7459" s="10" t="s">
        <v>20</v>
      </c>
      <c r="L7459" s="11" t="n">
        <v>42204.2503009259</v>
      </c>
      <c r="M7459" s="12"/>
      <c r="N7459" s="12"/>
      <c r="O7459" s="9" t="str">
        <f aca="false">HYPERLINK("https://pbs.twimg.com/profile_images/623531047695683584/V3PmTKo5_normal.jpg","View")</f>
        <v>View</v>
      </c>
      <c r="P7459" s="10"/>
    </row>
    <row r="7460" customFormat="false" ht="15.75" hidden="false" customHeight="false" outlineLevel="0" collapsed="false">
      <c r="A7460" s="6" t="n">
        <v>43031.5565162037</v>
      </c>
      <c r="B7460" s="7" t="str">
        <f aca="false">HYPERLINK("https://twitter.com/PineBridge","@PineBridge")</f>
        <v>@PineBridge</v>
      </c>
      <c r="C7460" s="8" t="s">
        <v>16779</v>
      </c>
      <c r="D7460" s="8" t="s">
        <v>16780</v>
      </c>
      <c r="E7460" s="9" t="str">
        <f aca="false">HYPERLINK("https://twitter.com/PineBridge/status/922558592921800707","922558592921800707")</f>
        <v>922558592921800707</v>
      </c>
      <c r="F7460" s="10" t="s">
        <v>110</v>
      </c>
      <c r="G7460" s="10" t="n">
        <v>1230</v>
      </c>
      <c r="H7460" s="10" t="n">
        <v>221</v>
      </c>
      <c r="I7460" s="10" t="n">
        <v>0</v>
      </c>
      <c r="J7460" s="10" t="n">
        <v>0</v>
      </c>
      <c r="K7460" s="10" t="s">
        <v>20</v>
      </c>
      <c r="L7460" s="11" t="n">
        <v>40081.5403240741</v>
      </c>
      <c r="M7460" s="12" t="s">
        <v>1143</v>
      </c>
      <c r="N7460" s="12" t="s">
        <v>16781</v>
      </c>
      <c r="O7460" s="9" t="str">
        <f aca="false">HYPERLINK("https://pbs.twimg.com/profile_images/1224631922/PineBridge-TwitterIcon2_normal.jpg","View")</f>
        <v>View</v>
      </c>
      <c r="P7460" s="10"/>
    </row>
    <row r="7461" customFormat="false" ht="15.75" hidden="false" customHeight="false" outlineLevel="0" collapsed="false">
      <c r="A7461" s="6" t="n">
        <v>43031.5565972222</v>
      </c>
      <c r="B7461" s="7" t="str">
        <f aca="false">HYPERLINK("https://twitter.com/AndreaAquaro","@AndreaAquaro")</f>
        <v>@AndreaAquaro</v>
      </c>
      <c r="C7461" s="8" t="s">
        <v>16782</v>
      </c>
      <c r="D7461" s="8" t="s">
        <v>13253</v>
      </c>
      <c r="E7461" s="9" t="str">
        <f aca="false">HYPERLINK("https://twitter.com/AndreaAquaro/status/922558620327469056","922558620327469056")</f>
        <v>922558620327469056</v>
      </c>
      <c r="F7461" s="10" t="s">
        <v>51</v>
      </c>
      <c r="G7461" s="10" t="n">
        <v>5962</v>
      </c>
      <c r="H7461" s="10" t="n">
        <v>596</v>
      </c>
      <c r="I7461" s="10" t="n">
        <v>22</v>
      </c>
      <c r="J7461" s="10" t="n">
        <v>0</v>
      </c>
      <c r="K7461" s="10" t="s">
        <v>20</v>
      </c>
      <c r="L7461" s="11" t="n">
        <v>40550.4649768519</v>
      </c>
      <c r="M7461" s="12" t="s">
        <v>182</v>
      </c>
      <c r="N7461" s="12" t="s">
        <v>16783</v>
      </c>
      <c r="O7461" s="9" t="str">
        <f aca="false">HYPERLINK("https://pbs.twimg.com/profile_images/670897079439486976/YLn5EZ5F_normal.jpg","View")</f>
        <v>View</v>
      </c>
      <c r="P7461" s="10"/>
    </row>
    <row r="7462" customFormat="false" ht="15.75" hidden="false" customHeight="false" outlineLevel="0" collapsed="false">
      <c r="A7462" s="6" t="n">
        <v>43031.5582523148</v>
      </c>
      <c r="B7462" s="7" t="str">
        <f aca="false">HYPERLINK("https://twitter.com/TheEconomist","@TheEconomist")</f>
        <v>@TheEconomist</v>
      </c>
      <c r="C7462" s="8" t="s">
        <v>16402</v>
      </c>
      <c r="D7462" s="8" t="s">
        <v>16784</v>
      </c>
      <c r="E7462" s="9" t="str">
        <f aca="false">HYPERLINK("https://twitter.com/TheEconomist/status/922559221438304256","922559221438304256")</f>
        <v>922559221438304256</v>
      </c>
      <c r="F7462" s="10" t="s">
        <v>268</v>
      </c>
      <c r="G7462" s="10" t="n">
        <v>22245265</v>
      </c>
      <c r="H7462" s="10" t="n">
        <v>157</v>
      </c>
      <c r="I7462" s="10" t="n">
        <v>41</v>
      </c>
      <c r="J7462" s="10" t="n">
        <v>83</v>
      </c>
      <c r="K7462" s="10" t="s">
        <v>20</v>
      </c>
      <c r="L7462" s="11" t="n">
        <v>39214.2533564815</v>
      </c>
      <c r="M7462" s="12" t="s">
        <v>893</v>
      </c>
      <c r="N7462" s="12" t="s">
        <v>16404</v>
      </c>
      <c r="O7462" s="9" t="str">
        <f aca="false">HYPERLINK("https://pbs.twimg.com/profile_images/879361767914262528/HdRauDM-_normal.jpg","View")</f>
        <v>View</v>
      </c>
      <c r="P7462" s="10"/>
    </row>
    <row r="7463" customFormat="false" ht="15.75" hidden="false" customHeight="false" outlineLevel="0" collapsed="false">
      <c r="A7463" s="6" t="n">
        <v>43031.5584375</v>
      </c>
      <c r="B7463" s="7" t="str">
        <f aca="false">HYPERLINK("https://twitter.com/deduped_economi","@deduped_economi")</f>
        <v>@deduped_economi</v>
      </c>
      <c r="C7463" s="8" t="s">
        <v>16418</v>
      </c>
      <c r="D7463" s="8" t="s">
        <v>16785</v>
      </c>
      <c r="E7463" s="9" t="str">
        <f aca="false">HYPERLINK("https://twitter.com/deduped_economi/status/922559289151053824","922559289151053824")</f>
        <v>922559289151053824</v>
      </c>
      <c r="F7463" s="10" t="s">
        <v>16419</v>
      </c>
      <c r="G7463" s="10" t="n">
        <v>166</v>
      </c>
      <c r="H7463" s="10" t="n">
        <v>0</v>
      </c>
      <c r="I7463" s="10" t="n">
        <v>41</v>
      </c>
      <c r="J7463" s="10" t="n">
        <v>0</v>
      </c>
      <c r="K7463" s="10" t="s">
        <v>20</v>
      </c>
      <c r="L7463" s="11" t="n">
        <v>42228.5692476852</v>
      </c>
      <c r="M7463" s="12"/>
      <c r="N7463" s="12"/>
      <c r="O7463" s="9" t="str">
        <f aca="false">HYPERLINK("https://abs.twimg.com/sticky/default_profile_images/default_profile_normal.png","View")</f>
        <v>View</v>
      </c>
      <c r="P7463" s="10"/>
    </row>
    <row r="7464" customFormat="false" ht="15.75" hidden="false" customHeight="false" outlineLevel="0" collapsed="false">
      <c r="A7464" s="6" t="n">
        <v>43031.5584837963</v>
      </c>
      <c r="B7464" s="7" t="str">
        <f aca="false">HYPERLINK("https://twitter.com/Essay_Lords","@Essay_Lords")</f>
        <v>@Essay_Lords</v>
      </c>
      <c r="C7464" s="8" t="s">
        <v>16409</v>
      </c>
      <c r="D7464" s="8" t="s">
        <v>16786</v>
      </c>
      <c r="E7464" s="9" t="str">
        <f aca="false">HYPERLINK("https://twitter.com/Essay_Lords/status/922559306502983680","922559306502983680")</f>
        <v>922559306502983680</v>
      </c>
      <c r="F7464" s="10" t="s">
        <v>60</v>
      </c>
      <c r="G7464" s="10" t="n">
        <v>4286</v>
      </c>
      <c r="H7464" s="10" t="n">
        <v>3618</v>
      </c>
      <c r="I7464" s="10" t="n">
        <v>0</v>
      </c>
      <c r="J7464" s="10" t="n">
        <v>0</v>
      </c>
      <c r="K7464" s="10" t="s">
        <v>20</v>
      </c>
      <c r="L7464" s="11" t="n">
        <v>41982.4216550926</v>
      </c>
      <c r="M7464" s="12" t="s">
        <v>3712</v>
      </c>
      <c r="N7464" s="12" t="s">
        <v>16411</v>
      </c>
      <c r="O7464" s="9" t="str">
        <f aca="false">HYPERLINK("https://pbs.twimg.com/profile_images/722066414362894336/kHUvL0fA_normal.jpg","View")</f>
        <v>View</v>
      </c>
      <c r="P7464" s="10"/>
    </row>
    <row r="7465" customFormat="false" ht="15.75" hidden="false" customHeight="false" outlineLevel="0" collapsed="false">
      <c r="A7465" s="6" t="n">
        <v>43031.5588078704</v>
      </c>
      <c r="B7465" s="7" t="str">
        <f aca="false">HYPERLINK("https://twitter.com/nyovest_bishoo","@nyovest_bishoo")</f>
        <v>@nyovest_bishoo</v>
      </c>
      <c r="C7465" s="8" t="s">
        <v>16787</v>
      </c>
      <c r="D7465" s="8" t="s">
        <v>16785</v>
      </c>
      <c r="E7465" s="9" t="str">
        <f aca="false">HYPERLINK("https://twitter.com/nyovest_bishoo/status/922559423435829249","922559423435829249")</f>
        <v>922559423435829249</v>
      </c>
      <c r="F7465" s="10" t="s">
        <v>25</v>
      </c>
      <c r="G7465" s="10" t="n">
        <v>152</v>
      </c>
      <c r="H7465" s="10" t="n">
        <v>711</v>
      </c>
      <c r="I7465" s="10" t="n">
        <v>41</v>
      </c>
      <c r="J7465" s="10" t="n">
        <v>0</v>
      </c>
      <c r="K7465" s="10" t="s">
        <v>20</v>
      </c>
      <c r="L7465" s="11" t="n">
        <v>42856.3939930556</v>
      </c>
      <c r="M7465" s="12" t="s">
        <v>1246</v>
      </c>
      <c r="N7465" s="12" t="s">
        <v>16788</v>
      </c>
      <c r="O7465" s="9" t="str">
        <f aca="false">HYPERLINK("https://pbs.twimg.com/profile_images/920148358664196096/S3TPQyr-_normal.jpg","View")</f>
        <v>View</v>
      </c>
      <c r="P7465" s="10"/>
    </row>
    <row r="7466" customFormat="false" ht="15.75" hidden="false" customHeight="false" outlineLevel="0" collapsed="false">
      <c r="A7466" s="6" t="n">
        <v>43031.558900463</v>
      </c>
      <c r="B7466" s="7" t="str">
        <f aca="false">HYPERLINK("https://twitter.com/G_Jakubowski","@G_Jakubowski")</f>
        <v>@G_Jakubowski</v>
      </c>
      <c r="C7466" s="8" t="s">
        <v>16789</v>
      </c>
      <c r="D7466" s="8" t="s">
        <v>16785</v>
      </c>
      <c r="E7466" s="9" t="str">
        <f aca="false">HYPERLINK("https://twitter.com/G_Jakubowski/status/922559455723696129","922559455723696129")</f>
        <v>922559455723696129</v>
      </c>
      <c r="F7466" s="10" t="s">
        <v>1017</v>
      </c>
      <c r="G7466" s="10" t="n">
        <v>3456</v>
      </c>
      <c r="H7466" s="10" t="n">
        <v>660</v>
      </c>
      <c r="I7466" s="10" t="n">
        <v>41</v>
      </c>
      <c r="J7466" s="10" t="n">
        <v>0</v>
      </c>
      <c r="K7466" s="10" t="s">
        <v>20</v>
      </c>
      <c r="L7466" s="11" t="n">
        <v>41324.7560532407</v>
      </c>
      <c r="M7466" s="12" t="s">
        <v>16790</v>
      </c>
      <c r="N7466" s="12" t="s">
        <v>16791</v>
      </c>
      <c r="O7466" s="9" t="str">
        <f aca="false">HYPERLINK("https://pbs.twimg.com/profile_images/902807159385219072/x_9Wg6Ac_normal.jpg","View")</f>
        <v>View</v>
      </c>
      <c r="P7466" s="10"/>
    </row>
    <row r="7467" customFormat="false" ht="15.75" hidden="false" customHeight="false" outlineLevel="0" collapsed="false">
      <c r="A7467" s="6" t="n">
        <v>43031.5591087963</v>
      </c>
      <c r="B7467" s="7" t="str">
        <f aca="false">HYPERLINK("https://twitter.com/InvestingLatest","@InvestingLatest")</f>
        <v>@InvestingLatest</v>
      </c>
      <c r="C7467" s="8" t="s">
        <v>934</v>
      </c>
      <c r="D7467" s="8" t="s">
        <v>16792</v>
      </c>
      <c r="E7467" s="9" t="str">
        <f aca="false">HYPERLINK("https://twitter.com/InvestingLatest/status/922559532156383241","922559532156383241")</f>
        <v>922559532156383241</v>
      </c>
      <c r="F7467" s="10" t="s">
        <v>60</v>
      </c>
      <c r="G7467" s="10" t="n">
        <v>1538</v>
      </c>
      <c r="H7467" s="10" t="n">
        <v>33</v>
      </c>
      <c r="I7467" s="10" t="n">
        <v>0</v>
      </c>
      <c r="J7467" s="10" t="n">
        <v>0</v>
      </c>
      <c r="K7467" s="10" t="s">
        <v>20</v>
      </c>
      <c r="L7467" s="11" t="n">
        <v>41946.3308912037</v>
      </c>
      <c r="M7467" s="12"/>
      <c r="N7467" s="12" t="s">
        <v>936</v>
      </c>
      <c r="O7467" s="9" t="str">
        <f aca="false">HYPERLINK("https://pbs.twimg.com/profile_images/529461684297945089/uscUz0UO_normal.jpeg","View")</f>
        <v>View</v>
      </c>
      <c r="P7467" s="10"/>
    </row>
    <row r="7468" customFormat="false" ht="15.75" hidden="false" customHeight="false" outlineLevel="0" collapsed="false">
      <c r="A7468" s="6" t="n">
        <v>43031.5591087963</v>
      </c>
      <c r="B7468" s="7" t="str">
        <f aca="false">HYPERLINK("https://twitter.com/the__himanish","@the__himanish")</f>
        <v>@the__himanish</v>
      </c>
      <c r="C7468" s="8" t="s">
        <v>382</v>
      </c>
      <c r="D7468" s="8" t="s">
        <v>16793</v>
      </c>
      <c r="E7468" s="9" t="str">
        <f aca="false">HYPERLINK("https://twitter.com/the__himanish/status/922559533829931008","922559533829931008")</f>
        <v>922559533829931008</v>
      </c>
      <c r="F7468" s="10" t="s">
        <v>60</v>
      </c>
      <c r="G7468" s="10" t="n">
        <v>1811</v>
      </c>
      <c r="H7468" s="10" t="n">
        <v>1625</v>
      </c>
      <c r="I7468" s="10" t="n">
        <v>0</v>
      </c>
      <c r="J7468" s="10" t="n">
        <v>0</v>
      </c>
      <c r="K7468" s="10" t="s">
        <v>20</v>
      </c>
      <c r="L7468" s="11" t="n">
        <v>40222.1517824074</v>
      </c>
      <c r="M7468" s="12" t="s">
        <v>87</v>
      </c>
      <c r="N7468" s="12" t="s">
        <v>384</v>
      </c>
      <c r="O7468" s="9" t="str">
        <f aca="false">HYPERLINK("https://pbs.twimg.com/profile_images/914165533918015489/A6iR_gz2_normal.jpg","View")</f>
        <v>View</v>
      </c>
      <c r="P7468" s="10"/>
    </row>
    <row r="7469" customFormat="false" ht="15.75" hidden="false" customHeight="false" outlineLevel="0" collapsed="false">
      <c r="A7469" s="6" t="n">
        <v>43031.5591203704</v>
      </c>
      <c r="B7469" s="7" t="str">
        <f aca="false">HYPERLINK("https://twitter.com/NBRnews","@NBRnews")</f>
        <v>@NBRnews</v>
      </c>
      <c r="C7469" s="8" t="s">
        <v>16794</v>
      </c>
      <c r="D7469" s="8" t="s">
        <v>16795</v>
      </c>
      <c r="E7469" s="9" t="str">
        <f aca="false">HYPERLINK("https://twitter.com/NBRnews/status/922559536287961088","922559536287961088")</f>
        <v>922559536287961088</v>
      </c>
      <c r="F7469" s="10" t="s">
        <v>110</v>
      </c>
      <c r="G7469" s="10" t="n">
        <v>8007</v>
      </c>
      <c r="H7469" s="10" t="n">
        <v>5776</v>
      </c>
      <c r="I7469" s="10" t="n">
        <v>0</v>
      </c>
      <c r="J7469" s="10" t="n">
        <v>1</v>
      </c>
      <c r="K7469" s="10" t="s">
        <v>20</v>
      </c>
      <c r="L7469" s="11" t="n">
        <v>40042.5889583333</v>
      </c>
      <c r="M7469" s="12" t="s">
        <v>16796</v>
      </c>
      <c r="N7469" s="12" t="s">
        <v>16797</v>
      </c>
      <c r="O7469" s="9" t="str">
        <f aca="false">HYPERLINK("https://pbs.twimg.com/profile_images/505120778442911744/HfY8pf21_normal.jpeg","View")</f>
        <v>View</v>
      </c>
      <c r="P7469" s="10"/>
    </row>
    <row r="7470" customFormat="false" ht="15.75" hidden="false" customHeight="false" outlineLevel="0" collapsed="false">
      <c r="A7470" s="6" t="n">
        <v>43031.5593865741</v>
      </c>
      <c r="B7470" s="7" t="str">
        <f aca="false">HYPERLINK("https://twitter.com/wild__hunt","@wild__hunt")</f>
        <v>@wild__hunt</v>
      </c>
      <c r="C7470" s="8" t="s">
        <v>16798</v>
      </c>
      <c r="D7470" s="8" t="s">
        <v>16785</v>
      </c>
      <c r="E7470" s="9" t="str">
        <f aca="false">HYPERLINK("https://twitter.com/wild__hunt/status/922559632257642503","922559632257642503")</f>
        <v>922559632257642503</v>
      </c>
      <c r="F7470" s="10" t="s">
        <v>51</v>
      </c>
      <c r="G7470" s="10" t="n">
        <v>409</v>
      </c>
      <c r="H7470" s="10" t="n">
        <v>92</v>
      </c>
      <c r="I7470" s="10" t="n">
        <v>41</v>
      </c>
      <c r="J7470" s="10" t="n">
        <v>0</v>
      </c>
      <c r="K7470" s="10" t="s">
        <v>20</v>
      </c>
      <c r="L7470" s="11" t="n">
        <v>42883.065775463</v>
      </c>
      <c r="M7470" s="12" t="s">
        <v>186</v>
      </c>
      <c r="N7470" s="12" t="s">
        <v>16799</v>
      </c>
      <c r="O7470" s="9" t="str">
        <f aca="false">HYPERLINK("https://pbs.twimg.com/profile_images/923530017115475968/DdEwJrqV_normal.jpg","View")</f>
        <v>View</v>
      </c>
      <c r="P7470" s="10"/>
    </row>
    <row r="7471" customFormat="false" ht="15.75" hidden="false" customHeight="false" outlineLevel="0" collapsed="false">
      <c r="A7471" s="6" t="n">
        <v>43031.5593865741</v>
      </c>
      <c r="B7471" s="7" t="str">
        <f aca="false">HYPERLINK("https://twitter.com/kasworld_usa","@kasworld_usa")</f>
        <v>@kasworld_usa</v>
      </c>
      <c r="C7471" s="8" t="s">
        <v>16427</v>
      </c>
      <c r="D7471" s="8" t="s">
        <v>16800</v>
      </c>
      <c r="E7471" s="9" t="str">
        <f aca="false">HYPERLINK("https://twitter.com/kasworld_usa/status/922559633893535746","922559633893535746")</f>
        <v>922559633893535746</v>
      </c>
      <c r="F7471" s="10" t="s">
        <v>60</v>
      </c>
      <c r="G7471" s="10" t="n">
        <v>5</v>
      </c>
      <c r="H7471" s="10" t="n">
        <v>0</v>
      </c>
      <c r="I7471" s="10" t="n">
        <v>0</v>
      </c>
      <c r="J7471" s="10" t="n">
        <v>0</v>
      </c>
      <c r="K7471" s="10" t="s">
        <v>20</v>
      </c>
      <c r="L7471" s="11" t="n">
        <v>43001.218599537</v>
      </c>
      <c r="M7471" s="12" t="s">
        <v>16429</v>
      </c>
      <c r="N7471" s="12" t="s">
        <v>16430</v>
      </c>
      <c r="O7471" s="9" t="str">
        <f aca="false">HYPERLINK("https://pbs.twimg.com/profile_images/921365590719074305/DkuJU8qU_normal.jpg","View")</f>
        <v>View</v>
      </c>
      <c r="P7471" s="10"/>
    </row>
    <row r="7472" customFormat="false" ht="15.75" hidden="false" customHeight="false" outlineLevel="0" collapsed="false">
      <c r="A7472" s="6" t="n">
        <v>43031.5594328704</v>
      </c>
      <c r="B7472" s="7" t="str">
        <f aca="false">HYPERLINK("https://twitter.com/Anderson_Mdwayi","@Anderson_Mdwayi")</f>
        <v>@Anderson_Mdwayi</v>
      </c>
      <c r="C7472" s="8" t="s">
        <v>16801</v>
      </c>
      <c r="D7472" s="8" t="s">
        <v>16785</v>
      </c>
      <c r="E7472" s="9" t="str">
        <f aca="false">HYPERLINK("https://twitter.com/Anderson_Mdwayi/status/922559648720285697","922559648720285697")</f>
        <v>922559648720285697</v>
      </c>
      <c r="F7472" s="10" t="s">
        <v>25</v>
      </c>
      <c r="G7472" s="10" t="n">
        <v>90</v>
      </c>
      <c r="H7472" s="10" t="n">
        <v>327</v>
      </c>
      <c r="I7472" s="10" t="n">
        <v>41</v>
      </c>
      <c r="J7472" s="10" t="n">
        <v>0</v>
      </c>
      <c r="K7472" s="10" t="s">
        <v>20</v>
      </c>
      <c r="L7472" s="11" t="n">
        <v>42772.1092476852</v>
      </c>
      <c r="M7472" s="12" t="s">
        <v>16802</v>
      </c>
      <c r="N7472" s="12" t="s">
        <v>16803</v>
      </c>
      <c r="O7472" s="9" t="str">
        <f aca="false">HYPERLINK("https://pbs.twimg.com/profile_images/843365805026951169/WtCML2c6_normal.jpg","View")</f>
        <v>View</v>
      </c>
      <c r="P7472" s="10"/>
    </row>
    <row r="7473" customFormat="false" ht="15.75" hidden="false" customHeight="false" outlineLevel="0" collapsed="false">
      <c r="A7473" s="6" t="n">
        <v>43031.5597337963</v>
      </c>
      <c r="B7473" s="7" t="str">
        <f aca="false">HYPERLINK("https://twitter.com/LucaPintavalle","@LucaPintavalle")</f>
        <v>@LucaPintavalle</v>
      </c>
      <c r="C7473" s="8" t="s">
        <v>16804</v>
      </c>
      <c r="D7473" s="8" t="s">
        <v>16785</v>
      </c>
      <c r="E7473" s="9" t="str">
        <f aca="false">HYPERLINK("https://twitter.com/LucaPintavalle/status/922559759781261312","922559759781261312")</f>
        <v>922559759781261312</v>
      </c>
      <c r="F7473" s="10" t="s">
        <v>51</v>
      </c>
      <c r="G7473" s="10" t="n">
        <v>621</v>
      </c>
      <c r="H7473" s="10" t="n">
        <v>1243</v>
      </c>
      <c r="I7473" s="10" t="n">
        <v>41</v>
      </c>
      <c r="J7473" s="10" t="n">
        <v>0</v>
      </c>
      <c r="K7473" s="10" t="s">
        <v>20</v>
      </c>
      <c r="L7473" s="11" t="n">
        <v>40508.4278703704</v>
      </c>
      <c r="M7473" s="12" t="s">
        <v>16805</v>
      </c>
      <c r="N7473" s="12" t="s">
        <v>16806</v>
      </c>
      <c r="O7473" s="9" t="str">
        <f aca="false">HYPERLINK("https://pbs.twimg.com/profile_images/648860446854934528/-LG0LXIR_normal.jpg","View")</f>
        <v>View</v>
      </c>
      <c r="P7473" s="10"/>
    </row>
    <row r="7474" customFormat="false" ht="15.75" hidden="false" customHeight="false" outlineLevel="0" collapsed="false">
      <c r="A7474" s="6" t="n">
        <v>43031.5597800926</v>
      </c>
      <c r="B7474" s="7" t="str">
        <f aca="false">HYPERLINK("https://twitter.com/Piechocinski","@Piechocinski")</f>
        <v>@Piechocinski</v>
      </c>
      <c r="C7474" s="8" t="s">
        <v>16807</v>
      </c>
      <c r="D7474" s="8" t="s">
        <v>16785</v>
      </c>
      <c r="E7474" s="9" t="str">
        <f aca="false">HYPERLINK("https://twitter.com/Piechocinski/status/922559776231444486","922559776231444486")</f>
        <v>922559776231444486</v>
      </c>
      <c r="F7474" s="10" t="s">
        <v>39</v>
      </c>
      <c r="G7474" s="10" t="n">
        <v>58431</v>
      </c>
      <c r="H7474" s="10" t="n">
        <v>656</v>
      </c>
      <c r="I7474" s="10" t="n">
        <v>41</v>
      </c>
      <c r="J7474" s="10" t="n">
        <v>0</v>
      </c>
      <c r="K7474" s="10" t="s">
        <v>20</v>
      </c>
      <c r="L7474" s="11" t="n">
        <v>40718.1955787037</v>
      </c>
      <c r="M7474" s="12"/>
      <c r="N7474" s="12" t="s">
        <v>16808</v>
      </c>
      <c r="O7474" s="9" t="str">
        <f aca="false">HYPERLINK("https://pbs.twimg.com/profile_images/873475061700857856/UBow_zRi_normal.jpg","View")</f>
        <v>View</v>
      </c>
      <c r="P7474" s="10"/>
    </row>
    <row r="7475" customFormat="false" ht="15.75" hidden="false" customHeight="false" outlineLevel="0" collapsed="false">
      <c r="A7475" s="6" t="n">
        <v>43031.5599884259</v>
      </c>
      <c r="B7475" s="7" t="str">
        <f aca="false">HYPERLINK("https://twitter.com/yasen_jouhou","@yasen_jouhou")</f>
        <v>@yasen_jouhou</v>
      </c>
      <c r="C7475" s="14" t="s">
        <v>16809</v>
      </c>
      <c r="D7475" s="8" t="s">
        <v>12493</v>
      </c>
      <c r="E7475" s="9" t="str">
        <f aca="false">HYPERLINK("https://twitter.com/yasen_jouhou/status/922559851179384832","922559851179384832")</f>
        <v>922559851179384832</v>
      </c>
      <c r="F7475" s="10" t="s">
        <v>25</v>
      </c>
      <c r="G7475" s="10" t="n">
        <v>110</v>
      </c>
      <c r="H7475" s="10" t="n">
        <v>117</v>
      </c>
      <c r="I7475" s="10" t="n">
        <v>63</v>
      </c>
      <c r="J7475" s="10" t="n">
        <v>0</v>
      </c>
      <c r="K7475" s="10" t="s">
        <v>20</v>
      </c>
      <c r="L7475" s="11" t="n">
        <v>41879.8670717593</v>
      </c>
      <c r="M7475" s="12"/>
      <c r="N7475" s="12"/>
      <c r="O7475" s="9" t="str">
        <f aca="false">HYPERLINK("https://abs.twimg.com/sticky/default_profile_images/default_profile_normal.png","View")</f>
        <v>View</v>
      </c>
      <c r="P7475" s="10"/>
    </row>
    <row r="7476" customFormat="false" ht="15.75" hidden="false" customHeight="false" outlineLevel="0" collapsed="false">
      <c r="A7476" s="6" t="n">
        <v>43031.5600347222</v>
      </c>
      <c r="B7476" s="7" t="str">
        <f aca="false">HYPERLINK("https://twitter.com/rjimenezu","@rjimenezu")</f>
        <v>@rjimenezu</v>
      </c>
      <c r="C7476" s="8" t="s">
        <v>16440</v>
      </c>
      <c r="D7476" s="8" t="s">
        <v>16810</v>
      </c>
      <c r="E7476" s="9" t="str">
        <f aca="false">HYPERLINK("https://twitter.com/rjimenezu/status/922559867763806208","922559867763806208")</f>
        <v>922559867763806208</v>
      </c>
      <c r="F7476" s="10" t="s">
        <v>60</v>
      </c>
      <c r="G7476" s="10" t="n">
        <v>516</v>
      </c>
      <c r="H7476" s="10" t="n">
        <v>712</v>
      </c>
      <c r="I7476" s="10" t="n">
        <v>0</v>
      </c>
      <c r="J7476" s="10" t="n">
        <v>0</v>
      </c>
      <c r="K7476" s="10" t="s">
        <v>20</v>
      </c>
      <c r="L7476" s="11" t="n">
        <v>40350.5925115741</v>
      </c>
      <c r="M7476" s="12"/>
      <c r="N7476" s="12" t="s">
        <v>16442</v>
      </c>
      <c r="O7476" s="9" t="str">
        <f aca="false">HYPERLINK("https://pbs.twimg.com/profile_images/906645970632417280/gT00Oflk_normal.jpg","View")</f>
        <v>View</v>
      </c>
      <c r="P7476" s="10"/>
    </row>
    <row r="7477" customFormat="false" ht="15.75" hidden="false" customHeight="false" outlineLevel="0" collapsed="false">
      <c r="A7477" s="6" t="n">
        <v>43031.5603935185</v>
      </c>
      <c r="B7477" s="7" t="str">
        <f aca="false">HYPERLINK("https://twitter.com/coreburnflat","@coreburnflat")</f>
        <v>@coreburnflat</v>
      </c>
      <c r="C7477" s="8" t="s">
        <v>16811</v>
      </c>
      <c r="D7477" s="8" t="s">
        <v>16812</v>
      </c>
      <c r="E7477" s="9" t="str">
        <f aca="false">HYPERLINK("https://twitter.com/coreburnflat/status/922559997371826176","922559997371826176")</f>
        <v>922559997371826176</v>
      </c>
      <c r="F7477" s="10" t="s">
        <v>55</v>
      </c>
      <c r="G7477" s="10" t="n">
        <v>923</v>
      </c>
      <c r="H7477" s="10" t="n">
        <v>562</v>
      </c>
      <c r="I7477" s="10" t="n">
        <v>0</v>
      </c>
      <c r="J7477" s="10" t="n">
        <v>0</v>
      </c>
      <c r="K7477" s="10" t="s">
        <v>20</v>
      </c>
      <c r="L7477" s="11" t="n">
        <v>40982.479525463</v>
      </c>
      <c r="M7477" s="12"/>
      <c r="N7477" s="12"/>
      <c r="O7477" s="9" t="str">
        <f aca="false">HYPERLINK("https://pbs.twimg.com/profile_images/1898142881/core_normal.jpg","View")</f>
        <v>View</v>
      </c>
      <c r="P7477" s="10"/>
    </row>
    <row r="7478" customFormat="false" ht="15.75" hidden="false" customHeight="false" outlineLevel="0" collapsed="false">
      <c r="A7478" s="6" t="n">
        <v>43031.5604398148</v>
      </c>
      <c r="B7478" s="7" t="str">
        <f aca="false">HYPERLINK("https://twitter.com/jojodiane12345","@jojodiane12345")</f>
        <v>@jojodiane12345</v>
      </c>
      <c r="C7478" s="8" t="s">
        <v>16813</v>
      </c>
      <c r="D7478" s="8" t="s">
        <v>16785</v>
      </c>
      <c r="E7478" s="9" t="str">
        <f aca="false">HYPERLINK("https://twitter.com/jojodiane12345/status/922560013347909634","922560013347909634")</f>
        <v>922560013347909634</v>
      </c>
      <c r="F7478" s="10" t="s">
        <v>25</v>
      </c>
      <c r="G7478" s="10" t="n">
        <v>331</v>
      </c>
      <c r="H7478" s="10" t="n">
        <v>871</v>
      </c>
      <c r="I7478" s="10" t="n">
        <v>41</v>
      </c>
      <c r="J7478" s="10" t="n">
        <v>0</v>
      </c>
      <c r="K7478" s="10" t="s">
        <v>20</v>
      </c>
      <c r="L7478" s="11" t="n">
        <v>42730.4870833333</v>
      </c>
      <c r="M7478" s="12"/>
      <c r="N7478" s="12"/>
      <c r="O7478" s="9" t="str">
        <f aca="false">HYPERLINK("https://pbs.twimg.com/profile_images/922566435683094528/MNi6nvxQ_normal.jpg","View")</f>
        <v>View</v>
      </c>
      <c r="P7478" s="10"/>
    </row>
    <row r="7479" customFormat="false" ht="15.75" hidden="false" customHeight="false" outlineLevel="0" collapsed="false">
      <c r="A7479" s="6" t="n">
        <v>43031.5605787037</v>
      </c>
      <c r="B7479" s="7" t="str">
        <f aca="false">HYPERLINK("https://twitter.com/AitorLiebana","@AitorLiebana")</f>
        <v>@AitorLiebana</v>
      </c>
      <c r="C7479" s="8" t="s">
        <v>16814</v>
      </c>
      <c r="D7479" s="8" t="s">
        <v>16785</v>
      </c>
      <c r="E7479" s="9" t="str">
        <f aca="false">HYPERLINK("https://twitter.com/AitorLiebana/status/922560064455507969","922560064455507969")</f>
        <v>922560064455507969</v>
      </c>
      <c r="F7479" s="10" t="s">
        <v>51</v>
      </c>
      <c r="G7479" s="10" t="n">
        <v>34</v>
      </c>
      <c r="H7479" s="10" t="n">
        <v>152</v>
      </c>
      <c r="I7479" s="10" t="n">
        <v>41</v>
      </c>
      <c r="J7479" s="10" t="n">
        <v>0</v>
      </c>
      <c r="K7479" s="10" t="s">
        <v>20</v>
      </c>
      <c r="L7479" s="11" t="n">
        <v>41189.4339236111</v>
      </c>
      <c r="M7479" s="12" t="s">
        <v>827</v>
      </c>
      <c r="N7479" s="12" t="s">
        <v>16815</v>
      </c>
      <c r="O7479" s="9" t="str">
        <f aca="false">HYPERLINK("https://pbs.twimg.com/profile_images/883758344556744704/D6Aiw99f_normal.jpg","View")</f>
        <v>View</v>
      </c>
      <c r="P7479" s="10"/>
    </row>
    <row r="7480" customFormat="false" ht="15.75" hidden="false" customHeight="false" outlineLevel="0" collapsed="false">
      <c r="A7480" s="6" t="n">
        <v>43031.560625</v>
      </c>
      <c r="B7480" s="7" t="str">
        <f aca="false">HYPERLINK("https://twitter.com/Nataliem125","@Nataliem125")</f>
        <v>@Nataliem125</v>
      </c>
      <c r="C7480" s="8" t="s">
        <v>16816</v>
      </c>
      <c r="D7480" s="8" t="s">
        <v>16785</v>
      </c>
      <c r="E7480" s="9" t="str">
        <f aca="false">HYPERLINK("https://twitter.com/Nataliem125/status/922560081832693761","922560081832693761")</f>
        <v>922560081832693761</v>
      </c>
      <c r="F7480" s="10" t="s">
        <v>51</v>
      </c>
      <c r="G7480" s="10" t="n">
        <v>270</v>
      </c>
      <c r="H7480" s="10" t="n">
        <v>306</v>
      </c>
      <c r="I7480" s="10" t="n">
        <v>41</v>
      </c>
      <c r="J7480" s="10" t="n">
        <v>0</v>
      </c>
      <c r="K7480" s="10" t="s">
        <v>20</v>
      </c>
      <c r="L7480" s="11" t="n">
        <v>39907.3352546296</v>
      </c>
      <c r="M7480" s="12" t="s">
        <v>16817</v>
      </c>
      <c r="N7480" s="12" t="s">
        <v>16818</v>
      </c>
      <c r="O7480" s="9" t="str">
        <f aca="false">HYPERLINK("https://pbs.twimg.com/profile_images/899315451792158720/ZGbqITgM_normal.jpg","View")</f>
        <v>View</v>
      </c>
      <c r="P7480" s="10"/>
    </row>
    <row r="7481" customFormat="false" ht="15.75" hidden="false" customHeight="false" outlineLevel="0" collapsed="false">
      <c r="A7481" s="6" t="n">
        <v>43031.56125</v>
      </c>
      <c r="B7481" s="7" t="str">
        <f aca="false">HYPERLINK("https://twitter.com/JamesRoy","@JamesRoy")</f>
        <v>@JamesRoy</v>
      </c>
      <c r="C7481" s="8" t="s">
        <v>16451</v>
      </c>
      <c r="D7481" s="8" t="s">
        <v>16819</v>
      </c>
      <c r="E7481" s="9" t="str">
        <f aca="false">HYPERLINK("https://twitter.com/JamesRoy/status/922560308404613125","922560308404613125")</f>
        <v>922560308404613125</v>
      </c>
      <c r="F7481" s="10" t="s">
        <v>60</v>
      </c>
      <c r="G7481" s="10" t="n">
        <v>14356</v>
      </c>
      <c r="H7481" s="10" t="n">
        <v>13697</v>
      </c>
      <c r="I7481" s="10" t="n">
        <v>0</v>
      </c>
      <c r="J7481" s="10" t="n">
        <v>0</v>
      </c>
      <c r="K7481" s="10" t="s">
        <v>20</v>
      </c>
      <c r="L7481" s="11" t="n">
        <v>39826.2566782407</v>
      </c>
      <c r="M7481" s="12" t="s">
        <v>16453</v>
      </c>
      <c r="N7481" s="12" t="s">
        <v>16454</v>
      </c>
      <c r="O7481" s="9" t="str">
        <f aca="false">HYPERLINK("https://pbs.twimg.com/profile_images/638077492847378432/_B521DK6_normal.jpg","View")</f>
        <v>View</v>
      </c>
      <c r="P7481" s="10"/>
    </row>
    <row r="7482" customFormat="false" ht="15.75" hidden="false" customHeight="false" outlineLevel="0" collapsed="false">
      <c r="A7482" s="6" t="n">
        <v>43031.5620023148</v>
      </c>
      <c r="B7482" s="7" t="str">
        <f aca="false">HYPERLINK("https://twitter.com/Sorgitzak","@Sorgitzak")</f>
        <v>@Sorgitzak</v>
      </c>
      <c r="C7482" s="8" t="s">
        <v>421</v>
      </c>
      <c r="D7482" s="8" t="s">
        <v>16820</v>
      </c>
      <c r="E7482" s="9" t="str">
        <f aca="false">HYPERLINK("https://twitter.com/Sorgitzak/status/922560581277597696","922560581277597696")</f>
        <v>922560581277597696</v>
      </c>
      <c r="F7482" s="10" t="s">
        <v>60</v>
      </c>
      <c r="G7482" s="10" t="n">
        <v>719</v>
      </c>
      <c r="H7482" s="10" t="n">
        <v>1309</v>
      </c>
      <c r="I7482" s="10" t="n">
        <v>0</v>
      </c>
      <c r="J7482" s="10" t="n">
        <v>0</v>
      </c>
      <c r="K7482" s="10" t="s">
        <v>20</v>
      </c>
      <c r="L7482" s="11" t="n">
        <v>39990.5521527778</v>
      </c>
      <c r="M7482" s="12" t="s">
        <v>423</v>
      </c>
      <c r="N7482" s="12"/>
      <c r="O7482" s="9" t="str">
        <f aca="false">HYPERLINK("https://pbs.twimg.com/profile_images/284404970/sorgitzak_normal.JPG","View")</f>
        <v>View</v>
      </c>
      <c r="P7482" s="10"/>
    </row>
    <row r="7483" customFormat="false" ht="15.75" hidden="false" customHeight="false" outlineLevel="0" collapsed="false">
      <c r="A7483" s="6" t="n">
        <v>43031.5621180556</v>
      </c>
      <c r="B7483" s="7" t="str">
        <f aca="false">HYPERLINK("https://twitter.com/NarrendraM","@NarrendraM")</f>
        <v>@NarrendraM</v>
      </c>
      <c r="C7483" s="8" t="s">
        <v>468</v>
      </c>
      <c r="D7483" s="8" t="s">
        <v>16821</v>
      </c>
      <c r="E7483" s="9" t="str">
        <f aca="false">HYPERLINK("https://twitter.com/NarrendraM/status/922560622277152768","922560622277152768")</f>
        <v>922560622277152768</v>
      </c>
      <c r="F7483" s="10" t="s">
        <v>60</v>
      </c>
      <c r="G7483" s="10" t="n">
        <v>1999</v>
      </c>
      <c r="H7483" s="10" t="n">
        <v>252</v>
      </c>
      <c r="I7483" s="10" t="n">
        <v>0</v>
      </c>
      <c r="J7483" s="10" t="n">
        <v>0</v>
      </c>
      <c r="K7483" s="10" t="s">
        <v>20</v>
      </c>
      <c r="L7483" s="11" t="n">
        <v>42471.0737037037</v>
      </c>
      <c r="M7483" s="12" t="s">
        <v>253</v>
      </c>
      <c r="N7483" s="12" t="s">
        <v>470</v>
      </c>
      <c r="O7483" s="9" t="str">
        <f aca="false">HYPERLINK("https://pbs.twimg.com/profile_images/743939643738034176/WkGloI0u_normal.jpg","View")</f>
        <v>View</v>
      </c>
      <c r="P7483" s="10"/>
    </row>
    <row r="7484" customFormat="false" ht="15.75" hidden="false" customHeight="false" outlineLevel="0" collapsed="false">
      <c r="A7484" s="6" t="n">
        <v>43031.5621412037</v>
      </c>
      <c r="B7484" s="7" t="str">
        <f aca="false">HYPERLINK("https://twitter.com/candangacasique","@candangacasique")</f>
        <v>@candangacasique</v>
      </c>
      <c r="C7484" s="8" t="s">
        <v>16405</v>
      </c>
      <c r="D7484" s="8" t="s">
        <v>16822</v>
      </c>
      <c r="E7484" s="9" t="str">
        <f aca="false">HYPERLINK("https://twitter.com/candangacasique/status/922560633274376192","922560633274376192")</f>
        <v>922560633274376192</v>
      </c>
      <c r="F7484" s="10" t="s">
        <v>60</v>
      </c>
      <c r="G7484" s="10" t="n">
        <v>4403</v>
      </c>
      <c r="H7484" s="10" t="n">
        <v>5000</v>
      </c>
      <c r="I7484" s="10" t="n">
        <v>0</v>
      </c>
      <c r="J7484" s="10" t="n">
        <v>0</v>
      </c>
      <c r="K7484" s="10" t="s">
        <v>20</v>
      </c>
      <c r="L7484" s="11" t="n">
        <v>40364.6803587963</v>
      </c>
      <c r="M7484" s="12" t="s">
        <v>16407</v>
      </c>
      <c r="N7484" s="12" t="s">
        <v>16408</v>
      </c>
      <c r="O7484" s="9" t="str">
        <f aca="false">HYPERLINK("https://pbs.twimg.com/profile_images/874831349672267776/k2WGcjH1_normal.jpg","View")</f>
        <v>View</v>
      </c>
      <c r="P7484" s="10"/>
    </row>
    <row r="7485" customFormat="false" ht="15.75" hidden="false" customHeight="false" outlineLevel="0" collapsed="false">
      <c r="A7485" s="6" t="n">
        <v>43031.562337963</v>
      </c>
      <c r="B7485" s="7" t="str">
        <f aca="false">HYPERLINK("https://twitter.com/OttoMansilla","@OttoMansilla")</f>
        <v>@OttoMansilla</v>
      </c>
      <c r="C7485" s="8" t="s">
        <v>16823</v>
      </c>
      <c r="D7485" s="8" t="s">
        <v>16785</v>
      </c>
      <c r="E7485" s="9" t="str">
        <f aca="false">HYPERLINK("https://twitter.com/OttoMansilla/status/922560700949585920","922560700949585920")</f>
        <v>922560700949585920</v>
      </c>
      <c r="F7485" s="10" t="s">
        <v>51</v>
      </c>
      <c r="G7485" s="10" t="n">
        <v>628</v>
      </c>
      <c r="H7485" s="10" t="n">
        <v>281</v>
      </c>
      <c r="I7485" s="10" t="n">
        <v>41</v>
      </c>
      <c r="J7485" s="10" t="n">
        <v>0</v>
      </c>
      <c r="K7485" s="10" t="s">
        <v>20</v>
      </c>
      <c r="L7485" s="11" t="n">
        <v>40357.2699768518</v>
      </c>
      <c r="M7485" s="12" t="s">
        <v>8146</v>
      </c>
      <c r="N7485" s="12" t="s">
        <v>16824</v>
      </c>
      <c r="O7485" s="9" t="str">
        <f aca="false">HYPERLINK("https://pbs.twimg.com/profile_images/921841712263294977/387rmKDN_normal.jpg","View")</f>
        <v>View</v>
      </c>
      <c r="P7485" s="10"/>
    </row>
    <row r="7486" customFormat="false" ht="15.75" hidden="false" customHeight="false" outlineLevel="0" collapsed="false">
      <c r="A7486" s="6" t="n">
        <v>43031.5624189815</v>
      </c>
      <c r="B7486" s="7" t="str">
        <f aca="false">HYPERLINK("https://twitter.com/SaraGomezAranci","@SaraGomezAranci")</f>
        <v>@SaraGomezAranci</v>
      </c>
      <c r="C7486" s="8" t="s">
        <v>1443</v>
      </c>
      <c r="D7486" s="8" t="s">
        <v>16785</v>
      </c>
      <c r="E7486" s="9" t="str">
        <f aca="false">HYPERLINK("https://twitter.com/SaraGomezAranci/status/922560731089838082","922560731089838082")</f>
        <v>922560731089838082</v>
      </c>
      <c r="F7486" s="10" t="s">
        <v>51</v>
      </c>
      <c r="G7486" s="10" t="n">
        <v>1718</v>
      </c>
      <c r="H7486" s="10" t="n">
        <v>434</v>
      </c>
      <c r="I7486" s="10" t="n">
        <v>41</v>
      </c>
      <c r="J7486" s="10" t="n">
        <v>0</v>
      </c>
      <c r="K7486" s="10" t="s">
        <v>20</v>
      </c>
      <c r="L7486" s="11" t="n">
        <v>41277.0701041667</v>
      </c>
      <c r="M7486" s="12"/>
      <c r="N7486" s="12" t="s">
        <v>1444</v>
      </c>
      <c r="O7486" s="9" t="str">
        <f aca="false">HYPERLINK("https://pbs.twimg.com/profile_images/909880427351068674/WzgGubCv_normal.jpg","View")</f>
        <v>View</v>
      </c>
      <c r="P7486" s="10"/>
    </row>
    <row r="7487" customFormat="false" ht="15.75" hidden="false" customHeight="false" outlineLevel="0" collapsed="false">
      <c r="A7487" s="6" t="n">
        <v>43031.5625231482</v>
      </c>
      <c r="B7487" s="7" t="str">
        <f aca="false">HYPERLINK("https://twitter.com/NewsbeatPortal","@NewsbeatPortal")</f>
        <v>@NewsbeatPortal</v>
      </c>
      <c r="C7487" s="8" t="s">
        <v>15872</v>
      </c>
      <c r="D7487" s="8" t="s">
        <v>16825</v>
      </c>
      <c r="E7487" s="9" t="str">
        <f aca="false">HYPERLINK("https://twitter.com/NewsbeatPortal/status/922560771652911104","922560771652911104")</f>
        <v>922560771652911104</v>
      </c>
      <c r="F7487" s="9" t="s">
        <v>1147</v>
      </c>
      <c r="G7487" s="10" t="n">
        <v>17528</v>
      </c>
      <c r="H7487" s="10" t="n">
        <v>63</v>
      </c>
      <c r="I7487" s="10" t="n">
        <v>0</v>
      </c>
      <c r="J7487" s="10" t="n">
        <v>0</v>
      </c>
      <c r="K7487" s="10" t="s">
        <v>20</v>
      </c>
      <c r="L7487" s="11" t="n">
        <v>39905.341412037</v>
      </c>
      <c r="M7487" s="12" t="s">
        <v>15875</v>
      </c>
      <c r="N7487" s="12" t="s">
        <v>15876</v>
      </c>
      <c r="O7487" s="9" t="str">
        <f aca="false">HYPERLINK("https://pbs.twimg.com/profile_images/457029492700348416/BYzPbqlO_normal.jpeg","View")</f>
        <v>View</v>
      </c>
      <c r="P7487" s="10"/>
    </row>
    <row r="7488" customFormat="false" ht="15.75" hidden="false" customHeight="false" outlineLevel="0" collapsed="false">
      <c r="A7488" s="6" t="n">
        <v>43031.5625347222</v>
      </c>
      <c r="B7488" s="7" t="str">
        <f aca="false">HYPERLINK("https://twitter.com/AbusidiquBlog","@AbusidiquBlog")</f>
        <v>@AbusidiquBlog</v>
      </c>
      <c r="C7488" s="7" t="s">
        <v>15852</v>
      </c>
      <c r="D7488" s="8" t="s">
        <v>16826</v>
      </c>
      <c r="E7488" s="9" t="str">
        <f aca="false">HYPERLINK("https://twitter.com/AbusidiquBlog/status/922560773209047040","922560773209047040")</f>
        <v>922560773209047040</v>
      </c>
      <c r="F7488" s="9" t="s">
        <v>1147</v>
      </c>
      <c r="G7488" s="10" t="n">
        <v>4657</v>
      </c>
      <c r="H7488" s="10" t="n">
        <v>14</v>
      </c>
      <c r="I7488" s="10" t="n">
        <v>0</v>
      </c>
      <c r="J7488" s="10" t="n">
        <v>0</v>
      </c>
      <c r="K7488" s="10" t="s">
        <v>20</v>
      </c>
      <c r="L7488" s="11" t="n">
        <v>41309.2625694444</v>
      </c>
      <c r="M7488" s="12"/>
      <c r="N7488" s="12" t="s">
        <v>15855</v>
      </c>
      <c r="O7488" s="9" t="str">
        <f aca="false">HYPERLINK("https://pbs.twimg.com/profile_images/825286205034086401/N4tLjSbm_normal.jpg","View")</f>
        <v>View</v>
      </c>
      <c r="P7488" s="10"/>
    </row>
    <row r="7489" customFormat="false" ht="15.75" hidden="false" customHeight="false" outlineLevel="0" collapsed="false">
      <c r="A7489" s="6" t="n">
        <v>43031.5625694445</v>
      </c>
      <c r="B7489" s="7" t="str">
        <f aca="false">HYPERLINK("https://twitter.com/alllibertynews","@alllibertynews")</f>
        <v>@alllibertynews</v>
      </c>
      <c r="C7489" s="8" t="s">
        <v>16420</v>
      </c>
      <c r="D7489" s="8" t="s">
        <v>16785</v>
      </c>
      <c r="E7489" s="9" t="str">
        <f aca="false">HYPERLINK("https://twitter.com/alllibertynews/status/922560788367269893","922560788367269893")</f>
        <v>922560788367269893</v>
      </c>
      <c r="F7489" s="10" t="s">
        <v>16421</v>
      </c>
      <c r="G7489" s="10" t="n">
        <v>15798</v>
      </c>
      <c r="H7489" s="10" t="n">
        <v>4311</v>
      </c>
      <c r="I7489" s="10" t="n">
        <v>41</v>
      </c>
      <c r="J7489" s="10" t="n">
        <v>0</v>
      </c>
      <c r="K7489" s="10" t="s">
        <v>20</v>
      </c>
      <c r="L7489" s="11" t="n">
        <v>42355.8898842593</v>
      </c>
      <c r="M7489" s="12"/>
      <c r="N7489" s="12"/>
      <c r="O7489" s="9" t="str">
        <f aca="false">HYPERLINK("https://pbs.twimg.com/profile_images/677726486694989824/x5Umx9Jt_normal.png","View")</f>
        <v>View</v>
      </c>
      <c r="P7489" s="10"/>
    </row>
    <row r="7490" customFormat="false" ht="15.75" hidden="false" customHeight="false" outlineLevel="0" collapsed="false">
      <c r="A7490" s="6" t="n">
        <v>43031.5625694445</v>
      </c>
      <c r="B7490" s="7" t="str">
        <f aca="false">HYPERLINK("https://twitter.com/realtruthorg","@realtruthorg")</f>
        <v>@realtruthorg</v>
      </c>
      <c r="C7490" s="8" t="s">
        <v>16827</v>
      </c>
      <c r="D7490" s="8" t="s">
        <v>16828</v>
      </c>
      <c r="E7490" s="9" t="str">
        <f aca="false">HYPERLINK("https://twitter.com/realtruthorg/status/922560788551712768","922560788551712768")</f>
        <v>922560788551712768</v>
      </c>
      <c r="F7490" s="10" t="s">
        <v>110</v>
      </c>
      <c r="G7490" s="10" t="n">
        <v>288</v>
      </c>
      <c r="H7490" s="10" t="n">
        <v>0</v>
      </c>
      <c r="I7490" s="10" t="n">
        <v>0</v>
      </c>
      <c r="J7490" s="10" t="n">
        <v>0</v>
      </c>
      <c r="K7490" s="10" t="s">
        <v>20</v>
      </c>
      <c r="L7490" s="11" t="n">
        <v>40353.2007291667</v>
      </c>
      <c r="M7490" s="12"/>
      <c r="N7490" s="12"/>
      <c r="O7490" s="9" t="str">
        <f aca="false">HYPERLINK("https://pbs.twimg.com/profile_images/923890120641703936/EshEMuWs_normal.jpg","View")</f>
        <v>View</v>
      </c>
      <c r="P7490" s="10"/>
    </row>
    <row r="7491" customFormat="false" ht="15.75" hidden="false" customHeight="false" outlineLevel="0" collapsed="false">
      <c r="A7491" s="6" t="n">
        <v>43031.5629513889</v>
      </c>
      <c r="B7491" s="7" t="str">
        <f aca="false">HYPERLINK("https://twitter.com/MikeZaladonis","@MikeZaladonis")</f>
        <v>@MikeZaladonis</v>
      </c>
      <c r="C7491" s="8" t="s">
        <v>16829</v>
      </c>
      <c r="D7491" s="8" t="s">
        <v>16785</v>
      </c>
      <c r="E7491" s="9" t="str">
        <f aca="false">HYPERLINK("https://twitter.com/MikeZaladonis/status/922560923042119680","922560923042119680")</f>
        <v>922560923042119680</v>
      </c>
      <c r="F7491" s="10" t="s">
        <v>16830</v>
      </c>
      <c r="G7491" s="10" t="n">
        <v>2356</v>
      </c>
      <c r="H7491" s="10" t="n">
        <v>1697</v>
      </c>
      <c r="I7491" s="10" t="n">
        <v>41</v>
      </c>
      <c r="J7491" s="10" t="n">
        <v>0</v>
      </c>
      <c r="K7491" s="10" t="s">
        <v>20</v>
      </c>
      <c r="L7491" s="11" t="n">
        <v>41034.2280324074</v>
      </c>
      <c r="M7491" s="12" t="s">
        <v>16831</v>
      </c>
      <c r="N7491" s="12" t="s">
        <v>16832</v>
      </c>
      <c r="O7491" s="9" t="str">
        <f aca="false">HYPERLINK("https://pbs.twimg.com/profile_images/815929409114898432/scaj7Ocw_normal.jpg","View")</f>
        <v>View</v>
      </c>
      <c r="P7491" s="10"/>
    </row>
    <row r="7492" customFormat="false" ht="15.75" hidden="false" customHeight="false" outlineLevel="0" collapsed="false">
      <c r="A7492" s="6" t="n">
        <v>43031.5630092593</v>
      </c>
      <c r="B7492" s="7" t="str">
        <f aca="false">HYPERLINK("https://twitter.com/WorldNewsNgayon","@WorldNewsNgayon")</f>
        <v>@WorldNewsNgayon</v>
      </c>
      <c r="C7492" s="8" t="s">
        <v>16694</v>
      </c>
      <c r="D7492" s="8" t="s">
        <v>16833</v>
      </c>
      <c r="E7492" s="9" t="str">
        <f aca="false">HYPERLINK("https://twitter.com/WorldNewsNgayon/status/922560945557184513","922560945557184513")</f>
        <v>922560945557184513</v>
      </c>
      <c r="F7492" s="10" t="s">
        <v>60</v>
      </c>
      <c r="G7492" s="10" t="n">
        <v>1174</v>
      </c>
      <c r="H7492" s="10" t="n">
        <v>9</v>
      </c>
      <c r="I7492" s="10" t="n">
        <v>0</v>
      </c>
      <c r="J7492" s="10" t="n">
        <v>0</v>
      </c>
      <c r="K7492" s="10" t="s">
        <v>20</v>
      </c>
      <c r="L7492" s="11" t="n">
        <v>41174.8472337963</v>
      </c>
      <c r="M7492" s="12" t="s">
        <v>370</v>
      </c>
      <c r="N7492" s="12" t="s">
        <v>16696</v>
      </c>
      <c r="O7492" s="9" t="str">
        <f aca="false">HYPERLINK("https://pbs.twimg.com/profile_images/425420772534784000/_u4Vu6V1_normal.jpeg","View")</f>
        <v>View</v>
      </c>
      <c r="P7492" s="10"/>
    </row>
    <row r="7493" customFormat="false" ht="15.75" hidden="false" customHeight="false" outlineLevel="0" collapsed="false">
      <c r="A7493" s="6" t="n">
        <v>43031.563275463</v>
      </c>
      <c r="B7493" s="7" t="str">
        <f aca="false">HYPERLINK("https://twitter.com/MonikaHoff1","@MonikaHoff1")</f>
        <v>@MonikaHoff1</v>
      </c>
      <c r="C7493" s="8" t="s">
        <v>16834</v>
      </c>
      <c r="D7493" s="8" t="s">
        <v>13595</v>
      </c>
      <c r="E7493" s="9" t="str">
        <f aca="false">HYPERLINK("https://twitter.com/MonikaHoff1/status/922561042194026497","922561042194026497")</f>
        <v>922561042194026497</v>
      </c>
      <c r="F7493" s="10" t="s">
        <v>25</v>
      </c>
      <c r="G7493" s="10" t="n">
        <v>24</v>
      </c>
      <c r="H7493" s="10" t="n">
        <v>169</v>
      </c>
      <c r="I7493" s="10" t="n">
        <v>88</v>
      </c>
      <c r="J7493" s="10" t="n">
        <v>0</v>
      </c>
      <c r="K7493" s="10" t="s">
        <v>20</v>
      </c>
      <c r="L7493" s="11" t="n">
        <v>41711.2988425926</v>
      </c>
      <c r="M7493" s="12" t="s">
        <v>16835</v>
      </c>
      <c r="N7493" s="12" t="s">
        <v>16836</v>
      </c>
      <c r="O7493" s="9" t="str">
        <f aca="false">HYPERLINK("https://pbs.twimg.com/profile_images/829283214493630466/AUg8mBzG_normal.jpg","View")</f>
        <v>View</v>
      </c>
      <c r="P7493" s="10"/>
    </row>
    <row r="7494" customFormat="false" ht="15.75" hidden="false" customHeight="false" outlineLevel="0" collapsed="false">
      <c r="A7494" s="6" t="n">
        <v>43031.5639467593</v>
      </c>
      <c r="B7494" s="7" t="str">
        <f aca="false">HYPERLINK("https://twitter.com/JimCarlson16","@JimCarlson16")</f>
        <v>@JimCarlson16</v>
      </c>
      <c r="C7494" s="8" t="s">
        <v>16837</v>
      </c>
      <c r="D7494" s="8" t="s">
        <v>16734</v>
      </c>
      <c r="E7494" s="9" t="str">
        <f aca="false">HYPERLINK("https://twitter.com/JimCarlson16/status/922561287296491520","922561287296491520")</f>
        <v>922561287296491520</v>
      </c>
      <c r="F7494" s="10" t="s">
        <v>51</v>
      </c>
      <c r="G7494" s="10" t="n">
        <v>484</v>
      </c>
      <c r="H7494" s="10" t="n">
        <v>187</v>
      </c>
      <c r="I7494" s="10" t="n">
        <v>7</v>
      </c>
      <c r="J7494" s="10" t="n">
        <v>0</v>
      </c>
      <c r="K7494" s="10" t="s">
        <v>20</v>
      </c>
      <c r="L7494" s="11" t="n">
        <v>41565.7617708333</v>
      </c>
      <c r="M7494" s="12"/>
      <c r="N7494" s="12"/>
      <c r="O7494" s="9" t="str">
        <f aca="false">HYPERLINK("https://pbs.twimg.com/profile_images/378800000616044742/7fab1c2f49e3ced283a4b48e4a3fea0e_normal.jpeg","View")</f>
        <v>View</v>
      </c>
      <c r="P7494" s="10"/>
    </row>
    <row r="7495" customFormat="false" ht="15.75" hidden="false" customHeight="false" outlineLevel="0" collapsed="false">
      <c r="A7495" s="6" t="n">
        <v>43031.5641898148</v>
      </c>
      <c r="B7495" s="7" t="str">
        <f aca="false">HYPERLINK("https://twitter.com/breaking_news_4","@breaking_news_4")</f>
        <v>@breaking_news_4</v>
      </c>
      <c r="C7495" s="8" t="s">
        <v>310</v>
      </c>
      <c r="D7495" s="8" t="s">
        <v>16838</v>
      </c>
      <c r="E7495" s="9" t="str">
        <f aca="false">HYPERLINK("https://twitter.com/breaking_news_4/status/922561374265290752","922561374265290752")</f>
        <v>922561374265290752</v>
      </c>
      <c r="F7495" s="10" t="s">
        <v>60</v>
      </c>
      <c r="G7495" s="10" t="n">
        <v>1569</v>
      </c>
      <c r="H7495" s="10" t="n">
        <v>168</v>
      </c>
      <c r="I7495" s="10" t="n">
        <v>0</v>
      </c>
      <c r="J7495" s="10" t="n">
        <v>0</v>
      </c>
      <c r="K7495" s="10" t="s">
        <v>20</v>
      </c>
      <c r="L7495" s="11" t="n">
        <v>41323.5986111111</v>
      </c>
      <c r="M7495" s="12"/>
      <c r="N7495" s="12"/>
      <c r="O7495" s="9" t="str">
        <f aca="false">HYPERLINK("https://pbs.twimg.com/profile_images/3506234829/a38e573d69ee71fcc25830b97d00c179_normal.png","View")</f>
        <v>View</v>
      </c>
      <c r="P7495" s="10"/>
    </row>
    <row r="7496" customFormat="false" ht="15.75" hidden="false" customHeight="false" outlineLevel="0" collapsed="false">
      <c r="A7496" s="6" t="n">
        <v>43031.5644328704</v>
      </c>
      <c r="B7496" s="7" t="str">
        <f aca="false">HYPERLINK("https://twitter.com/_Sturmkrahe","@_Sturmkrahe")</f>
        <v>@_Sturmkrahe</v>
      </c>
      <c r="C7496" s="8" t="s">
        <v>7824</v>
      </c>
      <c r="D7496" s="8" t="s">
        <v>16785</v>
      </c>
      <c r="E7496" s="9" t="str">
        <f aca="false">HYPERLINK("https://twitter.com/_Sturmkrahe/status/922561462593208321","922561462593208321")</f>
        <v>922561462593208321</v>
      </c>
      <c r="F7496" s="10" t="s">
        <v>25</v>
      </c>
      <c r="G7496" s="10" t="n">
        <v>208</v>
      </c>
      <c r="H7496" s="10" t="n">
        <v>1044</v>
      </c>
      <c r="I7496" s="10" t="n">
        <v>41</v>
      </c>
      <c r="J7496" s="10" t="n">
        <v>0</v>
      </c>
      <c r="K7496" s="10" t="s">
        <v>20</v>
      </c>
      <c r="L7496" s="11" t="n">
        <v>42352.5142476852</v>
      </c>
      <c r="M7496" s="12" t="s">
        <v>7825</v>
      </c>
      <c r="N7496" s="12" t="s">
        <v>7826</v>
      </c>
      <c r="O7496" s="9" t="str">
        <f aca="false">HYPERLINK("https://pbs.twimg.com/profile_images/895325699375939584/eKOnLZ4Z_normal.jpg","View")</f>
        <v>View</v>
      </c>
      <c r="P7496" s="10"/>
    </row>
    <row r="7497" customFormat="false" ht="15.75" hidden="false" customHeight="false" outlineLevel="0" collapsed="false">
      <c r="A7497" s="6" t="n">
        <v>43031.5646296296</v>
      </c>
      <c r="B7497" s="7" t="str">
        <f aca="false">HYPERLINK("https://twitter.com/maherro2","@maherro2")</f>
        <v>@maherro2</v>
      </c>
      <c r="C7497" s="8" t="s">
        <v>16839</v>
      </c>
      <c r="D7497" s="8" t="s">
        <v>16785</v>
      </c>
      <c r="E7497" s="9" t="str">
        <f aca="false">HYPERLINK("https://twitter.com/maherro2/status/922561534542331904","922561534542331904")</f>
        <v>922561534542331904</v>
      </c>
      <c r="F7497" s="10" t="s">
        <v>51</v>
      </c>
      <c r="G7497" s="10" t="n">
        <v>377</v>
      </c>
      <c r="H7497" s="10" t="n">
        <v>1394</v>
      </c>
      <c r="I7497" s="10" t="n">
        <v>41</v>
      </c>
      <c r="J7497" s="10" t="n">
        <v>0</v>
      </c>
      <c r="K7497" s="10" t="s">
        <v>20</v>
      </c>
      <c r="L7497" s="11" t="n">
        <v>40617.7144097222</v>
      </c>
      <c r="M7497" s="12" t="s">
        <v>16840</v>
      </c>
      <c r="N7497" s="12" t="s">
        <v>16841</v>
      </c>
      <c r="O7497" s="9" t="str">
        <f aca="false">HYPERLINK("https://pbs.twimg.com/profile_images/678703233129439233/fdDaacOr_normal.jpg","View")</f>
        <v>View</v>
      </c>
      <c r="P7497" s="10"/>
    </row>
    <row r="7498" customFormat="false" ht="15.75" hidden="false" customHeight="false" outlineLevel="0" collapsed="false">
      <c r="A7498" s="6" t="n">
        <v>43031.5654398148</v>
      </c>
      <c r="B7498" s="7" t="str">
        <f aca="false">HYPERLINK("https://twitter.com/onlinelords","@onlinelords")</f>
        <v>@onlinelords</v>
      </c>
      <c r="C7498" s="8" t="s">
        <v>3710</v>
      </c>
      <c r="D7498" s="8" t="s">
        <v>16842</v>
      </c>
      <c r="E7498" s="9" t="str">
        <f aca="false">HYPERLINK("https://twitter.com/onlinelords/status/922561828005199872","922561828005199872")</f>
        <v>922561828005199872</v>
      </c>
      <c r="F7498" s="10" t="s">
        <v>60</v>
      </c>
      <c r="G7498" s="10" t="n">
        <v>510</v>
      </c>
      <c r="H7498" s="10" t="n">
        <v>1816</v>
      </c>
      <c r="I7498" s="10" t="n">
        <v>0</v>
      </c>
      <c r="J7498" s="10" t="n">
        <v>0</v>
      </c>
      <c r="K7498" s="10" t="s">
        <v>20</v>
      </c>
      <c r="L7498" s="11" t="n">
        <v>42910.4271412037</v>
      </c>
      <c r="M7498" s="12" t="s">
        <v>3712</v>
      </c>
      <c r="N7498" s="12" t="s">
        <v>3713</v>
      </c>
      <c r="O7498" s="9" t="str">
        <f aca="false">HYPERLINK("https://pbs.twimg.com/profile_images/919643248817254400/z8AUB3Qm_normal.jpg","View")</f>
        <v>View</v>
      </c>
      <c r="P7498" s="10"/>
    </row>
    <row r="7499" customFormat="false" ht="15.75" hidden="false" customHeight="false" outlineLevel="0" collapsed="false">
      <c r="A7499" s="6" t="n">
        <v>43031.565625</v>
      </c>
      <c r="B7499" s="7" t="str">
        <f aca="false">HYPERLINK("https://twitter.com/JustinJustrive","@JustinJustrive")</f>
        <v>@JustinJustrive</v>
      </c>
      <c r="C7499" s="8" t="s">
        <v>16843</v>
      </c>
      <c r="D7499" s="8" t="s">
        <v>16785</v>
      </c>
      <c r="E7499" s="9" t="str">
        <f aca="false">HYPERLINK("https://twitter.com/JustinJustrive/status/922561893415370752","922561893415370752")</f>
        <v>922561893415370752</v>
      </c>
      <c r="F7499" s="10" t="s">
        <v>1017</v>
      </c>
      <c r="G7499" s="10" t="n">
        <v>1091</v>
      </c>
      <c r="H7499" s="10" t="n">
        <v>2224</v>
      </c>
      <c r="I7499" s="10" t="n">
        <v>41</v>
      </c>
      <c r="J7499" s="10" t="n">
        <v>0</v>
      </c>
      <c r="K7499" s="10" t="s">
        <v>20</v>
      </c>
      <c r="L7499" s="11" t="n">
        <v>42163.8531134259</v>
      </c>
      <c r="M7499" s="12"/>
      <c r="N7499" s="12" t="s">
        <v>16844</v>
      </c>
      <c r="O7499" s="9" t="str">
        <f aca="false">HYPERLINK("https://pbs.twimg.com/profile_images/777626639148589056/12RNTHE1_normal.jpg","View")</f>
        <v>View</v>
      </c>
      <c r="P7499" s="10"/>
    </row>
    <row r="7500" customFormat="false" ht="15.75" hidden="false" customHeight="false" outlineLevel="0" collapsed="false">
      <c r="A7500" s="6" t="n">
        <v>43031.5659722222</v>
      </c>
      <c r="B7500" s="7" t="str">
        <f aca="false">HYPERLINK("https://twitter.com/krunox123","@krunox123")</f>
        <v>@krunox123</v>
      </c>
      <c r="C7500" s="8" t="s">
        <v>1049</v>
      </c>
      <c r="D7500" s="8" t="s">
        <v>16845</v>
      </c>
      <c r="E7500" s="9" t="str">
        <f aca="false">HYPERLINK("https://twitter.com/krunox123/status/922562018522972161","922562018522972161")</f>
        <v>922562018522972161</v>
      </c>
      <c r="F7500" s="10" t="s">
        <v>60</v>
      </c>
      <c r="G7500" s="10" t="n">
        <v>10225</v>
      </c>
      <c r="H7500" s="10" t="n">
        <v>2</v>
      </c>
      <c r="I7500" s="10" t="n">
        <v>0</v>
      </c>
      <c r="J7500" s="10" t="n">
        <v>0</v>
      </c>
      <c r="K7500" s="10" t="s">
        <v>20</v>
      </c>
      <c r="L7500" s="11" t="n">
        <v>40938.2278935185</v>
      </c>
      <c r="M7500" s="12" t="s">
        <v>1051</v>
      </c>
      <c r="N7500" s="12" t="s">
        <v>1052</v>
      </c>
      <c r="O7500" s="9" t="str">
        <f aca="false">HYPERLINK("https://pbs.twimg.com/profile_images/824952382618349568/2SFIkM2x_normal.jpg","View")</f>
        <v>View</v>
      </c>
      <c r="P7500" s="10"/>
    </row>
    <row r="7501" customFormat="false" ht="15.75" hidden="false" customHeight="false" outlineLevel="0" collapsed="false">
      <c r="A7501" s="6" t="n">
        <v>43031.5662962963</v>
      </c>
      <c r="B7501" s="7" t="str">
        <f aca="false">HYPERLINK("https://twitter.com/ggnewsus","@ggnewsus")</f>
        <v>@ggnewsus</v>
      </c>
      <c r="C7501" s="8" t="s">
        <v>16730</v>
      </c>
      <c r="D7501" s="8" t="s">
        <v>16846</v>
      </c>
      <c r="E7501" s="9" t="str">
        <f aca="false">HYPERLINK("https://twitter.com/ggnewsus/status/922562137913835520","922562137913835520")</f>
        <v>922562137913835520</v>
      </c>
      <c r="F7501" s="10" t="s">
        <v>60</v>
      </c>
      <c r="G7501" s="10" t="n">
        <v>862</v>
      </c>
      <c r="H7501" s="10" t="n">
        <v>143</v>
      </c>
      <c r="I7501" s="10" t="n">
        <v>0</v>
      </c>
      <c r="J7501" s="10" t="n">
        <v>0</v>
      </c>
      <c r="K7501" s="10" t="s">
        <v>20</v>
      </c>
      <c r="L7501" s="11" t="n">
        <v>41679.770775463</v>
      </c>
      <c r="M7501" s="12" t="s">
        <v>16732</v>
      </c>
      <c r="N7501" s="12" t="s">
        <v>2091</v>
      </c>
      <c r="O7501" s="9" t="str">
        <f aca="false">HYPERLINK("https://pbs.twimg.com/profile_images/432706003285450752/IHK6C475_normal.png","View")</f>
        <v>View</v>
      </c>
      <c r="P7501" s="10"/>
    </row>
    <row r="7502" customFormat="false" ht="15.75" hidden="false" customHeight="false" outlineLevel="0" collapsed="false">
      <c r="A7502" s="6" t="n">
        <v>43031.5667476852</v>
      </c>
      <c r="B7502" s="7" t="str">
        <f aca="false">HYPERLINK("https://twitter.com/mahanthanut","@mahanthanut")</f>
        <v>@mahanthanut</v>
      </c>
      <c r="C7502" s="8" t="s">
        <v>4083</v>
      </c>
      <c r="D7502" s="8" t="s">
        <v>16785</v>
      </c>
      <c r="E7502" s="9" t="str">
        <f aca="false">HYPERLINK("https://twitter.com/mahanthanut/status/922562301009342464","922562301009342464")</f>
        <v>922562301009342464</v>
      </c>
      <c r="F7502" s="10" t="s">
        <v>51</v>
      </c>
      <c r="G7502" s="10" t="n">
        <v>755</v>
      </c>
      <c r="H7502" s="10" t="n">
        <v>1972</v>
      </c>
      <c r="I7502" s="10" t="n">
        <v>41</v>
      </c>
      <c r="J7502" s="10" t="n">
        <v>0</v>
      </c>
      <c r="K7502" s="10" t="s">
        <v>20</v>
      </c>
      <c r="L7502" s="11" t="n">
        <v>42066.3065046296</v>
      </c>
      <c r="M7502" s="12"/>
      <c r="N7502" s="12"/>
      <c r="O7502" s="9" t="str">
        <f aca="false">HYPERLINK("https://pbs.twimg.com/profile_images/602460467231985666/I5K3SbBA_normal.jpg","View")</f>
        <v>View</v>
      </c>
      <c r="P7502" s="10"/>
    </row>
    <row r="7503" customFormat="false" ht="15.75" hidden="false" customHeight="false" outlineLevel="0" collapsed="false">
      <c r="A7503" s="6" t="n">
        <v>43031.5669675926</v>
      </c>
      <c r="B7503" s="7" t="str">
        <f aca="false">HYPERLINK("https://twitter.com/fc1575","@fc1575")</f>
        <v>@fc1575</v>
      </c>
      <c r="C7503" s="8" t="s">
        <v>5417</v>
      </c>
      <c r="D7503" s="8" t="s">
        <v>16785</v>
      </c>
      <c r="E7503" s="9" t="str">
        <f aca="false">HYPERLINK("https://twitter.com/fc1575/status/922562382030815233","922562382030815233")</f>
        <v>922562382030815233</v>
      </c>
      <c r="F7503" s="10" t="s">
        <v>51</v>
      </c>
      <c r="G7503" s="10" t="n">
        <v>460</v>
      </c>
      <c r="H7503" s="10" t="n">
        <v>244</v>
      </c>
      <c r="I7503" s="10" t="n">
        <v>41</v>
      </c>
      <c r="J7503" s="10" t="n">
        <v>0</v>
      </c>
      <c r="K7503" s="10" t="s">
        <v>20</v>
      </c>
      <c r="L7503" s="11" t="n">
        <v>40271.4362268519</v>
      </c>
      <c r="M7503" s="13" t="s">
        <v>5418</v>
      </c>
      <c r="N7503" s="12" t="s">
        <v>5419</v>
      </c>
      <c r="O7503" s="9" t="str">
        <f aca="false">HYPERLINK("https://pbs.twimg.com/profile_images/481545211311448064/XnRNXLOO_normal.jpeg","View")</f>
        <v>View</v>
      </c>
      <c r="P7503" s="10"/>
    </row>
    <row r="7504" customFormat="false" ht="15.75" hidden="false" customHeight="false" outlineLevel="0" collapsed="false">
      <c r="A7504" s="6" t="n">
        <v>43031.5677083333</v>
      </c>
      <c r="B7504" s="7" t="str">
        <f aca="false">HYPERLINK("https://twitter.com/fc1575","@fc1575")</f>
        <v>@fc1575</v>
      </c>
      <c r="C7504" s="8" t="s">
        <v>5417</v>
      </c>
      <c r="D7504" s="8" t="s">
        <v>11418</v>
      </c>
      <c r="E7504" s="9" t="str">
        <f aca="false">HYPERLINK("https://twitter.com/fc1575/status/922562646812999681","922562646812999681")</f>
        <v>922562646812999681</v>
      </c>
      <c r="F7504" s="10" t="s">
        <v>51</v>
      </c>
      <c r="G7504" s="10" t="n">
        <v>460</v>
      </c>
      <c r="H7504" s="10" t="n">
        <v>244</v>
      </c>
      <c r="I7504" s="10" t="n">
        <v>38</v>
      </c>
      <c r="J7504" s="10" t="n">
        <v>0</v>
      </c>
      <c r="K7504" s="10" t="s">
        <v>20</v>
      </c>
      <c r="L7504" s="11" t="n">
        <v>40271.4362268519</v>
      </c>
      <c r="M7504" s="13" t="s">
        <v>5418</v>
      </c>
      <c r="N7504" s="12" t="s">
        <v>5419</v>
      </c>
      <c r="O7504" s="9" t="str">
        <f aca="false">HYPERLINK("https://pbs.twimg.com/profile_images/481545211311448064/XnRNXLOO_normal.jpeg","View")</f>
        <v>View</v>
      </c>
      <c r="P7504" s="10"/>
    </row>
    <row r="7505" customFormat="false" ht="15.75" hidden="false" customHeight="false" outlineLevel="0" collapsed="false">
      <c r="A7505" s="6" t="n">
        <v>43031.5713078704</v>
      </c>
      <c r="B7505" s="7" t="str">
        <f aca="false">HYPERLINK("https://twitter.com/ZAKOOLISA","@ZAKOOLISA")</f>
        <v>@ZAKOOLISA</v>
      </c>
      <c r="C7505" s="8" t="s">
        <v>16847</v>
      </c>
      <c r="D7505" s="8" t="s">
        <v>16848</v>
      </c>
      <c r="E7505" s="9" t="str">
        <f aca="false">HYPERLINK("https://twitter.com/ZAKOOLISA/status/922563954987057152","922563954987057152")</f>
        <v>922563954987057152</v>
      </c>
      <c r="F7505" s="10" t="s">
        <v>51</v>
      </c>
      <c r="G7505" s="10" t="n">
        <v>1557</v>
      </c>
      <c r="H7505" s="10" t="n">
        <v>1538</v>
      </c>
      <c r="I7505" s="10" t="n">
        <v>0</v>
      </c>
      <c r="J7505" s="10" t="n">
        <v>0</v>
      </c>
      <c r="K7505" s="10" t="s">
        <v>20</v>
      </c>
      <c r="L7505" s="11" t="n">
        <v>42320.8596875</v>
      </c>
      <c r="M7505" s="12"/>
      <c r="N7505" s="12" t="s">
        <v>16849</v>
      </c>
      <c r="O7505" s="9" t="str">
        <f aca="false">HYPERLINK("https://pbs.twimg.com/profile_images/665729326445281280/Sy3A9nbY_normal.jpg","View")</f>
        <v>View</v>
      </c>
      <c r="P7505" s="10"/>
    </row>
    <row r="7506" customFormat="false" ht="15.75" hidden="false" customHeight="false" outlineLevel="0" collapsed="false">
      <c r="A7506" s="6" t="n">
        <v>43031.5722337963</v>
      </c>
      <c r="B7506" s="7" t="str">
        <f aca="false">HYPERLINK("https://twitter.com/RosinhadeRecife","@RosinhadeRecife")</f>
        <v>@RosinhadeRecife</v>
      </c>
      <c r="C7506" s="8" t="s">
        <v>16850</v>
      </c>
      <c r="D7506" s="8" t="s">
        <v>16785</v>
      </c>
      <c r="E7506" s="9" t="str">
        <f aca="false">HYPERLINK("https://twitter.com/RosinhadeRecife/status/922564288027312129","922564288027312129")</f>
        <v>922564288027312129</v>
      </c>
      <c r="F7506" s="10" t="s">
        <v>39</v>
      </c>
      <c r="G7506" s="10" t="n">
        <v>404</v>
      </c>
      <c r="H7506" s="10" t="n">
        <v>223</v>
      </c>
      <c r="I7506" s="10" t="n">
        <v>41</v>
      </c>
      <c r="J7506" s="10" t="n">
        <v>0</v>
      </c>
      <c r="K7506" s="10" t="s">
        <v>20</v>
      </c>
      <c r="L7506" s="11" t="n">
        <v>40250.6421643519</v>
      </c>
      <c r="M7506" s="12" t="s">
        <v>423</v>
      </c>
      <c r="N7506" s="12" t="s">
        <v>16851</v>
      </c>
      <c r="O7506" s="9" t="str">
        <f aca="false">HYPERLINK("https://pbs.twimg.com/profile_images/811870011186937856/o_q83dND_normal.jpg","View")</f>
        <v>View</v>
      </c>
      <c r="P7506" s="10"/>
    </row>
    <row r="7507" customFormat="false" ht="15.75" hidden="false" customHeight="false" outlineLevel="0" collapsed="false">
      <c r="A7507" s="6" t="n">
        <v>43031.5728356482</v>
      </c>
      <c r="B7507" s="7" t="str">
        <f aca="false">HYPERLINK("https://twitter.com/chetanrajchauh1","@chetanrajchauh1")</f>
        <v>@chetanrajchauh1</v>
      </c>
      <c r="C7507" s="8" t="s">
        <v>16852</v>
      </c>
      <c r="D7507" s="8" t="s">
        <v>8538</v>
      </c>
      <c r="E7507" s="9" t="str">
        <f aca="false">HYPERLINK("https://twitter.com/chetanrajchauh1/status/922564506680569856","922564506680569856")</f>
        <v>922564506680569856</v>
      </c>
      <c r="F7507" s="10" t="s">
        <v>25</v>
      </c>
      <c r="G7507" s="10" t="n">
        <v>75</v>
      </c>
      <c r="H7507" s="10" t="n">
        <v>218</v>
      </c>
      <c r="I7507" s="10" t="n">
        <v>1015</v>
      </c>
      <c r="J7507" s="10" t="n">
        <v>0</v>
      </c>
      <c r="K7507" s="10" t="s">
        <v>20</v>
      </c>
      <c r="L7507" s="11" t="n">
        <v>42390.4726388889</v>
      </c>
      <c r="M7507" s="12" t="s">
        <v>12539</v>
      </c>
      <c r="N7507" s="12"/>
      <c r="O7507" s="9" t="str">
        <f aca="false">HYPERLINK("https://pbs.twimg.com/profile_images/769285196415807488/4-5I5q5o_normal.jpg","View")</f>
        <v>View</v>
      </c>
      <c r="P7507" s="10"/>
    </row>
    <row r="7508" customFormat="false" ht="15.75" hidden="false" customHeight="false" outlineLevel="0" collapsed="false">
      <c r="A7508" s="6" t="n">
        <v>43031.5730092593</v>
      </c>
      <c r="B7508" s="7" t="str">
        <f aca="false">HYPERLINK("https://twitter.com/WTKR3","@WTKR3")</f>
        <v>@WTKR3</v>
      </c>
      <c r="C7508" s="8" t="s">
        <v>16853</v>
      </c>
      <c r="D7508" s="8" t="s">
        <v>16854</v>
      </c>
      <c r="E7508" s="9" t="str">
        <f aca="false">HYPERLINK("https://twitter.com/WTKR3/status/922564569943252992","922564569943252992")</f>
        <v>922564569943252992</v>
      </c>
      <c r="F7508" s="10" t="s">
        <v>110</v>
      </c>
      <c r="G7508" s="10" t="n">
        <v>89451</v>
      </c>
      <c r="H7508" s="10" t="n">
        <v>1559</v>
      </c>
      <c r="I7508" s="10" t="n">
        <v>0</v>
      </c>
      <c r="J7508" s="10" t="n">
        <v>0</v>
      </c>
      <c r="K7508" s="10" t="s">
        <v>20</v>
      </c>
      <c r="L7508" s="11" t="n">
        <v>39881.6592939815</v>
      </c>
      <c r="M7508" s="12" t="s">
        <v>16855</v>
      </c>
      <c r="N7508" s="12" t="s">
        <v>16856</v>
      </c>
      <c r="O7508" s="9" t="str">
        <f aca="false">HYPERLINK("https://pbs.twimg.com/profile_images/816023966288609280/1elGv9hG_normal.jpg","View")</f>
        <v>View</v>
      </c>
      <c r="P7508" s="10"/>
    </row>
    <row r="7509" customFormat="false" ht="15.75" hidden="false" customHeight="false" outlineLevel="0" collapsed="false">
      <c r="A7509" s="6" t="n">
        <v>43031.5739699074</v>
      </c>
      <c r="B7509" s="7" t="str">
        <f aca="false">HYPERLINK("https://twitter.com/NTKRNow","@NTKRNow")</f>
        <v>@NTKRNow</v>
      </c>
      <c r="C7509" s="8" t="s">
        <v>829</v>
      </c>
      <c r="D7509" s="8" t="s">
        <v>16857</v>
      </c>
      <c r="E7509" s="9" t="str">
        <f aca="false">HYPERLINK("https://twitter.com/NTKRNow/status/922564916338352128","922564916338352128")</f>
        <v>922564916338352128</v>
      </c>
      <c r="F7509" s="10" t="s">
        <v>60</v>
      </c>
      <c r="G7509" s="10" t="n">
        <v>610</v>
      </c>
      <c r="H7509" s="10" t="n">
        <v>4</v>
      </c>
      <c r="I7509" s="10" t="n">
        <v>0</v>
      </c>
      <c r="J7509" s="10" t="n">
        <v>0</v>
      </c>
      <c r="K7509" s="10" t="s">
        <v>20</v>
      </c>
      <c r="L7509" s="11" t="n">
        <v>42402.810625</v>
      </c>
      <c r="M7509" s="12"/>
      <c r="N7509" s="12"/>
      <c r="O7509" s="9" t="str">
        <f aca="false">HYPERLINK("https://abs.twimg.com/sticky/default_profile_images/default_profile_normal.png","View")</f>
        <v>View</v>
      </c>
      <c r="P7509" s="10"/>
    </row>
    <row r="7510" customFormat="false" ht="15.75" hidden="false" customHeight="false" outlineLevel="0" collapsed="false">
      <c r="A7510" s="6" t="n">
        <v>43031.5739814815</v>
      </c>
      <c r="B7510" s="7" t="str">
        <f aca="false">HYPERLINK("https://twitter.com/NTKRNow","@NTKRNow")</f>
        <v>@NTKRNow</v>
      </c>
      <c r="C7510" s="8" t="s">
        <v>829</v>
      </c>
      <c r="D7510" s="8" t="s">
        <v>16858</v>
      </c>
      <c r="E7510" s="9" t="str">
        <f aca="false">HYPERLINK("https://twitter.com/NTKRNow/status/922564920247435264","922564920247435264")</f>
        <v>922564920247435264</v>
      </c>
      <c r="F7510" s="10" t="s">
        <v>60</v>
      </c>
      <c r="G7510" s="10" t="n">
        <v>610</v>
      </c>
      <c r="H7510" s="10" t="n">
        <v>4</v>
      </c>
      <c r="I7510" s="10" t="n">
        <v>0</v>
      </c>
      <c r="J7510" s="10" t="n">
        <v>0</v>
      </c>
      <c r="K7510" s="10" t="s">
        <v>20</v>
      </c>
      <c r="L7510" s="11" t="n">
        <v>42402.810625</v>
      </c>
      <c r="M7510" s="12"/>
      <c r="N7510" s="12"/>
      <c r="O7510" s="9" t="str">
        <f aca="false">HYPERLINK("https://abs.twimg.com/sticky/default_profile_images/default_profile_normal.png","View")</f>
        <v>View</v>
      </c>
      <c r="P7510" s="10"/>
    </row>
    <row r="7511" customFormat="false" ht="15.75" hidden="false" customHeight="false" outlineLevel="0" collapsed="false">
      <c r="A7511" s="6" t="n">
        <v>43031.5743518519</v>
      </c>
      <c r="B7511" s="7" t="str">
        <f aca="false">HYPERLINK("https://twitter.com/MY_Edoo","@MY_Edoo")</f>
        <v>@MY_Edoo</v>
      </c>
      <c r="C7511" s="8" t="s">
        <v>16859</v>
      </c>
      <c r="D7511" s="8" t="s">
        <v>16351</v>
      </c>
      <c r="E7511" s="9" t="str">
        <f aca="false">HYPERLINK("https://twitter.com/MY_Edoo/status/922565056184795136","922565056184795136")</f>
        <v>922565056184795136</v>
      </c>
      <c r="F7511" s="10" t="s">
        <v>51</v>
      </c>
      <c r="G7511" s="10" t="n">
        <v>1232</v>
      </c>
      <c r="H7511" s="10" t="n">
        <v>2051</v>
      </c>
      <c r="I7511" s="10" t="n">
        <v>4</v>
      </c>
      <c r="J7511" s="10" t="n">
        <v>0</v>
      </c>
      <c r="K7511" s="10" t="s">
        <v>20</v>
      </c>
      <c r="L7511" s="11" t="n">
        <v>40379.5347916667</v>
      </c>
      <c r="M7511" s="12" t="s">
        <v>16860</v>
      </c>
      <c r="N7511" s="12" t="s">
        <v>16861</v>
      </c>
      <c r="O7511" s="9" t="str">
        <f aca="false">HYPERLINK("https://pbs.twimg.com/profile_images/890675622271270912/2SVjbcXC_normal.jpg","View")</f>
        <v>View</v>
      </c>
      <c r="P7511" s="10"/>
    </row>
    <row r="7512" customFormat="false" ht="15.75" hidden="false" customHeight="false" outlineLevel="0" collapsed="false">
      <c r="A7512" s="6" t="n">
        <v>43031.5748958333</v>
      </c>
      <c r="B7512" s="7" t="str">
        <f aca="false">HYPERLINK("https://twitter.com/imichelR","@imichelR")</f>
        <v>@imichelR</v>
      </c>
      <c r="C7512" s="8" t="s">
        <v>16862</v>
      </c>
      <c r="D7512" s="8" t="s">
        <v>15547</v>
      </c>
      <c r="E7512" s="9" t="str">
        <f aca="false">HYPERLINK("https://twitter.com/imichelR/status/922565252264247296","922565252264247296")</f>
        <v>922565252264247296</v>
      </c>
      <c r="F7512" s="10" t="s">
        <v>39</v>
      </c>
      <c r="G7512" s="10" t="n">
        <v>727</v>
      </c>
      <c r="H7512" s="10" t="n">
        <v>4998</v>
      </c>
      <c r="I7512" s="10" t="n">
        <v>6</v>
      </c>
      <c r="J7512" s="10" t="n">
        <v>0</v>
      </c>
      <c r="K7512" s="10" t="s">
        <v>20</v>
      </c>
      <c r="L7512" s="11" t="n">
        <v>39959.6633796296</v>
      </c>
      <c r="M7512" s="12"/>
      <c r="N7512" s="12"/>
      <c r="O7512" s="9" t="str">
        <f aca="false">HYPERLINK("https://pbs.twimg.com/profile_images/907683974947983361/1RGqLiyg_normal.jpg","View")</f>
        <v>View</v>
      </c>
      <c r="P7512" s="10"/>
    </row>
    <row r="7513" customFormat="false" ht="15.75" hidden="false" customHeight="false" outlineLevel="0" collapsed="false">
      <c r="A7513" s="6" t="n">
        <v>43031.5764930556</v>
      </c>
      <c r="B7513" s="7" t="str">
        <f aca="false">HYPERLINK("https://twitter.com/MrAbuSidiq","@MrAbuSidiq")</f>
        <v>@MrAbuSidiq</v>
      </c>
      <c r="C7513" s="8" t="s">
        <v>15860</v>
      </c>
      <c r="D7513" s="8" t="s">
        <v>16863</v>
      </c>
      <c r="E7513" s="9" t="str">
        <f aca="false">HYPERLINK("https://twitter.com/MrAbuSidiq/status/922565830943973376","922565830943973376")</f>
        <v>922565830943973376</v>
      </c>
      <c r="F7513" s="9" t="s">
        <v>1147</v>
      </c>
      <c r="G7513" s="10" t="n">
        <v>30037</v>
      </c>
      <c r="H7513" s="10" t="n">
        <v>1364</v>
      </c>
      <c r="I7513" s="10" t="n">
        <v>0</v>
      </c>
      <c r="J7513" s="10" t="n">
        <v>0</v>
      </c>
      <c r="K7513" s="10" t="s">
        <v>20</v>
      </c>
      <c r="L7513" s="11" t="n">
        <v>40553.459525463</v>
      </c>
      <c r="M7513" s="12" t="s">
        <v>3474</v>
      </c>
      <c r="N7513" s="12" t="s">
        <v>15863</v>
      </c>
      <c r="O7513" s="9" t="str">
        <f aca="false">HYPERLINK("https://pbs.twimg.com/profile_images/904723348663525376/nrG_lppk_normal.jpg","View")</f>
        <v>View</v>
      </c>
      <c r="P7513" s="10"/>
    </row>
    <row r="7514" customFormat="false" ht="15.75" hidden="false" customHeight="false" outlineLevel="0" collapsed="false">
      <c r="A7514" s="6" t="n">
        <v>43031.5765046296</v>
      </c>
      <c r="B7514" s="7" t="str">
        <f aca="false">HYPERLINK("https://twitter.com/AbusidiquBlog","@AbusidiquBlog")</f>
        <v>@AbusidiquBlog</v>
      </c>
      <c r="C7514" s="7" t="s">
        <v>15852</v>
      </c>
      <c r="D7514" s="8" t="s">
        <v>16864</v>
      </c>
      <c r="E7514" s="9" t="str">
        <f aca="false">HYPERLINK("https://twitter.com/AbusidiquBlog/status/922565835717144577","922565835717144577")</f>
        <v>922565835717144577</v>
      </c>
      <c r="F7514" s="9" t="s">
        <v>1147</v>
      </c>
      <c r="G7514" s="10" t="n">
        <v>4657</v>
      </c>
      <c r="H7514" s="10" t="n">
        <v>14</v>
      </c>
      <c r="I7514" s="10" t="n">
        <v>1</v>
      </c>
      <c r="J7514" s="10" t="n">
        <v>0</v>
      </c>
      <c r="K7514" s="10" t="s">
        <v>20</v>
      </c>
      <c r="L7514" s="11" t="n">
        <v>41309.2625694444</v>
      </c>
      <c r="M7514" s="12"/>
      <c r="N7514" s="12" t="s">
        <v>15855</v>
      </c>
      <c r="O7514" s="9" t="str">
        <f aca="false">HYPERLINK("https://pbs.twimg.com/profile_images/825286205034086401/N4tLjSbm_normal.jpg","View")</f>
        <v>View</v>
      </c>
      <c r="P7514" s="10"/>
    </row>
    <row r="7515" customFormat="false" ht="15.75" hidden="false" customHeight="false" outlineLevel="0" collapsed="false">
      <c r="A7515" s="6" t="n">
        <v>43031.576724537</v>
      </c>
      <c r="B7515" s="7" t="str">
        <f aca="false">HYPERLINK("https://twitter.com/tuumazan","@tuumazan")</f>
        <v>@tuumazan</v>
      </c>
      <c r="C7515" s="8" t="s">
        <v>16865</v>
      </c>
      <c r="D7515" s="8" t="s">
        <v>16866</v>
      </c>
      <c r="E7515" s="9" t="str">
        <f aca="false">HYPERLINK("https://twitter.com/tuumazan/status/922565917552271360","922565917552271360")</f>
        <v>922565917552271360</v>
      </c>
      <c r="F7515" s="9" t="s">
        <v>1147</v>
      </c>
      <c r="G7515" s="10" t="n">
        <v>2</v>
      </c>
      <c r="H7515" s="10" t="n">
        <v>2</v>
      </c>
      <c r="I7515" s="10" t="n">
        <v>0</v>
      </c>
      <c r="J7515" s="10" t="n">
        <v>0</v>
      </c>
      <c r="K7515" s="10" t="s">
        <v>20</v>
      </c>
      <c r="L7515" s="11" t="n">
        <v>42954.1680902778</v>
      </c>
      <c r="M7515" s="12"/>
      <c r="N7515" s="12"/>
      <c r="O7515" s="9" t="str">
        <f aca="false">HYPERLINK("https://pbs.twimg.com/profile_images/901825612557434880/ZYQ549i-_normal.jpg","View")</f>
        <v>View</v>
      </c>
      <c r="P7515" s="10"/>
    </row>
    <row r="7516" customFormat="false" ht="15.75" hidden="false" customHeight="false" outlineLevel="0" collapsed="false">
      <c r="A7516" s="6" t="n">
        <v>43031.5770833333</v>
      </c>
      <c r="B7516" s="7" t="str">
        <f aca="false">HYPERLINK("https://twitter.com/AnkitKhera95356","@AnkitKhera95356")</f>
        <v>@AnkitKhera95356</v>
      </c>
      <c r="C7516" s="8" t="s">
        <v>16867</v>
      </c>
      <c r="D7516" s="8" t="s">
        <v>8538</v>
      </c>
      <c r="E7516" s="9" t="str">
        <f aca="false">HYPERLINK("https://twitter.com/AnkitKhera95356/status/922566046157979648","922566046157979648")</f>
        <v>922566046157979648</v>
      </c>
      <c r="F7516" s="10" t="s">
        <v>98</v>
      </c>
      <c r="G7516" s="10" t="n">
        <v>30</v>
      </c>
      <c r="H7516" s="10" t="n">
        <v>30</v>
      </c>
      <c r="I7516" s="10" t="n">
        <v>1015</v>
      </c>
      <c r="J7516" s="10" t="n">
        <v>0</v>
      </c>
      <c r="K7516" s="10" t="s">
        <v>20</v>
      </c>
      <c r="L7516" s="11" t="n">
        <v>43025.1598263889</v>
      </c>
      <c r="M7516" s="12" t="s">
        <v>16868</v>
      </c>
      <c r="N7516" s="12" t="s">
        <v>16869</v>
      </c>
      <c r="O7516" s="9" t="str">
        <f aca="false">HYPERLINK("https://pbs.twimg.com/profile_images/920265545462693889/IIHhYJxg_normal.jpg","View")</f>
        <v>View</v>
      </c>
      <c r="P7516" s="10"/>
    </row>
    <row r="7517" customFormat="false" ht="15.75" hidden="false" customHeight="false" outlineLevel="0" collapsed="false">
      <c r="A7517" s="6" t="n">
        <v>43031.5778356481</v>
      </c>
      <c r="B7517" s="7" t="str">
        <f aca="false">HYPERLINK("https://twitter.com/imichelR","@imichelR")</f>
        <v>@imichelR</v>
      </c>
      <c r="C7517" s="8" t="s">
        <v>16862</v>
      </c>
      <c r="D7517" s="8" t="s">
        <v>10788</v>
      </c>
      <c r="E7517" s="9" t="str">
        <f aca="false">HYPERLINK("https://twitter.com/imichelR/status/922566320633257984","922566320633257984")</f>
        <v>922566320633257984</v>
      </c>
      <c r="F7517" s="10" t="s">
        <v>39</v>
      </c>
      <c r="G7517" s="10" t="n">
        <v>727</v>
      </c>
      <c r="H7517" s="10" t="n">
        <v>4998</v>
      </c>
      <c r="I7517" s="10" t="n">
        <v>18</v>
      </c>
      <c r="J7517" s="10" t="n">
        <v>0</v>
      </c>
      <c r="K7517" s="10" t="s">
        <v>20</v>
      </c>
      <c r="L7517" s="11" t="n">
        <v>39959.6633796296</v>
      </c>
      <c r="M7517" s="12"/>
      <c r="N7517" s="12"/>
      <c r="O7517" s="9" t="str">
        <f aca="false">HYPERLINK("https://pbs.twimg.com/profile_images/907683974947983361/1RGqLiyg_normal.jpg","View")</f>
        <v>View</v>
      </c>
      <c r="P7517" s="10"/>
    </row>
    <row r="7518" customFormat="false" ht="15.75" hidden="false" customHeight="false" outlineLevel="0" collapsed="false">
      <c r="A7518" s="6" t="n">
        <v>43031.5792476852</v>
      </c>
      <c r="B7518" s="7" t="str">
        <f aca="false">HYPERLINK("https://twitter.com/SamTee247","@SamTee247")</f>
        <v>@SamTee247</v>
      </c>
      <c r="C7518" s="8" t="s">
        <v>16870</v>
      </c>
      <c r="D7518" s="8" t="s">
        <v>16785</v>
      </c>
      <c r="E7518" s="9" t="str">
        <f aca="false">HYPERLINK("https://twitter.com/SamTee247/status/922566828584341504","922566828584341504")</f>
        <v>922566828584341504</v>
      </c>
      <c r="F7518" s="10" t="s">
        <v>51</v>
      </c>
      <c r="G7518" s="10" t="n">
        <v>679</v>
      </c>
      <c r="H7518" s="10" t="n">
        <v>977</v>
      </c>
      <c r="I7518" s="10" t="n">
        <v>41</v>
      </c>
      <c r="J7518" s="10" t="n">
        <v>0</v>
      </c>
      <c r="K7518" s="10" t="s">
        <v>20</v>
      </c>
      <c r="L7518" s="11" t="n">
        <v>41836.2044675926</v>
      </c>
      <c r="M7518" s="12" t="s">
        <v>1143</v>
      </c>
      <c r="N7518" s="12" t="s">
        <v>16871</v>
      </c>
      <c r="O7518" s="9" t="str">
        <f aca="false">HYPERLINK("https://pbs.twimg.com/profile_images/917351728604962817/yKSqZLwP_normal.jpg","View")</f>
        <v>View</v>
      </c>
      <c r="P7518" s="10"/>
    </row>
    <row r="7519" customFormat="false" ht="15.75" hidden="false" customHeight="false" outlineLevel="0" collapsed="false">
      <c r="A7519" s="6" t="n">
        <v>43031.5792708333</v>
      </c>
      <c r="B7519" s="7" t="str">
        <f aca="false">HYPERLINK("https://twitter.com/todayng","@todayng")</f>
        <v>@todayng</v>
      </c>
      <c r="C7519" s="8" t="s">
        <v>16872</v>
      </c>
      <c r="D7519" s="8" t="s">
        <v>16873</v>
      </c>
      <c r="E7519" s="9" t="str">
        <f aca="false">HYPERLINK("https://twitter.com/todayng/status/922566838327709697","922566838327709697")</f>
        <v>922566838327709697</v>
      </c>
      <c r="F7519" s="9" t="s">
        <v>1147</v>
      </c>
      <c r="G7519" s="10" t="n">
        <v>108519</v>
      </c>
      <c r="H7519" s="10" t="n">
        <v>2</v>
      </c>
      <c r="I7519" s="10" t="n">
        <v>2</v>
      </c>
      <c r="J7519" s="10" t="n">
        <v>1</v>
      </c>
      <c r="K7519" s="10" t="s">
        <v>20</v>
      </c>
      <c r="L7519" s="11" t="n">
        <v>41743.1806597222</v>
      </c>
      <c r="M7519" s="12"/>
      <c r="N7519" s="12" t="s">
        <v>16874</v>
      </c>
      <c r="O7519" s="9" t="str">
        <f aca="false">HYPERLINK("https://pbs.twimg.com/profile_images/891304751882788864/FmD9OUZy_normal.jpg","View")</f>
        <v>View</v>
      </c>
      <c r="P7519" s="9" t="str">
        <f aca="false">HYPERLINK("https://ctrlq.org/maps/address/#9.062813,7.51898289","Map")</f>
        <v>Map</v>
      </c>
    </row>
    <row r="7520" customFormat="false" ht="15.75" hidden="false" customHeight="false" outlineLevel="0" collapsed="false">
      <c r="A7520" s="6" t="n">
        <v>43031.5792824074</v>
      </c>
      <c r="B7520" s="7" t="str">
        <f aca="false">HYPERLINK("https://twitter.com/NigeriaNewsdesk","@NigeriaNewsdesk")</f>
        <v>@NigeriaNewsdesk</v>
      </c>
      <c r="C7520" s="8" t="s">
        <v>16875</v>
      </c>
      <c r="D7520" s="8" t="s">
        <v>16876</v>
      </c>
      <c r="E7520" s="9" t="str">
        <f aca="false">HYPERLINK("https://twitter.com/NigeriaNewsdesk/status/922566843985928193","922566843985928193")</f>
        <v>922566843985928193</v>
      </c>
      <c r="F7520" s="9" t="s">
        <v>1147</v>
      </c>
      <c r="G7520" s="10" t="n">
        <v>1445389</v>
      </c>
      <c r="H7520" s="10" t="n">
        <v>2</v>
      </c>
      <c r="I7520" s="10" t="n">
        <v>6</v>
      </c>
      <c r="J7520" s="10" t="n">
        <v>4</v>
      </c>
      <c r="K7520" s="10" t="s">
        <v>20</v>
      </c>
      <c r="L7520" s="11" t="n">
        <v>40137.1216666667</v>
      </c>
      <c r="M7520" s="12"/>
      <c r="N7520" s="12" t="s">
        <v>16877</v>
      </c>
      <c r="O7520" s="9" t="str">
        <f aca="false">HYPERLINK("https://pbs.twimg.com/profile_images/559635895909752832/5m7oAlGi_normal.png","View")</f>
        <v>View</v>
      </c>
      <c r="P7520" s="9" t="str">
        <f aca="false">HYPERLINK("https://ctrlq.org/maps/address/#6.61496451,3.36136043","Map")</f>
        <v>Map</v>
      </c>
    </row>
    <row r="7521" customFormat="false" ht="15.75" hidden="false" customHeight="false" outlineLevel="0" collapsed="false">
      <c r="A7521" s="6" t="n">
        <v>43031.579837963</v>
      </c>
      <c r="B7521" s="7" t="str">
        <f aca="false">HYPERLINK("https://twitter.com/1942cultural","@1942cultural")</f>
        <v>@1942cultural</v>
      </c>
      <c r="C7521" s="8" t="s">
        <v>16878</v>
      </c>
      <c r="D7521" s="8" t="s">
        <v>16879</v>
      </c>
      <c r="E7521" s="9" t="str">
        <f aca="false">HYPERLINK("https://twitter.com/1942cultural/status/922567043106222080","922567043106222080")</f>
        <v>922567043106222080</v>
      </c>
      <c r="F7521" s="10" t="s">
        <v>25</v>
      </c>
      <c r="G7521" s="10" t="n">
        <v>358</v>
      </c>
      <c r="H7521" s="10" t="n">
        <v>480</v>
      </c>
      <c r="I7521" s="10" t="n">
        <v>6</v>
      </c>
      <c r="J7521" s="10" t="n">
        <v>0</v>
      </c>
      <c r="K7521" s="10" t="s">
        <v>20</v>
      </c>
      <c r="L7521" s="11" t="n">
        <v>43021.4972337963</v>
      </c>
      <c r="M7521" s="12" t="s">
        <v>16880</v>
      </c>
      <c r="N7521" s="12"/>
      <c r="O7521" s="9" t="str">
        <f aca="false">HYPERLINK("https://pbs.twimg.com/profile_images/923582287861690368/gK235O_F_normal.jpg","View")</f>
        <v>View</v>
      </c>
      <c r="P7521" s="10"/>
    </row>
    <row r="7522" customFormat="false" ht="15.75" hidden="false" customHeight="false" outlineLevel="0" collapsed="false">
      <c r="A7522" s="6" t="n">
        <v>43031.5798842593</v>
      </c>
      <c r="B7522" s="7" t="str">
        <f aca="false">HYPERLINK("https://twitter.com/1942cultural","@1942cultural")</f>
        <v>@1942cultural</v>
      </c>
      <c r="C7522" s="8" t="s">
        <v>16878</v>
      </c>
      <c r="D7522" s="8" t="s">
        <v>16881</v>
      </c>
      <c r="E7522" s="9" t="str">
        <f aca="false">HYPERLINK("https://twitter.com/1942cultural/status/922567059858366466","922567059858366466")</f>
        <v>922567059858366466</v>
      </c>
      <c r="F7522" s="10" t="s">
        <v>25</v>
      </c>
      <c r="G7522" s="10" t="n">
        <v>358</v>
      </c>
      <c r="H7522" s="10" t="n">
        <v>480</v>
      </c>
      <c r="I7522" s="10" t="n">
        <v>2</v>
      </c>
      <c r="J7522" s="10" t="n">
        <v>0</v>
      </c>
      <c r="K7522" s="10" t="s">
        <v>20</v>
      </c>
      <c r="L7522" s="11" t="n">
        <v>43021.4972337963</v>
      </c>
      <c r="M7522" s="12" t="s">
        <v>16880</v>
      </c>
      <c r="N7522" s="12"/>
      <c r="O7522" s="9" t="str">
        <f aca="false">HYPERLINK("https://pbs.twimg.com/profile_images/923582287861690368/gK235O_F_normal.jpg","View")</f>
        <v>View</v>
      </c>
      <c r="P7522" s="10"/>
    </row>
    <row r="7523" customFormat="false" ht="15.75" hidden="false" customHeight="false" outlineLevel="0" collapsed="false">
      <c r="A7523" s="6" t="n">
        <v>43031.5799189815</v>
      </c>
      <c r="B7523" s="7" t="str">
        <f aca="false">HYPERLINK("https://twitter.com/vandfnews","@vandfnews")</f>
        <v>@vandfnews</v>
      </c>
      <c r="C7523" s="8" t="s">
        <v>16882</v>
      </c>
      <c r="D7523" s="8" t="s">
        <v>16881</v>
      </c>
      <c r="E7523" s="9" t="str">
        <f aca="false">HYPERLINK("https://twitter.com/vandfnews/status/922567075159097344","922567075159097344")</f>
        <v>922567075159097344</v>
      </c>
      <c r="F7523" s="10" t="s">
        <v>25</v>
      </c>
      <c r="G7523" s="10" t="n">
        <v>171</v>
      </c>
      <c r="H7523" s="10" t="n">
        <v>154</v>
      </c>
      <c r="I7523" s="10" t="n">
        <v>2</v>
      </c>
      <c r="J7523" s="10" t="n">
        <v>0</v>
      </c>
      <c r="K7523" s="10" t="s">
        <v>20</v>
      </c>
      <c r="L7523" s="11" t="n">
        <v>41499.7127430556</v>
      </c>
      <c r="M7523" s="12" t="s">
        <v>16883</v>
      </c>
      <c r="N7523" s="12" t="s">
        <v>16884</v>
      </c>
      <c r="O7523" s="9" t="str">
        <f aca="false">HYPERLINK("https://pbs.twimg.com/profile_images/922496737318789125/py4SSrpw_normal.jpg","View")</f>
        <v>View</v>
      </c>
      <c r="P7523" s="10"/>
    </row>
    <row r="7524" customFormat="false" ht="15.75" hidden="false" customHeight="false" outlineLevel="0" collapsed="false">
      <c r="A7524" s="6" t="n">
        <v>43031.5809143519</v>
      </c>
      <c r="B7524" s="7" t="str">
        <f aca="false">HYPERLINK("https://twitter.com/akinto70","@akinto70")</f>
        <v>@akinto70</v>
      </c>
      <c r="C7524" s="8" t="s">
        <v>16885</v>
      </c>
      <c r="D7524" s="8" t="s">
        <v>16886</v>
      </c>
      <c r="E7524" s="9" t="str">
        <f aca="false">HYPERLINK("https://twitter.com/akinto70/status/922567432400617472","922567432400617472")</f>
        <v>922567432400617472</v>
      </c>
      <c r="F7524" s="10" t="s">
        <v>60</v>
      </c>
      <c r="G7524" s="10" t="n">
        <v>270</v>
      </c>
      <c r="H7524" s="10" t="n">
        <v>314</v>
      </c>
      <c r="I7524" s="10" t="n">
        <v>0</v>
      </c>
      <c r="J7524" s="10" t="n">
        <v>0</v>
      </c>
      <c r="K7524" s="10" t="s">
        <v>20</v>
      </c>
      <c r="L7524" s="11" t="n">
        <v>41013.9383564815</v>
      </c>
      <c r="M7524" s="12" t="s">
        <v>16887</v>
      </c>
      <c r="N7524" s="12" t="s">
        <v>16888</v>
      </c>
      <c r="O7524" s="9" t="str">
        <f aca="false">HYPERLINK("https://pbs.twimg.com/profile_images/843536542551425024/S5IJjqKR_normal.jpg","View")</f>
        <v>View</v>
      </c>
      <c r="P7524" s="10"/>
    </row>
    <row r="7525" customFormat="false" ht="15.75" hidden="false" customHeight="false" outlineLevel="0" collapsed="false">
      <c r="A7525" s="6" t="n">
        <v>43031.5815162037</v>
      </c>
      <c r="B7525" s="7" t="str">
        <f aca="false">HYPERLINK("https://twitter.com/RenaeLucasHall","@RenaeLucasHall")</f>
        <v>@RenaeLucasHall</v>
      </c>
      <c r="C7525" s="8" t="s">
        <v>5268</v>
      </c>
      <c r="D7525" s="8" t="s">
        <v>16785</v>
      </c>
      <c r="E7525" s="9" t="str">
        <f aca="false">HYPERLINK("https://twitter.com/RenaeLucasHall/status/922567654086393856","922567654086393856")</f>
        <v>922567654086393856</v>
      </c>
      <c r="F7525" s="10" t="s">
        <v>39</v>
      </c>
      <c r="G7525" s="10" t="n">
        <v>13614</v>
      </c>
      <c r="H7525" s="10" t="n">
        <v>8802</v>
      </c>
      <c r="I7525" s="10" t="n">
        <v>41</v>
      </c>
      <c r="J7525" s="10" t="n">
        <v>0</v>
      </c>
      <c r="K7525" s="10" t="s">
        <v>20</v>
      </c>
      <c r="L7525" s="11" t="n">
        <v>41097.4658564815</v>
      </c>
      <c r="M7525" s="12" t="s">
        <v>5269</v>
      </c>
      <c r="N7525" s="12" t="s">
        <v>5270</v>
      </c>
      <c r="O7525" s="9" t="str">
        <f aca="false">HYPERLINK("https://pbs.twimg.com/profile_images/805743939957428224/JMN045gA_normal.jpg","View")</f>
        <v>View</v>
      </c>
      <c r="P7525" s="10"/>
    </row>
    <row r="7526" customFormat="false" ht="15.75" hidden="false" customHeight="false" outlineLevel="0" collapsed="false">
      <c r="A7526" s="6" t="n">
        <v>43031.5815393519</v>
      </c>
      <c r="B7526" s="7" t="str">
        <f aca="false">HYPERLINK("https://twitter.com/Somjeeta_C","@Somjeeta_C")</f>
        <v>@Somjeeta_C</v>
      </c>
      <c r="C7526" s="8" t="s">
        <v>16889</v>
      </c>
      <c r="D7526" s="8" t="s">
        <v>13114</v>
      </c>
      <c r="E7526" s="9" t="str">
        <f aca="false">HYPERLINK("https://twitter.com/Somjeeta_C/status/922567662865080321","922567662865080321")</f>
        <v>922567662865080321</v>
      </c>
      <c r="F7526" s="10" t="s">
        <v>51</v>
      </c>
      <c r="G7526" s="10" t="n">
        <v>12</v>
      </c>
      <c r="H7526" s="10" t="n">
        <v>153</v>
      </c>
      <c r="I7526" s="10" t="n">
        <v>19</v>
      </c>
      <c r="J7526" s="10" t="n">
        <v>0</v>
      </c>
      <c r="K7526" s="10" t="s">
        <v>20</v>
      </c>
      <c r="L7526" s="11" t="n">
        <v>43007.445162037</v>
      </c>
      <c r="M7526" s="12" t="s">
        <v>203</v>
      </c>
      <c r="N7526" s="12"/>
      <c r="O7526" s="9" t="str">
        <f aca="false">HYPERLINK("https://pbs.twimg.com/profile_images/917868988989952003/XN889OcH_normal.jpg","View")</f>
        <v>View</v>
      </c>
      <c r="P7526" s="10"/>
    </row>
    <row r="7527" customFormat="false" ht="15.75" hidden="false" customHeight="false" outlineLevel="0" collapsed="false">
      <c r="A7527" s="6" t="n">
        <v>43031.5822800926</v>
      </c>
      <c r="B7527" s="7" t="str">
        <f aca="false">HYPERLINK("https://twitter.com/BenshuazyJoshua","@BenshuazyJoshua")</f>
        <v>@BenshuazyJoshua</v>
      </c>
      <c r="C7527" s="8" t="s">
        <v>16890</v>
      </c>
      <c r="D7527" s="8" t="s">
        <v>16879</v>
      </c>
      <c r="E7527" s="9" t="str">
        <f aca="false">HYPERLINK("https://twitter.com/BenshuazyJoshua/status/922567928519606272","922567928519606272")</f>
        <v>922567928519606272</v>
      </c>
      <c r="F7527" s="10" t="s">
        <v>25</v>
      </c>
      <c r="G7527" s="10" t="n">
        <v>66</v>
      </c>
      <c r="H7527" s="10" t="n">
        <v>787</v>
      </c>
      <c r="I7527" s="10" t="n">
        <v>6</v>
      </c>
      <c r="J7527" s="10" t="n">
        <v>0</v>
      </c>
      <c r="K7527" s="10" t="s">
        <v>20</v>
      </c>
      <c r="L7527" s="11" t="n">
        <v>41450.4943287037</v>
      </c>
      <c r="M7527" s="12" t="s">
        <v>3656</v>
      </c>
      <c r="N7527" s="12" t="s">
        <v>16891</v>
      </c>
      <c r="O7527" s="9" t="str">
        <f aca="false">HYPERLINK("https://pbs.twimg.com/profile_images/918543977342750720/lDvLvvAo_normal.jpg","View")</f>
        <v>View</v>
      </c>
      <c r="P7527" s="10"/>
    </row>
    <row r="7528" customFormat="false" ht="15.75" hidden="false" customHeight="false" outlineLevel="0" collapsed="false">
      <c r="A7528" s="6" t="n">
        <v>43031.5823148148</v>
      </c>
      <c r="B7528" s="7" t="str">
        <f aca="false">HYPERLINK("https://twitter.com/bbello2015","@bbello2015")</f>
        <v>@bbello2015</v>
      </c>
      <c r="C7528" s="8" t="s">
        <v>16892</v>
      </c>
      <c r="D7528" s="8" t="s">
        <v>16893</v>
      </c>
      <c r="E7528" s="9" t="str">
        <f aca="false">HYPERLINK("https://twitter.com/bbello2015/status/922567940796321792","922567940796321792")</f>
        <v>922567940796321792</v>
      </c>
      <c r="F7528" s="10" t="s">
        <v>60</v>
      </c>
      <c r="G7528" s="10" t="n">
        <v>1312</v>
      </c>
      <c r="H7528" s="10" t="n">
        <v>340</v>
      </c>
      <c r="I7528" s="10" t="n">
        <v>0</v>
      </c>
      <c r="J7528" s="10" t="n">
        <v>0</v>
      </c>
      <c r="K7528" s="10" t="s">
        <v>20</v>
      </c>
      <c r="L7528" s="11" t="n">
        <v>40609.2251388889</v>
      </c>
      <c r="M7528" s="12" t="s">
        <v>16894</v>
      </c>
      <c r="N7528" s="12" t="s">
        <v>16895</v>
      </c>
      <c r="O7528" s="9" t="str">
        <f aca="false">HYPERLINK("https://pbs.twimg.com/profile_images/898413184188530688/1uVx-t23_normal.jpg","View")</f>
        <v>View</v>
      </c>
      <c r="P7528" s="10"/>
    </row>
    <row r="7529" customFormat="false" ht="15.75" hidden="false" customHeight="false" outlineLevel="0" collapsed="false">
      <c r="A7529" s="6" t="n">
        <v>43031.5824884259</v>
      </c>
      <c r="B7529" s="7" t="str">
        <f aca="false">HYPERLINK("https://twitter.com/takahiro_red","@takahiro_red")</f>
        <v>@takahiro_red</v>
      </c>
      <c r="C7529" s="14" t="s">
        <v>16896</v>
      </c>
      <c r="D7529" s="8" t="s">
        <v>16785</v>
      </c>
      <c r="E7529" s="9" t="str">
        <f aca="false">HYPERLINK("https://twitter.com/takahiro_red/status/922568003132076032","922568003132076032")</f>
        <v>922568003132076032</v>
      </c>
      <c r="F7529" s="10" t="s">
        <v>51</v>
      </c>
      <c r="G7529" s="10" t="n">
        <v>819</v>
      </c>
      <c r="H7529" s="10" t="n">
        <v>278</v>
      </c>
      <c r="I7529" s="10" t="n">
        <v>41</v>
      </c>
      <c r="J7529" s="10" t="n">
        <v>0</v>
      </c>
      <c r="K7529" s="10" t="s">
        <v>20</v>
      </c>
      <c r="L7529" s="11" t="n">
        <v>41261.0018402778</v>
      </c>
      <c r="M7529" s="12"/>
      <c r="N7529" s="13" t="s">
        <v>16897</v>
      </c>
      <c r="O7529" s="9" t="str">
        <f aca="false">HYPERLINK("https://pbs.twimg.com/profile_images/890631744554115073/qPcRE4qG_normal.jpg","View")</f>
        <v>View</v>
      </c>
      <c r="P7529" s="10"/>
    </row>
    <row r="7530" customFormat="false" ht="15.75" hidden="false" customHeight="false" outlineLevel="0" collapsed="false">
      <c r="A7530" s="6" t="n">
        <v>43031.5826041667</v>
      </c>
      <c r="B7530" s="7" t="str">
        <f aca="false">HYPERLINK("https://twitter.com/AfuziCruz","@AfuziCruz")</f>
        <v>@AfuziCruz</v>
      </c>
      <c r="C7530" s="8" t="s">
        <v>16898</v>
      </c>
      <c r="D7530" s="8" t="s">
        <v>16879</v>
      </c>
      <c r="E7530" s="9" t="str">
        <f aca="false">HYPERLINK("https://twitter.com/AfuziCruz/status/922568046442455040","922568046442455040")</f>
        <v>922568046442455040</v>
      </c>
      <c r="F7530" s="10" t="s">
        <v>25</v>
      </c>
      <c r="G7530" s="10" t="n">
        <v>205</v>
      </c>
      <c r="H7530" s="10" t="n">
        <v>518</v>
      </c>
      <c r="I7530" s="10" t="n">
        <v>6</v>
      </c>
      <c r="J7530" s="10" t="n">
        <v>0</v>
      </c>
      <c r="K7530" s="10" t="s">
        <v>20</v>
      </c>
      <c r="L7530" s="11" t="n">
        <v>40217.1109837963</v>
      </c>
      <c r="M7530" s="12" t="s">
        <v>526</v>
      </c>
      <c r="N7530" s="12" t="s">
        <v>16899</v>
      </c>
      <c r="O7530" s="9" t="str">
        <f aca="false">HYPERLINK("https://pbs.twimg.com/profile_images/715172799426531329/G8dbnbMd_normal.jpg","View")</f>
        <v>View</v>
      </c>
      <c r="P7530" s="10"/>
    </row>
    <row r="7531" customFormat="false" ht="15.75" hidden="false" customHeight="false" outlineLevel="0" collapsed="false">
      <c r="A7531" s="6" t="n">
        <v>43031.5827662037</v>
      </c>
      <c r="B7531" s="7" t="str">
        <f aca="false">HYPERLINK("https://twitter.com/herdayemmy","@herdayemmy")</f>
        <v>@herdayemmy</v>
      </c>
      <c r="C7531" s="8" t="s">
        <v>16900</v>
      </c>
      <c r="D7531" s="8" t="s">
        <v>16879</v>
      </c>
      <c r="E7531" s="9" t="str">
        <f aca="false">HYPERLINK("https://twitter.com/herdayemmy/status/922568105175351296","922568105175351296")</f>
        <v>922568105175351296</v>
      </c>
      <c r="F7531" s="10" t="s">
        <v>25</v>
      </c>
      <c r="G7531" s="10" t="n">
        <v>71</v>
      </c>
      <c r="H7531" s="10" t="n">
        <v>617</v>
      </c>
      <c r="I7531" s="10" t="n">
        <v>6</v>
      </c>
      <c r="J7531" s="10" t="n">
        <v>0</v>
      </c>
      <c r="K7531" s="10" t="s">
        <v>20</v>
      </c>
      <c r="L7531" s="11" t="n">
        <v>41038.1853472222</v>
      </c>
      <c r="M7531" s="12"/>
      <c r="N7531" s="12" t="s">
        <v>16901</v>
      </c>
      <c r="O7531" s="9" t="str">
        <f aca="false">HYPERLINK("https://pbs.twimg.com/profile_images/2204082528/IMG-20120507-00290_normal.jpg","View")</f>
        <v>View</v>
      </c>
      <c r="P7531" s="10"/>
    </row>
    <row r="7532" customFormat="false" ht="15.75" hidden="false" customHeight="false" outlineLevel="0" collapsed="false">
      <c r="A7532" s="6" t="n">
        <v>43031.585</v>
      </c>
      <c r="B7532" s="7" t="str">
        <f aca="false">HYPERLINK("https://twitter.com/ManMisterGreen","@ManMisterGreen")</f>
        <v>@ManMisterGreen</v>
      </c>
      <c r="C7532" s="8" t="s">
        <v>16902</v>
      </c>
      <c r="D7532" s="8" t="s">
        <v>12493</v>
      </c>
      <c r="E7532" s="9" t="str">
        <f aca="false">HYPERLINK("https://twitter.com/ManMisterGreen/status/922568914717966338","922568914717966338")</f>
        <v>922568914717966338</v>
      </c>
      <c r="F7532" s="10" t="s">
        <v>25</v>
      </c>
      <c r="G7532" s="10" t="n">
        <v>94</v>
      </c>
      <c r="H7532" s="10" t="n">
        <v>311</v>
      </c>
      <c r="I7532" s="10" t="n">
        <v>63</v>
      </c>
      <c r="J7532" s="10" t="n">
        <v>0</v>
      </c>
      <c r="K7532" s="10" t="s">
        <v>20</v>
      </c>
      <c r="L7532" s="11" t="n">
        <v>42838.6392361111</v>
      </c>
      <c r="M7532" s="12" t="s">
        <v>295</v>
      </c>
      <c r="N7532" s="12" t="s">
        <v>16903</v>
      </c>
      <c r="O7532" s="9" t="str">
        <f aca="false">HYPERLINK("https://pbs.twimg.com/profile_images/852652928280256512/GwLAdaN-_normal.jpg","View")</f>
        <v>View</v>
      </c>
      <c r="P7532" s="10"/>
    </row>
    <row r="7533" customFormat="false" ht="15.75" hidden="false" customHeight="false" outlineLevel="0" collapsed="false">
      <c r="A7533" s="6" t="n">
        <v>43031.5856712963</v>
      </c>
      <c r="B7533" s="7" t="str">
        <f aca="false">HYPERLINK("https://twitter.com/news_analyst","@news_analyst")</f>
        <v>@news_analyst</v>
      </c>
      <c r="C7533" s="8" t="s">
        <v>16904</v>
      </c>
      <c r="D7533" s="8" t="s">
        <v>16905</v>
      </c>
      <c r="E7533" s="9" t="str">
        <f aca="false">HYPERLINK("https://twitter.com/news_analyst/status/922569157601673216","922569157601673216")</f>
        <v>922569157601673216</v>
      </c>
      <c r="F7533" s="10" t="s">
        <v>3042</v>
      </c>
      <c r="G7533" s="10" t="n">
        <v>2176</v>
      </c>
      <c r="H7533" s="10" t="n">
        <v>2331</v>
      </c>
      <c r="I7533" s="10" t="n">
        <v>0</v>
      </c>
      <c r="J7533" s="10" t="n">
        <v>0</v>
      </c>
      <c r="K7533" s="10" t="s">
        <v>20</v>
      </c>
      <c r="L7533" s="11" t="n">
        <v>40712.1970949074</v>
      </c>
      <c r="M7533" s="12" t="s">
        <v>230</v>
      </c>
      <c r="N7533" s="12" t="s">
        <v>16906</v>
      </c>
      <c r="O7533" s="9" t="str">
        <f aca="false">HYPERLINK("https://pbs.twimg.com/profile_images/1401389327/Afbeelding_35_normal.png","View")</f>
        <v>View</v>
      </c>
      <c r="P7533" s="10"/>
    </row>
    <row r="7534" customFormat="false" ht="15.75" hidden="false" customHeight="false" outlineLevel="0" collapsed="false">
      <c r="A7534" s="6" t="n">
        <v>43031.5865046296</v>
      </c>
      <c r="B7534" s="7" t="str">
        <f aca="false">HYPERLINK("https://twitter.com/Binaliyu","@Binaliyu")</f>
        <v>@Binaliyu</v>
      </c>
      <c r="C7534" s="8" t="s">
        <v>16907</v>
      </c>
      <c r="D7534" s="8" t="s">
        <v>16879</v>
      </c>
      <c r="E7534" s="9" t="str">
        <f aca="false">HYPERLINK("https://twitter.com/Binaliyu/status/922569462003273729","922569462003273729")</f>
        <v>922569462003273729</v>
      </c>
      <c r="F7534" s="10" t="s">
        <v>25</v>
      </c>
      <c r="G7534" s="10" t="n">
        <v>639</v>
      </c>
      <c r="H7534" s="10" t="n">
        <v>204</v>
      </c>
      <c r="I7534" s="10" t="n">
        <v>6</v>
      </c>
      <c r="J7534" s="10" t="n">
        <v>0</v>
      </c>
      <c r="K7534" s="10" t="s">
        <v>20</v>
      </c>
      <c r="L7534" s="11" t="n">
        <v>40455.6333101852</v>
      </c>
      <c r="M7534" s="12" t="s">
        <v>5869</v>
      </c>
      <c r="N7534" s="12" t="s">
        <v>16908</v>
      </c>
      <c r="O7534" s="9" t="str">
        <f aca="false">HYPERLINK("https://pbs.twimg.com/profile_images/853792917206511616/mtzB-ahQ_normal.jpg","View")</f>
        <v>View</v>
      </c>
      <c r="P7534" s="10"/>
    </row>
    <row r="7535" customFormat="false" ht="15.75" hidden="false" customHeight="false" outlineLevel="0" collapsed="false">
      <c r="A7535" s="6" t="n">
        <v>43031.5865740741</v>
      </c>
      <c r="B7535" s="7" t="str">
        <f aca="false">HYPERLINK("https://twitter.com/Binaliyu","@Binaliyu")</f>
        <v>@Binaliyu</v>
      </c>
      <c r="C7535" s="8" t="s">
        <v>16907</v>
      </c>
      <c r="D7535" s="8" t="s">
        <v>16909</v>
      </c>
      <c r="E7535" s="9" t="str">
        <f aca="false">HYPERLINK("https://twitter.com/Binaliyu/status/922569485201977344","922569485201977344")</f>
        <v>922569485201977344</v>
      </c>
      <c r="F7535" s="10" t="s">
        <v>47</v>
      </c>
      <c r="G7535" s="10" t="n">
        <v>639</v>
      </c>
      <c r="H7535" s="10" t="n">
        <v>204</v>
      </c>
      <c r="I7535" s="10" t="n">
        <v>0</v>
      </c>
      <c r="J7535" s="10" t="n">
        <v>0</v>
      </c>
      <c r="K7535" s="10" t="s">
        <v>20</v>
      </c>
      <c r="L7535" s="11" t="n">
        <v>40455.6333101852</v>
      </c>
      <c r="M7535" s="12" t="s">
        <v>5869</v>
      </c>
      <c r="N7535" s="12" t="s">
        <v>16908</v>
      </c>
      <c r="O7535" s="9" t="str">
        <f aca="false">HYPERLINK("https://pbs.twimg.com/profile_images/853792917206511616/mtzB-ahQ_normal.jpg","View")</f>
        <v>View</v>
      </c>
      <c r="P7535" s="10"/>
    </row>
    <row r="7536" customFormat="false" ht="15.75" hidden="false" customHeight="false" outlineLevel="0" collapsed="false">
      <c r="A7536" s="6" t="n">
        <v>43031.5867361111</v>
      </c>
      <c r="B7536" s="7" t="str">
        <f aca="false">HYPERLINK("https://twitter.com/artytrace","@artytrace")</f>
        <v>@artytrace</v>
      </c>
      <c r="C7536" s="8" t="s">
        <v>16910</v>
      </c>
      <c r="D7536" s="8" t="s">
        <v>16413</v>
      </c>
      <c r="E7536" s="9" t="str">
        <f aca="false">HYPERLINK("https://twitter.com/artytrace/status/922569542173200384","922569542173200384")</f>
        <v>922569542173200384</v>
      </c>
      <c r="F7536" s="10" t="s">
        <v>25</v>
      </c>
      <c r="G7536" s="10" t="n">
        <v>1948</v>
      </c>
      <c r="H7536" s="10" t="n">
        <v>2079</v>
      </c>
      <c r="I7536" s="10" t="n">
        <v>46</v>
      </c>
      <c r="J7536" s="10" t="n">
        <v>0</v>
      </c>
      <c r="K7536" s="10" t="s">
        <v>20</v>
      </c>
      <c r="L7536" s="11" t="n">
        <v>40623.3639583333</v>
      </c>
      <c r="M7536" s="12" t="s">
        <v>10236</v>
      </c>
      <c r="N7536" s="12" t="s">
        <v>16911</v>
      </c>
      <c r="O7536" s="9" t="str">
        <f aca="false">HYPERLINK("https://pbs.twimg.com/profile_images/1282508445/P1010075_normal.JPG","View")</f>
        <v>View</v>
      </c>
      <c r="P7536" s="10"/>
    </row>
    <row r="7537" customFormat="false" ht="15.75" hidden="false" customHeight="false" outlineLevel="0" collapsed="false">
      <c r="A7537" s="6" t="n">
        <v>43031.5875347222</v>
      </c>
      <c r="B7537" s="7" t="str">
        <f aca="false">HYPERLINK("https://twitter.com/NewsDingo","@NewsDingo")</f>
        <v>@NewsDingo</v>
      </c>
      <c r="C7537" s="8" t="s">
        <v>1930</v>
      </c>
      <c r="D7537" s="8" t="s">
        <v>16912</v>
      </c>
      <c r="E7537" s="9" t="str">
        <f aca="false">HYPERLINK("https://twitter.com/NewsDingo/status/922569834373586944","922569834373586944")</f>
        <v>922569834373586944</v>
      </c>
      <c r="F7537" s="10" t="s">
        <v>1932</v>
      </c>
      <c r="G7537" s="10" t="n">
        <v>141</v>
      </c>
      <c r="H7537" s="10" t="n">
        <v>55</v>
      </c>
      <c r="I7537" s="10" t="n">
        <v>0</v>
      </c>
      <c r="J7537" s="10" t="n">
        <v>0</v>
      </c>
      <c r="K7537" s="10" t="s">
        <v>20</v>
      </c>
      <c r="L7537" s="11" t="n">
        <v>40282.5263657407</v>
      </c>
      <c r="M7537" s="12" t="s">
        <v>1933</v>
      </c>
      <c r="N7537" s="12" t="s">
        <v>1934</v>
      </c>
      <c r="O7537" s="9" t="str">
        <f aca="false">HYPERLINK("https://pbs.twimg.com/profile_images/823485261/news_dingo_48_normal.gif","View")</f>
        <v>View</v>
      </c>
      <c r="P7537" s="10"/>
    </row>
    <row r="7538" customFormat="false" ht="15.75" hidden="false" customHeight="false" outlineLevel="0" collapsed="false">
      <c r="A7538" s="6" t="n">
        <v>43031.5882060185</v>
      </c>
      <c r="B7538" s="7" t="str">
        <f aca="false">HYPERLINK("https://twitter.com/JeremyFarrar","@JeremyFarrar")</f>
        <v>@JeremyFarrar</v>
      </c>
      <c r="C7538" s="8" t="s">
        <v>16913</v>
      </c>
      <c r="D7538" s="8" t="s">
        <v>16785</v>
      </c>
      <c r="E7538" s="9" t="str">
        <f aca="false">HYPERLINK("https://twitter.com/JeremyFarrar/status/922570078897524736","922570078897524736")</f>
        <v>922570078897524736</v>
      </c>
      <c r="F7538" s="10" t="s">
        <v>177</v>
      </c>
      <c r="G7538" s="10" t="n">
        <v>9519</v>
      </c>
      <c r="H7538" s="10" t="n">
        <v>126</v>
      </c>
      <c r="I7538" s="10" t="n">
        <v>41</v>
      </c>
      <c r="J7538" s="10" t="n">
        <v>0</v>
      </c>
      <c r="K7538" s="10" t="s">
        <v>20</v>
      </c>
      <c r="L7538" s="11" t="n">
        <v>41432.0214467593</v>
      </c>
      <c r="M7538" s="12" t="s">
        <v>893</v>
      </c>
      <c r="N7538" s="12" t="s">
        <v>16914</v>
      </c>
      <c r="O7538" s="9" t="str">
        <f aca="false">HYPERLINK("https://pbs.twimg.com/profile_images/378800000533045855/5174e72399a4ea077f328e190aec270f_normal.jpeg","View")</f>
        <v>View</v>
      </c>
      <c r="P7538" s="10"/>
    </row>
    <row r="7539" customFormat="false" ht="15.75" hidden="false" customHeight="false" outlineLevel="0" collapsed="false">
      <c r="A7539" s="6" t="n">
        <v>43031.5890625</v>
      </c>
      <c r="B7539" s="7" t="str">
        <f aca="false">HYPERLINK("https://twitter.com/Estrcp","@Estrcp")</f>
        <v>@Estrcp</v>
      </c>
      <c r="C7539" s="8" t="s">
        <v>16915</v>
      </c>
      <c r="D7539" s="8" t="s">
        <v>16785</v>
      </c>
      <c r="E7539" s="9" t="str">
        <f aca="false">HYPERLINK("https://twitter.com/Estrcp/status/922570385962409984","922570385962409984")</f>
        <v>922570385962409984</v>
      </c>
      <c r="F7539" s="10" t="s">
        <v>25</v>
      </c>
      <c r="G7539" s="10" t="n">
        <v>719</v>
      </c>
      <c r="H7539" s="10" t="n">
        <v>650</v>
      </c>
      <c r="I7539" s="10" t="n">
        <v>41</v>
      </c>
      <c r="J7539" s="10" t="n">
        <v>0</v>
      </c>
      <c r="K7539" s="10" t="s">
        <v>20</v>
      </c>
      <c r="L7539" s="11" t="n">
        <v>40675.5055324074</v>
      </c>
      <c r="M7539" s="12"/>
      <c r="N7539" s="12" t="s">
        <v>16916</v>
      </c>
      <c r="O7539" s="9" t="str">
        <f aca="false">HYPERLINK("https://pbs.twimg.com/profile_images/895657803179843585/zE6-3L2A_normal.jpg","View")</f>
        <v>View</v>
      </c>
      <c r="P7539" s="10"/>
    </row>
    <row r="7540" customFormat="false" ht="15.75" hidden="false" customHeight="false" outlineLevel="0" collapsed="false">
      <c r="A7540" s="6" t="n">
        <v>43031.5894907407</v>
      </c>
      <c r="B7540" s="7" t="str">
        <f aca="false">HYPERLINK("https://twitter.com/TheAccidentMan9","@TheAccidentMan9")</f>
        <v>@TheAccidentMan9</v>
      </c>
      <c r="C7540" s="8" t="s">
        <v>16917</v>
      </c>
      <c r="D7540" s="8" t="s">
        <v>16918</v>
      </c>
      <c r="E7540" s="9" t="str">
        <f aca="false">HYPERLINK("https://twitter.com/TheAccidentMan9/status/922570542799929344","922570542799929344")</f>
        <v>922570542799929344</v>
      </c>
      <c r="F7540" s="10" t="s">
        <v>39</v>
      </c>
      <c r="G7540" s="10" t="n">
        <v>776</v>
      </c>
      <c r="H7540" s="10" t="n">
        <v>1605</v>
      </c>
      <c r="I7540" s="10" t="n">
        <v>0</v>
      </c>
      <c r="J7540" s="10" t="n">
        <v>0</v>
      </c>
      <c r="K7540" s="10" t="s">
        <v>20</v>
      </c>
      <c r="L7540" s="11" t="n">
        <v>41390.1160763889</v>
      </c>
      <c r="M7540" s="12" t="e">
        <f aca="false">[rothwell gornt]=</f>
        <v>#VALUE!</v>
      </c>
      <c r="N7540" s="12" t="s">
        <v>16919</v>
      </c>
      <c r="O7540" s="9" t="str">
        <f aca="false">HYPERLINK("https://pbs.twimg.com/profile_images/881348995162947589/8ZPHhvOo_normal.jpg","View")</f>
        <v>View</v>
      </c>
      <c r="P7540" s="10"/>
    </row>
    <row r="7541" customFormat="false" ht="15.75" hidden="false" customHeight="false" outlineLevel="0" collapsed="false">
      <c r="A7541" s="6" t="n">
        <v>43031.5910069445</v>
      </c>
      <c r="B7541" s="7" t="str">
        <f aca="false">HYPERLINK("https://twitter.com/onayamigb","@onayamigb")</f>
        <v>@onayamigb</v>
      </c>
      <c r="C7541" s="14" t="s">
        <v>16920</v>
      </c>
      <c r="D7541" s="8" t="s">
        <v>16921</v>
      </c>
      <c r="E7541" s="9" t="str">
        <f aca="false">HYPERLINK("https://twitter.com/onayamigb/status/922571093348462593","922571093348462593")</f>
        <v>922571093348462593</v>
      </c>
      <c r="F7541" s="9" t="s">
        <v>1147</v>
      </c>
      <c r="G7541" s="10" t="n">
        <v>1059</v>
      </c>
      <c r="H7541" s="10" t="n">
        <v>1624</v>
      </c>
      <c r="I7541" s="10" t="n">
        <v>0</v>
      </c>
      <c r="J7541" s="10" t="n">
        <v>0</v>
      </c>
      <c r="K7541" s="10" t="s">
        <v>20</v>
      </c>
      <c r="L7541" s="11" t="n">
        <v>42996.5992708333</v>
      </c>
      <c r="M7541" s="13" t="s">
        <v>16922</v>
      </c>
      <c r="N7541" s="13" t="s">
        <v>16923</v>
      </c>
      <c r="O7541" s="9" t="str">
        <f aca="false">HYPERLINK("https://pbs.twimg.com/profile_images/909906069429698560/Agj-mjoa_normal.jpg","View")</f>
        <v>View</v>
      </c>
      <c r="P7541" s="10"/>
    </row>
    <row r="7542" customFormat="false" ht="15.75" hidden="false" customHeight="false" outlineLevel="0" collapsed="false">
      <c r="A7542" s="6" t="n">
        <v>43031.5919444444</v>
      </c>
      <c r="B7542" s="7" t="str">
        <f aca="false">HYPERLINK("https://twitter.com/SenJohnMcCain","@SenJohnMcCain")</f>
        <v>@SenJohnMcCain</v>
      </c>
      <c r="C7542" s="8" t="s">
        <v>16924</v>
      </c>
      <c r="D7542" s="8" t="s">
        <v>16925</v>
      </c>
      <c r="E7542" s="9" t="str">
        <f aca="false">HYPERLINK("https://twitter.com/SenJohnMcCain/status/922571431325597696","922571431325597696")</f>
        <v>922571431325597696</v>
      </c>
      <c r="F7542" s="10" t="s">
        <v>39</v>
      </c>
      <c r="G7542" s="10" t="n">
        <v>2738087</v>
      </c>
      <c r="H7542" s="10" t="n">
        <v>379</v>
      </c>
      <c r="I7542" s="10" t="n">
        <v>247</v>
      </c>
      <c r="J7542" s="10" t="n">
        <v>1792</v>
      </c>
      <c r="K7542" s="10" t="s">
        <v>20</v>
      </c>
      <c r="L7542" s="11" t="n">
        <v>39836.2378587963</v>
      </c>
      <c r="M7542" s="12" t="s">
        <v>16926</v>
      </c>
      <c r="N7542" s="12" t="s">
        <v>16927</v>
      </c>
      <c r="O7542" s="9" t="str">
        <f aca="false">HYPERLINK("https://pbs.twimg.com/profile_images/898243253362929664/y1gCTcz1_normal.jpg","View")</f>
        <v>View</v>
      </c>
      <c r="P7542" s="10"/>
    </row>
    <row r="7543" customFormat="false" ht="15.75" hidden="false" customHeight="false" outlineLevel="0" collapsed="false">
      <c r="A7543" s="6" t="n">
        <v>43031.5919444444</v>
      </c>
      <c r="B7543" s="7" t="str">
        <f aca="false">HYPERLINK("https://twitter.com/CongressRTBot","@CongressRTBot")</f>
        <v>@CongressRTBot</v>
      </c>
      <c r="C7543" s="8" t="s">
        <v>16928</v>
      </c>
      <c r="D7543" s="8" t="s">
        <v>16929</v>
      </c>
      <c r="E7543" s="9" t="str">
        <f aca="false">HYPERLINK("https://twitter.com/CongressRTBot/status/922571433439502336","922571433439502336")</f>
        <v>922571433439502336</v>
      </c>
      <c r="F7543" s="10" t="s">
        <v>16930</v>
      </c>
      <c r="G7543" s="10" t="n">
        <v>458</v>
      </c>
      <c r="H7543" s="10" t="n">
        <v>0</v>
      </c>
      <c r="I7543" s="10" t="n">
        <v>247</v>
      </c>
      <c r="J7543" s="10" t="n">
        <v>0</v>
      </c>
      <c r="K7543" s="10" t="s">
        <v>20</v>
      </c>
      <c r="L7543" s="11" t="n">
        <v>42965.5184837963</v>
      </c>
      <c r="M7543" s="12" t="s">
        <v>723</v>
      </c>
      <c r="N7543" s="12" t="s">
        <v>16931</v>
      </c>
      <c r="O7543" s="9" t="str">
        <f aca="false">HYPERLINK("https://pbs.twimg.com/profile_images/898629657599389696/LryfmcYa_normal.jpg","View")</f>
        <v>View</v>
      </c>
      <c r="P7543" s="10"/>
    </row>
    <row r="7544" customFormat="false" ht="15.75" hidden="false" customHeight="false" outlineLevel="0" collapsed="false">
      <c r="A7544" s="6" t="n">
        <v>43031.592025463</v>
      </c>
      <c r="B7544" s="7" t="str">
        <f aca="false">HYPERLINK("https://twitter.com/All100Senators","@All100Senators")</f>
        <v>@All100Senators</v>
      </c>
      <c r="C7544" s="8" t="s">
        <v>16932</v>
      </c>
      <c r="D7544" s="8" t="s">
        <v>16929</v>
      </c>
      <c r="E7544" s="9" t="str">
        <f aca="false">HYPERLINK("https://twitter.com/All100Senators/status/922571462208233472","922571462208233472")</f>
        <v>922571462208233472</v>
      </c>
      <c r="F7544" s="10" t="s">
        <v>16932</v>
      </c>
      <c r="G7544" s="10" t="n">
        <v>895</v>
      </c>
      <c r="H7544" s="10" t="n">
        <v>100</v>
      </c>
      <c r="I7544" s="10" t="n">
        <v>247</v>
      </c>
      <c r="J7544" s="10" t="n">
        <v>0</v>
      </c>
      <c r="K7544" s="10" t="s">
        <v>20</v>
      </c>
      <c r="L7544" s="11" t="n">
        <v>42763.2963541667</v>
      </c>
      <c r="M7544" s="12"/>
      <c r="N7544" s="12" t="s">
        <v>16933</v>
      </c>
      <c r="O7544" s="9" t="str">
        <f aca="false">HYPERLINK("https://pbs.twimg.com/profile_images/825817308073492481/WmGV0hSp_normal.jpg","View")</f>
        <v>View</v>
      </c>
      <c r="P7544" s="10"/>
    </row>
    <row r="7545" customFormat="false" ht="15.75" hidden="false" customHeight="false" outlineLevel="0" collapsed="false">
      <c r="A7545" s="6" t="n">
        <v>43031.5920833333</v>
      </c>
      <c r="B7545" s="7" t="str">
        <f aca="false">HYPERLINK("https://twitter.com/ainarsbr11","@ainarsbr11")</f>
        <v>@ainarsbr11</v>
      </c>
      <c r="C7545" s="8" t="s">
        <v>16934</v>
      </c>
      <c r="D7545" s="8" t="s">
        <v>16929</v>
      </c>
      <c r="E7545" s="9" t="str">
        <f aca="false">HYPERLINK("https://twitter.com/ainarsbr11/status/922571483653718017","922571483653718017")</f>
        <v>922571483653718017</v>
      </c>
      <c r="F7545" s="10" t="s">
        <v>39</v>
      </c>
      <c r="G7545" s="10" t="n">
        <v>1446</v>
      </c>
      <c r="H7545" s="10" t="n">
        <v>853</v>
      </c>
      <c r="I7545" s="10" t="n">
        <v>247</v>
      </c>
      <c r="J7545" s="10" t="n">
        <v>0</v>
      </c>
      <c r="K7545" s="10" t="s">
        <v>20</v>
      </c>
      <c r="L7545" s="11" t="n">
        <v>40616.1089814815</v>
      </c>
      <c r="M7545" s="12"/>
      <c r="N7545" s="12" t="s">
        <v>16935</v>
      </c>
      <c r="O7545" s="9" t="str">
        <f aca="false">HYPERLINK("https://pbs.twimg.com/profile_images/529198445572009984/h9BXgbsD_normal.png","View")</f>
        <v>View</v>
      </c>
      <c r="P7545" s="10"/>
    </row>
    <row r="7546" customFormat="false" ht="15.75" hidden="false" customHeight="false" outlineLevel="0" collapsed="false">
      <c r="A7546" s="6" t="n">
        <v>43031.5921296296</v>
      </c>
      <c r="B7546" s="7" t="str">
        <f aca="false">HYPERLINK("https://twitter.com/jose_baha","@jose_baha")</f>
        <v>@jose_baha</v>
      </c>
      <c r="C7546" s="8" t="s">
        <v>16936</v>
      </c>
      <c r="D7546" s="8" t="s">
        <v>16929</v>
      </c>
      <c r="E7546" s="9" t="str">
        <f aca="false">HYPERLINK("https://twitter.com/jose_baha/status/922571498736332801","922571498736332801")</f>
        <v>922571498736332801</v>
      </c>
      <c r="F7546" s="10" t="s">
        <v>51</v>
      </c>
      <c r="G7546" s="10" t="n">
        <v>783</v>
      </c>
      <c r="H7546" s="10" t="n">
        <v>552</v>
      </c>
      <c r="I7546" s="10" t="n">
        <v>247</v>
      </c>
      <c r="J7546" s="10" t="n">
        <v>0</v>
      </c>
      <c r="K7546" s="10" t="s">
        <v>20</v>
      </c>
      <c r="L7546" s="11" t="n">
        <v>41332.5905208333</v>
      </c>
      <c r="M7546" s="12" t="s">
        <v>16937</v>
      </c>
      <c r="N7546" s="12"/>
      <c r="O7546" s="9" t="str">
        <f aca="false">HYPERLINK("https://pbs.twimg.com/profile_images/502220108006035456/RA3YvZjC_normal.jpeg","View")</f>
        <v>View</v>
      </c>
      <c r="P7546" s="10"/>
    </row>
    <row r="7547" customFormat="false" ht="15.75" hidden="false" customHeight="false" outlineLevel="0" collapsed="false">
      <c r="A7547" s="6" t="n">
        <v>43031.5921296296</v>
      </c>
      <c r="B7547" s="7" t="str">
        <f aca="false">HYPERLINK("https://twitter.com/benvele32","@benvele32")</f>
        <v>@benvele32</v>
      </c>
      <c r="C7547" s="8" t="s">
        <v>12882</v>
      </c>
      <c r="D7547" s="8" t="s">
        <v>16929</v>
      </c>
      <c r="E7547" s="9" t="str">
        <f aca="false">HYPERLINK("https://twitter.com/benvele32/status/922571499999059971","922571499999059971")</f>
        <v>922571499999059971</v>
      </c>
      <c r="F7547" s="10" t="s">
        <v>39</v>
      </c>
      <c r="G7547" s="10" t="n">
        <v>647</v>
      </c>
      <c r="H7547" s="10" t="n">
        <v>418</v>
      </c>
      <c r="I7547" s="10" t="n">
        <v>247</v>
      </c>
      <c r="J7547" s="10" t="n">
        <v>0</v>
      </c>
      <c r="K7547" s="10" t="s">
        <v>20</v>
      </c>
      <c r="L7547" s="11" t="n">
        <v>41418.402337963</v>
      </c>
      <c r="M7547" s="12"/>
      <c r="N7547" s="12"/>
      <c r="O7547" s="9" t="str">
        <f aca="false">HYPERLINK("https://pbs.twimg.com/profile_images/744886926918942720/efTFVuL0_normal.jpg","View")</f>
        <v>View</v>
      </c>
      <c r="P7547" s="10"/>
    </row>
    <row r="7548" customFormat="false" ht="15.75" hidden="false" customHeight="false" outlineLevel="0" collapsed="false">
      <c r="A7548" s="6" t="n">
        <v>43031.5923263889</v>
      </c>
      <c r="B7548" s="7" t="str">
        <f aca="false">HYPERLINK("https://twitter.com/InigoMontoya15","@InigoMontoya15")</f>
        <v>@InigoMontoya15</v>
      </c>
      <c r="C7548" s="8" t="s">
        <v>16938</v>
      </c>
      <c r="D7548" s="8" t="s">
        <v>16929</v>
      </c>
      <c r="E7548" s="9" t="str">
        <f aca="false">HYPERLINK("https://twitter.com/InigoMontoya15/status/922571570509426688","922571570509426688")</f>
        <v>922571570509426688</v>
      </c>
      <c r="F7548" s="10" t="s">
        <v>98</v>
      </c>
      <c r="G7548" s="10" t="n">
        <v>59</v>
      </c>
      <c r="H7548" s="10" t="n">
        <v>76</v>
      </c>
      <c r="I7548" s="10" t="n">
        <v>247</v>
      </c>
      <c r="J7548" s="10" t="n">
        <v>0</v>
      </c>
      <c r="K7548" s="10" t="s">
        <v>20</v>
      </c>
      <c r="L7548" s="11" t="n">
        <v>40999.8552083333</v>
      </c>
      <c r="M7548" s="12"/>
      <c r="N7548" s="12" t="s">
        <v>16939</v>
      </c>
      <c r="O7548" s="9" t="str">
        <f aca="false">HYPERLINK("https://pbs.twimg.com/profile_images/850505990458023936/7TWwNS6b_normal.jpg","View")</f>
        <v>View</v>
      </c>
      <c r="P7548" s="10"/>
    </row>
    <row r="7549" customFormat="false" ht="15.75" hidden="false" customHeight="false" outlineLevel="0" collapsed="false">
      <c r="A7549" s="6" t="n">
        <v>43031.592337963</v>
      </c>
      <c r="B7549" s="7" t="str">
        <f aca="false">HYPERLINK("https://twitter.com/ckieser13","@ckieser13")</f>
        <v>@ckieser13</v>
      </c>
      <c r="C7549" s="8" t="s">
        <v>16940</v>
      </c>
      <c r="D7549" s="8" t="s">
        <v>16929</v>
      </c>
      <c r="E7549" s="9" t="str">
        <f aca="false">HYPERLINK("https://twitter.com/ckieser13/status/922571572451274752","922571572451274752")</f>
        <v>922571572451274752</v>
      </c>
      <c r="F7549" s="10" t="s">
        <v>39</v>
      </c>
      <c r="G7549" s="10" t="n">
        <v>307</v>
      </c>
      <c r="H7549" s="10" t="n">
        <v>967</v>
      </c>
      <c r="I7549" s="10" t="n">
        <v>247</v>
      </c>
      <c r="J7549" s="10" t="n">
        <v>0</v>
      </c>
      <c r="K7549" s="10" t="s">
        <v>20</v>
      </c>
      <c r="L7549" s="11" t="n">
        <v>40891.8511458333</v>
      </c>
      <c r="M7549" s="12" t="s">
        <v>16941</v>
      </c>
      <c r="N7549" s="12" t="s">
        <v>16942</v>
      </c>
      <c r="O7549" s="9" t="str">
        <f aca="false">HYPERLINK("https://pbs.twimg.com/profile_images/2160512203/State_Champs__normal.jpg","View")</f>
        <v>View</v>
      </c>
      <c r="P7549" s="10"/>
    </row>
    <row r="7550" customFormat="false" ht="15.75" hidden="false" customHeight="false" outlineLevel="0" collapsed="false">
      <c r="A7550" s="6" t="n">
        <v>43031.5924652778</v>
      </c>
      <c r="B7550" s="7" t="str">
        <f aca="false">HYPERLINK("https://twitter.com/allen_nanci","@allen_nanci")</f>
        <v>@allen_nanci</v>
      </c>
      <c r="C7550" s="8" t="s">
        <v>16943</v>
      </c>
      <c r="D7550" s="8" t="s">
        <v>16929</v>
      </c>
      <c r="E7550" s="9" t="str">
        <f aca="false">HYPERLINK("https://twitter.com/allen_nanci/status/922571618928463872","922571618928463872")</f>
        <v>922571618928463872</v>
      </c>
      <c r="F7550" s="10" t="s">
        <v>51</v>
      </c>
      <c r="G7550" s="10" t="n">
        <v>1181</v>
      </c>
      <c r="H7550" s="10" t="n">
        <v>974</v>
      </c>
      <c r="I7550" s="10" t="n">
        <v>247</v>
      </c>
      <c r="J7550" s="10" t="n">
        <v>0</v>
      </c>
      <c r="K7550" s="10" t="s">
        <v>20</v>
      </c>
      <c r="L7550" s="11" t="n">
        <v>41037.0410185185</v>
      </c>
      <c r="M7550" s="12" t="s">
        <v>2565</v>
      </c>
      <c r="N7550" s="12" t="s">
        <v>16944</v>
      </c>
      <c r="O7550" s="9" t="str">
        <f aca="false">HYPERLINK("https://pbs.twimg.com/profile_images/916854640666402816/HzRpSDrC_normal.jpg","View")</f>
        <v>View</v>
      </c>
      <c r="P7550" s="10"/>
    </row>
    <row r="7551" customFormat="false" ht="15.75" hidden="false" customHeight="false" outlineLevel="0" collapsed="false">
      <c r="A7551" s="6" t="n">
        <v>43031.5924652778</v>
      </c>
      <c r="B7551" s="7" t="str">
        <f aca="false">HYPERLINK("https://twitter.com/betterworld99","@betterworld99")</f>
        <v>@betterworld99</v>
      </c>
      <c r="C7551" s="8" t="s">
        <v>16945</v>
      </c>
      <c r="D7551" s="8" t="s">
        <v>16929</v>
      </c>
      <c r="E7551" s="9" t="str">
        <f aca="false">HYPERLINK("https://twitter.com/betterworld99/status/922571619926646784","922571619926646784")</f>
        <v>922571619926646784</v>
      </c>
      <c r="F7551" s="10" t="s">
        <v>25</v>
      </c>
      <c r="G7551" s="10" t="n">
        <v>54</v>
      </c>
      <c r="H7551" s="10" t="n">
        <v>174</v>
      </c>
      <c r="I7551" s="10" t="n">
        <v>247</v>
      </c>
      <c r="J7551" s="10" t="n">
        <v>0</v>
      </c>
      <c r="K7551" s="10" t="s">
        <v>20</v>
      </c>
      <c r="L7551" s="11" t="n">
        <v>42404.6319791667</v>
      </c>
      <c r="M7551" s="12"/>
      <c r="N7551" s="12" t="s">
        <v>16946</v>
      </c>
      <c r="O7551" s="9" t="str">
        <f aca="false">HYPERLINK("https://pbs.twimg.com/profile_images/853252894321258496/7jPm1y48_normal.jpg","View")</f>
        <v>View</v>
      </c>
      <c r="P7551" s="10"/>
    </row>
    <row r="7552" customFormat="false" ht="15.75" hidden="false" customHeight="false" outlineLevel="0" collapsed="false">
      <c r="A7552" s="6" t="n">
        <v>43031.5924652778</v>
      </c>
      <c r="B7552" s="7" t="str">
        <f aca="false">HYPERLINK("https://twitter.com/ScottBuckner_","@ScottBuckner_")</f>
        <v>@ScottBuckner_</v>
      </c>
      <c r="C7552" s="8" t="s">
        <v>16947</v>
      </c>
      <c r="D7552" s="8" t="s">
        <v>16929</v>
      </c>
      <c r="E7552" s="9" t="str">
        <f aca="false">HYPERLINK("https://twitter.com/ScottBuckner_/status/922571620408946688","922571620408946688")</f>
        <v>922571620408946688</v>
      </c>
      <c r="F7552" s="10" t="s">
        <v>25</v>
      </c>
      <c r="G7552" s="10" t="n">
        <v>24992</v>
      </c>
      <c r="H7552" s="10" t="n">
        <v>1833</v>
      </c>
      <c r="I7552" s="10" t="n">
        <v>247</v>
      </c>
      <c r="J7552" s="10" t="n">
        <v>0</v>
      </c>
      <c r="K7552" s="10" t="s">
        <v>20</v>
      </c>
      <c r="L7552" s="11" t="n">
        <v>40578.4164236111</v>
      </c>
      <c r="M7552" s="12" t="s">
        <v>2430</v>
      </c>
      <c r="N7552" s="12" t="s">
        <v>16948</v>
      </c>
      <c r="O7552" s="9" t="str">
        <f aca="false">HYPERLINK("https://pbs.twimg.com/profile_images/784641499531137024/ecwCJJuM_normal.jpg","View")</f>
        <v>View</v>
      </c>
      <c r="P7552" s="10"/>
    </row>
    <row r="7553" customFormat="false" ht="15.75" hidden="false" customHeight="false" outlineLevel="0" collapsed="false">
      <c r="A7553" s="6" t="n">
        <v>43031.5925115741</v>
      </c>
      <c r="B7553" s="7" t="str">
        <f aca="false">HYPERLINK("https://twitter.com/CaymanBugsie","@CaymanBugsie")</f>
        <v>@CaymanBugsie</v>
      </c>
      <c r="C7553" s="8" t="s">
        <v>16949</v>
      </c>
      <c r="D7553" s="8" t="s">
        <v>16929</v>
      </c>
      <c r="E7553" s="9" t="str">
        <f aca="false">HYPERLINK("https://twitter.com/CaymanBugsie/status/922571635655348224","922571635655348224")</f>
        <v>922571635655348224</v>
      </c>
      <c r="F7553" s="10" t="s">
        <v>51</v>
      </c>
      <c r="G7553" s="10" t="n">
        <v>159</v>
      </c>
      <c r="H7553" s="10" t="n">
        <v>240</v>
      </c>
      <c r="I7553" s="10" t="n">
        <v>247</v>
      </c>
      <c r="J7553" s="10" t="n">
        <v>0</v>
      </c>
      <c r="K7553" s="10" t="s">
        <v>20</v>
      </c>
      <c r="L7553" s="11" t="n">
        <v>40224.6117592593</v>
      </c>
      <c r="M7553" s="12" t="s">
        <v>16950</v>
      </c>
      <c r="N7553" s="12"/>
      <c r="O7553" s="9" t="str">
        <f aca="false">HYPERLINK("https://pbs.twimg.com/profile_images/1234333902/July_Baby_Shower_normal.jpg","View")</f>
        <v>View</v>
      </c>
      <c r="P7553" s="10"/>
    </row>
    <row r="7554" customFormat="false" ht="15.75" hidden="false" customHeight="false" outlineLevel="0" collapsed="false">
      <c r="A7554" s="6" t="n">
        <v>43031.5925578704</v>
      </c>
      <c r="B7554" s="7" t="str">
        <f aca="false">HYPERLINK("https://twitter.com/MamaBear64","@MamaBear64")</f>
        <v>@MamaBear64</v>
      </c>
      <c r="C7554" s="8" t="s">
        <v>16951</v>
      </c>
      <c r="D7554" s="8" t="s">
        <v>16929</v>
      </c>
      <c r="E7554" s="9" t="str">
        <f aca="false">HYPERLINK("https://twitter.com/MamaBear64/status/922571652055023617","922571652055023617")</f>
        <v>922571652055023617</v>
      </c>
      <c r="F7554" s="10" t="s">
        <v>25</v>
      </c>
      <c r="G7554" s="10" t="n">
        <v>2285</v>
      </c>
      <c r="H7554" s="10" t="n">
        <v>1978</v>
      </c>
      <c r="I7554" s="10" t="n">
        <v>247</v>
      </c>
      <c r="J7554" s="10" t="n">
        <v>0</v>
      </c>
      <c r="K7554" s="10" t="s">
        <v>20</v>
      </c>
      <c r="L7554" s="11" t="n">
        <v>39762.8148148148</v>
      </c>
      <c r="M7554" s="12"/>
      <c r="N7554" s="12" t="s">
        <v>16952</v>
      </c>
      <c r="O7554" s="9" t="str">
        <f aca="false">HYPERLINK("https://pbs.twimg.com/profile_images/917601236773457921/6uKIdEYV_normal.jpg","View")</f>
        <v>View</v>
      </c>
      <c r="P7554" s="10"/>
    </row>
    <row r="7555" customFormat="false" ht="15.75" hidden="false" customHeight="false" outlineLevel="0" collapsed="false">
      <c r="A7555" s="6" t="n">
        <v>43031.5926273148</v>
      </c>
      <c r="B7555" s="7" t="str">
        <f aca="false">HYPERLINK("https://twitter.com/LoveLesbianism","@LoveLesbianism")</f>
        <v>@LoveLesbianism</v>
      </c>
      <c r="C7555" s="8" t="s">
        <v>16953</v>
      </c>
      <c r="D7555" s="8" t="s">
        <v>16929</v>
      </c>
      <c r="E7555" s="9" t="str">
        <f aca="false">HYPERLINK("https://twitter.com/LoveLesbianism/status/922571678865014784","922571678865014784")</f>
        <v>922571678865014784</v>
      </c>
      <c r="F7555" s="10" t="s">
        <v>25</v>
      </c>
      <c r="G7555" s="10" t="n">
        <v>942</v>
      </c>
      <c r="H7555" s="10" t="n">
        <v>719</v>
      </c>
      <c r="I7555" s="10" t="n">
        <v>247</v>
      </c>
      <c r="J7555" s="10" t="n">
        <v>0</v>
      </c>
      <c r="K7555" s="10" t="s">
        <v>20</v>
      </c>
      <c r="L7555" s="11" t="n">
        <v>42574.3289930556</v>
      </c>
      <c r="M7555" s="12" t="s">
        <v>1961</v>
      </c>
      <c r="N7555" s="12" t="s">
        <v>16954</v>
      </c>
      <c r="O7555" s="9" t="str">
        <f aca="false">HYPERLINK("https://pbs.twimg.com/profile_images/923324985317515265/fPg4Z0Eh_normal.jpg","View")</f>
        <v>View</v>
      </c>
      <c r="P7555" s="10"/>
    </row>
    <row r="7556" customFormat="false" ht="15.75" hidden="false" customHeight="false" outlineLevel="0" collapsed="false">
      <c r="A7556" s="6" t="n">
        <v>43031.5926851852</v>
      </c>
      <c r="B7556" s="7" t="str">
        <f aca="false">HYPERLINK("https://twitter.com/AndrewShiels1","@AndrewShiels1")</f>
        <v>@AndrewShiels1</v>
      </c>
      <c r="C7556" s="8" t="s">
        <v>16955</v>
      </c>
      <c r="D7556" s="8" t="s">
        <v>16929</v>
      </c>
      <c r="E7556" s="9" t="str">
        <f aca="false">HYPERLINK("https://twitter.com/AndrewShiels1/status/922571698133766144","922571698133766144")</f>
        <v>922571698133766144</v>
      </c>
      <c r="F7556" s="10" t="s">
        <v>51</v>
      </c>
      <c r="G7556" s="10" t="n">
        <v>183</v>
      </c>
      <c r="H7556" s="10" t="n">
        <v>483</v>
      </c>
      <c r="I7556" s="10" t="n">
        <v>247</v>
      </c>
      <c r="J7556" s="10" t="n">
        <v>0</v>
      </c>
      <c r="K7556" s="10" t="s">
        <v>20</v>
      </c>
      <c r="L7556" s="11" t="n">
        <v>40848.1913078704</v>
      </c>
      <c r="M7556" s="12"/>
      <c r="N7556" s="12" t="s">
        <v>16956</v>
      </c>
      <c r="O7556" s="9" t="str">
        <f aca="false">HYPERLINK("https://pbs.twimg.com/profile_images/1617028399/AndrewShiels150x150_normal.jpg","View")</f>
        <v>View</v>
      </c>
      <c r="P7556" s="10"/>
    </row>
    <row r="7557" customFormat="false" ht="15.75" hidden="false" customHeight="false" outlineLevel="0" collapsed="false">
      <c r="A7557" s="6" t="n">
        <v>43031.5929050926</v>
      </c>
      <c r="B7557" s="7" t="str">
        <f aca="false">HYPERLINK("https://twitter.com/lydiaandwilly","@lydiaandwilly")</f>
        <v>@lydiaandwilly</v>
      </c>
      <c r="C7557" s="8" t="s">
        <v>16957</v>
      </c>
      <c r="D7557" s="8" t="s">
        <v>16929</v>
      </c>
      <c r="E7557" s="9" t="str">
        <f aca="false">HYPERLINK("https://twitter.com/lydiaandwilly/status/922571781382303744","922571781382303744")</f>
        <v>922571781382303744</v>
      </c>
      <c r="F7557" s="10" t="s">
        <v>39</v>
      </c>
      <c r="G7557" s="10" t="n">
        <v>2036</v>
      </c>
      <c r="H7557" s="10" t="n">
        <v>4503</v>
      </c>
      <c r="I7557" s="10" t="n">
        <v>247</v>
      </c>
      <c r="J7557" s="10" t="n">
        <v>0</v>
      </c>
      <c r="K7557" s="10" t="s">
        <v>20</v>
      </c>
      <c r="L7557" s="11" t="n">
        <v>42783.4497106481</v>
      </c>
      <c r="M7557" s="12"/>
      <c r="N7557" s="12" t="s">
        <v>16958</v>
      </c>
      <c r="O7557" s="9" t="str">
        <f aca="false">HYPERLINK("https://pbs.twimg.com/profile_images/832665235802558464/0cUrgKDf_normal.jpg","View")</f>
        <v>View</v>
      </c>
      <c r="P7557" s="10"/>
    </row>
    <row r="7558" customFormat="false" ht="15.75" hidden="false" customHeight="false" outlineLevel="0" collapsed="false">
      <c r="A7558" s="6" t="n">
        <v>43031.5930092593</v>
      </c>
      <c r="B7558" s="7" t="str">
        <f aca="false">HYPERLINK("https://twitter.com/Moonlitelynn","@Moonlitelynn")</f>
        <v>@Moonlitelynn</v>
      </c>
      <c r="C7558" s="8" t="s">
        <v>16959</v>
      </c>
      <c r="D7558" s="8" t="s">
        <v>16929</v>
      </c>
      <c r="E7558" s="9" t="str">
        <f aca="false">HYPERLINK("https://twitter.com/Moonlitelynn/status/922571816865894400","922571816865894400")</f>
        <v>922571816865894400</v>
      </c>
      <c r="F7558" s="10" t="s">
        <v>25</v>
      </c>
      <c r="G7558" s="10" t="n">
        <v>1472</v>
      </c>
      <c r="H7558" s="10" t="n">
        <v>1687</v>
      </c>
      <c r="I7558" s="10" t="n">
        <v>247</v>
      </c>
      <c r="J7558" s="10" t="n">
        <v>0</v>
      </c>
      <c r="K7558" s="10" t="s">
        <v>20</v>
      </c>
      <c r="L7558" s="11" t="n">
        <v>40124.6690393519</v>
      </c>
      <c r="M7558" s="12"/>
      <c r="N7558" s="12" t="s">
        <v>16960</v>
      </c>
      <c r="O7558" s="9" t="str">
        <f aca="false">HYPERLINK("https://pbs.twimg.com/profile_images/871865135253655552/I0I6_JzA_normal.jpg","View")</f>
        <v>View</v>
      </c>
      <c r="P7558" s="10"/>
    </row>
    <row r="7559" customFormat="false" ht="15.75" hidden="false" customHeight="false" outlineLevel="0" collapsed="false">
      <c r="A7559" s="6" t="n">
        <v>43031.5930092593</v>
      </c>
      <c r="B7559" s="7" t="str">
        <f aca="false">HYPERLINK("https://twitter.com/waveydave09","@waveydave09")</f>
        <v>@waveydave09</v>
      </c>
      <c r="C7559" s="8" t="s">
        <v>16961</v>
      </c>
      <c r="D7559" s="8" t="s">
        <v>16929</v>
      </c>
      <c r="E7559" s="9" t="str">
        <f aca="false">HYPERLINK("https://twitter.com/waveydave09/status/922571818245824513","922571818245824513")</f>
        <v>922571818245824513</v>
      </c>
      <c r="F7559" s="10" t="s">
        <v>39</v>
      </c>
      <c r="G7559" s="10" t="n">
        <v>0</v>
      </c>
      <c r="H7559" s="10" t="n">
        <v>90</v>
      </c>
      <c r="I7559" s="10" t="n">
        <v>247</v>
      </c>
      <c r="J7559" s="10" t="n">
        <v>0</v>
      </c>
      <c r="K7559" s="10" t="s">
        <v>20</v>
      </c>
      <c r="L7559" s="11" t="n">
        <v>42988.0175115741</v>
      </c>
      <c r="M7559" s="12"/>
      <c r="N7559" s="12"/>
      <c r="O7559" s="9" t="str">
        <f aca="false">HYPERLINK("https://abs.twimg.com/sticky/default_profile_images/default_profile_normal.png","View")</f>
        <v>View</v>
      </c>
      <c r="P7559" s="10"/>
    </row>
    <row r="7560" customFormat="false" ht="15.75" hidden="false" customHeight="false" outlineLevel="0" collapsed="false">
      <c r="A7560" s="6" t="n">
        <v>43031.5930092593</v>
      </c>
      <c r="B7560" s="7" t="str">
        <f aca="false">HYPERLINK("https://twitter.com/leefbi","@leefbi")</f>
        <v>@leefbi</v>
      </c>
      <c r="C7560" s="8" t="s">
        <v>16962</v>
      </c>
      <c r="D7560" s="8" t="s">
        <v>16929</v>
      </c>
      <c r="E7560" s="9" t="str">
        <f aca="false">HYPERLINK("https://twitter.com/leefbi/status/922571818543788033","922571818543788033")</f>
        <v>922571818543788033</v>
      </c>
      <c r="F7560" s="10" t="s">
        <v>25</v>
      </c>
      <c r="G7560" s="10" t="n">
        <v>468</v>
      </c>
      <c r="H7560" s="10" t="n">
        <v>489</v>
      </c>
      <c r="I7560" s="10" t="n">
        <v>247</v>
      </c>
      <c r="J7560" s="10" t="n">
        <v>0</v>
      </c>
      <c r="K7560" s="10" t="s">
        <v>20</v>
      </c>
      <c r="L7560" s="11" t="n">
        <v>40918.6306828704</v>
      </c>
      <c r="M7560" s="12" t="s">
        <v>357</v>
      </c>
      <c r="N7560" s="12" t="s">
        <v>16963</v>
      </c>
      <c r="O7560" s="9" t="str">
        <f aca="false">HYPERLINK("https://pbs.twimg.com/profile_images/908227497149509633/7qdzMvIr_normal.jpg","View")</f>
        <v>View</v>
      </c>
      <c r="P7560" s="10"/>
    </row>
    <row r="7561" customFormat="false" ht="15.75" hidden="false" customHeight="false" outlineLevel="0" collapsed="false">
      <c r="A7561" s="6" t="n">
        <v>43031.593125</v>
      </c>
      <c r="B7561" s="7" t="str">
        <f aca="false">HYPERLINK("https://twitter.com/rob13567","@rob13567")</f>
        <v>@rob13567</v>
      </c>
      <c r="C7561" s="8" t="s">
        <v>16964</v>
      </c>
      <c r="D7561" s="8" t="s">
        <v>16929</v>
      </c>
      <c r="E7561" s="9" t="str">
        <f aca="false">HYPERLINK("https://twitter.com/rob13567/status/922571857546452992","922571857546452992")</f>
        <v>922571857546452992</v>
      </c>
      <c r="F7561" s="10" t="s">
        <v>51</v>
      </c>
      <c r="G7561" s="10" t="n">
        <v>2558</v>
      </c>
      <c r="H7561" s="10" t="n">
        <v>2296</v>
      </c>
      <c r="I7561" s="10" t="n">
        <v>247</v>
      </c>
      <c r="J7561" s="10" t="n">
        <v>0</v>
      </c>
      <c r="K7561" s="10" t="s">
        <v>20</v>
      </c>
      <c r="L7561" s="11" t="n">
        <v>39876.5205555556</v>
      </c>
      <c r="M7561" s="12" t="s">
        <v>16965</v>
      </c>
      <c r="N7561" s="12" t="s">
        <v>16966</v>
      </c>
      <c r="O7561" s="9" t="str">
        <f aca="false">HYPERLINK("https://pbs.twimg.com/profile_images/918481704972627969/7eR_UpsD_normal.jpg","View")</f>
        <v>View</v>
      </c>
      <c r="P7561" s="10"/>
    </row>
    <row r="7562" customFormat="false" ht="15.75" hidden="false" customHeight="false" outlineLevel="0" collapsed="false">
      <c r="A7562" s="6" t="n">
        <v>43031.5931597222</v>
      </c>
      <c r="B7562" s="7" t="str">
        <f aca="false">HYPERLINK("https://twitter.com/sweisj","@sweisj")</f>
        <v>@sweisj</v>
      </c>
      <c r="C7562" s="8" t="s">
        <v>16967</v>
      </c>
      <c r="D7562" s="8" t="s">
        <v>16929</v>
      </c>
      <c r="E7562" s="9" t="str">
        <f aca="false">HYPERLINK("https://twitter.com/sweisj/status/922571873304506368","922571873304506368")</f>
        <v>922571873304506368</v>
      </c>
      <c r="F7562" s="10" t="s">
        <v>98</v>
      </c>
      <c r="G7562" s="10" t="n">
        <v>640</v>
      </c>
      <c r="H7562" s="10" t="n">
        <v>1119</v>
      </c>
      <c r="I7562" s="10" t="n">
        <v>247</v>
      </c>
      <c r="J7562" s="10" t="n">
        <v>0</v>
      </c>
      <c r="K7562" s="10" t="s">
        <v>20</v>
      </c>
      <c r="L7562" s="11" t="n">
        <v>40702.6053703704</v>
      </c>
      <c r="M7562" s="12" t="s">
        <v>16968</v>
      </c>
      <c r="N7562" s="12" t="s">
        <v>16969</v>
      </c>
      <c r="O7562" s="9" t="str">
        <f aca="false">HYPERLINK("https://pbs.twimg.com/profile_images/923097650953461760/6wVEhrqu_normal.jpg","View")</f>
        <v>View</v>
      </c>
      <c r="P7562" s="10"/>
    </row>
    <row r="7563" customFormat="false" ht="15.75" hidden="false" customHeight="false" outlineLevel="0" collapsed="false">
      <c r="A7563" s="6" t="n">
        <v>43031.5935185185</v>
      </c>
      <c r="B7563" s="7" t="str">
        <f aca="false">HYPERLINK("https://twitter.com/PeKoHolicA","@PeKoHolicA")</f>
        <v>@PeKoHolicA</v>
      </c>
      <c r="C7563" s="14" t="s">
        <v>16970</v>
      </c>
      <c r="D7563" s="8" t="s">
        <v>16929</v>
      </c>
      <c r="E7563" s="9" t="str">
        <f aca="false">HYPERLINK("https://twitter.com/PeKoHolicA/status/922572000060510209","922572000060510209")</f>
        <v>922572000060510209</v>
      </c>
      <c r="F7563" s="10" t="s">
        <v>25</v>
      </c>
      <c r="G7563" s="10" t="n">
        <v>536</v>
      </c>
      <c r="H7563" s="10" t="n">
        <v>1331</v>
      </c>
      <c r="I7563" s="10" t="n">
        <v>247</v>
      </c>
      <c r="J7563" s="10" t="n">
        <v>0</v>
      </c>
      <c r="K7563" s="10" t="s">
        <v>20</v>
      </c>
      <c r="L7563" s="11" t="n">
        <v>40964.2729861111</v>
      </c>
      <c r="M7563" s="13" t="s">
        <v>16971</v>
      </c>
      <c r="N7563" s="13" t="s">
        <v>16972</v>
      </c>
      <c r="O7563" s="9" t="str">
        <f aca="false">HYPERLINK("https://pbs.twimg.com/profile_images/919493406224613376/qMcc9wHM_normal.jpg","View")</f>
        <v>View</v>
      </c>
      <c r="P7563" s="10"/>
    </row>
    <row r="7564" customFormat="false" ht="15.75" hidden="false" customHeight="false" outlineLevel="0" collapsed="false">
      <c r="A7564" s="6" t="n">
        <v>43031.5936805556</v>
      </c>
      <c r="B7564" s="7" t="str">
        <f aca="false">HYPERLINK("https://twitter.com/HEINSLERJAN","@HEINSLERJAN")</f>
        <v>@HEINSLERJAN</v>
      </c>
      <c r="C7564" s="8" t="s">
        <v>16973</v>
      </c>
      <c r="D7564" s="8" t="s">
        <v>16929</v>
      </c>
      <c r="E7564" s="9" t="str">
        <f aca="false">HYPERLINK("https://twitter.com/HEINSLERJAN/status/922572060051820544","922572060051820544")</f>
        <v>922572060051820544</v>
      </c>
      <c r="F7564" s="10" t="s">
        <v>39</v>
      </c>
      <c r="G7564" s="10" t="n">
        <v>5018</v>
      </c>
      <c r="H7564" s="10" t="n">
        <v>5228</v>
      </c>
      <c r="I7564" s="10" t="n">
        <v>247</v>
      </c>
      <c r="J7564" s="10" t="n">
        <v>0</v>
      </c>
      <c r="K7564" s="10" t="s">
        <v>20</v>
      </c>
      <c r="L7564" s="11" t="n">
        <v>41216.5535763889</v>
      </c>
      <c r="M7564" s="12"/>
      <c r="N7564" s="12"/>
      <c r="O7564" s="9" t="str">
        <f aca="false">HYPERLINK("https://pbs.twimg.com/profile_images/822539624048427009/X8mVIka2_normal.jpg","View")</f>
        <v>View</v>
      </c>
      <c r="P7564" s="10"/>
    </row>
    <row r="7565" customFormat="false" ht="15.75" hidden="false" customHeight="false" outlineLevel="0" collapsed="false">
      <c r="A7565" s="6" t="n">
        <v>43031.5939236111</v>
      </c>
      <c r="B7565" s="7" t="str">
        <f aca="false">HYPERLINK("https://twitter.com/imthemadridista","@imthemadridista")</f>
        <v>@imthemadridista</v>
      </c>
      <c r="C7565" s="8" t="s">
        <v>16974</v>
      </c>
      <c r="D7565" s="8" t="s">
        <v>16929</v>
      </c>
      <c r="E7565" s="9" t="str">
        <f aca="false">HYPERLINK("https://twitter.com/imthemadridista/status/922572146819334144","922572146819334144")</f>
        <v>922572146819334144</v>
      </c>
      <c r="F7565" s="10" t="s">
        <v>39</v>
      </c>
      <c r="G7565" s="10" t="n">
        <v>43</v>
      </c>
      <c r="H7565" s="10" t="n">
        <v>351</v>
      </c>
      <c r="I7565" s="10" t="n">
        <v>247</v>
      </c>
      <c r="J7565" s="10" t="n">
        <v>0</v>
      </c>
      <c r="K7565" s="10" t="s">
        <v>20</v>
      </c>
      <c r="L7565" s="11" t="n">
        <v>42978.3028472222</v>
      </c>
      <c r="M7565" s="12"/>
      <c r="N7565" s="12" t="s">
        <v>16975</v>
      </c>
      <c r="O7565" s="9" t="str">
        <f aca="false">HYPERLINK("https://pbs.twimg.com/profile_images/909572234825670656/mVXkXXoL_normal.jpg","View")</f>
        <v>View</v>
      </c>
      <c r="P7565" s="10"/>
    </row>
    <row r="7566" customFormat="false" ht="15.75" hidden="false" customHeight="false" outlineLevel="0" collapsed="false">
      <c r="A7566" s="6" t="n">
        <v>43031.5939699074</v>
      </c>
      <c r="B7566" s="7" t="str">
        <f aca="false">HYPERLINK("https://twitter.com/rcarr57","@rcarr57")</f>
        <v>@rcarr57</v>
      </c>
      <c r="C7566" s="8" t="s">
        <v>16976</v>
      </c>
      <c r="D7566" s="8" t="s">
        <v>16929</v>
      </c>
      <c r="E7566" s="9" t="str">
        <f aca="false">HYPERLINK("https://twitter.com/rcarr57/status/922572165815336967","922572165815336967")</f>
        <v>922572165815336967</v>
      </c>
      <c r="F7566" s="10" t="s">
        <v>25</v>
      </c>
      <c r="G7566" s="10" t="n">
        <v>9689</v>
      </c>
      <c r="H7566" s="10" t="n">
        <v>9648</v>
      </c>
      <c r="I7566" s="10" t="n">
        <v>247</v>
      </c>
      <c r="J7566" s="10" t="n">
        <v>0</v>
      </c>
      <c r="K7566" s="10" t="s">
        <v>20</v>
      </c>
      <c r="L7566" s="11" t="n">
        <v>40616.7852662037</v>
      </c>
      <c r="M7566" s="12" t="s">
        <v>16977</v>
      </c>
      <c r="N7566" s="12" t="s">
        <v>16978</v>
      </c>
      <c r="O7566" s="9" t="str">
        <f aca="false">HYPERLINK("https://pbs.twimg.com/profile_images/762346657274998784/wCvnRx91_normal.jpg","View")</f>
        <v>View</v>
      </c>
      <c r="P7566" s="10"/>
    </row>
    <row r="7567" customFormat="false" ht="15.75" hidden="false" customHeight="false" outlineLevel="0" collapsed="false">
      <c r="A7567" s="6" t="n">
        <v>43031.5941898148</v>
      </c>
      <c r="B7567" s="7" t="str">
        <f aca="false">HYPERLINK("https://twitter.com/DrStickectomy","@DrStickectomy")</f>
        <v>@DrStickectomy</v>
      </c>
      <c r="C7567" s="8" t="s">
        <v>16979</v>
      </c>
      <c r="D7567" s="8" t="s">
        <v>16929</v>
      </c>
      <c r="E7567" s="9" t="str">
        <f aca="false">HYPERLINK("https://twitter.com/DrStickectomy/status/922572245914017792","922572245914017792")</f>
        <v>922572245914017792</v>
      </c>
      <c r="F7567" s="10" t="s">
        <v>98</v>
      </c>
      <c r="G7567" s="10" t="n">
        <v>99</v>
      </c>
      <c r="H7567" s="10" t="n">
        <v>225</v>
      </c>
      <c r="I7567" s="10" t="n">
        <v>247</v>
      </c>
      <c r="J7567" s="10" t="n">
        <v>0</v>
      </c>
      <c r="K7567" s="10" t="s">
        <v>20</v>
      </c>
      <c r="L7567" s="11" t="n">
        <v>39920.3243518518</v>
      </c>
      <c r="M7567" s="12"/>
      <c r="N7567" s="12" t="s">
        <v>16980</v>
      </c>
      <c r="O7567" s="9" t="str">
        <f aca="false">HYPERLINK("https://pbs.twimg.com/profile_images/923021450918768640/GYlV4bDD_normal.jpg","View")</f>
        <v>View</v>
      </c>
      <c r="P7567" s="10"/>
    </row>
    <row r="7568" customFormat="false" ht="15.75" hidden="false" customHeight="false" outlineLevel="0" collapsed="false">
      <c r="A7568" s="6" t="n">
        <v>43031.594212963</v>
      </c>
      <c r="B7568" s="7" t="str">
        <f aca="false">HYPERLINK("https://twitter.com/tzanidauer","@tzanidauer")</f>
        <v>@tzanidauer</v>
      </c>
      <c r="C7568" s="8" t="s">
        <v>16981</v>
      </c>
      <c r="D7568" s="8" t="s">
        <v>16929</v>
      </c>
      <c r="E7568" s="9" t="str">
        <f aca="false">HYPERLINK("https://twitter.com/tzanidauer/status/922572253266509824","922572253266509824")</f>
        <v>922572253266509824</v>
      </c>
      <c r="F7568" s="10" t="s">
        <v>177</v>
      </c>
      <c r="G7568" s="10" t="n">
        <v>199</v>
      </c>
      <c r="H7568" s="10" t="n">
        <v>674</v>
      </c>
      <c r="I7568" s="10" t="n">
        <v>247</v>
      </c>
      <c r="J7568" s="10" t="n">
        <v>0</v>
      </c>
      <c r="K7568" s="10" t="s">
        <v>20</v>
      </c>
      <c r="L7568" s="11" t="n">
        <v>40221.4180324074</v>
      </c>
      <c r="M7568" s="12"/>
      <c r="N7568" s="12"/>
      <c r="O7568" s="9" t="str">
        <f aca="false">HYPERLINK("https://pbs.twimg.com/profile_images/696965582/JG_54_Emblem_normal.png","View")</f>
        <v>View</v>
      </c>
      <c r="P7568" s="10"/>
    </row>
    <row r="7569" customFormat="false" ht="15.75" hidden="false" customHeight="false" outlineLevel="0" collapsed="false">
      <c r="A7569" s="6" t="n">
        <v>43031.5942361111</v>
      </c>
      <c r="B7569" s="7" t="str">
        <f aca="false">HYPERLINK("https://twitter.com/KevinKe31392675","@KevinKe31392675")</f>
        <v>@KevinKe31392675</v>
      </c>
      <c r="C7569" s="8" t="s">
        <v>16982</v>
      </c>
      <c r="D7569" s="8" t="s">
        <v>16929</v>
      </c>
      <c r="E7569" s="9" t="str">
        <f aca="false">HYPERLINK("https://twitter.com/KevinKe31392675/status/922572263890870273","922572263890870273")</f>
        <v>922572263890870273</v>
      </c>
      <c r="F7569" s="10" t="s">
        <v>25</v>
      </c>
      <c r="G7569" s="10" t="n">
        <v>182</v>
      </c>
      <c r="H7569" s="10" t="n">
        <v>403</v>
      </c>
      <c r="I7569" s="10" t="n">
        <v>247</v>
      </c>
      <c r="J7569" s="10" t="n">
        <v>0</v>
      </c>
      <c r="K7569" s="10" t="s">
        <v>20</v>
      </c>
      <c r="L7569" s="11" t="n">
        <v>42916.5314583333</v>
      </c>
      <c r="M7569" s="12" t="s">
        <v>2565</v>
      </c>
      <c r="N7569" s="12" t="s">
        <v>16983</v>
      </c>
      <c r="O7569" s="9" t="str">
        <f aca="false">HYPERLINK("https://pbs.twimg.com/profile_images/922572124484759553/_KHEVSvc_normal.jpg","View")</f>
        <v>View</v>
      </c>
      <c r="P7569" s="10"/>
    </row>
    <row r="7570" customFormat="false" ht="15.75" hidden="false" customHeight="false" outlineLevel="0" collapsed="false">
      <c r="A7570" s="6" t="n">
        <v>43031.5942476852</v>
      </c>
      <c r="B7570" s="7" t="str">
        <f aca="false">HYPERLINK("https://twitter.com/SteveZmann","@SteveZmann")</f>
        <v>@SteveZmann</v>
      </c>
      <c r="C7570" s="8" t="s">
        <v>16984</v>
      </c>
      <c r="D7570" s="8" t="s">
        <v>16929</v>
      </c>
      <c r="E7570" s="9" t="str">
        <f aca="false">HYPERLINK("https://twitter.com/SteveZmann/status/922572268063956992","922572268063956992")</f>
        <v>922572268063956992</v>
      </c>
      <c r="F7570" s="10" t="s">
        <v>51</v>
      </c>
      <c r="G7570" s="10" t="n">
        <v>2505</v>
      </c>
      <c r="H7570" s="10" t="n">
        <v>3904</v>
      </c>
      <c r="I7570" s="10" t="n">
        <v>247</v>
      </c>
      <c r="J7570" s="10" t="n">
        <v>0</v>
      </c>
      <c r="K7570" s="10" t="s">
        <v>20</v>
      </c>
      <c r="L7570" s="11" t="n">
        <v>42921.5733101852</v>
      </c>
      <c r="M7570" s="12" t="s">
        <v>5461</v>
      </c>
      <c r="N7570" s="12" t="s">
        <v>16985</v>
      </c>
      <c r="O7570" s="9" t="str">
        <f aca="false">HYPERLINK("https://pbs.twimg.com/profile_images/889346630377504770/ROGcXwTA_normal.jpg","View")</f>
        <v>View</v>
      </c>
      <c r="P7570" s="10"/>
    </row>
    <row r="7571" customFormat="false" ht="15.75" hidden="false" customHeight="false" outlineLevel="0" collapsed="false">
      <c r="A7571" s="6" t="n">
        <v>43031.5943171296</v>
      </c>
      <c r="B7571" s="7" t="str">
        <f aca="false">HYPERLINK("https://twitter.com/Areopagitica1","@Areopagitica1")</f>
        <v>@Areopagitica1</v>
      </c>
      <c r="C7571" s="8" t="s">
        <v>16986</v>
      </c>
      <c r="D7571" s="8" t="s">
        <v>16929</v>
      </c>
      <c r="E7571" s="9" t="str">
        <f aca="false">HYPERLINK("https://twitter.com/Areopagitica1/status/922572293204791297","922572293204791297")</f>
        <v>922572293204791297</v>
      </c>
      <c r="F7571" s="10" t="s">
        <v>51</v>
      </c>
      <c r="G7571" s="10" t="n">
        <v>36</v>
      </c>
      <c r="H7571" s="10" t="n">
        <v>289</v>
      </c>
      <c r="I7571" s="10" t="n">
        <v>247</v>
      </c>
      <c r="J7571" s="10" t="n">
        <v>0</v>
      </c>
      <c r="K7571" s="10" t="s">
        <v>20</v>
      </c>
      <c r="L7571" s="11" t="n">
        <v>39876.5159027778</v>
      </c>
      <c r="M7571" s="12"/>
      <c r="N7571" s="12" t="s">
        <v>16987</v>
      </c>
      <c r="O7571" s="9" t="str">
        <f aca="false">HYPERLINK("https://pbs.twimg.com/profile_images/892411311262511104/36eq3oqS_normal.jpg","View")</f>
        <v>View</v>
      </c>
      <c r="P7571" s="10"/>
    </row>
    <row r="7572" customFormat="false" ht="15.75" hidden="false" customHeight="false" outlineLevel="0" collapsed="false">
      <c r="A7572" s="6" t="n">
        <v>43031.5944560185</v>
      </c>
      <c r="B7572" s="7" t="str">
        <f aca="false">HYPERLINK("https://twitter.com/katzinn","@katzinn")</f>
        <v>@katzinn</v>
      </c>
      <c r="C7572" s="8" t="s">
        <v>16988</v>
      </c>
      <c r="D7572" s="8" t="s">
        <v>16929</v>
      </c>
      <c r="E7572" s="9" t="str">
        <f aca="false">HYPERLINK("https://twitter.com/katzinn/status/922572343339139072","922572343339139072")</f>
        <v>922572343339139072</v>
      </c>
      <c r="F7572" s="10" t="s">
        <v>51</v>
      </c>
      <c r="G7572" s="10" t="n">
        <v>148</v>
      </c>
      <c r="H7572" s="10" t="n">
        <v>2379</v>
      </c>
      <c r="I7572" s="10" t="n">
        <v>247</v>
      </c>
      <c r="J7572" s="10" t="n">
        <v>0</v>
      </c>
      <c r="K7572" s="10" t="s">
        <v>20</v>
      </c>
      <c r="L7572" s="11" t="n">
        <v>39929.8444097222</v>
      </c>
      <c r="M7572" s="12" t="s">
        <v>16989</v>
      </c>
      <c r="N7572" s="12"/>
      <c r="O7572" s="9" t="str">
        <f aca="false">HYPERLINK("https://pbs.twimg.com/profile_images/185571881/Wings2009_normal.jpg","View")</f>
        <v>View</v>
      </c>
      <c r="P7572" s="10"/>
    </row>
    <row r="7573" customFormat="false" ht="15.75" hidden="false" customHeight="false" outlineLevel="0" collapsed="false">
      <c r="A7573" s="6" t="n">
        <v>43031.594537037</v>
      </c>
      <c r="B7573" s="7" t="str">
        <f aca="false">HYPERLINK("https://twitter.com/Steph56Renee","@Steph56Renee")</f>
        <v>@Steph56Renee</v>
      </c>
      <c r="C7573" s="8" t="s">
        <v>16990</v>
      </c>
      <c r="D7573" s="8" t="s">
        <v>16929</v>
      </c>
      <c r="E7573" s="9" t="str">
        <f aca="false">HYPERLINK("https://twitter.com/Steph56Renee/status/922572370946220037","922572370946220037")</f>
        <v>922572370946220037</v>
      </c>
      <c r="F7573" s="10" t="s">
        <v>39</v>
      </c>
      <c r="G7573" s="10" t="n">
        <v>1826</v>
      </c>
      <c r="H7573" s="10" t="n">
        <v>1408</v>
      </c>
      <c r="I7573" s="10" t="n">
        <v>247</v>
      </c>
      <c r="J7573" s="10" t="n">
        <v>0</v>
      </c>
      <c r="K7573" s="10" t="s">
        <v>20</v>
      </c>
      <c r="L7573" s="11" t="n">
        <v>39994.3927546296</v>
      </c>
      <c r="M7573" s="12" t="s">
        <v>230</v>
      </c>
      <c r="N7573" s="12" t="s">
        <v>16991</v>
      </c>
      <c r="O7573" s="9" t="str">
        <f aca="false">HYPERLINK("https://pbs.twimg.com/profile_images/879777125292810241/4jI4B5Df_normal.jpg","View")</f>
        <v>View</v>
      </c>
      <c r="P7573" s="10"/>
    </row>
    <row r="7574" customFormat="false" ht="15.75" hidden="false" customHeight="false" outlineLevel="0" collapsed="false">
      <c r="A7574" s="6" t="n">
        <v>43031.5945949074</v>
      </c>
      <c r="B7574" s="7" t="str">
        <f aca="false">HYPERLINK("https://twitter.com/Hollaworldwide","@Hollaworldwide")</f>
        <v>@Hollaworldwide</v>
      </c>
      <c r="C7574" s="8" t="s">
        <v>16992</v>
      </c>
      <c r="D7574" s="8" t="s">
        <v>16929</v>
      </c>
      <c r="E7574" s="9" t="str">
        <f aca="false">HYPERLINK("https://twitter.com/Hollaworldwide/status/922572391452217346","922572391452217346")</f>
        <v>922572391452217346</v>
      </c>
      <c r="F7574" s="10" t="s">
        <v>25</v>
      </c>
      <c r="G7574" s="10" t="n">
        <v>890</v>
      </c>
      <c r="H7574" s="10" t="n">
        <v>1804</v>
      </c>
      <c r="I7574" s="10" t="n">
        <v>247</v>
      </c>
      <c r="J7574" s="10" t="n">
        <v>0</v>
      </c>
      <c r="K7574" s="10" t="s">
        <v>20</v>
      </c>
      <c r="L7574" s="11" t="n">
        <v>40755.3698611111</v>
      </c>
      <c r="M7574" s="12" t="s">
        <v>1961</v>
      </c>
      <c r="N7574" s="12" t="s">
        <v>16993</v>
      </c>
      <c r="O7574" s="9" t="str">
        <f aca="false">HYPERLINK("https://pbs.twimg.com/profile_images/761574067170320385/v154FNEr_normal.jpg","View")</f>
        <v>View</v>
      </c>
      <c r="P7574" s="10"/>
    </row>
    <row r="7575" customFormat="false" ht="15.75" hidden="false" customHeight="false" outlineLevel="0" collapsed="false">
      <c r="A7575" s="6" t="n">
        <v>43031.5946296296</v>
      </c>
      <c r="B7575" s="7" t="str">
        <f aca="false">HYPERLINK("https://twitter.com/josomm82","@josomm82")</f>
        <v>@josomm82</v>
      </c>
      <c r="C7575" s="8" t="s">
        <v>16994</v>
      </c>
      <c r="D7575" s="8" t="s">
        <v>16929</v>
      </c>
      <c r="E7575" s="9" t="str">
        <f aca="false">HYPERLINK("https://twitter.com/josomm82/status/922572403129159680","922572403129159680")</f>
        <v>922572403129159680</v>
      </c>
      <c r="F7575" s="10" t="s">
        <v>25</v>
      </c>
      <c r="G7575" s="10" t="n">
        <v>510</v>
      </c>
      <c r="H7575" s="10" t="n">
        <v>1126</v>
      </c>
      <c r="I7575" s="10" t="n">
        <v>247</v>
      </c>
      <c r="J7575" s="10" t="n">
        <v>0</v>
      </c>
      <c r="K7575" s="10" t="s">
        <v>20</v>
      </c>
      <c r="L7575" s="11" t="n">
        <v>42584.1936689815</v>
      </c>
      <c r="M7575" s="12"/>
      <c r="N7575" s="12" t="s">
        <v>16995</v>
      </c>
      <c r="O7575" s="9" t="str">
        <f aca="false">HYPERLINK("https://pbs.twimg.com/profile_images/774397054256807938/443EsbQL_normal.jpg","View")</f>
        <v>View</v>
      </c>
      <c r="P7575" s="10"/>
    </row>
    <row r="7576" customFormat="false" ht="15.75" hidden="false" customHeight="false" outlineLevel="0" collapsed="false">
      <c r="A7576" s="6" t="n">
        <v>43031.5946875</v>
      </c>
      <c r="B7576" s="7" t="str">
        <f aca="false">HYPERLINK("https://twitter.com/pnf_phytrade","@pnf_phytrade")</f>
        <v>@pnf_phytrade</v>
      </c>
      <c r="C7576" s="8" t="s">
        <v>16996</v>
      </c>
      <c r="D7576" s="8" t="s">
        <v>16929</v>
      </c>
      <c r="E7576" s="9" t="str">
        <f aca="false">HYPERLINK("https://twitter.com/pnf_phytrade/status/922572426613018626","922572426613018626")</f>
        <v>922572426613018626</v>
      </c>
      <c r="F7576" s="10" t="s">
        <v>51</v>
      </c>
      <c r="G7576" s="10" t="n">
        <v>704</v>
      </c>
      <c r="H7576" s="10" t="n">
        <v>1308</v>
      </c>
      <c r="I7576" s="10" t="n">
        <v>247</v>
      </c>
      <c r="J7576" s="10" t="n">
        <v>0</v>
      </c>
      <c r="K7576" s="10" t="s">
        <v>20</v>
      </c>
      <c r="L7576" s="11" t="n">
        <v>40958.781099537</v>
      </c>
      <c r="M7576" s="12" t="s">
        <v>16997</v>
      </c>
      <c r="N7576" s="12" t="s">
        <v>16998</v>
      </c>
      <c r="O7576" s="9" t="str">
        <f aca="false">HYPERLINK("https://pbs.twimg.com/profile_images/917118541031231488/dYKqPj-9_normal.jpg","View")</f>
        <v>View</v>
      </c>
      <c r="P7576" s="10"/>
    </row>
    <row r="7577" customFormat="false" ht="15.75" hidden="false" customHeight="false" outlineLevel="0" collapsed="false">
      <c r="A7577" s="6" t="n">
        <v>43031.5951041667</v>
      </c>
      <c r="B7577" s="7" t="str">
        <f aca="false">HYPERLINK("https://twitter.com/thumnblina","@thumnblina")</f>
        <v>@thumnblina</v>
      </c>
      <c r="C7577" s="8" t="s">
        <v>16999</v>
      </c>
      <c r="D7577" s="8" t="s">
        <v>16929</v>
      </c>
      <c r="E7577" s="9" t="str">
        <f aca="false">HYPERLINK("https://twitter.com/thumnblina/status/922572575364075522","922572575364075522")</f>
        <v>922572575364075522</v>
      </c>
      <c r="F7577" s="10" t="s">
        <v>177</v>
      </c>
      <c r="G7577" s="10" t="n">
        <v>50</v>
      </c>
      <c r="H7577" s="10" t="n">
        <v>170</v>
      </c>
      <c r="I7577" s="10" t="n">
        <v>247</v>
      </c>
      <c r="J7577" s="10" t="n">
        <v>0</v>
      </c>
      <c r="K7577" s="10" t="s">
        <v>20</v>
      </c>
      <c r="L7577" s="11" t="n">
        <v>40991.5196180556</v>
      </c>
      <c r="M7577" s="12" t="s">
        <v>17000</v>
      </c>
      <c r="N7577" s="12" t="s">
        <v>17001</v>
      </c>
      <c r="O7577" s="9" t="str">
        <f aca="false">HYPERLINK("https://pbs.twimg.com/profile_images/914600172872720385/LM64inCH_normal.jpg","View")</f>
        <v>View</v>
      </c>
      <c r="P7577" s="10"/>
    </row>
    <row r="7578" customFormat="false" ht="15.75" hidden="false" customHeight="false" outlineLevel="0" collapsed="false">
      <c r="A7578" s="6" t="n">
        <v>43031.5954050926</v>
      </c>
      <c r="B7578" s="7" t="str">
        <f aca="false">HYPERLINK("https://twitter.com/Chakri2343","@Chakri2343")</f>
        <v>@Chakri2343</v>
      </c>
      <c r="C7578" s="8" t="s">
        <v>17002</v>
      </c>
      <c r="D7578" s="8" t="s">
        <v>16929</v>
      </c>
      <c r="E7578" s="9" t="str">
        <f aca="false">HYPERLINK("https://twitter.com/Chakri2343/status/922572687721058304","922572687721058304")</f>
        <v>922572687721058304</v>
      </c>
      <c r="F7578" s="10" t="s">
        <v>51</v>
      </c>
      <c r="G7578" s="10" t="n">
        <v>35</v>
      </c>
      <c r="H7578" s="10" t="n">
        <v>325</v>
      </c>
      <c r="I7578" s="10" t="n">
        <v>247</v>
      </c>
      <c r="J7578" s="10" t="n">
        <v>0</v>
      </c>
      <c r="K7578" s="10" t="s">
        <v>20</v>
      </c>
      <c r="L7578" s="11" t="n">
        <v>40538.2041435185</v>
      </c>
      <c r="M7578" s="12"/>
      <c r="N7578" s="12"/>
      <c r="O7578" s="9" t="str">
        <f aca="false">HYPERLINK("https://abs.twimg.com/sticky/default_profile_images/default_profile_normal.png","View")</f>
        <v>View</v>
      </c>
      <c r="P7578" s="10"/>
    </row>
    <row r="7579" customFormat="false" ht="15.75" hidden="false" customHeight="false" outlineLevel="0" collapsed="false">
      <c r="A7579" s="6" t="n">
        <v>43031.5958217593</v>
      </c>
      <c r="B7579" s="7" t="str">
        <f aca="false">HYPERLINK("https://twitter.com/Cristi_Wolfram","@Cristi_Wolfram")</f>
        <v>@Cristi_Wolfram</v>
      </c>
      <c r="C7579" s="8" t="s">
        <v>17003</v>
      </c>
      <c r="D7579" s="8" t="s">
        <v>16929</v>
      </c>
      <c r="E7579" s="9" t="str">
        <f aca="false">HYPERLINK("https://twitter.com/Cristi_Wolfram/status/922572837704970245","922572837704970245")</f>
        <v>922572837704970245</v>
      </c>
      <c r="F7579" s="10" t="s">
        <v>51</v>
      </c>
      <c r="G7579" s="10" t="n">
        <v>710</v>
      </c>
      <c r="H7579" s="10" t="n">
        <v>900</v>
      </c>
      <c r="I7579" s="10" t="n">
        <v>247</v>
      </c>
      <c r="J7579" s="10" t="n">
        <v>0</v>
      </c>
      <c r="K7579" s="10" t="s">
        <v>20</v>
      </c>
      <c r="L7579" s="11" t="n">
        <v>39903.4002546296</v>
      </c>
      <c r="M7579" s="12" t="s">
        <v>3207</v>
      </c>
      <c r="N7579" s="12" t="s">
        <v>17004</v>
      </c>
      <c r="O7579" s="9" t="str">
        <f aca="false">HYPERLINK("https://pbs.twimg.com/profile_images/914951780567355393/XpR0MyzW_normal.jpg","View")</f>
        <v>View</v>
      </c>
      <c r="P7579" s="10"/>
    </row>
    <row r="7580" customFormat="false" ht="15.75" hidden="false" customHeight="false" outlineLevel="0" collapsed="false">
      <c r="A7580" s="6" t="n">
        <v>43031.5958564815</v>
      </c>
      <c r="B7580" s="7" t="str">
        <f aca="false">HYPERLINK("https://twitter.com/ColcombeLynne","@ColcombeLynne")</f>
        <v>@ColcombeLynne</v>
      </c>
      <c r="C7580" s="8" t="s">
        <v>17005</v>
      </c>
      <c r="D7580" s="8" t="s">
        <v>16929</v>
      </c>
      <c r="E7580" s="9" t="str">
        <f aca="false">HYPERLINK("https://twitter.com/ColcombeLynne/status/922572848677388289","922572848677388289")</f>
        <v>922572848677388289</v>
      </c>
      <c r="F7580" s="10" t="s">
        <v>51</v>
      </c>
      <c r="G7580" s="10" t="n">
        <v>98</v>
      </c>
      <c r="H7580" s="10" t="n">
        <v>118</v>
      </c>
      <c r="I7580" s="10" t="n">
        <v>247</v>
      </c>
      <c r="J7580" s="10" t="n">
        <v>0</v>
      </c>
      <c r="K7580" s="10" t="s">
        <v>20</v>
      </c>
      <c r="L7580" s="11" t="n">
        <v>42972.6580902778</v>
      </c>
      <c r="M7580" s="12"/>
      <c r="N7580" s="12"/>
      <c r="O7580" s="9" t="str">
        <f aca="false">HYPERLINK("https://abs.twimg.com/sticky/default_profile_images/default_profile_normal.png","View")</f>
        <v>View</v>
      </c>
      <c r="P7580" s="10"/>
    </row>
    <row r="7581" customFormat="false" ht="15.75" hidden="false" customHeight="false" outlineLevel="0" collapsed="false">
      <c r="A7581" s="6" t="n">
        <v>43031.5962384259</v>
      </c>
      <c r="B7581" s="7" t="str">
        <f aca="false">HYPERLINK("https://twitter.com/sylviagreier","@sylviagreier")</f>
        <v>@sylviagreier</v>
      </c>
      <c r="C7581" s="8" t="s">
        <v>17006</v>
      </c>
      <c r="D7581" s="8" t="s">
        <v>16929</v>
      </c>
      <c r="E7581" s="9" t="str">
        <f aca="false">HYPERLINK("https://twitter.com/sylviagreier/status/922572988309893121","922572988309893121")</f>
        <v>922572988309893121</v>
      </c>
      <c r="F7581" s="10" t="s">
        <v>25</v>
      </c>
      <c r="G7581" s="10" t="n">
        <v>612</v>
      </c>
      <c r="H7581" s="10" t="n">
        <v>1741</v>
      </c>
      <c r="I7581" s="10" t="n">
        <v>247</v>
      </c>
      <c r="J7581" s="10" t="n">
        <v>0</v>
      </c>
      <c r="K7581" s="10" t="s">
        <v>20</v>
      </c>
      <c r="L7581" s="11" t="n">
        <v>41884.5208680556</v>
      </c>
      <c r="M7581" s="12" t="s">
        <v>17007</v>
      </c>
      <c r="N7581" s="12" t="s">
        <v>17008</v>
      </c>
      <c r="O7581" s="9" t="str">
        <f aca="false">HYPERLINK("https://pbs.twimg.com/profile_images/717069115085553665/HeqnY0mp_normal.jpg","View")</f>
        <v>View</v>
      </c>
      <c r="P7581" s="10"/>
    </row>
    <row r="7582" customFormat="false" ht="15.75" hidden="false" customHeight="false" outlineLevel="0" collapsed="false">
      <c r="A7582" s="6" t="n">
        <v>43031.5964351852</v>
      </c>
      <c r="B7582" s="7" t="str">
        <f aca="false">HYPERLINK("https://twitter.com/jmcolonell","@jmcolonell")</f>
        <v>@jmcolonell</v>
      </c>
      <c r="C7582" s="8" t="s">
        <v>17009</v>
      </c>
      <c r="D7582" s="8" t="s">
        <v>16929</v>
      </c>
      <c r="E7582" s="9" t="str">
        <f aca="false">HYPERLINK("https://twitter.com/jmcolonell/status/922573059013439489","922573059013439489")</f>
        <v>922573059013439489</v>
      </c>
      <c r="F7582" s="10" t="s">
        <v>51</v>
      </c>
      <c r="G7582" s="10" t="n">
        <v>68</v>
      </c>
      <c r="H7582" s="10" t="n">
        <v>89</v>
      </c>
      <c r="I7582" s="10" t="n">
        <v>247</v>
      </c>
      <c r="J7582" s="10" t="n">
        <v>0</v>
      </c>
      <c r="K7582" s="10" t="s">
        <v>20</v>
      </c>
      <c r="L7582" s="11" t="n">
        <v>42740.4210300926</v>
      </c>
      <c r="M7582" s="12" t="s">
        <v>17010</v>
      </c>
      <c r="N7582" s="12" t="s">
        <v>17011</v>
      </c>
      <c r="O7582" s="9" t="str">
        <f aca="false">HYPERLINK("https://abs.twimg.com/sticky/default_profile_images/default_profile_normal.png","View")</f>
        <v>View</v>
      </c>
      <c r="P7582" s="10"/>
    </row>
    <row r="7583" customFormat="false" ht="15.75" hidden="false" customHeight="false" outlineLevel="0" collapsed="false">
      <c r="A7583" s="6" t="n">
        <v>43031.5964699074</v>
      </c>
      <c r="B7583" s="7" t="str">
        <f aca="false">HYPERLINK("https://twitter.com/ChristieLafran1","@ChristieLafran1")</f>
        <v>@ChristieLafran1</v>
      </c>
      <c r="C7583" s="8" t="s">
        <v>17012</v>
      </c>
      <c r="D7583" s="8" t="s">
        <v>16929</v>
      </c>
      <c r="E7583" s="9" t="str">
        <f aca="false">HYPERLINK("https://twitter.com/ChristieLafran1/status/922573070778351617","922573070778351617")</f>
        <v>922573070778351617</v>
      </c>
      <c r="F7583" s="10" t="s">
        <v>98</v>
      </c>
      <c r="G7583" s="10" t="n">
        <v>706</v>
      </c>
      <c r="H7583" s="10" t="n">
        <v>401</v>
      </c>
      <c r="I7583" s="10" t="n">
        <v>247</v>
      </c>
      <c r="J7583" s="10" t="n">
        <v>0</v>
      </c>
      <c r="K7583" s="10" t="s">
        <v>20</v>
      </c>
      <c r="L7583" s="11" t="n">
        <v>41716.825787037</v>
      </c>
      <c r="M7583" s="12"/>
      <c r="N7583" s="12" t="s">
        <v>17013</v>
      </c>
      <c r="O7583" s="9" t="str">
        <f aca="false">HYPERLINK("https://pbs.twimg.com/profile_images/893285726296563713/0zW2DhKD_normal.jpg","View")</f>
        <v>View</v>
      </c>
      <c r="P7583" s="10"/>
    </row>
    <row r="7584" customFormat="false" ht="15.75" hidden="false" customHeight="false" outlineLevel="0" collapsed="false">
      <c r="A7584" s="6" t="n">
        <v>43031.5965856482</v>
      </c>
      <c r="B7584" s="7" t="str">
        <f aca="false">HYPERLINK("https://twitter.com/SPEAKUPJULIA","@SPEAKUPJULIA")</f>
        <v>@SPEAKUPJULIA</v>
      </c>
      <c r="C7584" s="8" t="s">
        <v>17014</v>
      </c>
      <c r="D7584" s="8" t="s">
        <v>16929</v>
      </c>
      <c r="E7584" s="9" t="str">
        <f aca="false">HYPERLINK("https://twitter.com/SPEAKUPJULIA/status/922573115145838592","922573115145838592")</f>
        <v>922573115145838592</v>
      </c>
      <c r="F7584" s="10" t="s">
        <v>25</v>
      </c>
      <c r="G7584" s="10" t="n">
        <v>2479</v>
      </c>
      <c r="H7584" s="10" t="n">
        <v>1130</v>
      </c>
      <c r="I7584" s="10" t="n">
        <v>247</v>
      </c>
      <c r="J7584" s="10" t="n">
        <v>0</v>
      </c>
      <c r="K7584" s="10" t="s">
        <v>20</v>
      </c>
      <c r="L7584" s="11" t="n">
        <v>42757.7165277778</v>
      </c>
      <c r="M7584" s="12" t="s">
        <v>17015</v>
      </c>
      <c r="N7584" s="12" t="s">
        <v>17016</v>
      </c>
      <c r="O7584" s="9" t="str">
        <f aca="false">HYPERLINK("https://pbs.twimg.com/profile_images/908429185936437249/gtbA2yjT_normal.jpg","View")</f>
        <v>View</v>
      </c>
      <c r="P7584" s="10"/>
    </row>
    <row r="7585" customFormat="false" ht="15.75" hidden="false" customHeight="false" outlineLevel="0" collapsed="false">
      <c r="A7585" s="6" t="n">
        <v>43031.5966319444</v>
      </c>
      <c r="B7585" s="7" t="str">
        <f aca="false">HYPERLINK("https://twitter.com/suzyqcakelady","@suzyqcakelady")</f>
        <v>@suzyqcakelady</v>
      </c>
      <c r="C7585" s="8" t="s">
        <v>17017</v>
      </c>
      <c r="D7585" s="8" t="s">
        <v>16929</v>
      </c>
      <c r="E7585" s="9" t="str">
        <f aca="false">HYPERLINK("https://twitter.com/suzyqcakelady/status/922573128286470145","922573128286470145")</f>
        <v>922573128286470145</v>
      </c>
      <c r="F7585" s="10" t="s">
        <v>39</v>
      </c>
      <c r="G7585" s="10" t="n">
        <v>888</v>
      </c>
      <c r="H7585" s="10" t="n">
        <v>1733</v>
      </c>
      <c r="I7585" s="10" t="n">
        <v>247</v>
      </c>
      <c r="J7585" s="10" t="n">
        <v>0</v>
      </c>
      <c r="K7585" s="10" t="s">
        <v>20</v>
      </c>
      <c r="L7585" s="11" t="n">
        <v>40087.2947337963</v>
      </c>
      <c r="M7585" s="12" t="s">
        <v>17018</v>
      </c>
      <c r="N7585" s="12" t="s">
        <v>17019</v>
      </c>
      <c r="O7585" s="9" t="str">
        <f aca="false">HYPERLINK("https://pbs.twimg.com/profile_images/452797782898638848/yhxnb9Xh_normal.jpeg","View")</f>
        <v>View</v>
      </c>
      <c r="P7585" s="10"/>
    </row>
    <row r="7586" customFormat="false" ht="15.75" hidden="false" customHeight="false" outlineLevel="0" collapsed="false">
      <c r="A7586" s="6" t="n">
        <v>43031.5967592593</v>
      </c>
      <c r="B7586" s="7" t="str">
        <f aca="false">HYPERLINK("https://twitter.com/PT_US_Congress","@PT_US_Congress")</f>
        <v>@PT_US_Congress</v>
      </c>
      <c r="C7586" s="8" t="s">
        <v>17020</v>
      </c>
      <c r="D7586" s="8" t="s">
        <v>16925</v>
      </c>
      <c r="E7586" s="9" t="str">
        <f aca="false">HYPERLINK("https://twitter.com/PT_US_Congress/status/922573176130949122","922573176130949122")</f>
        <v>922573176130949122</v>
      </c>
      <c r="F7586" s="10" t="s">
        <v>17021</v>
      </c>
      <c r="G7586" s="10" t="n">
        <v>358</v>
      </c>
      <c r="H7586" s="10" t="n">
        <v>0</v>
      </c>
      <c r="I7586" s="10" t="n">
        <v>0</v>
      </c>
      <c r="J7586" s="10" t="n">
        <v>0</v>
      </c>
      <c r="K7586" s="10" t="s">
        <v>20</v>
      </c>
      <c r="L7586" s="11" t="n">
        <v>42657.718587963</v>
      </c>
      <c r="M7586" s="12" t="s">
        <v>723</v>
      </c>
      <c r="N7586" s="12" t="s">
        <v>17022</v>
      </c>
      <c r="O7586" s="9" t="str">
        <f aca="false">HYPERLINK("https://pbs.twimg.com/profile_images/787774532757008384/CaRg0Npf_normal.jpg","View")</f>
        <v>View</v>
      </c>
      <c r="P7586" s="10"/>
    </row>
    <row r="7587" customFormat="false" ht="15.75" hidden="false" customHeight="false" outlineLevel="0" collapsed="false">
      <c r="A7587" s="6" t="n">
        <v>43031.5969328704</v>
      </c>
      <c r="B7587" s="7" t="str">
        <f aca="false">HYPERLINK("https://twitter.com/felixgumana1","@felixgumana1")</f>
        <v>@felixgumana1</v>
      </c>
      <c r="C7587" s="8" t="s">
        <v>17023</v>
      </c>
      <c r="D7587" s="8" t="s">
        <v>16929</v>
      </c>
      <c r="E7587" s="9" t="str">
        <f aca="false">HYPERLINK("https://twitter.com/felixgumana1/status/922573238336593920","922573238336593920")</f>
        <v>922573238336593920</v>
      </c>
      <c r="F7587" s="10" t="s">
        <v>51</v>
      </c>
      <c r="G7587" s="10" t="n">
        <v>64</v>
      </c>
      <c r="H7587" s="10" t="n">
        <v>210</v>
      </c>
      <c r="I7587" s="10" t="n">
        <v>247</v>
      </c>
      <c r="J7587" s="10" t="n">
        <v>0</v>
      </c>
      <c r="K7587" s="10" t="s">
        <v>20</v>
      </c>
      <c r="L7587" s="11" t="n">
        <v>42655.5569212963</v>
      </c>
      <c r="M7587" s="12" t="s">
        <v>295</v>
      </c>
      <c r="N7587" s="12"/>
      <c r="O7587" s="9" t="str">
        <f aca="false">HYPERLINK("https://pbs.twimg.com/profile_images/901532489163784192/68vShgQS_normal.jpg","View")</f>
        <v>View</v>
      </c>
      <c r="P7587" s="10"/>
    </row>
    <row r="7588" customFormat="false" ht="15.75" hidden="false" customHeight="false" outlineLevel="0" collapsed="false">
      <c r="A7588" s="6" t="n">
        <v>43031.5970023148</v>
      </c>
      <c r="B7588" s="7" t="str">
        <f aca="false">HYPERLINK("https://twitter.com/mcmaiola","@mcmaiola")</f>
        <v>@mcmaiola</v>
      </c>
      <c r="C7588" s="8" t="s">
        <v>17024</v>
      </c>
      <c r="D7588" s="8" t="s">
        <v>16929</v>
      </c>
      <c r="E7588" s="9" t="str">
        <f aca="false">HYPERLINK("https://twitter.com/mcmaiola/status/922573264974528513","922573264974528513")</f>
        <v>922573264974528513</v>
      </c>
      <c r="F7588" s="10" t="s">
        <v>25</v>
      </c>
      <c r="G7588" s="10" t="n">
        <v>136</v>
      </c>
      <c r="H7588" s="10" t="n">
        <v>454</v>
      </c>
      <c r="I7588" s="10" t="n">
        <v>247</v>
      </c>
      <c r="J7588" s="10" t="n">
        <v>0</v>
      </c>
      <c r="K7588" s="10" t="s">
        <v>20</v>
      </c>
      <c r="L7588" s="11" t="n">
        <v>41699.8937037037</v>
      </c>
      <c r="M7588" s="12"/>
      <c r="N7588" s="12" t="s">
        <v>17025</v>
      </c>
      <c r="O7588" s="9" t="str">
        <f aca="false">HYPERLINK("https://pbs.twimg.com/profile_images/902365055781560321/sXD0D8VY_normal.jpg","View")</f>
        <v>View</v>
      </c>
      <c r="P7588" s="10"/>
    </row>
    <row r="7589" customFormat="false" ht="15.75" hidden="false" customHeight="false" outlineLevel="0" collapsed="false">
      <c r="A7589" s="6" t="n">
        <v>43031.5973958333</v>
      </c>
      <c r="B7589" s="7" t="str">
        <f aca="false">HYPERLINK("https://twitter.com/travi44","@travi44")</f>
        <v>@travi44</v>
      </c>
      <c r="C7589" s="8" t="s">
        <v>17026</v>
      </c>
      <c r="D7589" s="8" t="s">
        <v>16929</v>
      </c>
      <c r="E7589" s="9" t="str">
        <f aca="false">HYPERLINK("https://twitter.com/travi44/status/922573406289010688","922573406289010688")</f>
        <v>922573406289010688</v>
      </c>
      <c r="F7589" s="10" t="s">
        <v>177</v>
      </c>
      <c r="G7589" s="10" t="n">
        <v>995</v>
      </c>
      <c r="H7589" s="10" t="n">
        <v>4190</v>
      </c>
      <c r="I7589" s="10" t="n">
        <v>247</v>
      </c>
      <c r="J7589" s="10" t="n">
        <v>0</v>
      </c>
      <c r="K7589" s="10" t="s">
        <v>20</v>
      </c>
      <c r="L7589" s="11" t="n">
        <v>40000.3229861111</v>
      </c>
      <c r="M7589" s="12" t="s">
        <v>295</v>
      </c>
      <c r="N7589" s="12"/>
      <c r="O7589" s="9" t="str">
        <f aca="false">HYPERLINK("https://pbs.twimg.com/profile_images/881030154771980288/YIIkWdi-_normal.jpg","View")</f>
        <v>View</v>
      </c>
      <c r="P7589" s="10"/>
    </row>
    <row r="7590" customFormat="false" ht="15.75" hidden="false" customHeight="false" outlineLevel="0" collapsed="false">
      <c r="A7590" s="6" t="n">
        <v>43031.5974652778</v>
      </c>
      <c r="B7590" s="7" t="str">
        <f aca="false">HYPERLINK("https://twitter.com/MalindaMichell1","@MalindaMichell1")</f>
        <v>@MalindaMichell1</v>
      </c>
      <c r="C7590" s="8" t="s">
        <v>8506</v>
      </c>
      <c r="D7590" s="8" t="s">
        <v>16929</v>
      </c>
      <c r="E7590" s="9" t="str">
        <f aca="false">HYPERLINK("https://twitter.com/MalindaMichell1/status/922573432411353089","922573432411353089")</f>
        <v>922573432411353089</v>
      </c>
      <c r="F7590" s="10" t="s">
        <v>51</v>
      </c>
      <c r="G7590" s="10" t="n">
        <v>251</v>
      </c>
      <c r="H7590" s="10" t="n">
        <v>974</v>
      </c>
      <c r="I7590" s="10" t="n">
        <v>247</v>
      </c>
      <c r="J7590" s="10" t="n">
        <v>0</v>
      </c>
      <c r="K7590" s="10" t="s">
        <v>20</v>
      </c>
      <c r="L7590" s="11" t="n">
        <v>40957.4790393519</v>
      </c>
      <c r="M7590" s="12" t="s">
        <v>8508</v>
      </c>
      <c r="N7590" s="12" t="s">
        <v>8509</v>
      </c>
      <c r="O7590" s="9" t="str">
        <f aca="false">HYPERLINK("https://pbs.twimg.com/profile_images/914510225469829120/wPnYQMMG_normal.jpg","View")</f>
        <v>View</v>
      </c>
      <c r="P7590" s="10"/>
    </row>
    <row r="7591" customFormat="false" ht="15.75" hidden="false" customHeight="false" outlineLevel="0" collapsed="false">
      <c r="A7591" s="6" t="n">
        <v>43031.597650463</v>
      </c>
      <c r="B7591" s="7" t="str">
        <f aca="false">HYPERLINK("https://twitter.com/Meow1113","@Meow1113")</f>
        <v>@Meow1113</v>
      </c>
      <c r="C7591" s="8" t="s">
        <v>17027</v>
      </c>
      <c r="D7591" s="8" t="s">
        <v>16929</v>
      </c>
      <c r="E7591" s="9" t="str">
        <f aca="false">HYPERLINK("https://twitter.com/Meow1113/status/922573498328932352","922573498328932352")</f>
        <v>922573498328932352</v>
      </c>
      <c r="F7591" s="10" t="s">
        <v>25</v>
      </c>
      <c r="G7591" s="10" t="n">
        <v>413</v>
      </c>
      <c r="H7591" s="10" t="n">
        <v>456</v>
      </c>
      <c r="I7591" s="10" t="n">
        <v>247</v>
      </c>
      <c r="J7591" s="10" t="n">
        <v>0</v>
      </c>
      <c r="K7591" s="10" t="s">
        <v>20</v>
      </c>
      <c r="L7591" s="11" t="n">
        <v>39920.6775462963</v>
      </c>
      <c r="M7591" s="12" t="s">
        <v>7272</v>
      </c>
      <c r="N7591" s="12" t="s">
        <v>17028</v>
      </c>
      <c r="O7591" s="9" t="str">
        <f aca="false">HYPERLINK("https://pbs.twimg.com/profile_images/907855543620050945/1Fb89Ysp_normal.jpg","View")</f>
        <v>View</v>
      </c>
      <c r="P7591" s="10"/>
    </row>
    <row r="7592" customFormat="false" ht="15.75" hidden="false" customHeight="false" outlineLevel="0" collapsed="false">
      <c r="A7592" s="6" t="n">
        <v>43031.5977546296</v>
      </c>
      <c r="B7592" s="7" t="str">
        <f aca="false">HYPERLINK("https://twitter.com/vtmtst","@vtmtst")</f>
        <v>@vtmtst</v>
      </c>
      <c r="C7592" s="8" t="s">
        <v>17029</v>
      </c>
      <c r="D7592" s="8" t="s">
        <v>16929</v>
      </c>
      <c r="E7592" s="9" t="str">
        <f aca="false">HYPERLINK("https://twitter.com/vtmtst/status/922573535935156224","922573535935156224")</f>
        <v>922573535935156224</v>
      </c>
      <c r="F7592" s="10" t="s">
        <v>39</v>
      </c>
      <c r="G7592" s="10" t="n">
        <v>0</v>
      </c>
      <c r="H7592" s="10" t="n">
        <v>81</v>
      </c>
      <c r="I7592" s="10" t="n">
        <v>247</v>
      </c>
      <c r="J7592" s="10" t="n">
        <v>0</v>
      </c>
      <c r="K7592" s="10" t="s">
        <v>20</v>
      </c>
      <c r="L7592" s="11" t="n">
        <v>42985.2850347222</v>
      </c>
      <c r="M7592" s="12"/>
      <c r="N7592" s="12"/>
      <c r="O7592" s="9" t="str">
        <f aca="false">HYPERLINK("https://abs.twimg.com/sticky/default_profile_images/default_profile_normal.png","View")</f>
        <v>View</v>
      </c>
      <c r="P7592" s="10"/>
    </row>
    <row r="7593" customFormat="false" ht="15.75" hidden="false" customHeight="false" outlineLevel="0" collapsed="false">
      <c r="A7593" s="6" t="n">
        <v>43031.5978356482</v>
      </c>
      <c r="B7593" s="7" t="str">
        <f aca="false">HYPERLINK("https://twitter.com/OverTheMoonbat","@OverTheMoonbat")</f>
        <v>@OverTheMoonbat</v>
      </c>
      <c r="C7593" s="8" t="s">
        <v>12566</v>
      </c>
      <c r="D7593" s="8" t="s">
        <v>17030</v>
      </c>
      <c r="E7593" s="9" t="str">
        <f aca="false">HYPERLINK("https://twitter.com/OverTheMoonbat/status/922573564670177280","922573564670177280")</f>
        <v>922573564670177280</v>
      </c>
      <c r="F7593" s="10" t="s">
        <v>39</v>
      </c>
      <c r="G7593" s="10" t="n">
        <v>11033</v>
      </c>
      <c r="H7593" s="10" t="n">
        <v>11981</v>
      </c>
      <c r="I7593" s="10" t="n">
        <v>0</v>
      </c>
      <c r="J7593" s="10" t="n">
        <v>0</v>
      </c>
      <c r="K7593" s="10" t="s">
        <v>20</v>
      </c>
      <c r="L7593" s="11" t="n">
        <v>40896.5938310185</v>
      </c>
      <c r="M7593" s="12"/>
      <c r="N7593" s="12" t="s">
        <v>12568</v>
      </c>
      <c r="O7593" s="9" t="str">
        <f aca="false">HYPERLINK("https://pbs.twimg.com/profile_images/823236506932236288/SlElOA6Z_normal.jpg","View")</f>
        <v>View</v>
      </c>
      <c r="P7593" s="10"/>
    </row>
    <row r="7594" customFormat="false" ht="15.75" hidden="false" customHeight="false" outlineLevel="0" collapsed="false">
      <c r="A7594" s="6" t="n">
        <v>43031.5978703704</v>
      </c>
      <c r="B7594" s="7" t="str">
        <f aca="false">HYPERLINK("https://twitter.com/oceanshaman","@oceanshaman")</f>
        <v>@oceanshaman</v>
      </c>
      <c r="C7594" s="8" t="s">
        <v>17031</v>
      </c>
      <c r="D7594" s="8" t="s">
        <v>16929</v>
      </c>
      <c r="E7594" s="9" t="str">
        <f aca="false">HYPERLINK("https://twitter.com/oceanshaman/status/922573577236434953","922573577236434953")</f>
        <v>922573577236434953</v>
      </c>
      <c r="F7594" s="10" t="s">
        <v>25</v>
      </c>
      <c r="G7594" s="10" t="n">
        <v>13208</v>
      </c>
      <c r="H7594" s="10" t="n">
        <v>14382</v>
      </c>
      <c r="I7594" s="10" t="n">
        <v>247</v>
      </c>
      <c r="J7594" s="10" t="n">
        <v>0</v>
      </c>
      <c r="K7594" s="10" t="s">
        <v>20</v>
      </c>
      <c r="L7594" s="11" t="n">
        <v>39972.5978703704</v>
      </c>
      <c r="M7594" s="12" t="s">
        <v>17032</v>
      </c>
      <c r="N7594" s="12" t="s">
        <v>17033</v>
      </c>
      <c r="O7594" s="9" t="str">
        <f aca="false">HYPERLINK("https://pbs.twimg.com/profile_images/867841625363447808/XO6wFLVF_normal.jpg","View")</f>
        <v>View</v>
      </c>
      <c r="P7594" s="10"/>
    </row>
    <row r="7595" customFormat="false" ht="15.75" hidden="false" customHeight="false" outlineLevel="0" collapsed="false">
      <c r="A7595" s="6" t="n">
        <v>43031.5978819444</v>
      </c>
      <c r="B7595" s="7" t="str">
        <f aca="false">HYPERLINK("https://twitter.com/AlexLeonNC","@AlexLeonNC")</f>
        <v>@AlexLeonNC</v>
      </c>
      <c r="C7595" s="8" t="s">
        <v>17034</v>
      </c>
      <c r="D7595" s="8" t="s">
        <v>16929</v>
      </c>
      <c r="E7595" s="9" t="str">
        <f aca="false">HYPERLINK("https://twitter.com/AlexLeonNC/status/922573584253497344","922573584253497344")</f>
        <v>922573584253497344</v>
      </c>
      <c r="F7595" s="10" t="s">
        <v>25</v>
      </c>
      <c r="G7595" s="10" t="n">
        <v>762</v>
      </c>
      <c r="H7595" s="10" t="n">
        <v>1163</v>
      </c>
      <c r="I7595" s="10" t="n">
        <v>247</v>
      </c>
      <c r="J7595" s="10" t="n">
        <v>0</v>
      </c>
      <c r="K7595" s="10" t="s">
        <v>20</v>
      </c>
      <c r="L7595" s="11" t="n">
        <v>42296.6849305556</v>
      </c>
      <c r="M7595" s="12" t="s">
        <v>9331</v>
      </c>
      <c r="N7595" s="12" t="s">
        <v>17035</v>
      </c>
      <c r="O7595" s="9" t="str">
        <f aca="false">HYPERLINK("https://pbs.twimg.com/profile_images/915591385486589952/HuhvbVM4_normal.jpg","View")</f>
        <v>View</v>
      </c>
      <c r="P7595" s="10"/>
    </row>
    <row r="7596" customFormat="false" ht="15.75" hidden="false" customHeight="false" outlineLevel="0" collapsed="false">
      <c r="A7596" s="6" t="n">
        <v>43031.5979282407</v>
      </c>
      <c r="B7596" s="7" t="str">
        <f aca="false">HYPERLINK("https://twitter.com/pgor24","@pgor24")</f>
        <v>@pgor24</v>
      </c>
      <c r="C7596" s="8" t="s">
        <v>17036</v>
      </c>
      <c r="D7596" s="8" t="s">
        <v>16929</v>
      </c>
      <c r="E7596" s="9" t="str">
        <f aca="false">HYPERLINK("https://twitter.com/pgor24/status/922573598686097408","922573598686097408")</f>
        <v>922573598686097408</v>
      </c>
      <c r="F7596" s="10" t="s">
        <v>51</v>
      </c>
      <c r="G7596" s="10" t="n">
        <v>3002</v>
      </c>
      <c r="H7596" s="10" t="n">
        <v>386</v>
      </c>
      <c r="I7596" s="10" t="n">
        <v>247</v>
      </c>
      <c r="J7596" s="10" t="n">
        <v>0</v>
      </c>
      <c r="K7596" s="10" t="s">
        <v>20</v>
      </c>
      <c r="L7596" s="11" t="n">
        <v>40325.8380787037</v>
      </c>
      <c r="M7596" s="12" t="s">
        <v>17037</v>
      </c>
      <c r="N7596" s="12" t="s">
        <v>17038</v>
      </c>
      <c r="O7596" s="9" t="str">
        <f aca="false">HYPERLINK("https://pbs.twimg.com/profile_images/921130616535568384/ooR70mKb_normal.jpg","View")</f>
        <v>View</v>
      </c>
      <c r="P7596" s="10"/>
    </row>
    <row r="7597" customFormat="false" ht="15.75" hidden="false" customHeight="false" outlineLevel="0" collapsed="false">
      <c r="A7597" s="6" t="n">
        <v>43031.5980324074</v>
      </c>
      <c r="B7597" s="7" t="str">
        <f aca="false">HYPERLINK("https://twitter.com/mdwblitz","@mdwblitz")</f>
        <v>@mdwblitz</v>
      </c>
      <c r="C7597" s="8" t="s">
        <v>17039</v>
      </c>
      <c r="D7597" s="8" t="s">
        <v>16929</v>
      </c>
      <c r="E7597" s="9" t="str">
        <f aca="false">HYPERLINK("https://twitter.com/mdwblitz/status/922573637709807617","922573637709807617")</f>
        <v>922573637709807617</v>
      </c>
      <c r="F7597" s="10" t="s">
        <v>25</v>
      </c>
      <c r="G7597" s="10" t="n">
        <v>1392</v>
      </c>
      <c r="H7597" s="10" t="n">
        <v>1636</v>
      </c>
      <c r="I7597" s="10" t="n">
        <v>247</v>
      </c>
      <c r="J7597" s="10" t="n">
        <v>0</v>
      </c>
      <c r="K7597" s="10" t="s">
        <v>20</v>
      </c>
      <c r="L7597" s="11" t="n">
        <v>40851.7924884259</v>
      </c>
      <c r="M7597" s="12"/>
      <c r="N7597" s="12" t="s">
        <v>17040</v>
      </c>
      <c r="O7597" s="9" t="str">
        <f aca="false">HYPERLINK("https://pbs.twimg.com/profile_images/1866410273/Photo_2_normal.jpg","View")</f>
        <v>View</v>
      </c>
      <c r="P7597" s="10"/>
    </row>
    <row r="7598" customFormat="false" ht="15.75" hidden="false" customHeight="false" outlineLevel="0" collapsed="false">
      <c r="A7598" s="6" t="n">
        <v>43031.5983333333</v>
      </c>
      <c r="B7598" s="7" t="str">
        <f aca="false">HYPERLINK("https://twitter.com/VictoriaVenega7","@VictoriaVenega7")</f>
        <v>@VictoriaVenega7</v>
      </c>
      <c r="C7598" s="8" t="s">
        <v>12751</v>
      </c>
      <c r="D7598" s="8" t="s">
        <v>16929</v>
      </c>
      <c r="E7598" s="9" t="str">
        <f aca="false">HYPERLINK("https://twitter.com/VictoriaVenega7/status/922573745746841600","922573745746841600")</f>
        <v>922573745746841600</v>
      </c>
      <c r="F7598" s="10" t="s">
        <v>25</v>
      </c>
      <c r="G7598" s="10" t="n">
        <v>395</v>
      </c>
      <c r="H7598" s="10" t="n">
        <v>263</v>
      </c>
      <c r="I7598" s="10" t="n">
        <v>247</v>
      </c>
      <c r="J7598" s="10" t="n">
        <v>0</v>
      </c>
      <c r="K7598" s="10" t="s">
        <v>20</v>
      </c>
      <c r="L7598" s="11" t="n">
        <v>41493.6513888889</v>
      </c>
      <c r="M7598" s="12"/>
      <c r="N7598" s="12"/>
      <c r="O7598" s="9" t="str">
        <f aca="false">HYPERLINK("https://pbs.twimg.com/profile_images/378800000257280041/9bbef49e273a235b7ccb9f02465f27e8_normal.jpeg","View")</f>
        <v>View</v>
      </c>
      <c r="P7598" s="10"/>
    </row>
    <row r="7599" customFormat="false" ht="15.75" hidden="false" customHeight="false" outlineLevel="0" collapsed="false">
      <c r="A7599" s="6" t="n">
        <v>43031.5983796296</v>
      </c>
      <c r="B7599" s="7" t="str">
        <f aca="false">HYPERLINK("https://twitter.com/MissingTripod","@MissingTripod")</f>
        <v>@MissingTripod</v>
      </c>
      <c r="C7599" s="8" t="s">
        <v>17041</v>
      </c>
      <c r="D7599" s="8" t="s">
        <v>16929</v>
      </c>
      <c r="E7599" s="9" t="str">
        <f aca="false">HYPERLINK("https://twitter.com/MissingTripod/status/922573765585920001","922573765585920001")</f>
        <v>922573765585920001</v>
      </c>
      <c r="F7599" s="10" t="s">
        <v>51</v>
      </c>
      <c r="G7599" s="10" t="n">
        <v>61</v>
      </c>
      <c r="H7599" s="10" t="n">
        <v>103</v>
      </c>
      <c r="I7599" s="10" t="n">
        <v>247</v>
      </c>
      <c r="J7599" s="10" t="n">
        <v>0</v>
      </c>
      <c r="K7599" s="10" t="s">
        <v>20</v>
      </c>
      <c r="L7599" s="11" t="n">
        <v>40992.6046759259</v>
      </c>
      <c r="M7599" s="12" t="s">
        <v>1670</v>
      </c>
      <c r="N7599" s="12" t="s">
        <v>17042</v>
      </c>
      <c r="O7599" s="9" t="str">
        <f aca="false">HYPERLINK("https://pbs.twimg.com/profile_images/3457199473/d7af48e77f358ce6d9bfd574c1245b27_normal.jpeg","View")</f>
        <v>View</v>
      </c>
      <c r="P7599" s="10"/>
    </row>
    <row r="7600" customFormat="false" ht="15.75" hidden="false" customHeight="false" outlineLevel="0" collapsed="false">
      <c r="A7600" s="6" t="n">
        <v>43031.5989351852</v>
      </c>
      <c r="B7600" s="7" t="str">
        <f aca="false">HYPERLINK("https://twitter.com/Elizabe21641277","@Elizabe21641277")</f>
        <v>@Elizabe21641277</v>
      </c>
      <c r="C7600" s="8" t="s">
        <v>17043</v>
      </c>
      <c r="D7600" s="8" t="s">
        <v>16929</v>
      </c>
      <c r="E7600" s="9" t="str">
        <f aca="false">HYPERLINK("https://twitter.com/Elizabe21641277/status/922573964903317510","922573964903317510")</f>
        <v>922573964903317510</v>
      </c>
      <c r="F7600" s="10" t="s">
        <v>25</v>
      </c>
      <c r="G7600" s="10" t="n">
        <v>1636</v>
      </c>
      <c r="H7600" s="10" t="n">
        <v>1091</v>
      </c>
      <c r="I7600" s="10" t="n">
        <v>247</v>
      </c>
      <c r="J7600" s="10" t="n">
        <v>0</v>
      </c>
      <c r="K7600" s="10" t="s">
        <v>20</v>
      </c>
      <c r="L7600" s="11" t="n">
        <v>42582.5117592593</v>
      </c>
      <c r="M7600" s="12" t="s">
        <v>1961</v>
      </c>
      <c r="N7600" s="12" t="s">
        <v>17044</v>
      </c>
      <c r="O7600" s="9" t="str">
        <f aca="false">HYPERLINK("https://pbs.twimg.com/profile_images/922323948297220096/tnSsY3M6_normal.jpg","View")</f>
        <v>View</v>
      </c>
      <c r="P7600" s="10"/>
    </row>
    <row r="7601" customFormat="false" ht="15.75" hidden="false" customHeight="false" outlineLevel="0" collapsed="false">
      <c r="A7601" s="6" t="n">
        <v>43031.5989699074</v>
      </c>
      <c r="B7601" s="7" t="str">
        <f aca="false">HYPERLINK("https://twitter.com/1gor1ok","@1gor1ok")</f>
        <v>@1gor1ok</v>
      </c>
      <c r="C7601" s="8" t="s">
        <v>17045</v>
      </c>
      <c r="D7601" s="8" t="s">
        <v>16929</v>
      </c>
      <c r="E7601" s="9" t="str">
        <f aca="false">HYPERLINK("https://twitter.com/1gor1ok/status/922573976710328320","922573976710328320")</f>
        <v>922573976710328320</v>
      </c>
      <c r="F7601" s="10" t="s">
        <v>39</v>
      </c>
      <c r="G7601" s="10" t="n">
        <v>2237</v>
      </c>
      <c r="H7601" s="10" t="n">
        <v>1921</v>
      </c>
      <c r="I7601" s="10" t="n">
        <v>247</v>
      </c>
      <c r="J7601" s="10" t="n">
        <v>0</v>
      </c>
      <c r="K7601" s="10" t="s">
        <v>20</v>
      </c>
      <c r="L7601" s="11" t="n">
        <v>40595.4483217593</v>
      </c>
      <c r="M7601" s="12" t="s">
        <v>17046</v>
      </c>
      <c r="N7601" s="12"/>
      <c r="O7601" s="9" t="str">
        <f aca="false">HYPERLINK("https://pbs.twimg.com/profile_images/447861382579363840/e3kgIaPb_normal.jpeg","View")</f>
        <v>View</v>
      </c>
      <c r="P7601" s="10"/>
    </row>
    <row r="7602" customFormat="false" ht="15.75" hidden="false" customHeight="false" outlineLevel="0" collapsed="false">
      <c r="A7602" s="6" t="n">
        <v>43031.599212963</v>
      </c>
      <c r="B7602" s="7" t="str">
        <f aca="false">HYPERLINK("https://twitter.com/Nazdi_mo2","@Nazdi_mo2")</f>
        <v>@Nazdi_mo2</v>
      </c>
      <c r="C7602" s="8" t="s">
        <v>17047</v>
      </c>
      <c r="D7602" s="8" t="s">
        <v>16929</v>
      </c>
      <c r="E7602" s="9" t="str">
        <f aca="false">HYPERLINK("https://twitter.com/Nazdi_mo2/status/922574065377755136","922574065377755136")</f>
        <v>922574065377755136</v>
      </c>
      <c r="F7602" s="10" t="s">
        <v>25</v>
      </c>
      <c r="G7602" s="10" t="n">
        <v>11</v>
      </c>
      <c r="H7602" s="10" t="n">
        <v>125</v>
      </c>
      <c r="I7602" s="10" t="n">
        <v>247</v>
      </c>
      <c r="J7602" s="10" t="n">
        <v>0</v>
      </c>
      <c r="K7602" s="10" t="s">
        <v>20</v>
      </c>
      <c r="L7602" s="11" t="n">
        <v>42913.9884837963</v>
      </c>
      <c r="M7602" s="12" t="s">
        <v>2875</v>
      </c>
      <c r="N7602" s="12" t="s">
        <v>17048</v>
      </c>
      <c r="O7602" s="9" t="str">
        <f aca="false">HYPERLINK("https://pbs.twimg.com/profile_images/880364997536133120/Hnprg3Ez_normal.jpg","View")</f>
        <v>View</v>
      </c>
      <c r="P7602" s="10"/>
    </row>
    <row r="7603" customFormat="false" ht="15.75" hidden="false" customHeight="false" outlineLevel="0" collapsed="false">
      <c r="A7603" s="6" t="n">
        <v>43031.5994675926</v>
      </c>
      <c r="B7603" s="7" t="str">
        <f aca="false">HYPERLINK("https://twitter.com/APappas17","@APappas17")</f>
        <v>@APappas17</v>
      </c>
      <c r="C7603" s="8" t="s">
        <v>17049</v>
      </c>
      <c r="D7603" s="8" t="s">
        <v>16929</v>
      </c>
      <c r="E7603" s="9" t="str">
        <f aca="false">HYPERLINK("https://twitter.com/APappas17/status/922574156641853443","922574156641853443")</f>
        <v>922574156641853443</v>
      </c>
      <c r="F7603" s="10" t="s">
        <v>25</v>
      </c>
      <c r="G7603" s="10" t="n">
        <v>272</v>
      </c>
      <c r="H7603" s="10" t="n">
        <v>728</v>
      </c>
      <c r="I7603" s="10" t="n">
        <v>247</v>
      </c>
      <c r="J7603" s="10" t="n">
        <v>0</v>
      </c>
      <c r="K7603" s="10" t="s">
        <v>20</v>
      </c>
      <c r="L7603" s="11" t="n">
        <v>42867.6221527778</v>
      </c>
      <c r="M7603" s="12" t="s">
        <v>4218</v>
      </c>
      <c r="N7603" s="12" t="s">
        <v>17050</v>
      </c>
      <c r="O7603" s="9" t="str">
        <f aca="false">HYPERLINK("https://pbs.twimg.com/profile_images/877327127728709633/Bw56fGh8_normal.jpg","View")</f>
        <v>View</v>
      </c>
      <c r="P7603" s="10"/>
    </row>
    <row r="7604" customFormat="false" ht="15.75" hidden="false" customHeight="false" outlineLevel="0" collapsed="false">
      <c r="A7604" s="6" t="n">
        <v>43031.5995601852</v>
      </c>
      <c r="B7604" s="7" t="str">
        <f aca="false">HYPERLINK("https://twitter.com/atile2006","@atile2006")</f>
        <v>@atile2006</v>
      </c>
      <c r="C7604" s="8" t="s">
        <v>5099</v>
      </c>
      <c r="D7604" s="8" t="s">
        <v>16929</v>
      </c>
      <c r="E7604" s="9" t="str">
        <f aca="false">HYPERLINK("https://twitter.com/atile2006/status/922574190921752576","922574190921752576")</f>
        <v>922574190921752576</v>
      </c>
      <c r="F7604" s="10" t="s">
        <v>51</v>
      </c>
      <c r="G7604" s="10" t="n">
        <v>56</v>
      </c>
      <c r="H7604" s="10" t="n">
        <v>136</v>
      </c>
      <c r="I7604" s="10" t="n">
        <v>247</v>
      </c>
      <c r="J7604" s="10" t="n">
        <v>0</v>
      </c>
      <c r="K7604" s="10" t="s">
        <v>20</v>
      </c>
      <c r="L7604" s="11" t="n">
        <v>40583.7474074074</v>
      </c>
      <c r="M7604" s="12" t="s">
        <v>227</v>
      </c>
      <c r="N7604" s="12" t="s">
        <v>17051</v>
      </c>
      <c r="O7604" s="9" t="str">
        <f aca="false">HYPERLINK("https://pbs.twimg.com/profile_images/378800000500567887/c7ae053a4e47b28b60afe3f52502b1dc_normal.jpeg","View")</f>
        <v>View</v>
      </c>
      <c r="P7604" s="10"/>
    </row>
    <row r="7605" customFormat="false" ht="15.75" hidden="false" customHeight="false" outlineLevel="0" collapsed="false">
      <c r="A7605" s="6" t="n">
        <v>43031.5996643519</v>
      </c>
      <c r="B7605" s="7" t="str">
        <f aca="false">HYPERLINK("https://twitter.com/Follow_Finance","@Follow_Finance")</f>
        <v>@Follow_Finance</v>
      </c>
      <c r="C7605" s="8" t="s">
        <v>130</v>
      </c>
      <c r="D7605" s="8" t="s">
        <v>17052</v>
      </c>
      <c r="E7605" s="9" t="str">
        <f aca="false">HYPERLINK("https://twitter.com/Follow_Finance/status/922574227781373952","922574227781373952")</f>
        <v>922574227781373952</v>
      </c>
      <c r="F7605" s="10" t="s">
        <v>130</v>
      </c>
      <c r="G7605" s="10" t="n">
        <v>2398</v>
      </c>
      <c r="H7605" s="10" t="n">
        <v>1918</v>
      </c>
      <c r="I7605" s="10" t="n">
        <v>0</v>
      </c>
      <c r="J7605" s="10" t="n">
        <v>0</v>
      </c>
      <c r="K7605" s="10" t="s">
        <v>20</v>
      </c>
      <c r="L7605" s="11" t="n">
        <v>41033.2276967593</v>
      </c>
      <c r="M7605" s="12" t="s">
        <v>132</v>
      </c>
      <c r="N7605" s="12" t="s">
        <v>133</v>
      </c>
      <c r="O7605" s="9" t="str">
        <f aca="false">HYPERLINK("https://pbs.twimg.com/profile_images/2214795357/money_50_normal.png","View")</f>
        <v>View</v>
      </c>
      <c r="P7605" s="10"/>
    </row>
    <row r="7606" customFormat="false" ht="15.75" hidden="false" customHeight="false" outlineLevel="0" collapsed="false">
      <c r="A7606" s="6" t="n">
        <v>43031.599837963</v>
      </c>
      <c r="B7606" s="7" t="str">
        <f aca="false">HYPERLINK("https://twitter.com/NateTaylor1027","@NateTaylor1027")</f>
        <v>@NateTaylor1027</v>
      </c>
      <c r="C7606" s="8" t="s">
        <v>17053</v>
      </c>
      <c r="D7606" s="8" t="s">
        <v>16929</v>
      </c>
      <c r="E7606" s="9" t="str">
        <f aca="false">HYPERLINK("https://twitter.com/NateTaylor1027/status/922574293078347782","922574293078347782")</f>
        <v>922574293078347782</v>
      </c>
      <c r="F7606" s="10" t="s">
        <v>25</v>
      </c>
      <c r="G7606" s="10" t="n">
        <v>172</v>
      </c>
      <c r="H7606" s="10" t="n">
        <v>75</v>
      </c>
      <c r="I7606" s="10" t="n">
        <v>247</v>
      </c>
      <c r="J7606" s="10" t="n">
        <v>0</v>
      </c>
      <c r="K7606" s="10" t="s">
        <v>20</v>
      </c>
      <c r="L7606" s="11" t="n">
        <v>42413.8075578704</v>
      </c>
      <c r="M7606" s="12"/>
      <c r="N7606" s="12" t="s">
        <v>17054</v>
      </c>
      <c r="O7606" s="9" t="str">
        <f aca="false">HYPERLINK("https://pbs.twimg.com/profile_images/748672062621949952/jbC2tCI6_normal.jpg","View")</f>
        <v>View</v>
      </c>
      <c r="P7606" s="10"/>
    </row>
    <row r="7607" customFormat="false" ht="15.75" hidden="false" customHeight="false" outlineLevel="0" collapsed="false">
      <c r="A7607" s="6" t="n">
        <v>43031.6001851852</v>
      </c>
      <c r="B7607" s="7" t="str">
        <f aca="false">HYPERLINK("https://twitter.com/annigma1","@annigma1")</f>
        <v>@annigma1</v>
      </c>
      <c r="C7607" s="8" t="s">
        <v>17055</v>
      </c>
      <c r="D7607" s="8" t="s">
        <v>16929</v>
      </c>
      <c r="E7607" s="9" t="str">
        <f aca="false">HYPERLINK("https://twitter.com/annigma1/status/922574416860479488","922574416860479488")</f>
        <v>922574416860479488</v>
      </c>
      <c r="F7607" s="10" t="s">
        <v>51</v>
      </c>
      <c r="G7607" s="10" t="n">
        <v>45</v>
      </c>
      <c r="H7607" s="10" t="n">
        <v>134</v>
      </c>
      <c r="I7607" s="10" t="n">
        <v>247</v>
      </c>
      <c r="J7607" s="10" t="n">
        <v>0</v>
      </c>
      <c r="K7607" s="10" t="s">
        <v>20</v>
      </c>
      <c r="L7607" s="11" t="n">
        <v>41676.7610185185</v>
      </c>
      <c r="M7607" s="12" t="s">
        <v>17056</v>
      </c>
      <c r="N7607" s="12" t="s">
        <v>17057</v>
      </c>
      <c r="O7607" s="9" t="str">
        <f aca="false">HYPERLINK("https://pbs.twimg.com/profile_images/865755965584363520/Y4gymagL_normal.jpg","View")</f>
        <v>View</v>
      </c>
      <c r="P7607" s="10"/>
    </row>
    <row r="7608" customFormat="false" ht="15.75" hidden="false" customHeight="false" outlineLevel="0" collapsed="false">
      <c r="A7608" s="6" t="n">
        <v>43031.6002083333</v>
      </c>
      <c r="B7608" s="7" t="str">
        <f aca="false">HYPERLINK("https://twitter.com/Raghidahaddad1","@Raghidahaddad1")</f>
        <v>@Raghidahaddad1</v>
      </c>
      <c r="C7608" s="8" t="s">
        <v>17058</v>
      </c>
      <c r="D7608" s="8" t="s">
        <v>16929</v>
      </c>
      <c r="E7608" s="9" t="str">
        <f aca="false">HYPERLINK("https://twitter.com/Raghidahaddad1/status/922574427627368449","922574427627368449")</f>
        <v>922574427627368449</v>
      </c>
      <c r="F7608" s="10" t="s">
        <v>51</v>
      </c>
      <c r="G7608" s="10" t="n">
        <v>142</v>
      </c>
      <c r="H7608" s="10" t="n">
        <v>591</v>
      </c>
      <c r="I7608" s="10" t="n">
        <v>247</v>
      </c>
      <c r="J7608" s="10" t="n">
        <v>0</v>
      </c>
      <c r="K7608" s="10" t="s">
        <v>20</v>
      </c>
      <c r="L7608" s="11" t="n">
        <v>42409.4800347222</v>
      </c>
      <c r="M7608" s="12" t="s">
        <v>17059</v>
      </c>
      <c r="N7608" s="12" t="s">
        <v>17060</v>
      </c>
      <c r="O7608" s="9" t="str">
        <f aca="false">HYPERLINK("https://pbs.twimg.com/profile_images/796743062819106816/zbvCSJF8_normal.jpg","View")</f>
        <v>View</v>
      </c>
      <c r="P7608" s="10"/>
    </row>
    <row r="7609" customFormat="false" ht="15.75" hidden="false" customHeight="false" outlineLevel="0" collapsed="false">
      <c r="A7609" s="6" t="n">
        <v>43031.6002314815</v>
      </c>
      <c r="B7609" s="7" t="str">
        <f aca="false">HYPERLINK("https://twitter.com/MSudsie","@MSudsie")</f>
        <v>@MSudsie</v>
      </c>
      <c r="C7609" s="8" t="s">
        <v>17061</v>
      </c>
      <c r="D7609" s="8" t="s">
        <v>16929</v>
      </c>
      <c r="E7609" s="9" t="str">
        <f aca="false">HYPERLINK("https://twitter.com/MSudsie/status/922574435768512512","922574435768512512")</f>
        <v>922574435768512512</v>
      </c>
      <c r="F7609" s="10" t="s">
        <v>51</v>
      </c>
      <c r="G7609" s="10" t="n">
        <v>442</v>
      </c>
      <c r="H7609" s="10" t="n">
        <v>718</v>
      </c>
      <c r="I7609" s="10" t="n">
        <v>247</v>
      </c>
      <c r="J7609" s="10" t="n">
        <v>0</v>
      </c>
      <c r="K7609" s="10" t="s">
        <v>20</v>
      </c>
      <c r="L7609" s="11" t="n">
        <v>42975.7396412037</v>
      </c>
      <c r="M7609" s="12"/>
      <c r="N7609" s="12" t="s">
        <v>17062</v>
      </c>
      <c r="O7609" s="9" t="str">
        <f aca="false">HYPERLINK("https://pbs.twimg.com/profile_images/902334730980483073/pxxbLCmT_normal.jpg","View")</f>
        <v>View</v>
      </c>
      <c r="P7609" s="10"/>
    </row>
    <row r="7610" customFormat="false" ht="15.75" hidden="false" customHeight="false" outlineLevel="0" collapsed="false">
      <c r="A7610" s="6" t="n">
        <v>43031.6005092593</v>
      </c>
      <c r="B7610" s="7" t="str">
        <f aca="false">HYPERLINK("https://twitter.com/sharonmatt20194","@sharonmatt20194")</f>
        <v>@sharonmatt20194</v>
      </c>
      <c r="C7610" s="8" t="s">
        <v>17063</v>
      </c>
      <c r="D7610" s="8" t="s">
        <v>16929</v>
      </c>
      <c r="E7610" s="9" t="str">
        <f aca="false">HYPERLINK("https://twitter.com/sharonmatt20194/status/922574537480425474","922574537480425474")</f>
        <v>922574537480425474</v>
      </c>
      <c r="F7610" s="10" t="s">
        <v>51</v>
      </c>
      <c r="G7610" s="10" t="n">
        <v>69</v>
      </c>
      <c r="H7610" s="10" t="n">
        <v>192</v>
      </c>
      <c r="I7610" s="10" t="n">
        <v>247</v>
      </c>
      <c r="J7610" s="10" t="n">
        <v>0</v>
      </c>
      <c r="K7610" s="10" t="s">
        <v>20</v>
      </c>
      <c r="L7610" s="11" t="n">
        <v>42746.5101736111</v>
      </c>
      <c r="M7610" s="12" t="s">
        <v>17064</v>
      </c>
      <c r="N7610" s="12"/>
      <c r="O7610" s="9" t="str">
        <f aca="false">HYPERLINK("https://pbs.twimg.com/profile_images/890940756785074177/ZD_UySJr_normal.jpg","View")</f>
        <v>View</v>
      </c>
      <c r="P7610" s="10"/>
    </row>
    <row r="7611" customFormat="false" ht="15.75" hidden="false" customHeight="false" outlineLevel="0" collapsed="false">
      <c r="A7611" s="6" t="n">
        <v>43031.6006018519</v>
      </c>
      <c r="B7611" s="7" t="str">
        <f aca="false">HYPERLINK("https://twitter.com/NSkartveit","@NSkartveit")</f>
        <v>@NSkartveit</v>
      </c>
      <c r="C7611" s="8" t="s">
        <v>17065</v>
      </c>
      <c r="D7611" s="8" t="s">
        <v>16929</v>
      </c>
      <c r="E7611" s="9" t="str">
        <f aca="false">HYPERLINK("https://twitter.com/NSkartveit/status/922574567859560448","922574567859560448")</f>
        <v>922574567859560448</v>
      </c>
      <c r="F7611" s="10" t="s">
        <v>51</v>
      </c>
      <c r="G7611" s="10" t="n">
        <v>281</v>
      </c>
      <c r="H7611" s="10" t="n">
        <v>233</v>
      </c>
      <c r="I7611" s="10" t="n">
        <v>247</v>
      </c>
      <c r="J7611" s="10" t="n">
        <v>0</v>
      </c>
      <c r="K7611" s="10" t="s">
        <v>20</v>
      </c>
      <c r="L7611" s="11" t="n">
        <v>42029.6606481481</v>
      </c>
      <c r="M7611" s="12" t="s">
        <v>17066</v>
      </c>
      <c r="N7611" s="12"/>
      <c r="O7611" s="9" t="str">
        <f aca="false">HYPERLINK("https://pbs.twimg.com/profile_images/740662291545231360/20HS4RFW_normal.jpg","View")</f>
        <v>View</v>
      </c>
      <c r="P7611" s="10"/>
    </row>
    <row r="7612" customFormat="false" ht="15.75" hidden="false" customHeight="false" outlineLevel="0" collapsed="false">
      <c r="A7612" s="6" t="n">
        <v>43031.600775463</v>
      </c>
      <c r="B7612" s="7" t="str">
        <f aca="false">HYPERLINK("https://twitter.com/mamma_val_1","@mamma_val_1")</f>
        <v>@mamma_val_1</v>
      </c>
      <c r="C7612" s="8" t="s">
        <v>17067</v>
      </c>
      <c r="D7612" s="8" t="s">
        <v>16929</v>
      </c>
      <c r="E7612" s="9" t="str">
        <f aca="false">HYPERLINK("https://twitter.com/mamma_val_1/status/922574632263274496","922574632263274496")</f>
        <v>922574632263274496</v>
      </c>
      <c r="F7612" s="10" t="s">
        <v>51</v>
      </c>
      <c r="G7612" s="10" t="n">
        <v>1038</v>
      </c>
      <c r="H7612" s="10" t="n">
        <v>4209</v>
      </c>
      <c r="I7612" s="10" t="n">
        <v>247</v>
      </c>
      <c r="J7612" s="10" t="n">
        <v>0</v>
      </c>
      <c r="K7612" s="10" t="s">
        <v>20</v>
      </c>
      <c r="L7612" s="11" t="n">
        <v>41844.2484490741</v>
      </c>
      <c r="M7612" s="12"/>
      <c r="N7612" s="12"/>
      <c r="O7612" s="9" t="str">
        <f aca="false">HYPERLINK("https://pbs.twimg.com/profile_images/492294757163339777/bOa0S0qm_normal.jpeg","View")</f>
        <v>View</v>
      </c>
      <c r="P7612" s="10"/>
    </row>
    <row r="7613" customFormat="false" ht="15.75" hidden="false" customHeight="false" outlineLevel="0" collapsed="false">
      <c r="A7613" s="6" t="n">
        <v>43031.6008101852</v>
      </c>
      <c r="B7613" s="7" t="str">
        <f aca="false">HYPERLINK("https://twitter.com/ChrisWaltonMKE","@ChrisWaltonMKE")</f>
        <v>@ChrisWaltonMKE</v>
      </c>
      <c r="C7613" s="8" t="s">
        <v>17068</v>
      </c>
      <c r="D7613" s="8" t="s">
        <v>16929</v>
      </c>
      <c r="E7613" s="9" t="str">
        <f aca="false">HYPERLINK("https://twitter.com/ChrisWaltonMKE/status/922574646158987264","922574646158987264")</f>
        <v>922574646158987264</v>
      </c>
      <c r="F7613" s="10" t="s">
        <v>51</v>
      </c>
      <c r="G7613" s="10" t="n">
        <v>422</v>
      </c>
      <c r="H7613" s="10" t="n">
        <v>2292</v>
      </c>
      <c r="I7613" s="10" t="n">
        <v>247</v>
      </c>
      <c r="J7613" s="10" t="n">
        <v>0</v>
      </c>
      <c r="K7613" s="10" t="s">
        <v>20</v>
      </c>
      <c r="L7613" s="11" t="n">
        <v>42422.2977314815</v>
      </c>
      <c r="M7613" s="12" t="s">
        <v>17069</v>
      </c>
      <c r="N7613" s="12" t="s">
        <v>17070</v>
      </c>
      <c r="O7613" s="9" t="str">
        <f aca="false">HYPERLINK("https://pbs.twimg.com/profile_images/787448348047319040/wbqewy4W_normal.jpg","View")</f>
        <v>View</v>
      </c>
      <c r="P7613" s="10"/>
    </row>
    <row r="7614" customFormat="false" ht="15.75" hidden="false" customHeight="false" outlineLevel="0" collapsed="false">
      <c r="A7614" s="6" t="n">
        <v>43031.6009490741</v>
      </c>
      <c r="B7614" s="7" t="str">
        <f aca="false">HYPERLINK("https://twitter.com/JSlate__","@JSlate__")</f>
        <v>@JSlate__</v>
      </c>
      <c r="C7614" s="8" t="s">
        <v>17071</v>
      </c>
      <c r="D7614" s="8" t="s">
        <v>16929</v>
      </c>
      <c r="E7614" s="9" t="str">
        <f aca="false">HYPERLINK("https://twitter.com/JSlate__/status/922574694779322369","922574694779322369")</f>
        <v>922574694779322369</v>
      </c>
      <c r="F7614" s="10" t="s">
        <v>51</v>
      </c>
      <c r="G7614" s="10" t="n">
        <v>547</v>
      </c>
      <c r="H7614" s="10" t="n">
        <v>1404</v>
      </c>
      <c r="I7614" s="10" t="n">
        <v>247</v>
      </c>
      <c r="J7614" s="10" t="n">
        <v>0</v>
      </c>
      <c r="K7614" s="10" t="s">
        <v>20</v>
      </c>
      <c r="L7614" s="11" t="n">
        <v>42619.6994675926</v>
      </c>
      <c r="M7614" s="12" t="s">
        <v>17072</v>
      </c>
      <c r="N7614" s="12" t="s">
        <v>17073</v>
      </c>
      <c r="O7614" s="9" t="str">
        <f aca="false">HYPERLINK("https://pbs.twimg.com/profile_images/922102177606393856/zIAuih9T_normal.jpg","View")</f>
        <v>View</v>
      </c>
      <c r="P7614" s="10"/>
    </row>
    <row r="7615" customFormat="false" ht="15.75" hidden="false" customHeight="false" outlineLevel="0" collapsed="false">
      <c r="A7615" s="6" t="n">
        <v>43031.6010300926</v>
      </c>
      <c r="B7615" s="7" t="str">
        <f aca="false">HYPERLINK("https://twitter.com/syedmahmood","@syedmahmood")</f>
        <v>@syedmahmood</v>
      </c>
      <c r="C7615" s="8" t="s">
        <v>17074</v>
      </c>
      <c r="D7615" s="8" t="s">
        <v>17075</v>
      </c>
      <c r="E7615" s="9" t="str">
        <f aca="false">HYPERLINK("https://twitter.com/syedmahmood/status/922574722860273665","922574722860273665")</f>
        <v>922574722860273665</v>
      </c>
      <c r="F7615" s="10" t="s">
        <v>47</v>
      </c>
      <c r="G7615" s="10" t="n">
        <v>841</v>
      </c>
      <c r="H7615" s="10" t="n">
        <v>349</v>
      </c>
      <c r="I7615" s="10" t="n">
        <v>0</v>
      </c>
      <c r="J7615" s="10" t="n">
        <v>0</v>
      </c>
      <c r="K7615" s="10" t="s">
        <v>20</v>
      </c>
      <c r="L7615" s="11" t="n">
        <v>39867.4472453704</v>
      </c>
      <c r="M7615" s="12" t="s">
        <v>17076</v>
      </c>
      <c r="N7615" s="12" t="s">
        <v>17077</v>
      </c>
      <c r="O7615" s="9" t="str">
        <f aca="false">HYPERLINK("https://pbs.twimg.com/profile_images/908022166045765637/b-bPTYl7_normal.jpg","View")</f>
        <v>View</v>
      </c>
      <c r="P7615" s="10"/>
    </row>
    <row r="7616" customFormat="false" ht="15.75" hidden="false" customHeight="false" outlineLevel="0" collapsed="false">
      <c r="A7616" s="6" t="n">
        <v>43031.6010416667</v>
      </c>
      <c r="B7616" s="7" t="str">
        <f aca="false">HYPERLINK("https://twitter.com/smartchickwclas","@smartchickwclas")</f>
        <v>@smartchickwclas</v>
      </c>
      <c r="C7616" s="8" t="s">
        <v>17078</v>
      </c>
      <c r="D7616" s="8" t="s">
        <v>16929</v>
      </c>
      <c r="E7616" s="9" t="str">
        <f aca="false">HYPERLINK("https://twitter.com/smartchickwclas/status/922574726966468609","922574726966468609")</f>
        <v>922574726966468609</v>
      </c>
      <c r="F7616" s="10" t="s">
        <v>25</v>
      </c>
      <c r="G7616" s="10" t="n">
        <v>117</v>
      </c>
      <c r="H7616" s="10" t="n">
        <v>347</v>
      </c>
      <c r="I7616" s="10" t="n">
        <v>247</v>
      </c>
      <c r="J7616" s="10" t="n">
        <v>0</v>
      </c>
      <c r="K7616" s="10" t="s">
        <v>20</v>
      </c>
      <c r="L7616" s="11" t="n">
        <v>40603.6313541667</v>
      </c>
      <c r="M7616" s="12" t="s">
        <v>3712</v>
      </c>
      <c r="N7616" s="12" t="s">
        <v>17079</v>
      </c>
      <c r="O7616" s="9" t="str">
        <f aca="false">HYPERLINK("https://pbs.twimg.com/profile_images/2620402041/tgv5c9hijw46n3700smi_normal.jpeg","View")</f>
        <v>View</v>
      </c>
      <c r="P7616" s="10"/>
    </row>
    <row r="7617" customFormat="false" ht="15.75" hidden="false" customHeight="false" outlineLevel="0" collapsed="false">
      <c r="A7617" s="6" t="n">
        <v>43031.6010416667</v>
      </c>
      <c r="B7617" s="7" t="str">
        <f aca="false">HYPERLINK("https://twitter.com/Jporke","@Jporke")</f>
        <v>@Jporke</v>
      </c>
      <c r="C7617" s="8" t="s">
        <v>17080</v>
      </c>
      <c r="D7617" s="8" t="s">
        <v>16929</v>
      </c>
      <c r="E7617" s="9" t="str">
        <f aca="false">HYPERLINK("https://twitter.com/Jporke/status/922574729218838528","922574729218838528")</f>
        <v>922574729218838528</v>
      </c>
      <c r="F7617" s="10" t="s">
        <v>25</v>
      </c>
      <c r="G7617" s="10" t="n">
        <v>866</v>
      </c>
      <c r="H7617" s="10" t="n">
        <v>1768</v>
      </c>
      <c r="I7617" s="10" t="n">
        <v>247</v>
      </c>
      <c r="J7617" s="10" t="n">
        <v>0</v>
      </c>
      <c r="K7617" s="10" t="s">
        <v>20</v>
      </c>
      <c r="L7617" s="11" t="n">
        <v>40138.2344791667</v>
      </c>
      <c r="M7617" s="12"/>
      <c r="N7617" s="12"/>
      <c r="O7617" s="9" t="str">
        <f aca="false">HYPERLINK("https://pbs.twimg.com/profile_images/682242549117878273/1Q5m2lWE_normal.png","View")</f>
        <v>View</v>
      </c>
      <c r="P7617" s="10"/>
    </row>
    <row r="7618" customFormat="false" ht="15.75" hidden="false" customHeight="false" outlineLevel="0" collapsed="false">
      <c r="A7618" s="6" t="n">
        <v>43031.6011689815</v>
      </c>
      <c r="B7618" s="7" t="str">
        <f aca="false">HYPERLINK("https://twitter.com/trump_16_pence","@trump_16_pence")</f>
        <v>@trump_16_pence</v>
      </c>
      <c r="C7618" s="8" t="s">
        <v>17081</v>
      </c>
      <c r="D7618" s="8" t="s">
        <v>16929</v>
      </c>
      <c r="E7618" s="9" t="str">
        <f aca="false">HYPERLINK("https://twitter.com/trump_16_pence/status/922574776002138120","922574776002138120")</f>
        <v>922574776002138120</v>
      </c>
      <c r="F7618" s="10" t="s">
        <v>51</v>
      </c>
      <c r="G7618" s="10" t="n">
        <v>614</v>
      </c>
      <c r="H7618" s="10" t="n">
        <v>460</v>
      </c>
      <c r="I7618" s="10" t="n">
        <v>247</v>
      </c>
      <c r="J7618" s="10" t="n">
        <v>0</v>
      </c>
      <c r="K7618" s="10" t="s">
        <v>20</v>
      </c>
      <c r="L7618" s="11" t="n">
        <v>41446.8871296296</v>
      </c>
      <c r="M7618" s="12" t="s">
        <v>491</v>
      </c>
      <c r="N7618" s="12" t="s">
        <v>17082</v>
      </c>
      <c r="O7618" s="9" t="str">
        <f aca="false">HYPERLINK("https://pbs.twimg.com/profile_images/701241087097184256/wLQeWUlm_normal.jpg","View")</f>
        <v>View</v>
      </c>
      <c r="P7618" s="10"/>
    </row>
    <row r="7619" customFormat="false" ht="15.75" hidden="false" customHeight="false" outlineLevel="0" collapsed="false">
      <c r="A7619" s="6" t="n">
        <v>43031.6011805556</v>
      </c>
      <c r="B7619" s="7" t="str">
        <f aca="false">HYPERLINK("https://twitter.com/QuakerRabbi","@QuakerRabbi")</f>
        <v>@QuakerRabbi</v>
      </c>
      <c r="C7619" s="8" t="s">
        <v>17083</v>
      </c>
      <c r="D7619" s="8" t="s">
        <v>16929</v>
      </c>
      <c r="E7619" s="9" t="str">
        <f aca="false">HYPERLINK("https://twitter.com/QuakerRabbi/status/922574777750978560","922574777750978560")</f>
        <v>922574777750978560</v>
      </c>
      <c r="F7619" s="10" t="s">
        <v>25</v>
      </c>
      <c r="G7619" s="10" t="n">
        <v>1023</v>
      </c>
      <c r="H7619" s="10" t="n">
        <v>2633</v>
      </c>
      <c r="I7619" s="10" t="n">
        <v>247</v>
      </c>
      <c r="J7619" s="10" t="n">
        <v>0</v>
      </c>
      <c r="K7619" s="10" t="s">
        <v>20</v>
      </c>
      <c r="L7619" s="11" t="n">
        <v>42148.5921412037</v>
      </c>
      <c r="M7619" s="12"/>
      <c r="N7619" s="12"/>
      <c r="O7619" s="9" t="str">
        <f aca="false">HYPERLINK("https://pbs.twimg.com/profile_images/824364893914554368/ktnRVpDT_normal.jpg","View")</f>
        <v>View</v>
      </c>
      <c r="P7619" s="10"/>
    </row>
    <row r="7620" customFormat="false" ht="15.75" hidden="false" customHeight="false" outlineLevel="0" collapsed="false">
      <c r="A7620" s="6" t="n">
        <v>43031.6017476852</v>
      </c>
      <c r="B7620" s="7" t="str">
        <f aca="false">HYPERLINK("https://twitter.com/purada0412","@purada0412")</f>
        <v>@purada0412</v>
      </c>
      <c r="C7620" s="14" t="s">
        <v>17084</v>
      </c>
      <c r="D7620" s="8" t="s">
        <v>16929</v>
      </c>
      <c r="E7620" s="9" t="str">
        <f aca="false">HYPERLINK("https://twitter.com/purada0412/status/922574983846543360","922574983846543360")</f>
        <v>922574983846543360</v>
      </c>
      <c r="F7620" s="10" t="s">
        <v>25</v>
      </c>
      <c r="G7620" s="10" t="n">
        <v>2470</v>
      </c>
      <c r="H7620" s="10" t="n">
        <v>2762</v>
      </c>
      <c r="I7620" s="10" t="n">
        <v>247</v>
      </c>
      <c r="J7620" s="10" t="n">
        <v>0</v>
      </c>
      <c r="K7620" s="10" t="s">
        <v>20</v>
      </c>
      <c r="L7620" s="11" t="n">
        <v>42247.1236226852</v>
      </c>
      <c r="M7620" s="13" t="s">
        <v>106</v>
      </c>
      <c r="N7620" s="13" t="s">
        <v>17085</v>
      </c>
      <c r="O7620" s="9" t="str">
        <f aca="false">HYPERLINK("https://pbs.twimg.com/profile_images/920628829160222722/3PiS7_lp_normal.jpg","View")</f>
        <v>View</v>
      </c>
      <c r="P7620" s="10"/>
    </row>
    <row r="7621" customFormat="false" ht="15.75" hidden="false" customHeight="false" outlineLevel="0" collapsed="false">
      <c r="A7621" s="6" t="n">
        <v>43031.6018402778</v>
      </c>
      <c r="B7621" s="7" t="str">
        <f aca="false">HYPERLINK("https://twitter.com/MsSsHussain","@MsSsHussain")</f>
        <v>@MsSsHussain</v>
      </c>
      <c r="C7621" s="8" t="s">
        <v>17086</v>
      </c>
      <c r="D7621" s="8" t="s">
        <v>16929</v>
      </c>
      <c r="E7621" s="9" t="str">
        <f aca="false">HYPERLINK("https://twitter.com/MsSsHussain/status/922575017719635968","922575017719635968")</f>
        <v>922575017719635968</v>
      </c>
      <c r="F7621" s="10" t="s">
        <v>51</v>
      </c>
      <c r="G7621" s="10" t="n">
        <v>1600</v>
      </c>
      <c r="H7621" s="10" t="n">
        <v>3389</v>
      </c>
      <c r="I7621" s="10" t="n">
        <v>247</v>
      </c>
      <c r="J7621" s="10" t="n">
        <v>0</v>
      </c>
      <c r="K7621" s="10" t="s">
        <v>20</v>
      </c>
      <c r="L7621" s="11" t="n">
        <v>41798.5822800926</v>
      </c>
      <c r="M7621" s="12" t="s">
        <v>17087</v>
      </c>
      <c r="N7621" s="12" t="s">
        <v>17088</v>
      </c>
      <c r="O7621" s="9" t="str">
        <f aca="false">HYPERLINK("https://pbs.twimg.com/profile_images/843304644730404865/fQ5yyehX_normal.jpg","View")</f>
        <v>View</v>
      </c>
      <c r="P7621" s="10"/>
    </row>
    <row r="7622" customFormat="false" ht="15.75" hidden="false" customHeight="false" outlineLevel="0" collapsed="false">
      <c r="A7622" s="6" t="n">
        <v>43031.6021990741</v>
      </c>
      <c r="B7622" s="7" t="str">
        <f aca="false">HYPERLINK("https://twitter.com/paulabaker691","@paulabaker691")</f>
        <v>@paulabaker691</v>
      </c>
      <c r="C7622" s="8" t="s">
        <v>17089</v>
      </c>
      <c r="D7622" s="8" t="s">
        <v>16929</v>
      </c>
      <c r="E7622" s="9" t="str">
        <f aca="false">HYPERLINK("https://twitter.com/paulabaker691/status/922575147948822528","922575147948822528")</f>
        <v>922575147948822528</v>
      </c>
      <c r="F7622" s="10" t="s">
        <v>51</v>
      </c>
      <c r="G7622" s="10" t="n">
        <v>69</v>
      </c>
      <c r="H7622" s="10" t="n">
        <v>442</v>
      </c>
      <c r="I7622" s="10" t="n">
        <v>247</v>
      </c>
      <c r="J7622" s="10" t="n">
        <v>0</v>
      </c>
      <c r="K7622" s="10" t="s">
        <v>20</v>
      </c>
      <c r="L7622" s="11" t="n">
        <v>41999.5853125</v>
      </c>
      <c r="M7622" s="12"/>
      <c r="N7622" s="12" t="s">
        <v>17090</v>
      </c>
      <c r="O7622" s="9" t="str">
        <f aca="false">HYPERLINK("https://pbs.twimg.com/profile_images/548601671773741057/ZMRLzcYS_normal.jpeg","View")</f>
        <v>View</v>
      </c>
      <c r="P7622" s="10"/>
    </row>
    <row r="7623" customFormat="false" ht="15.75" hidden="false" customHeight="false" outlineLevel="0" collapsed="false">
      <c r="A7623" s="6" t="n">
        <v>43031.6022569444</v>
      </c>
      <c r="B7623" s="7" t="str">
        <f aca="false">HYPERLINK("https://twitter.com/Frankli01600810","@Frankli01600810")</f>
        <v>@Frankli01600810</v>
      </c>
      <c r="C7623" s="8" t="s">
        <v>17091</v>
      </c>
      <c r="D7623" s="8" t="s">
        <v>16929</v>
      </c>
      <c r="E7623" s="9" t="str">
        <f aca="false">HYPERLINK("https://twitter.com/Frankli01600810/status/922575169201278977","922575169201278977")</f>
        <v>922575169201278977</v>
      </c>
      <c r="F7623" s="10" t="s">
        <v>25</v>
      </c>
      <c r="G7623" s="10" t="n">
        <v>332</v>
      </c>
      <c r="H7623" s="10" t="n">
        <v>458</v>
      </c>
      <c r="I7623" s="10" t="n">
        <v>247</v>
      </c>
      <c r="J7623" s="10" t="n">
        <v>0</v>
      </c>
      <c r="K7623" s="10" t="s">
        <v>20</v>
      </c>
      <c r="L7623" s="11" t="n">
        <v>42907.3408912037</v>
      </c>
      <c r="M7623" s="12" t="s">
        <v>17092</v>
      </c>
      <c r="N7623" s="12" t="s">
        <v>17093</v>
      </c>
      <c r="O7623" s="9" t="str">
        <f aca="false">HYPERLINK("https://pbs.twimg.com/profile_images/922840309935104001/k426i-Wi_normal.jpg","View")</f>
        <v>View</v>
      </c>
      <c r="P7623" s="10"/>
    </row>
    <row r="7624" customFormat="false" ht="15.75" hidden="false" customHeight="false" outlineLevel="0" collapsed="false">
      <c r="A7624" s="6" t="n">
        <v>43031.6023032407</v>
      </c>
      <c r="B7624" s="7" t="str">
        <f aca="false">HYPERLINK("https://twitter.com/LaurenceDaziano","@LaurenceDaziano")</f>
        <v>@LaurenceDaziano</v>
      </c>
      <c r="C7624" s="8" t="s">
        <v>17094</v>
      </c>
      <c r="D7624" s="8" t="s">
        <v>13114</v>
      </c>
      <c r="E7624" s="9" t="str">
        <f aca="false">HYPERLINK("https://twitter.com/LaurenceDaziano/status/922575186565718016","922575186565718016")</f>
        <v>922575186565718016</v>
      </c>
      <c r="F7624" s="10" t="s">
        <v>51</v>
      </c>
      <c r="G7624" s="10" t="n">
        <v>688</v>
      </c>
      <c r="H7624" s="10" t="n">
        <v>560</v>
      </c>
      <c r="I7624" s="10" t="n">
        <v>19</v>
      </c>
      <c r="J7624" s="10" t="n">
        <v>0</v>
      </c>
      <c r="K7624" s="10" t="s">
        <v>20</v>
      </c>
      <c r="L7624" s="11" t="n">
        <v>41071.5912384259</v>
      </c>
      <c r="M7624" s="12" t="s">
        <v>1754</v>
      </c>
      <c r="N7624" s="12" t="s">
        <v>17095</v>
      </c>
      <c r="O7624" s="9" t="str">
        <f aca="false">HYPERLINK("https://pbs.twimg.com/profile_images/481187547515604992/RIQJ981v_normal.jpeg","View")</f>
        <v>View</v>
      </c>
      <c r="P7624" s="10"/>
    </row>
    <row r="7625" customFormat="false" ht="15.75" hidden="false" customHeight="false" outlineLevel="0" collapsed="false">
      <c r="A7625" s="6" t="n">
        <v>43031.6029976852</v>
      </c>
      <c r="B7625" s="7" t="str">
        <f aca="false">HYPERLINK("https://twitter.com/krunox123","@krunox123")</f>
        <v>@krunox123</v>
      </c>
      <c r="C7625" s="8" t="s">
        <v>1049</v>
      </c>
      <c r="D7625" s="8" t="s">
        <v>17096</v>
      </c>
      <c r="E7625" s="9" t="str">
        <f aca="false">HYPERLINK("https://twitter.com/krunox123/status/922575435938127872","922575435938127872")</f>
        <v>922575435938127872</v>
      </c>
      <c r="F7625" s="10" t="s">
        <v>60</v>
      </c>
      <c r="G7625" s="10" t="n">
        <v>10225</v>
      </c>
      <c r="H7625" s="10" t="n">
        <v>2</v>
      </c>
      <c r="I7625" s="10" t="n">
        <v>0</v>
      </c>
      <c r="J7625" s="10" t="n">
        <v>0</v>
      </c>
      <c r="K7625" s="10" t="s">
        <v>20</v>
      </c>
      <c r="L7625" s="11" t="n">
        <v>40938.2278935185</v>
      </c>
      <c r="M7625" s="12" t="s">
        <v>1051</v>
      </c>
      <c r="N7625" s="12" t="s">
        <v>1052</v>
      </c>
      <c r="O7625" s="9" t="str">
        <f aca="false">HYPERLINK("https://pbs.twimg.com/profile_images/824952382618349568/2SFIkM2x_normal.jpg","View")</f>
        <v>View</v>
      </c>
      <c r="P7625" s="10"/>
    </row>
    <row r="7626" customFormat="false" ht="15.75" hidden="false" customHeight="false" outlineLevel="0" collapsed="false">
      <c r="A7626" s="6" t="n">
        <v>43031.6030208333</v>
      </c>
      <c r="B7626" s="7" t="str">
        <f aca="false">HYPERLINK("https://twitter.com/JNilssonWright","@JNilssonWright")</f>
        <v>@JNilssonWright</v>
      </c>
      <c r="C7626" s="8" t="s">
        <v>1830</v>
      </c>
      <c r="D7626" s="8" t="s">
        <v>17097</v>
      </c>
      <c r="E7626" s="9" t="str">
        <f aca="false">HYPERLINK("https://twitter.com/JNilssonWright/status/922575444129533953","922575444129533953")</f>
        <v>922575444129533953</v>
      </c>
      <c r="F7626" s="10" t="s">
        <v>39</v>
      </c>
      <c r="G7626" s="10" t="n">
        <v>1311</v>
      </c>
      <c r="H7626" s="10" t="n">
        <v>925</v>
      </c>
      <c r="I7626" s="10" t="n">
        <v>0</v>
      </c>
      <c r="J7626" s="10" t="n">
        <v>0</v>
      </c>
      <c r="K7626" s="10" t="s">
        <v>20</v>
      </c>
      <c r="L7626" s="11" t="n">
        <v>39967.7257407407</v>
      </c>
      <c r="M7626" s="12" t="s">
        <v>1832</v>
      </c>
      <c r="N7626" s="12" t="s">
        <v>1833</v>
      </c>
      <c r="O7626" s="9" t="str">
        <f aca="false">HYPERLINK("https://pbs.twimg.com/profile_images/651470531213021184/YGCR7BrJ_normal.jpg","View")</f>
        <v>View</v>
      </c>
      <c r="P7626" s="10"/>
    </row>
    <row r="7627" customFormat="false" ht="15.75" hidden="false" customHeight="false" outlineLevel="0" collapsed="false">
      <c r="A7627" s="6" t="n">
        <v>43031.6030787037</v>
      </c>
      <c r="B7627" s="7" t="str">
        <f aca="false">HYPERLINK("https://twitter.com/mariaba3198","@mariaba3198")</f>
        <v>@mariaba3198</v>
      </c>
      <c r="C7627" s="8" t="s">
        <v>17098</v>
      </c>
      <c r="D7627" s="8" t="s">
        <v>16929</v>
      </c>
      <c r="E7627" s="9" t="str">
        <f aca="false">HYPERLINK("https://twitter.com/mariaba3198/status/922575467663720448","922575467663720448")</f>
        <v>922575467663720448</v>
      </c>
      <c r="F7627" s="10" t="s">
        <v>177</v>
      </c>
      <c r="G7627" s="10" t="n">
        <v>82</v>
      </c>
      <c r="H7627" s="10" t="n">
        <v>231</v>
      </c>
      <c r="I7627" s="10" t="n">
        <v>247</v>
      </c>
      <c r="J7627" s="10" t="n">
        <v>0</v>
      </c>
      <c r="K7627" s="10" t="s">
        <v>20</v>
      </c>
      <c r="L7627" s="11" t="n">
        <v>42462.3173726852</v>
      </c>
      <c r="M7627" s="12"/>
      <c r="N7627" s="12"/>
      <c r="O7627" s="9" t="str">
        <f aca="false">HYPERLINK("https://abs.twimg.com/sticky/default_profile_images/default_profile_normal.png","View")</f>
        <v>View</v>
      </c>
      <c r="P7627" s="10"/>
    </row>
    <row r="7628" customFormat="false" ht="15.75" hidden="false" customHeight="false" outlineLevel="0" collapsed="false">
      <c r="A7628" s="6" t="n">
        <v>43031.6031481482</v>
      </c>
      <c r="B7628" s="7" t="str">
        <f aca="false">HYPERLINK("https://twitter.com/collegue57","@collegue57")</f>
        <v>@collegue57</v>
      </c>
      <c r="C7628" s="8" t="s">
        <v>17099</v>
      </c>
      <c r="D7628" s="8" t="s">
        <v>17100</v>
      </c>
      <c r="E7628" s="9" t="str">
        <f aca="false">HYPERLINK("https://twitter.com/collegue57/status/922575491558727680","922575491558727680")</f>
        <v>922575491558727680</v>
      </c>
      <c r="F7628" s="10" t="s">
        <v>17101</v>
      </c>
      <c r="G7628" s="10" t="n">
        <v>518</v>
      </c>
      <c r="H7628" s="10" t="n">
        <v>1695</v>
      </c>
      <c r="I7628" s="10" t="n">
        <v>0</v>
      </c>
      <c r="J7628" s="10" t="n">
        <v>0</v>
      </c>
      <c r="K7628" s="10" t="s">
        <v>20</v>
      </c>
      <c r="L7628" s="11" t="n">
        <v>41286.302662037</v>
      </c>
      <c r="M7628" s="12"/>
      <c r="N7628" s="12" t="s">
        <v>17102</v>
      </c>
      <c r="O7628" s="9" t="str">
        <f aca="false">HYPERLINK("https://pbs.twimg.com/profile_images/747470268080193536/vHZBC2WI_normal.jpg","View")</f>
        <v>View</v>
      </c>
      <c r="P7628" s="10"/>
    </row>
    <row r="7629" customFormat="false" ht="15.75" hidden="false" customHeight="false" outlineLevel="0" collapsed="false">
      <c r="A7629" s="6" t="n">
        <v>43031.6034375</v>
      </c>
      <c r="B7629" s="7" t="str">
        <f aca="false">HYPERLINK("https://twitter.com/Bekind26times","@Bekind26times")</f>
        <v>@Bekind26times</v>
      </c>
      <c r="C7629" s="8" t="s">
        <v>17103</v>
      </c>
      <c r="D7629" s="8" t="s">
        <v>16929</v>
      </c>
      <c r="E7629" s="9" t="str">
        <f aca="false">HYPERLINK("https://twitter.com/Bekind26times/status/922575594696482817","922575594696482817")</f>
        <v>922575594696482817</v>
      </c>
      <c r="F7629" s="10" t="s">
        <v>51</v>
      </c>
      <c r="G7629" s="10" t="n">
        <v>90</v>
      </c>
      <c r="H7629" s="10" t="n">
        <v>162</v>
      </c>
      <c r="I7629" s="10" t="n">
        <v>247</v>
      </c>
      <c r="J7629" s="10" t="n">
        <v>0</v>
      </c>
      <c r="K7629" s="10" t="s">
        <v>20</v>
      </c>
      <c r="L7629" s="11" t="n">
        <v>41263.2429166667</v>
      </c>
      <c r="M7629" s="12" t="s">
        <v>17104</v>
      </c>
      <c r="N7629" s="12"/>
      <c r="O7629" s="9" t="str">
        <f aca="false">HYPERLINK("https://pbs.twimg.com/profile_images/844014826141704192/FfZ_uzAh_normal.jpg","View")</f>
        <v>View</v>
      </c>
      <c r="P7629" s="10"/>
    </row>
    <row r="7630" customFormat="false" ht="15.75" hidden="false" customHeight="false" outlineLevel="0" collapsed="false">
      <c r="A7630" s="6" t="n">
        <v>43031.6036342593</v>
      </c>
      <c r="B7630" s="7" t="str">
        <f aca="false">HYPERLINK("https://twitter.com/looseboots5678","@looseboots5678")</f>
        <v>@looseboots5678</v>
      </c>
      <c r="C7630" s="8" t="s">
        <v>17105</v>
      </c>
      <c r="D7630" s="8" t="s">
        <v>16929</v>
      </c>
      <c r="E7630" s="9" t="str">
        <f aca="false">HYPERLINK("https://twitter.com/looseboots5678/status/922575666515718145","922575666515718145")</f>
        <v>922575666515718145</v>
      </c>
      <c r="F7630" s="10" t="s">
        <v>25</v>
      </c>
      <c r="G7630" s="10" t="n">
        <v>392</v>
      </c>
      <c r="H7630" s="10" t="n">
        <v>856</v>
      </c>
      <c r="I7630" s="10" t="n">
        <v>247</v>
      </c>
      <c r="J7630" s="10" t="n">
        <v>0</v>
      </c>
      <c r="K7630" s="10" t="s">
        <v>20</v>
      </c>
      <c r="L7630" s="11" t="n">
        <v>42255.6368287037</v>
      </c>
      <c r="M7630" s="12" t="s">
        <v>17106</v>
      </c>
      <c r="N7630" s="12" t="s">
        <v>17107</v>
      </c>
      <c r="O7630" s="9" t="str">
        <f aca="false">HYPERLINK("https://pbs.twimg.com/profile_images/801337414551793665/xJ_2EoHJ_normal.jpg","View")</f>
        <v>View</v>
      </c>
      <c r="P7630" s="10"/>
    </row>
    <row r="7631" customFormat="false" ht="15.75" hidden="false" customHeight="false" outlineLevel="0" collapsed="false">
      <c r="A7631" s="6" t="n">
        <v>43031.6044097222</v>
      </c>
      <c r="B7631" s="7" t="str">
        <f aca="false">HYPERLINK("https://twitter.com/marcy_renfrow","@marcy_renfrow")</f>
        <v>@marcy_renfrow</v>
      </c>
      <c r="C7631" s="8" t="s">
        <v>17108</v>
      </c>
      <c r="D7631" s="8" t="s">
        <v>16929</v>
      </c>
      <c r="E7631" s="9" t="str">
        <f aca="false">HYPERLINK("https://twitter.com/marcy_renfrow/status/922575947185967104","922575947185967104")</f>
        <v>922575947185967104</v>
      </c>
      <c r="F7631" s="10" t="s">
        <v>51</v>
      </c>
      <c r="G7631" s="10" t="n">
        <v>7</v>
      </c>
      <c r="H7631" s="10" t="n">
        <v>40</v>
      </c>
      <c r="I7631" s="10" t="n">
        <v>247</v>
      </c>
      <c r="J7631" s="10" t="n">
        <v>0</v>
      </c>
      <c r="K7631" s="10" t="s">
        <v>20</v>
      </c>
      <c r="L7631" s="11" t="n">
        <v>42930.3491435185</v>
      </c>
      <c r="M7631" s="12"/>
      <c r="N7631" s="12"/>
      <c r="O7631" s="9" t="str">
        <f aca="false">HYPERLINK("https://abs.twimg.com/sticky/default_profile_images/default_profile_normal.png","View")</f>
        <v>View</v>
      </c>
      <c r="P7631" s="10"/>
    </row>
    <row r="7632" customFormat="false" ht="15.75" hidden="false" customHeight="false" outlineLevel="0" collapsed="false">
      <c r="A7632" s="6" t="n">
        <v>43031.6050925926</v>
      </c>
      <c r="B7632" s="7" t="str">
        <f aca="false">HYPERLINK("https://twitter.com/JayAlle78034329","@JayAlle78034329")</f>
        <v>@JayAlle78034329</v>
      </c>
      <c r="C7632" s="8" t="s">
        <v>17109</v>
      </c>
      <c r="D7632" s="8" t="s">
        <v>16929</v>
      </c>
      <c r="E7632" s="9" t="str">
        <f aca="false">HYPERLINK("https://twitter.com/JayAlle78034329/status/922576195182583809","922576195182583809")</f>
        <v>922576195182583809</v>
      </c>
      <c r="F7632" s="10" t="s">
        <v>25</v>
      </c>
      <c r="G7632" s="10" t="n">
        <v>263</v>
      </c>
      <c r="H7632" s="10" t="n">
        <v>1994</v>
      </c>
      <c r="I7632" s="10" t="n">
        <v>247</v>
      </c>
      <c r="J7632" s="10" t="n">
        <v>0</v>
      </c>
      <c r="K7632" s="10" t="s">
        <v>20</v>
      </c>
      <c r="L7632" s="11" t="n">
        <v>43006.5437847222</v>
      </c>
      <c r="M7632" s="12" t="s">
        <v>2920</v>
      </c>
      <c r="N7632" s="12"/>
      <c r="O7632" s="9" t="str">
        <f aca="false">HYPERLINK("https://pbs.twimg.com/profile_images/915799661407084544/c3LENN_5_normal.jpg","View")</f>
        <v>View</v>
      </c>
      <c r="P7632" s="10"/>
    </row>
    <row r="7633" customFormat="false" ht="15.75" hidden="false" customHeight="false" outlineLevel="0" collapsed="false">
      <c r="A7633" s="6" t="n">
        <v>43031.6051388889</v>
      </c>
      <c r="B7633" s="7" t="str">
        <f aca="false">HYPERLINK("https://twitter.com/fisheye_view","@fisheye_view")</f>
        <v>@fisheye_view</v>
      </c>
      <c r="C7633" s="8" t="s">
        <v>17110</v>
      </c>
      <c r="D7633" s="8" t="s">
        <v>16929</v>
      </c>
      <c r="E7633" s="9" t="str">
        <f aca="false">HYPERLINK("https://twitter.com/fisheye_view/status/922576211863330817","922576211863330817")</f>
        <v>922576211863330817</v>
      </c>
      <c r="F7633" s="10" t="s">
        <v>51</v>
      </c>
      <c r="G7633" s="10" t="n">
        <v>154</v>
      </c>
      <c r="H7633" s="10" t="n">
        <v>183</v>
      </c>
      <c r="I7633" s="10" t="n">
        <v>247</v>
      </c>
      <c r="J7633" s="10" t="n">
        <v>0</v>
      </c>
      <c r="K7633" s="10" t="s">
        <v>20</v>
      </c>
      <c r="L7633" s="11" t="n">
        <v>42773.7417476852</v>
      </c>
      <c r="M7633" s="12"/>
      <c r="N7633" s="12" t="s">
        <v>17111</v>
      </c>
      <c r="O7633" s="9" t="str">
        <f aca="false">HYPERLINK("https://pbs.twimg.com/profile_images/829168249405325314/Z3oBN1Ss_normal.jpg","View")</f>
        <v>View</v>
      </c>
      <c r="P7633" s="10"/>
    </row>
    <row r="7634" customFormat="false" ht="15.75" hidden="false" customHeight="false" outlineLevel="0" collapsed="false">
      <c r="A7634" s="6" t="n">
        <v>43031.6053356481</v>
      </c>
      <c r="B7634" s="7" t="str">
        <f aca="false">HYPERLINK("https://twitter.com/GoettschMary","@GoettschMary")</f>
        <v>@GoettschMary</v>
      </c>
      <c r="C7634" s="8" t="s">
        <v>17112</v>
      </c>
      <c r="D7634" s="8" t="s">
        <v>16929</v>
      </c>
      <c r="E7634" s="9" t="str">
        <f aca="false">HYPERLINK("https://twitter.com/GoettschMary/status/922576283120422912","922576283120422912")</f>
        <v>922576283120422912</v>
      </c>
      <c r="F7634" s="10" t="s">
        <v>25</v>
      </c>
      <c r="G7634" s="10" t="n">
        <v>71</v>
      </c>
      <c r="H7634" s="10" t="n">
        <v>164</v>
      </c>
      <c r="I7634" s="10" t="n">
        <v>247</v>
      </c>
      <c r="J7634" s="10" t="n">
        <v>0</v>
      </c>
      <c r="K7634" s="10" t="s">
        <v>20</v>
      </c>
      <c r="L7634" s="11" t="n">
        <v>42980.1451041667</v>
      </c>
      <c r="M7634" s="12" t="s">
        <v>17113</v>
      </c>
      <c r="N7634" s="12" t="s">
        <v>17114</v>
      </c>
      <c r="O7634" s="9" t="str">
        <f aca="false">HYPERLINK("https://pbs.twimg.com/profile_images/911197343248199681/5cLRnf3h_normal.jpg","View")</f>
        <v>View</v>
      </c>
      <c r="P7634" s="10"/>
    </row>
    <row r="7635" customFormat="false" ht="15.75" hidden="false" customHeight="false" outlineLevel="0" collapsed="false">
      <c r="A7635" s="6" t="n">
        <v>43031.6053935185</v>
      </c>
      <c r="B7635" s="7" t="str">
        <f aca="false">HYPERLINK("https://twitter.com/Jharperj1","@Jharperj1")</f>
        <v>@Jharperj1</v>
      </c>
      <c r="C7635" s="8" t="s">
        <v>17115</v>
      </c>
      <c r="D7635" s="8" t="s">
        <v>16929</v>
      </c>
      <c r="E7635" s="9" t="str">
        <f aca="false">HYPERLINK("https://twitter.com/Jharperj1/status/922576306138595328","922576306138595328")</f>
        <v>922576306138595328</v>
      </c>
      <c r="F7635" s="10" t="s">
        <v>25</v>
      </c>
      <c r="G7635" s="10" t="n">
        <v>73</v>
      </c>
      <c r="H7635" s="10" t="n">
        <v>89</v>
      </c>
      <c r="I7635" s="10" t="n">
        <v>247</v>
      </c>
      <c r="J7635" s="10" t="n">
        <v>0</v>
      </c>
      <c r="K7635" s="10" t="s">
        <v>20</v>
      </c>
      <c r="L7635" s="11" t="n">
        <v>42763.9657986111</v>
      </c>
      <c r="M7635" s="12"/>
      <c r="N7635" s="12" t="s">
        <v>17116</v>
      </c>
      <c r="O7635" s="9" t="str">
        <f aca="false">HYPERLINK("https://abs.twimg.com/sticky/default_profile_images/default_profile_normal.png","View")</f>
        <v>View</v>
      </c>
      <c r="P7635" s="10"/>
    </row>
    <row r="7636" customFormat="false" ht="15.75" hidden="false" customHeight="false" outlineLevel="0" collapsed="false">
      <c r="A7636" s="6" t="n">
        <v>43031.6060416667</v>
      </c>
      <c r="B7636" s="7" t="str">
        <f aca="false">HYPERLINK("https://twitter.com/zeeshan_shah_dc","@zeeshan_shah_dc")</f>
        <v>@zeeshan_shah_dc</v>
      </c>
      <c r="C7636" s="8" t="s">
        <v>6318</v>
      </c>
      <c r="D7636" s="8" t="s">
        <v>16929</v>
      </c>
      <c r="E7636" s="9" t="str">
        <f aca="false">HYPERLINK("https://twitter.com/zeeshan_shah_dc/status/922576540864532481","922576540864532481")</f>
        <v>922576540864532481</v>
      </c>
      <c r="F7636" s="10" t="s">
        <v>51</v>
      </c>
      <c r="G7636" s="10" t="n">
        <v>2076</v>
      </c>
      <c r="H7636" s="10" t="n">
        <v>278</v>
      </c>
      <c r="I7636" s="10" t="n">
        <v>247</v>
      </c>
      <c r="J7636" s="10" t="n">
        <v>0</v>
      </c>
      <c r="K7636" s="10" t="s">
        <v>20</v>
      </c>
      <c r="L7636" s="11" t="n">
        <v>41057.8802777778</v>
      </c>
      <c r="M7636" s="12" t="s">
        <v>723</v>
      </c>
      <c r="N7636" s="12" t="s">
        <v>6319</v>
      </c>
      <c r="O7636" s="9" t="str">
        <f aca="false">HYPERLINK("https://pbs.twimg.com/profile_images/915766155373170688/aHIu0lVW_normal.jpg","View")</f>
        <v>View</v>
      </c>
      <c r="P7636" s="10"/>
    </row>
    <row r="7637" customFormat="false" ht="15.75" hidden="false" customHeight="false" outlineLevel="0" collapsed="false">
      <c r="A7637" s="6" t="n">
        <v>43031.6062731482</v>
      </c>
      <c r="B7637" s="7" t="str">
        <f aca="false">HYPERLINK("https://twitter.com/AzlawgirlT","@AzlawgirlT")</f>
        <v>@AzlawgirlT</v>
      </c>
      <c r="C7637" s="8" t="s">
        <v>17117</v>
      </c>
      <c r="D7637" s="8" t="s">
        <v>16929</v>
      </c>
      <c r="E7637" s="9" t="str">
        <f aca="false">HYPERLINK("https://twitter.com/AzlawgirlT/status/922576624020750336","922576624020750336")</f>
        <v>922576624020750336</v>
      </c>
      <c r="F7637" s="10" t="s">
        <v>51</v>
      </c>
      <c r="G7637" s="10" t="n">
        <v>526</v>
      </c>
      <c r="H7637" s="10" t="n">
        <v>1147</v>
      </c>
      <c r="I7637" s="10" t="n">
        <v>247</v>
      </c>
      <c r="J7637" s="10" t="n">
        <v>0</v>
      </c>
      <c r="K7637" s="10" t="s">
        <v>20</v>
      </c>
      <c r="L7637" s="11" t="n">
        <v>42699.6251273148</v>
      </c>
      <c r="M7637" s="12" t="s">
        <v>230</v>
      </c>
      <c r="N7637" s="12"/>
      <c r="O7637" s="9" t="str">
        <f aca="false">HYPERLINK("https://pbs.twimg.com/profile_images/923338720614535169/MBqVz9tp_normal.jpg","View")</f>
        <v>View</v>
      </c>
      <c r="P7637" s="10"/>
    </row>
    <row r="7638" customFormat="false" ht="15.75" hidden="false" customHeight="false" outlineLevel="0" collapsed="false">
      <c r="A7638" s="6" t="n">
        <v>43031.6071064815</v>
      </c>
      <c r="B7638" s="7" t="str">
        <f aca="false">HYPERLINK("https://twitter.com/RoehnertJoy","@RoehnertJoy")</f>
        <v>@RoehnertJoy</v>
      </c>
      <c r="C7638" s="8" t="s">
        <v>17118</v>
      </c>
      <c r="D7638" s="8" t="s">
        <v>16929</v>
      </c>
      <c r="E7638" s="9" t="str">
        <f aca="false">HYPERLINK("https://twitter.com/RoehnertJoy/status/922576926191087621","922576926191087621")</f>
        <v>922576926191087621</v>
      </c>
      <c r="F7638" s="10" t="s">
        <v>51</v>
      </c>
      <c r="G7638" s="10" t="n">
        <v>185</v>
      </c>
      <c r="H7638" s="10" t="n">
        <v>159</v>
      </c>
      <c r="I7638" s="10" t="n">
        <v>247</v>
      </c>
      <c r="J7638" s="10" t="n">
        <v>0</v>
      </c>
      <c r="K7638" s="10" t="s">
        <v>20</v>
      </c>
      <c r="L7638" s="11" t="n">
        <v>42790.5002662037</v>
      </c>
      <c r="M7638" s="12" t="s">
        <v>3071</v>
      </c>
      <c r="N7638" s="12" t="s">
        <v>17119</v>
      </c>
      <c r="O7638" s="9" t="str">
        <f aca="false">HYPERLINK("https://pbs.twimg.com/profile_images/865914509730484224/dSqzKsJA_normal.jpg","View")</f>
        <v>View</v>
      </c>
      <c r="P7638" s="10"/>
    </row>
    <row r="7639" customFormat="false" ht="15.75" hidden="false" customHeight="false" outlineLevel="0" collapsed="false">
      <c r="A7639" s="6" t="n">
        <v>43031.6072106481</v>
      </c>
      <c r="B7639" s="7" t="str">
        <f aca="false">HYPERLINK("https://twitter.com/AllegraVHGreen","@AllegraVHGreen")</f>
        <v>@AllegraVHGreen</v>
      </c>
      <c r="C7639" s="8" t="s">
        <v>17120</v>
      </c>
      <c r="D7639" s="8" t="s">
        <v>16929</v>
      </c>
      <c r="E7639" s="9" t="str">
        <f aca="false">HYPERLINK("https://twitter.com/AllegraVHGreen/status/922576963134468098","922576963134468098")</f>
        <v>922576963134468098</v>
      </c>
      <c r="F7639" s="10" t="s">
        <v>51</v>
      </c>
      <c r="G7639" s="10" t="n">
        <v>259</v>
      </c>
      <c r="H7639" s="10" t="n">
        <v>1180</v>
      </c>
      <c r="I7639" s="10" t="n">
        <v>247</v>
      </c>
      <c r="J7639" s="10" t="n">
        <v>0</v>
      </c>
      <c r="K7639" s="10" t="s">
        <v>20</v>
      </c>
      <c r="L7639" s="11" t="n">
        <v>40636.7316898148</v>
      </c>
      <c r="M7639" s="12" t="s">
        <v>17121</v>
      </c>
      <c r="N7639" s="12" t="s">
        <v>17122</v>
      </c>
      <c r="O7639" s="9" t="str">
        <f aca="false">HYPERLINK("https://pbs.twimg.com/profile_images/886313334299078657/qNmNfM7b_normal.jpg","View")</f>
        <v>View</v>
      </c>
      <c r="P7639" s="10"/>
    </row>
    <row r="7640" customFormat="false" ht="15.75" hidden="false" customHeight="false" outlineLevel="0" collapsed="false">
      <c r="A7640" s="6" t="n">
        <v>43031.6073611111</v>
      </c>
      <c r="B7640" s="7" t="str">
        <f aca="false">HYPERLINK("https://twitter.com/bethparton1216","@bethparton1216")</f>
        <v>@bethparton1216</v>
      </c>
      <c r="C7640" s="8" t="s">
        <v>17123</v>
      </c>
      <c r="D7640" s="8" t="s">
        <v>16929</v>
      </c>
      <c r="E7640" s="9" t="str">
        <f aca="false">HYPERLINK("https://twitter.com/bethparton1216/status/922577018650230784","922577018650230784")</f>
        <v>922577018650230784</v>
      </c>
      <c r="F7640" s="10" t="s">
        <v>51</v>
      </c>
      <c r="G7640" s="10" t="n">
        <v>231</v>
      </c>
      <c r="H7640" s="10" t="n">
        <v>423</v>
      </c>
      <c r="I7640" s="10" t="n">
        <v>247</v>
      </c>
      <c r="J7640" s="10" t="n">
        <v>0</v>
      </c>
      <c r="K7640" s="10" t="s">
        <v>20</v>
      </c>
      <c r="L7640" s="11" t="n">
        <v>42207.669537037</v>
      </c>
      <c r="M7640" s="12"/>
      <c r="N7640" s="12" t="s">
        <v>17124</v>
      </c>
      <c r="O7640" s="9" t="str">
        <f aca="false">HYPERLINK("https://pbs.twimg.com/profile_images/894200755799904256/ZlQWpdJw_normal.jpg","View")</f>
        <v>View</v>
      </c>
      <c r="P7640" s="10"/>
    </row>
    <row r="7641" customFormat="false" ht="15.75" hidden="false" customHeight="false" outlineLevel="0" collapsed="false">
      <c r="A7641" s="6" t="n">
        <v>43031.6090972222</v>
      </c>
      <c r="B7641" s="7" t="str">
        <f aca="false">HYPERLINK("https://twitter.com/otreborpretell","@otreborpretell")</f>
        <v>@otreborpretell</v>
      </c>
      <c r="C7641" s="8" t="s">
        <v>17125</v>
      </c>
      <c r="D7641" s="8" t="s">
        <v>12764</v>
      </c>
      <c r="E7641" s="9" t="str">
        <f aca="false">HYPERLINK("https://twitter.com/otreborpretell/status/922577648966017025","922577648966017025")</f>
        <v>922577648966017025</v>
      </c>
      <c r="F7641" s="10" t="s">
        <v>25</v>
      </c>
      <c r="G7641" s="10" t="n">
        <v>28</v>
      </c>
      <c r="H7641" s="10" t="n">
        <v>38</v>
      </c>
      <c r="I7641" s="10" t="n">
        <v>170</v>
      </c>
      <c r="J7641" s="10" t="n">
        <v>0</v>
      </c>
      <c r="K7641" s="10" t="s">
        <v>20</v>
      </c>
      <c r="L7641" s="11" t="n">
        <v>39984.9531597222</v>
      </c>
      <c r="M7641" s="12" t="s">
        <v>17126</v>
      </c>
      <c r="N7641" s="12" t="s">
        <v>17127</v>
      </c>
      <c r="O7641" s="9" t="str">
        <f aca="false">HYPERLINK("https://pbs.twimg.com/profile_images/274240193/RPxc_normal.jpg","View")</f>
        <v>View</v>
      </c>
      <c r="P7641" s="10"/>
    </row>
    <row r="7642" customFormat="false" ht="15.75" hidden="false" customHeight="false" outlineLevel="0" collapsed="false">
      <c r="A7642" s="6" t="n">
        <v>43031.610150463</v>
      </c>
      <c r="B7642" s="7" t="str">
        <f aca="false">HYPERLINK("https://twitter.com/cathstweet","@cathstweet")</f>
        <v>@cathstweet</v>
      </c>
      <c r="C7642" s="8" t="s">
        <v>17128</v>
      </c>
      <c r="D7642" s="8" t="s">
        <v>16929</v>
      </c>
      <c r="E7642" s="9" t="str">
        <f aca="false">HYPERLINK("https://twitter.com/cathstweet/status/922578028613402624","922578028613402624")</f>
        <v>922578028613402624</v>
      </c>
      <c r="F7642" s="10" t="s">
        <v>51</v>
      </c>
      <c r="G7642" s="10" t="n">
        <v>127</v>
      </c>
      <c r="H7642" s="10" t="n">
        <v>1177</v>
      </c>
      <c r="I7642" s="10" t="n">
        <v>247</v>
      </c>
      <c r="J7642" s="10" t="n">
        <v>0</v>
      </c>
      <c r="K7642" s="10" t="s">
        <v>20</v>
      </c>
      <c r="L7642" s="11" t="n">
        <v>39921.684224537</v>
      </c>
      <c r="M7642" s="12" t="s">
        <v>17129</v>
      </c>
      <c r="N7642" s="12" t="s">
        <v>17130</v>
      </c>
      <c r="O7642" s="9" t="str">
        <f aca="false">HYPERLINK("https://pbs.twimg.com/profile_images/858203097507676160/h0Q03Tfr_normal.jpg","View")</f>
        <v>View</v>
      </c>
      <c r="P7642" s="10"/>
    </row>
    <row r="7643" customFormat="false" ht="15.75" hidden="false" customHeight="false" outlineLevel="0" collapsed="false">
      <c r="A7643" s="6" t="n">
        <v>43031.6112037037</v>
      </c>
      <c r="B7643" s="7" t="str">
        <f aca="false">HYPERLINK("https://twitter.com/Leahs31n","@Leahs31n")</f>
        <v>@Leahs31n</v>
      </c>
      <c r="C7643" s="8" t="s">
        <v>17131</v>
      </c>
      <c r="D7643" s="8" t="s">
        <v>16929</v>
      </c>
      <c r="E7643" s="9" t="str">
        <f aca="false">HYPERLINK("https://twitter.com/Leahs31n/status/922578412773941248","922578412773941248")</f>
        <v>922578412773941248</v>
      </c>
      <c r="F7643" s="10" t="s">
        <v>25</v>
      </c>
      <c r="G7643" s="10" t="n">
        <v>170</v>
      </c>
      <c r="H7643" s="10" t="n">
        <v>154</v>
      </c>
      <c r="I7643" s="10" t="n">
        <v>247</v>
      </c>
      <c r="J7643" s="10" t="n">
        <v>0</v>
      </c>
      <c r="K7643" s="10" t="s">
        <v>20</v>
      </c>
      <c r="L7643" s="11" t="n">
        <v>42906.1206018519</v>
      </c>
      <c r="M7643" s="12" t="s">
        <v>17132</v>
      </c>
      <c r="N7643" s="12" t="s">
        <v>17133</v>
      </c>
      <c r="O7643" s="9" t="str">
        <f aca="false">HYPERLINK("https://pbs.twimg.com/profile_images/909475235187036163/wzN1ShZ__normal.jpg","View")</f>
        <v>View</v>
      </c>
      <c r="P7643" s="10"/>
    </row>
    <row r="7644" customFormat="false" ht="15.75" hidden="false" customHeight="false" outlineLevel="0" collapsed="false">
      <c r="A7644" s="6" t="n">
        <v>43031.6115625</v>
      </c>
      <c r="B7644" s="7" t="str">
        <f aca="false">HYPERLINK("https://twitter.com/eurobo9","@eurobo9")</f>
        <v>@eurobo9</v>
      </c>
      <c r="C7644" s="8" t="s">
        <v>17134</v>
      </c>
      <c r="D7644" s="8" t="s">
        <v>12764</v>
      </c>
      <c r="E7644" s="9" t="str">
        <f aca="false">HYPERLINK("https://twitter.com/eurobo9/status/922578541883088896","922578541883088896")</f>
        <v>922578541883088896</v>
      </c>
      <c r="F7644" s="10" t="s">
        <v>25</v>
      </c>
      <c r="G7644" s="10" t="n">
        <v>8775</v>
      </c>
      <c r="H7644" s="10" t="n">
        <v>3493</v>
      </c>
      <c r="I7644" s="10" t="n">
        <v>170</v>
      </c>
      <c r="J7644" s="10" t="n">
        <v>0</v>
      </c>
      <c r="K7644" s="10" t="s">
        <v>20</v>
      </c>
      <c r="L7644" s="11" t="n">
        <v>39949.6146412037</v>
      </c>
      <c r="M7644" s="12" t="s">
        <v>423</v>
      </c>
      <c r="N7644" s="12" t="s">
        <v>17135</v>
      </c>
      <c r="O7644" s="9" t="str">
        <f aca="false">HYPERLINK("https://pbs.twimg.com/profile_images/886307072865951744/_jJ_zC-8_normal.jpg","View")</f>
        <v>View</v>
      </c>
      <c r="P7644" s="10"/>
    </row>
    <row r="7645" customFormat="false" ht="15.75" hidden="false" customHeight="false" outlineLevel="0" collapsed="false">
      <c r="A7645" s="6" t="n">
        <v>43031.6117592593</v>
      </c>
      <c r="B7645" s="7" t="str">
        <f aca="false">HYPERLINK("https://twitter.com/DCofStaff","@DCofStaff")</f>
        <v>@DCofStaff</v>
      </c>
      <c r="C7645" s="8" t="s">
        <v>17136</v>
      </c>
      <c r="D7645" s="8" t="s">
        <v>16929</v>
      </c>
      <c r="E7645" s="9" t="str">
        <f aca="false">HYPERLINK("https://twitter.com/DCofStaff/status/922578613144375296","922578613144375296")</f>
        <v>922578613144375296</v>
      </c>
      <c r="F7645" s="10" t="s">
        <v>39</v>
      </c>
      <c r="G7645" s="10" t="n">
        <v>1171</v>
      </c>
      <c r="H7645" s="10" t="n">
        <v>186</v>
      </c>
      <c r="I7645" s="10" t="n">
        <v>247</v>
      </c>
      <c r="J7645" s="10" t="n">
        <v>0</v>
      </c>
      <c r="K7645" s="10" t="s">
        <v>20</v>
      </c>
      <c r="L7645" s="11" t="n">
        <v>39889.7726157407</v>
      </c>
      <c r="M7645" s="12" t="s">
        <v>17137</v>
      </c>
      <c r="N7645" s="12" t="s">
        <v>17138</v>
      </c>
      <c r="O7645" s="9" t="str">
        <f aca="false">HYPERLINK("https://pbs.twimg.com/profile_images/181994509/Michael_Damico_7_normal.jpg","View")</f>
        <v>View</v>
      </c>
      <c r="P7645" s="10"/>
    </row>
    <row r="7646" customFormat="false" ht="15.75" hidden="false" customHeight="false" outlineLevel="0" collapsed="false">
      <c r="A7646" s="6" t="n">
        <v>43031.6152893519</v>
      </c>
      <c r="B7646" s="7" t="str">
        <f aca="false">HYPERLINK("https://twitter.com/MGYounce","@MGYounce")</f>
        <v>@MGYounce</v>
      </c>
      <c r="C7646" s="8" t="s">
        <v>17139</v>
      </c>
      <c r="D7646" s="8" t="s">
        <v>16929</v>
      </c>
      <c r="E7646" s="9" t="str">
        <f aca="false">HYPERLINK("https://twitter.com/MGYounce/status/922579892478263296","922579892478263296")</f>
        <v>922579892478263296</v>
      </c>
      <c r="F7646" s="10" t="s">
        <v>51</v>
      </c>
      <c r="G7646" s="10" t="n">
        <v>2140</v>
      </c>
      <c r="H7646" s="10" t="n">
        <v>3574</v>
      </c>
      <c r="I7646" s="10" t="n">
        <v>247</v>
      </c>
      <c r="J7646" s="10" t="n">
        <v>0</v>
      </c>
      <c r="K7646" s="10" t="s">
        <v>20</v>
      </c>
      <c r="L7646" s="11" t="n">
        <v>41187.7665509259</v>
      </c>
      <c r="M7646" s="12"/>
      <c r="N7646" s="12" t="s">
        <v>17140</v>
      </c>
      <c r="O7646" s="9" t="str">
        <f aca="false">HYPERLINK("https://pbs.twimg.com/profile_images/2686638427/c7ea70e2efb4e7071a54d82f0ee1aa8c_normal.jpeg","View")</f>
        <v>View</v>
      </c>
      <c r="P7646" s="10"/>
    </row>
    <row r="7647" customFormat="false" ht="15.75" hidden="false" customHeight="false" outlineLevel="0" collapsed="false">
      <c r="A7647" s="6" t="n">
        <v>43031.6153472222</v>
      </c>
      <c r="B7647" s="7" t="str">
        <f aca="false">HYPERLINK("https://twitter.com/AlisonCoon1","@AlisonCoon1")</f>
        <v>@AlisonCoon1</v>
      </c>
      <c r="C7647" s="8" t="s">
        <v>17141</v>
      </c>
      <c r="D7647" s="8" t="s">
        <v>16929</v>
      </c>
      <c r="E7647" s="9" t="str">
        <f aca="false">HYPERLINK("https://twitter.com/AlisonCoon1/status/922579911252078592","922579911252078592")</f>
        <v>922579911252078592</v>
      </c>
      <c r="F7647" s="10" t="s">
        <v>51</v>
      </c>
      <c r="G7647" s="10" t="n">
        <v>70</v>
      </c>
      <c r="H7647" s="10" t="n">
        <v>231</v>
      </c>
      <c r="I7647" s="10" t="n">
        <v>247</v>
      </c>
      <c r="J7647" s="10" t="n">
        <v>0</v>
      </c>
      <c r="K7647" s="10" t="s">
        <v>20</v>
      </c>
      <c r="L7647" s="11" t="n">
        <v>41709.7585416667</v>
      </c>
      <c r="M7647" s="12"/>
      <c r="N7647" s="12"/>
      <c r="O7647" s="9" t="str">
        <f aca="false">HYPERLINK("https://pbs.twimg.com/profile_images/915382419691327489/OVbQAYJs_normal.jpg","View")</f>
        <v>View</v>
      </c>
      <c r="P7647" s="10"/>
    </row>
    <row r="7648" customFormat="false" ht="15.75" hidden="false" customHeight="false" outlineLevel="0" collapsed="false">
      <c r="A7648" s="6" t="n">
        <v>43031.6155324074</v>
      </c>
      <c r="B7648" s="7" t="str">
        <f aca="false">HYPERLINK("https://twitter.com/LinslaySlay","@LinslaySlay")</f>
        <v>@LinslaySlay</v>
      </c>
      <c r="C7648" s="8" t="s">
        <v>17142</v>
      </c>
      <c r="D7648" s="8" t="s">
        <v>16929</v>
      </c>
      <c r="E7648" s="9" t="str">
        <f aca="false">HYPERLINK("https://twitter.com/LinslaySlay/status/922579979749257222","922579979749257222")</f>
        <v>922579979749257222</v>
      </c>
      <c r="F7648" s="10" t="s">
        <v>51</v>
      </c>
      <c r="G7648" s="10" t="n">
        <v>54</v>
      </c>
      <c r="H7648" s="10" t="n">
        <v>113</v>
      </c>
      <c r="I7648" s="10" t="n">
        <v>247</v>
      </c>
      <c r="J7648" s="10" t="n">
        <v>0</v>
      </c>
      <c r="K7648" s="10" t="s">
        <v>20</v>
      </c>
      <c r="L7648" s="11" t="n">
        <v>41909.2954166667</v>
      </c>
      <c r="M7648" s="12" t="s">
        <v>14005</v>
      </c>
      <c r="N7648" s="12" t="s">
        <v>17143</v>
      </c>
      <c r="O7648" s="9" t="str">
        <f aca="false">HYPERLINK("https://pbs.twimg.com/profile_images/792987630828871681/ExL_luz5_normal.jpg","View")</f>
        <v>View</v>
      </c>
      <c r="P7648" s="10"/>
    </row>
    <row r="7649" customFormat="false" ht="15.75" hidden="false" customHeight="false" outlineLevel="0" collapsed="false">
      <c r="A7649" s="6" t="n">
        <v>43031.6155787037</v>
      </c>
      <c r="B7649" s="7" t="str">
        <f aca="false">HYPERLINK("https://twitter.com/MiketheStclair","@MiketheStclair")</f>
        <v>@MiketheStclair</v>
      </c>
      <c r="C7649" s="8" t="s">
        <v>17144</v>
      </c>
      <c r="D7649" s="8" t="s">
        <v>16929</v>
      </c>
      <c r="E7649" s="9" t="str">
        <f aca="false">HYPERLINK("https://twitter.com/MiketheStclair/status/922579998287962112","922579998287962112")</f>
        <v>922579998287962112</v>
      </c>
      <c r="F7649" s="10" t="s">
        <v>39</v>
      </c>
      <c r="G7649" s="10" t="n">
        <v>1006</v>
      </c>
      <c r="H7649" s="10" t="n">
        <v>1965</v>
      </c>
      <c r="I7649" s="10" t="n">
        <v>247</v>
      </c>
      <c r="J7649" s="10" t="n">
        <v>0</v>
      </c>
      <c r="K7649" s="10" t="s">
        <v>20</v>
      </c>
      <c r="L7649" s="11" t="n">
        <v>42760.4061921296</v>
      </c>
      <c r="M7649" s="12"/>
      <c r="N7649" s="12" t="s">
        <v>17145</v>
      </c>
      <c r="O7649" s="9" t="str">
        <f aca="false">HYPERLINK("https://pbs.twimg.com/profile_images/824317065624289280/dYM1SE8F_normal.jpg","View")</f>
        <v>View</v>
      </c>
      <c r="P7649" s="10"/>
    </row>
    <row r="7650" customFormat="false" ht="15.75" hidden="false" customHeight="false" outlineLevel="0" collapsed="false">
      <c r="A7650" s="6" t="n">
        <v>43031.6170833333</v>
      </c>
      <c r="B7650" s="7" t="str">
        <f aca="false">HYPERLINK("https://twitter.com/xx__Meka","@xx__Meka")</f>
        <v>@xx__Meka</v>
      </c>
      <c r="C7650" s="8" t="s">
        <v>17146</v>
      </c>
      <c r="D7650" s="8" t="s">
        <v>14598</v>
      </c>
      <c r="E7650" s="9" t="str">
        <f aca="false">HYPERLINK("https://twitter.com/xx__Meka/status/922580542293409792","922580542293409792")</f>
        <v>922580542293409792</v>
      </c>
      <c r="F7650" s="10" t="s">
        <v>25</v>
      </c>
      <c r="G7650" s="10" t="n">
        <v>28</v>
      </c>
      <c r="H7650" s="10" t="n">
        <v>348</v>
      </c>
      <c r="I7650" s="10" t="n">
        <v>23</v>
      </c>
      <c r="J7650" s="10" t="n">
        <v>0</v>
      </c>
      <c r="K7650" s="10" t="s">
        <v>20</v>
      </c>
      <c r="L7650" s="11" t="n">
        <v>42064.5533101852</v>
      </c>
      <c r="M7650" s="12"/>
      <c r="N7650" s="12" t="s">
        <v>17147</v>
      </c>
      <c r="O7650" s="9" t="str">
        <f aca="false">HYPERLINK("https://pbs.twimg.com/profile_images/770376271494778880/TMjgPaBZ_normal.jpg","View")</f>
        <v>View</v>
      </c>
      <c r="P7650" s="10"/>
    </row>
    <row r="7651" customFormat="false" ht="15.75" hidden="false" customHeight="false" outlineLevel="0" collapsed="false">
      <c r="A7651" s="6" t="n">
        <v>43031.6173032407</v>
      </c>
      <c r="B7651" s="7" t="str">
        <f aca="false">HYPERLINK("https://twitter.com/milosfriend2","@milosfriend2")</f>
        <v>@milosfriend2</v>
      </c>
      <c r="C7651" s="8" t="s">
        <v>17148</v>
      </c>
      <c r="D7651" s="8" t="s">
        <v>16929</v>
      </c>
      <c r="E7651" s="9" t="str">
        <f aca="false">HYPERLINK("https://twitter.com/milosfriend2/status/922580622278909952","922580622278909952")</f>
        <v>922580622278909952</v>
      </c>
      <c r="F7651" s="10" t="s">
        <v>25</v>
      </c>
      <c r="G7651" s="10" t="n">
        <v>1231</v>
      </c>
      <c r="H7651" s="10" t="n">
        <v>2246</v>
      </c>
      <c r="I7651" s="10" t="n">
        <v>247</v>
      </c>
      <c r="J7651" s="10" t="n">
        <v>0</v>
      </c>
      <c r="K7651" s="10" t="s">
        <v>20</v>
      </c>
      <c r="L7651" s="11" t="n">
        <v>42770.7116087963</v>
      </c>
      <c r="M7651" s="12" t="s">
        <v>17149</v>
      </c>
      <c r="N7651" s="12" t="s">
        <v>17150</v>
      </c>
      <c r="O7651" s="9" t="str">
        <f aca="false">HYPERLINK("https://pbs.twimg.com/profile_images/922292613918707712/ZUCGDbHb_normal.jpg","View")</f>
        <v>View</v>
      </c>
      <c r="P7651" s="10"/>
    </row>
    <row r="7652" customFormat="false" ht="15.75" hidden="false" customHeight="false" outlineLevel="0" collapsed="false">
      <c r="A7652" s="6" t="n">
        <v>43031.6176273148</v>
      </c>
      <c r="B7652" s="7" t="str">
        <f aca="false">HYPERLINK("https://twitter.com/Cloud_SDN","@Cloud_SDN")</f>
        <v>@Cloud_SDN</v>
      </c>
      <c r="C7652" s="8" t="s">
        <v>17151</v>
      </c>
      <c r="D7652" s="8" t="s">
        <v>17152</v>
      </c>
      <c r="E7652" s="9" t="str">
        <f aca="false">HYPERLINK("https://twitter.com/Cloud_SDN/status/922580739245387776","922580739245387776")</f>
        <v>922580739245387776</v>
      </c>
      <c r="F7652" s="10" t="s">
        <v>17153</v>
      </c>
      <c r="G7652" s="10" t="n">
        <v>2195</v>
      </c>
      <c r="H7652" s="10" t="n">
        <v>1593</v>
      </c>
      <c r="I7652" s="10" t="n">
        <v>0</v>
      </c>
      <c r="J7652" s="10" t="n">
        <v>0</v>
      </c>
      <c r="K7652" s="10" t="s">
        <v>20</v>
      </c>
      <c r="L7652" s="11" t="n">
        <v>41289.2318287037</v>
      </c>
      <c r="M7652" s="12" t="s">
        <v>17154</v>
      </c>
      <c r="N7652" s="12" t="s">
        <v>17155</v>
      </c>
      <c r="O7652" s="9" t="str">
        <f aca="false">HYPERLINK("https://pbs.twimg.com/profile_images/3152231441/e81e96499d1e23026b1e31f0b5359326_normal.png","View")</f>
        <v>View</v>
      </c>
      <c r="P7652" s="10"/>
    </row>
    <row r="7653" customFormat="false" ht="15.75" hidden="false" customHeight="false" outlineLevel="0" collapsed="false">
      <c r="A7653" s="6" t="n">
        <v>43031.6176967593</v>
      </c>
      <c r="B7653" s="7" t="str">
        <f aca="false">HYPERLINK("https://twitter.com/SandraKelly11","@SandraKelly11")</f>
        <v>@SandraKelly11</v>
      </c>
      <c r="C7653" s="8" t="s">
        <v>17156</v>
      </c>
      <c r="D7653" s="8" t="s">
        <v>15285</v>
      </c>
      <c r="E7653" s="9" t="str">
        <f aca="false">HYPERLINK("https://twitter.com/SandraKelly11/status/922580761839988736","922580761839988736")</f>
        <v>922580761839988736</v>
      </c>
      <c r="F7653" s="10" t="s">
        <v>25</v>
      </c>
      <c r="G7653" s="10" t="n">
        <v>595</v>
      </c>
      <c r="H7653" s="10" t="n">
        <v>563</v>
      </c>
      <c r="I7653" s="10" t="n">
        <v>16</v>
      </c>
      <c r="J7653" s="10" t="n">
        <v>0</v>
      </c>
      <c r="K7653" s="10" t="s">
        <v>20</v>
      </c>
      <c r="L7653" s="11" t="n">
        <v>40837.6978935185</v>
      </c>
      <c r="M7653" s="12" t="s">
        <v>1199</v>
      </c>
      <c r="N7653" s="12" t="s">
        <v>17157</v>
      </c>
      <c r="O7653" s="9" t="str">
        <f aca="false">HYPERLINK("https://pbs.twimg.com/profile_images/3389874236/a33f8a52894421b8b4ef0f16f7e4b107_normal.jpeg","View")</f>
        <v>View</v>
      </c>
      <c r="P7653" s="10"/>
    </row>
    <row r="7654" customFormat="false" ht="15.75" hidden="false" customHeight="false" outlineLevel="0" collapsed="false">
      <c r="A7654" s="6" t="n">
        <v>43031.6183912037</v>
      </c>
      <c r="B7654" s="7" t="str">
        <f aca="false">HYPERLINK("https://twitter.com/JPBENAVE","@JPBENAVE")</f>
        <v>@JPBENAVE</v>
      </c>
      <c r="C7654" s="8" t="s">
        <v>17158</v>
      </c>
      <c r="D7654" s="8" t="s">
        <v>16008</v>
      </c>
      <c r="E7654" s="9" t="str">
        <f aca="false">HYPERLINK("https://twitter.com/JPBENAVE/status/922581017646518273","922581017646518273")</f>
        <v>922581017646518273</v>
      </c>
      <c r="F7654" s="10" t="s">
        <v>98</v>
      </c>
      <c r="G7654" s="10" t="n">
        <v>904</v>
      </c>
      <c r="H7654" s="10" t="n">
        <v>4262</v>
      </c>
      <c r="I7654" s="10" t="n">
        <v>32</v>
      </c>
      <c r="J7654" s="10" t="n">
        <v>0</v>
      </c>
      <c r="K7654" s="10" t="s">
        <v>20</v>
      </c>
      <c r="L7654" s="11" t="n">
        <v>40763.7446527778</v>
      </c>
      <c r="M7654" s="12" t="s">
        <v>3621</v>
      </c>
      <c r="N7654" s="12" t="s">
        <v>17159</v>
      </c>
      <c r="O7654" s="9" t="str">
        <f aca="false">HYPERLINK("https://pbs.twimg.com/profile_images/919309190862053376/N7mRMBCU_normal.jpg","View")</f>
        <v>View</v>
      </c>
      <c r="P7654" s="10"/>
    </row>
    <row r="7655" customFormat="false" ht="15.75" hidden="false" customHeight="false" outlineLevel="0" collapsed="false">
      <c r="A7655" s="6" t="n">
        <v>43031.6188657407</v>
      </c>
      <c r="B7655" s="7" t="str">
        <f aca="false">HYPERLINK("https://twitter.com/shaashtanga","@shaashtanga")</f>
        <v>@shaashtanga</v>
      </c>
      <c r="C7655" s="8" t="s">
        <v>17160</v>
      </c>
      <c r="D7655" s="8" t="s">
        <v>8538</v>
      </c>
      <c r="E7655" s="9" t="str">
        <f aca="false">HYPERLINK("https://twitter.com/shaashtanga/status/922581187675045889","922581187675045889")</f>
        <v>922581187675045889</v>
      </c>
      <c r="F7655" s="10" t="s">
        <v>51</v>
      </c>
      <c r="G7655" s="10" t="n">
        <v>516</v>
      </c>
      <c r="H7655" s="10" t="n">
        <v>1717</v>
      </c>
      <c r="I7655" s="10" t="n">
        <v>1015</v>
      </c>
      <c r="J7655" s="10" t="n">
        <v>0</v>
      </c>
      <c r="K7655" s="10" t="s">
        <v>20</v>
      </c>
      <c r="L7655" s="11" t="n">
        <v>40752.3798148148</v>
      </c>
      <c r="M7655" s="12" t="s">
        <v>1670</v>
      </c>
      <c r="N7655" s="12" t="s">
        <v>17160</v>
      </c>
      <c r="O7655" s="9" t="str">
        <f aca="false">HYPERLINK("https://pbs.twimg.com/profile_images/524001598087782400/Uplxggh7_normal.jpeg","View")</f>
        <v>View</v>
      </c>
      <c r="P7655" s="10"/>
    </row>
    <row r="7656" customFormat="false" ht="15.75" hidden="false" customHeight="false" outlineLevel="0" collapsed="false">
      <c r="A7656" s="6" t="n">
        <v>43031.6193865741</v>
      </c>
      <c r="B7656" s="7" t="str">
        <f aca="false">HYPERLINK("https://twitter.com/towittertoo","@towittertoo")</f>
        <v>@towittertoo</v>
      </c>
      <c r="C7656" s="8" t="s">
        <v>17161</v>
      </c>
      <c r="D7656" s="8" t="s">
        <v>16929</v>
      </c>
      <c r="E7656" s="9" t="str">
        <f aca="false">HYPERLINK("https://twitter.com/towittertoo/status/922581375974289408","922581375974289408")</f>
        <v>922581375974289408</v>
      </c>
      <c r="F7656" s="10" t="s">
        <v>51</v>
      </c>
      <c r="G7656" s="10" t="n">
        <v>1160</v>
      </c>
      <c r="H7656" s="10" t="n">
        <v>2496</v>
      </c>
      <c r="I7656" s="10" t="n">
        <v>247</v>
      </c>
      <c r="J7656" s="10" t="n">
        <v>0</v>
      </c>
      <c r="K7656" s="10" t="s">
        <v>20</v>
      </c>
      <c r="L7656" s="11" t="n">
        <v>39689.6595717593</v>
      </c>
      <c r="M7656" s="12" t="s">
        <v>319</v>
      </c>
      <c r="N7656" s="12" t="s">
        <v>17162</v>
      </c>
      <c r="O7656" s="9" t="str">
        <f aca="false">HYPERLINK("https://pbs.twimg.com/profile_images/3523854119/a4d949cf156b485463758487f7ca2410_normal.jpeg","View")</f>
        <v>View</v>
      </c>
      <c r="P7656" s="10"/>
    </row>
    <row r="7657" customFormat="false" ht="15.75" hidden="false" customHeight="false" outlineLevel="0" collapsed="false">
      <c r="A7657" s="6" t="n">
        <v>43031.6196875</v>
      </c>
      <c r="B7657" s="7" t="str">
        <f aca="false">HYPERLINK("https://twitter.com/1972Libby","@1972Libby")</f>
        <v>@1972Libby</v>
      </c>
      <c r="C7657" s="8" t="s">
        <v>17163</v>
      </c>
      <c r="D7657" s="8" t="s">
        <v>16929</v>
      </c>
      <c r="E7657" s="9" t="str">
        <f aca="false">HYPERLINK("https://twitter.com/1972Libby/status/922581485831499776","922581485831499776")</f>
        <v>922581485831499776</v>
      </c>
      <c r="F7657" s="10" t="s">
        <v>51</v>
      </c>
      <c r="G7657" s="10" t="n">
        <v>159</v>
      </c>
      <c r="H7657" s="10" t="n">
        <v>626</v>
      </c>
      <c r="I7657" s="10" t="n">
        <v>247</v>
      </c>
      <c r="J7657" s="10" t="n">
        <v>0</v>
      </c>
      <c r="K7657" s="10" t="s">
        <v>20</v>
      </c>
      <c r="L7657" s="11" t="n">
        <v>42360.2460416667</v>
      </c>
      <c r="M7657" s="12" t="s">
        <v>17164</v>
      </c>
      <c r="N7657" s="12" t="s">
        <v>17165</v>
      </c>
      <c r="O7657" s="9" t="str">
        <f aca="false">HYPERLINK("https://pbs.twimg.com/profile_images/823628673332940804/L3FZ_nlL_normal.jpg","View")</f>
        <v>View</v>
      </c>
      <c r="P7657" s="10"/>
    </row>
    <row r="7658" customFormat="false" ht="15.75" hidden="false" customHeight="false" outlineLevel="0" collapsed="false">
      <c r="A7658" s="6" t="n">
        <v>43031.6203935185</v>
      </c>
      <c r="B7658" s="7" t="str">
        <f aca="false">HYPERLINK("https://twitter.com/slater_rose","@slater_rose")</f>
        <v>@slater_rose</v>
      </c>
      <c r="C7658" s="8" t="s">
        <v>17166</v>
      </c>
      <c r="D7658" s="8" t="s">
        <v>16929</v>
      </c>
      <c r="E7658" s="9" t="str">
        <f aca="false">HYPERLINK("https://twitter.com/slater_rose/status/922581740928901120","922581740928901120")</f>
        <v>922581740928901120</v>
      </c>
      <c r="F7658" s="10" t="s">
        <v>25</v>
      </c>
      <c r="G7658" s="10" t="n">
        <v>2783</v>
      </c>
      <c r="H7658" s="10" t="n">
        <v>4730</v>
      </c>
      <c r="I7658" s="10" t="n">
        <v>247</v>
      </c>
      <c r="J7658" s="10" t="n">
        <v>0</v>
      </c>
      <c r="K7658" s="10" t="s">
        <v>20</v>
      </c>
      <c r="L7658" s="11" t="n">
        <v>40727.6657175926</v>
      </c>
      <c r="M7658" s="12" t="s">
        <v>17167</v>
      </c>
      <c r="N7658" s="12" t="s">
        <v>17168</v>
      </c>
      <c r="O7658" s="9" t="str">
        <f aca="false">HYPERLINK("https://pbs.twimg.com/profile_images/891145844182863872/lW3FFSy6_normal.jpg","View")</f>
        <v>View</v>
      </c>
      <c r="P7658" s="10"/>
    </row>
    <row r="7659" customFormat="false" ht="15.75" hidden="false" customHeight="false" outlineLevel="0" collapsed="false">
      <c r="A7659" s="6" t="n">
        <v>43031.620474537</v>
      </c>
      <c r="B7659" s="7" t="str">
        <f aca="false">HYPERLINK("https://twitter.com/marazare","@marazare")</f>
        <v>@marazare</v>
      </c>
      <c r="C7659" s="8" t="s">
        <v>17169</v>
      </c>
      <c r="D7659" s="8" t="s">
        <v>16929</v>
      </c>
      <c r="E7659" s="9" t="str">
        <f aca="false">HYPERLINK("https://twitter.com/marazare/status/922581770943336448","922581770943336448")</f>
        <v>922581770943336448</v>
      </c>
      <c r="F7659" s="10" t="s">
        <v>51</v>
      </c>
      <c r="G7659" s="10" t="n">
        <v>21</v>
      </c>
      <c r="H7659" s="10" t="n">
        <v>96</v>
      </c>
      <c r="I7659" s="10" t="n">
        <v>247</v>
      </c>
      <c r="J7659" s="10" t="n">
        <v>0</v>
      </c>
      <c r="K7659" s="10" t="s">
        <v>20</v>
      </c>
      <c r="L7659" s="11" t="n">
        <v>41066.6679861111</v>
      </c>
      <c r="M7659" s="12"/>
      <c r="N7659" s="12"/>
      <c r="O7659" s="9" t="str">
        <f aca="false">HYPERLINK("https://pbs.twimg.com/profile_images/2285078326/184245_1554094621940_1522429513_31229413_920019_n_normal.jpg","View")</f>
        <v>View</v>
      </c>
      <c r="P7659" s="10"/>
    </row>
    <row r="7660" customFormat="false" ht="15.75" hidden="false" customHeight="false" outlineLevel="0" collapsed="false">
      <c r="A7660" s="6" t="n">
        <v>43031.6226851852</v>
      </c>
      <c r="B7660" s="7" t="str">
        <f aca="false">HYPERLINK("https://twitter.com/MarieBo02802331","@MarieBo02802331")</f>
        <v>@MarieBo02802331</v>
      </c>
      <c r="C7660" s="8" t="s">
        <v>17170</v>
      </c>
      <c r="D7660" s="8" t="s">
        <v>16929</v>
      </c>
      <c r="E7660" s="9" t="str">
        <f aca="false">HYPERLINK("https://twitter.com/MarieBo02802331/status/922582573527711744","922582573527711744")</f>
        <v>922582573527711744</v>
      </c>
      <c r="F7660" s="10" t="s">
        <v>51</v>
      </c>
      <c r="G7660" s="10" t="n">
        <v>51</v>
      </c>
      <c r="H7660" s="10" t="n">
        <v>480</v>
      </c>
      <c r="I7660" s="10" t="n">
        <v>247</v>
      </c>
      <c r="J7660" s="10" t="n">
        <v>0</v>
      </c>
      <c r="K7660" s="10" t="s">
        <v>20</v>
      </c>
      <c r="L7660" s="11" t="n">
        <v>42948.4762962963</v>
      </c>
      <c r="M7660" s="12"/>
      <c r="N7660" s="12"/>
      <c r="O7660" s="9" t="str">
        <f aca="false">HYPERLINK("https://pbs.twimg.com/profile_images/892452727858511872/W2MK7DEy_normal.jpg","View")</f>
        <v>View</v>
      </c>
      <c r="P7660" s="10"/>
    </row>
    <row r="7661" customFormat="false" ht="15.75" hidden="false" customHeight="false" outlineLevel="0" collapsed="false">
      <c r="A7661" s="6" t="n">
        <v>43031.6232986111</v>
      </c>
      <c r="B7661" s="7" t="str">
        <f aca="false">HYPERLINK("https://twitter.com/Yawpkahrma","@Yawpkahrma")</f>
        <v>@Yawpkahrma</v>
      </c>
      <c r="C7661" s="8" t="s">
        <v>17171</v>
      </c>
      <c r="D7661" s="8" t="s">
        <v>16929</v>
      </c>
      <c r="E7661" s="9" t="str">
        <f aca="false">HYPERLINK("https://twitter.com/Yawpkahrma/status/922582793699422212","922582793699422212")</f>
        <v>922582793699422212</v>
      </c>
      <c r="F7661" s="10" t="s">
        <v>39</v>
      </c>
      <c r="G7661" s="10" t="n">
        <v>107</v>
      </c>
      <c r="H7661" s="10" t="n">
        <v>359</v>
      </c>
      <c r="I7661" s="10" t="n">
        <v>247</v>
      </c>
      <c r="J7661" s="10" t="n">
        <v>0</v>
      </c>
      <c r="K7661" s="10" t="s">
        <v>20</v>
      </c>
      <c r="L7661" s="11" t="n">
        <v>40224.3041550926</v>
      </c>
      <c r="M7661" s="12" t="s">
        <v>230</v>
      </c>
      <c r="N7661" s="12" t="s">
        <v>17172</v>
      </c>
      <c r="O7661" s="9" t="str">
        <f aca="false">HYPERLINK("https://pbs.twimg.com/profile_images/871353850938089472/WAqtj9q__normal.jpg","View")</f>
        <v>View</v>
      </c>
      <c r="P7661" s="10"/>
    </row>
    <row r="7662" customFormat="false" ht="15.75" hidden="false" customHeight="false" outlineLevel="0" collapsed="false">
      <c r="A7662" s="6" t="n">
        <v>43031.6239699074</v>
      </c>
      <c r="B7662" s="7" t="str">
        <f aca="false">HYPERLINK("https://twitter.com/JamesC518","@JamesC518")</f>
        <v>@JamesC518</v>
      </c>
      <c r="C7662" s="8" t="s">
        <v>17173</v>
      </c>
      <c r="D7662" s="8" t="s">
        <v>16929</v>
      </c>
      <c r="E7662" s="9" t="str">
        <f aca="false">HYPERLINK("https://twitter.com/JamesC518/status/922583037723979776","922583037723979776")</f>
        <v>922583037723979776</v>
      </c>
      <c r="F7662" s="10" t="s">
        <v>51</v>
      </c>
      <c r="G7662" s="10" t="n">
        <v>2234</v>
      </c>
      <c r="H7662" s="10" t="n">
        <v>2655</v>
      </c>
      <c r="I7662" s="10" t="n">
        <v>247</v>
      </c>
      <c r="J7662" s="10" t="n">
        <v>0</v>
      </c>
      <c r="K7662" s="10" t="s">
        <v>20</v>
      </c>
      <c r="L7662" s="11" t="n">
        <v>40617.5421064815</v>
      </c>
      <c r="M7662" s="12" t="s">
        <v>312</v>
      </c>
      <c r="N7662" s="12" t="s">
        <v>17174</v>
      </c>
      <c r="O7662" s="9" t="str">
        <f aca="false">HYPERLINK("https://pbs.twimg.com/profile_images/920492461063012353/n1am1UmG_normal.jpg","View")</f>
        <v>View</v>
      </c>
      <c r="P7662" s="10"/>
    </row>
    <row r="7663" customFormat="false" ht="15.75" hidden="false" customHeight="false" outlineLevel="0" collapsed="false">
      <c r="A7663" s="6" t="n">
        <v>43031.6240393519</v>
      </c>
      <c r="B7663" s="7" t="str">
        <f aca="false">HYPERLINK("https://twitter.com/ArtanXhezairi","@ArtanXhezairi")</f>
        <v>@ArtanXhezairi</v>
      </c>
      <c r="C7663" s="8" t="s">
        <v>17175</v>
      </c>
      <c r="D7663" s="8" t="s">
        <v>16929</v>
      </c>
      <c r="E7663" s="9" t="str">
        <f aca="false">HYPERLINK("https://twitter.com/ArtanXhezairi/status/922583063506358272","922583063506358272")</f>
        <v>922583063506358272</v>
      </c>
      <c r="F7663" s="10" t="s">
        <v>39</v>
      </c>
      <c r="G7663" s="10" t="n">
        <v>698</v>
      </c>
      <c r="H7663" s="10" t="n">
        <v>661</v>
      </c>
      <c r="I7663" s="10" t="n">
        <v>247</v>
      </c>
      <c r="J7663" s="10" t="n">
        <v>0</v>
      </c>
      <c r="K7663" s="10" t="s">
        <v>20</v>
      </c>
      <c r="L7663" s="11" t="n">
        <v>40810.0552662037</v>
      </c>
      <c r="M7663" s="12"/>
      <c r="N7663" s="12" t="s">
        <v>17176</v>
      </c>
      <c r="O7663" s="9" t="str">
        <f aca="false">HYPERLINK("https://pbs.twimg.com/profile_images/889253198984347648/8c-rnuEK_normal.jpg","View")</f>
        <v>View</v>
      </c>
      <c r="P7663" s="10"/>
    </row>
    <row r="7664" customFormat="false" ht="15.75" hidden="false" customHeight="false" outlineLevel="0" collapsed="false">
      <c r="A7664" s="6" t="n">
        <v>43031.6241203704</v>
      </c>
      <c r="B7664" s="7" t="str">
        <f aca="false">HYPERLINK("https://twitter.com/Murphys0311","@Murphys0311")</f>
        <v>@Murphys0311</v>
      </c>
      <c r="C7664" s="8" t="s">
        <v>17177</v>
      </c>
      <c r="D7664" s="8" t="s">
        <v>16929</v>
      </c>
      <c r="E7664" s="9" t="str">
        <f aca="false">HYPERLINK("https://twitter.com/Murphys0311/status/922583093000785920","922583093000785920")</f>
        <v>922583093000785920</v>
      </c>
      <c r="F7664" s="10" t="s">
        <v>25</v>
      </c>
      <c r="G7664" s="10" t="n">
        <v>21</v>
      </c>
      <c r="H7664" s="10" t="n">
        <v>29</v>
      </c>
      <c r="I7664" s="10" t="n">
        <v>247</v>
      </c>
      <c r="J7664" s="10" t="n">
        <v>0</v>
      </c>
      <c r="K7664" s="10" t="s">
        <v>20</v>
      </c>
      <c r="L7664" s="11" t="n">
        <v>42994.3561574074</v>
      </c>
      <c r="M7664" s="12"/>
      <c r="N7664" s="12" t="s">
        <v>17178</v>
      </c>
      <c r="O7664" s="9" t="str">
        <f aca="false">HYPERLINK("https://pbs.twimg.com/profile_images/922652380881149952/v3y9PHlO_normal.jpg","View")</f>
        <v>View</v>
      </c>
      <c r="P7664" s="10"/>
    </row>
    <row r="7665" customFormat="false" ht="15.75" hidden="false" customHeight="false" outlineLevel="0" collapsed="false">
      <c r="A7665" s="6" t="n">
        <v>43031.624212963</v>
      </c>
      <c r="B7665" s="7" t="str">
        <f aca="false">HYPERLINK("https://twitter.com/resking13","@resking13")</f>
        <v>@resking13</v>
      </c>
      <c r="C7665" s="8" t="s">
        <v>17179</v>
      </c>
      <c r="D7665" s="8" t="s">
        <v>16929</v>
      </c>
      <c r="E7665" s="9" t="str">
        <f aca="false">HYPERLINK("https://twitter.com/resking13/status/922583125275893760","922583125275893760")</f>
        <v>922583125275893760</v>
      </c>
      <c r="F7665" s="10" t="s">
        <v>177</v>
      </c>
      <c r="G7665" s="10" t="n">
        <v>78</v>
      </c>
      <c r="H7665" s="10" t="n">
        <v>472</v>
      </c>
      <c r="I7665" s="10" t="n">
        <v>247</v>
      </c>
      <c r="J7665" s="10" t="n">
        <v>0</v>
      </c>
      <c r="K7665" s="10" t="s">
        <v>20</v>
      </c>
      <c r="L7665" s="11" t="n">
        <v>42664.2820717593</v>
      </c>
      <c r="M7665" s="12" t="s">
        <v>230</v>
      </c>
      <c r="N7665" s="12" t="s">
        <v>17180</v>
      </c>
      <c r="O7665" s="9" t="str">
        <f aca="false">HYPERLINK("https://pbs.twimg.com/profile_images/845334383485693953/syNAuxOs_normal.jpg","View")</f>
        <v>View</v>
      </c>
      <c r="P7665" s="10"/>
    </row>
    <row r="7666" customFormat="false" ht="15.75" hidden="false" customHeight="false" outlineLevel="0" collapsed="false">
      <c r="A7666" s="6" t="n">
        <v>43031.6246296296</v>
      </c>
      <c r="B7666" s="7" t="str">
        <f aca="false">HYPERLINK("https://twitter.com/Mamapearl2","@Mamapearl2")</f>
        <v>@Mamapearl2</v>
      </c>
      <c r="C7666" s="8" t="s">
        <v>17181</v>
      </c>
      <c r="D7666" s="8" t="s">
        <v>16929</v>
      </c>
      <c r="E7666" s="9" t="str">
        <f aca="false">HYPERLINK("https://twitter.com/Mamapearl2/status/922583274739916800","922583274739916800")</f>
        <v>922583274739916800</v>
      </c>
      <c r="F7666" s="10" t="s">
        <v>51</v>
      </c>
      <c r="G7666" s="10" t="n">
        <v>21</v>
      </c>
      <c r="H7666" s="10" t="n">
        <v>107</v>
      </c>
      <c r="I7666" s="10" t="n">
        <v>247</v>
      </c>
      <c r="J7666" s="10" t="n">
        <v>0</v>
      </c>
      <c r="K7666" s="10" t="s">
        <v>20</v>
      </c>
      <c r="L7666" s="11" t="n">
        <v>40776.4936689815</v>
      </c>
      <c r="M7666" s="12"/>
      <c r="N7666" s="12"/>
      <c r="O7666" s="9" t="str">
        <f aca="false">HYPERLINK("https://abs.twimg.com/sticky/default_profile_images/default_profile_normal.png","View")</f>
        <v>View</v>
      </c>
      <c r="P7666" s="10"/>
    </row>
    <row r="7667" customFormat="false" ht="15.75" hidden="false" customHeight="false" outlineLevel="0" collapsed="false">
      <c r="A7667" s="6" t="n">
        <v>43031.6249305556</v>
      </c>
      <c r="B7667" s="7" t="str">
        <f aca="false">HYPERLINK("https://twitter.com/IAmReallySatan","@IAmReallySatan")</f>
        <v>@IAmReallySatan</v>
      </c>
      <c r="C7667" s="8" t="s">
        <v>17182</v>
      </c>
      <c r="D7667" s="8" t="s">
        <v>16929</v>
      </c>
      <c r="E7667" s="9" t="str">
        <f aca="false">HYPERLINK("https://twitter.com/IAmReallySatan/status/922583384676884481","922583384676884481")</f>
        <v>922583384676884481</v>
      </c>
      <c r="F7667" s="10" t="s">
        <v>25</v>
      </c>
      <c r="G7667" s="10" t="n">
        <v>694</v>
      </c>
      <c r="H7667" s="10" t="n">
        <v>99</v>
      </c>
      <c r="I7667" s="10" t="n">
        <v>247</v>
      </c>
      <c r="J7667" s="10" t="n">
        <v>0</v>
      </c>
      <c r="K7667" s="10" t="s">
        <v>20</v>
      </c>
      <c r="L7667" s="11" t="n">
        <v>42245.3008680556</v>
      </c>
      <c r="M7667" s="12" t="s">
        <v>17183</v>
      </c>
      <c r="N7667" s="12" t="s">
        <v>17184</v>
      </c>
      <c r="O7667" s="9" t="str">
        <f aca="false">HYPERLINK("https://pbs.twimg.com/profile_images/859881863728517121/mdoa_zYA_normal.jpg","View")</f>
        <v>View</v>
      </c>
      <c r="P7667" s="10"/>
    </row>
    <row r="7668" customFormat="false" ht="15.75" hidden="false" customHeight="false" outlineLevel="0" collapsed="false">
      <c r="A7668" s="6" t="n">
        <v>43031.6251388889</v>
      </c>
      <c r="B7668" s="7" t="str">
        <f aca="false">HYPERLINK("https://twitter.com/DeniseGosselin5","@DeniseGosselin5")</f>
        <v>@DeniseGosselin5</v>
      </c>
      <c r="C7668" s="8" t="s">
        <v>17185</v>
      </c>
      <c r="D7668" s="8" t="s">
        <v>16929</v>
      </c>
      <c r="E7668" s="9" t="str">
        <f aca="false">HYPERLINK("https://twitter.com/DeniseGosselin5/status/922583461344530434","922583461344530434")</f>
        <v>922583461344530434</v>
      </c>
      <c r="F7668" s="10" t="s">
        <v>51</v>
      </c>
      <c r="G7668" s="10" t="n">
        <v>398</v>
      </c>
      <c r="H7668" s="10" t="n">
        <v>760</v>
      </c>
      <c r="I7668" s="10" t="n">
        <v>247</v>
      </c>
      <c r="J7668" s="10" t="n">
        <v>0</v>
      </c>
      <c r="K7668" s="10" t="s">
        <v>20</v>
      </c>
      <c r="L7668" s="11" t="n">
        <v>42430.4492476852</v>
      </c>
      <c r="M7668" s="12" t="s">
        <v>230</v>
      </c>
      <c r="N7668" s="12" t="s">
        <v>17186</v>
      </c>
      <c r="O7668" s="9" t="str">
        <f aca="false">HYPERLINK("https://pbs.twimg.com/profile_images/823239636696711169/QmUKKVGw_normal.jpg","View")</f>
        <v>View</v>
      </c>
      <c r="P7668" s="10"/>
    </row>
    <row r="7669" customFormat="false" ht="15.75" hidden="false" customHeight="false" outlineLevel="0" collapsed="false">
      <c r="A7669" s="6" t="n">
        <v>43031.6258912037</v>
      </c>
      <c r="B7669" s="7" t="str">
        <f aca="false">HYPERLINK("https://twitter.com/ReneeB_75","@ReneeB_75")</f>
        <v>@ReneeB_75</v>
      </c>
      <c r="C7669" s="8" t="s">
        <v>17187</v>
      </c>
      <c r="D7669" s="8" t="s">
        <v>16929</v>
      </c>
      <c r="E7669" s="9" t="str">
        <f aca="false">HYPERLINK("https://twitter.com/ReneeB_75/status/922583735471656960","922583735471656960")</f>
        <v>922583735471656960</v>
      </c>
      <c r="F7669" s="10" t="s">
        <v>51</v>
      </c>
      <c r="G7669" s="10" t="n">
        <v>397</v>
      </c>
      <c r="H7669" s="10" t="n">
        <v>1656</v>
      </c>
      <c r="I7669" s="10" t="n">
        <v>247</v>
      </c>
      <c r="J7669" s="10" t="n">
        <v>0</v>
      </c>
      <c r="K7669" s="10" t="s">
        <v>20</v>
      </c>
      <c r="L7669" s="11" t="n">
        <v>41438.8667361111</v>
      </c>
      <c r="M7669" s="12" t="s">
        <v>17188</v>
      </c>
      <c r="N7669" s="12" t="s">
        <v>17189</v>
      </c>
      <c r="O7669" s="9" t="str">
        <f aca="false">HYPERLINK("https://abs.twimg.com/sticky/default_profile_images/default_profile_normal.png","View")</f>
        <v>View</v>
      </c>
      <c r="P7669" s="10"/>
    </row>
    <row r="7670" customFormat="false" ht="15.75" hidden="false" customHeight="false" outlineLevel="0" collapsed="false">
      <c r="A7670" s="6" t="n">
        <v>43031.6274074074</v>
      </c>
      <c r="B7670" s="7" t="str">
        <f aca="false">HYPERLINK("https://twitter.com/MaryMinniear","@MaryMinniear")</f>
        <v>@MaryMinniear</v>
      </c>
      <c r="C7670" s="8" t="s">
        <v>17190</v>
      </c>
      <c r="D7670" s="8" t="s">
        <v>16929</v>
      </c>
      <c r="E7670" s="9" t="str">
        <f aca="false">HYPERLINK("https://twitter.com/MaryMinniear/status/922584284271202304","922584284271202304")</f>
        <v>922584284271202304</v>
      </c>
      <c r="F7670" s="10" t="s">
        <v>25</v>
      </c>
      <c r="G7670" s="10" t="n">
        <v>169</v>
      </c>
      <c r="H7670" s="10" t="n">
        <v>185</v>
      </c>
      <c r="I7670" s="10" t="n">
        <v>247</v>
      </c>
      <c r="J7670" s="10" t="n">
        <v>0</v>
      </c>
      <c r="K7670" s="10" t="s">
        <v>20</v>
      </c>
      <c r="L7670" s="11" t="n">
        <v>41000.3196527778</v>
      </c>
      <c r="M7670" s="12"/>
      <c r="N7670" s="12"/>
      <c r="O7670" s="9" t="str">
        <f aca="false">HYPERLINK("https://pbs.twimg.com/profile_images/867117087776440321/Hd6ArRg9_normal.jpg","View")</f>
        <v>View</v>
      </c>
      <c r="P7670" s="10"/>
    </row>
    <row r="7671" customFormat="false" ht="15.75" hidden="false" customHeight="false" outlineLevel="0" collapsed="false">
      <c r="A7671" s="6" t="n">
        <v>43031.6280439815</v>
      </c>
      <c r="B7671" s="7" t="str">
        <f aca="false">HYPERLINK("https://twitter.com/MariliCancio","@MariliCancio")</f>
        <v>@MariliCancio</v>
      </c>
      <c r="C7671" s="8" t="s">
        <v>17191</v>
      </c>
      <c r="D7671" s="8" t="s">
        <v>16929</v>
      </c>
      <c r="E7671" s="9" t="str">
        <f aca="false">HYPERLINK("https://twitter.com/MariliCancio/status/922584514941149184","922584514941149184")</f>
        <v>922584514941149184</v>
      </c>
      <c r="F7671" s="10" t="s">
        <v>51</v>
      </c>
      <c r="G7671" s="10" t="n">
        <v>2550</v>
      </c>
      <c r="H7671" s="10" t="n">
        <v>1538</v>
      </c>
      <c r="I7671" s="10" t="n">
        <v>247</v>
      </c>
      <c r="J7671" s="10" t="n">
        <v>0</v>
      </c>
      <c r="K7671" s="10" t="s">
        <v>20</v>
      </c>
      <c r="L7671" s="11" t="n">
        <v>40227.3780555556</v>
      </c>
      <c r="M7671" s="12" t="s">
        <v>476</v>
      </c>
      <c r="N7671" s="12" t="s">
        <v>17192</v>
      </c>
      <c r="O7671" s="9" t="str">
        <f aca="false">HYPERLINK("https://pbs.twimg.com/profile_images/834077348140027905/yzujEIfF_normal.jpg","View")</f>
        <v>View</v>
      </c>
      <c r="P7671" s="10"/>
    </row>
    <row r="7672" customFormat="false" ht="15.75" hidden="false" customHeight="false" outlineLevel="0" collapsed="false">
      <c r="A7672" s="6" t="n">
        <v>43031.631875</v>
      </c>
      <c r="B7672" s="7" t="str">
        <f aca="false">HYPERLINK("https://twitter.com/arenda","@arenda")</f>
        <v>@arenda</v>
      </c>
      <c r="C7672" s="8" t="s">
        <v>17193</v>
      </c>
      <c r="D7672" s="8" t="s">
        <v>16711</v>
      </c>
      <c r="E7672" s="9" t="str">
        <f aca="false">HYPERLINK("https://twitter.com/arenda/status/922585903737876480","922585903737876480")</f>
        <v>922585903737876480</v>
      </c>
      <c r="F7672" s="10" t="s">
        <v>39</v>
      </c>
      <c r="G7672" s="10" t="n">
        <v>5461</v>
      </c>
      <c r="H7672" s="10" t="n">
        <v>5989</v>
      </c>
      <c r="I7672" s="10" t="n">
        <v>2</v>
      </c>
      <c r="J7672" s="10" t="n">
        <v>0</v>
      </c>
      <c r="K7672" s="10" t="s">
        <v>20</v>
      </c>
      <c r="L7672" s="11" t="n">
        <v>39835.3963078704</v>
      </c>
      <c r="M7672" s="12" t="s">
        <v>723</v>
      </c>
      <c r="N7672" s="12" t="s">
        <v>17194</v>
      </c>
      <c r="O7672" s="9" t="str">
        <f aca="false">HYPERLINK("https://pbs.twimg.com/profile_images/72850348/Dr_Arend_2_normal.jpg","View")</f>
        <v>View</v>
      </c>
      <c r="P7672" s="10"/>
    </row>
    <row r="7673" customFormat="false" ht="15.75" hidden="false" customHeight="false" outlineLevel="0" collapsed="false">
      <c r="A7673" s="6" t="n">
        <v>43031.6322685185</v>
      </c>
      <c r="B7673" s="7" t="str">
        <f aca="false">HYPERLINK("https://twitter.com/eqtr8er","@eqtr8er")</f>
        <v>@eqtr8er</v>
      </c>
      <c r="C7673" s="8" t="s">
        <v>17195</v>
      </c>
      <c r="D7673" s="8" t="s">
        <v>16929</v>
      </c>
      <c r="E7673" s="9" t="str">
        <f aca="false">HYPERLINK("https://twitter.com/eqtr8er/status/922586044058316801","922586044058316801")</f>
        <v>922586044058316801</v>
      </c>
      <c r="F7673" s="10" t="s">
        <v>25</v>
      </c>
      <c r="G7673" s="10" t="n">
        <v>9669</v>
      </c>
      <c r="H7673" s="10" t="n">
        <v>9711</v>
      </c>
      <c r="I7673" s="10" t="n">
        <v>247</v>
      </c>
      <c r="J7673" s="10" t="n">
        <v>0</v>
      </c>
      <c r="K7673" s="10" t="s">
        <v>20</v>
      </c>
      <c r="L7673" s="11" t="n">
        <v>40943.5883333333</v>
      </c>
      <c r="M7673" s="12" t="s">
        <v>295</v>
      </c>
      <c r="N7673" s="12" t="s">
        <v>17196</v>
      </c>
      <c r="O7673" s="9" t="str">
        <f aca="false">HYPERLINK("https://pbs.twimg.com/profile_images/815544783783346176/4ztd3uhN_normal.jpg","View")</f>
        <v>View</v>
      </c>
      <c r="P7673" s="10"/>
    </row>
    <row r="7674" customFormat="false" ht="15.75" hidden="false" customHeight="false" outlineLevel="0" collapsed="false">
      <c r="A7674" s="6" t="n">
        <v>43031.6336689815</v>
      </c>
      <c r="B7674" s="7" t="str">
        <f aca="false">HYPERLINK("https://twitter.com/PMoallemian","@PMoallemian")</f>
        <v>@PMoallemian</v>
      </c>
      <c r="C7674" s="8" t="s">
        <v>16648</v>
      </c>
      <c r="D7674" s="8" t="s">
        <v>17197</v>
      </c>
      <c r="E7674" s="9" t="str">
        <f aca="false">HYPERLINK("https://twitter.com/PMoallemian/status/922586552240193537","922586552240193537")</f>
        <v>922586552240193537</v>
      </c>
      <c r="F7674" s="10" t="s">
        <v>60</v>
      </c>
      <c r="G7674" s="10" t="n">
        <v>5104</v>
      </c>
      <c r="H7674" s="10" t="n">
        <v>90</v>
      </c>
      <c r="I7674" s="10" t="n">
        <v>0</v>
      </c>
      <c r="J7674" s="10" t="n">
        <v>0</v>
      </c>
      <c r="K7674" s="10" t="s">
        <v>20</v>
      </c>
      <c r="L7674" s="11" t="n">
        <v>39556.6892013889</v>
      </c>
      <c r="M7674" s="12" t="s">
        <v>21</v>
      </c>
      <c r="N7674" s="12" t="s">
        <v>16650</v>
      </c>
      <c r="O7674" s="9" t="str">
        <f aca="false">HYPERLINK("https://pbs.twimg.com/profile_images/2383496814/8p8tjkit7a1nmjrarib6_normal.jpeg","View")</f>
        <v>View</v>
      </c>
      <c r="P7674" s="10"/>
    </row>
    <row r="7675" customFormat="false" ht="15.75" hidden="false" customHeight="false" outlineLevel="0" collapsed="false">
      <c r="A7675" s="6" t="n">
        <v>43031.6337152778</v>
      </c>
      <c r="B7675" s="7" t="str">
        <f aca="false">HYPERLINK("https://twitter.com/JETBallin","@JETBallin")</f>
        <v>@JETBallin</v>
      </c>
      <c r="C7675" s="8" t="s">
        <v>17198</v>
      </c>
      <c r="D7675" s="8" t="s">
        <v>16929</v>
      </c>
      <c r="E7675" s="9" t="str">
        <f aca="false">HYPERLINK("https://twitter.com/JETBallin/status/922586570812620800","922586570812620800")</f>
        <v>922586570812620800</v>
      </c>
      <c r="F7675" s="10" t="s">
        <v>25</v>
      </c>
      <c r="G7675" s="10" t="n">
        <v>2241</v>
      </c>
      <c r="H7675" s="10" t="n">
        <v>4999</v>
      </c>
      <c r="I7675" s="10" t="n">
        <v>247</v>
      </c>
      <c r="J7675" s="10" t="n">
        <v>0</v>
      </c>
      <c r="K7675" s="10" t="s">
        <v>20</v>
      </c>
      <c r="L7675" s="11" t="n">
        <v>40891.7865046296</v>
      </c>
      <c r="M7675" s="12" t="s">
        <v>17199</v>
      </c>
      <c r="N7675" s="12" t="s">
        <v>17200</v>
      </c>
      <c r="O7675" s="9" t="str">
        <f aca="false">HYPERLINK("https://pbs.twimg.com/profile_images/847292784436326400/oBw0zDge_normal.jpg","View")</f>
        <v>View</v>
      </c>
      <c r="P7675" s="10"/>
    </row>
    <row r="7676" customFormat="false" ht="15.75" hidden="false" customHeight="false" outlineLevel="0" collapsed="false">
      <c r="A7676" s="6" t="n">
        <v>43031.6341782407</v>
      </c>
      <c r="B7676" s="7" t="str">
        <f aca="false">HYPERLINK("https://twitter.com/RickA85876728","@RickA85876728")</f>
        <v>@RickA85876728</v>
      </c>
      <c r="C7676" s="8" t="s">
        <v>17201</v>
      </c>
      <c r="D7676" s="8" t="s">
        <v>10525</v>
      </c>
      <c r="E7676" s="9" t="str">
        <f aca="false">HYPERLINK("https://twitter.com/RickA85876728/status/922586735535468545","922586735535468545")</f>
        <v>922586735535468545</v>
      </c>
      <c r="F7676" s="10" t="s">
        <v>25</v>
      </c>
      <c r="G7676" s="10" t="n">
        <v>312</v>
      </c>
      <c r="H7676" s="10" t="n">
        <v>443</v>
      </c>
      <c r="I7676" s="10" t="n">
        <v>16</v>
      </c>
      <c r="J7676" s="10" t="n">
        <v>0</v>
      </c>
      <c r="K7676" s="10" t="s">
        <v>20</v>
      </c>
      <c r="L7676" s="11" t="n">
        <v>42941.7590625</v>
      </c>
      <c r="M7676" s="12" t="s">
        <v>17202</v>
      </c>
      <c r="N7676" s="12" t="s">
        <v>17203</v>
      </c>
      <c r="O7676" s="9" t="str">
        <f aca="false">HYPERLINK("https://pbs.twimg.com/profile_images/895060441113788416/w2MPe1Nc_normal.jpg","View")</f>
        <v>View</v>
      </c>
      <c r="P7676" s="10"/>
    </row>
    <row r="7677" customFormat="false" ht="15.75" hidden="false" customHeight="false" outlineLevel="0" collapsed="false">
      <c r="A7677" s="6" t="n">
        <v>43031.6362152778</v>
      </c>
      <c r="B7677" s="7" t="str">
        <f aca="false">HYPERLINK("https://twitter.com/inews2day","@inews2day")</f>
        <v>@inews2day</v>
      </c>
      <c r="C7677" s="8" t="s">
        <v>10037</v>
      </c>
      <c r="D7677" s="8" t="s">
        <v>17204</v>
      </c>
      <c r="E7677" s="9" t="str">
        <f aca="false">HYPERLINK("https://twitter.com/inews2day/status/922587476832612352","922587476832612352")</f>
        <v>922587476832612352</v>
      </c>
      <c r="F7677" s="10" t="s">
        <v>60</v>
      </c>
      <c r="G7677" s="10" t="n">
        <v>498</v>
      </c>
      <c r="H7677" s="10" t="n">
        <v>0</v>
      </c>
      <c r="I7677" s="10" t="n">
        <v>0</v>
      </c>
      <c r="J7677" s="10" t="n">
        <v>0</v>
      </c>
      <c r="K7677" s="10" t="s">
        <v>20</v>
      </c>
      <c r="L7677" s="11" t="n">
        <v>42055.1109722222</v>
      </c>
      <c r="M7677" s="12" t="s">
        <v>10039</v>
      </c>
      <c r="N7677" s="12" t="s">
        <v>10040</v>
      </c>
      <c r="O7677" s="9" t="str">
        <f aca="false">HYPERLINK("https://pbs.twimg.com/profile_images/568731081323466752/-oyEQpj9_normal.jpeg","View")</f>
        <v>View</v>
      </c>
      <c r="P7677" s="10"/>
    </row>
    <row r="7678" customFormat="false" ht="15.75" hidden="false" customHeight="false" outlineLevel="0" collapsed="false">
      <c r="A7678" s="6" t="n">
        <v>43031.6365856482</v>
      </c>
      <c r="B7678" s="7" t="str">
        <f aca="false">HYPERLINK("https://twitter.com/wishingwell73","@wishingwell73")</f>
        <v>@wishingwell73</v>
      </c>
      <c r="C7678" s="8" t="s">
        <v>17205</v>
      </c>
      <c r="D7678" s="8" t="s">
        <v>16929</v>
      </c>
      <c r="E7678" s="9" t="str">
        <f aca="false">HYPERLINK("https://twitter.com/wishingwell73/status/922587610966507520","922587610966507520")</f>
        <v>922587610966507520</v>
      </c>
      <c r="F7678" s="10" t="s">
        <v>39</v>
      </c>
      <c r="G7678" s="10" t="n">
        <v>2</v>
      </c>
      <c r="H7678" s="10" t="n">
        <v>42</v>
      </c>
      <c r="I7678" s="10" t="n">
        <v>247</v>
      </c>
      <c r="J7678" s="10" t="n">
        <v>0</v>
      </c>
      <c r="K7678" s="10" t="s">
        <v>20</v>
      </c>
      <c r="L7678" s="11" t="n">
        <v>42960.6652083333</v>
      </c>
      <c r="M7678" s="12" t="s">
        <v>8966</v>
      </c>
      <c r="N7678" s="12" t="s">
        <v>17206</v>
      </c>
      <c r="O7678" s="9" t="str">
        <f aca="false">HYPERLINK("https://abs.twimg.com/sticky/default_profile_images/default_profile_normal.png","View")</f>
        <v>View</v>
      </c>
      <c r="P7678" s="10"/>
    </row>
    <row r="7679" customFormat="false" ht="15.75" hidden="false" customHeight="false" outlineLevel="0" collapsed="false">
      <c r="A7679" s="6" t="n">
        <v>43031.6386689815</v>
      </c>
      <c r="B7679" s="7" t="str">
        <f aca="false">HYPERLINK("https://twitter.com/elaynebcool15","@elaynebcool15")</f>
        <v>@elaynebcool15</v>
      </c>
      <c r="C7679" s="8" t="s">
        <v>17207</v>
      </c>
      <c r="D7679" s="8" t="s">
        <v>16929</v>
      </c>
      <c r="E7679" s="9" t="str">
        <f aca="false">HYPERLINK("https://twitter.com/elaynebcool15/status/922588365219704832","922588365219704832")</f>
        <v>922588365219704832</v>
      </c>
      <c r="F7679" s="10" t="s">
        <v>51</v>
      </c>
      <c r="G7679" s="10" t="n">
        <v>64</v>
      </c>
      <c r="H7679" s="10" t="n">
        <v>184</v>
      </c>
      <c r="I7679" s="10" t="n">
        <v>247</v>
      </c>
      <c r="J7679" s="10" t="n">
        <v>0</v>
      </c>
      <c r="K7679" s="10" t="s">
        <v>20</v>
      </c>
      <c r="L7679" s="11" t="n">
        <v>42738.7832986111</v>
      </c>
      <c r="M7679" s="12" t="s">
        <v>502</v>
      </c>
      <c r="N7679" s="12" t="s">
        <v>17208</v>
      </c>
      <c r="O7679" s="9" t="str">
        <f aca="false">HYPERLINK("https://pbs.twimg.com/profile_images/866096885551034368/WjAPXjKQ_normal.jpg","View")</f>
        <v>View</v>
      </c>
      <c r="P7679" s="10"/>
    </row>
    <row r="7680" customFormat="false" ht="15.75" hidden="false" customHeight="false" outlineLevel="0" collapsed="false">
      <c r="A7680" s="6" t="n">
        <v>43031.6388657407</v>
      </c>
      <c r="B7680" s="7" t="str">
        <f aca="false">HYPERLINK("https://twitter.com/AliceSavitsky","@AliceSavitsky")</f>
        <v>@AliceSavitsky</v>
      </c>
      <c r="C7680" s="8" t="s">
        <v>17209</v>
      </c>
      <c r="D7680" s="8" t="s">
        <v>17210</v>
      </c>
      <c r="E7680" s="9" t="str">
        <f aca="false">HYPERLINK("https://twitter.com/AliceSavitsky/status/922588436199960576","922588436199960576")</f>
        <v>922588436199960576</v>
      </c>
      <c r="F7680" s="10" t="s">
        <v>39</v>
      </c>
      <c r="G7680" s="10" t="n">
        <v>17</v>
      </c>
      <c r="H7680" s="10" t="n">
        <v>15</v>
      </c>
      <c r="I7680" s="10" t="n">
        <v>0</v>
      </c>
      <c r="J7680" s="10" t="n">
        <v>0</v>
      </c>
      <c r="K7680" s="10" t="s">
        <v>20</v>
      </c>
      <c r="L7680" s="11" t="n">
        <v>42735.4390162037</v>
      </c>
      <c r="M7680" s="12"/>
      <c r="N7680" s="12" t="s">
        <v>17211</v>
      </c>
      <c r="O7680" s="9" t="str">
        <f aca="false">HYPERLINK("https://pbs.twimg.com/profile_images/815607610833506304/FTGdUfw0_normal.jpg","View")</f>
        <v>View</v>
      </c>
      <c r="P7680" s="10"/>
    </row>
    <row r="7681" customFormat="false" ht="15.75" hidden="false" customHeight="false" outlineLevel="0" collapsed="false">
      <c r="A7681" s="6" t="n">
        <v>43031.6401851852</v>
      </c>
      <c r="B7681" s="7" t="str">
        <f aca="false">HYPERLINK("https://twitter.com/food4_soul","@food4_soul")</f>
        <v>@food4_soul</v>
      </c>
      <c r="C7681" s="8" t="s">
        <v>17212</v>
      </c>
      <c r="D7681" s="8" t="s">
        <v>17213</v>
      </c>
      <c r="E7681" s="9" t="str">
        <f aca="false">HYPERLINK("https://twitter.com/food4_soul/status/922588914497421312","922588914497421312")</f>
        <v>922588914497421312</v>
      </c>
      <c r="F7681" s="10" t="s">
        <v>17214</v>
      </c>
      <c r="G7681" s="10" t="n">
        <v>278</v>
      </c>
      <c r="H7681" s="10" t="n">
        <v>321</v>
      </c>
      <c r="I7681" s="10" t="n">
        <v>0</v>
      </c>
      <c r="J7681" s="10" t="n">
        <v>0</v>
      </c>
      <c r="K7681" s="10" t="s">
        <v>20</v>
      </c>
      <c r="L7681" s="11" t="n">
        <v>42431.125162037</v>
      </c>
      <c r="M7681" s="12"/>
      <c r="N7681" s="12" t="s">
        <v>17215</v>
      </c>
      <c r="O7681" s="9" t="str">
        <f aca="false">HYPERLINK("https://pbs.twimg.com/profile_images/704985078917701633/okaGpctN_normal.jpg","View")</f>
        <v>View</v>
      </c>
      <c r="P7681" s="10"/>
    </row>
    <row r="7682" customFormat="false" ht="15.75" hidden="false" customHeight="false" outlineLevel="0" collapsed="false">
      <c r="A7682" s="6" t="n">
        <v>43031.6426967593</v>
      </c>
      <c r="B7682" s="7" t="str">
        <f aca="false">HYPERLINK("https://twitter.com/BinduVyas1","@BinduVyas1")</f>
        <v>@BinduVyas1</v>
      </c>
      <c r="C7682" s="8" t="s">
        <v>17216</v>
      </c>
      <c r="D7682" s="8" t="s">
        <v>8538</v>
      </c>
      <c r="E7682" s="9" t="str">
        <f aca="false">HYPERLINK("https://twitter.com/BinduVyas1/status/922589824934121472","922589824934121472")</f>
        <v>922589824934121472</v>
      </c>
      <c r="F7682" s="10" t="s">
        <v>51</v>
      </c>
      <c r="G7682" s="10" t="n">
        <v>113</v>
      </c>
      <c r="H7682" s="10" t="n">
        <v>101</v>
      </c>
      <c r="I7682" s="10" t="n">
        <v>1015</v>
      </c>
      <c r="J7682" s="10" t="n">
        <v>0</v>
      </c>
      <c r="K7682" s="10" t="s">
        <v>20</v>
      </c>
      <c r="L7682" s="11" t="n">
        <v>40998.2696296296</v>
      </c>
      <c r="M7682" s="12" t="s">
        <v>502</v>
      </c>
      <c r="N7682" s="12" t="s">
        <v>17217</v>
      </c>
      <c r="O7682" s="9" t="str">
        <f aca="false">HYPERLINK("https://pbs.twimg.com/profile_images/851061593739755522/xAAUYzN7_normal.jpg","View")</f>
        <v>View</v>
      </c>
      <c r="P7682" s="10"/>
    </row>
    <row r="7683" customFormat="false" ht="15.75" hidden="false" customHeight="false" outlineLevel="0" collapsed="false">
      <c r="A7683" s="6" t="n">
        <v>43031.6432291667</v>
      </c>
      <c r="B7683" s="7" t="str">
        <f aca="false">HYPERLINK("https://twitter.com/ryu_bonbon","@ryu_bonbon")</f>
        <v>@ryu_bonbon</v>
      </c>
      <c r="C7683" s="8" t="s">
        <v>17218</v>
      </c>
      <c r="D7683" s="8" t="s">
        <v>16785</v>
      </c>
      <c r="E7683" s="9" t="str">
        <f aca="false">HYPERLINK("https://twitter.com/ryu_bonbon/status/922590015535722496","922590015535722496")</f>
        <v>922590015535722496</v>
      </c>
      <c r="F7683" s="10" t="s">
        <v>51</v>
      </c>
      <c r="G7683" s="10" t="n">
        <v>919</v>
      </c>
      <c r="H7683" s="10" t="n">
        <v>1460</v>
      </c>
      <c r="I7683" s="10" t="n">
        <v>41</v>
      </c>
      <c r="J7683" s="10" t="n">
        <v>0</v>
      </c>
      <c r="K7683" s="10" t="s">
        <v>20</v>
      </c>
      <c r="L7683" s="11" t="n">
        <v>40524.2999305556</v>
      </c>
      <c r="M7683" s="12" t="s">
        <v>9864</v>
      </c>
      <c r="N7683" s="12" t="s">
        <v>17219</v>
      </c>
      <c r="O7683" s="9" t="str">
        <f aca="false">HYPERLINK("https://pbs.twimg.com/profile_images/872908546555301888/c9NA7d2K_normal.jpg","View")</f>
        <v>View</v>
      </c>
      <c r="P7683" s="10"/>
    </row>
    <row r="7684" customFormat="false" ht="15.75" hidden="false" customHeight="false" outlineLevel="0" collapsed="false">
      <c r="A7684" s="6" t="n">
        <v>43031.6433333333</v>
      </c>
      <c r="B7684" s="7" t="str">
        <f aca="false">HYPERLINK("https://twitter.com/jimprall","@jimprall")</f>
        <v>@jimprall</v>
      </c>
      <c r="C7684" s="8" t="s">
        <v>17220</v>
      </c>
      <c r="D7684" s="8" t="s">
        <v>16929</v>
      </c>
      <c r="E7684" s="9" t="str">
        <f aca="false">HYPERLINK("https://twitter.com/jimprall/status/922590052969988096","922590052969988096")</f>
        <v>922590052969988096</v>
      </c>
      <c r="F7684" s="10" t="s">
        <v>177</v>
      </c>
      <c r="G7684" s="10" t="n">
        <v>1372</v>
      </c>
      <c r="H7684" s="10" t="n">
        <v>4981</v>
      </c>
      <c r="I7684" s="10" t="n">
        <v>247</v>
      </c>
      <c r="J7684" s="10" t="n">
        <v>0</v>
      </c>
      <c r="K7684" s="10" t="s">
        <v>20</v>
      </c>
      <c r="L7684" s="11" t="n">
        <v>40042.3913657407</v>
      </c>
      <c r="M7684" s="12" t="s">
        <v>17221</v>
      </c>
      <c r="N7684" s="12"/>
      <c r="O7684" s="9" t="str">
        <f aca="false">HYPERLINK("https://pbs.twimg.com/profile_images/824695082326560771/nh4SyFLK_normal.jpg","View")</f>
        <v>View</v>
      </c>
      <c r="P7684" s="10"/>
    </row>
    <row r="7685" customFormat="false" ht="15.75" hidden="false" customHeight="false" outlineLevel="0" collapsed="false">
      <c r="A7685" s="6" t="n">
        <v>43031.6434259259</v>
      </c>
      <c r="B7685" s="7" t="str">
        <f aca="false">HYPERLINK("https://twitter.com/inesemera_nene","@inesemera_nene")</f>
        <v>@inesemera_nene</v>
      </c>
      <c r="C7685" s="8" t="s">
        <v>17222</v>
      </c>
      <c r="D7685" s="8" t="s">
        <v>17223</v>
      </c>
      <c r="E7685" s="9" t="str">
        <f aca="false">HYPERLINK("https://twitter.com/inesemera_nene/status/922590089657565184","922590089657565184")</f>
        <v>922590089657565184</v>
      </c>
      <c r="F7685" s="10" t="s">
        <v>25</v>
      </c>
      <c r="G7685" s="10" t="n">
        <v>24</v>
      </c>
      <c r="H7685" s="10" t="n">
        <v>25</v>
      </c>
      <c r="I7685" s="10" t="n">
        <v>0</v>
      </c>
      <c r="J7685" s="10" t="n">
        <v>0</v>
      </c>
      <c r="K7685" s="10" t="s">
        <v>20</v>
      </c>
      <c r="L7685" s="11" t="n">
        <v>41489.2243634259</v>
      </c>
      <c r="M7685" s="12"/>
      <c r="N7685" s="12" t="s">
        <v>17224</v>
      </c>
      <c r="O7685" s="9" t="str">
        <f aca="false">HYPERLINK("https://pbs.twimg.com/profile_images/912959676974718976/2zsk5ujZ_normal.jpg","View")</f>
        <v>View</v>
      </c>
      <c r="P7685" s="10"/>
    </row>
    <row r="7686" customFormat="false" ht="15.75" hidden="false" customHeight="false" outlineLevel="0" collapsed="false">
      <c r="A7686" s="6" t="n">
        <v>43031.6434837963</v>
      </c>
      <c r="B7686" s="7" t="str">
        <f aca="false">HYPERLINK("https://twitter.com/Jwteets","@Jwteets")</f>
        <v>@Jwteets</v>
      </c>
      <c r="C7686" s="8" t="s">
        <v>17225</v>
      </c>
      <c r="D7686" s="8" t="s">
        <v>16929</v>
      </c>
      <c r="E7686" s="9" t="str">
        <f aca="false">HYPERLINK("https://twitter.com/Jwteets/status/922590109299507200","922590109299507200")</f>
        <v>922590109299507200</v>
      </c>
      <c r="F7686" s="10" t="s">
        <v>51</v>
      </c>
      <c r="G7686" s="10" t="n">
        <v>160</v>
      </c>
      <c r="H7686" s="10" t="n">
        <v>587</v>
      </c>
      <c r="I7686" s="10" t="n">
        <v>247</v>
      </c>
      <c r="J7686" s="10" t="n">
        <v>0</v>
      </c>
      <c r="K7686" s="10" t="s">
        <v>20</v>
      </c>
      <c r="L7686" s="11" t="n">
        <v>40456.1972569444</v>
      </c>
      <c r="M7686" s="12" t="s">
        <v>380</v>
      </c>
      <c r="N7686" s="12"/>
      <c r="O7686" s="9" t="str">
        <f aca="false">HYPERLINK("https://pbs.twimg.com/profile_images/743734722476441600/ucq7G9tA_normal.jpg","View")</f>
        <v>View</v>
      </c>
      <c r="P7686" s="10"/>
    </row>
    <row r="7687" customFormat="false" ht="15.75" hidden="false" customHeight="false" outlineLevel="0" collapsed="false">
      <c r="A7687" s="6" t="n">
        <v>43031.645162037</v>
      </c>
      <c r="B7687" s="7" t="str">
        <f aca="false">HYPERLINK("https://twitter.com/culture_japan","@culture_japan")</f>
        <v>@culture_japan</v>
      </c>
      <c r="C7687" s="8" t="s">
        <v>99</v>
      </c>
      <c r="D7687" s="8" t="s">
        <v>17226</v>
      </c>
      <c r="E7687" s="9" t="str">
        <f aca="false">HYPERLINK("https://twitter.com/culture_japan/status/922590715733004288","922590715733004288")</f>
        <v>922590715733004288</v>
      </c>
      <c r="F7687" s="10" t="s">
        <v>101</v>
      </c>
      <c r="G7687" s="10" t="n">
        <v>214</v>
      </c>
      <c r="H7687" s="10" t="n">
        <v>368</v>
      </c>
      <c r="I7687" s="10" t="n">
        <v>0</v>
      </c>
      <c r="J7687" s="10" t="n">
        <v>0</v>
      </c>
      <c r="K7687" s="10" t="s">
        <v>20</v>
      </c>
      <c r="L7687" s="11" t="n">
        <v>42985.2149189815</v>
      </c>
      <c r="M7687" s="12" t="s">
        <v>102</v>
      </c>
      <c r="N7687" s="12" t="s">
        <v>103</v>
      </c>
      <c r="O7687" s="9" t="str">
        <f aca="false">HYPERLINK("https://pbs.twimg.com/profile_images/905765841622495233/8kPmmi5H_normal.jpg","View")</f>
        <v>View</v>
      </c>
      <c r="P7687" s="10"/>
    </row>
    <row r="7688" customFormat="false" ht="15.75" hidden="false" customHeight="false" outlineLevel="0" collapsed="false">
      <c r="A7688" s="6" t="n">
        <v>43031.645162037</v>
      </c>
      <c r="B7688" s="7" t="str">
        <f aca="false">HYPERLINK("https://twitter.com/jortizlop","@jortizlop")</f>
        <v>@jortizlop</v>
      </c>
      <c r="C7688" s="8" t="s">
        <v>17227</v>
      </c>
      <c r="D7688" s="8" t="s">
        <v>16929</v>
      </c>
      <c r="E7688" s="9" t="str">
        <f aca="false">HYPERLINK("https://twitter.com/jortizlop/status/922590715980500992","922590715980500992")</f>
        <v>922590715980500992</v>
      </c>
      <c r="F7688" s="10" t="s">
        <v>25</v>
      </c>
      <c r="G7688" s="10" t="n">
        <v>63</v>
      </c>
      <c r="H7688" s="10" t="n">
        <v>379</v>
      </c>
      <c r="I7688" s="10" t="n">
        <v>247</v>
      </c>
      <c r="J7688" s="10" t="n">
        <v>0</v>
      </c>
      <c r="K7688" s="10" t="s">
        <v>20</v>
      </c>
      <c r="L7688" s="11" t="n">
        <v>41206.7253009259</v>
      </c>
      <c r="M7688" s="12" t="s">
        <v>17228</v>
      </c>
      <c r="N7688" s="12" t="s">
        <v>17229</v>
      </c>
      <c r="O7688" s="9" t="str">
        <f aca="false">HYPERLINK("https://pbs.twimg.com/profile_images/760282781503094784/xU2QYvQX_normal.jpg","View")</f>
        <v>View</v>
      </c>
      <c r="P7688" s="10"/>
    </row>
    <row r="7689" customFormat="false" ht="15.75" hidden="false" customHeight="false" outlineLevel="0" collapsed="false">
      <c r="A7689" s="6" t="n">
        <v>43031.6456018519</v>
      </c>
      <c r="B7689" s="7" t="str">
        <f aca="false">HYPERLINK("https://twitter.com/DianaSc99717236","@DianaSc99717236")</f>
        <v>@DianaSc99717236</v>
      </c>
      <c r="C7689" s="8" t="s">
        <v>17230</v>
      </c>
      <c r="D7689" s="8" t="s">
        <v>16929</v>
      </c>
      <c r="E7689" s="9" t="str">
        <f aca="false">HYPERLINK("https://twitter.com/DianaSc99717236/status/922590875645042688","922590875645042688")</f>
        <v>922590875645042688</v>
      </c>
      <c r="F7689" s="10" t="s">
        <v>98</v>
      </c>
      <c r="G7689" s="10" t="n">
        <v>13</v>
      </c>
      <c r="H7689" s="10" t="n">
        <v>33</v>
      </c>
      <c r="I7689" s="10" t="n">
        <v>247</v>
      </c>
      <c r="J7689" s="10" t="n">
        <v>0</v>
      </c>
      <c r="K7689" s="10" t="s">
        <v>20</v>
      </c>
      <c r="L7689" s="11" t="n">
        <v>42804.3577430556</v>
      </c>
      <c r="M7689" s="12"/>
      <c r="N7689" s="12"/>
      <c r="O7689" s="9" t="str">
        <f aca="false">HYPERLINK("https://abs.twimg.com/sticky/default_profile_images/default_profile_normal.png","View")</f>
        <v>View</v>
      </c>
      <c r="P7689" s="10"/>
    </row>
    <row r="7690" customFormat="false" ht="15.75" hidden="false" customHeight="false" outlineLevel="0" collapsed="false">
      <c r="A7690" s="6" t="n">
        <v>43031.6460185185</v>
      </c>
      <c r="B7690" s="7" t="str">
        <f aca="false">HYPERLINK("https://twitter.com/trtworld","@trtworld")</f>
        <v>@trtworld</v>
      </c>
      <c r="C7690" s="8" t="s">
        <v>1552</v>
      </c>
      <c r="D7690" s="8" t="s">
        <v>17231</v>
      </c>
      <c r="E7690" s="9" t="str">
        <f aca="false">HYPERLINK("https://twitter.com/trtworld/status/922591026698735618","922591026698735618")</f>
        <v>922591026698735618</v>
      </c>
      <c r="F7690" s="10" t="s">
        <v>268</v>
      </c>
      <c r="G7690" s="10" t="n">
        <v>113609</v>
      </c>
      <c r="H7690" s="10" t="n">
        <v>9</v>
      </c>
      <c r="I7690" s="10" t="n">
        <v>3</v>
      </c>
      <c r="J7690" s="10" t="n">
        <v>1</v>
      </c>
      <c r="K7690" s="10" t="s">
        <v>20</v>
      </c>
      <c r="L7690" s="11" t="n">
        <v>42076.183125</v>
      </c>
      <c r="M7690" s="12"/>
      <c r="N7690" s="12" t="s">
        <v>1554</v>
      </c>
      <c r="O7690" s="9" t="str">
        <f aca="false">HYPERLINK("https://pbs.twimg.com/profile_images/604916087180754945/1aMHMBIj_normal.png","View")</f>
        <v>View</v>
      </c>
      <c r="P7690" s="10"/>
    </row>
    <row r="7691" customFormat="false" ht="15.75" hidden="false" customHeight="false" outlineLevel="0" collapsed="false">
      <c r="A7691" s="6" t="n">
        <v>43031.6460648148</v>
      </c>
      <c r="B7691" s="7" t="str">
        <f aca="false">HYPERLINK("https://twitter.com/Casino_Org","@Casino_Org")</f>
        <v>@Casino_Org</v>
      </c>
      <c r="C7691" s="8" t="s">
        <v>17232</v>
      </c>
      <c r="D7691" s="8" t="s">
        <v>17233</v>
      </c>
      <c r="E7691" s="9" t="str">
        <f aca="false">HYPERLINK("https://twitter.com/Casino_Org/status/922591045120077824","922591045120077824")</f>
        <v>922591045120077824</v>
      </c>
      <c r="F7691" s="10" t="s">
        <v>110</v>
      </c>
      <c r="G7691" s="10" t="n">
        <v>6016</v>
      </c>
      <c r="H7691" s="10" t="n">
        <v>3127</v>
      </c>
      <c r="I7691" s="10" t="n">
        <v>1</v>
      </c>
      <c r="J7691" s="10" t="n">
        <v>3</v>
      </c>
      <c r="K7691" s="10" t="s">
        <v>20</v>
      </c>
      <c r="L7691" s="11" t="n">
        <v>41025.4083564815</v>
      </c>
      <c r="M7691" s="12"/>
      <c r="N7691" s="12" t="s">
        <v>17234</v>
      </c>
      <c r="O7691" s="9" t="str">
        <f aca="false">HYPERLINK("https://pbs.twimg.com/profile_images/882199058533580802/HMC8sZft_normal.jpg","View")</f>
        <v>View</v>
      </c>
      <c r="P7691" s="10"/>
    </row>
    <row r="7692" customFormat="false" ht="15.75" hidden="false" customHeight="false" outlineLevel="0" collapsed="false">
      <c r="A7692" s="6" t="n">
        <v>43031.6462037037</v>
      </c>
      <c r="B7692" s="7" t="str">
        <f aca="false">HYPERLINK("https://twitter.com/shershah54","@shershah54")</f>
        <v>@shershah54</v>
      </c>
      <c r="C7692" s="8" t="s">
        <v>17235</v>
      </c>
      <c r="D7692" s="8" t="s">
        <v>16929</v>
      </c>
      <c r="E7692" s="9" t="str">
        <f aca="false">HYPERLINK("https://twitter.com/shershah54/status/922591095346860035","922591095346860035")</f>
        <v>922591095346860035</v>
      </c>
      <c r="F7692" s="10" t="s">
        <v>51</v>
      </c>
      <c r="G7692" s="10" t="n">
        <v>10</v>
      </c>
      <c r="H7692" s="10" t="n">
        <v>42</v>
      </c>
      <c r="I7692" s="10" t="n">
        <v>247</v>
      </c>
      <c r="J7692" s="10" t="n">
        <v>0</v>
      </c>
      <c r="K7692" s="10" t="s">
        <v>20</v>
      </c>
      <c r="L7692" s="11" t="n">
        <v>42771.6044560185</v>
      </c>
      <c r="M7692" s="12" t="s">
        <v>295</v>
      </c>
      <c r="N7692" s="12"/>
      <c r="O7692" s="9" t="str">
        <f aca="false">HYPERLINK("https://pbs.twimg.com/profile_images/862712854322884608/RzqliYMS_normal.jpg","View")</f>
        <v>View</v>
      </c>
      <c r="P7692" s="10"/>
    </row>
    <row r="7693" customFormat="false" ht="15.75" hidden="false" customHeight="false" outlineLevel="0" collapsed="false">
      <c r="A7693" s="6" t="n">
        <v>43031.6467824074</v>
      </c>
      <c r="B7693" s="7" t="str">
        <f aca="false">HYPERLINK("https://twitter.com/tobinator8152","@tobinator8152")</f>
        <v>@tobinator8152</v>
      </c>
      <c r="C7693" s="8" t="s">
        <v>17236</v>
      </c>
      <c r="D7693" s="8" t="s">
        <v>17237</v>
      </c>
      <c r="E7693" s="9" t="str">
        <f aca="false">HYPERLINK("https://twitter.com/tobinator8152/status/922591303648665600","922591303648665600")</f>
        <v>922591303648665600</v>
      </c>
      <c r="F7693" s="10" t="s">
        <v>47</v>
      </c>
      <c r="G7693" s="10" t="n">
        <v>1671</v>
      </c>
      <c r="H7693" s="10" t="n">
        <v>1608</v>
      </c>
      <c r="I7693" s="10" t="n">
        <v>0</v>
      </c>
      <c r="J7693" s="10" t="n">
        <v>0</v>
      </c>
      <c r="K7693" s="10" t="s">
        <v>20</v>
      </c>
      <c r="L7693" s="11" t="n">
        <v>40376.4007175926</v>
      </c>
      <c r="M7693" s="12" t="s">
        <v>6859</v>
      </c>
      <c r="N7693" s="12" t="s">
        <v>17238</v>
      </c>
      <c r="O7693" s="9" t="str">
        <f aca="false">HYPERLINK("https://pbs.twimg.com/profile_images/916784882134732800/Ifs5Tz7X_normal.jpg","View")</f>
        <v>View</v>
      </c>
      <c r="P7693" s="10"/>
    </row>
    <row r="7694" customFormat="false" ht="15.75" hidden="false" customHeight="false" outlineLevel="0" collapsed="false">
      <c r="A7694" s="6" t="n">
        <v>43031.6473842593</v>
      </c>
      <c r="B7694" s="7" t="str">
        <f aca="false">HYPERLINK("https://twitter.com/F0rtunateFawn","@F0rtunateFawn")</f>
        <v>@F0rtunateFawn</v>
      </c>
      <c r="C7694" s="8" t="s">
        <v>17239</v>
      </c>
      <c r="D7694" s="8" t="s">
        <v>14598</v>
      </c>
      <c r="E7694" s="9" t="str">
        <f aca="false">HYPERLINK("https://twitter.com/F0rtunateFawn/status/922591522838728706","922591522838728706")</f>
        <v>922591522838728706</v>
      </c>
      <c r="F7694" s="10" t="s">
        <v>25</v>
      </c>
      <c r="G7694" s="10" t="n">
        <v>61</v>
      </c>
      <c r="H7694" s="10" t="n">
        <v>2257</v>
      </c>
      <c r="I7694" s="10" t="n">
        <v>23</v>
      </c>
      <c r="J7694" s="10" t="n">
        <v>0</v>
      </c>
      <c r="K7694" s="10" t="s">
        <v>20</v>
      </c>
      <c r="L7694" s="11" t="n">
        <v>40888.8315972222</v>
      </c>
      <c r="M7694" s="12" t="s">
        <v>17240</v>
      </c>
      <c r="N7694" s="12" t="s">
        <v>17241</v>
      </c>
      <c r="O7694" s="9" t="str">
        <f aca="false">HYPERLINK("https://pbs.twimg.com/profile_images/764942398229192704/vFdIQQDY_normal.jpg","View")</f>
        <v>View</v>
      </c>
      <c r="P7694" s="10"/>
    </row>
    <row r="7695" customFormat="false" ht="15.75" hidden="false" customHeight="false" outlineLevel="0" collapsed="false">
      <c r="A7695" s="6" t="n">
        <v>43031.6478819444</v>
      </c>
      <c r="B7695" s="7" t="str">
        <f aca="false">HYPERLINK("https://twitter.com/elmotakesknife","@elmotakesknife")</f>
        <v>@elmotakesknife</v>
      </c>
      <c r="C7695" s="8" t="s">
        <v>17242</v>
      </c>
      <c r="D7695" s="8" t="s">
        <v>15694</v>
      </c>
      <c r="E7695" s="9" t="str">
        <f aca="false">HYPERLINK("https://twitter.com/elmotakesknife/status/922591702115930112","922591702115930112")</f>
        <v>922591702115930112</v>
      </c>
      <c r="F7695" s="10" t="s">
        <v>51</v>
      </c>
      <c r="G7695" s="10" t="n">
        <v>179</v>
      </c>
      <c r="H7695" s="10" t="n">
        <v>175</v>
      </c>
      <c r="I7695" s="10" t="n">
        <v>10</v>
      </c>
      <c r="J7695" s="10" t="n">
        <v>0</v>
      </c>
      <c r="K7695" s="10" t="s">
        <v>20</v>
      </c>
      <c r="L7695" s="11" t="n">
        <v>41013.7850462963</v>
      </c>
      <c r="M7695" s="12" t="s">
        <v>17243</v>
      </c>
      <c r="N7695" s="12" t="s">
        <v>17244</v>
      </c>
      <c r="O7695" s="9" t="str">
        <f aca="false">HYPERLINK("https://pbs.twimg.com/profile_images/873908044173672449/0UHaDiUg_normal.jpg","View")</f>
        <v>View</v>
      </c>
      <c r="P7695" s="10"/>
    </row>
    <row r="7696" customFormat="false" ht="15.75" hidden="false" customHeight="false" outlineLevel="0" collapsed="false">
      <c r="A7696" s="6" t="n">
        <v>43031.6482060185</v>
      </c>
      <c r="B7696" s="7" t="str">
        <f aca="false">HYPERLINK("https://twitter.com/cherokeetrail","@cherokeetrail")</f>
        <v>@cherokeetrail</v>
      </c>
      <c r="C7696" s="8" t="s">
        <v>17245</v>
      </c>
      <c r="D7696" s="8" t="s">
        <v>16929</v>
      </c>
      <c r="E7696" s="9" t="str">
        <f aca="false">HYPERLINK("https://twitter.com/cherokeetrail/status/922591818759491584","922591818759491584")</f>
        <v>922591818759491584</v>
      </c>
      <c r="F7696" s="10" t="s">
        <v>39</v>
      </c>
      <c r="G7696" s="10" t="n">
        <v>62</v>
      </c>
      <c r="H7696" s="10" t="n">
        <v>121</v>
      </c>
      <c r="I7696" s="10" t="n">
        <v>247</v>
      </c>
      <c r="J7696" s="10" t="n">
        <v>0</v>
      </c>
      <c r="K7696" s="10" t="s">
        <v>20</v>
      </c>
      <c r="L7696" s="11" t="n">
        <v>40196.9759722222</v>
      </c>
      <c r="M7696" s="12" t="s">
        <v>230</v>
      </c>
      <c r="N7696" s="12" t="s">
        <v>17246</v>
      </c>
      <c r="O7696" s="9" t="str">
        <f aca="false">HYPERLINK("https://pbs.twimg.com/profile_images/641263276/foot_normal.jpg","View")</f>
        <v>View</v>
      </c>
      <c r="P7696" s="10"/>
    </row>
    <row r="7697" customFormat="false" ht="15.75" hidden="false" customHeight="false" outlineLevel="0" collapsed="false">
      <c r="A7697" s="6" t="n">
        <v>43031.6484027778</v>
      </c>
      <c r="B7697" s="7" t="str">
        <f aca="false">HYPERLINK("https://twitter.com/verbella1","@verbella1")</f>
        <v>@verbella1</v>
      </c>
      <c r="C7697" s="8" t="s">
        <v>17247</v>
      </c>
      <c r="D7697" s="8" t="s">
        <v>16929</v>
      </c>
      <c r="E7697" s="9" t="str">
        <f aca="false">HYPERLINK("https://twitter.com/verbella1/status/922591889492267014","922591889492267014")</f>
        <v>922591889492267014</v>
      </c>
      <c r="F7697" s="10" t="s">
        <v>51</v>
      </c>
      <c r="G7697" s="10" t="n">
        <v>101</v>
      </c>
      <c r="H7697" s="10" t="n">
        <v>79</v>
      </c>
      <c r="I7697" s="10" t="n">
        <v>247</v>
      </c>
      <c r="J7697" s="10" t="n">
        <v>0</v>
      </c>
      <c r="K7697" s="10" t="s">
        <v>20</v>
      </c>
      <c r="L7697" s="11" t="n">
        <v>42764.4350462963</v>
      </c>
      <c r="M7697" s="12"/>
      <c r="N7697" s="12" t="s">
        <v>17248</v>
      </c>
      <c r="O7697" s="9" t="str">
        <f aca="false">HYPERLINK("https://pbs.twimg.com/profile_images/873660060802723841/ddHdonfG_normal.jpg","View")</f>
        <v>View</v>
      </c>
      <c r="P7697" s="10"/>
    </row>
    <row r="7698" customFormat="false" ht="15.75" hidden="false" customHeight="false" outlineLevel="0" collapsed="false">
      <c r="A7698" s="6" t="n">
        <v>43031.6485069444</v>
      </c>
      <c r="B7698" s="7" t="str">
        <f aca="false">HYPERLINK("https://twitter.com/Wgsimply","@Wgsimply")</f>
        <v>@Wgsimply</v>
      </c>
      <c r="C7698" s="8" t="s">
        <v>17249</v>
      </c>
      <c r="D7698" s="8" t="s">
        <v>16929</v>
      </c>
      <c r="E7698" s="9" t="str">
        <f aca="false">HYPERLINK("https://twitter.com/Wgsimply/status/922591928956456961","922591928956456961")</f>
        <v>922591928956456961</v>
      </c>
      <c r="F7698" s="10" t="s">
        <v>25</v>
      </c>
      <c r="G7698" s="10" t="n">
        <v>539</v>
      </c>
      <c r="H7698" s="10" t="n">
        <v>1206</v>
      </c>
      <c r="I7698" s="10" t="n">
        <v>247</v>
      </c>
      <c r="J7698" s="10" t="n">
        <v>0</v>
      </c>
      <c r="K7698" s="10" t="s">
        <v>20</v>
      </c>
      <c r="L7698" s="11" t="n">
        <v>42815.5743634259</v>
      </c>
      <c r="M7698" s="12"/>
      <c r="N7698" s="12" t="s">
        <v>17250</v>
      </c>
      <c r="O7698" s="9" t="str">
        <f aca="false">HYPERLINK("https://pbs.twimg.com/profile_images/919188471033495552/HYt5cH2m_normal.jpg","View")</f>
        <v>View</v>
      </c>
      <c r="P7698" s="10"/>
    </row>
    <row r="7699" customFormat="false" ht="15.75" hidden="false" customHeight="false" outlineLevel="0" collapsed="false">
      <c r="A7699" s="6" t="n">
        <v>43031.6509953704</v>
      </c>
      <c r="B7699" s="7" t="str">
        <f aca="false">HYPERLINK("https://twitter.com/BlaineBershad","@BlaineBershad")</f>
        <v>@BlaineBershad</v>
      </c>
      <c r="C7699" s="8" t="s">
        <v>17251</v>
      </c>
      <c r="D7699" s="8" t="s">
        <v>16929</v>
      </c>
      <c r="E7699" s="9" t="str">
        <f aca="false">HYPERLINK("https://twitter.com/BlaineBershad/status/922592830350151680","922592830350151680")</f>
        <v>922592830350151680</v>
      </c>
      <c r="F7699" s="10" t="s">
        <v>25</v>
      </c>
      <c r="G7699" s="10" t="n">
        <v>4180</v>
      </c>
      <c r="H7699" s="10" t="n">
        <v>4972</v>
      </c>
      <c r="I7699" s="10" t="n">
        <v>247</v>
      </c>
      <c r="J7699" s="10" t="n">
        <v>0</v>
      </c>
      <c r="K7699" s="10" t="s">
        <v>20</v>
      </c>
      <c r="L7699" s="11" t="n">
        <v>41416.4399537037</v>
      </c>
      <c r="M7699" s="12" t="s">
        <v>3712</v>
      </c>
      <c r="N7699" s="12" t="s">
        <v>17252</v>
      </c>
      <c r="O7699" s="9" t="str">
        <f aca="false">HYPERLINK("https://pbs.twimg.com/profile_images/640824897338494976/8ZfBBnbm_normal.jpg","View")</f>
        <v>View</v>
      </c>
      <c r="P7699" s="10"/>
    </row>
    <row r="7700" customFormat="false" ht="15.75" hidden="false" customHeight="false" outlineLevel="0" collapsed="false">
      <c r="A7700" s="6" t="n">
        <v>43031.6525462963</v>
      </c>
      <c r="B7700" s="7" t="str">
        <f aca="false">HYPERLINK("https://twitter.com/MrNosegbe","@MrNosegbe")</f>
        <v>@MrNosegbe</v>
      </c>
      <c r="C7700" s="8" t="s">
        <v>17253</v>
      </c>
      <c r="D7700" s="8" t="s">
        <v>17254</v>
      </c>
      <c r="E7700" s="9" t="str">
        <f aca="false">HYPERLINK("https://twitter.com/MrNosegbe/status/922593393401909250","922593393401909250")</f>
        <v>922593393401909250</v>
      </c>
      <c r="F7700" s="10" t="s">
        <v>39</v>
      </c>
      <c r="G7700" s="10" t="n">
        <v>1801</v>
      </c>
      <c r="H7700" s="10" t="n">
        <v>989</v>
      </c>
      <c r="I7700" s="10" t="n">
        <v>3</v>
      </c>
      <c r="J7700" s="10" t="n">
        <v>0</v>
      </c>
      <c r="K7700" s="10" t="s">
        <v>20</v>
      </c>
      <c r="L7700" s="11" t="n">
        <v>40514.2261574074</v>
      </c>
      <c r="M7700" s="12" t="s">
        <v>17255</v>
      </c>
      <c r="N7700" s="12" t="s">
        <v>17256</v>
      </c>
      <c r="O7700" s="9" t="str">
        <f aca="false">HYPERLINK("https://pbs.twimg.com/profile_images/918029200333967360/vqTBm-xw_normal.jpg","View")</f>
        <v>View</v>
      </c>
      <c r="P7700" s="10"/>
    </row>
    <row r="7701" customFormat="false" ht="15.75" hidden="false" customHeight="false" outlineLevel="0" collapsed="false">
      <c r="A7701" s="6" t="n">
        <v>43031.6528819444</v>
      </c>
      <c r="B7701" s="7" t="str">
        <f aca="false">HYPERLINK("https://twitter.com/TroyBlackwelljr","@TroyBlackwelljr")</f>
        <v>@TroyBlackwelljr</v>
      </c>
      <c r="C7701" s="8" t="s">
        <v>17257</v>
      </c>
      <c r="D7701" s="8" t="s">
        <v>16929</v>
      </c>
      <c r="E7701" s="9" t="str">
        <f aca="false">HYPERLINK("https://twitter.com/TroyBlackwelljr/status/922593516089421827","922593516089421827")</f>
        <v>922593516089421827</v>
      </c>
      <c r="F7701" s="10" t="s">
        <v>51</v>
      </c>
      <c r="G7701" s="10" t="n">
        <v>1031</v>
      </c>
      <c r="H7701" s="10" t="n">
        <v>4013</v>
      </c>
      <c r="I7701" s="10" t="n">
        <v>247</v>
      </c>
      <c r="J7701" s="10" t="n">
        <v>0</v>
      </c>
      <c r="K7701" s="10" t="s">
        <v>20</v>
      </c>
      <c r="L7701" s="11" t="n">
        <v>40268.744837963</v>
      </c>
      <c r="M7701" s="12" t="s">
        <v>17258</v>
      </c>
      <c r="N7701" s="12" t="s">
        <v>17259</v>
      </c>
      <c r="O7701" s="9" t="str">
        <f aca="false">HYPERLINK("https://pbs.twimg.com/profile_images/917274187865251840/De_EX-ON_normal.jpg","View")</f>
        <v>View</v>
      </c>
      <c r="P7701" s="10"/>
    </row>
    <row r="7702" customFormat="false" ht="15.75" hidden="false" customHeight="false" outlineLevel="0" collapsed="false">
      <c r="A7702" s="6" t="n">
        <v>43031.6533449074</v>
      </c>
      <c r="B7702" s="7" t="str">
        <f aca="false">HYPERLINK("https://twitter.com/CherryCoffeeLou","@CherryCoffeeLou")</f>
        <v>@CherryCoffeeLou</v>
      </c>
      <c r="C7702" s="8" t="s">
        <v>7714</v>
      </c>
      <c r="D7702" s="8" t="s">
        <v>16929</v>
      </c>
      <c r="E7702" s="9" t="str">
        <f aca="false">HYPERLINK("https://twitter.com/CherryCoffeeLou/status/922593683794550784","922593683794550784")</f>
        <v>922593683794550784</v>
      </c>
      <c r="F7702" s="10" t="s">
        <v>51</v>
      </c>
      <c r="G7702" s="10" t="n">
        <v>820</v>
      </c>
      <c r="H7702" s="10" t="n">
        <v>1804</v>
      </c>
      <c r="I7702" s="10" t="n">
        <v>247</v>
      </c>
      <c r="J7702" s="10" t="n">
        <v>0</v>
      </c>
      <c r="K7702" s="10" t="s">
        <v>20</v>
      </c>
      <c r="L7702" s="11" t="n">
        <v>41591.3440277778</v>
      </c>
      <c r="M7702" s="12" t="s">
        <v>7716</v>
      </c>
      <c r="N7702" s="12" t="s">
        <v>7717</v>
      </c>
      <c r="O7702" s="9" t="str">
        <f aca="false">HYPERLINK("https://pbs.twimg.com/profile_images/626437978307620864/EquBXyah_normal.jpg","View")</f>
        <v>View</v>
      </c>
      <c r="P7702" s="10"/>
    </row>
    <row r="7703" customFormat="false" ht="15.75" hidden="false" customHeight="false" outlineLevel="0" collapsed="false">
      <c r="A7703" s="6" t="n">
        <v>43031.6534490741</v>
      </c>
      <c r="B7703" s="7" t="str">
        <f aca="false">HYPERLINK("https://twitter.com/DoreenDevaney","@DoreenDevaney")</f>
        <v>@DoreenDevaney</v>
      </c>
      <c r="C7703" s="8" t="s">
        <v>17260</v>
      </c>
      <c r="D7703" s="8" t="s">
        <v>16929</v>
      </c>
      <c r="E7703" s="9" t="str">
        <f aca="false">HYPERLINK("https://twitter.com/DoreenDevaney/status/922593719391539206","922593719391539206")</f>
        <v>922593719391539206</v>
      </c>
      <c r="F7703" s="10" t="s">
        <v>177</v>
      </c>
      <c r="G7703" s="10" t="n">
        <v>108</v>
      </c>
      <c r="H7703" s="10" t="n">
        <v>258</v>
      </c>
      <c r="I7703" s="10" t="n">
        <v>247</v>
      </c>
      <c r="J7703" s="10" t="n">
        <v>0</v>
      </c>
      <c r="K7703" s="10" t="s">
        <v>20</v>
      </c>
      <c r="L7703" s="11" t="n">
        <v>42643.5969560185</v>
      </c>
      <c r="M7703" s="12" t="s">
        <v>312</v>
      </c>
      <c r="N7703" s="12"/>
      <c r="O7703" s="9" t="str">
        <f aca="false">HYPERLINK("https://pbs.twimg.com/profile_images/782902363686367232/7MKkGqh6_normal.jpg","View")</f>
        <v>View</v>
      </c>
      <c r="P7703" s="10"/>
    </row>
    <row r="7704" customFormat="false" ht="15.75" hidden="false" customHeight="false" outlineLevel="0" collapsed="false">
      <c r="A7704" s="6" t="n">
        <v>43031.6534953704</v>
      </c>
      <c r="B7704" s="7" t="str">
        <f aca="false">HYPERLINK("https://twitter.com/BlkLilFlower","@BlkLilFlower")</f>
        <v>@BlkLilFlower</v>
      </c>
      <c r="C7704" s="8" t="s">
        <v>17261</v>
      </c>
      <c r="D7704" s="8" t="s">
        <v>16929</v>
      </c>
      <c r="E7704" s="9" t="str">
        <f aca="false">HYPERLINK("https://twitter.com/BlkLilFlower/status/922593736495960064","922593736495960064")</f>
        <v>922593736495960064</v>
      </c>
      <c r="F7704" s="10" t="s">
        <v>17101</v>
      </c>
      <c r="G7704" s="10" t="n">
        <v>4033</v>
      </c>
      <c r="H7704" s="10" t="n">
        <v>3436</v>
      </c>
      <c r="I7704" s="10" t="n">
        <v>247</v>
      </c>
      <c r="J7704" s="10" t="n">
        <v>0</v>
      </c>
      <c r="K7704" s="10" t="s">
        <v>20</v>
      </c>
      <c r="L7704" s="11" t="n">
        <v>40348.7411689815</v>
      </c>
      <c r="M7704" s="12"/>
      <c r="N7704" s="12" t="s">
        <v>17262</v>
      </c>
      <c r="O7704" s="9" t="str">
        <f aca="false">HYPERLINK("https://pbs.twimg.com/profile_images/918019740571807744/C5kjFgKY_normal.jpg","View")</f>
        <v>View</v>
      </c>
      <c r="P7704" s="10"/>
    </row>
    <row r="7705" customFormat="false" ht="15.75" hidden="false" customHeight="false" outlineLevel="0" collapsed="false">
      <c r="A7705" s="6" t="n">
        <v>43031.6537384259</v>
      </c>
      <c r="B7705" s="7" t="str">
        <f aca="false">HYPERLINK("https://twitter.com/EvelynKissinge2","@EvelynKissinge2")</f>
        <v>@EvelynKissinge2</v>
      </c>
      <c r="C7705" s="8" t="s">
        <v>17263</v>
      </c>
      <c r="D7705" s="8" t="s">
        <v>16929</v>
      </c>
      <c r="E7705" s="9" t="str">
        <f aca="false">HYPERLINK("https://twitter.com/EvelynKissinge2/status/922593825033412608","922593825033412608")</f>
        <v>922593825033412608</v>
      </c>
      <c r="F7705" s="10" t="s">
        <v>25</v>
      </c>
      <c r="G7705" s="10" t="n">
        <v>12</v>
      </c>
      <c r="H7705" s="10" t="n">
        <v>29</v>
      </c>
      <c r="I7705" s="10" t="n">
        <v>247</v>
      </c>
      <c r="J7705" s="10" t="n">
        <v>0</v>
      </c>
      <c r="K7705" s="10" t="s">
        <v>20</v>
      </c>
      <c r="L7705" s="11" t="n">
        <v>42690.6276041667</v>
      </c>
      <c r="M7705" s="12"/>
      <c r="N7705" s="12"/>
      <c r="O7705" s="9" t="str">
        <f aca="false">HYPERLINK("https://abs.twimg.com/sticky/default_profile_images/default_profile_normal.png","View")</f>
        <v>View</v>
      </c>
      <c r="P7705" s="10"/>
    </row>
    <row r="7706" customFormat="false" ht="15.75" hidden="false" customHeight="false" outlineLevel="0" collapsed="false">
      <c r="A7706" s="6" t="n">
        <v>43031.6550231482</v>
      </c>
      <c r="B7706" s="7" t="str">
        <f aca="false">HYPERLINK("https://twitter.com/jkelley399","@jkelley399")</f>
        <v>@jkelley399</v>
      </c>
      <c r="C7706" s="8" t="s">
        <v>17264</v>
      </c>
      <c r="D7706" s="8" t="s">
        <v>17265</v>
      </c>
      <c r="E7706" s="9" t="str">
        <f aca="false">HYPERLINK("https://twitter.com/jkelley399/status/922594291230285824","922594291230285824")</f>
        <v>922594291230285824</v>
      </c>
      <c r="F7706" s="10" t="s">
        <v>51</v>
      </c>
      <c r="G7706" s="10" t="n">
        <v>206</v>
      </c>
      <c r="H7706" s="10" t="n">
        <v>1136</v>
      </c>
      <c r="I7706" s="10" t="n">
        <v>0</v>
      </c>
      <c r="J7706" s="10" t="n">
        <v>0</v>
      </c>
      <c r="K7706" s="10" t="s">
        <v>20</v>
      </c>
      <c r="L7706" s="11" t="n">
        <v>41034.7961342593</v>
      </c>
      <c r="M7706" s="12"/>
      <c r="N7706" s="12" t="s">
        <v>17266</v>
      </c>
      <c r="O7706" s="9" t="str">
        <f aca="false">HYPERLINK("https://pbs.twimg.com/profile_images/598300554914205696/d0wjIsNs_normal.png","View")</f>
        <v>View</v>
      </c>
      <c r="P7706" s="10"/>
    </row>
    <row r="7707" customFormat="false" ht="15.75" hidden="false" customHeight="false" outlineLevel="0" collapsed="false">
      <c r="A7707" s="6" t="n">
        <v>43031.6551736111</v>
      </c>
      <c r="B7707" s="7" t="str">
        <f aca="false">HYPERLINK("https://twitter.com/fiorelune","@fiorelune")</f>
        <v>@fiorelune</v>
      </c>
      <c r="C7707" s="8" t="s">
        <v>17267</v>
      </c>
      <c r="D7707" s="8" t="s">
        <v>16226</v>
      </c>
      <c r="E7707" s="9" t="str">
        <f aca="false">HYPERLINK("https://twitter.com/fiorelune/status/922594346758635520","922594346758635520")</f>
        <v>922594346758635520</v>
      </c>
      <c r="F7707" s="16" t="s">
        <v>17268</v>
      </c>
      <c r="G7707" s="10" t="n">
        <v>81</v>
      </c>
      <c r="H7707" s="10" t="n">
        <v>85</v>
      </c>
      <c r="I7707" s="10" t="n">
        <v>19</v>
      </c>
      <c r="J7707" s="10" t="n">
        <v>0</v>
      </c>
      <c r="K7707" s="10" t="s">
        <v>20</v>
      </c>
      <c r="L7707" s="11" t="n">
        <v>40343.0818287037</v>
      </c>
      <c r="M7707" s="13" t="s">
        <v>17269</v>
      </c>
      <c r="N7707" s="13" t="s">
        <v>17270</v>
      </c>
      <c r="O7707" s="9" t="str">
        <f aca="false">HYPERLINK("https://pbs.twimg.com/profile_images/989443108/curiousaboutgeorge_09_normal.gif","View")</f>
        <v>View</v>
      </c>
      <c r="P7707" s="10"/>
    </row>
    <row r="7708" customFormat="false" ht="15.75" hidden="false" customHeight="false" outlineLevel="0" collapsed="false">
      <c r="A7708" s="6" t="n">
        <v>43031.6551967593</v>
      </c>
      <c r="B7708" s="7" t="str">
        <f aca="false">HYPERLINK("https://twitter.com/kat19477","@kat19477")</f>
        <v>@kat19477</v>
      </c>
      <c r="C7708" s="8" t="s">
        <v>17271</v>
      </c>
      <c r="D7708" s="8" t="s">
        <v>16929</v>
      </c>
      <c r="E7708" s="9" t="str">
        <f aca="false">HYPERLINK("https://twitter.com/kat19477/status/922594351422812160","922594351422812160")</f>
        <v>922594351422812160</v>
      </c>
      <c r="F7708" s="10" t="s">
        <v>25</v>
      </c>
      <c r="G7708" s="10" t="n">
        <v>280</v>
      </c>
      <c r="H7708" s="10" t="n">
        <v>522</v>
      </c>
      <c r="I7708" s="10" t="n">
        <v>247</v>
      </c>
      <c r="J7708" s="10" t="n">
        <v>0</v>
      </c>
      <c r="K7708" s="10" t="s">
        <v>20</v>
      </c>
      <c r="L7708" s="11" t="n">
        <v>42231.2822685185</v>
      </c>
      <c r="M7708" s="12"/>
      <c r="N7708" s="12" t="s">
        <v>17272</v>
      </c>
      <c r="O7708" s="9" t="str">
        <f aca="false">HYPERLINK("https://pbs.twimg.com/profile_images/896838790626594816/4l7zVghi_normal.jpg","View")</f>
        <v>View</v>
      </c>
      <c r="P7708" s="10"/>
    </row>
    <row r="7709" customFormat="false" ht="15.75" hidden="false" customHeight="false" outlineLevel="0" collapsed="false">
      <c r="A7709" s="6" t="n">
        <v>43031.6556712963</v>
      </c>
      <c r="B7709" s="7" t="str">
        <f aca="false">HYPERLINK("https://twitter.com/DevlAlpril","@DevlAlpril")</f>
        <v>@DevlAlpril</v>
      </c>
      <c r="C7709" s="8" t="s">
        <v>17273</v>
      </c>
      <c r="D7709" s="8" t="s">
        <v>14598</v>
      </c>
      <c r="E7709" s="9" t="str">
        <f aca="false">HYPERLINK("https://twitter.com/DevlAlpril/status/922594526535077888","922594526535077888")</f>
        <v>922594526535077888</v>
      </c>
      <c r="F7709" s="10" t="s">
        <v>25</v>
      </c>
      <c r="G7709" s="10" t="n">
        <v>104</v>
      </c>
      <c r="H7709" s="10" t="n">
        <v>2285</v>
      </c>
      <c r="I7709" s="10" t="n">
        <v>23</v>
      </c>
      <c r="J7709" s="10" t="n">
        <v>0</v>
      </c>
      <c r="K7709" s="10" t="s">
        <v>20</v>
      </c>
      <c r="L7709" s="11" t="n">
        <v>40659.1964467593</v>
      </c>
      <c r="M7709" s="12"/>
      <c r="N7709" s="12"/>
      <c r="O7709" s="9" t="str">
        <f aca="false">HYPERLINK("https://pbs.twimg.com/profile_images/762998750512046081/0eJpS9Ou_normal.jpg","View")</f>
        <v>View</v>
      </c>
      <c r="P7709" s="10"/>
    </row>
    <row r="7710" customFormat="false" ht="15.75" hidden="false" customHeight="false" outlineLevel="0" collapsed="false">
      <c r="A7710" s="6" t="n">
        <v>43031.6561111111</v>
      </c>
      <c r="B7710" s="7" t="str">
        <f aca="false">HYPERLINK("https://twitter.com/RajaramMusings","@RajaramMusings")</f>
        <v>@RajaramMusings</v>
      </c>
      <c r="C7710" s="8" t="s">
        <v>17274</v>
      </c>
      <c r="D7710" s="8" t="s">
        <v>8538</v>
      </c>
      <c r="E7710" s="9" t="str">
        <f aca="false">HYPERLINK("https://twitter.com/RajaramMusings/status/922594686061092864","922594686061092864")</f>
        <v>922594686061092864</v>
      </c>
      <c r="F7710" s="10" t="s">
        <v>25</v>
      </c>
      <c r="G7710" s="10" t="n">
        <v>604</v>
      </c>
      <c r="H7710" s="10" t="n">
        <v>226</v>
      </c>
      <c r="I7710" s="10" t="n">
        <v>1015</v>
      </c>
      <c r="J7710" s="10" t="n">
        <v>0</v>
      </c>
      <c r="K7710" s="10" t="s">
        <v>20</v>
      </c>
      <c r="L7710" s="11" t="n">
        <v>40604.1824189815</v>
      </c>
      <c r="M7710" s="12" t="s">
        <v>5883</v>
      </c>
      <c r="N7710" s="12" t="s">
        <v>17275</v>
      </c>
      <c r="O7710" s="9" t="str">
        <f aca="false">HYPERLINK("https://pbs.twimg.com/profile_images/1260273706/rajaram_normal.JPG","View")</f>
        <v>View</v>
      </c>
      <c r="P7710" s="10"/>
    </row>
    <row r="7711" customFormat="false" ht="15.75" hidden="false" customHeight="false" outlineLevel="0" collapsed="false">
      <c r="A7711" s="6" t="n">
        <v>43031.6564699074</v>
      </c>
      <c r="B7711" s="7" t="str">
        <f aca="false">HYPERLINK("https://twitter.com/BlkLilFlower","@BlkLilFlower")</f>
        <v>@BlkLilFlower</v>
      </c>
      <c r="C7711" s="8" t="s">
        <v>17261</v>
      </c>
      <c r="D7711" s="8" t="s">
        <v>15821</v>
      </c>
      <c r="E7711" s="9" t="str">
        <f aca="false">HYPERLINK("https://twitter.com/BlkLilFlower/status/922594814213873664","922594814213873664")</f>
        <v>922594814213873664</v>
      </c>
      <c r="F7711" s="10" t="s">
        <v>17101</v>
      </c>
      <c r="G7711" s="10" t="n">
        <v>4033</v>
      </c>
      <c r="H7711" s="10" t="n">
        <v>3436</v>
      </c>
      <c r="I7711" s="10" t="n">
        <v>41</v>
      </c>
      <c r="J7711" s="10" t="n">
        <v>0</v>
      </c>
      <c r="K7711" s="10" t="s">
        <v>20</v>
      </c>
      <c r="L7711" s="11" t="n">
        <v>40348.7411689815</v>
      </c>
      <c r="M7711" s="12"/>
      <c r="N7711" s="12" t="s">
        <v>17262</v>
      </c>
      <c r="O7711" s="9" t="str">
        <f aca="false">HYPERLINK("https://pbs.twimg.com/profile_images/918019740571807744/C5kjFgKY_normal.jpg","View")</f>
        <v>View</v>
      </c>
      <c r="P7711" s="10"/>
    </row>
    <row r="7712" customFormat="false" ht="15.75" hidden="false" customHeight="false" outlineLevel="0" collapsed="false">
      <c r="A7712" s="6" t="n">
        <v>43031.6569212963</v>
      </c>
      <c r="B7712" s="7" t="str">
        <f aca="false">HYPERLINK("https://twitter.com/RathusSpencer","@RathusSpencer")</f>
        <v>@RathusSpencer</v>
      </c>
      <c r="C7712" s="8" t="s">
        <v>17276</v>
      </c>
      <c r="D7712" s="8" t="s">
        <v>16929</v>
      </c>
      <c r="E7712" s="9" t="str">
        <f aca="false">HYPERLINK("https://twitter.com/RathusSpencer/status/922594980052586497","922594980052586497")</f>
        <v>922594980052586497</v>
      </c>
      <c r="F7712" s="10" t="s">
        <v>51</v>
      </c>
      <c r="G7712" s="10" t="n">
        <v>26</v>
      </c>
      <c r="H7712" s="10" t="n">
        <v>99</v>
      </c>
      <c r="I7712" s="10" t="n">
        <v>247</v>
      </c>
      <c r="J7712" s="10" t="n">
        <v>0</v>
      </c>
      <c r="K7712" s="10" t="s">
        <v>20</v>
      </c>
      <c r="L7712" s="11" t="n">
        <v>42756.6938657408</v>
      </c>
      <c r="M7712" s="12"/>
      <c r="N7712" s="12"/>
      <c r="O7712" s="9" t="str">
        <f aca="false">HYPERLINK("https://pbs.twimg.com/profile_images/823382591080382464/e_3Qa6CX_normal.jpg","View")</f>
        <v>View</v>
      </c>
      <c r="P7712" s="10"/>
    </row>
    <row r="7713" customFormat="false" ht="15.75" hidden="false" customHeight="false" outlineLevel="0" collapsed="false">
      <c r="A7713" s="6" t="n">
        <v>43031.6572569444</v>
      </c>
      <c r="B7713" s="7" t="str">
        <f aca="false">HYPERLINK("https://twitter.com/NancyRo45542024","@NancyRo45542024")</f>
        <v>@NancyRo45542024</v>
      </c>
      <c r="C7713" s="8" t="s">
        <v>17277</v>
      </c>
      <c r="D7713" s="8" t="s">
        <v>16929</v>
      </c>
      <c r="E7713" s="9" t="str">
        <f aca="false">HYPERLINK("https://twitter.com/NancyRo45542024/status/922595098122182657","922595098122182657")</f>
        <v>922595098122182657</v>
      </c>
      <c r="F7713" s="10" t="s">
        <v>1017</v>
      </c>
      <c r="G7713" s="10" t="n">
        <v>100</v>
      </c>
      <c r="H7713" s="10" t="n">
        <v>47</v>
      </c>
      <c r="I7713" s="10" t="n">
        <v>247</v>
      </c>
      <c r="J7713" s="10" t="n">
        <v>0</v>
      </c>
      <c r="K7713" s="10" t="s">
        <v>20</v>
      </c>
      <c r="L7713" s="11" t="n">
        <v>42759.2267708333</v>
      </c>
      <c r="M7713" s="12"/>
      <c r="N7713" s="12"/>
      <c r="O7713" s="9" t="str">
        <f aca="false">HYPERLINK("https://abs.twimg.com/sticky/default_profile_images/default_profile_normal.png","View")</f>
        <v>View</v>
      </c>
      <c r="P7713" s="10"/>
    </row>
    <row r="7714" customFormat="false" ht="15.75" hidden="false" customHeight="false" outlineLevel="0" collapsed="false">
      <c r="A7714" s="6" t="n">
        <v>43031.6575694445</v>
      </c>
      <c r="B7714" s="7" t="str">
        <f aca="false">HYPERLINK("https://twitter.com/marchef2","@marchef2")</f>
        <v>@marchef2</v>
      </c>
      <c r="C7714" s="8" t="s">
        <v>17278</v>
      </c>
      <c r="D7714" s="8" t="s">
        <v>16929</v>
      </c>
      <c r="E7714" s="9" t="str">
        <f aca="false">HYPERLINK("https://twitter.com/marchef2/status/922595212664426496","922595212664426496")</f>
        <v>922595212664426496</v>
      </c>
      <c r="F7714" s="10" t="s">
        <v>39</v>
      </c>
      <c r="G7714" s="10" t="n">
        <v>40</v>
      </c>
      <c r="H7714" s="10" t="n">
        <v>393</v>
      </c>
      <c r="I7714" s="10" t="n">
        <v>247</v>
      </c>
      <c r="J7714" s="10" t="n">
        <v>0</v>
      </c>
      <c r="K7714" s="10" t="s">
        <v>20</v>
      </c>
      <c r="L7714" s="11" t="n">
        <v>42817.2179976852</v>
      </c>
      <c r="M7714" s="12"/>
      <c r="N7714" s="12"/>
      <c r="O7714" s="9" t="str">
        <f aca="false">HYPERLINK("https://abs.twimg.com/sticky/default_profile_images/default_profile_normal.png","View")</f>
        <v>View</v>
      </c>
      <c r="P7714" s="10"/>
    </row>
    <row r="7715" customFormat="false" ht="15.75" hidden="false" customHeight="false" outlineLevel="0" collapsed="false">
      <c r="A7715" s="6" t="n">
        <v>43031.6593171296</v>
      </c>
      <c r="B7715" s="7" t="str">
        <f aca="false">HYPERLINK("https://twitter.com/Dagixle","@Dagixle")</f>
        <v>@Dagixle</v>
      </c>
      <c r="C7715" s="8" t="s">
        <v>12301</v>
      </c>
      <c r="D7715" s="8" t="s">
        <v>16879</v>
      </c>
      <c r="E7715" s="9" t="str">
        <f aca="false">HYPERLINK("https://twitter.com/Dagixle/status/922595847086530560","922595847086530560")</f>
        <v>922595847086530560</v>
      </c>
      <c r="F7715" s="10" t="s">
        <v>25</v>
      </c>
      <c r="G7715" s="10" t="n">
        <v>186</v>
      </c>
      <c r="H7715" s="10" t="n">
        <v>165</v>
      </c>
      <c r="I7715" s="10" t="n">
        <v>6</v>
      </c>
      <c r="J7715" s="10" t="n">
        <v>0</v>
      </c>
      <c r="K7715" s="10" t="s">
        <v>20</v>
      </c>
      <c r="L7715" s="11" t="n">
        <v>40317.109849537</v>
      </c>
      <c r="M7715" s="12" t="s">
        <v>12302</v>
      </c>
      <c r="N7715" s="12"/>
      <c r="O7715" s="9" t="str">
        <f aca="false">HYPERLINK("https://pbs.twimg.com/profile_images/378800000190235608/627092d09dceec8c7c82011a4e83720c_normal.png","View")</f>
        <v>View</v>
      </c>
      <c r="P7715" s="10"/>
    </row>
    <row r="7716" customFormat="false" ht="15.75" hidden="false" customHeight="false" outlineLevel="0" collapsed="false">
      <c r="A7716" s="6" t="n">
        <v>43031.6600231482</v>
      </c>
      <c r="B7716" s="7" t="str">
        <f aca="false">HYPERLINK("https://twitter.com/LeeMartin113","@LeeMartin113")</f>
        <v>@LeeMartin113</v>
      </c>
      <c r="C7716" s="8" t="s">
        <v>17279</v>
      </c>
      <c r="D7716" s="8" t="s">
        <v>16609</v>
      </c>
      <c r="E7716" s="9" t="str">
        <f aca="false">HYPERLINK("https://twitter.com/LeeMartin113/status/922596102699933697","922596102699933697")</f>
        <v>922596102699933697</v>
      </c>
      <c r="F7716" s="10" t="s">
        <v>51</v>
      </c>
      <c r="G7716" s="10" t="n">
        <v>4087</v>
      </c>
      <c r="H7716" s="10" t="n">
        <v>4433</v>
      </c>
      <c r="I7716" s="10" t="n">
        <v>12</v>
      </c>
      <c r="J7716" s="10" t="n">
        <v>0</v>
      </c>
      <c r="K7716" s="10" t="s">
        <v>20</v>
      </c>
      <c r="L7716" s="11" t="n">
        <v>41037.0295717593</v>
      </c>
      <c r="M7716" s="12" t="s">
        <v>17280</v>
      </c>
      <c r="N7716" s="12" t="s">
        <v>17281</v>
      </c>
      <c r="O7716" s="9" t="str">
        <f aca="false">HYPERLINK("https://pbs.twimg.com/profile_images/921405359167811584/uM_b_P3M_normal.jpg","View")</f>
        <v>View</v>
      </c>
      <c r="P7716" s="10"/>
    </row>
    <row r="7717" customFormat="false" ht="15.75" hidden="false" customHeight="false" outlineLevel="0" collapsed="false">
      <c r="A7717" s="6" t="n">
        <v>43031.6602083333</v>
      </c>
      <c r="B7717" s="7" t="str">
        <f aca="false">HYPERLINK("https://twitter.com/NORTHER64691120","@NORTHER64691120")</f>
        <v>@NORTHER64691120</v>
      </c>
      <c r="C7717" s="8" t="s">
        <v>17282</v>
      </c>
      <c r="D7717" s="8" t="s">
        <v>16929</v>
      </c>
      <c r="E7717" s="9" t="str">
        <f aca="false">HYPERLINK("https://twitter.com/NORTHER64691120/status/922596169615888384","922596169615888384")</f>
        <v>922596169615888384</v>
      </c>
      <c r="F7717" s="10" t="s">
        <v>98</v>
      </c>
      <c r="G7717" s="10" t="n">
        <v>686</v>
      </c>
      <c r="H7717" s="10" t="n">
        <v>468</v>
      </c>
      <c r="I7717" s="10" t="n">
        <v>247</v>
      </c>
      <c r="J7717" s="10" t="n">
        <v>0</v>
      </c>
      <c r="K7717" s="10" t="s">
        <v>20</v>
      </c>
      <c r="L7717" s="11" t="n">
        <v>42784.7383796296</v>
      </c>
      <c r="M7717" s="12"/>
      <c r="N7717" s="12"/>
      <c r="O7717" s="9" t="str">
        <f aca="false">HYPERLINK("https://abs.twimg.com/sticky/default_profile_images/default_profile_normal.png","View")</f>
        <v>View</v>
      </c>
      <c r="P7717" s="10"/>
    </row>
    <row r="7718" customFormat="false" ht="15.75" hidden="false" customHeight="false" outlineLevel="0" collapsed="false">
      <c r="A7718" s="6" t="n">
        <v>43031.6615856482</v>
      </c>
      <c r="B7718" s="7" t="str">
        <f aca="false">HYPERLINK("https://twitter.com/DwTricks","@DwTricks")</f>
        <v>@DwTricks</v>
      </c>
      <c r="C7718" s="8" t="s">
        <v>17283</v>
      </c>
      <c r="D7718" s="8" t="s">
        <v>17284</v>
      </c>
      <c r="E7718" s="9" t="str">
        <f aca="false">HYPERLINK("https://twitter.com/DwTricks/status/922596670579331074","922596670579331074")</f>
        <v>922596670579331074</v>
      </c>
      <c r="F7718" s="10" t="s">
        <v>60</v>
      </c>
      <c r="G7718" s="10" t="n">
        <v>153</v>
      </c>
      <c r="H7718" s="10" t="n">
        <v>4</v>
      </c>
      <c r="I7718" s="10" t="n">
        <v>0</v>
      </c>
      <c r="J7718" s="10" t="n">
        <v>0</v>
      </c>
      <c r="K7718" s="10" t="s">
        <v>20</v>
      </c>
      <c r="L7718" s="11" t="n">
        <v>41174.2753356482</v>
      </c>
      <c r="M7718" s="12" t="s">
        <v>3415</v>
      </c>
      <c r="N7718" s="12" t="s">
        <v>17285</v>
      </c>
      <c r="O7718" s="9" t="str">
        <f aca="false">HYPERLINK("https://pbs.twimg.com/profile_images/769912971783004162/DZuTBMNq_normal.jpg","View")</f>
        <v>View</v>
      </c>
      <c r="P7718" s="10"/>
    </row>
    <row r="7719" customFormat="false" ht="15.75" hidden="false" customHeight="false" outlineLevel="0" collapsed="false">
      <c r="A7719" s="6" t="n">
        <v>43031.6629398148</v>
      </c>
      <c r="B7719" s="7" t="str">
        <f aca="false">HYPERLINK("https://twitter.com/MaldenTalks","@MaldenTalks")</f>
        <v>@MaldenTalks</v>
      </c>
      <c r="C7719" s="8" t="s">
        <v>17286</v>
      </c>
      <c r="D7719" s="8" t="s">
        <v>17287</v>
      </c>
      <c r="E7719" s="9" t="str">
        <f aca="false">HYPERLINK("https://twitter.com/MaldenTalks/status/922597159521980416","922597159521980416")</f>
        <v>922597159521980416</v>
      </c>
      <c r="F7719" s="10" t="s">
        <v>39</v>
      </c>
      <c r="G7719" s="10" t="n">
        <v>94</v>
      </c>
      <c r="H7719" s="10" t="n">
        <v>15</v>
      </c>
      <c r="I7719" s="10" t="n">
        <v>0</v>
      </c>
      <c r="J7719" s="10" t="n">
        <v>0</v>
      </c>
      <c r="K7719" s="10" t="s">
        <v>20</v>
      </c>
      <c r="L7719" s="11" t="n">
        <v>41725.5109375</v>
      </c>
      <c r="M7719" s="12" t="s">
        <v>17288</v>
      </c>
      <c r="N7719" s="12"/>
      <c r="O7719" s="9" t="str">
        <f aca="false">HYPERLINK("https://pbs.twimg.com/profile_images/449273981493710849/G_kZUJ9W_normal.jpeg","View")</f>
        <v>View</v>
      </c>
      <c r="P7719" s="10"/>
    </row>
    <row r="7720" customFormat="false" ht="15.75" hidden="false" customHeight="false" outlineLevel="0" collapsed="false">
      <c r="A7720" s="6" t="n">
        <v>43031.6629513889</v>
      </c>
      <c r="B7720" s="7" t="str">
        <f aca="false">HYPERLINK("https://twitter.com/noellecharlotte","@noellecharlotte")</f>
        <v>@noellecharlotte</v>
      </c>
      <c r="C7720" s="8" t="s">
        <v>17289</v>
      </c>
      <c r="D7720" s="8" t="s">
        <v>16929</v>
      </c>
      <c r="E7720" s="9" t="str">
        <f aca="false">HYPERLINK("https://twitter.com/noellecharlotte/status/922597165695938560","922597165695938560")</f>
        <v>922597165695938560</v>
      </c>
      <c r="F7720" s="10" t="s">
        <v>51</v>
      </c>
      <c r="G7720" s="10" t="n">
        <v>734</v>
      </c>
      <c r="H7720" s="10" t="n">
        <v>2361</v>
      </c>
      <c r="I7720" s="10" t="n">
        <v>247</v>
      </c>
      <c r="J7720" s="10" t="n">
        <v>0</v>
      </c>
      <c r="K7720" s="10" t="s">
        <v>20</v>
      </c>
      <c r="L7720" s="11" t="n">
        <v>39936.6460185185</v>
      </c>
      <c r="M7720" s="12" t="s">
        <v>491</v>
      </c>
      <c r="N7720" s="12" t="s">
        <v>17290</v>
      </c>
      <c r="O7720" s="9" t="str">
        <f aca="false">HYPERLINK("https://pbs.twimg.com/profile_images/871390711454863360/ccBxZUq7_normal.jpg","View")</f>
        <v>View</v>
      </c>
      <c r="P7720" s="10"/>
    </row>
    <row r="7721" customFormat="false" ht="15.75" hidden="false" customHeight="false" outlineLevel="0" collapsed="false">
      <c r="A7721" s="6" t="n">
        <v>43031.664525463</v>
      </c>
      <c r="B7721" s="7" t="str">
        <f aca="false">HYPERLINK("https://twitter.com/jfg1125","@jfg1125")</f>
        <v>@jfg1125</v>
      </c>
      <c r="C7721" s="8" t="s">
        <v>1185</v>
      </c>
      <c r="D7721" s="8" t="s">
        <v>16929</v>
      </c>
      <c r="E7721" s="9" t="str">
        <f aca="false">HYPERLINK("https://twitter.com/jfg1125/status/922597733202087937","922597733202087937")</f>
        <v>922597733202087937</v>
      </c>
      <c r="F7721" s="10" t="s">
        <v>177</v>
      </c>
      <c r="G7721" s="10" t="n">
        <v>102</v>
      </c>
      <c r="H7721" s="10" t="n">
        <v>417</v>
      </c>
      <c r="I7721" s="10" t="n">
        <v>247</v>
      </c>
      <c r="J7721" s="10" t="n">
        <v>0</v>
      </c>
      <c r="K7721" s="10" t="s">
        <v>20</v>
      </c>
      <c r="L7721" s="11" t="n">
        <v>42753.6305208333</v>
      </c>
      <c r="M7721" s="12" t="s">
        <v>17291</v>
      </c>
      <c r="N7721" s="12" t="s">
        <v>3040</v>
      </c>
      <c r="O7721" s="9" t="str">
        <f aca="false">HYPERLINK("https://pbs.twimg.com/profile_images/841092852880965632/D_CGRcte_normal.jpg","View")</f>
        <v>View</v>
      </c>
      <c r="P7721" s="10"/>
    </row>
    <row r="7722" customFormat="false" ht="15.75" hidden="false" customHeight="false" outlineLevel="0" collapsed="false">
      <c r="A7722" s="6" t="n">
        <v>43031.6646412037</v>
      </c>
      <c r="B7722" s="7" t="str">
        <f aca="false">HYPERLINK("https://twitter.com/imacreatorr","@imacreatorr")</f>
        <v>@imacreatorr</v>
      </c>
      <c r="C7722" s="8" t="s">
        <v>17292</v>
      </c>
      <c r="D7722" s="8" t="s">
        <v>16929</v>
      </c>
      <c r="E7722" s="9" t="str">
        <f aca="false">HYPERLINK("https://twitter.com/imacreatorr/status/922597775963025408","922597775963025408")</f>
        <v>922597775963025408</v>
      </c>
      <c r="F7722" s="10" t="s">
        <v>39</v>
      </c>
      <c r="G7722" s="10" t="n">
        <v>15</v>
      </c>
      <c r="H7722" s="10" t="n">
        <v>39</v>
      </c>
      <c r="I7722" s="10" t="n">
        <v>247</v>
      </c>
      <c r="J7722" s="10" t="n">
        <v>0</v>
      </c>
      <c r="K7722" s="10" t="s">
        <v>20</v>
      </c>
      <c r="L7722" s="11" t="n">
        <v>42204.6123842593</v>
      </c>
      <c r="M7722" s="12"/>
      <c r="N7722" s="12"/>
      <c r="O7722" s="9" t="str">
        <f aca="false">HYPERLINK("https://pbs.twimg.com/profile_images/846212678217490433/XXtwZ4jL_normal.jpg","View")</f>
        <v>View</v>
      </c>
      <c r="P7722" s="10"/>
    </row>
    <row r="7723" customFormat="false" ht="15.75" hidden="false" customHeight="false" outlineLevel="0" collapsed="false">
      <c r="A7723" s="6" t="n">
        <v>43031.6653935185</v>
      </c>
      <c r="B7723" s="7" t="str">
        <f aca="false">HYPERLINK("https://twitter.com/RobertBigz","@RobertBigz")</f>
        <v>@RobertBigz</v>
      </c>
      <c r="C7723" s="8" t="s">
        <v>17293</v>
      </c>
      <c r="D7723" s="8" t="s">
        <v>16929</v>
      </c>
      <c r="E7723" s="9" t="str">
        <f aca="false">HYPERLINK("https://twitter.com/RobertBigz/status/922598050748600320","922598050748600320")</f>
        <v>922598050748600320</v>
      </c>
      <c r="F7723" s="10" t="s">
        <v>177</v>
      </c>
      <c r="G7723" s="10" t="n">
        <v>94</v>
      </c>
      <c r="H7723" s="10" t="n">
        <v>199</v>
      </c>
      <c r="I7723" s="10" t="n">
        <v>247</v>
      </c>
      <c r="J7723" s="10" t="n">
        <v>0</v>
      </c>
      <c r="K7723" s="10" t="s">
        <v>20</v>
      </c>
      <c r="L7723" s="11" t="n">
        <v>43025.2992013889</v>
      </c>
      <c r="M7723" s="12" t="s">
        <v>17294</v>
      </c>
      <c r="N7723" s="12" t="s">
        <v>17295</v>
      </c>
      <c r="O7723" s="9" t="str">
        <f aca="false">HYPERLINK("https://pbs.twimg.com/profile_images/920456785370030080/X1aEtl5A_normal.jpg","View")</f>
        <v>View</v>
      </c>
      <c r="P7723" s="10"/>
    </row>
    <row r="7724" customFormat="false" ht="15.75" hidden="false" customHeight="false" outlineLevel="0" collapsed="false">
      <c r="A7724" s="6" t="n">
        <v>43031.6674652778</v>
      </c>
      <c r="B7724" s="7" t="str">
        <f aca="false">HYPERLINK("https://twitter.com/General_News_","@General_News_")</f>
        <v>@General_News_</v>
      </c>
      <c r="C7724" s="8" t="s">
        <v>3040</v>
      </c>
      <c r="D7724" s="8" t="s">
        <v>17296</v>
      </c>
      <c r="E7724" s="9" t="str">
        <f aca="false">HYPERLINK("https://twitter.com/General_News_/status/922598797406015489","922598797406015489")</f>
        <v>922598797406015489</v>
      </c>
      <c r="F7724" s="10" t="s">
        <v>3042</v>
      </c>
      <c r="G7724" s="10" t="n">
        <v>1986</v>
      </c>
      <c r="H7724" s="10" t="n">
        <v>1964</v>
      </c>
      <c r="I7724" s="10" t="n">
        <v>0</v>
      </c>
      <c r="J7724" s="10" t="n">
        <v>0</v>
      </c>
      <c r="K7724" s="10" t="s">
        <v>20</v>
      </c>
      <c r="L7724" s="11" t="n">
        <v>40621.3476967593</v>
      </c>
      <c r="M7724" s="12" t="s">
        <v>230</v>
      </c>
      <c r="N7724" s="12" t="s">
        <v>3043</v>
      </c>
      <c r="O7724" s="9" t="str">
        <f aca="false">HYPERLINK("https://pbs.twimg.com/profile_images/1279304346/Afbeelding_35_normal.png","View")</f>
        <v>View</v>
      </c>
      <c r="P7724" s="10"/>
    </row>
    <row r="7725" customFormat="false" ht="15.75" hidden="false" customHeight="false" outlineLevel="0" collapsed="false">
      <c r="A7725" s="6" t="n">
        <v>43031.668287037</v>
      </c>
      <c r="B7725" s="7" t="str">
        <f aca="false">HYPERLINK("https://twitter.com/xandromarcos7","@xandromarcos7")</f>
        <v>@xandromarcos7</v>
      </c>
      <c r="C7725" s="8" t="s">
        <v>17297</v>
      </c>
      <c r="D7725" s="8" t="s">
        <v>17298</v>
      </c>
      <c r="E7725" s="9" t="str">
        <f aca="false">HYPERLINK("https://twitter.com/xandromarcos7/status/922599098514935808","922599098514935808")</f>
        <v>922599098514935808</v>
      </c>
      <c r="F7725" s="10" t="s">
        <v>25</v>
      </c>
      <c r="G7725" s="10" t="n">
        <v>46</v>
      </c>
      <c r="H7725" s="10" t="n">
        <v>50</v>
      </c>
      <c r="I7725" s="10" t="n">
        <v>0</v>
      </c>
      <c r="J7725" s="10" t="n">
        <v>2</v>
      </c>
      <c r="K7725" s="10" t="s">
        <v>20</v>
      </c>
      <c r="L7725" s="11" t="n">
        <v>42750.9058912037</v>
      </c>
      <c r="M7725" s="12" t="s">
        <v>17299</v>
      </c>
      <c r="N7725" s="12" t="s">
        <v>17300</v>
      </c>
      <c r="O7725" s="9" t="str">
        <f aca="false">HYPERLINK("https://pbs.twimg.com/profile_images/865497353087631361/M5smQvnZ_normal.jpg","View")</f>
        <v>View</v>
      </c>
      <c r="P7725" s="10"/>
    </row>
    <row r="7726" customFormat="false" ht="15.75" hidden="false" customHeight="false" outlineLevel="0" collapsed="false">
      <c r="A7726" s="6" t="n">
        <v>43031.6683564815</v>
      </c>
      <c r="B7726" s="7" t="str">
        <f aca="false">HYPERLINK("https://twitter.com/Robs_News","@Robs_News")</f>
        <v>@Robs_News</v>
      </c>
      <c r="C7726" s="8" t="s">
        <v>17301</v>
      </c>
      <c r="D7726" s="8" t="s">
        <v>16785</v>
      </c>
      <c r="E7726" s="9" t="str">
        <f aca="false">HYPERLINK("https://twitter.com/Robs_News/status/922599123324489733","922599123324489733")</f>
        <v>922599123324489733</v>
      </c>
      <c r="F7726" s="10" t="s">
        <v>51</v>
      </c>
      <c r="G7726" s="10" t="n">
        <v>24</v>
      </c>
      <c r="H7726" s="10" t="n">
        <v>31</v>
      </c>
      <c r="I7726" s="10" t="n">
        <v>41</v>
      </c>
      <c r="J7726" s="10" t="n">
        <v>0</v>
      </c>
      <c r="K7726" s="10" t="s">
        <v>20</v>
      </c>
      <c r="L7726" s="11" t="n">
        <v>43000.2714699074</v>
      </c>
      <c r="M7726" s="12"/>
      <c r="N7726" s="12" t="s">
        <v>17302</v>
      </c>
      <c r="O7726" s="9" t="str">
        <f aca="false">HYPERLINK("https://pbs.twimg.com/profile_images/911223639386796032/xo79RmLw_normal.jpg","View")</f>
        <v>View</v>
      </c>
      <c r="P7726" s="10"/>
    </row>
    <row r="7727" customFormat="false" ht="15.75" hidden="false" customHeight="false" outlineLevel="0" collapsed="false">
      <c r="A7727" s="6" t="n">
        <v>43031.6710185185</v>
      </c>
      <c r="B7727" s="7" t="str">
        <f aca="false">HYPERLINK("https://twitter.com/uk_worldnews","@uk_worldnews")</f>
        <v>@uk_worldnews</v>
      </c>
      <c r="C7727" s="8" t="s">
        <v>6481</v>
      </c>
      <c r="D7727" s="8" t="s">
        <v>17303</v>
      </c>
      <c r="E7727" s="9" t="str">
        <f aca="false">HYPERLINK("https://twitter.com/uk_worldnews/status/922600087968198661","922600087968198661")</f>
        <v>922600087968198661</v>
      </c>
      <c r="F7727" s="10" t="s">
        <v>3042</v>
      </c>
      <c r="G7727" s="10" t="n">
        <v>1140</v>
      </c>
      <c r="H7727" s="10" t="n">
        <v>886</v>
      </c>
      <c r="I7727" s="10" t="n">
        <v>0</v>
      </c>
      <c r="J7727" s="10" t="n">
        <v>0</v>
      </c>
      <c r="K7727" s="10" t="s">
        <v>20</v>
      </c>
      <c r="L7727" s="11" t="n">
        <v>41691.4903819444</v>
      </c>
      <c r="M7727" s="12"/>
      <c r="N7727" s="12" t="s">
        <v>6483</v>
      </c>
      <c r="O7727" s="9" t="str">
        <f aca="false">HYPERLINK("https://pbs.twimg.com/profile_images/436950530964070400/VO-NlZAO_normal.png","View")</f>
        <v>View</v>
      </c>
      <c r="P7727" s="10"/>
    </row>
    <row r="7728" customFormat="false" ht="15.75" hidden="false" customHeight="false" outlineLevel="0" collapsed="false">
      <c r="A7728" s="6" t="n">
        <v>43031.6710532407</v>
      </c>
      <c r="B7728" s="7" t="str">
        <f aca="false">HYPERLINK("https://twitter.com/newsloc_animals","@newsloc_animals")</f>
        <v>@newsloc_animals</v>
      </c>
      <c r="C7728" s="8" t="s">
        <v>17304</v>
      </c>
      <c r="D7728" s="8" t="s">
        <v>17305</v>
      </c>
      <c r="E7728" s="9" t="str">
        <f aca="false">HYPERLINK("https://twitter.com/newsloc_animals/status/922600098391085058","922600098391085058")</f>
        <v>922600098391085058</v>
      </c>
      <c r="F7728" s="10" t="s">
        <v>3042</v>
      </c>
      <c r="G7728" s="10" t="n">
        <v>1712</v>
      </c>
      <c r="H7728" s="10" t="n">
        <v>1957</v>
      </c>
      <c r="I7728" s="10" t="n">
        <v>0</v>
      </c>
      <c r="J7728" s="10" t="n">
        <v>0</v>
      </c>
      <c r="K7728" s="10" t="s">
        <v>20</v>
      </c>
      <c r="L7728" s="11" t="n">
        <v>41025.1403240741</v>
      </c>
      <c r="M7728" s="12"/>
      <c r="N7728" s="12" t="s">
        <v>17306</v>
      </c>
      <c r="O7728" s="9" t="str">
        <f aca="false">HYPERLINK("https://pbs.twimg.com/profile_images/2232132537/Afbeelding_32_normal.png","View")</f>
        <v>View</v>
      </c>
      <c r="P7728" s="10"/>
    </row>
    <row r="7729" customFormat="false" ht="15.75" hidden="false" customHeight="false" outlineLevel="0" collapsed="false">
      <c r="A7729" s="6" t="n">
        <v>43031.671400463</v>
      </c>
      <c r="B7729" s="7" t="str">
        <f aca="false">HYPERLINK("https://twitter.com/Christo89663214","@Christo89663214")</f>
        <v>@Christo89663214</v>
      </c>
      <c r="C7729" s="8" t="s">
        <v>17307</v>
      </c>
      <c r="D7729" s="8" t="s">
        <v>16929</v>
      </c>
      <c r="E7729" s="9" t="str">
        <f aca="false">HYPERLINK("https://twitter.com/Christo89663214/status/922600225549758464","922600225549758464")</f>
        <v>922600225549758464</v>
      </c>
      <c r="F7729" s="10" t="s">
        <v>51</v>
      </c>
      <c r="G7729" s="10" t="n">
        <v>95</v>
      </c>
      <c r="H7729" s="10" t="n">
        <v>239</v>
      </c>
      <c r="I7729" s="10" t="n">
        <v>247</v>
      </c>
      <c r="J7729" s="10" t="n">
        <v>0</v>
      </c>
      <c r="K7729" s="10" t="s">
        <v>20</v>
      </c>
      <c r="L7729" s="11" t="n">
        <v>42739.8410648148</v>
      </c>
      <c r="M7729" s="12" t="s">
        <v>1961</v>
      </c>
      <c r="N7729" s="12" t="s">
        <v>17308</v>
      </c>
      <c r="O7729" s="9" t="str">
        <f aca="false">HYPERLINK("https://pbs.twimg.com/profile_images/816860762538987521/mItO4ZSS_normal.jpg","View")</f>
        <v>View</v>
      </c>
      <c r="P7729" s="10"/>
    </row>
    <row r="7730" customFormat="false" ht="15.75" hidden="false" customHeight="false" outlineLevel="0" collapsed="false">
      <c r="A7730" s="6" t="n">
        <v>43031.6733680556</v>
      </c>
      <c r="B7730" s="7" t="str">
        <f aca="false">HYPERLINK("https://twitter.com/ICRTNews","@ICRTNews")</f>
        <v>@ICRTNews</v>
      </c>
      <c r="C7730" s="8" t="s">
        <v>17309</v>
      </c>
      <c r="D7730" s="8" t="s">
        <v>17310</v>
      </c>
      <c r="E7730" s="9" t="str">
        <f aca="false">HYPERLINK("https://twitter.com/ICRTNews/status/922600936857407489","922600936857407489")</f>
        <v>922600936857407489</v>
      </c>
      <c r="F7730" s="10" t="s">
        <v>17311</v>
      </c>
      <c r="G7730" s="10" t="n">
        <v>4117</v>
      </c>
      <c r="H7730" s="10" t="n">
        <v>63</v>
      </c>
      <c r="I7730" s="10" t="n">
        <v>2</v>
      </c>
      <c r="J7730" s="10" t="n">
        <v>4</v>
      </c>
      <c r="K7730" s="10" t="s">
        <v>20</v>
      </c>
      <c r="L7730" s="11" t="n">
        <v>40046.0766087963</v>
      </c>
      <c r="M7730" s="12" t="s">
        <v>17312</v>
      </c>
      <c r="N7730" s="12" t="s">
        <v>17313</v>
      </c>
      <c r="O7730" s="9" t="str">
        <f aca="false">HYPERLINK("https://pbs.twimg.com/profile_images/474760452908404737/-tZY4_7h_normal.jpeg","View")</f>
        <v>View</v>
      </c>
      <c r="P7730" s="10"/>
    </row>
    <row r="7731" customFormat="false" ht="15.75" hidden="false" customHeight="false" outlineLevel="0" collapsed="false">
      <c r="A7731" s="6" t="n">
        <v>43031.6755208333</v>
      </c>
      <c r="B7731" s="7" t="str">
        <f aca="false">HYPERLINK("https://twitter.com/maisels","@maisels")</f>
        <v>@maisels</v>
      </c>
      <c r="C7731" s="8" t="s">
        <v>17314</v>
      </c>
      <c r="D7731" s="8" t="s">
        <v>16785</v>
      </c>
      <c r="E7731" s="9" t="str">
        <f aca="false">HYPERLINK("https://twitter.com/maisels/status/922601720546390016","922601720546390016")</f>
        <v>922601720546390016</v>
      </c>
      <c r="F7731" s="10" t="s">
        <v>51</v>
      </c>
      <c r="G7731" s="10" t="n">
        <v>853</v>
      </c>
      <c r="H7731" s="10" t="n">
        <v>952</v>
      </c>
      <c r="I7731" s="10" t="n">
        <v>41</v>
      </c>
      <c r="J7731" s="10" t="n">
        <v>0</v>
      </c>
      <c r="K7731" s="10" t="s">
        <v>20</v>
      </c>
      <c r="L7731" s="11" t="n">
        <v>40326.8701041667</v>
      </c>
      <c r="M7731" s="12"/>
      <c r="N7731" s="12" t="s">
        <v>17315</v>
      </c>
      <c r="O7731" s="9" t="str">
        <f aca="false">HYPERLINK("https://pbs.twimg.com/profile_images/465543951445786624/kMtuOvQq_normal.jpeg","View")</f>
        <v>View</v>
      </c>
      <c r="P7731" s="10"/>
    </row>
    <row r="7732" customFormat="false" ht="15.75" hidden="false" customHeight="false" outlineLevel="0" collapsed="false">
      <c r="A7732" s="6" t="n">
        <v>43031.6762152778</v>
      </c>
      <c r="B7732" s="7" t="str">
        <f aca="false">HYPERLINK("https://twitter.com/ksivananth","@ksivananth")</f>
        <v>@ksivananth</v>
      </c>
      <c r="C7732" s="8" t="s">
        <v>17316</v>
      </c>
      <c r="D7732" s="8" t="s">
        <v>8538</v>
      </c>
      <c r="E7732" s="9" t="str">
        <f aca="false">HYPERLINK("https://twitter.com/ksivananth/status/922601968727674880","922601968727674880")</f>
        <v>922601968727674880</v>
      </c>
      <c r="F7732" s="10" t="s">
        <v>25</v>
      </c>
      <c r="G7732" s="10" t="n">
        <v>64</v>
      </c>
      <c r="H7732" s="10" t="n">
        <v>279</v>
      </c>
      <c r="I7732" s="10" t="n">
        <v>1015</v>
      </c>
      <c r="J7732" s="10" t="n">
        <v>0</v>
      </c>
      <c r="K7732" s="10" t="s">
        <v>20</v>
      </c>
      <c r="L7732" s="11" t="n">
        <v>40705.1108796296</v>
      </c>
      <c r="M7732" s="12"/>
      <c r="N7732" s="12"/>
      <c r="O7732" s="9" t="str">
        <f aca="false">HYPERLINK("https://abs.twimg.com/sticky/default_profile_images/default_profile_normal.png","View")</f>
        <v>View</v>
      </c>
      <c r="P7732" s="10"/>
    </row>
    <row r="7733" customFormat="false" ht="15.75" hidden="false" customHeight="false" outlineLevel="0" collapsed="false">
      <c r="A7733" s="6" t="n">
        <v>43031.6766898148</v>
      </c>
      <c r="B7733" s="7" t="str">
        <f aca="false">HYPERLINK("https://twitter.com/JasonStaiert","@JasonStaiert")</f>
        <v>@JasonStaiert</v>
      </c>
      <c r="C7733" s="8" t="s">
        <v>17317</v>
      </c>
      <c r="D7733" s="8" t="s">
        <v>16929</v>
      </c>
      <c r="E7733" s="9" t="str">
        <f aca="false">HYPERLINK("https://twitter.com/JasonStaiert/status/922602140903886848","922602140903886848")</f>
        <v>922602140903886848</v>
      </c>
      <c r="F7733" s="10" t="s">
        <v>177</v>
      </c>
      <c r="G7733" s="10" t="n">
        <v>24</v>
      </c>
      <c r="H7733" s="10" t="n">
        <v>35</v>
      </c>
      <c r="I7733" s="10" t="n">
        <v>247</v>
      </c>
      <c r="J7733" s="10" t="n">
        <v>0</v>
      </c>
      <c r="K7733" s="10" t="s">
        <v>20</v>
      </c>
      <c r="L7733" s="11" t="n">
        <v>42757.4070023148</v>
      </c>
      <c r="M7733" s="12"/>
      <c r="N7733" s="12"/>
      <c r="O7733" s="9" t="str">
        <f aca="false">HYPERLINK("https://abs.twimg.com/sticky/default_profile_images/default_profile_normal.png","View")</f>
        <v>View</v>
      </c>
      <c r="P7733" s="10"/>
    </row>
    <row r="7734" customFormat="false" ht="15.75" hidden="false" customHeight="false" outlineLevel="0" collapsed="false">
      <c r="A7734" s="6" t="n">
        <v>43031.6770833333</v>
      </c>
      <c r="B7734" s="7" t="str">
        <f aca="false">HYPERLINK("https://twitter.com/AsCorrespondent","@AsCorrespondent")</f>
        <v>@AsCorrespondent</v>
      </c>
      <c r="C7734" s="8" t="s">
        <v>15149</v>
      </c>
      <c r="D7734" s="8" t="s">
        <v>17318</v>
      </c>
      <c r="E7734" s="9" t="str">
        <f aca="false">HYPERLINK("https://twitter.com/AsCorrespondent/status/922602284948836352","922602284948836352")</f>
        <v>922602284948836352</v>
      </c>
      <c r="F7734" s="10" t="s">
        <v>276</v>
      </c>
      <c r="G7734" s="10" t="n">
        <v>63119</v>
      </c>
      <c r="H7734" s="10" t="n">
        <v>3896</v>
      </c>
      <c r="I7734" s="10" t="n">
        <v>2</v>
      </c>
      <c r="J7734" s="10" t="n">
        <v>3</v>
      </c>
      <c r="K7734" s="10" t="s">
        <v>20</v>
      </c>
      <c r="L7734" s="11" t="n">
        <v>40104.374837963</v>
      </c>
      <c r="M7734" s="12" t="s">
        <v>15151</v>
      </c>
      <c r="N7734" s="12" t="s">
        <v>15152</v>
      </c>
      <c r="O7734" s="9" t="str">
        <f aca="false">HYPERLINK("https://pbs.twimg.com/profile_images/890461823325032448/sYzh58oB_normal.jpg","View")</f>
        <v>View</v>
      </c>
      <c r="P7734" s="10"/>
    </row>
    <row r="7735" customFormat="false" ht="15.75" hidden="false" customHeight="false" outlineLevel="0" collapsed="false">
      <c r="A7735" s="6" t="n">
        <v>43031.6773611111</v>
      </c>
      <c r="B7735" s="7" t="str">
        <f aca="false">HYPERLINK("https://twitter.com/hwingo","@hwingo")</f>
        <v>@hwingo</v>
      </c>
      <c r="C7735" s="8" t="s">
        <v>17319</v>
      </c>
      <c r="D7735" s="8" t="s">
        <v>17320</v>
      </c>
      <c r="E7735" s="9" t="str">
        <f aca="false">HYPERLINK("https://twitter.com/hwingo/status/922602383653376000","922602383653376000")</f>
        <v>922602383653376000</v>
      </c>
      <c r="F7735" s="10" t="s">
        <v>39</v>
      </c>
      <c r="G7735" s="10" t="n">
        <v>9584</v>
      </c>
      <c r="H7735" s="10" t="n">
        <v>9201</v>
      </c>
      <c r="I7735" s="10" t="n">
        <v>0</v>
      </c>
      <c r="J7735" s="10" t="n">
        <v>0</v>
      </c>
      <c r="K7735" s="10" t="s">
        <v>20</v>
      </c>
      <c r="L7735" s="11" t="n">
        <v>39823.4860648148</v>
      </c>
      <c r="M7735" s="12"/>
      <c r="N7735" s="12" t="s">
        <v>17321</v>
      </c>
      <c r="O7735" s="9" t="str">
        <f aca="false">HYPERLINK("https://pbs.twimg.com/profile_images/790287919059787776/60cv07rc_normal.jpg","View")</f>
        <v>View</v>
      </c>
      <c r="P7735" s="10"/>
    </row>
    <row r="7736" customFormat="false" ht="15.75" hidden="false" customHeight="false" outlineLevel="0" collapsed="false">
      <c r="A7736" s="6" t="n">
        <v>43031.6780092593</v>
      </c>
      <c r="B7736" s="7" t="str">
        <f aca="false">HYPERLINK("https://twitter.com/newssummeduphq","@newssummeduphq")</f>
        <v>@newssummeduphq</v>
      </c>
      <c r="C7736" s="8" t="s">
        <v>1177</v>
      </c>
      <c r="D7736" s="8" t="s">
        <v>17322</v>
      </c>
      <c r="E7736" s="9" t="str">
        <f aca="false">HYPERLINK("https://twitter.com/newssummeduphq/status/922602620073664512","922602620073664512")</f>
        <v>922602620073664512</v>
      </c>
      <c r="F7736" s="10" t="s">
        <v>1179</v>
      </c>
      <c r="G7736" s="10" t="n">
        <v>433</v>
      </c>
      <c r="H7736" s="10" t="n">
        <v>1175</v>
      </c>
      <c r="I7736" s="10" t="n">
        <v>0</v>
      </c>
      <c r="J7736" s="10" t="n">
        <v>0</v>
      </c>
      <c r="K7736" s="10" t="s">
        <v>20</v>
      </c>
      <c r="L7736" s="11" t="n">
        <v>42504.2012037037</v>
      </c>
      <c r="M7736" s="12" t="s">
        <v>588</v>
      </c>
      <c r="N7736" s="12" t="s">
        <v>1180</v>
      </c>
      <c r="O7736" s="9" t="str">
        <f aca="false">HYPERLINK("https://pbs.twimg.com/profile_images/731455561695264770/Oj_92lRJ_normal.jpg","View")</f>
        <v>View</v>
      </c>
      <c r="P7736" s="10"/>
    </row>
    <row r="7737" customFormat="false" ht="15.75" hidden="false" customHeight="false" outlineLevel="0" collapsed="false">
      <c r="A7737" s="6" t="n">
        <v>43031.6796643518</v>
      </c>
      <c r="B7737" s="7" t="str">
        <f aca="false">HYPERLINK("https://twitter.com/Ne1th_","@Ne1th_")</f>
        <v>@Ne1th_</v>
      </c>
      <c r="C7737" s="8" t="s">
        <v>17323</v>
      </c>
      <c r="D7737" s="8" t="s">
        <v>17324</v>
      </c>
      <c r="E7737" s="9" t="str">
        <f aca="false">HYPERLINK("https://twitter.com/Ne1th_/status/922603218995154944","922603218995154944")</f>
        <v>922603218995154944</v>
      </c>
      <c r="F7737" s="10" t="s">
        <v>51</v>
      </c>
      <c r="G7737" s="10" t="n">
        <v>58</v>
      </c>
      <c r="H7737" s="10" t="n">
        <v>122</v>
      </c>
      <c r="I7737" s="10" t="n">
        <v>0</v>
      </c>
      <c r="J7737" s="10" t="n">
        <v>0</v>
      </c>
      <c r="K7737" s="10" t="s">
        <v>20</v>
      </c>
      <c r="L7737" s="11" t="n">
        <v>40623.212025463</v>
      </c>
      <c r="M7737" s="12" t="s">
        <v>17325</v>
      </c>
      <c r="N7737" s="12" t="s">
        <v>17326</v>
      </c>
      <c r="O7737" s="9" t="str">
        <f aca="false">HYPERLINK("https://pbs.twimg.com/profile_images/741662807733731328/Y2mwjEsX_normal.jpg","View")</f>
        <v>View</v>
      </c>
      <c r="P7737" s="10"/>
    </row>
    <row r="7738" customFormat="false" ht="15.75" hidden="false" customHeight="false" outlineLevel="0" collapsed="false">
      <c r="A7738" s="6" t="n">
        <v>43031.6798842593</v>
      </c>
      <c r="B7738" s="7" t="str">
        <f aca="false">HYPERLINK("https://twitter.com/patdeleon59","@patdeleon59")</f>
        <v>@patdeleon59</v>
      </c>
      <c r="C7738" s="8" t="s">
        <v>17327</v>
      </c>
      <c r="D7738" s="8" t="s">
        <v>17328</v>
      </c>
      <c r="E7738" s="9" t="str">
        <f aca="false">HYPERLINK("https://twitter.com/patdeleon59/status/922603298011492352","922603298011492352")</f>
        <v>922603298011492352</v>
      </c>
      <c r="F7738" s="10" t="s">
        <v>177</v>
      </c>
      <c r="G7738" s="10" t="n">
        <v>500</v>
      </c>
      <c r="H7738" s="10" t="n">
        <v>271</v>
      </c>
      <c r="I7738" s="10" t="n">
        <v>2</v>
      </c>
      <c r="J7738" s="10" t="n">
        <v>0</v>
      </c>
      <c r="K7738" s="10" t="s">
        <v>20</v>
      </c>
      <c r="L7738" s="11" t="n">
        <v>41476.7043287037</v>
      </c>
      <c r="M7738" s="12"/>
      <c r="N7738" s="12" t="s">
        <v>17329</v>
      </c>
      <c r="O7738" s="9" t="str">
        <f aca="false">HYPERLINK("https://pbs.twimg.com/profile_images/735979620957229056/x7lqGKAn_normal.jpg","View")</f>
        <v>View</v>
      </c>
      <c r="P7738" s="10"/>
    </row>
    <row r="7739" customFormat="false" ht="15.75" hidden="false" customHeight="false" outlineLevel="0" collapsed="false">
      <c r="A7739" s="6" t="n">
        <v>43031.6807175926</v>
      </c>
      <c r="B7739" s="7" t="str">
        <f aca="false">HYPERLINK("https://twitter.com/mahanthanut","@mahanthanut")</f>
        <v>@mahanthanut</v>
      </c>
      <c r="C7739" s="8" t="s">
        <v>4083</v>
      </c>
      <c r="D7739" s="8" t="s">
        <v>17328</v>
      </c>
      <c r="E7739" s="9" t="str">
        <f aca="false">HYPERLINK("https://twitter.com/mahanthanut/status/922603600110432256","922603600110432256")</f>
        <v>922603600110432256</v>
      </c>
      <c r="F7739" s="10" t="s">
        <v>51</v>
      </c>
      <c r="G7739" s="10" t="n">
        <v>755</v>
      </c>
      <c r="H7739" s="10" t="n">
        <v>1972</v>
      </c>
      <c r="I7739" s="10" t="n">
        <v>2</v>
      </c>
      <c r="J7739" s="10" t="n">
        <v>0</v>
      </c>
      <c r="K7739" s="10" t="s">
        <v>20</v>
      </c>
      <c r="L7739" s="11" t="n">
        <v>42066.3065046296</v>
      </c>
      <c r="M7739" s="12"/>
      <c r="N7739" s="12"/>
      <c r="O7739" s="9" t="str">
        <f aca="false">HYPERLINK("https://pbs.twimg.com/profile_images/602460467231985666/I5K3SbBA_normal.jpg","View")</f>
        <v>View</v>
      </c>
      <c r="P7739" s="10"/>
    </row>
    <row r="7740" customFormat="false" ht="15.75" hidden="false" customHeight="false" outlineLevel="0" collapsed="false">
      <c r="A7740" s="6" t="n">
        <v>43031.6807291667</v>
      </c>
      <c r="B7740" s="7" t="str">
        <f aca="false">HYPERLINK("https://twitter.com/KLowgren","@KLowgren")</f>
        <v>@KLowgren</v>
      </c>
      <c r="C7740" s="8" t="s">
        <v>17330</v>
      </c>
      <c r="D7740" s="8" t="s">
        <v>16929</v>
      </c>
      <c r="E7740" s="9" t="str">
        <f aca="false">HYPERLINK("https://twitter.com/KLowgren/status/922603607953891328","922603607953891328")</f>
        <v>922603607953891328</v>
      </c>
      <c r="F7740" s="10" t="s">
        <v>39</v>
      </c>
      <c r="G7740" s="10" t="n">
        <v>1657</v>
      </c>
      <c r="H7740" s="10" t="n">
        <v>1878</v>
      </c>
      <c r="I7740" s="10" t="n">
        <v>247</v>
      </c>
      <c r="J7740" s="10" t="n">
        <v>0</v>
      </c>
      <c r="K7740" s="10" t="s">
        <v>20</v>
      </c>
      <c r="L7740" s="11" t="n">
        <v>41250.9785532407</v>
      </c>
      <c r="M7740" s="12"/>
      <c r="N7740" s="12" t="s">
        <v>17331</v>
      </c>
      <c r="O7740" s="9" t="str">
        <f aca="false">HYPERLINK("https://pbs.twimg.com/profile_images/3222195807/aee0dc018a1e68a4cc047139d31a150a_normal.jpeg","View")</f>
        <v>View</v>
      </c>
      <c r="P7740" s="10"/>
    </row>
    <row r="7741" customFormat="false" ht="15.75" hidden="false" customHeight="false" outlineLevel="0" collapsed="false">
      <c r="A7741" s="6" t="n">
        <v>43031.6827430556</v>
      </c>
      <c r="B7741" s="7" t="str">
        <f aca="false">HYPERLINK("https://twitter.com/Ethos68","@Ethos68")</f>
        <v>@Ethos68</v>
      </c>
      <c r="C7741" s="8" t="s">
        <v>17332</v>
      </c>
      <c r="D7741" s="8" t="s">
        <v>16785</v>
      </c>
      <c r="E7741" s="9" t="str">
        <f aca="false">HYPERLINK("https://twitter.com/Ethos68/status/922604336244334593","922604336244334593")</f>
        <v>922604336244334593</v>
      </c>
      <c r="F7741" s="10" t="s">
        <v>177</v>
      </c>
      <c r="G7741" s="10" t="n">
        <v>249</v>
      </c>
      <c r="H7741" s="10" t="n">
        <v>987</v>
      </c>
      <c r="I7741" s="10" t="n">
        <v>41</v>
      </c>
      <c r="J7741" s="10" t="n">
        <v>0</v>
      </c>
      <c r="K7741" s="10" t="s">
        <v>20</v>
      </c>
      <c r="L7741" s="11" t="n">
        <v>40012.3677777778</v>
      </c>
      <c r="M7741" s="13" t="s">
        <v>17333</v>
      </c>
      <c r="N7741" s="13" t="s">
        <v>17334</v>
      </c>
      <c r="O7741" s="9" t="str">
        <f aca="false">HYPERLINK("https://pbs.twimg.com/profile_images/872854957740802048/FkO6yrOE_normal.jpg","View")</f>
        <v>View</v>
      </c>
      <c r="P7741" s="10"/>
    </row>
    <row r="7742" customFormat="false" ht="15.75" hidden="false" customHeight="false" outlineLevel="0" collapsed="false">
      <c r="A7742" s="6" t="n">
        <v>43031.6847685185</v>
      </c>
      <c r="B7742" s="7" t="str">
        <f aca="false">HYPERLINK("https://twitter.com/DallarteJoana","@DallarteJoana")</f>
        <v>@DallarteJoana</v>
      </c>
      <c r="C7742" s="8" t="s">
        <v>17335</v>
      </c>
      <c r="D7742" s="8" t="s">
        <v>16929</v>
      </c>
      <c r="E7742" s="9" t="str">
        <f aca="false">HYPERLINK("https://twitter.com/DallarteJoana/status/922605069454807043","922605069454807043")</f>
        <v>922605069454807043</v>
      </c>
      <c r="F7742" s="10" t="s">
        <v>25</v>
      </c>
      <c r="G7742" s="10" t="n">
        <v>48</v>
      </c>
      <c r="H7742" s="10" t="n">
        <v>121</v>
      </c>
      <c r="I7742" s="10" t="n">
        <v>247</v>
      </c>
      <c r="J7742" s="10" t="n">
        <v>0</v>
      </c>
      <c r="K7742" s="10" t="s">
        <v>20</v>
      </c>
      <c r="L7742" s="11" t="n">
        <v>42957.2138773148</v>
      </c>
      <c r="M7742" s="12" t="s">
        <v>17336</v>
      </c>
      <c r="N7742" s="12" t="s">
        <v>17337</v>
      </c>
      <c r="O7742" s="9" t="str">
        <f aca="false">HYPERLINK("https://pbs.twimg.com/profile_images/918193078367789056/ZT-DCeOo_normal.jpg","View")</f>
        <v>View</v>
      </c>
      <c r="P7742" s="10"/>
    </row>
    <row r="7743" customFormat="false" ht="15.75" hidden="false" customHeight="false" outlineLevel="0" collapsed="false">
      <c r="A7743" s="6" t="n">
        <v>43031.6848611111</v>
      </c>
      <c r="B7743" s="7" t="str">
        <f aca="false">HYPERLINK("https://twitter.com/xxstallonexxx","@xxstallonexxx")</f>
        <v>@xxstallonexxx</v>
      </c>
      <c r="C7743" s="14" t="s">
        <v>12059</v>
      </c>
      <c r="D7743" s="8" t="s">
        <v>17338</v>
      </c>
      <c r="E7743" s="9" t="str">
        <f aca="false">HYPERLINK("https://twitter.com/xxstallonexxx/status/922605102090788864","922605102090788864")</f>
        <v>922605102090788864</v>
      </c>
      <c r="F7743" s="10" t="s">
        <v>39</v>
      </c>
      <c r="G7743" s="10" t="n">
        <v>100</v>
      </c>
      <c r="H7743" s="10" t="n">
        <v>108</v>
      </c>
      <c r="I7743" s="10" t="n">
        <v>1</v>
      </c>
      <c r="J7743" s="10" t="n">
        <v>0</v>
      </c>
      <c r="K7743" s="10" t="s">
        <v>20</v>
      </c>
      <c r="L7743" s="11" t="n">
        <v>42555.2630671296</v>
      </c>
      <c r="M7743" s="13" t="s">
        <v>12061</v>
      </c>
      <c r="N7743" s="12" t="s">
        <v>12062</v>
      </c>
      <c r="O7743" s="9" t="str">
        <f aca="false">HYPERLINK("https://pbs.twimg.com/profile_images/855426360629641216/6w13eK66_normal.jpg","View")</f>
        <v>View</v>
      </c>
      <c r="P7743" s="10"/>
    </row>
    <row r="7744" customFormat="false" ht="15.75" hidden="false" customHeight="false" outlineLevel="0" collapsed="false">
      <c r="A7744" s="6" t="n">
        <v>43031.6865393519</v>
      </c>
      <c r="B7744" s="7" t="str">
        <f aca="false">HYPERLINK("https://twitter.com/Horton47Robin","@Horton47Robin")</f>
        <v>@Horton47Robin</v>
      </c>
      <c r="C7744" s="8" t="s">
        <v>17339</v>
      </c>
      <c r="D7744" s="8" t="s">
        <v>16929</v>
      </c>
      <c r="E7744" s="9" t="str">
        <f aca="false">HYPERLINK("https://twitter.com/Horton47Robin/status/922605712877944836","922605712877944836")</f>
        <v>922605712877944836</v>
      </c>
      <c r="F7744" s="10" t="s">
        <v>25</v>
      </c>
      <c r="G7744" s="10" t="n">
        <v>313</v>
      </c>
      <c r="H7744" s="10" t="n">
        <v>313</v>
      </c>
      <c r="I7744" s="10" t="n">
        <v>247</v>
      </c>
      <c r="J7744" s="10" t="n">
        <v>0</v>
      </c>
      <c r="K7744" s="10" t="s">
        <v>20</v>
      </c>
      <c r="L7744" s="11" t="n">
        <v>42065.8891550926</v>
      </c>
      <c r="M7744" s="12" t="s">
        <v>4590</v>
      </c>
      <c r="N7744" s="12"/>
      <c r="O7744" s="9" t="str">
        <f aca="false">HYPERLINK("https://pbs.twimg.com/profile_images/891723838924390400/D2JXMWVJ_normal.jpg","View")</f>
        <v>View</v>
      </c>
      <c r="P7744" s="10"/>
    </row>
    <row r="7745" customFormat="false" ht="15.75" hidden="false" customHeight="false" outlineLevel="0" collapsed="false">
      <c r="A7745" s="6" t="n">
        <v>43031.6887731482</v>
      </c>
      <c r="B7745" s="7" t="str">
        <f aca="false">HYPERLINK("https://twitter.com/VetrepreneurOne","@VetrepreneurOne")</f>
        <v>@VetrepreneurOne</v>
      </c>
      <c r="C7745" s="8" t="s">
        <v>17340</v>
      </c>
      <c r="D7745" s="8" t="s">
        <v>16929</v>
      </c>
      <c r="E7745" s="9" t="str">
        <f aca="false">HYPERLINK("https://twitter.com/VetrepreneurOne/status/922606520747077632","922606520747077632")</f>
        <v>922606520747077632</v>
      </c>
      <c r="F7745" s="10" t="s">
        <v>39</v>
      </c>
      <c r="G7745" s="10" t="n">
        <v>854</v>
      </c>
      <c r="H7745" s="10" t="n">
        <v>855</v>
      </c>
      <c r="I7745" s="10" t="n">
        <v>247</v>
      </c>
      <c r="J7745" s="10" t="n">
        <v>0</v>
      </c>
      <c r="K7745" s="10" t="s">
        <v>20</v>
      </c>
      <c r="L7745" s="11" t="n">
        <v>40057.4894560185</v>
      </c>
      <c r="M7745" s="12" t="s">
        <v>17341</v>
      </c>
      <c r="N7745" s="12" t="s">
        <v>17342</v>
      </c>
      <c r="O7745" s="9" t="str">
        <f aca="false">HYPERLINK("https://pbs.twimg.com/profile_images/907061296440504321/DYU9yRXx_normal.jpg","View")</f>
        <v>View</v>
      </c>
      <c r="P7745" s="10"/>
    </row>
    <row r="7746" customFormat="false" ht="15.75" hidden="false" customHeight="false" outlineLevel="0" collapsed="false">
      <c r="A7746" s="6" t="n">
        <v>43031.6893287037</v>
      </c>
      <c r="B7746" s="7" t="str">
        <f aca="false">HYPERLINK("https://twitter.com/rajreddynyc","@rajreddynyc")</f>
        <v>@rajreddynyc</v>
      </c>
      <c r="C7746" s="8" t="s">
        <v>17343</v>
      </c>
      <c r="D7746" s="8" t="s">
        <v>8538</v>
      </c>
      <c r="E7746" s="9" t="str">
        <f aca="false">HYPERLINK("https://twitter.com/rajreddynyc/status/922606720794238976","922606720794238976")</f>
        <v>922606720794238976</v>
      </c>
      <c r="F7746" s="10" t="s">
        <v>25</v>
      </c>
      <c r="G7746" s="10" t="n">
        <v>184</v>
      </c>
      <c r="H7746" s="10" t="n">
        <v>52</v>
      </c>
      <c r="I7746" s="10" t="n">
        <v>1015</v>
      </c>
      <c r="J7746" s="10" t="n">
        <v>0</v>
      </c>
      <c r="K7746" s="10" t="s">
        <v>20</v>
      </c>
      <c r="L7746" s="11" t="n">
        <v>41264.420162037</v>
      </c>
      <c r="M7746" s="12" t="s">
        <v>17344</v>
      </c>
      <c r="N7746" s="12" t="s">
        <v>17345</v>
      </c>
      <c r="O7746" s="9" t="str">
        <f aca="false">HYPERLINK("https://pbs.twimg.com/profile_images/539973353369399296/SeJS9txO_normal.png","View")</f>
        <v>View</v>
      </c>
      <c r="P7746" s="10"/>
    </row>
    <row r="7747" customFormat="false" ht="15.75" hidden="false" customHeight="false" outlineLevel="0" collapsed="false">
      <c r="A7747" s="6" t="n">
        <v>43031.6911458333</v>
      </c>
      <c r="B7747" s="7" t="str">
        <f aca="false">HYPERLINK("https://twitter.com/OrangeDigitKo","@OrangeDigitKo")</f>
        <v>@OrangeDigitKo</v>
      </c>
      <c r="C7747" s="8" t="s">
        <v>17346</v>
      </c>
      <c r="D7747" s="8" t="s">
        <v>17347</v>
      </c>
      <c r="E7747" s="9" t="str">
        <f aca="false">HYPERLINK("https://twitter.com/OrangeDigitKo/status/922607381636268032","922607381636268032")</f>
        <v>922607381636268032</v>
      </c>
      <c r="F7747" s="9" t="s">
        <v>17348</v>
      </c>
      <c r="G7747" s="10" t="n">
        <v>908</v>
      </c>
      <c r="H7747" s="10" t="n">
        <v>1654</v>
      </c>
      <c r="I7747" s="10" t="n">
        <v>0</v>
      </c>
      <c r="J7747" s="10" t="n">
        <v>0</v>
      </c>
      <c r="K7747" s="10" t="s">
        <v>20</v>
      </c>
      <c r="L7747" s="11" t="n">
        <v>41157.7862152778</v>
      </c>
      <c r="M7747" s="13" t="s">
        <v>17349</v>
      </c>
      <c r="N7747" s="12" t="s">
        <v>17350</v>
      </c>
      <c r="O7747" s="9" t="str">
        <f aca="false">HYPERLINK("https://pbs.twimg.com/profile_images/2794394346/1dadd886e1668e478ce8a9fdc103ed70_normal.png","View")</f>
        <v>View</v>
      </c>
      <c r="P7747" s="10"/>
    </row>
    <row r="7748" customFormat="false" ht="15.75" hidden="false" customHeight="false" outlineLevel="0" collapsed="false">
      <c r="A7748" s="6" t="n">
        <v>43031.6918981481</v>
      </c>
      <c r="B7748" s="7" t="str">
        <f aca="false">HYPERLINK("https://twitter.com/NTKRNow","@NTKRNow")</f>
        <v>@NTKRNow</v>
      </c>
      <c r="C7748" s="8" t="s">
        <v>829</v>
      </c>
      <c r="D7748" s="8" t="s">
        <v>17351</v>
      </c>
      <c r="E7748" s="9" t="str">
        <f aca="false">HYPERLINK("https://twitter.com/NTKRNow/status/922607654148620288","922607654148620288")</f>
        <v>922607654148620288</v>
      </c>
      <c r="F7748" s="10" t="s">
        <v>60</v>
      </c>
      <c r="G7748" s="10" t="n">
        <v>610</v>
      </c>
      <c r="H7748" s="10" t="n">
        <v>4</v>
      </c>
      <c r="I7748" s="10" t="n">
        <v>0</v>
      </c>
      <c r="J7748" s="10" t="n">
        <v>0</v>
      </c>
      <c r="K7748" s="10" t="s">
        <v>20</v>
      </c>
      <c r="L7748" s="11" t="n">
        <v>42402.810625</v>
      </c>
      <c r="M7748" s="12"/>
      <c r="N7748" s="12"/>
      <c r="O7748" s="9" t="str">
        <f aca="false">HYPERLINK("https://abs.twimg.com/sticky/default_profile_images/default_profile_normal.png","View")</f>
        <v>View</v>
      </c>
      <c r="P7748" s="10"/>
    </row>
    <row r="7749" customFormat="false" ht="15.75" hidden="false" customHeight="false" outlineLevel="0" collapsed="false">
      <c r="A7749" s="6" t="n">
        <v>43031.6958101852</v>
      </c>
      <c r="B7749" s="7" t="str">
        <f aca="false">HYPERLINK("https://twitter.com/nneusj","@nneusj")</f>
        <v>@nneusj</v>
      </c>
      <c r="C7749" s="8" t="s">
        <v>834</v>
      </c>
      <c r="D7749" s="8" t="s">
        <v>16008</v>
      </c>
      <c r="E7749" s="9" t="str">
        <f aca="false">HYPERLINK("https://twitter.com/nneusj/status/922609070787497985","922609070787497985")</f>
        <v>922609070787497985</v>
      </c>
      <c r="F7749" s="10" t="s">
        <v>39</v>
      </c>
      <c r="G7749" s="10" t="n">
        <v>240</v>
      </c>
      <c r="H7749" s="10" t="n">
        <v>1887</v>
      </c>
      <c r="I7749" s="10" t="n">
        <v>32</v>
      </c>
      <c r="J7749" s="10" t="n">
        <v>0</v>
      </c>
      <c r="K7749" s="10" t="s">
        <v>20</v>
      </c>
      <c r="L7749" s="11" t="n">
        <v>42310.5218981481</v>
      </c>
      <c r="M7749" s="12"/>
      <c r="N7749" s="12"/>
      <c r="O7749" s="9" t="str">
        <f aca="false">HYPERLINK("https://pbs.twimg.com/profile_images/661281424570454016/IY6X6O9R_normal.jpg","View")</f>
        <v>View</v>
      </c>
      <c r="P7749" s="10"/>
    </row>
    <row r="7750" customFormat="false" ht="15.75" hidden="false" customHeight="false" outlineLevel="0" collapsed="false">
      <c r="A7750" s="6" t="n">
        <v>43031.6963657407</v>
      </c>
      <c r="B7750" s="7" t="str">
        <f aca="false">HYPERLINK("https://twitter.com/wyononia","@wyononia")</f>
        <v>@wyononia</v>
      </c>
      <c r="C7750" s="8" t="s">
        <v>17352</v>
      </c>
      <c r="D7750" s="8" t="s">
        <v>16929</v>
      </c>
      <c r="E7750" s="9" t="str">
        <f aca="false">HYPERLINK("https://twitter.com/wyononia/status/922609273556885504","922609273556885504")</f>
        <v>922609273556885504</v>
      </c>
      <c r="F7750" s="10" t="s">
        <v>177</v>
      </c>
      <c r="G7750" s="10" t="n">
        <v>4</v>
      </c>
      <c r="H7750" s="10" t="n">
        <v>71</v>
      </c>
      <c r="I7750" s="10" t="n">
        <v>247</v>
      </c>
      <c r="J7750" s="10" t="n">
        <v>0</v>
      </c>
      <c r="K7750" s="10" t="s">
        <v>20</v>
      </c>
      <c r="L7750" s="11" t="n">
        <v>41397.4215625</v>
      </c>
      <c r="M7750" s="12"/>
      <c r="N7750" s="12"/>
      <c r="O7750" s="9" t="str">
        <f aca="false">HYPERLINK("https://abs.twimg.com/sticky/default_profile_images/default_profile_normal.png","View")</f>
        <v>View</v>
      </c>
      <c r="P7750" s="10"/>
    </row>
    <row r="7751" customFormat="false" ht="15.75" hidden="false" customHeight="false" outlineLevel="0" collapsed="false">
      <c r="A7751" s="6" t="n">
        <v>43031.6965277778</v>
      </c>
      <c r="B7751" s="7" t="str">
        <f aca="false">HYPERLINK("https://twitter.com/coreburnflat","@coreburnflat")</f>
        <v>@coreburnflat</v>
      </c>
      <c r="C7751" s="8" t="s">
        <v>16811</v>
      </c>
      <c r="D7751" s="8" t="s">
        <v>17353</v>
      </c>
      <c r="E7751" s="9" t="str">
        <f aca="false">HYPERLINK("https://twitter.com/coreburnflat/status/922609330674860033","922609330674860033")</f>
        <v>922609330674860033</v>
      </c>
      <c r="F7751" s="10" t="s">
        <v>55</v>
      </c>
      <c r="G7751" s="10" t="n">
        <v>923</v>
      </c>
      <c r="H7751" s="10" t="n">
        <v>562</v>
      </c>
      <c r="I7751" s="10" t="n">
        <v>0</v>
      </c>
      <c r="J7751" s="10" t="n">
        <v>0</v>
      </c>
      <c r="K7751" s="10" t="s">
        <v>20</v>
      </c>
      <c r="L7751" s="11" t="n">
        <v>40982.479525463</v>
      </c>
      <c r="M7751" s="12"/>
      <c r="N7751" s="12"/>
      <c r="O7751" s="9" t="str">
        <f aca="false">HYPERLINK("https://pbs.twimg.com/profile_images/1898142881/core_normal.jpg","View")</f>
        <v>View</v>
      </c>
      <c r="P7751" s="10"/>
    </row>
    <row r="7752" customFormat="false" ht="15.75" hidden="false" customHeight="false" outlineLevel="0" collapsed="false">
      <c r="A7752" s="6" t="n">
        <v>43031.6965972222</v>
      </c>
      <c r="B7752" s="7" t="str">
        <f aca="false">HYPERLINK("https://twitter.com/friesfreak10700","@friesfreak10700")</f>
        <v>@friesfreak10700</v>
      </c>
      <c r="C7752" s="14" t="s">
        <v>17354</v>
      </c>
      <c r="D7752" s="8" t="s">
        <v>6707</v>
      </c>
      <c r="E7752" s="9" t="str">
        <f aca="false">HYPERLINK("https://twitter.com/friesfreak10700/status/922609355379191808","922609355379191808")</f>
        <v>922609355379191808</v>
      </c>
      <c r="F7752" s="10" t="s">
        <v>39</v>
      </c>
      <c r="G7752" s="10" t="n">
        <v>335</v>
      </c>
      <c r="H7752" s="10" t="n">
        <v>70</v>
      </c>
      <c r="I7752" s="10" t="n">
        <v>97</v>
      </c>
      <c r="J7752" s="10" t="n">
        <v>0</v>
      </c>
      <c r="K7752" s="10" t="s">
        <v>20</v>
      </c>
      <c r="L7752" s="11" t="n">
        <v>41018.1621527778</v>
      </c>
      <c r="M7752" s="12" t="s">
        <v>17355</v>
      </c>
      <c r="N7752" s="12" t="s">
        <v>17356</v>
      </c>
      <c r="O7752" s="9" t="str">
        <f aca="false">HYPERLINK("https://pbs.twimg.com/profile_images/913154653570842624/PuTNxdq0_normal.jpg","View")</f>
        <v>View</v>
      </c>
      <c r="P7752" s="10"/>
    </row>
    <row r="7753" customFormat="false" ht="15.75" hidden="false" customHeight="false" outlineLevel="0" collapsed="false">
      <c r="A7753" s="6" t="n">
        <v>43031.6968518519</v>
      </c>
      <c r="B7753" s="7" t="str">
        <f aca="false">HYPERLINK("https://twitter.com/MzSubezer0","@MzSubezer0")</f>
        <v>@MzSubezer0</v>
      </c>
      <c r="C7753" s="8" t="s">
        <v>17357</v>
      </c>
      <c r="D7753" s="8" t="s">
        <v>14598</v>
      </c>
      <c r="E7753" s="9" t="str">
        <f aca="false">HYPERLINK("https://twitter.com/MzSubezer0/status/922609449960800256","922609449960800256")</f>
        <v>922609449960800256</v>
      </c>
      <c r="F7753" s="10" t="s">
        <v>25</v>
      </c>
      <c r="G7753" s="10" t="n">
        <v>53</v>
      </c>
      <c r="H7753" s="10" t="n">
        <v>2277</v>
      </c>
      <c r="I7753" s="10" t="n">
        <v>23</v>
      </c>
      <c r="J7753" s="10" t="n">
        <v>0</v>
      </c>
      <c r="K7753" s="10" t="s">
        <v>20</v>
      </c>
      <c r="L7753" s="11" t="n">
        <v>40884.5195138889</v>
      </c>
      <c r="M7753" s="12" t="s">
        <v>17358</v>
      </c>
      <c r="N7753" s="12" t="s">
        <v>17359</v>
      </c>
      <c r="O7753" s="9" t="str">
        <f aca="false">HYPERLINK("https://pbs.twimg.com/profile_images/763011527762862080/eAIHrzx0_normal.jpg","View")</f>
        <v>View</v>
      </c>
      <c r="P7753" s="10"/>
    </row>
    <row r="7754" customFormat="false" ht="15.75" hidden="false" customHeight="false" outlineLevel="0" collapsed="false">
      <c r="A7754" s="6" t="n">
        <v>43031.6969212963</v>
      </c>
      <c r="B7754" s="7" t="str">
        <f aca="false">HYPERLINK("https://twitter.com/BooksCfe","@BooksCfe")</f>
        <v>@BooksCfe</v>
      </c>
      <c r="C7754" s="8" t="s">
        <v>17360</v>
      </c>
      <c r="D7754" s="8" t="s">
        <v>17361</v>
      </c>
      <c r="E7754" s="9" t="str">
        <f aca="false">HYPERLINK("https://twitter.com/BooksCfe/status/922609473709137931","922609473709137931")</f>
        <v>922609473709137931</v>
      </c>
      <c r="F7754" s="10" t="s">
        <v>60</v>
      </c>
      <c r="G7754" s="10" t="n">
        <v>0</v>
      </c>
      <c r="H7754" s="10" t="n">
        <v>0</v>
      </c>
      <c r="I7754" s="10" t="n">
        <v>0</v>
      </c>
      <c r="J7754" s="10" t="n">
        <v>0</v>
      </c>
      <c r="K7754" s="10" t="s">
        <v>20</v>
      </c>
      <c r="L7754" s="11" t="n">
        <v>43030.0080324074</v>
      </c>
      <c r="M7754" s="12"/>
      <c r="N7754" s="12"/>
      <c r="O7754" s="9" t="str">
        <f aca="false">HYPERLINK("https://abs.twimg.com/sticky/default_profile_images/default_profile_normal.png","View")</f>
        <v>View</v>
      </c>
      <c r="P7754" s="10"/>
    </row>
    <row r="7755" customFormat="false" ht="15.75" hidden="false" customHeight="false" outlineLevel="0" collapsed="false">
      <c r="A7755" s="6" t="n">
        <v>43031.6981018519</v>
      </c>
      <c r="B7755" s="7" t="str">
        <f aca="false">HYPERLINK("https://twitter.com/Skerkro3","@Skerkro3")</f>
        <v>@Skerkro3</v>
      </c>
      <c r="C7755" s="8" t="s">
        <v>17362</v>
      </c>
      <c r="D7755" s="8" t="s">
        <v>16929</v>
      </c>
      <c r="E7755" s="9" t="str">
        <f aca="false">HYPERLINK("https://twitter.com/Skerkro3/status/922609901532274688","922609901532274688")</f>
        <v>922609901532274688</v>
      </c>
      <c r="F7755" s="10" t="s">
        <v>177</v>
      </c>
      <c r="G7755" s="10" t="n">
        <v>160</v>
      </c>
      <c r="H7755" s="10" t="n">
        <v>99</v>
      </c>
      <c r="I7755" s="10" t="n">
        <v>247</v>
      </c>
      <c r="J7755" s="10" t="n">
        <v>0</v>
      </c>
      <c r="K7755" s="10" t="s">
        <v>20</v>
      </c>
      <c r="L7755" s="11" t="n">
        <v>42922.8620023148</v>
      </c>
      <c r="M7755" s="12" t="s">
        <v>1961</v>
      </c>
      <c r="N7755" s="12" t="s">
        <v>17363</v>
      </c>
      <c r="O7755" s="9" t="str">
        <f aca="false">HYPERLINK("https://pbs.twimg.com/profile_images/883872786313342977/dBRBirA9_normal.jpg","View")</f>
        <v>View</v>
      </c>
      <c r="P7755" s="10"/>
    </row>
    <row r="7756" customFormat="false" ht="15.75" hidden="false" customHeight="false" outlineLevel="0" collapsed="false">
      <c r="A7756" s="6" t="n">
        <v>43031.6992592593</v>
      </c>
      <c r="B7756" s="7" t="str">
        <f aca="false">HYPERLINK("https://twitter.com/Groovindave","@Groovindave")</f>
        <v>@Groovindave</v>
      </c>
      <c r="C7756" s="8" t="s">
        <v>17364</v>
      </c>
      <c r="D7756" s="8" t="s">
        <v>16929</v>
      </c>
      <c r="E7756" s="9" t="str">
        <f aca="false">HYPERLINK("https://twitter.com/Groovindave/status/922610322745147392","922610322745147392")</f>
        <v>922610322745147392</v>
      </c>
      <c r="F7756" s="10" t="s">
        <v>51</v>
      </c>
      <c r="G7756" s="10" t="n">
        <v>506</v>
      </c>
      <c r="H7756" s="10" t="n">
        <v>1486</v>
      </c>
      <c r="I7756" s="10" t="n">
        <v>247</v>
      </c>
      <c r="J7756" s="10" t="n">
        <v>0</v>
      </c>
      <c r="K7756" s="10" t="s">
        <v>20</v>
      </c>
      <c r="L7756" s="11" t="n">
        <v>40726.360162037</v>
      </c>
      <c r="M7756" s="12" t="s">
        <v>17365</v>
      </c>
      <c r="N7756" s="12" t="s">
        <v>17366</v>
      </c>
      <c r="O7756" s="9" t="str">
        <f aca="false">HYPERLINK("https://pbs.twimg.com/profile_images/921083266978820096/ssaV6m42_normal.jpg","View")</f>
        <v>View</v>
      </c>
      <c r="P7756" s="10"/>
    </row>
    <row r="7757" customFormat="false" ht="15.75" hidden="false" customHeight="false" outlineLevel="0" collapsed="false">
      <c r="A7757" s="6" t="n">
        <v>43031.7008912037</v>
      </c>
      <c r="B7757" s="7" t="str">
        <f aca="false">HYPERLINK("https://twitter.com/EconomistOnce","@EconomistOnce")</f>
        <v>@EconomistOnce</v>
      </c>
      <c r="C7757" s="8" t="s">
        <v>17367</v>
      </c>
      <c r="D7757" s="8" t="s">
        <v>17368</v>
      </c>
      <c r="E7757" s="9" t="str">
        <f aca="false">HYPERLINK("https://twitter.com/EconomistOnce/status/922610911885582336","922610911885582336")</f>
        <v>922610911885582336</v>
      </c>
      <c r="F7757" s="10" t="s">
        <v>268</v>
      </c>
      <c r="G7757" s="10" t="n">
        <v>45208</v>
      </c>
      <c r="H7757" s="10" t="n">
        <v>1</v>
      </c>
      <c r="I7757" s="10" t="n">
        <v>1</v>
      </c>
      <c r="J7757" s="10" t="n">
        <v>2</v>
      </c>
      <c r="K7757" s="10" t="s">
        <v>20</v>
      </c>
      <c r="L7757" s="11" t="n">
        <v>42201.1700925926</v>
      </c>
      <c r="M7757" s="12"/>
      <c r="N7757" s="12"/>
      <c r="O7757" s="9" t="str">
        <f aca="false">HYPERLINK("https://pbs.twimg.com/profile_images/879367721569452033/HwC6EIaw_normal.jpg","View")</f>
        <v>View</v>
      </c>
      <c r="P7757" s="10"/>
    </row>
    <row r="7758" customFormat="false" ht="15.75" hidden="false" customHeight="false" outlineLevel="0" collapsed="false">
      <c r="A7758" s="6" t="n">
        <v>43031.7012384259</v>
      </c>
      <c r="B7758" s="7" t="str">
        <f aca="false">HYPERLINK("https://twitter.com/miro_bey","@miro_bey")</f>
        <v>@miro_bey</v>
      </c>
      <c r="C7758" s="8" t="s">
        <v>12468</v>
      </c>
      <c r="D7758" s="8" t="s">
        <v>17254</v>
      </c>
      <c r="E7758" s="9" t="str">
        <f aca="false">HYPERLINK("https://twitter.com/miro_bey/status/922611039350476801","922611039350476801")</f>
        <v>922611039350476801</v>
      </c>
      <c r="F7758" s="10" t="s">
        <v>51</v>
      </c>
      <c r="G7758" s="10" t="n">
        <v>1099</v>
      </c>
      <c r="H7758" s="10" t="n">
        <v>457</v>
      </c>
      <c r="I7758" s="10" t="n">
        <v>3</v>
      </c>
      <c r="J7758" s="10" t="n">
        <v>0</v>
      </c>
      <c r="K7758" s="10" t="s">
        <v>20</v>
      </c>
      <c r="L7758" s="11" t="n">
        <v>41634.7252546296</v>
      </c>
      <c r="M7758" s="12"/>
      <c r="N7758" s="12" t="s">
        <v>12469</v>
      </c>
      <c r="O7758" s="9" t="str">
        <f aca="false">HYPERLINK("https://pbs.twimg.com/profile_images/912392692470083584/OQf6pA1F_normal.jpg","View")</f>
        <v>View</v>
      </c>
      <c r="P7758" s="10"/>
    </row>
    <row r="7759" customFormat="false" ht="15.75" hidden="false" customHeight="false" outlineLevel="0" collapsed="false">
      <c r="A7759" s="6" t="n">
        <v>43031.7015972222</v>
      </c>
      <c r="B7759" s="7" t="str">
        <f aca="false">HYPERLINK("https://twitter.com/teburemeijin","@teburemeijin")</f>
        <v>@teburemeijin</v>
      </c>
      <c r="C7759" s="14" t="s">
        <v>17369</v>
      </c>
      <c r="D7759" s="8" t="s">
        <v>17370</v>
      </c>
      <c r="E7759" s="9" t="str">
        <f aca="false">HYPERLINK("https://twitter.com/teburemeijin/status/922611166987341829","922611166987341829")</f>
        <v>922611166987341829</v>
      </c>
      <c r="F7759" s="10" t="s">
        <v>1167</v>
      </c>
      <c r="G7759" s="10" t="n">
        <v>1198</v>
      </c>
      <c r="H7759" s="10" t="n">
        <v>1192</v>
      </c>
      <c r="I7759" s="10" t="n">
        <v>0</v>
      </c>
      <c r="J7759" s="10" t="n">
        <v>0</v>
      </c>
      <c r="K7759" s="10" t="s">
        <v>20</v>
      </c>
      <c r="L7759" s="11" t="n">
        <v>40267.2114236111</v>
      </c>
      <c r="M7759" s="13" t="s">
        <v>17371</v>
      </c>
      <c r="N7759" s="13" t="s">
        <v>17372</v>
      </c>
      <c r="O7759" s="9" t="str">
        <f aca="false">HYPERLINK("https://pbs.twimg.com/profile_images/908216346520936448/m1iz9YFB_normal.jpg","View")</f>
        <v>View</v>
      </c>
      <c r="P7759" s="10"/>
    </row>
    <row r="7760" customFormat="false" ht="15.75" hidden="false" customHeight="false" outlineLevel="0" collapsed="false">
      <c r="A7760" s="6" t="n">
        <v>43031.7018518519</v>
      </c>
      <c r="B7760" s="7" t="str">
        <f aca="false">HYPERLINK("https://twitter.com/rguezcheca","@rguezcheca")</f>
        <v>@rguezcheca</v>
      </c>
      <c r="C7760" s="8" t="s">
        <v>17373</v>
      </c>
      <c r="D7760" s="8" t="s">
        <v>17374</v>
      </c>
      <c r="E7760" s="9" t="str">
        <f aca="false">HYPERLINK("https://twitter.com/rguezcheca/status/922611261086552066","922611261086552066")</f>
        <v>922611261086552066</v>
      </c>
      <c r="F7760" s="10" t="s">
        <v>177</v>
      </c>
      <c r="G7760" s="10" t="n">
        <v>5339</v>
      </c>
      <c r="H7760" s="10" t="n">
        <v>595</v>
      </c>
      <c r="I7760" s="10" t="n">
        <v>1</v>
      </c>
      <c r="J7760" s="10" t="n">
        <v>0</v>
      </c>
      <c r="K7760" s="10" t="s">
        <v>20</v>
      </c>
      <c r="L7760" s="11" t="n">
        <v>40163.3378587963</v>
      </c>
      <c r="M7760" s="12" t="s">
        <v>17375</v>
      </c>
      <c r="N7760" s="12" t="s">
        <v>17376</v>
      </c>
      <c r="O7760" s="9" t="str">
        <f aca="false">HYPERLINK("https://pbs.twimg.com/profile_images/912403458539622400/qXzcKAi3_normal.jpg","View")</f>
        <v>View</v>
      </c>
      <c r="P7760" s="10"/>
    </row>
    <row r="7761" customFormat="false" ht="15.75" hidden="false" customHeight="false" outlineLevel="0" collapsed="false">
      <c r="A7761" s="6" t="n">
        <v>43031.7031597222</v>
      </c>
      <c r="B7761" s="7" t="str">
        <f aca="false">HYPERLINK("https://twitter.com/hawt_lady","@hawt_lady")</f>
        <v>@hawt_lady</v>
      </c>
      <c r="C7761" s="8" t="s">
        <v>17377</v>
      </c>
      <c r="D7761" s="8" t="s">
        <v>16929</v>
      </c>
      <c r="E7761" s="9" t="str">
        <f aca="false">HYPERLINK("https://twitter.com/hawt_lady/status/922611735554658305","922611735554658305")</f>
        <v>922611735554658305</v>
      </c>
      <c r="F7761" s="10" t="s">
        <v>25</v>
      </c>
      <c r="G7761" s="10" t="n">
        <v>179</v>
      </c>
      <c r="H7761" s="10" t="n">
        <v>443</v>
      </c>
      <c r="I7761" s="10" t="n">
        <v>247</v>
      </c>
      <c r="J7761" s="10" t="n">
        <v>0</v>
      </c>
      <c r="K7761" s="10" t="s">
        <v>20</v>
      </c>
      <c r="L7761" s="11" t="n">
        <v>42730.7919444444</v>
      </c>
      <c r="M7761" s="12"/>
      <c r="N7761" s="12" t="s">
        <v>17378</v>
      </c>
      <c r="O7761" s="9" t="str">
        <f aca="false">HYPERLINK("https://pbs.twimg.com/profile_images/861427690930413568/erBpOW28_normal.jpg","View")</f>
        <v>View</v>
      </c>
      <c r="P7761" s="10"/>
    </row>
    <row r="7762" customFormat="false" ht="15.75" hidden="false" customHeight="false" outlineLevel="0" collapsed="false">
      <c r="A7762" s="6" t="n">
        <v>43031.7044675926</v>
      </c>
      <c r="B7762" s="7" t="str">
        <f aca="false">HYPERLINK("https://twitter.com/InTheLionsDen_","@InTheLionsDen_")</f>
        <v>@InTheLionsDen_</v>
      </c>
      <c r="C7762" s="8" t="s">
        <v>17379</v>
      </c>
      <c r="D7762" s="8" t="s">
        <v>16929</v>
      </c>
      <c r="E7762" s="9" t="str">
        <f aca="false">HYPERLINK("https://twitter.com/InTheLionsDen_/status/922612210521837568","922612210521837568")</f>
        <v>922612210521837568</v>
      </c>
      <c r="F7762" s="10" t="s">
        <v>39</v>
      </c>
      <c r="G7762" s="10" t="n">
        <v>1883</v>
      </c>
      <c r="H7762" s="10" t="n">
        <v>2636</v>
      </c>
      <c r="I7762" s="10" t="n">
        <v>247</v>
      </c>
      <c r="J7762" s="10" t="n">
        <v>0</v>
      </c>
      <c r="K7762" s="10" t="s">
        <v>20</v>
      </c>
      <c r="L7762" s="11" t="n">
        <v>41165.5321875</v>
      </c>
      <c r="M7762" s="12" t="s">
        <v>17380</v>
      </c>
      <c r="N7762" s="12" t="s">
        <v>17381</v>
      </c>
      <c r="O7762" s="9" t="str">
        <f aca="false">HYPERLINK("https://pbs.twimg.com/profile_images/923623437502963713/dDn6zz1Z_normal.jpg","View")</f>
        <v>View</v>
      </c>
      <c r="P7762" s="10"/>
    </row>
    <row r="7763" customFormat="false" ht="15.75" hidden="false" customHeight="false" outlineLevel="0" collapsed="false">
      <c r="A7763" s="6" t="n">
        <v>43031.7069675926</v>
      </c>
      <c r="B7763" s="7" t="str">
        <f aca="false">HYPERLINK("https://twitter.com/genesisdecorate","@genesisdecorate")</f>
        <v>@genesisdecorate</v>
      </c>
      <c r="C7763" s="8" t="s">
        <v>17382</v>
      </c>
      <c r="D7763" s="8" t="s">
        <v>17383</v>
      </c>
      <c r="E7763" s="9" t="str">
        <f aca="false">HYPERLINK("https://twitter.com/genesisdecorate/status/922613113345773568","922613113345773568")</f>
        <v>922613113345773568</v>
      </c>
      <c r="F7763" s="10" t="s">
        <v>47</v>
      </c>
      <c r="G7763" s="10" t="n">
        <v>264</v>
      </c>
      <c r="H7763" s="10" t="n">
        <v>313</v>
      </c>
      <c r="I7763" s="10" t="n">
        <v>0</v>
      </c>
      <c r="J7763" s="10" t="n">
        <v>0</v>
      </c>
      <c r="K7763" s="10" t="s">
        <v>20</v>
      </c>
      <c r="L7763" s="11" t="n">
        <v>40574.4272222222</v>
      </c>
      <c r="M7763" s="12" t="s">
        <v>17384</v>
      </c>
      <c r="N7763" s="12" t="s">
        <v>17385</v>
      </c>
      <c r="O7763" s="9" t="str">
        <f aca="false">HYPERLINK("https://pbs.twimg.com/profile_images/660183298878996480/EkM-Xg4X_normal.jpg","View")</f>
        <v>View</v>
      </c>
      <c r="P7763" s="10"/>
    </row>
    <row r="7764" customFormat="false" ht="15.75" hidden="false" customHeight="false" outlineLevel="0" collapsed="false">
      <c r="A7764" s="6" t="n">
        <v>43031.7070949074</v>
      </c>
      <c r="B7764" s="7" t="str">
        <f aca="false">HYPERLINK("https://twitter.com/danielylhuang","@danielylhuang")</f>
        <v>@danielylhuang</v>
      </c>
      <c r="C7764" s="8" t="s">
        <v>17386</v>
      </c>
      <c r="D7764" s="8" t="s">
        <v>17387</v>
      </c>
      <c r="E7764" s="9" t="str">
        <f aca="false">HYPERLINK("https://twitter.com/danielylhuang/status/922613159818559488","922613159818559488")</f>
        <v>922613159818559488</v>
      </c>
      <c r="F7764" s="10" t="s">
        <v>51</v>
      </c>
      <c r="G7764" s="10" t="n">
        <v>167</v>
      </c>
      <c r="H7764" s="10" t="n">
        <v>942</v>
      </c>
      <c r="I7764" s="10" t="n">
        <v>2</v>
      </c>
      <c r="J7764" s="10" t="n">
        <v>0</v>
      </c>
      <c r="K7764" s="10" t="s">
        <v>20</v>
      </c>
      <c r="L7764" s="11" t="n">
        <v>41469.5105671296</v>
      </c>
      <c r="M7764" s="12" t="s">
        <v>17388</v>
      </c>
      <c r="N7764" s="12" t="s">
        <v>17389</v>
      </c>
      <c r="O7764" s="9" t="str">
        <f aca="false">HYPERLINK("https://pbs.twimg.com/profile_images/611699012014632960/yhiKlCZg_normal.jpg","View")</f>
        <v>View</v>
      </c>
      <c r="P7764" s="10"/>
    </row>
    <row r="7765" customFormat="false" ht="15.75" hidden="false" customHeight="false" outlineLevel="0" collapsed="false">
      <c r="A7765" s="6" t="n">
        <v>43031.7103935185</v>
      </c>
      <c r="B7765" s="7" t="str">
        <f aca="false">HYPERLINK("https://twitter.com/asuka_250","@asuka_250")</f>
        <v>@asuka_250</v>
      </c>
      <c r="C7765" s="8" t="s">
        <v>1235</v>
      </c>
      <c r="D7765" s="8" t="s">
        <v>16785</v>
      </c>
      <c r="E7765" s="9" t="str">
        <f aca="false">HYPERLINK("https://twitter.com/asuka_250/status/922614354847002625","922614354847002625")</f>
        <v>922614354847002625</v>
      </c>
      <c r="F7765" s="10" t="s">
        <v>25</v>
      </c>
      <c r="G7765" s="10" t="n">
        <v>30709</v>
      </c>
      <c r="H7765" s="10" t="n">
        <v>30516</v>
      </c>
      <c r="I7765" s="10" t="n">
        <v>41</v>
      </c>
      <c r="J7765" s="10" t="n">
        <v>0</v>
      </c>
      <c r="K7765" s="10" t="s">
        <v>20</v>
      </c>
      <c r="L7765" s="11" t="n">
        <v>41943.1724768519</v>
      </c>
      <c r="M7765" s="12" t="s">
        <v>186</v>
      </c>
      <c r="N7765" s="12" t="s">
        <v>1236</v>
      </c>
      <c r="O7765" s="9" t="str">
        <f aca="false">HYPERLINK("https://pbs.twimg.com/profile_images/576284037486014464/dhYtI1qZ_normal.jpeg","View")</f>
        <v>View</v>
      </c>
      <c r="P7765" s="10"/>
    </row>
    <row r="7766" customFormat="false" ht="15.75" hidden="false" customHeight="false" outlineLevel="0" collapsed="false">
      <c r="A7766" s="6" t="n">
        <v>43031.7111689815</v>
      </c>
      <c r="B7766" s="7" t="str">
        <f aca="false">HYPERLINK("https://twitter.com/ruralmanav","@ruralmanav")</f>
        <v>@ruralmanav</v>
      </c>
      <c r="C7766" s="8" t="s">
        <v>17390</v>
      </c>
      <c r="D7766" s="8" t="s">
        <v>8538</v>
      </c>
      <c r="E7766" s="9" t="str">
        <f aca="false">HYPERLINK("https://twitter.com/ruralmanav/status/922614637840994304","922614637840994304")</f>
        <v>922614637840994304</v>
      </c>
      <c r="F7766" s="10" t="s">
        <v>51</v>
      </c>
      <c r="G7766" s="10" t="n">
        <v>431</v>
      </c>
      <c r="H7766" s="10" t="n">
        <v>136</v>
      </c>
      <c r="I7766" s="10" t="n">
        <v>1015</v>
      </c>
      <c r="J7766" s="10" t="n">
        <v>0</v>
      </c>
      <c r="K7766" s="10" t="s">
        <v>20</v>
      </c>
      <c r="L7766" s="11" t="n">
        <v>39985.6565393519</v>
      </c>
      <c r="M7766" s="12" t="s">
        <v>17391</v>
      </c>
      <c r="N7766" s="12" t="s">
        <v>17392</v>
      </c>
      <c r="O7766" s="9" t="str">
        <f aca="false">HYPERLINK("https://pbs.twimg.com/profile_images/592232108040581120/rwnVvKHk_normal.jpg","View")</f>
        <v>View</v>
      </c>
      <c r="P7766" s="10"/>
    </row>
    <row r="7767" customFormat="false" ht="15.75" hidden="false" customHeight="false" outlineLevel="0" collapsed="false">
      <c r="A7767" s="6" t="n">
        <v>43031.7127662037</v>
      </c>
      <c r="B7767" s="7" t="str">
        <f aca="false">HYPERLINK("https://twitter.com/emakpabio","@emakpabio")</f>
        <v>@emakpabio</v>
      </c>
      <c r="C7767" s="8" t="s">
        <v>17393</v>
      </c>
      <c r="D7767" s="8" t="s">
        <v>16413</v>
      </c>
      <c r="E7767" s="9" t="str">
        <f aca="false">HYPERLINK("https://twitter.com/emakpabio/status/922615216424275968","922615216424275968")</f>
        <v>922615216424275968</v>
      </c>
      <c r="F7767" s="10" t="s">
        <v>177</v>
      </c>
      <c r="G7767" s="10" t="n">
        <v>186</v>
      </c>
      <c r="H7767" s="10" t="n">
        <v>88</v>
      </c>
      <c r="I7767" s="10" t="n">
        <v>46</v>
      </c>
      <c r="J7767" s="10" t="n">
        <v>0</v>
      </c>
      <c r="K7767" s="10" t="s">
        <v>20</v>
      </c>
      <c r="L7767" s="11" t="n">
        <v>41087.4566550926</v>
      </c>
      <c r="M7767" s="12" t="s">
        <v>3474</v>
      </c>
      <c r="N7767" s="12"/>
      <c r="O7767" s="9" t="str">
        <f aca="false">HYPERLINK("https://pbs.twimg.com/profile_images/475590209300480000/EewVEhIF_normal.jpeg","View")</f>
        <v>View</v>
      </c>
      <c r="P7767" s="10"/>
    </row>
    <row r="7768" customFormat="false" ht="15.75" hidden="false" customHeight="false" outlineLevel="0" collapsed="false">
      <c r="A7768" s="6" t="n">
        <v>43031.7136226852</v>
      </c>
      <c r="B7768" s="7" t="str">
        <f aca="false">HYPERLINK("https://twitter.com/vijaytikoo1","@vijaytikoo1")</f>
        <v>@vijaytikoo1</v>
      </c>
      <c r="C7768" s="8" t="s">
        <v>17394</v>
      </c>
      <c r="D7768" s="8" t="s">
        <v>8538</v>
      </c>
      <c r="E7768" s="9" t="str">
        <f aca="false">HYPERLINK("https://twitter.com/vijaytikoo1/status/922615527826001920","922615527826001920")</f>
        <v>922615527826001920</v>
      </c>
      <c r="F7768" s="10" t="s">
        <v>98</v>
      </c>
      <c r="G7768" s="10" t="n">
        <v>459</v>
      </c>
      <c r="H7768" s="10" t="n">
        <v>356</v>
      </c>
      <c r="I7768" s="10" t="n">
        <v>1015</v>
      </c>
      <c r="J7768" s="10" t="n">
        <v>0</v>
      </c>
      <c r="K7768" s="10" t="s">
        <v>20</v>
      </c>
      <c r="L7768" s="11" t="n">
        <v>41317.8553819444</v>
      </c>
      <c r="M7768" s="12" t="s">
        <v>2340</v>
      </c>
      <c r="N7768" s="12" t="s">
        <v>17395</v>
      </c>
      <c r="O7768" s="9" t="str">
        <f aca="false">HYPERLINK("https://pbs.twimg.com/profile_images/620779213717504001/nTJytaOc_normal.jpg","View")</f>
        <v>View</v>
      </c>
      <c r="P7768" s="10"/>
    </row>
    <row r="7769" customFormat="false" ht="15.75" hidden="false" customHeight="false" outlineLevel="0" collapsed="false">
      <c r="A7769" s="6" t="n">
        <v>43031.7142708333</v>
      </c>
      <c r="B7769" s="7" t="str">
        <f aca="false">HYPERLINK("https://twitter.com/ykrusu","@ykrusu")</f>
        <v>@ykrusu</v>
      </c>
      <c r="C7769" s="14" t="s">
        <v>17396</v>
      </c>
      <c r="D7769" s="8" t="s">
        <v>16785</v>
      </c>
      <c r="E7769" s="9" t="str">
        <f aca="false">HYPERLINK("https://twitter.com/ykrusu/status/922615760526114816","922615760526114816")</f>
        <v>922615760526114816</v>
      </c>
      <c r="F7769" s="10" t="s">
        <v>25</v>
      </c>
      <c r="G7769" s="10" t="n">
        <v>842</v>
      </c>
      <c r="H7769" s="10" t="n">
        <v>1345</v>
      </c>
      <c r="I7769" s="10" t="n">
        <v>41</v>
      </c>
      <c r="J7769" s="10" t="n">
        <v>0</v>
      </c>
      <c r="K7769" s="10" t="s">
        <v>20</v>
      </c>
      <c r="L7769" s="11" t="n">
        <v>40620.7024305556</v>
      </c>
      <c r="M7769" s="13" t="s">
        <v>17397</v>
      </c>
      <c r="N7769" s="13" t="s">
        <v>17398</v>
      </c>
      <c r="O7769" s="9" t="str">
        <f aca="false">HYPERLINK("https://pbs.twimg.com/profile_images/3680623584/f59225b9b7b8b3268c584f0783954bae_normal.jpeg","View")</f>
        <v>View</v>
      </c>
      <c r="P7769" s="10"/>
    </row>
    <row r="7770" customFormat="false" ht="15.75" hidden="false" customHeight="false" outlineLevel="0" collapsed="false">
      <c r="A7770" s="6" t="n">
        <v>43031.7154282407</v>
      </c>
      <c r="B7770" s="7" t="str">
        <f aca="false">HYPERLINK("https://twitter.com/pkspathi","@pkspathi")</f>
        <v>@pkspathi</v>
      </c>
      <c r="C7770" s="8" t="s">
        <v>17399</v>
      </c>
      <c r="D7770" s="8" t="s">
        <v>8538</v>
      </c>
      <c r="E7770" s="9" t="str">
        <f aca="false">HYPERLINK("https://twitter.com/pkspathi/status/922616178786181120","922616178786181120")</f>
        <v>922616178786181120</v>
      </c>
      <c r="F7770" s="10" t="s">
        <v>25</v>
      </c>
      <c r="G7770" s="10" t="n">
        <v>930</v>
      </c>
      <c r="H7770" s="10" t="n">
        <v>253</v>
      </c>
      <c r="I7770" s="10" t="n">
        <v>1015</v>
      </c>
      <c r="J7770" s="10" t="n">
        <v>0</v>
      </c>
      <c r="K7770" s="10" t="s">
        <v>20</v>
      </c>
      <c r="L7770" s="11" t="n">
        <v>41163.2515277778</v>
      </c>
      <c r="M7770" s="12"/>
      <c r="N7770" s="12" t="s">
        <v>17400</v>
      </c>
      <c r="O7770" s="9" t="str">
        <f aca="false">HYPERLINK("https://pbs.twimg.com/profile_images/507039485641510912/_aHac8yL_normal.jpeg","View")</f>
        <v>View</v>
      </c>
      <c r="P7770" s="10"/>
    </row>
    <row r="7771" customFormat="false" ht="15.75" hidden="false" customHeight="false" outlineLevel="0" collapsed="false">
      <c r="A7771" s="6" t="n">
        <v>43031.715474537</v>
      </c>
      <c r="B7771" s="7" t="str">
        <f aca="false">HYPERLINK("https://twitter.com/zhouminqin007","@zhouminqin007")</f>
        <v>@zhouminqin007</v>
      </c>
      <c r="C7771" s="8" t="s">
        <v>17401</v>
      </c>
      <c r="D7771" s="8" t="s">
        <v>16785</v>
      </c>
      <c r="E7771" s="9" t="str">
        <f aca="false">HYPERLINK("https://twitter.com/zhouminqin007/status/922616195538448384","922616195538448384")</f>
        <v>922616195538448384</v>
      </c>
      <c r="F7771" s="10" t="s">
        <v>25</v>
      </c>
      <c r="G7771" s="10" t="n">
        <v>20</v>
      </c>
      <c r="H7771" s="10" t="n">
        <v>286</v>
      </c>
      <c r="I7771" s="10" t="n">
        <v>41</v>
      </c>
      <c r="J7771" s="10" t="n">
        <v>0</v>
      </c>
      <c r="K7771" s="10" t="s">
        <v>20</v>
      </c>
      <c r="L7771" s="11" t="n">
        <v>43026.0139814815</v>
      </c>
      <c r="M7771" s="12"/>
      <c r="N7771" s="13" t="s">
        <v>17402</v>
      </c>
      <c r="O7771" s="9" t="str">
        <f aca="false">HYPERLINK("https://pbs.twimg.com/profile_images/921163301903618048/Jbo5-zAA_normal.jpg","View")</f>
        <v>View</v>
      </c>
      <c r="P7771" s="10"/>
    </row>
    <row r="7772" customFormat="false" ht="15.75" hidden="false" customHeight="false" outlineLevel="0" collapsed="false">
      <c r="A7772" s="6" t="n">
        <v>43031.7156828704</v>
      </c>
      <c r="B7772" s="7" t="str">
        <f aca="false">HYPERLINK("https://twitter.com/zhouminqin007","@zhouminqin007")</f>
        <v>@zhouminqin007</v>
      </c>
      <c r="C7772" s="8" t="s">
        <v>17401</v>
      </c>
      <c r="D7772" s="8" t="s">
        <v>16413</v>
      </c>
      <c r="E7772" s="9" t="str">
        <f aca="false">HYPERLINK("https://twitter.com/zhouminqin007/status/922616272487149570","922616272487149570")</f>
        <v>922616272487149570</v>
      </c>
      <c r="F7772" s="10" t="s">
        <v>25</v>
      </c>
      <c r="G7772" s="10" t="n">
        <v>20</v>
      </c>
      <c r="H7772" s="10" t="n">
        <v>286</v>
      </c>
      <c r="I7772" s="10" t="n">
        <v>46</v>
      </c>
      <c r="J7772" s="10" t="n">
        <v>0</v>
      </c>
      <c r="K7772" s="10" t="s">
        <v>20</v>
      </c>
      <c r="L7772" s="11" t="n">
        <v>43026.0139814815</v>
      </c>
      <c r="M7772" s="12"/>
      <c r="N7772" s="13" t="s">
        <v>17402</v>
      </c>
      <c r="O7772" s="9" t="str">
        <f aca="false">HYPERLINK("https://pbs.twimg.com/profile_images/921163301903618048/Jbo5-zAA_normal.jpg","View")</f>
        <v>View</v>
      </c>
      <c r="P7772" s="10"/>
    </row>
    <row r="7773" customFormat="false" ht="15.75" hidden="false" customHeight="false" outlineLevel="0" collapsed="false">
      <c r="A7773" s="6" t="n">
        <v>43031.7166203704</v>
      </c>
      <c r="B7773" s="7" t="str">
        <f aca="false">HYPERLINK("https://twitter.com/LLOYDWALLACE2","@LLOYDWALLACE2")</f>
        <v>@LLOYDWALLACE2</v>
      </c>
      <c r="C7773" s="8" t="s">
        <v>17403</v>
      </c>
      <c r="D7773" s="8" t="s">
        <v>16929</v>
      </c>
      <c r="E7773" s="9" t="str">
        <f aca="false">HYPERLINK("https://twitter.com/LLOYDWALLACE2/status/922616613035216903","922616613035216903")</f>
        <v>922616613035216903</v>
      </c>
      <c r="F7773" s="10" t="s">
        <v>51</v>
      </c>
      <c r="G7773" s="10" t="n">
        <v>19</v>
      </c>
      <c r="H7773" s="10" t="n">
        <v>117</v>
      </c>
      <c r="I7773" s="10" t="n">
        <v>247</v>
      </c>
      <c r="J7773" s="10" t="n">
        <v>0</v>
      </c>
      <c r="K7773" s="10" t="s">
        <v>20</v>
      </c>
      <c r="L7773" s="11" t="n">
        <v>41190.536712963</v>
      </c>
      <c r="M7773" s="12"/>
      <c r="N7773" s="12"/>
      <c r="O7773" s="9" t="str">
        <f aca="false">HYPERLINK("https://abs.twimg.com/sticky/default_profile_images/default_profile_normal.png","View")</f>
        <v>View</v>
      </c>
      <c r="P7773" s="10"/>
    </row>
    <row r="7774" customFormat="false" ht="15.75" hidden="false" customHeight="false" outlineLevel="0" collapsed="false">
      <c r="A7774" s="6" t="n">
        <v>43031.7185416667</v>
      </c>
      <c r="B7774" s="7" t="str">
        <f aca="false">HYPERLINK("https://twitter.com/tenpalmtrees","@tenpalmtrees")</f>
        <v>@tenpalmtrees</v>
      </c>
      <c r="C7774" s="8" t="s">
        <v>17404</v>
      </c>
      <c r="D7774" s="8" t="s">
        <v>16929</v>
      </c>
      <c r="E7774" s="9" t="str">
        <f aca="false">HYPERLINK("https://twitter.com/tenpalmtrees/status/922617308203319296","922617308203319296")</f>
        <v>922617308203319296</v>
      </c>
      <c r="F7774" s="10" t="s">
        <v>25</v>
      </c>
      <c r="G7774" s="10" t="n">
        <v>84</v>
      </c>
      <c r="H7774" s="10" t="n">
        <v>287</v>
      </c>
      <c r="I7774" s="10" t="n">
        <v>247</v>
      </c>
      <c r="J7774" s="10" t="n">
        <v>0</v>
      </c>
      <c r="K7774" s="10" t="s">
        <v>20</v>
      </c>
      <c r="L7774" s="11" t="n">
        <v>40825.429525463</v>
      </c>
      <c r="M7774" s="12"/>
      <c r="N7774" s="12"/>
      <c r="O7774" s="9" t="str">
        <f aca="false">HYPERLINK("https://pbs.twimg.com/profile_images/888624584852983813/VCUbO1b__normal.jpg","View")</f>
        <v>View</v>
      </c>
      <c r="P7774" s="10"/>
    </row>
    <row r="7775" customFormat="false" ht="15.75" hidden="false" customHeight="false" outlineLevel="0" collapsed="false">
      <c r="A7775" s="6" t="n">
        <v>43031.7186458333</v>
      </c>
      <c r="B7775" s="7" t="str">
        <f aca="false">HYPERLINK("https://twitter.com/Follow_Finance","@Follow_Finance")</f>
        <v>@Follow_Finance</v>
      </c>
      <c r="C7775" s="8" t="s">
        <v>130</v>
      </c>
      <c r="D7775" s="8" t="s">
        <v>17405</v>
      </c>
      <c r="E7775" s="9" t="str">
        <f aca="false">HYPERLINK("https://twitter.com/Follow_Finance/status/922617347852128256","922617347852128256")</f>
        <v>922617347852128256</v>
      </c>
      <c r="F7775" s="10" t="s">
        <v>130</v>
      </c>
      <c r="G7775" s="10" t="n">
        <v>2398</v>
      </c>
      <c r="H7775" s="10" t="n">
        <v>1918</v>
      </c>
      <c r="I7775" s="10" t="n">
        <v>0</v>
      </c>
      <c r="J7775" s="10" t="n">
        <v>0</v>
      </c>
      <c r="K7775" s="10" t="s">
        <v>20</v>
      </c>
      <c r="L7775" s="11" t="n">
        <v>41033.2276967593</v>
      </c>
      <c r="M7775" s="12" t="s">
        <v>132</v>
      </c>
      <c r="N7775" s="12" t="s">
        <v>133</v>
      </c>
      <c r="O7775" s="9" t="str">
        <f aca="false">HYPERLINK("https://pbs.twimg.com/profile_images/2214795357/money_50_normal.png","View")</f>
        <v>View</v>
      </c>
      <c r="P7775" s="10"/>
    </row>
    <row r="7776" customFormat="false" ht="15.75" hidden="false" customHeight="false" outlineLevel="0" collapsed="false">
      <c r="A7776" s="6" t="n">
        <v>43031.7187037037</v>
      </c>
      <c r="B7776" s="7" t="str">
        <f aca="false">HYPERLINK("https://twitter.com/cestleiden","@cestleiden")</f>
        <v>@cestleiden</v>
      </c>
      <c r="C7776" s="8" t="s">
        <v>17406</v>
      </c>
      <c r="D7776" s="8" t="s">
        <v>17407</v>
      </c>
      <c r="E7776" s="9" t="str">
        <f aca="false">HYPERLINK("https://twitter.com/cestleiden/status/922617367426822144","922617367426822144")</f>
        <v>922617367426822144</v>
      </c>
      <c r="F7776" s="10" t="s">
        <v>39</v>
      </c>
      <c r="G7776" s="10" t="n">
        <v>19</v>
      </c>
      <c r="H7776" s="10" t="n">
        <v>203</v>
      </c>
      <c r="I7776" s="10" t="n">
        <v>0</v>
      </c>
      <c r="J7776" s="10" t="n">
        <v>0</v>
      </c>
      <c r="K7776" s="10" t="s">
        <v>20</v>
      </c>
      <c r="L7776" s="11" t="n">
        <v>41517.1825694444</v>
      </c>
      <c r="M7776" s="12"/>
      <c r="N7776" s="12"/>
      <c r="O7776" s="9" t="str">
        <f aca="false">HYPERLINK("https://pbs.twimg.com/profile_images/537586077511340034/gSMzcNbz_normal.jpeg","View")</f>
        <v>View</v>
      </c>
      <c r="P7776" s="10"/>
    </row>
    <row r="7777" customFormat="false" ht="15.75" hidden="false" customHeight="false" outlineLevel="0" collapsed="false">
      <c r="A7777" s="6" t="n">
        <v>43031.7187731482</v>
      </c>
      <c r="B7777" s="7" t="str">
        <f aca="false">HYPERLINK("https://twitter.com/worldanglr","@worldanglr")</f>
        <v>@worldanglr</v>
      </c>
      <c r="C7777" s="8" t="s">
        <v>17408</v>
      </c>
      <c r="D7777" s="8" t="s">
        <v>17409</v>
      </c>
      <c r="E7777" s="9" t="str">
        <f aca="false">HYPERLINK("https://twitter.com/worldanglr/status/922617393473564672","922617393473564672")</f>
        <v>922617393473564672</v>
      </c>
      <c r="F7777" s="10" t="s">
        <v>17410</v>
      </c>
      <c r="G7777" s="10" t="n">
        <v>1376</v>
      </c>
      <c r="H7777" s="10" t="n">
        <v>0</v>
      </c>
      <c r="I7777" s="10" t="n">
        <v>1</v>
      </c>
      <c r="J7777" s="10" t="n">
        <v>0</v>
      </c>
      <c r="K7777" s="10" t="s">
        <v>20</v>
      </c>
      <c r="L7777" s="11" t="n">
        <v>42179.3169907407</v>
      </c>
      <c r="M7777" s="12"/>
      <c r="N7777" s="12" t="s">
        <v>17411</v>
      </c>
      <c r="O7777" s="9" t="str">
        <f aca="false">HYPERLINK("https://pbs.twimg.com/profile_images/683957977011871744/AfjgbFLL_normal.png","View")</f>
        <v>View</v>
      </c>
      <c r="P7777" s="10"/>
    </row>
    <row r="7778" customFormat="false" ht="15.75" hidden="false" customHeight="false" outlineLevel="0" collapsed="false">
      <c r="A7778" s="6" t="n">
        <v>43031.7188194444</v>
      </c>
      <c r="B7778" s="7" t="str">
        <f aca="false">HYPERLINK("https://twitter.com/Follow_Finance","@Follow_Finance")</f>
        <v>@Follow_Finance</v>
      </c>
      <c r="C7778" s="8" t="s">
        <v>130</v>
      </c>
      <c r="D7778" s="8" t="s">
        <v>17412</v>
      </c>
      <c r="E7778" s="9" t="str">
        <f aca="false">HYPERLINK("https://twitter.com/Follow_Finance/status/922617408073936896","922617408073936896")</f>
        <v>922617408073936896</v>
      </c>
      <c r="F7778" s="10" t="s">
        <v>130</v>
      </c>
      <c r="G7778" s="10" t="n">
        <v>2398</v>
      </c>
      <c r="H7778" s="10" t="n">
        <v>1918</v>
      </c>
      <c r="I7778" s="10" t="n">
        <v>0</v>
      </c>
      <c r="J7778" s="10" t="n">
        <v>0</v>
      </c>
      <c r="K7778" s="10" t="s">
        <v>20</v>
      </c>
      <c r="L7778" s="11" t="n">
        <v>41033.2276967593</v>
      </c>
      <c r="M7778" s="12" t="s">
        <v>132</v>
      </c>
      <c r="N7778" s="12" t="s">
        <v>133</v>
      </c>
      <c r="O7778" s="9" t="str">
        <f aca="false">HYPERLINK("https://pbs.twimg.com/profile_images/2214795357/money_50_normal.png","View")</f>
        <v>View</v>
      </c>
      <c r="P7778" s="10"/>
    </row>
    <row r="7779" customFormat="false" ht="15.75" hidden="false" customHeight="false" outlineLevel="0" collapsed="false">
      <c r="A7779" s="6" t="n">
        <v>43031.7190856481</v>
      </c>
      <c r="B7779" s="7" t="str">
        <f aca="false">HYPERLINK("https://twitter.com/Edomka","@Edomka")</f>
        <v>@Edomka</v>
      </c>
      <c r="C7779" s="8" t="s">
        <v>17413</v>
      </c>
      <c r="D7779" s="8" t="s">
        <v>17414</v>
      </c>
      <c r="E7779" s="9" t="str">
        <f aca="false">HYPERLINK("https://twitter.com/Edomka/status/922617507550253056","922617507550253056")</f>
        <v>922617507550253056</v>
      </c>
      <c r="F7779" s="10" t="s">
        <v>39</v>
      </c>
      <c r="G7779" s="10" t="n">
        <v>4017</v>
      </c>
      <c r="H7779" s="10" t="n">
        <v>841</v>
      </c>
      <c r="I7779" s="10" t="n">
        <v>0</v>
      </c>
      <c r="J7779" s="10" t="n">
        <v>0</v>
      </c>
      <c r="K7779" s="10" t="s">
        <v>20</v>
      </c>
      <c r="L7779" s="11" t="n">
        <v>41021.6032523148</v>
      </c>
      <c r="M7779" s="12" t="s">
        <v>17415</v>
      </c>
      <c r="N7779" s="12" t="s">
        <v>17416</v>
      </c>
      <c r="O7779" s="9" t="str">
        <f aca="false">HYPERLINK("https://pbs.twimg.com/profile_images/886759969240096768/wYpOqC7R_normal.jpg","View")</f>
        <v>View</v>
      </c>
      <c r="P7779" s="10"/>
    </row>
    <row r="7780" customFormat="false" ht="15.75" hidden="false" customHeight="false" outlineLevel="0" collapsed="false">
      <c r="A7780" s="6" t="n">
        <v>43031.7206481482</v>
      </c>
      <c r="B7780" s="7" t="str">
        <f aca="false">HYPERLINK("https://twitter.com/sharebossindia","@sharebossindia")</f>
        <v>@sharebossindia</v>
      </c>
      <c r="C7780" s="7" t="s">
        <v>917</v>
      </c>
      <c r="D7780" s="8" t="s">
        <v>17417</v>
      </c>
      <c r="E7780" s="9" t="str">
        <f aca="false">HYPERLINK("https://twitter.com/sharebossindia/status/922618073173057536","922618073173057536")</f>
        <v>922618073173057536</v>
      </c>
      <c r="F7780" s="10" t="s">
        <v>919</v>
      </c>
      <c r="G7780" s="10" t="n">
        <v>1210</v>
      </c>
      <c r="H7780" s="10" t="n">
        <v>1</v>
      </c>
      <c r="I7780" s="10" t="n">
        <v>0</v>
      </c>
      <c r="J7780" s="10" t="n">
        <v>0</v>
      </c>
      <c r="K7780" s="10" t="s">
        <v>20</v>
      </c>
      <c r="L7780" s="11" t="n">
        <v>42262.3224305556</v>
      </c>
      <c r="M7780" s="12"/>
      <c r="N7780" s="12" t="s">
        <v>920</v>
      </c>
      <c r="O7780" s="9" t="str">
        <f aca="false">HYPERLINK("https://pbs.twimg.com/profile_images/691477939880202244/-eW65KbB_normal.jpg","View")</f>
        <v>View</v>
      </c>
      <c r="P7780" s="10"/>
    </row>
    <row r="7781" customFormat="false" ht="15.75" hidden="false" customHeight="false" outlineLevel="0" collapsed="false">
      <c r="A7781" s="6" t="n">
        <v>43031.7221990741</v>
      </c>
      <c r="B7781" s="7" t="str">
        <f aca="false">HYPERLINK("https://twitter.com/ChristianLongs2","@ChristianLongs2")</f>
        <v>@ChristianLongs2</v>
      </c>
      <c r="C7781" s="8" t="s">
        <v>8033</v>
      </c>
      <c r="D7781" s="8" t="s">
        <v>16929</v>
      </c>
      <c r="E7781" s="9" t="str">
        <f aca="false">HYPERLINK("https://twitter.com/ChristianLongs2/status/922618636208021504","922618636208021504")</f>
        <v>922618636208021504</v>
      </c>
      <c r="F7781" s="10" t="s">
        <v>98</v>
      </c>
      <c r="G7781" s="10" t="n">
        <v>1257</v>
      </c>
      <c r="H7781" s="10" t="n">
        <v>5000</v>
      </c>
      <c r="I7781" s="10" t="n">
        <v>247</v>
      </c>
      <c r="J7781" s="10" t="n">
        <v>0</v>
      </c>
      <c r="K7781" s="10" t="s">
        <v>20</v>
      </c>
      <c r="L7781" s="11" t="n">
        <v>41436.3870486111</v>
      </c>
      <c r="M7781" s="12" t="s">
        <v>5580</v>
      </c>
      <c r="N7781" s="12" t="s">
        <v>17418</v>
      </c>
      <c r="O7781" s="9" t="str">
        <f aca="false">HYPERLINK("https://pbs.twimg.com/profile_images/921452033357447168/pQBFkhn5_normal.jpg","View")</f>
        <v>View</v>
      </c>
      <c r="P7781" s="10"/>
    </row>
    <row r="7782" customFormat="false" ht="15.75" hidden="false" customHeight="false" outlineLevel="0" collapsed="false">
      <c r="A7782" s="6" t="n">
        <v>43031.7222685185</v>
      </c>
      <c r="B7782" s="7" t="str">
        <f aca="false">HYPERLINK("https://twitter.com/newsanglr","@newsanglr")</f>
        <v>@newsanglr</v>
      </c>
      <c r="C7782" s="8" t="s">
        <v>17419</v>
      </c>
      <c r="D7782" s="8" t="s">
        <v>17420</v>
      </c>
      <c r="E7782" s="9" t="str">
        <f aca="false">HYPERLINK("https://twitter.com/newsanglr/status/922618659499053056","922618659499053056")</f>
        <v>922618659499053056</v>
      </c>
      <c r="F7782" s="10" t="s">
        <v>17421</v>
      </c>
      <c r="G7782" s="10" t="n">
        <v>2102</v>
      </c>
      <c r="H7782" s="10" t="n">
        <v>265</v>
      </c>
      <c r="I7782" s="10" t="n">
        <v>1</v>
      </c>
      <c r="J7782" s="10" t="n">
        <v>0</v>
      </c>
      <c r="K7782" s="10" t="s">
        <v>20</v>
      </c>
      <c r="L7782" s="11" t="n">
        <v>41667.2695949074</v>
      </c>
      <c r="M7782" s="12"/>
      <c r="N7782" s="12" t="s">
        <v>17422</v>
      </c>
      <c r="O7782" s="9" t="str">
        <f aca="false">HYPERLINK("https://pbs.twimg.com/profile_images/677516543228559361/HLqgnwgL_normal.png","View")</f>
        <v>View</v>
      </c>
      <c r="P7782" s="10"/>
    </row>
    <row r="7783" customFormat="false" ht="15.75" hidden="false" customHeight="false" outlineLevel="0" collapsed="false">
      <c r="A7783" s="6" t="n">
        <v>43031.7243634259</v>
      </c>
      <c r="B7783" s="7" t="str">
        <f aca="false">HYPERLINK("https://twitter.com/kotrch_ryan","@kotrch_ryan")</f>
        <v>@kotrch_ryan</v>
      </c>
      <c r="C7783" s="8" t="s">
        <v>17423</v>
      </c>
      <c r="D7783" s="8" t="s">
        <v>16929</v>
      </c>
      <c r="E7783" s="9" t="str">
        <f aca="false">HYPERLINK("https://twitter.com/kotrch_ryan/status/922619418835812354","922619418835812354")</f>
        <v>922619418835812354</v>
      </c>
      <c r="F7783" s="10" t="s">
        <v>25</v>
      </c>
      <c r="G7783" s="10" t="n">
        <v>167</v>
      </c>
      <c r="H7783" s="10" t="n">
        <v>179</v>
      </c>
      <c r="I7783" s="10" t="n">
        <v>247</v>
      </c>
      <c r="J7783" s="10" t="n">
        <v>0</v>
      </c>
      <c r="K7783" s="10" t="s">
        <v>20</v>
      </c>
      <c r="L7783" s="11" t="n">
        <v>41596.5967476852</v>
      </c>
      <c r="M7783" s="12"/>
      <c r="N7783" s="12" t="s">
        <v>17424</v>
      </c>
      <c r="O7783" s="9" t="str">
        <f aca="false">HYPERLINK("https://pbs.twimg.com/profile_images/887943842649051140/3YRRHEY__normal.jpg","View")</f>
        <v>View</v>
      </c>
      <c r="P7783" s="10"/>
    </row>
    <row r="7784" customFormat="false" ht="15.75" hidden="false" customHeight="false" outlineLevel="0" collapsed="false">
      <c r="A7784" s="6" t="n">
        <v>43031.7245833333</v>
      </c>
      <c r="B7784" s="7" t="str">
        <f aca="false">HYPERLINK("https://twitter.com/NJ77","@NJ77")</f>
        <v>@NJ77</v>
      </c>
      <c r="C7784" s="8" t="s">
        <v>17425</v>
      </c>
      <c r="D7784" s="8" t="s">
        <v>10997</v>
      </c>
      <c r="E7784" s="9" t="str">
        <f aca="false">HYPERLINK("https://twitter.com/NJ77/status/922619499911639040","922619499911639040")</f>
        <v>922619499911639040</v>
      </c>
      <c r="F7784" s="10" t="s">
        <v>51</v>
      </c>
      <c r="G7784" s="10" t="n">
        <v>380</v>
      </c>
      <c r="H7784" s="10" t="n">
        <v>1315</v>
      </c>
      <c r="I7784" s="10" t="n">
        <v>27</v>
      </c>
      <c r="J7784" s="10" t="n">
        <v>0</v>
      </c>
      <c r="K7784" s="10" t="s">
        <v>20</v>
      </c>
      <c r="L7784" s="11" t="n">
        <v>39980.9451967593</v>
      </c>
      <c r="M7784" s="12" t="s">
        <v>1473</v>
      </c>
      <c r="N7784" s="12" t="s">
        <v>17426</v>
      </c>
      <c r="O7784" s="9" t="str">
        <f aca="false">HYPERLINK("https://pbs.twimg.com/profile_images/420769666315735040/zx2TXMw__normal.jpeg","View")</f>
        <v>View</v>
      </c>
      <c r="P7784" s="10"/>
    </row>
    <row r="7785" customFormat="false" ht="15.75" hidden="false" customHeight="false" outlineLevel="0" collapsed="false">
      <c r="A7785" s="6" t="n">
        <v>43031.7248148148</v>
      </c>
      <c r="B7785" s="7" t="str">
        <f aca="false">HYPERLINK("https://twitter.com/allstartupsin","@allstartupsin")</f>
        <v>@allstartupsin</v>
      </c>
      <c r="C7785" s="7" t="s">
        <v>831</v>
      </c>
      <c r="D7785" s="8" t="s">
        <v>17427</v>
      </c>
      <c r="E7785" s="9" t="str">
        <f aca="false">HYPERLINK("https://twitter.com/allstartupsin/status/922619582791200768","922619582791200768")</f>
        <v>922619582791200768</v>
      </c>
      <c r="F7785" s="10" t="s">
        <v>60</v>
      </c>
      <c r="G7785" s="10" t="n">
        <v>1605</v>
      </c>
      <c r="H7785" s="10" t="n">
        <v>1993</v>
      </c>
      <c r="I7785" s="10" t="n">
        <v>0</v>
      </c>
      <c r="J7785" s="10" t="n">
        <v>0</v>
      </c>
      <c r="K7785" s="10" t="s">
        <v>20</v>
      </c>
      <c r="L7785" s="11" t="n">
        <v>41453.3700462963</v>
      </c>
      <c r="M7785" s="12" t="s">
        <v>72</v>
      </c>
      <c r="N7785" s="12" t="s">
        <v>833</v>
      </c>
      <c r="O7785" s="9" t="str">
        <f aca="false">HYPERLINK("https://pbs.twimg.com/profile_images/770675004446941184/DgZiAFjn_normal.jpg","View")</f>
        <v>View</v>
      </c>
      <c r="P7785" s="10"/>
    </row>
    <row r="7786" customFormat="false" ht="15.75" hidden="false" customHeight="false" outlineLevel="0" collapsed="false">
      <c r="A7786" s="6" t="n">
        <v>43031.7259027778</v>
      </c>
      <c r="B7786" s="7" t="str">
        <f aca="false">HYPERLINK("https://twitter.com/yukamama","@yukamama")</f>
        <v>@yukamama</v>
      </c>
      <c r="C7786" s="8" t="s">
        <v>17428</v>
      </c>
      <c r="D7786" s="8" t="s">
        <v>17429</v>
      </c>
      <c r="E7786" s="9" t="str">
        <f aca="false">HYPERLINK("https://twitter.com/yukamama/status/922619976896393216","922619976896393216")</f>
        <v>922619976896393216</v>
      </c>
      <c r="F7786" s="10" t="s">
        <v>39</v>
      </c>
      <c r="G7786" s="10" t="n">
        <v>332</v>
      </c>
      <c r="H7786" s="10" t="n">
        <v>287</v>
      </c>
      <c r="I7786" s="10" t="n">
        <v>0</v>
      </c>
      <c r="J7786" s="10" t="n">
        <v>0</v>
      </c>
      <c r="K7786" s="10" t="s">
        <v>20</v>
      </c>
      <c r="L7786" s="11" t="n">
        <v>39686.3301851852</v>
      </c>
      <c r="M7786" s="12" t="s">
        <v>17430</v>
      </c>
      <c r="N7786" s="12" t="s">
        <v>17431</v>
      </c>
      <c r="O7786" s="9" t="str">
        <f aca="false">HYPERLINK("https://pbs.twimg.com/profile_images/1010897383/603b7aef-3df4-4ece-9187-dba7d942df73_normal.png","View")</f>
        <v>View</v>
      </c>
      <c r="P7786" s="10"/>
    </row>
    <row r="7787" customFormat="false" ht="15.75" hidden="false" customHeight="false" outlineLevel="0" collapsed="false">
      <c r="A7787" s="6" t="n">
        <v>43031.7271643519</v>
      </c>
      <c r="B7787" s="7" t="str">
        <f aca="false">HYPERLINK("https://twitter.com/JSuk","@JSuk")</f>
        <v>@JSuk</v>
      </c>
      <c r="C7787" s="8" t="s">
        <v>17432</v>
      </c>
      <c r="D7787" s="8" t="s">
        <v>12764</v>
      </c>
      <c r="E7787" s="9" t="str">
        <f aca="false">HYPERLINK("https://twitter.com/JSuk/status/922620435015131142","922620435015131142")</f>
        <v>922620435015131142</v>
      </c>
      <c r="F7787" s="10" t="s">
        <v>51</v>
      </c>
      <c r="G7787" s="10" t="n">
        <v>656</v>
      </c>
      <c r="H7787" s="10" t="n">
        <v>656</v>
      </c>
      <c r="I7787" s="10" t="n">
        <v>170</v>
      </c>
      <c r="J7787" s="10" t="n">
        <v>0</v>
      </c>
      <c r="K7787" s="10" t="s">
        <v>20</v>
      </c>
      <c r="L7787" s="11" t="n">
        <v>39861.7194791667</v>
      </c>
      <c r="M7787" s="12" t="s">
        <v>319</v>
      </c>
      <c r="N7787" s="12" t="s">
        <v>17433</v>
      </c>
      <c r="O7787" s="9" t="str">
        <f aca="false">HYPERLINK("https://pbs.twimg.com/profile_images/861645831937564672/6GH29zgj_normal.jpg","View")</f>
        <v>View</v>
      </c>
      <c r="P7787" s="10"/>
    </row>
    <row r="7788" customFormat="false" ht="15.75" hidden="false" customHeight="false" outlineLevel="0" collapsed="false">
      <c r="A7788" s="6" t="n">
        <v>43031.7283333333</v>
      </c>
      <c r="B7788" s="7" t="str">
        <f aca="false">HYPERLINK("https://twitter.com/danceyouin2day","@danceyouin2day")</f>
        <v>@danceyouin2day</v>
      </c>
      <c r="C7788" s="8" t="s">
        <v>17434</v>
      </c>
      <c r="D7788" s="8" t="s">
        <v>12764</v>
      </c>
      <c r="E7788" s="9" t="str">
        <f aca="false">HYPERLINK("https://twitter.com/danceyouin2day/status/922620855460360192","922620855460360192")</f>
        <v>922620855460360192</v>
      </c>
      <c r="F7788" s="10" t="s">
        <v>39</v>
      </c>
      <c r="G7788" s="10" t="n">
        <v>46</v>
      </c>
      <c r="H7788" s="10" t="n">
        <v>444</v>
      </c>
      <c r="I7788" s="10" t="n">
        <v>170</v>
      </c>
      <c r="J7788" s="10" t="n">
        <v>0</v>
      </c>
      <c r="K7788" s="10" t="s">
        <v>20</v>
      </c>
      <c r="L7788" s="11" t="n">
        <v>41029.8247337963</v>
      </c>
      <c r="M7788" s="12"/>
      <c r="N7788" s="12"/>
      <c r="O7788" s="9" t="str">
        <f aca="false">HYPERLINK("https://pbs.twimg.com/profile_images/840028356116586496/LiWZ6VxK_normal.jpg","View")</f>
        <v>View</v>
      </c>
      <c r="P7788" s="10"/>
    </row>
    <row r="7789" customFormat="false" ht="15.75" hidden="false" customHeight="false" outlineLevel="0" collapsed="false">
      <c r="A7789" s="6" t="n">
        <v>43031.7297106482</v>
      </c>
      <c r="B7789" s="7" t="str">
        <f aca="false">HYPERLINK("https://twitter.com/Japan_Guide1","@Japan_Guide1")</f>
        <v>@Japan_Guide1</v>
      </c>
      <c r="C7789" s="8" t="s">
        <v>2121</v>
      </c>
      <c r="D7789" s="8" t="s">
        <v>13969</v>
      </c>
      <c r="E7789" s="9" t="str">
        <f aca="false">HYPERLINK("https://twitter.com/Japan_Guide1/status/922621357833277441","922621357833277441")</f>
        <v>922621357833277441</v>
      </c>
      <c r="F7789" s="10" t="s">
        <v>1658</v>
      </c>
      <c r="G7789" s="10" t="n">
        <v>129</v>
      </c>
      <c r="H7789" s="10" t="n">
        <v>8</v>
      </c>
      <c r="I7789" s="10" t="n">
        <v>0</v>
      </c>
      <c r="J7789" s="10" t="n">
        <v>0</v>
      </c>
      <c r="K7789" s="10" t="s">
        <v>20</v>
      </c>
      <c r="L7789" s="11" t="n">
        <v>41757.8528819444</v>
      </c>
      <c r="M7789" s="12" t="s">
        <v>574</v>
      </c>
      <c r="N7789" s="12" t="s">
        <v>2123</v>
      </c>
      <c r="O7789" s="9" t="str">
        <f aca="false">HYPERLINK("https://pbs.twimg.com/profile_images/461037999447240704/PtnAzrJz_normal.jpeg","View")</f>
        <v>View</v>
      </c>
      <c r="P7789" s="10"/>
    </row>
    <row r="7790" customFormat="false" ht="15.75" hidden="false" customHeight="false" outlineLevel="0" collapsed="false">
      <c r="A7790" s="6" t="n">
        <v>43031.7297337963</v>
      </c>
      <c r="B7790" s="7" t="str">
        <f aca="false">HYPERLINK("https://twitter.com/Japan_Guide1","@Japan_Guide1")</f>
        <v>@Japan_Guide1</v>
      </c>
      <c r="C7790" s="8" t="s">
        <v>2121</v>
      </c>
      <c r="D7790" s="8" t="s">
        <v>17435</v>
      </c>
      <c r="E7790" s="9" t="str">
        <f aca="false">HYPERLINK("https://twitter.com/Japan_Guide1/status/922621364758040581","922621364758040581")</f>
        <v>922621364758040581</v>
      </c>
      <c r="F7790" s="10" t="s">
        <v>39</v>
      </c>
      <c r="G7790" s="10" t="n">
        <v>129</v>
      </c>
      <c r="H7790" s="10" t="n">
        <v>8</v>
      </c>
      <c r="I7790" s="10" t="n">
        <v>0</v>
      </c>
      <c r="J7790" s="10" t="n">
        <v>0</v>
      </c>
      <c r="K7790" s="10" t="s">
        <v>20</v>
      </c>
      <c r="L7790" s="11" t="n">
        <v>41757.8528819444</v>
      </c>
      <c r="M7790" s="12" t="s">
        <v>574</v>
      </c>
      <c r="N7790" s="12" t="s">
        <v>2123</v>
      </c>
      <c r="O7790" s="9" t="str">
        <f aca="false">HYPERLINK("https://pbs.twimg.com/profile_images/461037999447240704/PtnAzrJz_normal.jpeg","View")</f>
        <v>View</v>
      </c>
      <c r="P7790" s="10"/>
    </row>
    <row r="7791" customFormat="false" ht="15.75" hidden="false" customHeight="false" outlineLevel="0" collapsed="false">
      <c r="A7791" s="6" t="n">
        <v>43031.7297569445</v>
      </c>
      <c r="B7791" s="7" t="str">
        <f aca="false">HYPERLINK("https://twitter.com/IAS_Gurukul","@IAS_Gurukul")</f>
        <v>@IAS_Gurukul</v>
      </c>
      <c r="C7791" s="8" t="s">
        <v>838</v>
      </c>
      <c r="D7791" s="8" t="s">
        <v>17436</v>
      </c>
      <c r="E7791" s="9" t="str">
        <f aca="false">HYPERLINK("https://twitter.com/IAS_Gurukul/status/922621374790881280","922621374790881280")</f>
        <v>922621374790881280</v>
      </c>
      <c r="F7791" s="10" t="s">
        <v>60</v>
      </c>
      <c r="G7791" s="10" t="n">
        <v>165</v>
      </c>
      <c r="H7791" s="10" t="n">
        <v>70</v>
      </c>
      <c r="I7791" s="10" t="n">
        <v>0</v>
      </c>
      <c r="J7791" s="10" t="n">
        <v>0</v>
      </c>
      <c r="K7791" s="10" t="s">
        <v>20</v>
      </c>
      <c r="L7791" s="11" t="n">
        <v>42635.8370486111</v>
      </c>
      <c r="M7791" s="12" t="s">
        <v>64</v>
      </c>
      <c r="N7791" s="12" t="s">
        <v>840</v>
      </c>
      <c r="O7791" s="9" t="str">
        <f aca="false">HYPERLINK("https://pbs.twimg.com/profile_images/898138063557214209/uxDcvkn3_normal.jpg","View")</f>
        <v>View</v>
      </c>
      <c r="P7791" s="10"/>
    </row>
    <row r="7792" customFormat="false" ht="15.75" hidden="false" customHeight="false" outlineLevel="0" collapsed="false">
      <c r="A7792" s="6" t="n">
        <v>43031.7298148148</v>
      </c>
      <c r="B7792" s="7" t="str">
        <f aca="false">HYPERLINK("https://twitter.com/falcopretty","@falcopretty")</f>
        <v>@falcopretty</v>
      </c>
      <c r="C7792" s="8" t="s">
        <v>17437</v>
      </c>
      <c r="D7792" s="8" t="s">
        <v>10525</v>
      </c>
      <c r="E7792" s="9" t="str">
        <f aca="false">HYPERLINK("https://twitter.com/falcopretty/status/922621395770544128","922621395770544128")</f>
        <v>922621395770544128</v>
      </c>
      <c r="F7792" s="10" t="s">
        <v>25</v>
      </c>
      <c r="G7792" s="10" t="n">
        <v>125</v>
      </c>
      <c r="H7792" s="10" t="n">
        <v>474</v>
      </c>
      <c r="I7792" s="10" t="n">
        <v>16</v>
      </c>
      <c r="J7792" s="10" t="n">
        <v>0</v>
      </c>
      <c r="K7792" s="10" t="s">
        <v>20</v>
      </c>
      <c r="L7792" s="11" t="n">
        <v>42706.4020949074</v>
      </c>
      <c r="M7792" s="12" t="s">
        <v>17438</v>
      </c>
      <c r="N7792" s="12" t="s">
        <v>17439</v>
      </c>
      <c r="O7792" s="9" t="str">
        <f aca="false">HYPERLINK("https://pbs.twimg.com/profile_images/862319506017837057/PStceXf3_normal.jpg","View")</f>
        <v>View</v>
      </c>
      <c r="P7792" s="10"/>
    </row>
    <row r="7793" customFormat="false" ht="15.75" hidden="false" customHeight="false" outlineLevel="0" collapsed="false">
      <c r="A7793" s="6" t="n">
        <v>43031.7303356482</v>
      </c>
      <c r="B7793" s="7" t="str">
        <f aca="false">HYPERLINK("https://twitter.com/EssentiallyLtd","@EssentiallyLtd")</f>
        <v>@EssentiallyLtd</v>
      </c>
      <c r="C7793" s="8" t="s">
        <v>16510</v>
      </c>
      <c r="D7793" s="8" t="s">
        <v>17440</v>
      </c>
      <c r="E7793" s="9" t="str">
        <f aca="false">HYPERLINK("https://twitter.com/EssentiallyLtd/status/922621581100306433","922621581100306433")</f>
        <v>922621581100306433</v>
      </c>
      <c r="F7793" s="10" t="s">
        <v>110</v>
      </c>
      <c r="G7793" s="10" t="n">
        <v>743</v>
      </c>
      <c r="H7793" s="10" t="n">
        <v>2</v>
      </c>
      <c r="I7793" s="10" t="n">
        <v>0</v>
      </c>
      <c r="J7793" s="10" t="n">
        <v>0</v>
      </c>
      <c r="K7793" s="10" t="s">
        <v>20</v>
      </c>
      <c r="L7793" s="11" t="n">
        <v>41386.4006712963</v>
      </c>
      <c r="M7793" s="12" t="s">
        <v>16512</v>
      </c>
      <c r="N7793" s="12" t="s">
        <v>16513</v>
      </c>
      <c r="O7793" s="9" t="str">
        <f aca="false">HYPERLINK("https://pbs.twimg.com/profile_images/702416092371795968/da0lKxnO_normal.jpg","View")</f>
        <v>View</v>
      </c>
      <c r="P7793" s="10"/>
    </row>
    <row r="7794" customFormat="false" ht="15.75" hidden="false" customHeight="false" outlineLevel="0" collapsed="false">
      <c r="A7794" s="6" t="n">
        <v>43031.7320486111</v>
      </c>
      <c r="B7794" s="7" t="str">
        <f aca="false">HYPERLINK("https://twitter.com/Japan_Guide1","@Japan_Guide1")</f>
        <v>@Japan_Guide1</v>
      </c>
      <c r="C7794" s="8" t="s">
        <v>2121</v>
      </c>
      <c r="D7794" s="8" t="s">
        <v>17441</v>
      </c>
      <c r="E7794" s="9" t="str">
        <f aca="false">HYPERLINK("https://twitter.com/Japan_Guide1/status/922622205086666752","922622205086666752")</f>
        <v>922622205086666752</v>
      </c>
      <c r="F7794" s="10" t="s">
        <v>39</v>
      </c>
      <c r="G7794" s="10" t="n">
        <v>129</v>
      </c>
      <c r="H7794" s="10" t="n">
        <v>8</v>
      </c>
      <c r="I7794" s="10" t="n">
        <v>0</v>
      </c>
      <c r="J7794" s="10" t="n">
        <v>0</v>
      </c>
      <c r="K7794" s="10" t="s">
        <v>20</v>
      </c>
      <c r="L7794" s="11" t="n">
        <v>41757.8528819444</v>
      </c>
      <c r="M7794" s="12" t="s">
        <v>574</v>
      </c>
      <c r="N7794" s="12" t="s">
        <v>2123</v>
      </c>
      <c r="O7794" s="9" t="str">
        <f aca="false">HYPERLINK("https://pbs.twimg.com/profile_images/461037999447240704/PtnAzrJz_normal.jpeg","View")</f>
        <v>View</v>
      </c>
      <c r="P7794" s="10"/>
    </row>
    <row r="7795" customFormat="false" ht="15.75" hidden="false" customHeight="false" outlineLevel="0" collapsed="false">
      <c r="A7795" s="6" t="n">
        <v>43031.7328472222</v>
      </c>
      <c r="B7795" s="7" t="str">
        <f aca="false">HYPERLINK("https://twitter.com/newloc_security","@newloc_security")</f>
        <v>@newloc_security</v>
      </c>
      <c r="C7795" s="8" t="s">
        <v>17442</v>
      </c>
      <c r="D7795" s="8" t="s">
        <v>17443</v>
      </c>
      <c r="E7795" s="9" t="str">
        <f aca="false">HYPERLINK("https://twitter.com/newloc_security/status/922622493466267648","922622493466267648")</f>
        <v>922622493466267648</v>
      </c>
      <c r="F7795" s="10" t="s">
        <v>3042</v>
      </c>
      <c r="G7795" s="10" t="n">
        <v>1957</v>
      </c>
      <c r="H7795" s="10" t="n">
        <v>1963</v>
      </c>
      <c r="I7795" s="10" t="n">
        <v>0</v>
      </c>
      <c r="J7795" s="10" t="n">
        <v>0</v>
      </c>
      <c r="K7795" s="10" t="s">
        <v>20</v>
      </c>
      <c r="L7795" s="11" t="n">
        <v>41050.2189930556</v>
      </c>
      <c r="M7795" s="12"/>
      <c r="N7795" s="12" t="s">
        <v>17444</v>
      </c>
      <c r="O7795" s="9" t="str">
        <f aca="false">HYPERLINK("https://pbs.twimg.com/profile_images/2280368018/2cl89fdjgfw6466nin82_normal.png","View")</f>
        <v>View</v>
      </c>
      <c r="P7795" s="10"/>
    </row>
    <row r="7796" customFormat="false" ht="15.75" hidden="false" customHeight="false" outlineLevel="0" collapsed="false">
      <c r="A7796" s="6" t="n">
        <v>43031.7347106482</v>
      </c>
      <c r="B7796" s="7" t="str">
        <f aca="false">HYPERLINK("https://twitter.com/Japan_Guide1","@Japan_Guide1")</f>
        <v>@Japan_Guide1</v>
      </c>
      <c r="C7796" s="8" t="s">
        <v>2121</v>
      </c>
      <c r="D7796" s="8" t="s">
        <v>17445</v>
      </c>
      <c r="E7796" s="9" t="str">
        <f aca="false">HYPERLINK("https://twitter.com/Japan_Guide1/status/922623169143365632","922623169143365632")</f>
        <v>922623169143365632</v>
      </c>
      <c r="F7796" s="10" t="s">
        <v>39</v>
      </c>
      <c r="G7796" s="10" t="n">
        <v>129</v>
      </c>
      <c r="H7796" s="10" t="n">
        <v>8</v>
      </c>
      <c r="I7796" s="10" t="n">
        <v>0</v>
      </c>
      <c r="J7796" s="10" t="n">
        <v>0</v>
      </c>
      <c r="K7796" s="10" t="s">
        <v>20</v>
      </c>
      <c r="L7796" s="11" t="n">
        <v>41757.8528819444</v>
      </c>
      <c r="M7796" s="12" t="s">
        <v>574</v>
      </c>
      <c r="N7796" s="12" t="s">
        <v>2123</v>
      </c>
      <c r="O7796" s="9" t="str">
        <f aca="false">HYPERLINK("https://pbs.twimg.com/profile_images/461037999447240704/PtnAzrJz_normal.jpeg","View")</f>
        <v>View</v>
      </c>
      <c r="P7796" s="10"/>
    </row>
    <row r="7797" customFormat="false" ht="15.75" hidden="false" customHeight="false" outlineLevel="0" collapsed="false">
      <c r="A7797" s="6" t="n">
        <v>43031.734849537</v>
      </c>
      <c r="B7797" s="7" t="str">
        <f aca="false">HYPERLINK("https://twitter.com/Japan_Guide1","@Japan_Guide1")</f>
        <v>@Japan_Guide1</v>
      </c>
      <c r="C7797" s="8" t="s">
        <v>2121</v>
      </c>
      <c r="D7797" s="8" t="s">
        <v>17446</v>
      </c>
      <c r="E7797" s="9" t="str">
        <f aca="false">HYPERLINK("https://twitter.com/Japan_Guide1/status/922623218535534593","922623218535534593")</f>
        <v>922623218535534593</v>
      </c>
      <c r="F7797" s="10" t="s">
        <v>1658</v>
      </c>
      <c r="G7797" s="10" t="n">
        <v>129</v>
      </c>
      <c r="H7797" s="10" t="n">
        <v>8</v>
      </c>
      <c r="I7797" s="10" t="n">
        <v>0</v>
      </c>
      <c r="J7797" s="10" t="n">
        <v>0</v>
      </c>
      <c r="K7797" s="10" t="s">
        <v>20</v>
      </c>
      <c r="L7797" s="11" t="n">
        <v>41757.8528819444</v>
      </c>
      <c r="M7797" s="12" t="s">
        <v>574</v>
      </c>
      <c r="N7797" s="12" t="s">
        <v>2123</v>
      </c>
      <c r="O7797" s="9" t="str">
        <f aca="false">HYPERLINK("https://pbs.twimg.com/profile_images/461037999447240704/PtnAzrJz_normal.jpeg","View")</f>
        <v>View</v>
      </c>
      <c r="P7797" s="10"/>
    </row>
    <row r="7798" customFormat="false" ht="15.75" hidden="false" customHeight="false" outlineLevel="0" collapsed="false">
      <c r="A7798" s="6" t="n">
        <v>43031.7354282407</v>
      </c>
      <c r="B7798" s="7" t="str">
        <f aca="false">HYPERLINK("https://twitter.com/JustMadly","@JustMadly")</f>
        <v>@JustMadly</v>
      </c>
      <c r="C7798" s="8" t="s">
        <v>17447</v>
      </c>
      <c r="D7798" s="8" t="s">
        <v>16929</v>
      </c>
      <c r="E7798" s="9" t="str">
        <f aca="false">HYPERLINK("https://twitter.com/JustMadly/status/922623427541897216","922623427541897216")</f>
        <v>922623427541897216</v>
      </c>
      <c r="F7798" s="10" t="s">
        <v>39</v>
      </c>
      <c r="G7798" s="10" t="n">
        <v>1277</v>
      </c>
      <c r="H7798" s="10" t="n">
        <v>1271</v>
      </c>
      <c r="I7798" s="10" t="n">
        <v>247</v>
      </c>
      <c r="J7798" s="10" t="n">
        <v>0</v>
      </c>
      <c r="K7798" s="10" t="s">
        <v>20</v>
      </c>
      <c r="L7798" s="11" t="n">
        <v>42574.5249189815</v>
      </c>
      <c r="M7798" s="12" t="s">
        <v>17448</v>
      </c>
      <c r="N7798" s="12" t="s">
        <v>17449</v>
      </c>
      <c r="O7798" s="9" t="str">
        <f aca="false">HYPERLINK("https://pbs.twimg.com/profile_images/797601678862282752/D5uBxtjX_normal.jpg","View")</f>
        <v>View</v>
      </c>
      <c r="P7798" s="10"/>
    </row>
    <row r="7799" customFormat="false" ht="15.75" hidden="false" customHeight="false" outlineLevel="0" collapsed="false">
      <c r="A7799" s="6" t="n">
        <v>43031.738587963</v>
      </c>
      <c r="B7799" s="7" t="str">
        <f aca="false">HYPERLINK("https://twitter.com/TrendlerNews","@TrendlerNews")</f>
        <v>@TrendlerNews</v>
      </c>
      <c r="C7799" s="8" t="s">
        <v>17450</v>
      </c>
      <c r="D7799" s="8" t="s">
        <v>17451</v>
      </c>
      <c r="E7799" s="9" t="str">
        <f aca="false">HYPERLINK("https://twitter.com/TrendlerNews/status/922624571882254336","922624571882254336")</f>
        <v>922624571882254336</v>
      </c>
      <c r="F7799" s="10" t="s">
        <v>51</v>
      </c>
      <c r="G7799" s="10" t="n">
        <v>8549</v>
      </c>
      <c r="H7799" s="10" t="n">
        <v>8339</v>
      </c>
      <c r="I7799" s="10" t="n">
        <v>1</v>
      </c>
      <c r="J7799" s="10" t="n">
        <v>1</v>
      </c>
      <c r="K7799" s="10" t="s">
        <v>20</v>
      </c>
      <c r="L7799" s="11" t="n">
        <v>42292.2362037037</v>
      </c>
      <c r="M7799" s="12" t="s">
        <v>21</v>
      </c>
      <c r="N7799" s="12" t="s">
        <v>17452</v>
      </c>
      <c r="O7799" s="9" t="str">
        <f aca="false">HYPERLINK("https://pbs.twimg.com/profile_images/904521057574539264/_6U0FxbR_normal.jpg","View")</f>
        <v>View</v>
      </c>
      <c r="P7799" s="10"/>
    </row>
    <row r="7800" customFormat="false" ht="15.75" hidden="false" customHeight="false" outlineLevel="0" collapsed="false">
      <c r="A7800" s="6" t="n">
        <v>43031.7389467593</v>
      </c>
      <c r="B7800" s="7" t="str">
        <f aca="false">HYPERLINK("https://twitter.com/JOHNJOSEPHDAUER","@JOHNJOSEPHDAUER")</f>
        <v>@JOHNJOSEPHDAUER</v>
      </c>
      <c r="C7800" s="8" t="s">
        <v>17453</v>
      </c>
      <c r="D7800" s="8" t="s">
        <v>16929</v>
      </c>
      <c r="E7800" s="9" t="str">
        <f aca="false">HYPERLINK("https://twitter.com/JOHNJOSEPHDAUER/status/922624703251980288","922624703251980288")</f>
        <v>922624703251980288</v>
      </c>
      <c r="F7800" s="10" t="s">
        <v>51</v>
      </c>
      <c r="G7800" s="10" t="n">
        <v>104</v>
      </c>
      <c r="H7800" s="10" t="n">
        <v>308</v>
      </c>
      <c r="I7800" s="10" t="n">
        <v>247</v>
      </c>
      <c r="J7800" s="10" t="n">
        <v>0</v>
      </c>
      <c r="K7800" s="10" t="s">
        <v>20</v>
      </c>
      <c r="L7800" s="11" t="n">
        <v>42063.7203935185</v>
      </c>
      <c r="M7800" s="12" t="s">
        <v>752</v>
      </c>
      <c r="N7800" s="12" t="s">
        <v>17454</v>
      </c>
      <c r="O7800" s="9" t="str">
        <f aca="false">HYPERLINK("https://pbs.twimg.com/profile_images/887886797929238528/IAyctK02_normal.jpg","View")</f>
        <v>View</v>
      </c>
      <c r="P7800" s="10"/>
    </row>
    <row r="7801" customFormat="false" ht="15.75" hidden="false" customHeight="false" outlineLevel="0" collapsed="false">
      <c r="A7801" s="6" t="n">
        <v>43031.7415740741</v>
      </c>
      <c r="B7801" s="7" t="str">
        <f aca="false">HYPERLINK("https://twitter.com/nfsrockstar","@nfsrockstar")</f>
        <v>@nfsrockstar</v>
      </c>
      <c r="C7801" s="8" t="s">
        <v>17455</v>
      </c>
      <c r="D7801" s="8" t="s">
        <v>16929</v>
      </c>
      <c r="E7801" s="9" t="str">
        <f aca="false">HYPERLINK("https://twitter.com/nfsrockstar/status/922625656181190656","922625656181190656")</f>
        <v>922625656181190656</v>
      </c>
      <c r="F7801" s="10" t="s">
        <v>25</v>
      </c>
      <c r="G7801" s="10" t="n">
        <v>63</v>
      </c>
      <c r="H7801" s="10" t="n">
        <v>0</v>
      </c>
      <c r="I7801" s="10" t="n">
        <v>247</v>
      </c>
      <c r="J7801" s="10" t="n">
        <v>0</v>
      </c>
      <c r="K7801" s="10" t="s">
        <v>20</v>
      </c>
      <c r="L7801" s="11" t="n">
        <v>41605.8489930556</v>
      </c>
      <c r="M7801" s="12"/>
      <c r="N7801" s="12"/>
      <c r="O7801" s="9" t="str">
        <f aca="false">HYPERLINK("https://pbs.twimg.com/profile_images/480903396006694913/w2pBB_G6_normal.jpeg","View")</f>
        <v>View</v>
      </c>
      <c r="P7801" s="10"/>
    </row>
    <row r="7802" customFormat="false" ht="15.75" hidden="false" customHeight="false" outlineLevel="0" collapsed="false">
      <c r="A7802" s="6" t="n">
        <v>43031.7426273148</v>
      </c>
      <c r="B7802" s="7" t="str">
        <f aca="false">HYPERLINK("https://twitter.com/chrisdussault62","@chrisdussault62")</f>
        <v>@chrisdussault62</v>
      </c>
      <c r="C7802" s="8" t="s">
        <v>17456</v>
      </c>
      <c r="D7802" s="8" t="s">
        <v>17457</v>
      </c>
      <c r="E7802" s="9" t="str">
        <f aca="false">HYPERLINK("https://twitter.com/chrisdussault62/status/922626035924992002","922626035924992002")</f>
        <v>922626035924992002</v>
      </c>
      <c r="F7802" s="10" t="s">
        <v>25</v>
      </c>
      <c r="G7802" s="10" t="n">
        <v>650</v>
      </c>
      <c r="H7802" s="10" t="n">
        <v>4714</v>
      </c>
      <c r="I7802" s="10" t="n">
        <v>0</v>
      </c>
      <c r="J7802" s="10" t="n">
        <v>0</v>
      </c>
      <c r="K7802" s="10" t="s">
        <v>20</v>
      </c>
      <c r="L7802" s="11" t="n">
        <v>41282.8597569444</v>
      </c>
      <c r="M7802" s="12" t="s">
        <v>17458</v>
      </c>
      <c r="N7802" s="12" t="s">
        <v>17459</v>
      </c>
      <c r="O7802" s="9" t="str">
        <f aca="false">HYPERLINK("https://pbs.twimg.com/profile_images/3606221197/50e33a9044d0038a555e023367b3fd79_normal.jpeg","View")</f>
        <v>View</v>
      </c>
      <c r="P7802" s="10"/>
    </row>
    <row r="7803" customFormat="false" ht="15.75" hidden="false" customHeight="false" outlineLevel="0" collapsed="false">
      <c r="A7803" s="6" t="n">
        <v>43031.742962963</v>
      </c>
      <c r="B7803" s="7" t="str">
        <f aca="false">HYPERLINK("https://twitter.com/tuzzi","@tuzzi")</f>
        <v>@tuzzi</v>
      </c>
      <c r="C7803" s="8" t="s">
        <v>17460</v>
      </c>
      <c r="D7803" s="8" t="s">
        <v>17387</v>
      </c>
      <c r="E7803" s="9" t="str">
        <f aca="false">HYPERLINK("https://twitter.com/tuzzi/status/922626158239260673","922626158239260673")</f>
        <v>922626158239260673</v>
      </c>
      <c r="F7803" s="10" t="s">
        <v>276</v>
      </c>
      <c r="G7803" s="10" t="n">
        <v>1108</v>
      </c>
      <c r="H7803" s="10" t="n">
        <v>324</v>
      </c>
      <c r="I7803" s="10" t="n">
        <v>2</v>
      </c>
      <c r="J7803" s="10" t="n">
        <v>0</v>
      </c>
      <c r="K7803" s="10" t="s">
        <v>20</v>
      </c>
      <c r="L7803" s="11" t="n">
        <v>39761.1471990741</v>
      </c>
      <c r="M7803" s="12" t="s">
        <v>6685</v>
      </c>
      <c r="N7803" s="12"/>
      <c r="O7803" s="9" t="str">
        <f aca="false">HYPERLINK("https://pbs.twimg.com/profile_images/870619309290147842/vJiTOohV_normal.jpg","View")</f>
        <v>View</v>
      </c>
      <c r="P7803" s="10"/>
    </row>
    <row r="7804" customFormat="false" ht="15.75" hidden="false" customHeight="false" outlineLevel="0" collapsed="false">
      <c r="A7804" s="6" t="n">
        <v>43031.742974537</v>
      </c>
      <c r="B7804" s="7" t="str">
        <f aca="false">HYPERLINK("https://twitter.com/Rocketnews1","@Rocketnews1")</f>
        <v>@Rocketnews1</v>
      </c>
      <c r="C7804" s="8" t="s">
        <v>1880</v>
      </c>
      <c r="D7804" s="8" t="s">
        <v>17461</v>
      </c>
      <c r="E7804" s="9" t="str">
        <f aca="false">HYPERLINK("https://twitter.com/Rocketnews1/status/922626165042565120","922626165042565120")</f>
        <v>922626165042565120</v>
      </c>
      <c r="F7804" s="10" t="s">
        <v>1882</v>
      </c>
      <c r="G7804" s="10" t="n">
        <v>181</v>
      </c>
      <c r="H7804" s="10" t="n">
        <v>15</v>
      </c>
      <c r="I7804" s="10" t="n">
        <v>0</v>
      </c>
      <c r="J7804" s="10" t="n">
        <v>0</v>
      </c>
      <c r="K7804" s="10" t="s">
        <v>20</v>
      </c>
      <c r="L7804" s="11" t="n">
        <v>41354.3074189815</v>
      </c>
      <c r="M7804" s="12"/>
      <c r="N7804" s="12" t="s">
        <v>1883</v>
      </c>
      <c r="O7804" s="9" t="str">
        <f aca="false">HYPERLINK("https://pbs.twimg.com/profile_images/3409516523/1b0e7afc97e354cf330487934ec5a462_normal.jpeg","View")</f>
        <v>View</v>
      </c>
      <c r="P7804" s="10"/>
    </row>
    <row r="7805" customFormat="false" ht="15.75" hidden="false" customHeight="false" outlineLevel="0" collapsed="false">
      <c r="A7805" s="6" t="n">
        <v>43031.7436342593</v>
      </c>
      <c r="B7805" s="7" t="str">
        <f aca="false">HYPERLINK("https://twitter.com/Jrm21370023Jrm","@Jrm21370023Jrm")</f>
        <v>@Jrm21370023Jrm</v>
      </c>
      <c r="C7805" s="8" t="s">
        <v>17462</v>
      </c>
      <c r="D7805" s="8" t="s">
        <v>16929</v>
      </c>
      <c r="E7805" s="9" t="str">
        <f aca="false">HYPERLINK("https://twitter.com/Jrm21370023Jrm/status/922626403366924288","922626403366924288")</f>
        <v>922626403366924288</v>
      </c>
      <c r="F7805" s="10" t="s">
        <v>51</v>
      </c>
      <c r="G7805" s="10" t="n">
        <v>216</v>
      </c>
      <c r="H7805" s="10" t="n">
        <v>166</v>
      </c>
      <c r="I7805" s="10" t="n">
        <v>247</v>
      </c>
      <c r="J7805" s="10" t="n">
        <v>0</v>
      </c>
      <c r="K7805" s="10" t="s">
        <v>20</v>
      </c>
      <c r="L7805" s="11" t="n">
        <v>42465.9407291667</v>
      </c>
      <c r="M7805" s="12"/>
      <c r="N7805" s="12" t="s">
        <v>17463</v>
      </c>
      <c r="O7805" s="9" t="str">
        <f aca="false">HYPERLINK("https://pbs.twimg.com/profile_images/921724949093433345/7gpgYsHM_normal.jpg","View")</f>
        <v>View</v>
      </c>
      <c r="P7805" s="10"/>
    </row>
    <row r="7806" customFormat="false" ht="15.75" hidden="false" customHeight="false" outlineLevel="0" collapsed="false">
      <c r="A7806" s="6" t="n">
        <v>43031.7446064815</v>
      </c>
      <c r="B7806" s="7" t="str">
        <f aca="false">HYPERLINK("https://twitter.com/BeccaTauscher10","@BeccaTauscher10")</f>
        <v>@BeccaTauscher10</v>
      </c>
      <c r="C7806" s="8" t="s">
        <v>17464</v>
      </c>
      <c r="D7806" s="8" t="s">
        <v>17465</v>
      </c>
      <c r="E7806" s="9" t="str">
        <f aca="false">HYPERLINK("https://twitter.com/BeccaTauscher10/status/922626756196126720","922626756196126720")</f>
        <v>922626756196126720</v>
      </c>
      <c r="F7806" s="10" t="s">
        <v>25</v>
      </c>
      <c r="G7806" s="10" t="n">
        <v>55</v>
      </c>
      <c r="H7806" s="10" t="n">
        <v>1486</v>
      </c>
      <c r="I7806" s="10" t="n">
        <v>1</v>
      </c>
      <c r="J7806" s="10" t="n">
        <v>0</v>
      </c>
      <c r="K7806" s="10" t="s">
        <v>20</v>
      </c>
      <c r="L7806" s="11" t="n">
        <v>41743.8286689815</v>
      </c>
      <c r="M7806" s="12" t="s">
        <v>17466</v>
      </c>
      <c r="N7806" s="12" t="s">
        <v>17467</v>
      </c>
      <c r="O7806" s="9" t="str">
        <f aca="false">HYPERLINK("https://pbs.twimg.com/profile_images/749761685859266560/AyDtuo60_normal.jpg","View")</f>
        <v>View</v>
      </c>
      <c r="P7806" s="10"/>
    </row>
    <row r="7807" customFormat="false" ht="15.75" hidden="false" customHeight="false" outlineLevel="0" collapsed="false">
      <c r="A7807" s="6" t="n">
        <v>43031.7448032407</v>
      </c>
      <c r="B7807" s="7" t="str">
        <f aca="false">HYPERLINK("https://twitter.com/RinconIntlNews","@RinconIntlNews")</f>
        <v>@RinconIntlNews</v>
      </c>
      <c r="C7807" s="8" t="s">
        <v>17468</v>
      </c>
      <c r="D7807" s="8" t="s">
        <v>17469</v>
      </c>
      <c r="E7807" s="9" t="str">
        <f aca="false">HYPERLINK("https://twitter.com/RinconIntlNews/status/922626827285336064","922626827285336064")</f>
        <v>922626827285336064</v>
      </c>
      <c r="F7807" s="10" t="s">
        <v>17470</v>
      </c>
      <c r="G7807" s="10" t="n">
        <v>16520</v>
      </c>
      <c r="H7807" s="10" t="n">
        <v>14549</v>
      </c>
      <c r="I7807" s="10" t="n">
        <v>0</v>
      </c>
      <c r="J7807" s="10" t="n">
        <v>0</v>
      </c>
      <c r="K7807" s="10" t="s">
        <v>20</v>
      </c>
      <c r="L7807" s="11" t="n">
        <v>42656.4052083333</v>
      </c>
      <c r="M7807" s="12" t="s">
        <v>752</v>
      </c>
      <c r="N7807" s="12" t="s">
        <v>17471</v>
      </c>
      <c r="O7807" s="9" t="str">
        <f aca="false">HYPERLINK("https://pbs.twimg.com/profile_images/786609884770934784/o4X_5806_normal.jpg","View")</f>
        <v>View</v>
      </c>
      <c r="P7807" s="10"/>
    </row>
    <row r="7808" customFormat="false" ht="15.75" hidden="false" customHeight="false" outlineLevel="0" collapsed="false">
      <c r="A7808" s="6" t="n">
        <v>43031.7488310185</v>
      </c>
      <c r="B7808" s="7" t="str">
        <f aca="false">HYPERLINK("https://twitter.com/HamishCapital","@HamishCapital")</f>
        <v>@HamishCapital</v>
      </c>
      <c r="C7808" s="8" t="s">
        <v>17472</v>
      </c>
      <c r="D7808" s="8" t="s">
        <v>14903</v>
      </c>
      <c r="E7808" s="9" t="str">
        <f aca="false">HYPERLINK("https://twitter.com/HamishCapital/status/922628286718517250","922628286718517250")</f>
        <v>922628286718517250</v>
      </c>
      <c r="F7808" s="10" t="s">
        <v>25</v>
      </c>
      <c r="G7808" s="10" t="n">
        <v>174</v>
      </c>
      <c r="H7808" s="10" t="n">
        <v>180</v>
      </c>
      <c r="I7808" s="10" t="n">
        <v>4</v>
      </c>
      <c r="J7808" s="10" t="n">
        <v>0</v>
      </c>
      <c r="K7808" s="10" t="s">
        <v>20</v>
      </c>
      <c r="L7808" s="11" t="n">
        <v>42504.6274768518</v>
      </c>
      <c r="M7808" s="12"/>
      <c r="N7808" s="12"/>
      <c r="O7808" s="9" t="str">
        <f aca="false">HYPERLINK("https://pbs.twimg.com/profile_images/892882642504302593/dEHGg_Th_normal.jpg","View")</f>
        <v>View</v>
      </c>
      <c r="P7808" s="10"/>
    </row>
    <row r="7809" customFormat="false" ht="15.75" hidden="false" customHeight="false" outlineLevel="0" collapsed="false">
      <c r="A7809" s="6" t="n">
        <v>43031.7496875</v>
      </c>
      <c r="B7809" s="7" t="str">
        <f aca="false">HYPERLINK("https://twitter.com/cosimo_23","@cosimo_23")</f>
        <v>@cosimo_23</v>
      </c>
      <c r="C7809" s="8" t="s">
        <v>17473</v>
      </c>
      <c r="D7809" s="8" t="s">
        <v>17474</v>
      </c>
      <c r="E7809" s="9" t="str">
        <f aca="false">HYPERLINK("https://twitter.com/cosimo_23/status/922628597231255552","922628597231255552")</f>
        <v>922628597231255552</v>
      </c>
      <c r="F7809" s="10" t="s">
        <v>51</v>
      </c>
      <c r="G7809" s="10" t="n">
        <v>1</v>
      </c>
      <c r="H7809" s="10" t="n">
        <v>35</v>
      </c>
      <c r="I7809" s="10" t="n">
        <v>0</v>
      </c>
      <c r="J7809" s="10" t="n">
        <v>0</v>
      </c>
      <c r="K7809" s="10" t="s">
        <v>20</v>
      </c>
      <c r="L7809" s="11" t="n">
        <v>42569.2205092593</v>
      </c>
      <c r="M7809" s="12"/>
      <c r="N7809" s="12" t="s">
        <v>17475</v>
      </c>
      <c r="O7809" s="9" t="str">
        <f aca="false">HYPERLINK("https://abs.twimg.com/sticky/default_profile_images/default_profile_normal.png","View")</f>
        <v>View</v>
      </c>
      <c r="P7809" s="10"/>
    </row>
    <row r="7810" customFormat="false" ht="15.75" hidden="false" customHeight="false" outlineLevel="0" collapsed="false">
      <c r="A7810" s="6" t="n">
        <v>43031.750474537</v>
      </c>
      <c r="B7810" s="7" t="str">
        <f aca="false">HYPERLINK("https://twitter.com/ABauer_ATR","@ABauer_ATR")</f>
        <v>@ABauer_ATR</v>
      </c>
      <c r="C7810" s="8" t="s">
        <v>17476</v>
      </c>
      <c r="D7810" s="8" t="s">
        <v>17477</v>
      </c>
      <c r="E7810" s="9" t="str">
        <f aca="false">HYPERLINK("https://twitter.com/ABauer_ATR/status/922628881936416769","922628881936416769")</f>
        <v>922628881936416769</v>
      </c>
      <c r="F7810" s="10" t="s">
        <v>110</v>
      </c>
      <c r="G7810" s="10" t="n">
        <v>1324</v>
      </c>
      <c r="H7810" s="10" t="n">
        <v>635</v>
      </c>
      <c r="I7810" s="10" t="n">
        <v>0</v>
      </c>
      <c r="J7810" s="10" t="n">
        <v>0</v>
      </c>
      <c r="K7810" s="10" t="s">
        <v>20</v>
      </c>
      <c r="L7810" s="11" t="n">
        <v>41093.2839351852</v>
      </c>
      <c r="M7810" s="12" t="s">
        <v>4756</v>
      </c>
      <c r="N7810" s="12" t="s">
        <v>17478</v>
      </c>
      <c r="O7810" s="9" t="str">
        <f aca="false">HYPERLINK("https://pbs.twimg.com/profile_images/794973649249992704/nGcOS6Qe_normal.jpg","View")</f>
        <v>View</v>
      </c>
      <c r="P7810" s="10"/>
    </row>
    <row r="7811" customFormat="false" ht="15.75" hidden="false" customHeight="false" outlineLevel="0" collapsed="false">
      <c r="A7811" s="6" t="n">
        <v>43031.7505092593</v>
      </c>
      <c r="B7811" s="7" t="str">
        <f aca="false">HYPERLINK("https://twitter.com/AroundTheRings","@AroundTheRings")</f>
        <v>@AroundTheRings</v>
      </c>
      <c r="C7811" s="8" t="s">
        <v>17479</v>
      </c>
      <c r="D7811" s="8" t="s">
        <v>17480</v>
      </c>
      <c r="E7811" s="9" t="str">
        <f aca="false">HYPERLINK("https://twitter.com/AroundTheRings/status/922628895450558464","922628895450558464")</f>
        <v>922628895450558464</v>
      </c>
      <c r="F7811" s="10" t="s">
        <v>110</v>
      </c>
      <c r="G7811" s="10" t="n">
        <v>23537</v>
      </c>
      <c r="H7811" s="10" t="n">
        <v>10343</v>
      </c>
      <c r="I7811" s="10" t="n">
        <v>2</v>
      </c>
      <c r="J7811" s="10" t="n">
        <v>0</v>
      </c>
      <c r="K7811" s="10" t="s">
        <v>20</v>
      </c>
      <c r="L7811" s="11" t="n">
        <v>39833.4116666667</v>
      </c>
      <c r="M7811" s="12" t="s">
        <v>17481</v>
      </c>
      <c r="N7811" s="12" t="s">
        <v>17482</v>
      </c>
      <c r="O7811" s="9" t="str">
        <f aca="false">HYPERLINK("https://pbs.twimg.com/profile_images/902170257674067972/9AmNe3KF_normal.jpg","View")</f>
        <v>View</v>
      </c>
      <c r="P7811" s="10"/>
    </row>
    <row r="7812" customFormat="false" ht="15.75" hidden="false" customHeight="false" outlineLevel="0" collapsed="false">
      <c r="A7812" s="6" t="n">
        <v>43031.7513078704</v>
      </c>
      <c r="B7812" s="7" t="str">
        <f aca="false">HYPERLINK("https://twitter.com/peterkonnecke","@peterkonnecke")</f>
        <v>@peterkonnecke</v>
      </c>
      <c r="C7812" s="8" t="s">
        <v>17483</v>
      </c>
      <c r="D7812" s="8" t="s">
        <v>17484</v>
      </c>
      <c r="E7812" s="9" t="str">
        <f aca="false">HYPERLINK("https://twitter.com/peterkonnecke/status/922629184710742016","922629184710742016")</f>
        <v>922629184710742016</v>
      </c>
      <c r="F7812" s="10" t="s">
        <v>60</v>
      </c>
      <c r="G7812" s="10" t="n">
        <v>838</v>
      </c>
      <c r="H7812" s="10" t="n">
        <v>2120</v>
      </c>
      <c r="I7812" s="10" t="n">
        <v>0</v>
      </c>
      <c r="J7812" s="10" t="n">
        <v>0</v>
      </c>
      <c r="K7812" s="10" t="s">
        <v>20</v>
      </c>
      <c r="L7812" s="11" t="n">
        <v>39494.6550462963</v>
      </c>
      <c r="M7812" s="12" t="s">
        <v>1408</v>
      </c>
      <c r="N7812" s="12" t="s">
        <v>17485</v>
      </c>
      <c r="O7812" s="9" t="str">
        <f aca="false">HYPERLINK("https://pbs.twimg.com/profile_images/832401808169381888/pkJH9LBJ_normal.jpg","View")</f>
        <v>View</v>
      </c>
      <c r="P7812" s="10"/>
    </row>
    <row r="7813" customFormat="false" ht="15.75" hidden="false" customHeight="false" outlineLevel="0" collapsed="false">
      <c r="A7813" s="6" t="n">
        <v>43031.752337963</v>
      </c>
      <c r="B7813" s="7" t="str">
        <f aca="false">HYPERLINK("https://twitter.com/i__Global","@i__Global")</f>
        <v>@i__Global</v>
      </c>
      <c r="C7813" s="8" t="s">
        <v>6771</v>
      </c>
      <c r="D7813" s="8" t="s">
        <v>16687</v>
      </c>
      <c r="E7813" s="9" t="str">
        <f aca="false">HYPERLINK("https://twitter.com/i__Global/status/922629554409234432","922629554409234432")</f>
        <v>922629554409234432</v>
      </c>
      <c r="F7813" s="10" t="s">
        <v>60</v>
      </c>
      <c r="G7813" s="10" t="n">
        <v>317</v>
      </c>
      <c r="H7813" s="10" t="n">
        <v>541</v>
      </c>
      <c r="I7813" s="10" t="n">
        <v>0</v>
      </c>
      <c r="J7813" s="10" t="n">
        <v>0</v>
      </c>
      <c r="K7813" s="10" t="s">
        <v>20</v>
      </c>
      <c r="L7813" s="11" t="n">
        <v>41975.4296412037</v>
      </c>
      <c r="M7813" s="12" t="s">
        <v>1143</v>
      </c>
      <c r="N7813" s="12"/>
      <c r="O7813" s="9" t="str">
        <f aca="false">HYPERLINK("https://pbs.twimg.com/profile_images/539846499421532160/RQ0XgLb__normal.png","View")</f>
        <v>View</v>
      </c>
      <c r="P7813" s="10"/>
    </row>
    <row r="7814" customFormat="false" ht="15.75" hidden="false" customHeight="false" outlineLevel="0" collapsed="false">
      <c r="A7814" s="6" t="n">
        <v>43031.7584027778</v>
      </c>
      <c r="B7814" s="7" t="str">
        <f aca="false">HYPERLINK("https://twitter.com/examinefaith","@examinefaith")</f>
        <v>@examinefaith</v>
      </c>
      <c r="C7814" s="8" t="s">
        <v>17486</v>
      </c>
      <c r="D7814" s="8" t="s">
        <v>13595</v>
      </c>
      <c r="E7814" s="9" t="str">
        <f aca="false">HYPERLINK("https://twitter.com/examinefaith/status/922631755156410368","922631755156410368")</f>
        <v>922631755156410368</v>
      </c>
      <c r="F7814" s="10" t="s">
        <v>51</v>
      </c>
      <c r="G7814" s="10" t="n">
        <v>3440</v>
      </c>
      <c r="H7814" s="10" t="n">
        <v>4994</v>
      </c>
      <c r="I7814" s="10" t="n">
        <v>88</v>
      </c>
      <c r="J7814" s="10" t="n">
        <v>0</v>
      </c>
      <c r="K7814" s="10" t="s">
        <v>20</v>
      </c>
      <c r="L7814" s="11" t="n">
        <v>42509.6600578704</v>
      </c>
      <c r="M7814" s="12"/>
      <c r="N7814" s="12" t="s">
        <v>17487</v>
      </c>
      <c r="O7814" s="9" t="str">
        <f aca="false">HYPERLINK("https://pbs.twimg.com/profile_images/908933682756505600/SVrVKPeT_normal.jpg","View")</f>
        <v>View</v>
      </c>
      <c r="P7814" s="10"/>
    </row>
    <row r="7815" customFormat="false" ht="15.75" hidden="false" customHeight="false" outlineLevel="0" collapsed="false">
      <c r="A7815" s="6" t="n">
        <v>43031.75875</v>
      </c>
      <c r="B7815" s="7" t="str">
        <f aca="false">HYPERLINK("https://twitter.com/Japan_Guide1","@Japan_Guide1")</f>
        <v>@Japan_Guide1</v>
      </c>
      <c r="C7815" s="8" t="s">
        <v>2121</v>
      </c>
      <c r="D7815" s="8" t="s">
        <v>17488</v>
      </c>
      <c r="E7815" s="9" t="str">
        <f aca="false">HYPERLINK("https://twitter.com/Japan_Guide1/status/922631881471832064","922631881471832064")</f>
        <v>922631881471832064</v>
      </c>
      <c r="F7815" s="10" t="s">
        <v>39</v>
      </c>
      <c r="G7815" s="10" t="n">
        <v>129</v>
      </c>
      <c r="H7815" s="10" t="n">
        <v>8</v>
      </c>
      <c r="I7815" s="10" t="n">
        <v>0</v>
      </c>
      <c r="J7815" s="10" t="n">
        <v>0</v>
      </c>
      <c r="K7815" s="10" t="s">
        <v>20</v>
      </c>
      <c r="L7815" s="11" t="n">
        <v>41757.8528819444</v>
      </c>
      <c r="M7815" s="12" t="s">
        <v>574</v>
      </c>
      <c r="N7815" s="12" t="s">
        <v>2123</v>
      </c>
      <c r="O7815" s="9" t="str">
        <f aca="false">HYPERLINK("https://pbs.twimg.com/profile_images/461037999447240704/PtnAzrJz_normal.jpeg","View")</f>
        <v>View</v>
      </c>
      <c r="P7815" s="10"/>
    </row>
    <row r="7816" customFormat="false" ht="15.75" hidden="false" customHeight="false" outlineLevel="0" collapsed="false">
      <c r="A7816" s="6" t="n">
        <v>43031.7588541667</v>
      </c>
      <c r="B7816" s="7" t="str">
        <f aca="false">HYPERLINK("https://twitter.com/Japan_Guide1","@Japan_Guide1")</f>
        <v>@Japan_Guide1</v>
      </c>
      <c r="C7816" s="8" t="s">
        <v>2121</v>
      </c>
      <c r="D7816" s="8" t="s">
        <v>17489</v>
      </c>
      <c r="E7816" s="9" t="str">
        <f aca="false">HYPERLINK("https://twitter.com/Japan_Guide1/status/922631919237521408","922631919237521408")</f>
        <v>922631919237521408</v>
      </c>
      <c r="F7816" s="10" t="s">
        <v>1658</v>
      </c>
      <c r="G7816" s="10" t="n">
        <v>129</v>
      </c>
      <c r="H7816" s="10" t="n">
        <v>8</v>
      </c>
      <c r="I7816" s="10" t="n">
        <v>0</v>
      </c>
      <c r="J7816" s="10" t="n">
        <v>0</v>
      </c>
      <c r="K7816" s="10" t="s">
        <v>20</v>
      </c>
      <c r="L7816" s="11" t="n">
        <v>41757.8528819444</v>
      </c>
      <c r="M7816" s="12" t="s">
        <v>574</v>
      </c>
      <c r="N7816" s="12" t="s">
        <v>2123</v>
      </c>
      <c r="O7816" s="9" t="str">
        <f aca="false">HYPERLINK("https://pbs.twimg.com/profile_images/461037999447240704/PtnAzrJz_normal.jpeg","View")</f>
        <v>View</v>
      </c>
      <c r="P7816" s="10"/>
    </row>
    <row r="7817" customFormat="false" ht="15.75" hidden="false" customHeight="false" outlineLevel="0" collapsed="false">
      <c r="A7817" s="6" t="n">
        <v>43031.7595023148</v>
      </c>
      <c r="B7817" s="7" t="str">
        <f aca="false">HYPERLINK("https://twitter.com/Alkazapper","@Alkazapper")</f>
        <v>@Alkazapper</v>
      </c>
      <c r="C7817" s="8" t="s">
        <v>17490</v>
      </c>
      <c r="D7817" s="8" t="s">
        <v>17491</v>
      </c>
      <c r="E7817" s="9" t="str">
        <f aca="false">HYPERLINK("https://twitter.com/Alkazapper/status/922632153833250816","922632153833250816")</f>
        <v>922632153833250816</v>
      </c>
      <c r="F7817" s="10" t="s">
        <v>47</v>
      </c>
      <c r="G7817" s="10" t="n">
        <v>124</v>
      </c>
      <c r="H7817" s="10" t="n">
        <v>226</v>
      </c>
      <c r="I7817" s="10" t="n">
        <v>0</v>
      </c>
      <c r="J7817" s="10" t="n">
        <v>0</v>
      </c>
      <c r="K7817" s="10" t="s">
        <v>20</v>
      </c>
      <c r="L7817" s="11" t="n">
        <v>40495.8398148148</v>
      </c>
      <c r="M7817" s="12" t="s">
        <v>17492</v>
      </c>
      <c r="N7817" s="12" t="s">
        <v>17493</v>
      </c>
      <c r="O7817" s="9" t="str">
        <f aca="false">HYPERLINK("https://pbs.twimg.com/profile_images/2359914070/0dlieqffxnb3cmi9ivga_normal.jpeg","View")</f>
        <v>View</v>
      </c>
      <c r="P7817" s="10"/>
    </row>
    <row r="7818" customFormat="false" ht="15.75" hidden="false" customHeight="false" outlineLevel="0" collapsed="false">
      <c r="A7818" s="6" t="n">
        <v>43031.7595601852</v>
      </c>
      <c r="B7818" s="7" t="str">
        <f aca="false">HYPERLINK("https://twitter.com/marinapmedina","@marinapmedina")</f>
        <v>@marinapmedina</v>
      </c>
      <c r="C7818" s="8" t="s">
        <v>17494</v>
      </c>
      <c r="D7818" s="8" t="s">
        <v>17495</v>
      </c>
      <c r="E7818" s="9" t="str">
        <f aca="false">HYPERLINK("https://twitter.com/marinapmedina/status/922632174070669312","922632174070669312")</f>
        <v>922632174070669312</v>
      </c>
      <c r="F7818" s="10" t="s">
        <v>39</v>
      </c>
      <c r="G7818" s="10" t="n">
        <v>232</v>
      </c>
      <c r="H7818" s="10" t="n">
        <v>344</v>
      </c>
      <c r="I7818" s="10" t="n">
        <v>0</v>
      </c>
      <c r="J7818" s="10" t="n">
        <v>0</v>
      </c>
      <c r="K7818" s="10" t="s">
        <v>20</v>
      </c>
      <c r="L7818" s="11" t="n">
        <v>40762.7842824074</v>
      </c>
      <c r="M7818" s="12" t="s">
        <v>17496</v>
      </c>
      <c r="N7818" s="12"/>
      <c r="O7818" s="9" t="str">
        <f aca="false">HYPERLINK("https://pbs.twimg.com/profile_images/825846777207091200/ve6SwOJs_normal.jpg","View")</f>
        <v>View</v>
      </c>
      <c r="P7818" s="10"/>
    </row>
    <row r="7819" customFormat="false" ht="15.75" hidden="false" customHeight="false" outlineLevel="0" collapsed="false">
      <c r="A7819" s="6" t="n">
        <v>43031.7615856482</v>
      </c>
      <c r="B7819" s="7" t="str">
        <f aca="false">HYPERLINK("https://twitter.com/micasoellner","@micasoellner")</f>
        <v>@micasoellner</v>
      </c>
      <c r="C7819" s="8" t="s">
        <v>17497</v>
      </c>
      <c r="D7819" s="8" t="s">
        <v>12764</v>
      </c>
      <c r="E7819" s="9" t="str">
        <f aca="false">HYPERLINK("https://twitter.com/micasoellner/status/922632906106900481","922632906106900481")</f>
        <v>922632906106900481</v>
      </c>
      <c r="F7819" s="10" t="s">
        <v>51</v>
      </c>
      <c r="G7819" s="10" t="n">
        <v>432</v>
      </c>
      <c r="H7819" s="10" t="n">
        <v>507</v>
      </c>
      <c r="I7819" s="10" t="n">
        <v>170</v>
      </c>
      <c r="J7819" s="10" t="n">
        <v>0</v>
      </c>
      <c r="K7819" s="10" t="s">
        <v>20</v>
      </c>
      <c r="L7819" s="11" t="n">
        <v>39947.6433796296</v>
      </c>
      <c r="M7819" s="12" t="s">
        <v>230</v>
      </c>
      <c r="N7819" s="12" t="s">
        <v>17498</v>
      </c>
      <c r="O7819" s="9" t="str">
        <f aca="false">HYPERLINK("https://pbs.twimg.com/profile_images/919348765689040901/p7-JgL-t_normal.jpg","View")</f>
        <v>View</v>
      </c>
      <c r="P7819" s="10"/>
    </row>
    <row r="7820" customFormat="false" ht="15.75" hidden="false" customHeight="false" outlineLevel="0" collapsed="false">
      <c r="A7820" s="6" t="n">
        <v>43031.7616782407</v>
      </c>
      <c r="B7820" s="7" t="str">
        <f aca="false">HYPERLINK("https://twitter.com/BeSunHappy8","@BeSunHappy8")</f>
        <v>@BeSunHappy8</v>
      </c>
      <c r="C7820" s="8" t="s">
        <v>17499</v>
      </c>
      <c r="D7820" s="8" t="s">
        <v>16929</v>
      </c>
      <c r="E7820" s="9" t="str">
        <f aca="false">HYPERLINK("https://twitter.com/BeSunHappy8/status/922632939053244416","922632939053244416")</f>
        <v>922632939053244416</v>
      </c>
      <c r="F7820" s="10" t="s">
        <v>51</v>
      </c>
      <c r="G7820" s="10" t="n">
        <v>571</v>
      </c>
      <c r="H7820" s="10" t="n">
        <v>898</v>
      </c>
      <c r="I7820" s="10" t="n">
        <v>247</v>
      </c>
      <c r="J7820" s="10" t="n">
        <v>0</v>
      </c>
      <c r="K7820" s="10" t="s">
        <v>20</v>
      </c>
      <c r="L7820" s="11" t="n">
        <v>42944.7108564815</v>
      </c>
      <c r="M7820" s="12"/>
      <c r="N7820" s="12" t="s">
        <v>17500</v>
      </c>
      <c r="O7820" s="9" t="str">
        <f aca="false">HYPERLINK("https://pbs.twimg.com/profile_images/900827042811453440/J60q2n0r_normal.jpg","View")</f>
        <v>View</v>
      </c>
      <c r="P7820" s="10"/>
    </row>
    <row r="7821" customFormat="false" ht="15.75" hidden="false" customHeight="false" outlineLevel="0" collapsed="false">
      <c r="A7821" s="6" t="n">
        <v>43031.7655324074</v>
      </c>
      <c r="B7821" s="7" t="str">
        <f aca="false">HYPERLINK("https://twitter.com/CanEmbJapan","@CanEmbJapan")</f>
        <v>@CanEmbJapan</v>
      </c>
      <c r="C7821" s="8" t="s">
        <v>17501</v>
      </c>
      <c r="D7821" s="8" t="s">
        <v>15821</v>
      </c>
      <c r="E7821" s="9" t="str">
        <f aca="false">HYPERLINK("https://twitter.com/CanEmbJapan/status/922634338801504256","922634338801504256")</f>
        <v>922634338801504256</v>
      </c>
      <c r="F7821" s="10" t="s">
        <v>39</v>
      </c>
      <c r="G7821" s="10" t="n">
        <v>2915</v>
      </c>
      <c r="H7821" s="10" t="n">
        <v>85</v>
      </c>
      <c r="I7821" s="10" t="n">
        <v>41</v>
      </c>
      <c r="J7821" s="10" t="n">
        <v>0</v>
      </c>
      <c r="K7821" s="10" t="s">
        <v>20</v>
      </c>
      <c r="L7821" s="11" t="n">
        <v>41122.9897106482</v>
      </c>
      <c r="M7821" s="12" t="s">
        <v>574</v>
      </c>
      <c r="N7821" s="12" t="s">
        <v>17502</v>
      </c>
      <c r="O7821" s="9" t="str">
        <f aca="false">HYPERLINK("https://pbs.twimg.com/profile_images/889979325583421441/42DCfO5Q_normal.jpg","View")</f>
        <v>View</v>
      </c>
      <c r="P7821" s="10"/>
    </row>
    <row r="7822" customFormat="false" ht="15.75" hidden="false" customHeight="false" outlineLevel="0" collapsed="false">
      <c r="A7822" s="6" t="n">
        <v>43031.7658796296</v>
      </c>
      <c r="B7822" s="7" t="str">
        <f aca="false">HYPERLINK("https://twitter.com/AndreaCattaneo6","@AndreaCattaneo6")</f>
        <v>@AndreaCattaneo6</v>
      </c>
      <c r="C7822" s="8" t="s">
        <v>17503</v>
      </c>
      <c r="D7822" s="8" t="s">
        <v>16413</v>
      </c>
      <c r="E7822" s="9" t="str">
        <f aca="false">HYPERLINK("https://twitter.com/AndreaCattaneo6/status/922634462629941248","922634462629941248")</f>
        <v>922634462629941248</v>
      </c>
      <c r="F7822" s="10" t="s">
        <v>51</v>
      </c>
      <c r="G7822" s="10" t="n">
        <v>218</v>
      </c>
      <c r="H7822" s="10" t="n">
        <v>1039</v>
      </c>
      <c r="I7822" s="10" t="n">
        <v>46</v>
      </c>
      <c r="J7822" s="10" t="n">
        <v>0</v>
      </c>
      <c r="K7822" s="10" t="s">
        <v>20</v>
      </c>
      <c r="L7822" s="11" t="n">
        <v>41064.3685416667</v>
      </c>
      <c r="M7822" s="12" t="s">
        <v>17504</v>
      </c>
      <c r="N7822" s="12" t="s">
        <v>17505</v>
      </c>
      <c r="O7822" s="9" t="str">
        <f aca="false">HYPERLINK("https://pbs.twimg.com/profile_images/684060703477596161/pv5qKE9K_normal.jpg","View")</f>
        <v>View</v>
      </c>
      <c r="P7822" s="10"/>
    </row>
    <row r="7823" customFormat="false" ht="15.75" hidden="false" customHeight="false" outlineLevel="0" collapsed="false">
      <c r="A7823" s="6" t="n">
        <v>43031.7677777778</v>
      </c>
      <c r="B7823" s="7" t="str">
        <f aca="false">HYPERLINK("https://twitter.com/JimCrump5","@JimCrump5")</f>
        <v>@JimCrump5</v>
      </c>
      <c r="C7823" s="8" t="s">
        <v>15844</v>
      </c>
      <c r="D7823" s="8" t="s">
        <v>16929</v>
      </c>
      <c r="E7823" s="9" t="str">
        <f aca="false">HYPERLINK("https://twitter.com/JimCrump5/status/922635151233884160","922635151233884160")</f>
        <v>922635151233884160</v>
      </c>
      <c r="F7823" s="10" t="s">
        <v>177</v>
      </c>
      <c r="G7823" s="10" t="n">
        <v>441</v>
      </c>
      <c r="H7823" s="10" t="n">
        <v>820</v>
      </c>
      <c r="I7823" s="10" t="n">
        <v>247</v>
      </c>
      <c r="J7823" s="10" t="n">
        <v>0</v>
      </c>
      <c r="K7823" s="10" t="s">
        <v>20</v>
      </c>
      <c r="L7823" s="11" t="n">
        <v>42943.8512152778</v>
      </c>
      <c r="M7823" s="12" t="s">
        <v>21</v>
      </c>
      <c r="N7823" s="12" t="s">
        <v>15845</v>
      </c>
      <c r="O7823" s="9" t="str">
        <f aca="false">HYPERLINK("https://abs.twimg.com/sticky/default_profile_images/default_profile_normal.png","View")</f>
        <v>View</v>
      </c>
      <c r="P7823" s="10"/>
    </row>
    <row r="7824" customFormat="false" ht="15.75" hidden="false" customHeight="false" outlineLevel="0" collapsed="false">
      <c r="A7824" s="6" t="n">
        <v>43031.7685069444</v>
      </c>
      <c r="B7824" s="7" t="str">
        <f aca="false">HYPERLINK("https://twitter.com/donsw","@donsw")</f>
        <v>@donsw</v>
      </c>
      <c r="C7824" s="8" t="s">
        <v>17506</v>
      </c>
      <c r="D7824" s="8" t="s">
        <v>16929</v>
      </c>
      <c r="E7824" s="9" t="str">
        <f aca="false">HYPERLINK("https://twitter.com/donsw/status/922635416175566850","922635416175566850")</f>
        <v>922635416175566850</v>
      </c>
      <c r="F7824" s="10" t="s">
        <v>51</v>
      </c>
      <c r="G7824" s="10" t="n">
        <v>162</v>
      </c>
      <c r="H7824" s="10" t="n">
        <v>476</v>
      </c>
      <c r="I7824" s="10" t="n">
        <v>247</v>
      </c>
      <c r="J7824" s="10" t="n">
        <v>0</v>
      </c>
      <c r="K7824" s="10" t="s">
        <v>20</v>
      </c>
      <c r="L7824" s="11" t="n">
        <v>39632.212349537</v>
      </c>
      <c r="M7824" s="12" t="s">
        <v>5073</v>
      </c>
      <c r="N7824" s="12" t="s">
        <v>17507</v>
      </c>
      <c r="O7824" s="9" t="str">
        <f aca="false">HYPERLINK("https://abs.twimg.com/sticky/default_profile_images/default_profile_normal.png","View")</f>
        <v>View</v>
      </c>
      <c r="P7824" s="10"/>
    </row>
    <row r="7825" customFormat="false" ht="15.75" hidden="false" customHeight="false" outlineLevel="0" collapsed="false">
      <c r="A7825" s="6" t="n">
        <v>43031.7686111111</v>
      </c>
      <c r="B7825" s="7" t="str">
        <f aca="false">HYPERLINK("https://twitter.com/brewnari","@brewnari")</f>
        <v>@brewnari</v>
      </c>
      <c r="C7825" s="8" t="s">
        <v>17508</v>
      </c>
      <c r="D7825" s="8" t="s">
        <v>17509</v>
      </c>
      <c r="E7825" s="9" t="str">
        <f aca="false">HYPERLINK("https://twitter.com/brewnari/status/922635452615553024","922635452615553024")</f>
        <v>922635452615553024</v>
      </c>
      <c r="F7825" s="10" t="s">
        <v>17510</v>
      </c>
      <c r="G7825" s="10" t="n">
        <v>57</v>
      </c>
      <c r="H7825" s="10" t="n">
        <v>156</v>
      </c>
      <c r="I7825" s="10" t="n">
        <v>0</v>
      </c>
      <c r="J7825" s="10" t="n">
        <v>0</v>
      </c>
      <c r="K7825" s="10" t="s">
        <v>20</v>
      </c>
      <c r="L7825" s="11" t="n">
        <v>40146.742025463</v>
      </c>
      <c r="M7825" s="12"/>
      <c r="N7825" s="12"/>
      <c r="O7825" s="9" t="str">
        <f aca="false">HYPERLINK("https://pbs.twimg.com/profile_images/681698471095566337/XhlLUTS4_normal.jpg","View")</f>
        <v>View</v>
      </c>
      <c r="P7825" s="10"/>
    </row>
    <row r="7826" customFormat="false" ht="15.75" hidden="false" customHeight="false" outlineLevel="0" collapsed="false">
      <c r="A7826" s="6" t="n">
        <v>43031.7775810185</v>
      </c>
      <c r="B7826" s="7" t="str">
        <f aca="false">HYPERLINK("https://twitter.com/AustiSteven","@AustiSteven")</f>
        <v>@AustiSteven</v>
      </c>
      <c r="C7826" s="8" t="s">
        <v>17511</v>
      </c>
      <c r="D7826" s="8" t="s">
        <v>16929</v>
      </c>
      <c r="E7826" s="9" t="str">
        <f aca="false">HYPERLINK("https://twitter.com/AustiSteven/status/922638703045918720","922638703045918720")</f>
        <v>922638703045918720</v>
      </c>
      <c r="F7826" s="10" t="s">
        <v>25</v>
      </c>
      <c r="G7826" s="10" t="n">
        <v>61</v>
      </c>
      <c r="H7826" s="10" t="n">
        <v>226</v>
      </c>
      <c r="I7826" s="10" t="n">
        <v>247</v>
      </c>
      <c r="J7826" s="10" t="n">
        <v>0</v>
      </c>
      <c r="K7826" s="10" t="s">
        <v>20</v>
      </c>
      <c r="L7826" s="11" t="n">
        <v>42840.3907060185</v>
      </c>
      <c r="M7826" s="12" t="s">
        <v>17512</v>
      </c>
      <c r="N7826" s="12"/>
      <c r="O7826" s="9" t="str">
        <f aca="false">HYPERLINK("https://pbs.twimg.com/profile_images/893979400739278848/QO1ozK49_normal.jpg","View")</f>
        <v>View</v>
      </c>
      <c r="P7826" s="10"/>
    </row>
    <row r="7827" customFormat="false" ht="15.75" hidden="false" customHeight="false" outlineLevel="0" collapsed="false">
      <c r="A7827" s="6" t="n">
        <v>43031.7776273148</v>
      </c>
      <c r="B7827" s="7" t="str">
        <f aca="false">HYPERLINK("https://twitter.com/MyersSchuh","@MyersSchuh")</f>
        <v>@MyersSchuh</v>
      </c>
      <c r="C7827" s="8" t="s">
        <v>17513</v>
      </c>
      <c r="D7827" s="8" t="s">
        <v>16929</v>
      </c>
      <c r="E7827" s="9" t="str">
        <f aca="false">HYPERLINK("https://twitter.com/MyersSchuh/status/922638722188787717","922638722188787717")</f>
        <v>922638722188787717</v>
      </c>
      <c r="F7827" s="10" t="s">
        <v>51</v>
      </c>
      <c r="G7827" s="10" t="n">
        <v>189</v>
      </c>
      <c r="H7827" s="10" t="n">
        <v>654</v>
      </c>
      <c r="I7827" s="10" t="n">
        <v>247</v>
      </c>
      <c r="J7827" s="10" t="n">
        <v>0</v>
      </c>
      <c r="K7827" s="10" t="s">
        <v>20</v>
      </c>
      <c r="L7827" s="11" t="n">
        <v>42029.5043402778</v>
      </c>
      <c r="M7827" s="12"/>
      <c r="N7827" s="12"/>
      <c r="O7827" s="9" t="str">
        <f aca="false">HYPERLINK("https://pbs.twimg.com/profile_images/655963171979550720/pClpW4ib_normal.jpg","View")</f>
        <v>View</v>
      </c>
      <c r="P7827" s="10"/>
    </row>
    <row r="7828" customFormat="false" ht="15.75" hidden="false" customHeight="false" outlineLevel="0" collapsed="false">
      <c r="A7828" s="6" t="n">
        <v>43031.780474537</v>
      </c>
      <c r="B7828" s="7" t="str">
        <f aca="false">HYPERLINK("https://twitter.com/rfgpolijunkie","@rfgpolijunkie")</f>
        <v>@rfgpolijunkie</v>
      </c>
      <c r="C7828" s="8" t="s">
        <v>270</v>
      </c>
      <c r="D7828" s="8" t="s">
        <v>13595</v>
      </c>
      <c r="E7828" s="9" t="str">
        <f aca="false">HYPERLINK("https://twitter.com/rfgpolijunkie/status/922639753782136833","922639753782136833")</f>
        <v>922639753782136833</v>
      </c>
      <c r="F7828" s="10" t="s">
        <v>25</v>
      </c>
      <c r="G7828" s="10" t="n">
        <v>362</v>
      </c>
      <c r="H7828" s="10" t="n">
        <v>925</v>
      </c>
      <c r="I7828" s="10" t="n">
        <v>88</v>
      </c>
      <c r="J7828" s="10" t="n">
        <v>0</v>
      </c>
      <c r="K7828" s="10" t="s">
        <v>20</v>
      </c>
      <c r="L7828" s="11" t="n">
        <v>40550.2221064815</v>
      </c>
      <c r="M7828" s="12" t="s">
        <v>271</v>
      </c>
      <c r="N7828" s="12" t="s">
        <v>272</v>
      </c>
      <c r="O7828" s="9" t="str">
        <f aca="false">HYPERLINK("https://pbs.twimg.com/profile_images/854884811701407744/X5-oUb_z_normal.jpg","View")</f>
        <v>View</v>
      </c>
      <c r="P7828" s="10"/>
    </row>
    <row r="7829" customFormat="false" ht="15.75" hidden="false" customHeight="false" outlineLevel="0" collapsed="false">
      <c r="A7829" s="6" t="n">
        <v>43031.7813773148</v>
      </c>
      <c r="B7829" s="7" t="str">
        <f aca="false">HYPERLINK("https://twitter.com/shashank_b_rai","@shashank_b_rai")</f>
        <v>@shashank_b_rai</v>
      </c>
      <c r="C7829" s="8" t="s">
        <v>10736</v>
      </c>
      <c r="D7829" s="8" t="s">
        <v>6707</v>
      </c>
      <c r="E7829" s="9" t="str">
        <f aca="false">HYPERLINK("https://twitter.com/shashank_b_rai/status/922640079121551360","922640079121551360")</f>
        <v>922640079121551360</v>
      </c>
      <c r="F7829" s="10" t="s">
        <v>39</v>
      </c>
      <c r="G7829" s="10" t="n">
        <v>18</v>
      </c>
      <c r="H7829" s="10" t="n">
        <v>34</v>
      </c>
      <c r="I7829" s="10" t="n">
        <v>97</v>
      </c>
      <c r="J7829" s="10" t="n">
        <v>0</v>
      </c>
      <c r="K7829" s="10" t="s">
        <v>20</v>
      </c>
      <c r="L7829" s="11" t="n">
        <v>40027.3491550926</v>
      </c>
      <c r="M7829" s="12" t="s">
        <v>10738</v>
      </c>
      <c r="N7829" s="12"/>
      <c r="O7829" s="9" t="str">
        <f aca="false">HYPERLINK("https://pbs.twimg.com/profile_images/922071701441077248/06xkRhDM_normal.jpg","View")</f>
        <v>View</v>
      </c>
      <c r="P7829" s="10"/>
    </row>
    <row r="7830" customFormat="false" ht="15.75" hidden="false" customHeight="false" outlineLevel="0" collapsed="false">
      <c r="A7830" s="6" t="n">
        <v>43031.7845717593</v>
      </c>
      <c r="B7830" s="7" t="str">
        <f aca="false">HYPERLINK("https://twitter.com/business","@business")</f>
        <v>@business</v>
      </c>
      <c r="C7830" s="8" t="s">
        <v>196</v>
      </c>
      <c r="D7830" s="8" t="s">
        <v>14810</v>
      </c>
      <c r="E7830" s="9" t="str">
        <f aca="false">HYPERLINK("https://twitter.com/business/status/922641235524902912","922641235524902912")</f>
        <v>922641235524902912</v>
      </c>
      <c r="F7830" s="10" t="s">
        <v>268</v>
      </c>
      <c r="G7830" s="10" t="n">
        <v>4344211</v>
      </c>
      <c r="H7830" s="10" t="n">
        <v>1088</v>
      </c>
      <c r="I7830" s="10" t="n">
        <v>12</v>
      </c>
      <c r="J7830" s="10" t="n">
        <v>11</v>
      </c>
      <c r="K7830" s="10" t="s">
        <v>20</v>
      </c>
      <c r="L7830" s="11" t="n">
        <v>39926.5453356481</v>
      </c>
      <c r="M7830" s="12" t="s">
        <v>199</v>
      </c>
      <c r="N7830" s="12" t="s">
        <v>200</v>
      </c>
      <c r="O7830" s="9" t="str">
        <f aca="false">HYPERLINK("https://pbs.twimg.com/profile_images/714946924105883648/4fgNVF4H_normal.jpg","View")</f>
        <v>View</v>
      </c>
      <c r="P7830" s="10"/>
    </row>
    <row r="7831" customFormat="false" ht="15.75" hidden="false" customHeight="false" outlineLevel="0" collapsed="false">
      <c r="A7831" s="6" t="n">
        <v>43031.784849537</v>
      </c>
      <c r="B7831" s="7" t="str">
        <f aca="false">HYPERLINK("https://twitter.com/Bullish","@Bullish")</f>
        <v>@Bullish</v>
      </c>
      <c r="C7831" s="8" t="s">
        <v>223</v>
      </c>
      <c r="D7831" s="8" t="s">
        <v>14852</v>
      </c>
      <c r="E7831" s="9" t="str">
        <f aca="false">HYPERLINK("https://twitter.com/Bullish/status/922641337584844800","922641337584844800")</f>
        <v>922641337584844800</v>
      </c>
      <c r="F7831" s="10" t="s">
        <v>60</v>
      </c>
      <c r="G7831" s="10" t="n">
        <v>184</v>
      </c>
      <c r="H7831" s="10" t="n">
        <v>87</v>
      </c>
      <c r="I7831" s="10" t="n">
        <v>0</v>
      </c>
      <c r="J7831" s="10" t="n">
        <v>0</v>
      </c>
      <c r="K7831" s="10" t="s">
        <v>20</v>
      </c>
      <c r="L7831" s="11" t="n">
        <v>42618.7530439815</v>
      </c>
      <c r="M7831" s="12"/>
      <c r="N7831" s="12"/>
      <c r="O7831" s="9" t="str">
        <f aca="false">HYPERLINK("https://pbs.twimg.com/profile_images/798692093736599552/UikI9dNE_normal.jpg","View")</f>
        <v>View</v>
      </c>
      <c r="P7831" s="10"/>
    </row>
    <row r="7832" customFormat="false" ht="15.75" hidden="false" customHeight="false" outlineLevel="0" collapsed="false">
      <c r="A7832" s="6" t="n">
        <v>43031.7848958333</v>
      </c>
      <c r="B7832" s="7" t="str">
        <f aca="false">HYPERLINK("https://twitter.com/mnewsince","@mnewsince")</f>
        <v>@mnewsince</v>
      </c>
      <c r="C7832" s="8" t="s">
        <v>17514</v>
      </c>
      <c r="D7832" s="8" t="s">
        <v>13595</v>
      </c>
      <c r="E7832" s="9" t="str">
        <f aca="false">HYPERLINK("https://twitter.com/mnewsince/status/922641355834306562","922641355834306562")</f>
        <v>922641355834306562</v>
      </c>
      <c r="F7832" s="10" t="s">
        <v>25</v>
      </c>
      <c r="G7832" s="10" t="n">
        <v>2049</v>
      </c>
      <c r="H7832" s="10" t="n">
        <v>3841</v>
      </c>
      <c r="I7832" s="10" t="n">
        <v>88</v>
      </c>
      <c r="J7832" s="10" t="n">
        <v>0</v>
      </c>
      <c r="K7832" s="10" t="s">
        <v>20</v>
      </c>
      <c r="L7832" s="11" t="n">
        <v>41725.0572569445</v>
      </c>
      <c r="M7832" s="12"/>
      <c r="N7832" s="12" t="s">
        <v>17515</v>
      </c>
      <c r="O7832" s="9" t="str">
        <f aca="false">HYPERLINK("https://pbs.twimg.com/profile_images/700799098308284416/yqAjR8JN_normal.jpg","View")</f>
        <v>View</v>
      </c>
      <c r="P7832" s="10"/>
    </row>
    <row r="7833" customFormat="false" ht="15.75" hidden="false" customHeight="false" outlineLevel="0" collapsed="false">
      <c r="A7833" s="6" t="n">
        <v>43031.7855092593</v>
      </c>
      <c r="B7833" s="7" t="str">
        <f aca="false">HYPERLINK("https://twitter.com/mlnangalama","@mlnangalama")</f>
        <v>@mlnangalama</v>
      </c>
      <c r="C7833" s="8" t="s">
        <v>255</v>
      </c>
      <c r="D7833" s="8" t="s">
        <v>14845</v>
      </c>
      <c r="E7833" s="9" t="str">
        <f aca="false">HYPERLINK("https://twitter.com/mlnangalama/status/922641576857358339","922641576857358339")</f>
        <v>922641576857358339</v>
      </c>
      <c r="F7833" s="10" t="s">
        <v>60</v>
      </c>
      <c r="G7833" s="10" t="n">
        <v>2370</v>
      </c>
      <c r="H7833" s="10" t="n">
        <v>1584</v>
      </c>
      <c r="I7833" s="10" t="n">
        <v>0</v>
      </c>
      <c r="J7833" s="10" t="n">
        <v>0</v>
      </c>
      <c r="K7833" s="10" t="s">
        <v>20</v>
      </c>
      <c r="L7833" s="11" t="n">
        <v>41041.5437847222</v>
      </c>
      <c r="M7833" s="12" t="s">
        <v>257</v>
      </c>
      <c r="N7833" s="12" t="s">
        <v>258</v>
      </c>
      <c r="O7833" s="9" t="str">
        <f aca="false">HYPERLINK("https://pbs.twimg.com/profile_images/900915882444173313/biUHzvpx_normal.jpg","View")</f>
        <v>View</v>
      </c>
      <c r="P7833" s="10"/>
    </row>
    <row r="7834" customFormat="false" ht="15.75" hidden="false" customHeight="false" outlineLevel="0" collapsed="false">
      <c r="A7834" s="6" t="n">
        <v>43031.7855787037</v>
      </c>
      <c r="B7834" s="7" t="str">
        <f aca="false">HYPERLINK("https://twitter.com/ArisaVip","@ArisaVip")</f>
        <v>@ArisaVip</v>
      </c>
      <c r="C7834" s="14" t="s">
        <v>17516</v>
      </c>
      <c r="D7834" s="8" t="s">
        <v>14814</v>
      </c>
      <c r="E7834" s="9" t="str">
        <f aca="false">HYPERLINK("https://twitter.com/ArisaVip/status/922641601708429312","922641601708429312")</f>
        <v>922641601708429312</v>
      </c>
      <c r="F7834" s="10" t="s">
        <v>51</v>
      </c>
      <c r="G7834" s="10" t="n">
        <v>170</v>
      </c>
      <c r="H7834" s="10" t="n">
        <v>94</v>
      </c>
      <c r="I7834" s="10" t="n">
        <v>12</v>
      </c>
      <c r="J7834" s="10" t="n">
        <v>0</v>
      </c>
      <c r="K7834" s="10" t="s">
        <v>20</v>
      </c>
      <c r="L7834" s="11" t="n">
        <v>42711.3156597222</v>
      </c>
      <c r="M7834" s="12" t="s">
        <v>17517</v>
      </c>
      <c r="N7834" s="13" t="s">
        <v>17518</v>
      </c>
      <c r="O7834" s="9" t="str">
        <f aca="false">HYPERLINK("https://pbs.twimg.com/profile_images/863773951134056451/lWK-rmiz_normal.jpg","View")</f>
        <v>View</v>
      </c>
      <c r="P7834" s="10"/>
    </row>
    <row r="7835" customFormat="false" ht="15.75" hidden="false" customHeight="false" outlineLevel="0" collapsed="false">
      <c r="A7835" s="6" t="n">
        <v>43031.7856597222</v>
      </c>
      <c r="B7835" s="7" t="str">
        <f aca="false">HYPERLINK("https://twitter.com/ArisaVip","@ArisaVip")</f>
        <v>@ArisaVip</v>
      </c>
      <c r="C7835" s="14" t="s">
        <v>17516</v>
      </c>
      <c r="D7835" s="8" t="s">
        <v>17519</v>
      </c>
      <c r="E7835" s="9" t="str">
        <f aca="false">HYPERLINK("https://twitter.com/ArisaVip/status/922641632054448128","922641632054448128")</f>
        <v>922641632054448128</v>
      </c>
      <c r="F7835" s="10" t="s">
        <v>47</v>
      </c>
      <c r="G7835" s="10" t="n">
        <v>170</v>
      </c>
      <c r="H7835" s="10" t="n">
        <v>94</v>
      </c>
      <c r="I7835" s="10" t="n">
        <v>0</v>
      </c>
      <c r="J7835" s="10" t="n">
        <v>1</v>
      </c>
      <c r="K7835" s="10" t="s">
        <v>20</v>
      </c>
      <c r="L7835" s="11" t="n">
        <v>42711.3156597222</v>
      </c>
      <c r="M7835" s="12" t="s">
        <v>17517</v>
      </c>
      <c r="N7835" s="13" t="s">
        <v>17518</v>
      </c>
      <c r="O7835" s="9" t="str">
        <f aca="false">HYPERLINK("https://pbs.twimg.com/profile_images/863773951134056451/lWK-rmiz_normal.jpg","View")</f>
        <v>View</v>
      </c>
      <c r="P7835" s="10"/>
    </row>
    <row r="7836" customFormat="false" ht="15.75" hidden="false" customHeight="false" outlineLevel="0" collapsed="false">
      <c r="A7836" s="6" t="n">
        <v>43031.7870717593</v>
      </c>
      <c r="B7836" s="7" t="str">
        <f aca="false">HYPERLINK("https://twitter.com/FallySomboNkhwa","@FallySomboNkhwa")</f>
        <v>@FallySomboNkhwa</v>
      </c>
      <c r="C7836" s="8" t="s">
        <v>260</v>
      </c>
      <c r="D7836" s="8" t="s">
        <v>14901</v>
      </c>
      <c r="E7836" s="9" t="str">
        <f aca="false">HYPERLINK("https://twitter.com/FallySomboNkhwa/status/922642142287290368","922642142287290368")</f>
        <v>922642142287290368</v>
      </c>
      <c r="F7836" s="10" t="s">
        <v>60</v>
      </c>
      <c r="G7836" s="10" t="n">
        <v>421</v>
      </c>
      <c r="H7836" s="10" t="n">
        <v>2195</v>
      </c>
      <c r="I7836" s="10" t="n">
        <v>0</v>
      </c>
      <c r="J7836" s="10" t="n">
        <v>0</v>
      </c>
      <c r="K7836" s="10" t="s">
        <v>20</v>
      </c>
      <c r="L7836" s="11" t="n">
        <v>41551.8204166667</v>
      </c>
      <c r="M7836" s="12" t="s">
        <v>262</v>
      </c>
      <c r="N7836" s="12" t="s">
        <v>263</v>
      </c>
      <c r="O7836" s="9" t="str">
        <f aca="false">HYPERLINK("https://pbs.twimg.com/profile_images/543761133505503235/pKcg8bc2_normal.jpeg","View")</f>
        <v>View</v>
      </c>
      <c r="P7836" s="10"/>
    </row>
    <row r="7837" customFormat="false" ht="15.75" hidden="false" customHeight="false" outlineLevel="0" collapsed="false">
      <c r="A7837" s="6" t="n">
        <v>43031.7871527778</v>
      </c>
      <c r="B7837" s="7" t="str">
        <f aca="false">HYPERLINK("https://twitter.com/swissifg","@swissifg")</f>
        <v>@swissifg</v>
      </c>
      <c r="C7837" s="8" t="s">
        <v>247</v>
      </c>
      <c r="D7837" s="8" t="s">
        <v>14816</v>
      </c>
      <c r="E7837" s="9" t="str">
        <f aca="false">HYPERLINK("https://twitter.com/swissifg/status/922642171911720960","922642171911720960")</f>
        <v>922642171911720960</v>
      </c>
      <c r="F7837" s="10" t="s">
        <v>60</v>
      </c>
      <c r="G7837" s="10" t="n">
        <v>1202</v>
      </c>
      <c r="H7837" s="10" t="n">
        <v>670</v>
      </c>
      <c r="I7837" s="10" t="n">
        <v>0</v>
      </c>
      <c r="J7837" s="10" t="n">
        <v>0</v>
      </c>
      <c r="K7837" s="10" t="s">
        <v>20</v>
      </c>
      <c r="L7837" s="11" t="n">
        <v>42499.2341087963</v>
      </c>
      <c r="M7837" s="12" t="s">
        <v>249</v>
      </c>
      <c r="N7837" s="12" t="s">
        <v>250</v>
      </c>
      <c r="O7837" s="9" t="str">
        <f aca="false">HYPERLINK("https://pbs.twimg.com/profile_images/729681805088063489/N4ls5vb8_normal.jpg","View")</f>
        <v>View</v>
      </c>
      <c r="P7837" s="10"/>
    </row>
    <row r="7838" customFormat="false" ht="15.75" hidden="false" customHeight="false" outlineLevel="0" collapsed="false">
      <c r="A7838" s="6" t="n">
        <v>43031.7871990741</v>
      </c>
      <c r="B7838" s="7" t="str">
        <f aca="false">HYPERLINK("https://twitter.com/jaimeotero_","@jaimeotero_")</f>
        <v>@jaimeotero_</v>
      </c>
      <c r="C7838" s="8" t="s">
        <v>205</v>
      </c>
      <c r="D7838" s="8" t="s">
        <v>14812</v>
      </c>
      <c r="E7838" s="9" t="str">
        <f aca="false">HYPERLINK("https://twitter.com/jaimeotero_/status/922642188546265089","922642188546265089")</f>
        <v>922642188546265089</v>
      </c>
      <c r="F7838" s="10" t="s">
        <v>60</v>
      </c>
      <c r="G7838" s="10" t="n">
        <v>34492</v>
      </c>
      <c r="H7838" s="10" t="n">
        <v>31252</v>
      </c>
      <c r="I7838" s="10" t="n">
        <v>0</v>
      </c>
      <c r="J7838" s="10" t="n">
        <v>0</v>
      </c>
      <c r="K7838" s="10" t="s">
        <v>20</v>
      </c>
      <c r="L7838" s="11" t="n">
        <v>42531.0121990741</v>
      </c>
      <c r="M7838" s="12" t="s">
        <v>207</v>
      </c>
      <c r="N7838" s="12" t="s">
        <v>208</v>
      </c>
      <c r="O7838" s="9" t="str">
        <f aca="false">HYPERLINK("https://pbs.twimg.com/profile_images/849817561281818626/acAU04SD_normal.jpg","View")</f>
        <v>View</v>
      </c>
      <c r="P7838" s="10"/>
    </row>
    <row r="7839" customFormat="false" ht="15.75" hidden="false" customHeight="false" outlineLevel="0" collapsed="false">
      <c r="A7839" s="6" t="n">
        <v>43031.7878125</v>
      </c>
      <c r="B7839" s="7" t="str">
        <f aca="false">HYPERLINK("https://twitter.com/vjmclaughlin21","@vjmclaughlin21")</f>
        <v>@vjmclaughlin21</v>
      </c>
      <c r="C7839" s="8" t="s">
        <v>17520</v>
      </c>
      <c r="D7839" s="8" t="s">
        <v>16929</v>
      </c>
      <c r="E7839" s="9" t="str">
        <f aca="false">HYPERLINK("https://twitter.com/vjmclaughlin21/status/922642412324966400","922642412324966400")</f>
        <v>922642412324966400</v>
      </c>
      <c r="F7839" s="10" t="s">
        <v>39</v>
      </c>
      <c r="G7839" s="10" t="n">
        <v>82</v>
      </c>
      <c r="H7839" s="10" t="n">
        <v>308</v>
      </c>
      <c r="I7839" s="10" t="n">
        <v>247</v>
      </c>
      <c r="J7839" s="10" t="n">
        <v>0</v>
      </c>
      <c r="K7839" s="10" t="s">
        <v>20</v>
      </c>
      <c r="L7839" s="11" t="n">
        <v>42977.8311805556</v>
      </c>
      <c r="M7839" s="12"/>
      <c r="N7839" s="12"/>
      <c r="O7839" s="9" t="str">
        <f aca="false">HYPERLINK("https://abs.twimg.com/sticky/default_profile_images/default_profile_normal.png","View")</f>
        <v>View</v>
      </c>
      <c r="P7839" s="10"/>
    </row>
    <row r="7840" customFormat="false" ht="15.75" hidden="false" customHeight="false" outlineLevel="0" collapsed="false">
      <c r="A7840" s="6" t="n">
        <v>43031.7879398148</v>
      </c>
      <c r="B7840" s="7" t="str">
        <f aca="false">HYPERLINK("https://twitter.com/BurakCanBaser1","@BurakCanBaser1")</f>
        <v>@BurakCanBaser1</v>
      </c>
      <c r="C7840" s="8" t="s">
        <v>17521</v>
      </c>
      <c r="D7840" s="8" t="s">
        <v>14814</v>
      </c>
      <c r="E7840" s="9" t="str">
        <f aca="false">HYPERLINK("https://twitter.com/BurakCanBaser1/status/922642458554654720","922642458554654720")</f>
        <v>922642458554654720</v>
      </c>
      <c r="F7840" s="10" t="s">
        <v>51</v>
      </c>
      <c r="G7840" s="10" t="n">
        <v>164</v>
      </c>
      <c r="H7840" s="10" t="n">
        <v>1198</v>
      </c>
      <c r="I7840" s="10" t="n">
        <v>12</v>
      </c>
      <c r="J7840" s="10" t="n">
        <v>0</v>
      </c>
      <c r="K7840" s="10" t="s">
        <v>20</v>
      </c>
      <c r="L7840" s="11" t="n">
        <v>42855.8970833333</v>
      </c>
      <c r="M7840" s="12"/>
      <c r="N7840" s="12" t="s">
        <v>17522</v>
      </c>
      <c r="O7840" s="9" t="str">
        <f aca="false">HYPERLINK("https://pbs.twimg.com/profile_images/897304739674771456/22tcBY6E_normal.jpg","View")</f>
        <v>View</v>
      </c>
      <c r="P7840" s="10"/>
    </row>
    <row r="7841" customFormat="false" ht="15.75" hidden="false" customHeight="false" outlineLevel="0" collapsed="false">
      <c r="A7841" s="6" t="n">
        <v>43031.7880092593</v>
      </c>
      <c r="B7841" s="7" t="str">
        <f aca="false">HYPERLINK("https://twitter.com/SportsDean","@SportsDean")</f>
        <v>@SportsDean</v>
      </c>
      <c r="C7841" s="8" t="s">
        <v>17523</v>
      </c>
      <c r="D7841" s="8" t="s">
        <v>14814</v>
      </c>
      <c r="E7841" s="9" t="str">
        <f aca="false">HYPERLINK("https://twitter.com/SportsDean/status/922642481732186112","922642481732186112")</f>
        <v>922642481732186112</v>
      </c>
      <c r="F7841" s="10" t="s">
        <v>39</v>
      </c>
      <c r="G7841" s="10" t="n">
        <v>1153</v>
      </c>
      <c r="H7841" s="10" t="n">
        <v>2564</v>
      </c>
      <c r="I7841" s="10" t="n">
        <v>12</v>
      </c>
      <c r="J7841" s="10" t="n">
        <v>0</v>
      </c>
      <c r="K7841" s="10" t="s">
        <v>20</v>
      </c>
      <c r="L7841" s="11" t="n">
        <v>40616.0932175926</v>
      </c>
      <c r="M7841" s="12" t="s">
        <v>17524</v>
      </c>
      <c r="N7841" s="12" t="s">
        <v>17525</v>
      </c>
      <c r="O7841" s="9" t="str">
        <f aca="false">HYPERLINK("https://pbs.twimg.com/profile_images/1319389658/23645_119377988077534_100000160001420_308275_8348488_n_normal.jpg","View")</f>
        <v>View</v>
      </c>
      <c r="P7841" s="10"/>
    </row>
    <row r="7842" customFormat="false" ht="15.75" hidden="false" customHeight="false" outlineLevel="0" collapsed="false">
      <c r="A7842" s="6" t="n">
        <v>43031.7882986111</v>
      </c>
      <c r="B7842" s="7" t="str">
        <f aca="false">HYPERLINK("https://twitter.com/Tekki_VR","@Tekki_VR")</f>
        <v>@Tekki_VR</v>
      </c>
      <c r="C7842" s="8" t="s">
        <v>225</v>
      </c>
      <c r="D7842" s="8" t="s">
        <v>14834</v>
      </c>
      <c r="E7842" s="9" t="str">
        <f aca="false">HYPERLINK("https://twitter.com/Tekki_VR/status/922642586275401730","922642586275401730")</f>
        <v>922642586275401730</v>
      </c>
      <c r="F7842" s="10" t="s">
        <v>60</v>
      </c>
      <c r="G7842" s="10" t="n">
        <v>1895</v>
      </c>
      <c r="H7842" s="10" t="n">
        <v>2479</v>
      </c>
      <c r="I7842" s="10" t="n">
        <v>0</v>
      </c>
      <c r="J7842" s="10" t="n">
        <v>0</v>
      </c>
      <c r="K7842" s="10" t="s">
        <v>20</v>
      </c>
      <c r="L7842" s="11" t="n">
        <v>42263.5455324074</v>
      </c>
      <c r="M7842" s="12" t="s">
        <v>227</v>
      </c>
      <c r="N7842" s="12" t="s">
        <v>228</v>
      </c>
      <c r="O7842" s="9" t="str">
        <f aca="false">HYPERLINK("https://pbs.twimg.com/profile_images/760662770694098944/h1nSBfE8_normal.jpg","View")</f>
        <v>View</v>
      </c>
      <c r="P7842" s="10"/>
    </row>
    <row r="7843" customFormat="false" ht="15.75" hidden="false" customHeight="false" outlineLevel="0" collapsed="false">
      <c r="A7843" s="6" t="n">
        <v>43031.7883680556</v>
      </c>
      <c r="B7843" s="7" t="str">
        <f aca="false">HYPERLINK("https://twitter.com/rocket_rosie","@rocket_rosie")</f>
        <v>@rocket_rosie</v>
      </c>
      <c r="C7843" s="8" t="s">
        <v>4127</v>
      </c>
      <c r="D7843" s="8" t="s">
        <v>13595</v>
      </c>
      <c r="E7843" s="9" t="str">
        <f aca="false">HYPERLINK("https://twitter.com/rocket_rosie/status/922642611558670336","922642611558670336")</f>
        <v>922642611558670336</v>
      </c>
      <c r="F7843" s="10" t="s">
        <v>51</v>
      </c>
      <c r="G7843" s="10" t="n">
        <v>10985</v>
      </c>
      <c r="H7843" s="10" t="n">
        <v>11907</v>
      </c>
      <c r="I7843" s="10" t="n">
        <v>88</v>
      </c>
      <c r="J7843" s="10" t="n">
        <v>0</v>
      </c>
      <c r="K7843" s="10" t="s">
        <v>20</v>
      </c>
      <c r="L7843" s="11" t="n">
        <v>41965.4538657407</v>
      </c>
      <c r="M7843" s="12" t="s">
        <v>230</v>
      </c>
      <c r="N7843" s="12" t="s">
        <v>4128</v>
      </c>
      <c r="O7843" s="9" t="str">
        <f aca="false">HYPERLINK("https://pbs.twimg.com/profile_images/917897688980606977/r1OzlrjW_normal.jpg","View")</f>
        <v>View</v>
      </c>
      <c r="P7843" s="10"/>
    </row>
    <row r="7844" customFormat="false" ht="15.75" hidden="false" customHeight="false" outlineLevel="0" collapsed="false">
      <c r="A7844" s="6" t="n">
        <v>43031.7883796296</v>
      </c>
      <c r="B7844" s="7" t="str">
        <f aca="false">HYPERLINK("https://twitter.com/LilacsxGirl","@LilacsxGirl")</f>
        <v>@LilacsxGirl</v>
      </c>
      <c r="C7844" s="8" t="s">
        <v>17526</v>
      </c>
      <c r="D7844" s="8" t="s">
        <v>16929</v>
      </c>
      <c r="E7844" s="9" t="str">
        <f aca="false">HYPERLINK("https://twitter.com/LilacsxGirl/status/922642617816551427","922642617816551427")</f>
        <v>922642617816551427</v>
      </c>
      <c r="F7844" s="10" t="s">
        <v>51</v>
      </c>
      <c r="G7844" s="10" t="n">
        <v>2087</v>
      </c>
      <c r="H7844" s="10" t="n">
        <v>3160</v>
      </c>
      <c r="I7844" s="10" t="n">
        <v>247</v>
      </c>
      <c r="J7844" s="10" t="n">
        <v>0</v>
      </c>
      <c r="K7844" s="10" t="s">
        <v>20</v>
      </c>
      <c r="L7844" s="11" t="n">
        <v>40339.0515972222</v>
      </c>
      <c r="M7844" s="12"/>
      <c r="N7844" s="12" t="s">
        <v>17527</v>
      </c>
      <c r="O7844" s="9" t="str">
        <f aca="false">HYPERLINK("https://pbs.twimg.com/profile_images/816634037838168064/sMSFXMf0_normal.jpg","View")</f>
        <v>View</v>
      </c>
      <c r="P7844" s="10"/>
    </row>
    <row r="7845" customFormat="false" ht="15.75" hidden="false" customHeight="false" outlineLevel="0" collapsed="false">
      <c r="A7845" s="6" t="n">
        <v>43031.7886342593</v>
      </c>
      <c r="B7845" s="7" t="str">
        <f aca="false">HYPERLINK("https://twitter.com/JeffersonObama","@JeffersonObama")</f>
        <v>@JeffersonObama</v>
      </c>
      <c r="C7845" s="8" t="s">
        <v>17528</v>
      </c>
      <c r="D7845" s="8" t="s">
        <v>14814</v>
      </c>
      <c r="E7845" s="9" t="str">
        <f aca="false">HYPERLINK("https://twitter.com/JeffersonObama/status/922642708749082624","922642708749082624")</f>
        <v>922642708749082624</v>
      </c>
      <c r="F7845" s="10" t="s">
        <v>25</v>
      </c>
      <c r="G7845" s="10" t="n">
        <v>32049</v>
      </c>
      <c r="H7845" s="10" t="n">
        <v>9666</v>
      </c>
      <c r="I7845" s="10" t="n">
        <v>12</v>
      </c>
      <c r="J7845" s="10" t="n">
        <v>0</v>
      </c>
      <c r="K7845" s="10" t="s">
        <v>20</v>
      </c>
      <c r="L7845" s="11" t="n">
        <v>39945.6310532407</v>
      </c>
      <c r="M7845" s="12" t="s">
        <v>17529</v>
      </c>
      <c r="N7845" s="12" t="s">
        <v>17530</v>
      </c>
      <c r="O7845" s="9" t="str">
        <f aca="false">HYPERLINK("https://pbs.twimg.com/profile_images/866863127236882432/f5cHlxzP_normal.jpg","View")</f>
        <v>View</v>
      </c>
      <c r="P7845" s="10"/>
    </row>
    <row r="7846" customFormat="false" ht="15.75" hidden="false" customHeight="false" outlineLevel="0" collapsed="false">
      <c r="A7846" s="6" t="n">
        <v>43031.7906018519</v>
      </c>
      <c r="B7846" s="7" t="str">
        <f aca="false">HYPERLINK("https://twitter.com/gloriaminott","@gloriaminott")</f>
        <v>@gloriaminott</v>
      </c>
      <c r="C7846" s="8" t="s">
        <v>17531</v>
      </c>
      <c r="D7846" s="8" t="s">
        <v>14814</v>
      </c>
      <c r="E7846" s="9" t="str">
        <f aca="false">HYPERLINK("https://twitter.com/gloriaminott/status/922643422946742272","922643422946742272")</f>
        <v>922643422946742272</v>
      </c>
      <c r="F7846" s="10" t="s">
        <v>51</v>
      </c>
      <c r="G7846" s="10" t="n">
        <v>675</v>
      </c>
      <c r="H7846" s="10" t="n">
        <v>240</v>
      </c>
      <c r="I7846" s="10" t="n">
        <v>12</v>
      </c>
      <c r="J7846" s="10" t="n">
        <v>0</v>
      </c>
      <c r="K7846" s="10" t="s">
        <v>20</v>
      </c>
      <c r="L7846" s="11" t="n">
        <v>41748.2110185185</v>
      </c>
      <c r="M7846" s="12" t="s">
        <v>723</v>
      </c>
      <c r="N7846" s="12" t="s">
        <v>17532</v>
      </c>
      <c r="O7846" s="9" t="str">
        <f aca="false">HYPERLINK("https://pbs.twimg.com/profile_images/457497550438678528/M3VM3sE6_normal.png","View")</f>
        <v>View</v>
      </c>
      <c r="P7846" s="10"/>
    </row>
    <row r="7847" customFormat="false" ht="15.75" hidden="false" customHeight="false" outlineLevel="0" collapsed="false">
      <c r="A7847" s="6" t="n">
        <v>43031.7910069445</v>
      </c>
      <c r="B7847" s="7" t="str">
        <f aca="false">HYPERLINK("https://twitter.com/BloombergTV","@BloombergTV")</f>
        <v>@BloombergTV</v>
      </c>
      <c r="C7847" s="8" t="s">
        <v>317</v>
      </c>
      <c r="D7847" s="8" t="s">
        <v>14886</v>
      </c>
      <c r="E7847" s="9" t="str">
        <f aca="false">HYPERLINK("https://twitter.com/BloombergTV/status/922643569113956354","922643569113956354")</f>
        <v>922643569113956354</v>
      </c>
      <c r="F7847" s="10" t="s">
        <v>268</v>
      </c>
      <c r="G7847" s="10" t="n">
        <v>452918</v>
      </c>
      <c r="H7847" s="10" t="n">
        <v>458</v>
      </c>
      <c r="I7847" s="10" t="n">
        <v>2</v>
      </c>
      <c r="J7847" s="10" t="n">
        <v>1</v>
      </c>
      <c r="K7847" s="10" t="s">
        <v>20</v>
      </c>
      <c r="L7847" s="11" t="n">
        <v>39927.4899768519</v>
      </c>
      <c r="M7847" s="12" t="s">
        <v>319</v>
      </c>
      <c r="N7847" s="12" t="s">
        <v>320</v>
      </c>
      <c r="O7847" s="9" t="str">
        <f aca="false">HYPERLINK("https://pbs.twimg.com/profile_images/714801760632770560/7My2hMBt_normal.jpg","View")</f>
        <v>View</v>
      </c>
      <c r="P7847" s="10"/>
    </row>
    <row r="7848" customFormat="false" ht="15.75" hidden="false" customHeight="false" outlineLevel="0" collapsed="false">
      <c r="A7848" s="6" t="n">
        <v>43031.7911574074</v>
      </c>
      <c r="B7848" s="7" t="str">
        <f aca="false">HYPERLINK("https://twitter.com/serge_poznanski","@serge_poznanski")</f>
        <v>@serge_poznanski</v>
      </c>
      <c r="C7848" s="8" t="s">
        <v>212</v>
      </c>
      <c r="D7848" s="8" t="s">
        <v>14825</v>
      </c>
      <c r="E7848" s="9" t="str">
        <f aca="false">HYPERLINK("https://twitter.com/serge_poznanski/status/922643622792712193","922643622792712193")</f>
        <v>922643622792712193</v>
      </c>
      <c r="F7848" s="10" t="s">
        <v>60</v>
      </c>
      <c r="G7848" s="10" t="n">
        <v>1424</v>
      </c>
      <c r="H7848" s="10" t="n">
        <v>2136</v>
      </c>
      <c r="I7848" s="10" t="n">
        <v>0</v>
      </c>
      <c r="J7848" s="10" t="n">
        <v>0</v>
      </c>
      <c r="K7848" s="10" t="s">
        <v>20</v>
      </c>
      <c r="L7848" s="11" t="n">
        <v>42271.4744560185</v>
      </c>
      <c r="M7848" s="12"/>
      <c r="N7848" s="12"/>
      <c r="O7848" s="9" t="str">
        <f aca="false">HYPERLINK("https://pbs.twimg.com/profile_images/647277253240291328/3GezjFCJ_normal.jpg","View")</f>
        <v>View</v>
      </c>
      <c r="P7848" s="10"/>
    </row>
    <row r="7849" customFormat="false" ht="15.75" hidden="false" customHeight="false" outlineLevel="0" collapsed="false">
      <c r="A7849" s="6" t="n">
        <v>43031.7913194444</v>
      </c>
      <c r="B7849" s="7" t="str">
        <f aca="false">HYPERLINK("https://twitter.com/bdnews24","@bdnews24")</f>
        <v>@bdnews24</v>
      </c>
      <c r="C7849" s="8" t="s">
        <v>216</v>
      </c>
      <c r="D7849" s="8" t="s">
        <v>17533</v>
      </c>
      <c r="E7849" s="9" t="str">
        <f aca="false">HYPERLINK("https://twitter.com/bdnews24/status/922643683144556544","922643683144556544")</f>
        <v>922643683144556544</v>
      </c>
      <c r="F7849" s="10" t="s">
        <v>60</v>
      </c>
      <c r="G7849" s="10" t="n">
        <v>215604</v>
      </c>
      <c r="H7849" s="10" t="n">
        <v>67887</v>
      </c>
      <c r="I7849" s="10" t="n">
        <v>0</v>
      </c>
      <c r="J7849" s="10" t="n">
        <v>1</v>
      </c>
      <c r="K7849" s="10" t="s">
        <v>20</v>
      </c>
      <c r="L7849" s="11" t="n">
        <v>39844.4680439815</v>
      </c>
      <c r="M7849" s="12" t="s">
        <v>218</v>
      </c>
      <c r="N7849" s="12" t="s">
        <v>219</v>
      </c>
      <c r="O7849" s="9" t="str">
        <f aca="false">HYPERLINK("https://pbs.twimg.com/profile_images/718433521509994497/4iW9RC_r_normal.jpg","View")</f>
        <v>View</v>
      </c>
      <c r="P7849" s="10"/>
    </row>
    <row r="7850" customFormat="false" ht="15.75" hidden="false" customHeight="false" outlineLevel="0" collapsed="false">
      <c r="A7850" s="6" t="n">
        <v>43031.7917013889</v>
      </c>
      <c r="B7850" s="7" t="str">
        <f aca="false">HYPERLINK("https://twitter.com/bpolitics","@bpolitics")</f>
        <v>@bpolitics</v>
      </c>
      <c r="C7850" s="8" t="s">
        <v>266</v>
      </c>
      <c r="D7850" s="8" t="s">
        <v>17534</v>
      </c>
      <c r="E7850" s="9" t="str">
        <f aca="false">HYPERLINK("https://twitter.com/bpolitics/status/922643819044200448","922643819044200448")</f>
        <v>922643819044200448</v>
      </c>
      <c r="F7850" s="10" t="s">
        <v>268</v>
      </c>
      <c r="G7850" s="10" t="n">
        <v>221392</v>
      </c>
      <c r="H7850" s="10" t="n">
        <v>868</v>
      </c>
      <c r="I7850" s="10" t="n">
        <v>1</v>
      </c>
      <c r="J7850" s="10" t="n">
        <v>0</v>
      </c>
      <c r="K7850" s="10" t="s">
        <v>20</v>
      </c>
      <c r="L7850" s="11" t="n">
        <v>41025.576400463</v>
      </c>
      <c r="M7850" s="12"/>
      <c r="N7850" s="12" t="s">
        <v>269</v>
      </c>
      <c r="O7850" s="9" t="str">
        <f aca="false">HYPERLINK("https://pbs.twimg.com/profile_images/714804098890133504/cUO4gD1A_normal.jpg","View")</f>
        <v>View</v>
      </c>
      <c r="P7850" s="10"/>
    </row>
    <row r="7851" customFormat="false" ht="15.75" hidden="false" customHeight="false" outlineLevel="0" collapsed="false">
      <c r="A7851" s="6" t="n">
        <v>43031.7921527778</v>
      </c>
      <c r="B7851" s="7" t="str">
        <f aca="false">HYPERLINK("https://twitter.com/mwesmakVsjesuS","@mwesmakVsjesuS")</f>
        <v>@mwesmakVsjesuS</v>
      </c>
      <c r="C7851" s="8" t="s">
        <v>7144</v>
      </c>
      <c r="D7851" s="8" t="s">
        <v>14906</v>
      </c>
      <c r="E7851" s="9" t="str">
        <f aca="false">HYPERLINK("https://twitter.com/mwesmakVsjesuS/status/922643985801334784","922643985801334784")</f>
        <v>922643985801334784</v>
      </c>
      <c r="F7851" s="10" t="s">
        <v>51</v>
      </c>
      <c r="G7851" s="10" t="n">
        <v>366</v>
      </c>
      <c r="H7851" s="10" t="n">
        <v>1934</v>
      </c>
      <c r="I7851" s="10" t="n">
        <v>2</v>
      </c>
      <c r="J7851" s="10" t="n">
        <v>0</v>
      </c>
      <c r="K7851" s="10" t="s">
        <v>20</v>
      </c>
      <c r="L7851" s="11" t="n">
        <v>42486.5118518519</v>
      </c>
      <c r="M7851" s="12" t="s">
        <v>7145</v>
      </c>
      <c r="N7851" s="12" t="s">
        <v>7146</v>
      </c>
      <c r="O7851" s="9" t="str">
        <f aca="false">HYPERLINK("https://pbs.twimg.com/profile_images/921369830128783360/n7IgXIH__normal.jpg","View")</f>
        <v>View</v>
      </c>
      <c r="P7851" s="10"/>
    </row>
    <row r="7852" customFormat="false" ht="15.75" hidden="false" customHeight="false" outlineLevel="0" collapsed="false">
      <c r="A7852" s="6" t="n">
        <v>43031.7930439815</v>
      </c>
      <c r="B7852" s="7" t="str">
        <f aca="false">HYPERLINK("https://twitter.com/KumaraVaani","@KumaraVaani")</f>
        <v>@KumaraVaani</v>
      </c>
      <c r="C7852" s="8" t="s">
        <v>17535</v>
      </c>
      <c r="D7852" s="8" t="s">
        <v>8538</v>
      </c>
      <c r="E7852" s="9" t="str">
        <f aca="false">HYPERLINK("https://twitter.com/KumaraVaani/status/922644305809780737","922644305809780737")</f>
        <v>922644305809780737</v>
      </c>
      <c r="F7852" s="10" t="s">
        <v>25</v>
      </c>
      <c r="G7852" s="10" t="n">
        <v>230</v>
      </c>
      <c r="H7852" s="10" t="n">
        <v>182</v>
      </c>
      <c r="I7852" s="10" t="n">
        <v>1015</v>
      </c>
      <c r="J7852" s="10" t="n">
        <v>0</v>
      </c>
      <c r="K7852" s="10" t="s">
        <v>20</v>
      </c>
      <c r="L7852" s="11" t="n">
        <v>40132.3315277778</v>
      </c>
      <c r="M7852" s="12"/>
      <c r="N7852" s="12" t="s">
        <v>17536</v>
      </c>
      <c r="O7852" s="9" t="str">
        <f aca="false">HYPERLINK("https://pbs.twimg.com/profile_images/706812897737834496/KBxFvRhr_normal.jpg","View")</f>
        <v>View</v>
      </c>
      <c r="P7852" s="10"/>
    </row>
    <row r="7853" customFormat="false" ht="15.75" hidden="false" customHeight="false" outlineLevel="0" collapsed="false">
      <c r="A7853" s="6" t="n">
        <v>43031.7935300926</v>
      </c>
      <c r="B7853" s="7" t="str">
        <f aca="false">HYPERLINK("https://twitter.com/HectorDuathlon1","@HectorDuathlon1")</f>
        <v>@HectorDuathlon1</v>
      </c>
      <c r="C7853" s="8" t="s">
        <v>17537</v>
      </c>
      <c r="D7853" s="8" t="s">
        <v>14814</v>
      </c>
      <c r="E7853" s="9" t="str">
        <f aca="false">HYPERLINK("https://twitter.com/HectorDuathlon1/status/922644482151145472","922644482151145472")</f>
        <v>922644482151145472</v>
      </c>
      <c r="F7853" s="10" t="s">
        <v>98</v>
      </c>
      <c r="G7853" s="10" t="n">
        <v>4673</v>
      </c>
      <c r="H7853" s="10" t="n">
        <v>4157</v>
      </c>
      <c r="I7853" s="10" t="n">
        <v>12</v>
      </c>
      <c r="J7853" s="10" t="n">
        <v>0</v>
      </c>
      <c r="K7853" s="10" t="s">
        <v>20</v>
      </c>
      <c r="L7853" s="11" t="n">
        <v>41031.2859606482</v>
      </c>
      <c r="M7853" s="12" t="s">
        <v>17538</v>
      </c>
      <c r="N7853" s="12" t="s">
        <v>17539</v>
      </c>
      <c r="O7853" s="9" t="str">
        <f aca="false">HYPERLINK("https://pbs.twimg.com/profile_images/3617990529/a9d518ce2ff10fbb100368cff2c76f98_normal.jpeg","View")</f>
        <v>View</v>
      </c>
      <c r="P7853" s="10"/>
    </row>
    <row r="7854" customFormat="false" ht="15.75" hidden="false" customHeight="false" outlineLevel="0" collapsed="false">
      <c r="A7854" s="6" t="n">
        <v>43031.7940972222</v>
      </c>
      <c r="B7854" s="7" t="str">
        <f aca="false">HYPERLINK("https://twitter.com/vrai777","@vrai777")</f>
        <v>@vrai777</v>
      </c>
      <c r="C7854" s="8" t="s">
        <v>335</v>
      </c>
      <c r="D7854" s="8" t="s">
        <v>14934</v>
      </c>
      <c r="E7854" s="9" t="str">
        <f aca="false">HYPERLINK("https://twitter.com/vrai777/status/922644687869087744","922644687869087744")</f>
        <v>922644687869087744</v>
      </c>
      <c r="F7854" s="10" t="s">
        <v>60</v>
      </c>
      <c r="G7854" s="10" t="n">
        <v>7959</v>
      </c>
      <c r="H7854" s="10" t="n">
        <v>71</v>
      </c>
      <c r="I7854" s="10" t="n">
        <v>0</v>
      </c>
      <c r="J7854" s="10" t="n">
        <v>0</v>
      </c>
      <c r="K7854" s="10" t="s">
        <v>20</v>
      </c>
      <c r="L7854" s="11" t="n">
        <v>39878.7593287037</v>
      </c>
      <c r="M7854" s="12" t="s">
        <v>295</v>
      </c>
      <c r="N7854" s="12" t="s">
        <v>337</v>
      </c>
      <c r="O7854" s="9" t="str">
        <f aca="false">HYPERLINK("https://pbs.twimg.com/profile_images/688775800284266496/qhWTo08H_normal.png","View")</f>
        <v>View</v>
      </c>
      <c r="P7854" s="10"/>
    </row>
    <row r="7855" customFormat="false" ht="15.75" hidden="false" customHeight="false" outlineLevel="0" collapsed="false">
      <c r="A7855" s="6" t="n">
        <v>43031.7942939815</v>
      </c>
      <c r="B7855" s="7" t="str">
        <f aca="false">HYPERLINK("https://twitter.com/60Macc","@60Macc")</f>
        <v>@60Macc</v>
      </c>
      <c r="C7855" s="8" t="s">
        <v>17540</v>
      </c>
      <c r="D7855" s="8" t="s">
        <v>17541</v>
      </c>
      <c r="E7855" s="9" t="str">
        <f aca="false">HYPERLINK("https://twitter.com/60Macc/status/922644760749322240","922644760749322240")</f>
        <v>922644760749322240</v>
      </c>
      <c r="F7855" s="10" t="s">
        <v>25</v>
      </c>
      <c r="G7855" s="10" t="n">
        <v>454</v>
      </c>
      <c r="H7855" s="10" t="n">
        <v>4922</v>
      </c>
      <c r="I7855" s="10" t="n">
        <v>1</v>
      </c>
      <c r="J7855" s="10" t="n">
        <v>0</v>
      </c>
      <c r="K7855" s="10" t="s">
        <v>20</v>
      </c>
      <c r="L7855" s="11" t="n">
        <v>42592.5521180556</v>
      </c>
      <c r="M7855" s="12" t="s">
        <v>502</v>
      </c>
      <c r="N7855" s="12" t="s">
        <v>17542</v>
      </c>
      <c r="O7855" s="9" t="str">
        <f aca="false">HYPERLINK("https://pbs.twimg.com/profile_images/908919996532903936/jPbiANr7_normal.jpg","View")</f>
        <v>View</v>
      </c>
      <c r="P7855" s="10"/>
    </row>
    <row r="7856" customFormat="false" ht="15.75" hidden="false" customHeight="false" outlineLevel="0" collapsed="false">
      <c r="A7856" s="6" t="n">
        <v>43031.7945023148</v>
      </c>
      <c r="B7856" s="7" t="str">
        <f aca="false">HYPERLINK("https://twitter.com/prepzilla","@prepzilla")</f>
        <v>@prepzilla</v>
      </c>
      <c r="C7856" s="8" t="s">
        <v>235</v>
      </c>
      <c r="D7856" s="8" t="s">
        <v>14824</v>
      </c>
      <c r="E7856" s="9" t="str">
        <f aca="false">HYPERLINK("https://twitter.com/prepzilla/status/922644836062244865","922644836062244865")</f>
        <v>922644836062244865</v>
      </c>
      <c r="F7856" s="10" t="s">
        <v>60</v>
      </c>
      <c r="G7856" s="10" t="n">
        <v>7686</v>
      </c>
      <c r="H7856" s="10" t="n">
        <v>477</v>
      </c>
      <c r="I7856" s="10" t="n">
        <v>0</v>
      </c>
      <c r="J7856" s="10" t="n">
        <v>0</v>
      </c>
      <c r="K7856" s="10" t="s">
        <v>20</v>
      </c>
      <c r="L7856" s="11" t="n">
        <v>41299.7417361111</v>
      </c>
      <c r="M7856" s="12" t="s">
        <v>237</v>
      </c>
      <c r="N7856" s="12" t="s">
        <v>238</v>
      </c>
      <c r="O7856" s="9" t="str">
        <f aca="false">HYPERLINK("https://pbs.twimg.com/profile_images/900797880516005888/1bWN5qbC_normal.jpg","View")</f>
        <v>View</v>
      </c>
      <c r="P7856" s="10"/>
    </row>
    <row r="7857" customFormat="false" ht="15.75" hidden="false" customHeight="false" outlineLevel="0" collapsed="false">
      <c r="A7857" s="6" t="n">
        <v>43031.7952662037</v>
      </c>
      <c r="B7857" s="7" t="str">
        <f aca="false">HYPERLINK("https://twitter.com/burongmangga","@burongmangga")</f>
        <v>@burongmangga</v>
      </c>
      <c r="C7857" s="8" t="s">
        <v>17543</v>
      </c>
      <c r="D7857" s="8" t="s">
        <v>13253</v>
      </c>
      <c r="E7857" s="9" t="str">
        <f aca="false">HYPERLINK("https://twitter.com/burongmangga/status/922645111309156354","922645111309156354")</f>
        <v>922645111309156354</v>
      </c>
      <c r="F7857" s="10" t="s">
        <v>51</v>
      </c>
      <c r="G7857" s="10" t="n">
        <v>56</v>
      </c>
      <c r="H7857" s="10" t="n">
        <v>250</v>
      </c>
      <c r="I7857" s="10" t="n">
        <v>22</v>
      </c>
      <c r="J7857" s="10" t="n">
        <v>0</v>
      </c>
      <c r="K7857" s="10" t="s">
        <v>20</v>
      </c>
      <c r="L7857" s="11" t="n">
        <v>41861.1189351852</v>
      </c>
      <c r="M7857" s="12"/>
      <c r="N7857" s="12"/>
      <c r="O7857" s="9" t="str">
        <f aca="false">HYPERLINK("https://pbs.twimg.com/profile_images/589814285217333248/DDWL0mlW_normal.jpg","View")</f>
        <v>View</v>
      </c>
      <c r="P7857" s="10"/>
    </row>
    <row r="7858" customFormat="false" ht="15.75" hidden="false" customHeight="false" outlineLevel="0" collapsed="false">
      <c r="A7858" s="6" t="n">
        <v>43031.7956597222</v>
      </c>
      <c r="B7858" s="7" t="str">
        <f aca="false">HYPERLINK("https://twitter.com/motokorich","@motokorich")</f>
        <v>@motokorich</v>
      </c>
      <c r="C7858" s="8" t="s">
        <v>3936</v>
      </c>
      <c r="D7858" s="8" t="s">
        <v>17544</v>
      </c>
      <c r="E7858" s="9" t="str">
        <f aca="false">HYPERLINK("https://twitter.com/motokorich/status/922645257174568960","922645257174568960")</f>
        <v>922645257174568960</v>
      </c>
      <c r="F7858" s="10" t="s">
        <v>276</v>
      </c>
      <c r="G7858" s="10" t="n">
        <v>25708</v>
      </c>
      <c r="H7858" s="10" t="n">
        <v>2567</v>
      </c>
      <c r="I7858" s="10" t="n">
        <v>0</v>
      </c>
      <c r="J7858" s="10" t="n">
        <v>0</v>
      </c>
      <c r="K7858" s="10" t="s">
        <v>20</v>
      </c>
      <c r="L7858" s="11" t="n">
        <v>39993.357037037</v>
      </c>
      <c r="M7858" s="12" t="s">
        <v>574</v>
      </c>
      <c r="N7858" s="13" t="s">
        <v>3938</v>
      </c>
      <c r="O7858" s="9" t="str">
        <f aca="false">HYPERLINK("https://pbs.twimg.com/profile_images/781455693597413380/eASkJAc5_normal.jpg","View")</f>
        <v>View</v>
      </c>
      <c r="P7858" s="10"/>
    </row>
    <row r="7859" customFormat="false" ht="15.75" hidden="false" customHeight="false" outlineLevel="0" collapsed="false">
      <c r="A7859" s="6" t="n">
        <v>43031.7960416667</v>
      </c>
      <c r="B7859" s="7" t="str">
        <f aca="false">HYPERLINK("https://twitter.com/shailendra_nair","@shailendra_nair")</f>
        <v>@shailendra_nair</v>
      </c>
      <c r="C7859" s="8" t="s">
        <v>251</v>
      </c>
      <c r="D7859" s="8" t="s">
        <v>14839</v>
      </c>
      <c r="E7859" s="9" t="str">
        <f aca="false">HYPERLINK("https://twitter.com/shailendra_nair/status/922645394659700736","922645394659700736")</f>
        <v>922645394659700736</v>
      </c>
      <c r="F7859" s="10" t="s">
        <v>60</v>
      </c>
      <c r="G7859" s="10" t="n">
        <v>3987</v>
      </c>
      <c r="H7859" s="10" t="n">
        <v>1042</v>
      </c>
      <c r="I7859" s="10" t="n">
        <v>0</v>
      </c>
      <c r="J7859" s="10" t="n">
        <v>0</v>
      </c>
      <c r="K7859" s="10" t="s">
        <v>20</v>
      </c>
      <c r="L7859" s="11" t="n">
        <v>40362.4379861111</v>
      </c>
      <c r="M7859" s="12" t="s">
        <v>253</v>
      </c>
      <c r="N7859" s="12" t="s">
        <v>254</v>
      </c>
      <c r="O7859" s="9" t="str">
        <f aca="false">HYPERLINK("https://pbs.twimg.com/profile_images/884758468879466497/M_w6UjD3_normal.jpg","View")</f>
        <v>View</v>
      </c>
      <c r="P7859" s="10"/>
    </row>
    <row r="7860" customFormat="false" ht="15.75" hidden="false" customHeight="false" outlineLevel="0" collapsed="false">
      <c r="A7860" s="6" t="n">
        <v>43031.7971412037</v>
      </c>
      <c r="B7860" s="7" t="str">
        <f aca="false">HYPERLINK("https://twitter.com/taka910910","@taka910910")</f>
        <v>@taka910910</v>
      </c>
      <c r="C7860" s="8" t="n">
        <v>910</v>
      </c>
      <c r="D7860" s="8" t="s">
        <v>16785</v>
      </c>
      <c r="E7860" s="9" t="str">
        <f aca="false">HYPERLINK("https://twitter.com/taka910910/status/922645791126167552","922645791126167552")</f>
        <v>922645791126167552</v>
      </c>
      <c r="F7860" s="10" t="s">
        <v>25</v>
      </c>
      <c r="G7860" s="10" t="n">
        <v>1895</v>
      </c>
      <c r="H7860" s="10" t="n">
        <v>3559</v>
      </c>
      <c r="I7860" s="10" t="n">
        <v>41</v>
      </c>
      <c r="J7860" s="10" t="n">
        <v>0</v>
      </c>
      <c r="K7860" s="10" t="s">
        <v>20</v>
      </c>
      <c r="L7860" s="11" t="n">
        <v>40201.2847916667</v>
      </c>
      <c r="M7860" s="12"/>
      <c r="N7860" s="13" t="s">
        <v>13565</v>
      </c>
      <c r="O7860" s="9" t="str">
        <f aca="false">HYPERLINK("https://pbs.twimg.com/profile_images/710364250418446336/EIZR_xGI_normal.jpg","View")</f>
        <v>View</v>
      </c>
      <c r="P7860" s="10"/>
    </row>
    <row r="7861" customFormat="false" ht="15.75" hidden="false" customHeight="false" outlineLevel="0" collapsed="false">
      <c r="A7861" s="6" t="n">
        <v>43031.798287037</v>
      </c>
      <c r="B7861" s="7" t="str">
        <f aca="false">HYPERLINK("https://twitter.com/JPnewsinEng","@JPnewsinEng")</f>
        <v>@JPnewsinEng</v>
      </c>
      <c r="C7861" s="8" t="s">
        <v>6097</v>
      </c>
      <c r="D7861" s="8" t="s">
        <v>17545</v>
      </c>
      <c r="E7861" s="9" t="str">
        <f aca="false">HYPERLINK("https://twitter.com/JPnewsinEng/status/922646206832095232","922646206832095232")</f>
        <v>922646206832095232</v>
      </c>
      <c r="F7861" s="10" t="s">
        <v>60</v>
      </c>
      <c r="G7861" s="10" t="n">
        <v>95</v>
      </c>
      <c r="H7861" s="10" t="n">
        <v>0</v>
      </c>
      <c r="I7861" s="10" t="n">
        <v>1</v>
      </c>
      <c r="J7861" s="10" t="n">
        <v>0</v>
      </c>
      <c r="K7861" s="10" t="s">
        <v>20</v>
      </c>
      <c r="L7861" s="11" t="n">
        <v>42298.2794907407</v>
      </c>
      <c r="M7861" s="13" t="s">
        <v>152</v>
      </c>
      <c r="N7861" s="13" t="s">
        <v>6099</v>
      </c>
      <c r="O7861" s="9" t="str">
        <f aca="false">HYPERLINK("https://pbs.twimg.com/profile_images/658617776026705920/TPmWzjC0_normal.png","View")</f>
        <v>View</v>
      </c>
      <c r="P7861" s="10"/>
    </row>
    <row r="7862" customFormat="false" ht="15.75" hidden="false" customHeight="false" outlineLevel="0" collapsed="false">
      <c r="A7862" s="6" t="n">
        <v>43031.799212963</v>
      </c>
      <c r="B7862" s="7" t="str">
        <f aca="false">HYPERLINK("https://twitter.com/yukinari230","@yukinari230")</f>
        <v>@yukinari230</v>
      </c>
      <c r="C7862" s="8" t="s">
        <v>17546</v>
      </c>
      <c r="D7862" s="8" t="s">
        <v>13595</v>
      </c>
      <c r="E7862" s="9" t="str">
        <f aca="false">HYPERLINK("https://twitter.com/yukinari230/status/922646542753808384","922646542753808384")</f>
        <v>922646542753808384</v>
      </c>
      <c r="F7862" s="10" t="s">
        <v>39</v>
      </c>
      <c r="G7862" s="10" t="n">
        <v>1309</v>
      </c>
      <c r="H7862" s="10" t="n">
        <v>4978</v>
      </c>
      <c r="I7862" s="10" t="n">
        <v>88</v>
      </c>
      <c r="J7862" s="10" t="n">
        <v>0</v>
      </c>
      <c r="K7862" s="10" t="s">
        <v>20</v>
      </c>
      <c r="L7862" s="11" t="n">
        <v>40132.0706481481</v>
      </c>
      <c r="M7862" s="12" t="s">
        <v>3254</v>
      </c>
      <c r="N7862" s="12"/>
      <c r="O7862" s="9" t="str">
        <f aca="false">HYPERLINK("https://pbs.twimg.com/profile_images/458944770828554240/eEZjbrNG_normal.jpeg","View")</f>
        <v>View</v>
      </c>
      <c r="P7862" s="10"/>
    </row>
    <row r="7863" customFormat="false" ht="15.75" hidden="false" customHeight="false" outlineLevel="0" collapsed="false">
      <c r="A7863" s="6" t="n">
        <v>43031.8004513889</v>
      </c>
      <c r="B7863" s="7" t="str">
        <f aca="false">HYPERLINK("https://twitter.com/vrai777","@vrai777")</f>
        <v>@vrai777</v>
      </c>
      <c r="C7863" s="8" t="s">
        <v>335</v>
      </c>
      <c r="D7863" s="8" t="s">
        <v>17547</v>
      </c>
      <c r="E7863" s="9" t="str">
        <f aca="false">HYPERLINK("https://twitter.com/vrai777/status/922646992618246146","922646992618246146")</f>
        <v>922646992618246146</v>
      </c>
      <c r="F7863" s="10" t="s">
        <v>60</v>
      </c>
      <c r="G7863" s="10" t="n">
        <v>7959</v>
      </c>
      <c r="H7863" s="10" t="n">
        <v>71</v>
      </c>
      <c r="I7863" s="10" t="n">
        <v>0</v>
      </c>
      <c r="J7863" s="10" t="n">
        <v>0</v>
      </c>
      <c r="K7863" s="10" t="s">
        <v>20</v>
      </c>
      <c r="L7863" s="11" t="n">
        <v>39878.7593287037</v>
      </c>
      <c r="M7863" s="12" t="s">
        <v>295</v>
      </c>
      <c r="N7863" s="12" t="s">
        <v>337</v>
      </c>
      <c r="O7863" s="9" t="str">
        <f aca="false">HYPERLINK("https://pbs.twimg.com/profile_images/688775800284266496/qhWTo08H_normal.png","View")</f>
        <v>View</v>
      </c>
      <c r="P7863" s="10"/>
    </row>
    <row r="7864" customFormat="false" ht="15.75" hidden="false" customHeight="false" outlineLevel="0" collapsed="false">
      <c r="A7864" s="6" t="n">
        <v>43031.8023726852</v>
      </c>
      <c r="B7864" s="7" t="str">
        <f aca="false">HYPERLINK("https://twitter.com/nkDarkDrgmailc1","@nkDarkDrgmailc1")</f>
        <v>@nkDarkDrgmailc1</v>
      </c>
      <c r="C7864" s="8" t="s">
        <v>11570</v>
      </c>
      <c r="D7864" s="8" t="s">
        <v>7371</v>
      </c>
      <c r="E7864" s="9" t="str">
        <f aca="false">HYPERLINK("https://twitter.com/nkDarkDrgmailc1/status/922647689338142721","922647689338142721")</f>
        <v>922647689338142721</v>
      </c>
      <c r="F7864" s="10" t="s">
        <v>25</v>
      </c>
      <c r="G7864" s="10" t="n">
        <v>4140</v>
      </c>
      <c r="H7864" s="10" t="n">
        <v>2891</v>
      </c>
      <c r="I7864" s="10" t="n">
        <v>16</v>
      </c>
      <c r="J7864" s="10" t="n">
        <v>0</v>
      </c>
      <c r="K7864" s="10" t="s">
        <v>20</v>
      </c>
      <c r="L7864" s="11" t="n">
        <v>42002.1843402778</v>
      </c>
      <c r="M7864" s="12"/>
      <c r="N7864" s="13" t="s">
        <v>11571</v>
      </c>
      <c r="O7864" s="9" t="str">
        <f aca="false">HYPERLINK("https://pbs.twimg.com/profile_images/549546382671900672/AD_kn2tS_normal.jpeg","View")</f>
        <v>View</v>
      </c>
      <c r="P7864" s="10"/>
    </row>
    <row r="7865" customFormat="false" ht="15.75" hidden="false" customHeight="false" outlineLevel="0" collapsed="false">
      <c r="A7865" s="6" t="n">
        <v>43031.802650463</v>
      </c>
      <c r="B7865" s="7" t="str">
        <f aca="false">HYPERLINK("https://twitter.com/chantaldaifonso","@chantaldaifonso")</f>
        <v>@chantaldaifonso</v>
      </c>
      <c r="C7865" s="8" t="s">
        <v>17548</v>
      </c>
      <c r="D7865" s="8" t="s">
        <v>14598</v>
      </c>
      <c r="E7865" s="9" t="str">
        <f aca="false">HYPERLINK("https://twitter.com/chantaldaifonso/status/922647788055420928","922647788055420928")</f>
        <v>922647788055420928</v>
      </c>
      <c r="F7865" s="10" t="s">
        <v>25</v>
      </c>
      <c r="G7865" s="10" t="n">
        <v>48</v>
      </c>
      <c r="H7865" s="10" t="n">
        <v>1796</v>
      </c>
      <c r="I7865" s="10" t="n">
        <v>23</v>
      </c>
      <c r="J7865" s="10" t="n">
        <v>0</v>
      </c>
      <c r="K7865" s="10" t="s">
        <v>20</v>
      </c>
      <c r="L7865" s="11" t="n">
        <v>42063.5873958333</v>
      </c>
      <c r="M7865" s="12" t="s">
        <v>17549</v>
      </c>
      <c r="N7865" s="12" t="s">
        <v>17550</v>
      </c>
      <c r="O7865" s="9" t="str">
        <f aca="false">HYPERLINK("https://pbs.twimg.com/profile_images/765252339032846336/LC8gDTLA_normal.jpg","View")</f>
        <v>View</v>
      </c>
      <c r="P7865" s="10"/>
    </row>
    <row r="7866" customFormat="false" ht="15.75" hidden="false" customHeight="false" outlineLevel="0" collapsed="false">
      <c r="A7866" s="6" t="n">
        <v>43031.8029050926</v>
      </c>
      <c r="B7866" s="7" t="str">
        <f aca="false">HYPERLINK("https://twitter.com/kitokunohito","@kitokunohito")</f>
        <v>@kitokunohito</v>
      </c>
      <c r="C7866" s="8" t="s">
        <v>17551</v>
      </c>
      <c r="D7866" s="8" t="s">
        <v>15694</v>
      </c>
      <c r="E7866" s="9" t="str">
        <f aca="false">HYPERLINK("https://twitter.com/kitokunohito/status/922647881495932929","922647881495932929")</f>
        <v>922647881495932929</v>
      </c>
      <c r="F7866" s="10" t="s">
        <v>8470</v>
      </c>
      <c r="G7866" s="10" t="n">
        <v>1122</v>
      </c>
      <c r="H7866" s="10" t="n">
        <v>180</v>
      </c>
      <c r="I7866" s="10" t="n">
        <v>10</v>
      </c>
      <c r="J7866" s="10" t="n">
        <v>0</v>
      </c>
      <c r="K7866" s="10" t="s">
        <v>20</v>
      </c>
      <c r="L7866" s="11" t="n">
        <v>39888.7104282407</v>
      </c>
      <c r="M7866" s="13" t="s">
        <v>14345</v>
      </c>
      <c r="N7866" s="13" t="s">
        <v>17552</v>
      </c>
      <c r="O7866" s="9" t="str">
        <f aca="false">HYPERLINK("https://pbs.twimg.com/profile_images/785360398/twitterProfilePhoto_normal.jpg","View")</f>
        <v>View</v>
      </c>
      <c r="P7866" s="10"/>
    </row>
    <row r="7867" customFormat="false" ht="15.75" hidden="false" customHeight="false" outlineLevel="0" collapsed="false">
      <c r="A7867" s="6" t="n">
        <v>43031.8030671296</v>
      </c>
      <c r="B7867" s="7" t="str">
        <f aca="false">HYPERLINK("https://twitter.com/sifebook","@sifebook")</f>
        <v>@sifebook</v>
      </c>
      <c r="C7867" s="8" t="s">
        <v>17553</v>
      </c>
      <c r="D7867" s="8" t="s">
        <v>14814</v>
      </c>
      <c r="E7867" s="9" t="str">
        <f aca="false">HYPERLINK("https://twitter.com/sifebook/status/922647940430290945","922647940430290945")</f>
        <v>922647940430290945</v>
      </c>
      <c r="F7867" s="10" t="s">
        <v>98</v>
      </c>
      <c r="G7867" s="10" t="n">
        <v>333</v>
      </c>
      <c r="H7867" s="10" t="n">
        <v>4072</v>
      </c>
      <c r="I7867" s="10" t="n">
        <v>12</v>
      </c>
      <c r="J7867" s="10" t="n">
        <v>0</v>
      </c>
      <c r="K7867" s="10" t="s">
        <v>20</v>
      </c>
      <c r="L7867" s="11" t="n">
        <v>40972.0596064815</v>
      </c>
      <c r="M7867" s="12"/>
      <c r="N7867" s="12" t="s">
        <v>17554</v>
      </c>
      <c r="O7867" s="9" t="str">
        <f aca="false">HYPERLINK("https://pbs.twimg.com/profile_images/876637972338282496/4VeEbffL_normal.jpg","View")</f>
        <v>View</v>
      </c>
      <c r="P7867" s="10"/>
    </row>
    <row r="7868" customFormat="false" ht="15.75" hidden="false" customHeight="false" outlineLevel="0" collapsed="false">
      <c r="A7868" s="6" t="n">
        <v>43031.8046412037</v>
      </c>
      <c r="B7868" s="7" t="str">
        <f aca="false">HYPERLINK("https://twitter.com/venkatTOI","@venkatTOI")</f>
        <v>@venkatTOI</v>
      </c>
      <c r="C7868" s="8" t="s">
        <v>17555</v>
      </c>
      <c r="D7868" s="8" t="s">
        <v>8538</v>
      </c>
      <c r="E7868" s="9" t="str">
        <f aca="false">HYPERLINK("https://twitter.com/venkatTOI/status/922648508863152128","922648508863152128")</f>
        <v>922648508863152128</v>
      </c>
      <c r="F7868" s="10" t="s">
        <v>25</v>
      </c>
      <c r="G7868" s="10" t="n">
        <v>102</v>
      </c>
      <c r="H7868" s="10" t="n">
        <v>34</v>
      </c>
      <c r="I7868" s="10" t="n">
        <v>1015</v>
      </c>
      <c r="J7868" s="10" t="n">
        <v>0</v>
      </c>
      <c r="K7868" s="10" t="s">
        <v>20</v>
      </c>
      <c r="L7868" s="11" t="n">
        <v>42269.3121643519</v>
      </c>
      <c r="M7868" s="12"/>
      <c r="N7868" s="12" t="s">
        <v>17556</v>
      </c>
      <c r="O7868" s="9" t="str">
        <f aca="false">HYPERLINK("https://pbs.twimg.com/profile_images/646345429538344962/mFK87Pow_normal.jpg","View")</f>
        <v>View</v>
      </c>
      <c r="P7868" s="10"/>
    </row>
    <row r="7869" customFormat="false" ht="15.75" hidden="false" customHeight="false" outlineLevel="0" collapsed="false">
      <c r="A7869" s="6" t="n">
        <v>43031.8048148148</v>
      </c>
      <c r="B7869" s="7" t="str">
        <f aca="false">HYPERLINK("https://twitter.com/hundericocco","@hundericocco")</f>
        <v>@hundericocco</v>
      </c>
      <c r="C7869" s="14" t="s">
        <v>7268</v>
      </c>
      <c r="D7869" s="8" t="s">
        <v>16929</v>
      </c>
      <c r="E7869" s="9" t="str">
        <f aca="false">HYPERLINK("https://twitter.com/hundericocco/status/922648573002387456","922648573002387456")</f>
        <v>922648573002387456</v>
      </c>
      <c r="F7869" s="10" t="s">
        <v>51</v>
      </c>
      <c r="G7869" s="10" t="n">
        <v>6536</v>
      </c>
      <c r="H7869" s="10" t="n">
        <v>6845</v>
      </c>
      <c r="I7869" s="10" t="n">
        <v>247</v>
      </c>
      <c r="J7869" s="10" t="n">
        <v>0</v>
      </c>
      <c r="K7869" s="10" t="s">
        <v>20</v>
      </c>
      <c r="L7869" s="11" t="n">
        <v>41151.4322106482</v>
      </c>
      <c r="M7869" s="12"/>
      <c r="N7869" s="12" t="s">
        <v>7269</v>
      </c>
      <c r="O7869" s="9" t="str">
        <f aca="false">HYPERLINK("https://pbs.twimg.com/profile_images/611939205090906112/ssdbyUu4_normal.jpg","View")</f>
        <v>View</v>
      </c>
      <c r="P7869" s="10"/>
    </row>
    <row r="7870" customFormat="false" ht="15.75" hidden="false" customHeight="false" outlineLevel="0" collapsed="false">
      <c r="A7870" s="6" t="n">
        <v>43031.8059722222</v>
      </c>
      <c r="B7870" s="7" t="str">
        <f aca="false">HYPERLINK("https://twitter.com/c1ara11","@c1ara11")</f>
        <v>@c1ara11</v>
      </c>
      <c r="C7870" s="8" t="s">
        <v>17557</v>
      </c>
      <c r="D7870" s="8" t="s">
        <v>17558</v>
      </c>
      <c r="E7870" s="9" t="str">
        <f aca="false">HYPERLINK("https://twitter.com/c1ara11/status/922648994198691840","922648994198691840")</f>
        <v>922648994198691840</v>
      </c>
      <c r="F7870" s="10" t="s">
        <v>39</v>
      </c>
      <c r="G7870" s="10" t="n">
        <v>76</v>
      </c>
      <c r="H7870" s="10" t="n">
        <v>3</v>
      </c>
      <c r="I7870" s="10" t="n">
        <v>0</v>
      </c>
      <c r="J7870" s="10" t="n">
        <v>0</v>
      </c>
      <c r="K7870" s="10" t="s">
        <v>20</v>
      </c>
      <c r="L7870" s="11" t="n">
        <v>42722.1677083333</v>
      </c>
      <c r="M7870" s="12" t="s">
        <v>17559</v>
      </c>
      <c r="N7870" s="12" t="s">
        <v>17560</v>
      </c>
      <c r="O7870" s="9" t="str">
        <f aca="false">HYPERLINK("https://pbs.twimg.com/profile_images/847889695124054017/00cra3ep_normal.jpg","View")</f>
        <v>View</v>
      </c>
      <c r="P7870" s="10"/>
    </row>
    <row r="7871" customFormat="false" ht="15.75" hidden="false" customHeight="false" outlineLevel="0" collapsed="false">
      <c r="A7871" s="6" t="n">
        <v>43031.8071064815</v>
      </c>
      <c r="B7871" s="7" t="str">
        <f aca="false">HYPERLINK("https://twitter.com/vrai777","@vrai777")</f>
        <v>@vrai777</v>
      </c>
      <c r="C7871" s="8" t="s">
        <v>335</v>
      </c>
      <c r="D7871" s="8" t="s">
        <v>17561</v>
      </c>
      <c r="E7871" s="9" t="str">
        <f aca="false">HYPERLINK("https://twitter.com/vrai777/status/922649405706113024","922649405706113024")</f>
        <v>922649405706113024</v>
      </c>
      <c r="F7871" s="10" t="s">
        <v>60</v>
      </c>
      <c r="G7871" s="10" t="n">
        <v>7959</v>
      </c>
      <c r="H7871" s="10" t="n">
        <v>71</v>
      </c>
      <c r="I7871" s="10" t="n">
        <v>0</v>
      </c>
      <c r="J7871" s="10" t="n">
        <v>0</v>
      </c>
      <c r="K7871" s="10" t="s">
        <v>20</v>
      </c>
      <c r="L7871" s="11" t="n">
        <v>39878.7593287037</v>
      </c>
      <c r="M7871" s="12" t="s">
        <v>295</v>
      </c>
      <c r="N7871" s="12" t="s">
        <v>337</v>
      </c>
      <c r="O7871" s="9" t="str">
        <f aca="false">HYPERLINK("https://pbs.twimg.com/profile_images/688775800284266496/qhWTo08H_normal.png","View")</f>
        <v>View</v>
      </c>
      <c r="P7871" s="10"/>
    </row>
    <row r="7872" customFormat="false" ht="15.75" hidden="false" customHeight="false" outlineLevel="0" collapsed="false">
      <c r="A7872" s="6" t="n">
        <v>43031.8145138889</v>
      </c>
      <c r="B7872" s="7" t="str">
        <f aca="false">HYPERLINK("https://twitter.com/RMHSContempHist","@RMHSContempHist")</f>
        <v>@RMHSContempHist</v>
      </c>
      <c r="C7872" s="8" t="s">
        <v>17562</v>
      </c>
      <c r="D7872" s="8" t="s">
        <v>17563</v>
      </c>
      <c r="E7872" s="9" t="str">
        <f aca="false">HYPERLINK("https://twitter.com/RMHSContempHist/status/922652089234415616","922652089234415616")</f>
        <v>922652089234415616</v>
      </c>
      <c r="F7872" s="10" t="s">
        <v>39</v>
      </c>
      <c r="G7872" s="10" t="n">
        <v>90</v>
      </c>
      <c r="H7872" s="10" t="n">
        <v>41</v>
      </c>
      <c r="I7872" s="10" t="n">
        <v>0</v>
      </c>
      <c r="J7872" s="10" t="n">
        <v>0</v>
      </c>
      <c r="K7872" s="10" t="s">
        <v>20</v>
      </c>
      <c r="L7872" s="11" t="n">
        <v>41502.4862037037</v>
      </c>
      <c r="M7872" s="12" t="s">
        <v>17564</v>
      </c>
      <c r="N7872" s="12" t="s">
        <v>17565</v>
      </c>
      <c r="O7872" s="9" t="str">
        <f aca="false">HYPERLINK("https://pbs.twimg.com/profile_images/378800000377540833/b548bfa67f0c0202cdf2a467165890b7_normal.jpeg","View")</f>
        <v>View</v>
      </c>
      <c r="P7872" s="10"/>
    </row>
    <row r="7873" customFormat="false" ht="15.75" hidden="false" customHeight="false" outlineLevel="0" collapsed="false">
      <c r="A7873" s="6" t="n">
        <v>43031.8195023148</v>
      </c>
      <c r="B7873" s="7" t="str">
        <f aca="false">HYPERLINK("https://twitter.com/Newsweek","@Newsweek")</f>
        <v>@Newsweek</v>
      </c>
      <c r="C7873" s="8" t="s">
        <v>1895</v>
      </c>
      <c r="D7873" s="8" t="s">
        <v>17566</v>
      </c>
      <c r="E7873" s="9" t="str">
        <f aca="false">HYPERLINK("https://twitter.com/Newsweek/status/922653893917593600","922653893917593600")</f>
        <v>922653893917593600</v>
      </c>
      <c r="F7873" s="10" t="s">
        <v>268</v>
      </c>
      <c r="G7873" s="10" t="n">
        <v>3374203</v>
      </c>
      <c r="H7873" s="10" t="n">
        <v>75</v>
      </c>
      <c r="I7873" s="10" t="n">
        <v>28</v>
      </c>
      <c r="J7873" s="10" t="n">
        <v>21</v>
      </c>
      <c r="K7873" s="10" t="s">
        <v>20</v>
      </c>
      <c r="L7873" s="11" t="n">
        <v>39170.5355439815</v>
      </c>
      <c r="M7873" s="12" t="s">
        <v>491</v>
      </c>
      <c r="N7873" s="12" t="s">
        <v>1897</v>
      </c>
      <c r="O7873" s="9" t="str">
        <f aca="false">HYPERLINK("https://pbs.twimg.com/profile_images/741603495929905152/di0NxkFa_normal.jpg","View")</f>
        <v>View</v>
      </c>
      <c r="P7873" s="10"/>
    </row>
    <row r="7874" customFormat="false" ht="15.75" hidden="false" customHeight="false" outlineLevel="0" collapsed="false">
      <c r="A7874" s="6" t="n">
        <v>43031.819537037</v>
      </c>
      <c r="B7874" s="7" t="str">
        <f aca="false">HYPERLINK("https://twitter.com/_Indhira_S","@_Indhira_S")</f>
        <v>@_Indhira_S</v>
      </c>
      <c r="C7874" s="8" t="s">
        <v>17567</v>
      </c>
      <c r="D7874" s="8" t="s">
        <v>8538</v>
      </c>
      <c r="E7874" s="9" t="str">
        <f aca="false">HYPERLINK("https://twitter.com/_Indhira_S/status/922653909016911872","922653909016911872")</f>
        <v>922653909016911872</v>
      </c>
      <c r="F7874" s="10" t="s">
        <v>25</v>
      </c>
      <c r="G7874" s="10" t="n">
        <v>189</v>
      </c>
      <c r="H7874" s="10" t="n">
        <v>104</v>
      </c>
      <c r="I7874" s="10" t="n">
        <v>1015</v>
      </c>
      <c r="J7874" s="10" t="n">
        <v>0</v>
      </c>
      <c r="K7874" s="10" t="s">
        <v>20</v>
      </c>
      <c r="L7874" s="11" t="n">
        <v>40683.3489814815</v>
      </c>
      <c r="M7874" s="12" t="s">
        <v>72</v>
      </c>
      <c r="N7874" s="12" t="s">
        <v>17568</v>
      </c>
      <c r="O7874" s="9" t="str">
        <f aca="false">HYPERLINK("https://pbs.twimg.com/profile_images/901714139315298304/91LmRDrD_normal.jpg","View")</f>
        <v>View</v>
      </c>
      <c r="P7874" s="10"/>
    </row>
    <row r="7875" customFormat="false" ht="15.75" hidden="false" customHeight="false" outlineLevel="0" collapsed="false">
      <c r="A7875" s="6" t="n">
        <v>43031.8197453704</v>
      </c>
      <c r="B7875" s="7" t="str">
        <f aca="false">HYPERLINK("https://twitter.com/webjournalismcg","@webjournalismcg")</f>
        <v>@webjournalismcg</v>
      </c>
      <c r="C7875" s="8" t="s">
        <v>89</v>
      </c>
      <c r="D7875" s="8" t="s">
        <v>17569</v>
      </c>
      <c r="E7875" s="9" t="str">
        <f aca="false">HYPERLINK("https://twitter.com/webjournalismcg/status/922653983994294272","922653983994294272")</f>
        <v>922653983994294272</v>
      </c>
      <c r="F7875" s="10" t="s">
        <v>25</v>
      </c>
      <c r="G7875" s="10" t="n">
        <v>70</v>
      </c>
      <c r="H7875" s="10" t="n">
        <v>179</v>
      </c>
      <c r="I7875" s="10" t="n">
        <v>28</v>
      </c>
      <c r="J7875" s="10" t="n">
        <v>0</v>
      </c>
      <c r="K7875" s="10" t="s">
        <v>20</v>
      </c>
      <c r="L7875" s="11" t="n">
        <v>40617.9359953704</v>
      </c>
      <c r="M7875" s="12" t="s">
        <v>90</v>
      </c>
      <c r="N7875" s="12" t="s">
        <v>91</v>
      </c>
      <c r="O7875" s="9" t="str">
        <f aca="false">HYPERLINK("https://pbs.twimg.com/profile_images/915061414925967361/ok_CUb9O_normal.jpg","View")</f>
        <v>View</v>
      </c>
      <c r="P7875" s="10"/>
    </row>
    <row r="7876" customFormat="false" ht="15.75" hidden="false" customHeight="false" outlineLevel="0" collapsed="false">
      <c r="A7876" s="6" t="n">
        <v>43031.8203472222</v>
      </c>
      <c r="B7876" s="7" t="str">
        <f aca="false">HYPERLINK("https://twitter.com/taikisasaki","@taikisasaki")</f>
        <v>@taikisasaki</v>
      </c>
      <c r="C7876" s="14" t="s">
        <v>17570</v>
      </c>
      <c r="D7876" s="8" t="s">
        <v>16413</v>
      </c>
      <c r="E7876" s="9" t="str">
        <f aca="false">HYPERLINK("https://twitter.com/taikisasaki/status/922654199963271168","922654199963271168")</f>
        <v>922654199963271168</v>
      </c>
      <c r="F7876" s="10" t="s">
        <v>177</v>
      </c>
      <c r="G7876" s="10" t="n">
        <v>1386</v>
      </c>
      <c r="H7876" s="10" t="n">
        <v>5001</v>
      </c>
      <c r="I7876" s="10" t="n">
        <v>46</v>
      </c>
      <c r="J7876" s="10" t="n">
        <v>0</v>
      </c>
      <c r="K7876" s="10" t="s">
        <v>20</v>
      </c>
      <c r="L7876" s="11" t="n">
        <v>40608.1469212963</v>
      </c>
      <c r="M7876" s="12" t="s">
        <v>17571</v>
      </c>
      <c r="N7876" s="12" t="s">
        <v>17572</v>
      </c>
      <c r="O7876" s="9" t="str">
        <f aca="false">HYPERLINK("https://pbs.twimg.com/profile_images/849124700110192641/hMoCS5Bi_normal.jpg","View")</f>
        <v>View</v>
      </c>
      <c r="P7876" s="10"/>
    </row>
    <row r="7877" customFormat="false" ht="15.75" hidden="false" customHeight="false" outlineLevel="0" collapsed="false">
      <c r="A7877" s="6" t="n">
        <v>43031.8212037037</v>
      </c>
      <c r="B7877" s="7" t="str">
        <f aca="false">HYPERLINK("https://twitter.com/mdagmara","@mdagmara")</f>
        <v>@mdagmara</v>
      </c>
      <c r="C7877" s="8" t="s">
        <v>17573</v>
      </c>
      <c r="D7877" s="8" t="s">
        <v>17569</v>
      </c>
      <c r="E7877" s="9" t="str">
        <f aca="false">HYPERLINK("https://twitter.com/mdagmara/status/922654513374334977","922654513374334977")</f>
        <v>922654513374334977</v>
      </c>
      <c r="F7877" s="10" t="s">
        <v>51</v>
      </c>
      <c r="G7877" s="10" t="n">
        <v>45</v>
      </c>
      <c r="H7877" s="10" t="n">
        <v>207</v>
      </c>
      <c r="I7877" s="10" t="n">
        <v>28</v>
      </c>
      <c r="J7877" s="10" t="n">
        <v>0</v>
      </c>
      <c r="K7877" s="10" t="s">
        <v>20</v>
      </c>
      <c r="L7877" s="11" t="n">
        <v>40569.9094907407</v>
      </c>
      <c r="M7877" s="12" t="s">
        <v>17574</v>
      </c>
      <c r="N7877" s="12"/>
      <c r="O7877" s="9" t="str">
        <f aca="false">HYPERLINK("https://pbs.twimg.com/profile_images/707761513386414080/aPaxhele_normal.jpg","View")</f>
        <v>View</v>
      </c>
      <c r="P7877" s="10"/>
    </row>
    <row r="7878" customFormat="false" ht="15.75" hidden="false" customHeight="false" outlineLevel="0" collapsed="false">
      <c r="A7878" s="6" t="n">
        <v>43031.8215393519</v>
      </c>
      <c r="B7878" s="7" t="str">
        <f aca="false">HYPERLINK("https://twitter.com/DRmhussain3","@DRmhussain3")</f>
        <v>@DRmhussain3</v>
      </c>
      <c r="C7878" s="8" t="s">
        <v>17575</v>
      </c>
      <c r="D7878" s="8" t="s">
        <v>17569</v>
      </c>
      <c r="E7878" s="9" t="str">
        <f aca="false">HYPERLINK("https://twitter.com/DRmhussain3/status/922654633297838080","922654633297838080")</f>
        <v>922654633297838080</v>
      </c>
      <c r="F7878" s="10" t="s">
        <v>3790</v>
      </c>
      <c r="G7878" s="10" t="n">
        <v>497</v>
      </c>
      <c r="H7878" s="10" t="n">
        <v>820</v>
      </c>
      <c r="I7878" s="10" t="n">
        <v>28</v>
      </c>
      <c r="J7878" s="10" t="n">
        <v>0</v>
      </c>
      <c r="K7878" s="10" t="s">
        <v>20</v>
      </c>
      <c r="L7878" s="11" t="n">
        <v>41830.4228356481</v>
      </c>
      <c r="M7878" s="12" t="s">
        <v>17576</v>
      </c>
      <c r="N7878" s="12" t="s">
        <v>17577</v>
      </c>
      <c r="O7878" s="9" t="str">
        <f aca="false">HYPERLINK("https://pbs.twimg.com/profile_images/574235814151880704/oiclxqI5_normal.jpeg","View")</f>
        <v>View</v>
      </c>
      <c r="P7878" s="10"/>
    </row>
    <row r="7879" customFormat="false" ht="15.75" hidden="false" customHeight="false" outlineLevel="0" collapsed="false">
      <c r="A7879" s="6" t="n">
        <v>43031.8215509259</v>
      </c>
      <c r="B7879" s="7" t="str">
        <f aca="false">HYPERLINK("https://twitter.com/KKagasheki","@KKagasheki")</f>
        <v>@KKagasheki</v>
      </c>
      <c r="C7879" s="8" t="s">
        <v>4359</v>
      </c>
      <c r="D7879" s="8" t="s">
        <v>17569</v>
      </c>
      <c r="E7879" s="9" t="str">
        <f aca="false">HYPERLINK("https://twitter.com/KKagasheki/status/922654638020747267","922654638020747267")</f>
        <v>922654638020747267</v>
      </c>
      <c r="F7879" s="10" t="s">
        <v>25</v>
      </c>
      <c r="G7879" s="10" t="n">
        <v>24115</v>
      </c>
      <c r="H7879" s="10" t="n">
        <v>1366</v>
      </c>
      <c r="I7879" s="10" t="n">
        <v>28</v>
      </c>
      <c r="J7879" s="10" t="n">
        <v>0</v>
      </c>
      <c r="K7879" s="10" t="s">
        <v>20</v>
      </c>
      <c r="L7879" s="11" t="n">
        <v>39903.5177893519</v>
      </c>
      <c r="M7879" s="12" t="s">
        <v>4360</v>
      </c>
      <c r="N7879" s="12" t="s">
        <v>4361</v>
      </c>
      <c r="O7879" s="9" t="str">
        <f aca="false">HYPERLINK("https://pbs.twimg.com/profile_images/851303769669341184/GPBwX6ur_normal.jpg","View")</f>
        <v>View</v>
      </c>
      <c r="P7879" s="10"/>
    </row>
    <row r="7880" customFormat="false" ht="15.75" hidden="false" customHeight="false" outlineLevel="0" collapsed="false">
      <c r="A7880" s="6" t="n">
        <v>43031.8216087963</v>
      </c>
      <c r="B7880" s="7" t="str">
        <f aca="false">HYPERLINK("https://twitter.com/BSAFunds","@BSAFunds")</f>
        <v>@BSAFunds</v>
      </c>
      <c r="C7880" s="8" t="s">
        <v>924</v>
      </c>
      <c r="D7880" s="8" t="s">
        <v>17578</v>
      </c>
      <c r="E7880" s="9" t="str">
        <f aca="false">HYPERLINK("https://twitter.com/BSAFunds/status/922654660246364160","922654660246364160")</f>
        <v>922654660246364160</v>
      </c>
      <c r="F7880" s="10" t="s">
        <v>60</v>
      </c>
      <c r="G7880" s="10" t="n">
        <v>20871</v>
      </c>
      <c r="H7880" s="10" t="n">
        <v>8926</v>
      </c>
      <c r="I7880" s="10" t="n">
        <v>0</v>
      </c>
      <c r="J7880" s="10" t="n">
        <v>0</v>
      </c>
      <c r="K7880" s="10" t="s">
        <v>20</v>
      </c>
      <c r="L7880" s="11" t="n">
        <v>42601.9481828704</v>
      </c>
      <c r="M7880" s="12" t="s">
        <v>312</v>
      </c>
      <c r="N7880" s="12" t="s">
        <v>926</v>
      </c>
      <c r="O7880" s="9" t="str">
        <f aca="false">HYPERLINK("https://pbs.twimg.com/profile_images/912769166960033792/N4LAmrTs_normal.jpg","View")</f>
        <v>View</v>
      </c>
      <c r="P7880" s="10"/>
    </row>
    <row r="7881" customFormat="false" ht="15.75" hidden="false" customHeight="false" outlineLevel="0" collapsed="false">
      <c r="A7881" s="6" t="n">
        <v>43031.8218287037</v>
      </c>
      <c r="B7881" s="7" t="str">
        <f aca="false">HYPERLINK("https://twitter.com/chambalion18","@chambalion18")</f>
        <v>@chambalion18</v>
      </c>
      <c r="C7881" s="8" t="s">
        <v>1252</v>
      </c>
      <c r="D7881" s="8" t="s">
        <v>17569</v>
      </c>
      <c r="E7881" s="9" t="str">
        <f aca="false">HYPERLINK("https://twitter.com/chambalion18/status/922654739145244672","922654739145244672")</f>
        <v>922654739145244672</v>
      </c>
      <c r="F7881" s="10" t="s">
        <v>25</v>
      </c>
      <c r="G7881" s="10" t="n">
        <v>140</v>
      </c>
      <c r="H7881" s="10" t="n">
        <v>349</v>
      </c>
      <c r="I7881" s="10" t="n">
        <v>28</v>
      </c>
      <c r="J7881" s="10" t="n">
        <v>0</v>
      </c>
      <c r="K7881" s="10" t="s">
        <v>20</v>
      </c>
      <c r="L7881" s="11" t="n">
        <v>41882.5609953704</v>
      </c>
      <c r="M7881" s="12" t="s">
        <v>72</v>
      </c>
      <c r="N7881" s="12"/>
      <c r="O7881" s="9" t="str">
        <f aca="false">HYPERLINK("https://pbs.twimg.com/profile_images/618658190545195008/BrvmMKeA_normal.jpg","View")</f>
        <v>View</v>
      </c>
      <c r="P7881" s="10"/>
    </row>
    <row r="7882" customFormat="false" ht="15.75" hidden="false" customHeight="false" outlineLevel="0" collapsed="false">
      <c r="A7882" s="6" t="n">
        <v>43031.8220486111</v>
      </c>
      <c r="B7882" s="7" t="str">
        <f aca="false">HYPERLINK("https://twitter.com/headwatersesh","@headwatersesh")</f>
        <v>@headwatersesh</v>
      </c>
      <c r="C7882" s="8" t="s">
        <v>1902</v>
      </c>
      <c r="D7882" s="8" t="s">
        <v>17569</v>
      </c>
      <c r="E7882" s="9" t="str">
        <f aca="false">HYPERLINK("https://twitter.com/headwatersesh/status/922654819990487040","922654819990487040")</f>
        <v>922654819990487040</v>
      </c>
      <c r="F7882" s="10" t="s">
        <v>51</v>
      </c>
      <c r="G7882" s="10" t="n">
        <v>1084</v>
      </c>
      <c r="H7882" s="10" t="n">
        <v>4577</v>
      </c>
      <c r="I7882" s="10" t="n">
        <v>28</v>
      </c>
      <c r="J7882" s="10" t="n">
        <v>0</v>
      </c>
      <c r="K7882" s="10" t="s">
        <v>20</v>
      </c>
      <c r="L7882" s="11" t="n">
        <v>42627.8421527778</v>
      </c>
      <c r="M7882" s="12" t="s">
        <v>1903</v>
      </c>
      <c r="N7882" s="12" t="s">
        <v>1904</v>
      </c>
      <c r="O7882" s="9" t="str">
        <f aca="false">HYPERLINK("https://pbs.twimg.com/profile_images/896136006679670788/iYTLld1H_normal.jpg","View")</f>
        <v>View</v>
      </c>
      <c r="P7882" s="10"/>
    </row>
    <row r="7883" customFormat="false" ht="15.75" hidden="false" customHeight="false" outlineLevel="0" collapsed="false">
      <c r="A7883" s="6" t="n">
        <v>43031.8221296296</v>
      </c>
      <c r="B7883" s="7" t="str">
        <f aca="false">HYPERLINK("https://twitter.com/zoominkorea1","@zoominkorea1")</f>
        <v>@zoominkorea1</v>
      </c>
      <c r="C7883" s="8" t="s">
        <v>17579</v>
      </c>
      <c r="D7883" s="8" t="s">
        <v>17580</v>
      </c>
      <c r="E7883" s="9" t="str">
        <f aca="false">HYPERLINK("https://twitter.com/zoominkorea1/status/922654845873590274","922654845873590274")</f>
        <v>922654845873590274</v>
      </c>
      <c r="F7883" s="10" t="s">
        <v>47</v>
      </c>
      <c r="G7883" s="10" t="n">
        <v>79</v>
      </c>
      <c r="H7883" s="10" t="n">
        <v>16</v>
      </c>
      <c r="I7883" s="10" t="n">
        <v>3</v>
      </c>
      <c r="J7883" s="10" t="n">
        <v>2</v>
      </c>
      <c r="K7883" s="10" t="s">
        <v>20</v>
      </c>
      <c r="L7883" s="11" t="n">
        <v>42549.3663888889</v>
      </c>
      <c r="M7883" s="12"/>
      <c r="N7883" s="12"/>
      <c r="O7883" s="9" t="str">
        <f aca="false">HYPERLINK("https://pbs.twimg.com/profile_images/747892443228442625/qLbPPrGG_normal.jpg","View")</f>
        <v>View</v>
      </c>
      <c r="P7883" s="10"/>
    </row>
    <row r="7884" customFormat="false" ht="15.75" hidden="false" customHeight="false" outlineLevel="0" collapsed="false">
      <c r="A7884" s="6" t="n">
        <v>43031.8224074074</v>
      </c>
      <c r="B7884" s="7" t="str">
        <f aca="false">HYPERLINK("https://twitter.com/krunox123","@krunox123")</f>
        <v>@krunox123</v>
      </c>
      <c r="C7884" s="8" t="s">
        <v>1049</v>
      </c>
      <c r="D7884" s="8" t="s">
        <v>17581</v>
      </c>
      <c r="E7884" s="9" t="str">
        <f aca="false">HYPERLINK("https://twitter.com/krunox123/status/922654948575334400","922654948575334400")</f>
        <v>922654948575334400</v>
      </c>
      <c r="F7884" s="10" t="s">
        <v>60</v>
      </c>
      <c r="G7884" s="10" t="n">
        <v>10225</v>
      </c>
      <c r="H7884" s="10" t="n">
        <v>2</v>
      </c>
      <c r="I7884" s="10" t="n">
        <v>0</v>
      </c>
      <c r="J7884" s="10" t="n">
        <v>0</v>
      </c>
      <c r="K7884" s="10" t="s">
        <v>20</v>
      </c>
      <c r="L7884" s="11" t="n">
        <v>40938.2278935185</v>
      </c>
      <c r="M7884" s="12" t="s">
        <v>1051</v>
      </c>
      <c r="N7884" s="12" t="s">
        <v>1052</v>
      </c>
      <c r="O7884" s="9" t="str">
        <f aca="false">HYPERLINK("https://pbs.twimg.com/profile_images/824952382618349568/2SFIkM2x_normal.jpg","View")</f>
        <v>View</v>
      </c>
      <c r="P7884" s="10"/>
    </row>
    <row r="7885" customFormat="false" ht="15.75" hidden="false" customHeight="false" outlineLevel="0" collapsed="false">
      <c r="A7885" s="6" t="n">
        <v>43031.8224884259</v>
      </c>
      <c r="B7885" s="7" t="str">
        <f aca="false">HYPERLINK("https://twitter.com/TFTCS","@TFTCS")</f>
        <v>@TFTCS</v>
      </c>
      <c r="C7885" s="8" t="s">
        <v>338</v>
      </c>
      <c r="D7885" s="8" t="s">
        <v>14920</v>
      </c>
      <c r="E7885" s="9" t="str">
        <f aca="false">HYPERLINK("https://twitter.com/TFTCS/status/922654975993483266","922654975993483266")</f>
        <v>922654975993483266</v>
      </c>
      <c r="F7885" s="10" t="s">
        <v>60</v>
      </c>
      <c r="G7885" s="10" t="n">
        <v>4435</v>
      </c>
      <c r="H7885" s="10" t="n">
        <v>4613</v>
      </c>
      <c r="I7885" s="10" t="n">
        <v>0</v>
      </c>
      <c r="J7885" s="10" t="n">
        <v>0</v>
      </c>
      <c r="K7885" s="10" t="s">
        <v>20</v>
      </c>
      <c r="L7885" s="11" t="n">
        <v>41868.7681018518</v>
      </c>
      <c r="M7885" s="12" t="s">
        <v>340</v>
      </c>
      <c r="N7885" s="12" t="s">
        <v>341</v>
      </c>
      <c r="O7885" s="9" t="str">
        <f aca="false">HYPERLINK("https://pbs.twimg.com/profile_images/736027772800368640/DdLGgNNU_normal.jpg","View")</f>
        <v>View</v>
      </c>
      <c r="P7885" s="10"/>
    </row>
    <row r="7886" customFormat="false" ht="15.75" hidden="false" customHeight="false" outlineLevel="0" collapsed="false">
      <c r="A7886" s="6" t="n">
        <v>43031.8225925926</v>
      </c>
      <c r="B7886" s="7" t="str">
        <f aca="false">HYPERLINK("https://twitter.com/cdmtx65","@cdmtx65")</f>
        <v>@cdmtx65</v>
      </c>
      <c r="C7886" s="8" t="s">
        <v>17582</v>
      </c>
      <c r="D7886" s="8" t="s">
        <v>17569</v>
      </c>
      <c r="E7886" s="9" t="str">
        <f aca="false">HYPERLINK("https://twitter.com/cdmtx65/status/922655015105388545","922655015105388545")</f>
        <v>922655015105388545</v>
      </c>
      <c r="F7886" s="10" t="s">
        <v>39</v>
      </c>
      <c r="G7886" s="10" t="n">
        <v>4883</v>
      </c>
      <c r="H7886" s="10" t="n">
        <v>4724</v>
      </c>
      <c r="I7886" s="10" t="n">
        <v>28</v>
      </c>
      <c r="J7886" s="10" t="n">
        <v>0</v>
      </c>
      <c r="K7886" s="10" t="s">
        <v>20</v>
      </c>
      <c r="L7886" s="11" t="n">
        <v>39922.9364814815</v>
      </c>
      <c r="M7886" s="12" t="s">
        <v>17583</v>
      </c>
      <c r="N7886" s="12" t="s">
        <v>17584</v>
      </c>
      <c r="O7886" s="9" t="str">
        <f aca="false">HYPERLINK("https://pbs.twimg.com/profile_images/887033916481085440/CzA8Qkc8_normal.jpg","View")</f>
        <v>View</v>
      </c>
      <c r="P7886" s="10"/>
    </row>
    <row r="7887" customFormat="false" ht="15.75" hidden="false" customHeight="false" outlineLevel="0" collapsed="false">
      <c r="A7887" s="6" t="n">
        <v>43031.8234375</v>
      </c>
      <c r="B7887" s="7" t="str">
        <f aca="false">HYPERLINK("https://twitter.com/SherryFLRealtor","@SherryFLRealtor")</f>
        <v>@SherryFLRealtor</v>
      </c>
      <c r="C7887" s="8" t="s">
        <v>17585</v>
      </c>
      <c r="D7887" s="8" t="s">
        <v>17569</v>
      </c>
      <c r="E7887" s="9" t="str">
        <f aca="false">HYPERLINK("https://twitter.com/SherryFLRealtor/status/922655320236810246","922655320236810246")</f>
        <v>922655320236810246</v>
      </c>
      <c r="F7887" s="10" t="s">
        <v>51</v>
      </c>
      <c r="G7887" s="10" t="n">
        <v>2246</v>
      </c>
      <c r="H7887" s="10" t="n">
        <v>3582</v>
      </c>
      <c r="I7887" s="10" t="n">
        <v>28</v>
      </c>
      <c r="J7887" s="10" t="n">
        <v>0</v>
      </c>
      <c r="K7887" s="10" t="s">
        <v>20</v>
      </c>
      <c r="L7887" s="11" t="n">
        <v>40542.5513657407</v>
      </c>
      <c r="M7887" s="12" t="s">
        <v>17586</v>
      </c>
      <c r="N7887" s="12" t="s">
        <v>17587</v>
      </c>
      <c r="O7887" s="9" t="str">
        <f aca="false">HYPERLINK("https://pbs.twimg.com/profile_images/669668454505426944/UdLi3uJg_normal.jpg","View")</f>
        <v>View</v>
      </c>
      <c r="P7887" s="10"/>
    </row>
    <row r="7888" customFormat="false" ht="15.75" hidden="false" customHeight="false" outlineLevel="0" collapsed="false">
      <c r="A7888" s="6" t="n">
        <v>43031.82375</v>
      </c>
      <c r="B7888" s="7" t="str">
        <f aca="false">HYPERLINK("https://twitter.com/JosHendriks4","@JosHendriks4")</f>
        <v>@JosHendriks4</v>
      </c>
      <c r="C7888" s="8" t="s">
        <v>17588</v>
      </c>
      <c r="D7888" s="8" t="s">
        <v>17569</v>
      </c>
      <c r="E7888" s="9" t="str">
        <f aca="false">HYPERLINK("https://twitter.com/JosHendriks4/status/922655436477812736","922655436477812736")</f>
        <v>922655436477812736</v>
      </c>
      <c r="F7888" s="10" t="s">
        <v>39</v>
      </c>
      <c r="G7888" s="10" t="n">
        <v>462</v>
      </c>
      <c r="H7888" s="10" t="n">
        <v>2455</v>
      </c>
      <c r="I7888" s="10" t="n">
        <v>28</v>
      </c>
      <c r="J7888" s="10" t="n">
        <v>0</v>
      </c>
      <c r="K7888" s="10" t="s">
        <v>20</v>
      </c>
      <c r="L7888" s="11" t="n">
        <v>41798.0732175926</v>
      </c>
      <c r="M7888" s="12" t="s">
        <v>17589</v>
      </c>
      <c r="N7888" s="12" t="s">
        <v>17590</v>
      </c>
      <c r="O7888" s="9" t="str">
        <f aca="false">HYPERLINK("https://pbs.twimg.com/profile_images/713692783584940033/Jt1SQtMM_normal.jpg","View")</f>
        <v>View</v>
      </c>
      <c r="P7888" s="10"/>
    </row>
    <row r="7889" customFormat="false" ht="15.75" hidden="false" customHeight="false" outlineLevel="0" collapsed="false">
      <c r="A7889" s="6" t="n">
        <v>43031.8246412037</v>
      </c>
      <c r="B7889" s="7" t="str">
        <f aca="false">HYPERLINK("https://twitter.com/marianneflynn15","@marianneflynn15")</f>
        <v>@marianneflynn15</v>
      </c>
      <c r="C7889" s="8" t="s">
        <v>17591</v>
      </c>
      <c r="D7889" s="8" t="s">
        <v>16929</v>
      </c>
      <c r="E7889" s="9" t="str">
        <f aca="false">HYPERLINK("https://twitter.com/marianneflynn15/status/922655758159822848","922655758159822848")</f>
        <v>922655758159822848</v>
      </c>
      <c r="F7889" s="10" t="s">
        <v>98</v>
      </c>
      <c r="G7889" s="10" t="n">
        <v>73</v>
      </c>
      <c r="H7889" s="10" t="n">
        <v>45</v>
      </c>
      <c r="I7889" s="10" t="n">
        <v>247</v>
      </c>
      <c r="J7889" s="10" t="n">
        <v>0</v>
      </c>
      <c r="K7889" s="10" t="s">
        <v>20</v>
      </c>
      <c r="L7889" s="11" t="n">
        <v>42502.4867476852</v>
      </c>
      <c r="M7889" s="12"/>
      <c r="N7889" s="12"/>
      <c r="O7889" s="9" t="str">
        <f aca="false">HYPERLINK("https://abs.twimg.com/sticky/default_profile_images/default_profile_normal.png","View")</f>
        <v>View</v>
      </c>
      <c r="P7889" s="10"/>
    </row>
    <row r="7890" customFormat="false" ht="15.75" hidden="false" customHeight="false" outlineLevel="0" collapsed="false">
      <c r="A7890" s="6" t="n">
        <v>43031.8263541667</v>
      </c>
      <c r="B7890" s="7" t="str">
        <f aca="false">HYPERLINK("https://twitter.com/vapidsighs","@vapidsighs")</f>
        <v>@vapidsighs</v>
      </c>
      <c r="C7890" s="8" t="s">
        <v>17592</v>
      </c>
      <c r="D7890" s="8" t="s">
        <v>17593</v>
      </c>
      <c r="E7890" s="9" t="str">
        <f aca="false">HYPERLINK("https://twitter.com/vapidsighs/status/922656377033707520","922656377033707520")</f>
        <v>922656377033707520</v>
      </c>
      <c r="F7890" s="10" t="s">
        <v>51</v>
      </c>
      <c r="G7890" s="10" t="n">
        <v>100</v>
      </c>
      <c r="H7890" s="10" t="n">
        <v>120</v>
      </c>
      <c r="I7890" s="10" t="n">
        <v>3</v>
      </c>
      <c r="J7890" s="10" t="n">
        <v>0</v>
      </c>
      <c r="K7890" s="10" t="s">
        <v>20</v>
      </c>
      <c r="L7890" s="11" t="n">
        <v>41656.7388310185</v>
      </c>
      <c r="M7890" s="12"/>
      <c r="N7890" s="12" t="s">
        <v>17594</v>
      </c>
      <c r="O7890" s="9" t="str">
        <f aca="false">HYPERLINK("https://pbs.twimg.com/profile_images/901934428942987266/fgtpRp-2_normal.jpg","View")</f>
        <v>View</v>
      </c>
      <c r="P7890" s="10"/>
    </row>
    <row r="7891" customFormat="false" ht="15.75" hidden="false" customHeight="false" outlineLevel="0" collapsed="false">
      <c r="A7891" s="6" t="n">
        <v>43031.8269907407</v>
      </c>
      <c r="B7891" s="7" t="str">
        <f aca="false">HYPERLINK("https://twitter.com/Cunneenmachine","@Cunneenmachine")</f>
        <v>@Cunneenmachine</v>
      </c>
      <c r="C7891" s="8" t="s">
        <v>17595</v>
      </c>
      <c r="D7891" s="8" t="s">
        <v>16929</v>
      </c>
      <c r="E7891" s="9" t="str">
        <f aca="false">HYPERLINK("https://twitter.com/Cunneenmachine/status/922656608110309376","922656608110309376")</f>
        <v>922656608110309376</v>
      </c>
      <c r="F7891" s="10" t="s">
        <v>177</v>
      </c>
      <c r="G7891" s="10" t="n">
        <v>761</v>
      </c>
      <c r="H7891" s="10" t="n">
        <v>1034</v>
      </c>
      <c r="I7891" s="10" t="n">
        <v>247</v>
      </c>
      <c r="J7891" s="10" t="n">
        <v>0</v>
      </c>
      <c r="K7891" s="10" t="s">
        <v>20</v>
      </c>
      <c r="L7891" s="11" t="n">
        <v>39946.4640625</v>
      </c>
      <c r="M7891" s="12" t="s">
        <v>4607</v>
      </c>
      <c r="N7891" s="12" t="s">
        <v>17596</v>
      </c>
      <c r="O7891" s="9" t="str">
        <f aca="false">HYPERLINK("https://pbs.twimg.com/profile_images/917162015893811202/ZYRDIA2e_normal.jpg","View")</f>
        <v>View</v>
      </c>
      <c r="P7891" s="10"/>
    </row>
    <row r="7892" customFormat="false" ht="15.75" hidden="false" customHeight="false" outlineLevel="0" collapsed="false">
      <c r="A7892" s="6" t="n">
        <v>43031.8271064815</v>
      </c>
      <c r="B7892" s="7" t="str">
        <f aca="false">HYPERLINK("https://twitter.com/candy_sexy1","@candy_sexy1")</f>
        <v>@candy_sexy1</v>
      </c>
      <c r="C7892" s="8" t="s">
        <v>5808</v>
      </c>
      <c r="D7892" s="8" t="s">
        <v>17569</v>
      </c>
      <c r="E7892" s="9" t="str">
        <f aca="false">HYPERLINK("https://twitter.com/candy_sexy1/status/922656649936015361","922656649936015361")</f>
        <v>922656649936015361</v>
      </c>
      <c r="F7892" s="10" t="s">
        <v>25</v>
      </c>
      <c r="G7892" s="10" t="n">
        <v>363</v>
      </c>
      <c r="H7892" s="10" t="n">
        <v>724</v>
      </c>
      <c r="I7892" s="10" t="n">
        <v>28</v>
      </c>
      <c r="J7892" s="10" t="n">
        <v>0</v>
      </c>
      <c r="K7892" s="10" t="s">
        <v>20</v>
      </c>
      <c r="L7892" s="11" t="n">
        <v>41961.7222106482</v>
      </c>
      <c r="M7892" s="12" t="s">
        <v>5809</v>
      </c>
      <c r="N7892" s="12" t="s">
        <v>5810</v>
      </c>
      <c r="O7892" s="9" t="str">
        <f aca="false">HYPERLINK("https://pbs.twimg.com/profile_images/921735485319516160/VherD4oV_normal.jpg","View")</f>
        <v>View</v>
      </c>
      <c r="P7892" s="10"/>
    </row>
    <row r="7893" customFormat="false" ht="15.75" hidden="false" customHeight="false" outlineLevel="0" collapsed="false">
      <c r="A7893" s="6" t="n">
        <v>43031.8278240741</v>
      </c>
      <c r="B7893" s="7" t="str">
        <f aca="false">HYPERLINK("https://twitter.com/raghump10","@raghump10")</f>
        <v>@raghump10</v>
      </c>
      <c r="C7893" s="8" t="s">
        <v>17597</v>
      </c>
      <c r="D7893" s="8" t="s">
        <v>8538</v>
      </c>
      <c r="E7893" s="9" t="str">
        <f aca="false">HYPERLINK("https://twitter.com/raghump10/status/922656909945008130","922656909945008130")</f>
        <v>922656909945008130</v>
      </c>
      <c r="F7893" s="10" t="s">
        <v>25</v>
      </c>
      <c r="G7893" s="10" t="n">
        <v>262</v>
      </c>
      <c r="H7893" s="10" t="n">
        <v>182</v>
      </c>
      <c r="I7893" s="10" t="n">
        <v>1015</v>
      </c>
      <c r="J7893" s="10" t="n">
        <v>0</v>
      </c>
      <c r="K7893" s="10" t="s">
        <v>20</v>
      </c>
      <c r="L7893" s="11" t="n">
        <v>41445.0291203704</v>
      </c>
      <c r="M7893" s="12" t="s">
        <v>6635</v>
      </c>
      <c r="N7893" s="12" t="s">
        <v>17598</v>
      </c>
      <c r="O7893" s="9" t="str">
        <f aca="false">HYPERLINK("https://pbs.twimg.com/profile_images/843460638563295236/-22pE7zW_normal.jpg","View")</f>
        <v>View</v>
      </c>
      <c r="P7893" s="10"/>
    </row>
    <row r="7894" customFormat="false" ht="15.75" hidden="false" customHeight="false" outlineLevel="0" collapsed="false">
      <c r="A7894" s="6" t="n">
        <v>43031.8292939815</v>
      </c>
      <c r="B7894" s="7" t="str">
        <f aca="false">HYPERLINK("https://twitter.com/NicoledScott3","@NicoledScott3")</f>
        <v>@NicoledScott3</v>
      </c>
      <c r="C7894" s="8" t="s">
        <v>17599</v>
      </c>
      <c r="D7894" s="8" t="s">
        <v>16929</v>
      </c>
      <c r="E7894" s="9" t="str">
        <f aca="false">HYPERLINK("https://twitter.com/NicoledScott3/status/922657443305451521","922657443305451521")</f>
        <v>922657443305451521</v>
      </c>
      <c r="F7894" s="10" t="s">
        <v>177</v>
      </c>
      <c r="G7894" s="10" t="n">
        <v>12</v>
      </c>
      <c r="H7894" s="10" t="n">
        <v>131</v>
      </c>
      <c r="I7894" s="10" t="n">
        <v>247</v>
      </c>
      <c r="J7894" s="10" t="n">
        <v>0</v>
      </c>
      <c r="K7894" s="10" t="s">
        <v>20</v>
      </c>
      <c r="L7894" s="11" t="n">
        <v>42979.2408333333</v>
      </c>
      <c r="M7894" s="12"/>
      <c r="N7894" s="12"/>
      <c r="O7894" s="9" t="str">
        <f aca="false">HYPERLINK("https://pbs.twimg.com/profile_images/907073327931555840/KM-tx59K_normal.jpg","View")</f>
        <v>View</v>
      </c>
      <c r="P7894" s="10"/>
    </row>
    <row r="7895" customFormat="false" ht="15.75" hidden="false" customHeight="false" outlineLevel="0" collapsed="false">
      <c r="A7895" s="6" t="n">
        <v>43031.8296875</v>
      </c>
      <c r="B7895" s="7" t="str">
        <f aca="false">HYPERLINK("https://twitter.com/jornalistavitor","@jornalistavitor")</f>
        <v>@jornalistavitor</v>
      </c>
      <c r="C7895" s="8" t="s">
        <v>17600</v>
      </c>
      <c r="D7895" s="8" t="s">
        <v>17569</v>
      </c>
      <c r="E7895" s="9" t="str">
        <f aca="false">HYPERLINK("https://twitter.com/jornalistavitor/status/922657587954356224","922657587954356224")</f>
        <v>922657587954356224</v>
      </c>
      <c r="F7895" s="10" t="s">
        <v>39</v>
      </c>
      <c r="G7895" s="10" t="n">
        <v>35102</v>
      </c>
      <c r="H7895" s="10" t="n">
        <v>26664</v>
      </c>
      <c r="I7895" s="10" t="n">
        <v>28</v>
      </c>
      <c r="J7895" s="10" t="n">
        <v>0</v>
      </c>
      <c r="K7895" s="10" t="s">
        <v>20</v>
      </c>
      <c r="L7895" s="11" t="n">
        <v>40220.3957291667</v>
      </c>
      <c r="M7895" s="12" t="s">
        <v>423</v>
      </c>
      <c r="N7895" s="12" t="s">
        <v>17601</v>
      </c>
      <c r="O7895" s="9" t="str">
        <f aca="false">HYPERLINK("https://pbs.twimg.com/profile_images/378800000463633572/8494361443a9361de1017d497c5ee1f2_normal.jpeg","View")</f>
        <v>View</v>
      </c>
      <c r="P7895" s="10"/>
    </row>
    <row r="7896" customFormat="false" ht="15.75" hidden="false" customHeight="false" outlineLevel="0" collapsed="false">
      <c r="A7896" s="6" t="n">
        <v>43031.8297685185</v>
      </c>
      <c r="B7896" s="7" t="str">
        <f aca="false">HYPERLINK("https://twitter.com/LindaLeeKing","@LindaLeeKing")</f>
        <v>@LindaLeeKing</v>
      </c>
      <c r="C7896" s="8" t="s">
        <v>17602</v>
      </c>
      <c r="D7896" s="8" t="s">
        <v>17569</v>
      </c>
      <c r="E7896" s="9" t="str">
        <f aca="false">HYPERLINK("https://twitter.com/LindaLeeKing/status/922657617305944064","922657617305944064")</f>
        <v>922657617305944064</v>
      </c>
      <c r="F7896" s="10" t="s">
        <v>39</v>
      </c>
      <c r="G7896" s="10" t="n">
        <v>35366</v>
      </c>
      <c r="H7896" s="10" t="n">
        <v>20967</v>
      </c>
      <c r="I7896" s="10" t="n">
        <v>28</v>
      </c>
      <c r="J7896" s="10" t="n">
        <v>0</v>
      </c>
      <c r="K7896" s="10" t="s">
        <v>20</v>
      </c>
      <c r="L7896" s="11" t="n">
        <v>40992.8825925926</v>
      </c>
      <c r="M7896" s="12"/>
      <c r="N7896" s="12" t="s">
        <v>17603</v>
      </c>
      <c r="O7896" s="9" t="str">
        <f aca="false">HYPERLINK("https://pbs.twimg.com/profile_images/892193703736918017/WlnPib2b_normal.jpg","View")</f>
        <v>View</v>
      </c>
      <c r="P7896" s="10"/>
    </row>
    <row r="7897" customFormat="false" ht="15.75" hidden="false" customHeight="false" outlineLevel="0" collapsed="false">
      <c r="A7897" s="6" t="n">
        <v>43031.8302777778</v>
      </c>
      <c r="B7897" s="7" t="str">
        <f aca="false">HYPERLINK("https://twitter.com/PMueller2","@PMueller2")</f>
        <v>@PMueller2</v>
      </c>
      <c r="C7897" s="8" t="s">
        <v>17604</v>
      </c>
      <c r="D7897" s="8" t="s">
        <v>17569</v>
      </c>
      <c r="E7897" s="9" t="str">
        <f aca="false">HYPERLINK("https://twitter.com/PMueller2/status/922657800169447424","922657800169447424")</f>
        <v>922657800169447424</v>
      </c>
      <c r="F7897" s="10" t="s">
        <v>25</v>
      </c>
      <c r="G7897" s="10" t="n">
        <v>2179</v>
      </c>
      <c r="H7897" s="10" t="n">
        <v>2914</v>
      </c>
      <c r="I7897" s="10" t="n">
        <v>28</v>
      </c>
      <c r="J7897" s="10" t="n">
        <v>0</v>
      </c>
      <c r="K7897" s="10" t="s">
        <v>20</v>
      </c>
      <c r="L7897" s="11" t="n">
        <v>42775.4488310185</v>
      </c>
      <c r="M7897" s="12" t="s">
        <v>17605</v>
      </c>
      <c r="N7897" s="12" t="s">
        <v>17606</v>
      </c>
      <c r="O7897" s="9" t="str">
        <f aca="false">HYPERLINK("https://pbs.twimg.com/profile_images/919980288922607617/OFrJVH1I_normal.jpg","View")</f>
        <v>View</v>
      </c>
      <c r="P7897" s="10"/>
    </row>
    <row r="7898" customFormat="false" ht="15.75" hidden="false" customHeight="false" outlineLevel="0" collapsed="false">
      <c r="A7898" s="6" t="n">
        <v>43031.830775463</v>
      </c>
      <c r="B7898" s="7" t="str">
        <f aca="false">HYPERLINK("https://twitter.com/fuckabe_bot","@fuckabe_bot")</f>
        <v>@fuckabe_bot</v>
      </c>
      <c r="C7898" s="8" t="s">
        <v>10782</v>
      </c>
      <c r="D7898" s="8" t="s">
        <v>17593</v>
      </c>
      <c r="E7898" s="9" t="str">
        <f aca="false">HYPERLINK("https://twitter.com/fuckabe_bot/status/922657979547004928","922657979547004928")</f>
        <v>922657979547004928</v>
      </c>
      <c r="F7898" s="10" t="s">
        <v>25</v>
      </c>
      <c r="G7898" s="10" t="n">
        <v>43</v>
      </c>
      <c r="H7898" s="10" t="n">
        <v>102</v>
      </c>
      <c r="I7898" s="10" t="n">
        <v>3</v>
      </c>
      <c r="J7898" s="10" t="n">
        <v>0</v>
      </c>
      <c r="K7898" s="10" t="s">
        <v>20</v>
      </c>
      <c r="L7898" s="11" t="n">
        <v>42993.711712963</v>
      </c>
      <c r="M7898" s="12"/>
      <c r="N7898" s="12" t="s">
        <v>10783</v>
      </c>
      <c r="O7898" s="9" t="str">
        <f aca="false">HYPERLINK("https://pbs.twimg.com/profile_images/908974832787767297/LVxVJrXG_normal.jpg","View")</f>
        <v>View</v>
      </c>
      <c r="P7898" s="10"/>
    </row>
    <row r="7899" customFormat="false" ht="15.75" hidden="false" customHeight="false" outlineLevel="0" collapsed="false">
      <c r="A7899" s="6" t="n">
        <v>43031.8313888889</v>
      </c>
      <c r="B7899" s="7" t="str">
        <f aca="false">HYPERLINK("https://twitter.com/Raccoon987","@Raccoon987")</f>
        <v>@Raccoon987</v>
      </c>
      <c r="C7899" s="14" t="s">
        <v>17607</v>
      </c>
      <c r="D7899" s="8" t="s">
        <v>17569</v>
      </c>
      <c r="E7899" s="9" t="str">
        <f aca="false">HYPERLINK("https://twitter.com/Raccoon987/status/922658204202369024","922658204202369024")</f>
        <v>922658204202369024</v>
      </c>
      <c r="F7899" s="10" t="s">
        <v>25</v>
      </c>
      <c r="G7899" s="10" t="n">
        <v>735</v>
      </c>
      <c r="H7899" s="10" t="n">
        <v>1065</v>
      </c>
      <c r="I7899" s="10" t="n">
        <v>28</v>
      </c>
      <c r="J7899" s="10" t="n">
        <v>0</v>
      </c>
      <c r="K7899" s="10" t="s">
        <v>20</v>
      </c>
      <c r="L7899" s="11" t="n">
        <v>41127.597037037</v>
      </c>
      <c r="M7899" s="12" t="s">
        <v>17608</v>
      </c>
      <c r="N7899" s="13" t="s">
        <v>17609</v>
      </c>
      <c r="O7899" s="9" t="str">
        <f aca="false">HYPERLINK("https://pbs.twimg.com/profile_images/920622797797199872/KfOxawoF_normal.jpg","View")</f>
        <v>View</v>
      </c>
      <c r="P7899" s="10"/>
    </row>
    <row r="7900" customFormat="false" ht="15.75" hidden="false" customHeight="false" outlineLevel="0" collapsed="false">
      <c r="A7900" s="6" t="n">
        <v>43031.831412037</v>
      </c>
      <c r="B7900" s="7" t="str">
        <f aca="false">HYPERLINK("https://twitter.com/DogFarley32","@DogFarley32")</f>
        <v>@DogFarley32</v>
      </c>
      <c r="C7900" s="8" t="s">
        <v>2531</v>
      </c>
      <c r="D7900" s="8" t="s">
        <v>17569</v>
      </c>
      <c r="E7900" s="9" t="str">
        <f aca="false">HYPERLINK("https://twitter.com/DogFarley32/status/922658211898957824","922658211898957824")</f>
        <v>922658211898957824</v>
      </c>
      <c r="F7900" s="10" t="s">
        <v>25</v>
      </c>
      <c r="G7900" s="10" t="n">
        <v>297</v>
      </c>
      <c r="H7900" s="10" t="n">
        <v>1962</v>
      </c>
      <c r="I7900" s="10" t="n">
        <v>28</v>
      </c>
      <c r="J7900" s="10" t="n">
        <v>0</v>
      </c>
      <c r="K7900" s="10" t="s">
        <v>20</v>
      </c>
      <c r="L7900" s="11" t="n">
        <v>41733.4151157407</v>
      </c>
      <c r="M7900" s="12" t="s">
        <v>230</v>
      </c>
      <c r="N7900" s="12" t="s">
        <v>2532</v>
      </c>
      <c r="O7900" s="9" t="str">
        <f aca="false">HYPERLINK("https://pbs.twimg.com/profile_images/759020646852546561/xrDOZASQ_normal.jpg","View")</f>
        <v>View</v>
      </c>
      <c r="P7900" s="10"/>
    </row>
    <row r="7901" customFormat="false" ht="15.75" hidden="false" customHeight="false" outlineLevel="0" collapsed="false">
      <c r="A7901" s="6" t="n">
        <v>43031.8318171296</v>
      </c>
      <c r="B7901" s="7" t="str">
        <f aca="false">HYPERLINK("https://twitter.com/StanfordSAPARC","@StanfordSAPARC")</f>
        <v>@StanfordSAPARC</v>
      </c>
      <c r="C7901" s="8" t="s">
        <v>17610</v>
      </c>
      <c r="D7901" s="8" t="s">
        <v>17611</v>
      </c>
      <c r="E7901" s="9" t="str">
        <f aca="false">HYPERLINK("https://twitter.com/StanfordSAPARC/status/922658357680279552","922658357680279552")</f>
        <v>922658357680279552</v>
      </c>
      <c r="F7901" s="10" t="s">
        <v>39</v>
      </c>
      <c r="G7901" s="10" t="n">
        <v>1672</v>
      </c>
      <c r="H7901" s="10" t="n">
        <v>472</v>
      </c>
      <c r="I7901" s="10" t="n">
        <v>9</v>
      </c>
      <c r="J7901" s="10" t="n">
        <v>6</v>
      </c>
      <c r="K7901" s="10" t="s">
        <v>20</v>
      </c>
      <c r="L7901" s="11" t="n">
        <v>40646.7105902778</v>
      </c>
      <c r="M7901" s="12" t="s">
        <v>17612</v>
      </c>
      <c r="N7901" s="12" t="s">
        <v>17613</v>
      </c>
      <c r="O7901" s="9" t="str">
        <f aca="false">HYPERLINK("https://pbs.twimg.com/profile_images/876832615138852864/vQOiTjC7_normal.jpg","View")</f>
        <v>View</v>
      </c>
      <c r="P7901" s="10"/>
    </row>
    <row r="7902" customFormat="false" ht="15.75" hidden="false" customHeight="false" outlineLevel="0" collapsed="false">
      <c r="A7902" s="6" t="n">
        <v>43031.832025463</v>
      </c>
      <c r="B7902" s="7" t="str">
        <f aca="false">HYPERLINK("https://twitter.com/TopFiveTraders","@TopFiveTraders")</f>
        <v>@TopFiveTraders</v>
      </c>
      <c r="C7902" s="8" t="s">
        <v>321</v>
      </c>
      <c r="D7902" s="8" t="s">
        <v>14938</v>
      </c>
      <c r="E7902" s="9" t="str">
        <f aca="false">HYPERLINK("https://twitter.com/TopFiveTraders/status/922658433215680513","922658433215680513")</f>
        <v>922658433215680513</v>
      </c>
      <c r="F7902" s="10" t="s">
        <v>60</v>
      </c>
      <c r="G7902" s="10" t="n">
        <v>8181</v>
      </c>
      <c r="H7902" s="10" t="n">
        <v>6774</v>
      </c>
      <c r="I7902" s="10" t="n">
        <v>0</v>
      </c>
      <c r="J7902" s="10" t="n">
        <v>0</v>
      </c>
      <c r="K7902" s="10" t="s">
        <v>20</v>
      </c>
      <c r="L7902" s="11" t="n">
        <v>41573.4842013889</v>
      </c>
      <c r="M7902" s="12" t="s">
        <v>323</v>
      </c>
      <c r="N7902" s="12" t="s">
        <v>324</v>
      </c>
      <c r="O7902" s="9" t="str">
        <f aca="false">HYPERLINK("https://pbs.twimg.com/profile_images/729113141444026370/hi202Ffp_normal.jpg","View")</f>
        <v>View</v>
      </c>
      <c r="P7902" s="10"/>
    </row>
    <row r="7903" customFormat="false" ht="15.75" hidden="false" customHeight="false" outlineLevel="0" collapsed="false">
      <c r="A7903" s="6" t="n">
        <v>43031.8322800926</v>
      </c>
      <c r="B7903" s="7" t="str">
        <f aca="false">HYPERLINK("https://twitter.com/DCSneider","@DCSneider")</f>
        <v>@DCSneider</v>
      </c>
      <c r="C7903" s="8" t="s">
        <v>1547</v>
      </c>
      <c r="D7903" s="8" t="s">
        <v>17614</v>
      </c>
      <c r="E7903" s="9" t="str">
        <f aca="false">HYPERLINK("https://twitter.com/DCSneider/status/922658524349341696","922658524349341696")</f>
        <v>922658524349341696</v>
      </c>
      <c r="F7903" s="10" t="s">
        <v>276</v>
      </c>
      <c r="G7903" s="10" t="n">
        <v>56</v>
      </c>
      <c r="H7903" s="10" t="n">
        <v>75</v>
      </c>
      <c r="I7903" s="10" t="n">
        <v>9</v>
      </c>
      <c r="J7903" s="10" t="n">
        <v>0</v>
      </c>
      <c r="K7903" s="10" t="s">
        <v>20</v>
      </c>
      <c r="L7903" s="11" t="n">
        <v>41699.607962963</v>
      </c>
      <c r="M7903" s="12"/>
      <c r="N7903" s="12"/>
      <c r="O7903" s="9" t="str">
        <f aca="false">HYPERLINK("https://abs.twimg.com/sticky/default_profile_images/default_profile_normal.png","View")</f>
        <v>View</v>
      </c>
      <c r="P7903" s="10"/>
    </row>
    <row r="7904" customFormat="false" ht="15.75" hidden="false" customHeight="false" outlineLevel="0" collapsed="false">
      <c r="A7904" s="6" t="n">
        <v>43031.8328009259</v>
      </c>
      <c r="B7904" s="7" t="str">
        <f aca="false">HYPERLINK("https://twitter.com/market4justice","@market4justice")</f>
        <v>@market4justice</v>
      </c>
      <c r="C7904" s="8" t="s">
        <v>11426</v>
      </c>
      <c r="D7904" s="8" t="s">
        <v>17615</v>
      </c>
      <c r="E7904" s="9" t="str">
        <f aca="false">HYPERLINK("https://twitter.com/market4justice/status/922658714888359936","922658714888359936")</f>
        <v>922658714888359936</v>
      </c>
      <c r="F7904" s="10" t="s">
        <v>60</v>
      </c>
      <c r="G7904" s="10" t="n">
        <v>435</v>
      </c>
      <c r="H7904" s="10" t="n">
        <v>137</v>
      </c>
      <c r="I7904" s="10" t="n">
        <v>0</v>
      </c>
      <c r="J7904" s="10" t="n">
        <v>0</v>
      </c>
      <c r="K7904" s="10" t="s">
        <v>20</v>
      </c>
      <c r="L7904" s="11" t="n">
        <v>42184.4424421296</v>
      </c>
      <c r="M7904" s="12" t="s">
        <v>21</v>
      </c>
      <c r="N7904" s="12" t="s">
        <v>11428</v>
      </c>
      <c r="O7904" s="9" t="str">
        <f aca="false">HYPERLINK("https://pbs.twimg.com/profile_images/615577051399983104/1B-CM5fS_normal.jpg","View")</f>
        <v>View</v>
      </c>
      <c r="P7904" s="10"/>
    </row>
    <row r="7905" customFormat="false" ht="15.75" hidden="false" customHeight="false" outlineLevel="0" collapsed="false">
      <c r="A7905" s="6" t="n">
        <v>43031.8329166667</v>
      </c>
      <c r="B7905" s="7" t="str">
        <f aca="false">HYPERLINK("https://twitter.com/jessecmccormick","@jessecmccormick")</f>
        <v>@jessecmccormick</v>
      </c>
      <c r="C7905" s="8" t="s">
        <v>17616</v>
      </c>
      <c r="D7905" s="8" t="s">
        <v>15821</v>
      </c>
      <c r="E7905" s="9" t="str">
        <f aca="false">HYPERLINK("https://twitter.com/jessecmccormick/status/922658757431066624","922658757431066624")</f>
        <v>922658757431066624</v>
      </c>
      <c r="F7905" s="10" t="s">
        <v>51</v>
      </c>
      <c r="G7905" s="10" t="n">
        <v>646</v>
      </c>
      <c r="H7905" s="10" t="n">
        <v>1213</v>
      </c>
      <c r="I7905" s="10" t="n">
        <v>41</v>
      </c>
      <c r="J7905" s="10" t="n">
        <v>0</v>
      </c>
      <c r="K7905" s="10" t="s">
        <v>20</v>
      </c>
      <c r="L7905" s="11" t="n">
        <v>42372.2148032407</v>
      </c>
      <c r="M7905" s="12" t="s">
        <v>5028</v>
      </c>
      <c r="N7905" s="12" t="s">
        <v>17617</v>
      </c>
      <c r="O7905" s="9" t="str">
        <f aca="false">HYPERLINK("https://pbs.twimg.com/profile_images/683689396575539200/fglNfvCc_normal.jpg","View")</f>
        <v>View</v>
      </c>
      <c r="P7905" s="10"/>
    </row>
    <row r="7906" customFormat="false" ht="15.75" hidden="false" customHeight="false" outlineLevel="0" collapsed="false">
      <c r="A7906" s="6" t="n">
        <v>43031.8332291667</v>
      </c>
      <c r="B7906" s="7" t="str">
        <f aca="false">HYPERLINK("https://twitter.com/calistada","@calistada")</f>
        <v>@calistada</v>
      </c>
      <c r="C7906" s="8" t="s">
        <v>17618</v>
      </c>
      <c r="D7906" s="8" t="s">
        <v>3514</v>
      </c>
      <c r="E7906" s="9" t="str">
        <f aca="false">HYPERLINK("https://twitter.com/calistada/status/922658869905539072","922658869905539072")</f>
        <v>922658869905539072</v>
      </c>
      <c r="F7906" s="10" t="s">
        <v>39</v>
      </c>
      <c r="G7906" s="10" t="n">
        <v>903</v>
      </c>
      <c r="H7906" s="10" t="n">
        <v>549</v>
      </c>
      <c r="I7906" s="10" t="n">
        <v>19</v>
      </c>
      <c r="J7906" s="10" t="n">
        <v>0</v>
      </c>
      <c r="K7906" s="10" t="s">
        <v>20</v>
      </c>
      <c r="L7906" s="11" t="n">
        <v>40035.2426851852</v>
      </c>
      <c r="M7906" s="12" t="s">
        <v>1371</v>
      </c>
      <c r="N7906" s="12" t="s">
        <v>17619</v>
      </c>
      <c r="O7906" s="9" t="str">
        <f aca="false">HYPERLINK("https://pbs.twimg.com/profile_images/811213860724031488/zvGwPtBJ_normal.jpg","View")</f>
        <v>View</v>
      </c>
      <c r="P7906" s="10"/>
    </row>
    <row r="7907" customFormat="false" ht="15.75" hidden="false" customHeight="false" outlineLevel="0" collapsed="false">
      <c r="A7907" s="6" t="n">
        <v>43031.8337962963</v>
      </c>
      <c r="B7907" s="7" t="str">
        <f aca="false">HYPERLINK("https://twitter.com/NewsyVideos","@NewsyVideos")</f>
        <v>@NewsyVideos</v>
      </c>
      <c r="C7907" s="8" t="s">
        <v>9934</v>
      </c>
      <c r="D7907" s="8" t="s">
        <v>17620</v>
      </c>
      <c r="E7907" s="9" t="str">
        <f aca="false">HYPERLINK("https://twitter.com/NewsyVideos/status/922659076055629824","922659076055629824")</f>
        <v>922659076055629824</v>
      </c>
      <c r="F7907" s="10" t="s">
        <v>1167</v>
      </c>
      <c r="G7907" s="10" t="n">
        <v>64562</v>
      </c>
      <c r="H7907" s="10" t="n">
        <v>1704</v>
      </c>
      <c r="I7907" s="10" t="n">
        <v>2</v>
      </c>
      <c r="J7907" s="10" t="n">
        <v>3</v>
      </c>
      <c r="K7907" s="10" t="s">
        <v>20</v>
      </c>
      <c r="L7907" s="11" t="n">
        <v>39384.5760300926</v>
      </c>
      <c r="M7907" s="12" t="s">
        <v>230</v>
      </c>
      <c r="N7907" s="12" t="s">
        <v>9936</v>
      </c>
      <c r="O7907" s="9" t="str">
        <f aca="false">HYPERLINK("https://pbs.twimg.com/profile_images/875453422425829377/32cnrEL7_normal.jpg","View")</f>
        <v>View</v>
      </c>
      <c r="P7907" s="10"/>
    </row>
    <row r="7908" customFormat="false" ht="15.75" hidden="false" customHeight="false" outlineLevel="0" collapsed="false">
      <c r="A7908" s="6" t="n">
        <v>43031.8346296296</v>
      </c>
      <c r="B7908" s="7" t="str">
        <f aca="false">HYPERLINK("https://twitter.com/abhishekajha297","@abhishekajha297")</f>
        <v>@abhishekajha297</v>
      </c>
      <c r="C7908" s="8" t="s">
        <v>17621</v>
      </c>
      <c r="D7908" s="8" t="s">
        <v>8538</v>
      </c>
      <c r="E7908" s="9" t="str">
        <f aca="false">HYPERLINK("https://twitter.com/abhishekajha297/status/922659378687365120","922659378687365120")</f>
        <v>922659378687365120</v>
      </c>
      <c r="F7908" s="10" t="s">
        <v>25</v>
      </c>
      <c r="G7908" s="10" t="n">
        <v>855</v>
      </c>
      <c r="H7908" s="10" t="n">
        <v>782</v>
      </c>
      <c r="I7908" s="10" t="n">
        <v>1015</v>
      </c>
      <c r="J7908" s="10" t="n">
        <v>0</v>
      </c>
      <c r="K7908" s="10" t="s">
        <v>20</v>
      </c>
      <c r="L7908" s="11" t="n">
        <v>42198.9485185185</v>
      </c>
      <c r="M7908" s="12"/>
      <c r="N7908" s="12" t="s">
        <v>17622</v>
      </c>
      <c r="O7908" s="9" t="str">
        <f aca="false">HYPERLINK("https://pbs.twimg.com/profile_images/894033790149853184/zTtLFX-9_normal.jpg","View")</f>
        <v>View</v>
      </c>
      <c r="P7908" s="10"/>
    </row>
    <row r="7909" customFormat="false" ht="15.75" hidden="false" customHeight="false" outlineLevel="0" collapsed="false">
      <c r="A7909" s="6" t="n">
        <v>43031.8350347222</v>
      </c>
      <c r="B7909" s="7" t="str">
        <f aca="false">HYPERLINK("https://twitter.com/CNBCTradersFan","@CNBCTradersFan")</f>
        <v>@CNBCTradersFan</v>
      </c>
      <c r="C7909" s="8" t="s">
        <v>325</v>
      </c>
      <c r="D7909" s="8" t="s">
        <v>17623</v>
      </c>
      <c r="E7909" s="9" t="str">
        <f aca="false">HYPERLINK("https://twitter.com/CNBCTradersFan/status/922659524716191745","922659524716191745")</f>
        <v>922659524716191745</v>
      </c>
      <c r="F7909" s="10" t="s">
        <v>60</v>
      </c>
      <c r="G7909" s="10" t="n">
        <v>17155</v>
      </c>
      <c r="H7909" s="10" t="n">
        <v>11641</v>
      </c>
      <c r="I7909" s="10" t="n">
        <v>0</v>
      </c>
      <c r="J7909" s="10" t="n">
        <v>0</v>
      </c>
      <c r="K7909" s="10" t="s">
        <v>20</v>
      </c>
      <c r="L7909" s="11" t="n">
        <v>40922.5054282407</v>
      </c>
      <c r="M7909" s="12" t="s">
        <v>327</v>
      </c>
      <c r="N7909" s="12" t="s">
        <v>328</v>
      </c>
      <c r="O7909" s="9" t="str">
        <f aca="false">HYPERLINK("https://pbs.twimg.com/profile_images/731870469318684672/Ckf7rDdJ_normal.jpg","View")</f>
        <v>View</v>
      </c>
      <c r="P7909" s="10"/>
    </row>
    <row r="7910" customFormat="false" ht="15.75" hidden="false" customHeight="false" outlineLevel="0" collapsed="false">
      <c r="A7910" s="6" t="n">
        <v>43031.8365740741</v>
      </c>
      <c r="B7910" s="7" t="str">
        <f aca="false">HYPERLINK("https://twitter.com/TheEconomist","@TheEconomist")</f>
        <v>@TheEconomist</v>
      </c>
      <c r="C7910" s="8" t="s">
        <v>16402</v>
      </c>
      <c r="D7910" s="8" t="s">
        <v>17624</v>
      </c>
      <c r="E7910" s="9" t="str">
        <f aca="false">HYPERLINK("https://twitter.com/TheEconomist/status/922660081094877184","922660081094877184")</f>
        <v>922660081094877184</v>
      </c>
      <c r="F7910" s="10" t="s">
        <v>268</v>
      </c>
      <c r="G7910" s="10" t="n">
        <v>22245264</v>
      </c>
      <c r="H7910" s="10" t="n">
        <v>157</v>
      </c>
      <c r="I7910" s="10" t="n">
        <v>51</v>
      </c>
      <c r="J7910" s="10" t="n">
        <v>79</v>
      </c>
      <c r="K7910" s="10" t="s">
        <v>20</v>
      </c>
      <c r="L7910" s="11" t="n">
        <v>39214.2533564815</v>
      </c>
      <c r="M7910" s="12" t="s">
        <v>893</v>
      </c>
      <c r="N7910" s="12" t="s">
        <v>16404</v>
      </c>
      <c r="O7910" s="9" t="str">
        <f aca="false">HYPERLINK("https://pbs.twimg.com/profile_images/879361767914262528/HdRauDM-_normal.jpg","View")</f>
        <v>View</v>
      </c>
      <c r="P7910" s="10"/>
    </row>
    <row r="7911" customFormat="false" ht="15.75" hidden="false" customHeight="false" outlineLevel="0" collapsed="false">
      <c r="A7911" s="6" t="n">
        <v>43031.8369560185</v>
      </c>
      <c r="B7911" s="7" t="str">
        <f aca="false">HYPERLINK("https://twitter.com/nortonjedwards","@nortonjedwards")</f>
        <v>@nortonjedwards</v>
      </c>
      <c r="C7911" s="8" t="s">
        <v>17625</v>
      </c>
      <c r="D7911" s="8" t="s">
        <v>17626</v>
      </c>
      <c r="E7911" s="9" t="str">
        <f aca="false">HYPERLINK("https://twitter.com/nortonjedwards/status/922660219326517249","922660219326517249")</f>
        <v>922660219326517249</v>
      </c>
      <c r="F7911" s="10" t="s">
        <v>51</v>
      </c>
      <c r="G7911" s="10" t="n">
        <v>98</v>
      </c>
      <c r="H7911" s="10" t="n">
        <v>272</v>
      </c>
      <c r="I7911" s="10" t="n">
        <v>51</v>
      </c>
      <c r="J7911" s="10" t="n">
        <v>0</v>
      </c>
      <c r="K7911" s="10" t="s">
        <v>20</v>
      </c>
      <c r="L7911" s="11" t="n">
        <v>40451.7013541667</v>
      </c>
      <c r="M7911" s="12" t="s">
        <v>17627</v>
      </c>
      <c r="N7911" s="12" t="s">
        <v>17628</v>
      </c>
      <c r="O7911" s="9" t="str">
        <f aca="false">HYPERLINK("https://pbs.twimg.com/profile_images/1135082957/Big_Cat_normal.jpg","View")</f>
        <v>View</v>
      </c>
      <c r="P7911" s="10"/>
    </row>
    <row r="7912" customFormat="false" ht="15.75" hidden="false" customHeight="false" outlineLevel="0" collapsed="false">
      <c r="A7912" s="6" t="n">
        <v>43031.8370023148</v>
      </c>
      <c r="B7912" s="7" t="str">
        <f aca="false">HYPERLINK("https://twitter.com/kasworld_usa","@kasworld_usa")</f>
        <v>@kasworld_usa</v>
      </c>
      <c r="C7912" s="8" t="s">
        <v>16427</v>
      </c>
      <c r="D7912" s="8" t="s">
        <v>17629</v>
      </c>
      <c r="E7912" s="9" t="str">
        <f aca="false">HYPERLINK("https://twitter.com/kasworld_usa/status/922660236858724352","922660236858724352")</f>
        <v>922660236858724352</v>
      </c>
      <c r="F7912" s="10" t="s">
        <v>60</v>
      </c>
      <c r="G7912" s="10" t="n">
        <v>5</v>
      </c>
      <c r="H7912" s="10" t="n">
        <v>0</v>
      </c>
      <c r="I7912" s="10" t="n">
        <v>0</v>
      </c>
      <c r="J7912" s="10" t="n">
        <v>0</v>
      </c>
      <c r="K7912" s="10" t="s">
        <v>20</v>
      </c>
      <c r="L7912" s="11" t="n">
        <v>43001.218599537</v>
      </c>
      <c r="M7912" s="12" t="s">
        <v>16429</v>
      </c>
      <c r="N7912" s="12" t="s">
        <v>16430</v>
      </c>
      <c r="O7912" s="9" t="str">
        <f aca="false">HYPERLINK("https://pbs.twimg.com/profile_images/921365590719074305/DkuJU8qU_normal.jpg","View")</f>
        <v>View</v>
      </c>
      <c r="P7912" s="10"/>
    </row>
    <row r="7913" customFormat="false" ht="15.75" hidden="false" customHeight="false" outlineLevel="0" collapsed="false">
      <c r="A7913" s="6" t="n">
        <v>43031.8370717593</v>
      </c>
      <c r="B7913" s="7" t="str">
        <f aca="false">HYPERLINK("https://twitter.com/gigabytemag","@gigabytemag")</f>
        <v>@gigabytemag</v>
      </c>
      <c r="C7913" s="8" t="s">
        <v>17630</v>
      </c>
      <c r="D7913" s="8" t="s">
        <v>17626</v>
      </c>
      <c r="E7913" s="9" t="str">
        <f aca="false">HYPERLINK("https://twitter.com/gigabytemag/status/922660263005913089","922660263005913089")</f>
        <v>922660263005913089</v>
      </c>
      <c r="F7913" s="10" t="s">
        <v>25</v>
      </c>
      <c r="G7913" s="10" t="n">
        <v>3353</v>
      </c>
      <c r="H7913" s="10" t="n">
        <v>4201</v>
      </c>
      <c r="I7913" s="10" t="n">
        <v>51</v>
      </c>
      <c r="J7913" s="10" t="n">
        <v>0</v>
      </c>
      <c r="K7913" s="10" t="s">
        <v>20</v>
      </c>
      <c r="L7913" s="11" t="n">
        <v>41578.0286805556</v>
      </c>
      <c r="M7913" s="12" t="s">
        <v>9313</v>
      </c>
      <c r="N7913" s="12" t="s">
        <v>17631</v>
      </c>
      <c r="O7913" s="9" t="str">
        <f aca="false">HYPERLINK("https://pbs.twimg.com/profile_images/824068881853583365/DUVVHtXA_normal.jpg","View")</f>
        <v>View</v>
      </c>
      <c r="P7913" s="10"/>
    </row>
    <row r="7914" customFormat="false" ht="15.75" hidden="false" customHeight="false" outlineLevel="0" collapsed="false">
      <c r="A7914" s="6" t="n">
        <v>43031.8371064815</v>
      </c>
      <c r="B7914" s="7" t="str">
        <f aca="false">HYPERLINK("https://twitter.com/gingin21","@gingin21")</f>
        <v>@gingin21</v>
      </c>
      <c r="C7914" s="8" t="s">
        <v>544</v>
      </c>
      <c r="D7914" s="8" t="s">
        <v>17626</v>
      </c>
      <c r="E7914" s="9" t="str">
        <f aca="false">HYPERLINK("https://twitter.com/gingin21/status/922660276943642626","922660276943642626")</f>
        <v>922660276943642626</v>
      </c>
      <c r="F7914" s="10" t="s">
        <v>177</v>
      </c>
      <c r="G7914" s="10" t="n">
        <v>132</v>
      </c>
      <c r="H7914" s="10" t="n">
        <v>231</v>
      </c>
      <c r="I7914" s="10" t="n">
        <v>51</v>
      </c>
      <c r="J7914" s="10" t="n">
        <v>0</v>
      </c>
      <c r="K7914" s="10" t="s">
        <v>20</v>
      </c>
      <c r="L7914" s="11" t="n">
        <v>39954.2421412037</v>
      </c>
      <c r="M7914" s="12" t="s">
        <v>545</v>
      </c>
      <c r="N7914" s="12"/>
      <c r="O7914" s="9" t="str">
        <f aca="false">HYPERLINK("https://pbs.twimg.com/profile_images/437291413382782976/ABfEwWD1_normal.jpeg","View")</f>
        <v>View</v>
      </c>
      <c r="P7914" s="10"/>
    </row>
    <row r="7915" customFormat="false" ht="15.75" hidden="false" customHeight="false" outlineLevel="0" collapsed="false">
      <c r="A7915" s="6" t="n">
        <v>43031.8374305556</v>
      </c>
      <c r="B7915" s="7" t="str">
        <f aca="false">HYPERLINK("https://twitter.com/The_ZOGGS","@The_ZOGGS")</f>
        <v>@The_ZOGGS</v>
      </c>
      <c r="C7915" s="8" t="s">
        <v>17632</v>
      </c>
      <c r="D7915" s="8" t="s">
        <v>17626</v>
      </c>
      <c r="E7915" s="9" t="str">
        <f aca="false">HYPERLINK("https://twitter.com/The_ZOGGS/status/922660391972425729","922660391972425729")</f>
        <v>922660391972425729</v>
      </c>
      <c r="F7915" s="10" t="s">
        <v>51</v>
      </c>
      <c r="G7915" s="10" t="n">
        <v>271</v>
      </c>
      <c r="H7915" s="10" t="n">
        <v>595</v>
      </c>
      <c r="I7915" s="10" t="n">
        <v>51</v>
      </c>
      <c r="J7915" s="10" t="n">
        <v>0</v>
      </c>
      <c r="K7915" s="10" t="s">
        <v>20</v>
      </c>
      <c r="L7915" s="11" t="n">
        <v>40933.6215740741</v>
      </c>
      <c r="M7915" s="12" t="s">
        <v>17633</v>
      </c>
      <c r="N7915" s="12" t="s">
        <v>17634</v>
      </c>
      <c r="O7915" s="9" t="str">
        <f aca="false">HYPERLINK("https://pbs.twimg.com/profile_images/907507364340883456/0SF0DO00_normal.jpg","View")</f>
        <v>View</v>
      </c>
      <c r="P7915" s="10"/>
    </row>
    <row r="7916" customFormat="false" ht="15.75" hidden="false" customHeight="false" outlineLevel="0" collapsed="false">
      <c r="A7916" s="6" t="n">
        <v>43031.8376273148</v>
      </c>
      <c r="B7916" s="7" t="str">
        <f aca="false">HYPERLINK("https://twitter.com/reneeorefice","@reneeorefice")</f>
        <v>@reneeorefice</v>
      </c>
      <c r="C7916" s="8" t="s">
        <v>17635</v>
      </c>
      <c r="D7916" s="8" t="s">
        <v>17626</v>
      </c>
      <c r="E7916" s="9" t="str">
        <f aca="false">HYPERLINK("https://twitter.com/reneeorefice/status/922660465951457281","922660465951457281")</f>
        <v>922660465951457281</v>
      </c>
      <c r="F7916" s="10" t="s">
        <v>25</v>
      </c>
      <c r="G7916" s="10" t="n">
        <v>254</v>
      </c>
      <c r="H7916" s="10" t="n">
        <v>1080</v>
      </c>
      <c r="I7916" s="10" t="n">
        <v>51</v>
      </c>
      <c r="J7916" s="10" t="n">
        <v>0</v>
      </c>
      <c r="K7916" s="10" t="s">
        <v>20</v>
      </c>
      <c r="L7916" s="11" t="n">
        <v>41556.9475347222</v>
      </c>
      <c r="M7916" s="12"/>
      <c r="N7916" s="12" t="s">
        <v>17636</v>
      </c>
      <c r="O7916" s="9" t="str">
        <f aca="false">HYPERLINK("https://pbs.twimg.com/profile_images/378800000574464752/55f8a91d8ec2009154403b4e2d50bb7a_normal.jpeg","View")</f>
        <v>View</v>
      </c>
      <c r="P7916" s="10"/>
    </row>
    <row r="7917" customFormat="false" ht="15.75" hidden="false" customHeight="false" outlineLevel="0" collapsed="false">
      <c r="A7917" s="6" t="n">
        <v>43031.8376851852</v>
      </c>
      <c r="B7917" s="7" t="str">
        <f aca="false">HYPERLINK("https://twitter.com/BonfaceNyangla","@BonfaceNyangla")</f>
        <v>@BonfaceNyangla</v>
      </c>
      <c r="C7917" s="8" t="s">
        <v>17637</v>
      </c>
      <c r="D7917" s="8" t="s">
        <v>17638</v>
      </c>
      <c r="E7917" s="9" t="str">
        <f aca="false">HYPERLINK("https://twitter.com/BonfaceNyangla/status/922660485975232512","922660485975232512")</f>
        <v>922660485975232512</v>
      </c>
      <c r="F7917" s="10" t="s">
        <v>25</v>
      </c>
      <c r="G7917" s="10" t="n">
        <v>846</v>
      </c>
      <c r="H7917" s="10" t="n">
        <v>303</v>
      </c>
      <c r="I7917" s="10" t="n">
        <v>0</v>
      </c>
      <c r="J7917" s="10" t="n">
        <v>0</v>
      </c>
      <c r="K7917" s="10" t="s">
        <v>20</v>
      </c>
      <c r="L7917" s="11" t="n">
        <v>41528.4086458333</v>
      </c>
      <c r="M7917" s="12" t="s">
        <v>10738</v>
      </c>
      <c r="N7917" s="12" t="s">
        <v>17639</v>
      </c>
      <c r="O7917" s="9" t="str">
        <f aca="false">HYPERLINK("https://pbs.twimg.com/profile_images/887328991106879488/RHjzSFlq_normal.jpg","View")</f>
        <v>View</v>
      </c>
      <c r="P7917" s="10"/>
    </row>
    <row r="7918" customFormat="false" ht="15.75" hidden="false" customHeight="false" outlineLevel="0" collapsed="false">
      <c r="A7918" s="6" t="n">
        <v>43031.837974537</v>
      </c>
      <c r="B7918" s="7" t="str">
        <f aca="false">HYPERLINK("https://twitter.com/s_escamillac","@s_escamillac")</f>
        <v>@s_escamillac</v>
      </c>
      <c r="C7918" s="8" t="s">
        <v>17640</v>
      </c>
      <c r="D7918" s="8" t="s">
        <v>17626</v>
      </c>
      <c r="E7918" s="9" t="str">
        <f aca="false">HYPERLINK("https://twitter.com/s_escamillac/status/922660588190404615","922660588190404615")</f>
        <v>922660588190404615</v>
      </c>
      <c r="F7918" s="10" t="s">
        <v>51</v>
      </c>
      <c r="G7918" s="10" t="n">
        <v>260</v>
      </c>
      <c r="H7918" s="10" t="n">
        <v>1049</v>
      </c>
      <c r="I7918" s="10" t="n">
        <v>51</v>
      </c>
      <c r="J7918" s="10" t="n">
        <v>0</v>
      </c>
      <c r="K7918" s="10" t="s">
        <v>20</v>
      </c>
      <c r="L7918" s="11" t="n">
        <v>40931.8269791667</v>
      </c>
      <c r="M7918" s="12"/>
      <c r="N7918" s="12"/>
      <c r="O7918" s="9" t="str">
        <f aca="false">HYPERLINK("https://pbs.twimg.com/profile_images/627331356003954688/e6KDfFij_normal.jpg","View")</f>
        <v>View</v>
      </c>
      <c r="P7918" s="10"/>
    </row>
    <row r="7919" customFormat="false" ht="15.75" hidden="false" customHeight="false" outlineLevel="0" collapsed="false">
      <c r="A7919" s="6" t="n">
        <v>43031.8379976852</v>
      </c>
      <c r="B7919" s="7" t="str">
        <f aca="false">HYPERLINK("https://twitter.com/rjimenezu","@rjimenezu")</f>
        <v>@rjimenezu</v>
      </c>
      <c r="C7919" s="8" t="s">
        <v>16440</v>
      </c>
      <c r="D7919" s="8" t="s">
        <v>17641</v>
      </c>
      <c r="E7919" s="9" t="str">
        <f aca="false">HYPERLINK("https://twitter.com/rjimenezu/status/922660600169320449","922660600169320449")</f>
        <v>922660600169320449</v>
      </c>
      <c r="F7919" s="10" t="s">
        <v>60</v>
      </c>
      <c r="G7919" s="10" t="n">
        <v>516</v>
      </c>
      <c r="H7919" s="10" t="n">
        <v>712</v>
      </c>
      <c r="I7919" s="10" t="n">
        <v>0</v>
      </c>
      <c r="J7919" s="10" t="n">
        <v>0</v>
      </c>
      <c r="K7919" s="10" t="s">
        <v>20</v>
      </c>
      <c r="L7919" s="11" t="n">
        <v>40350.5925115741</v>
      </c>
      <c r="M7919" s="12"/>
      <c r="N7919" s="12" t="s">
        <v>16442</v>
      </c>
      <c r="O7919" s="9" t="str">
        <f aca="false">HYPERLINK("https://pbs.twimg.com/profile_images/906645970632417280/gT00Oflk_normal.jpg","View")</f>
        <v>View</v>
      </c>
      <c r="P7919" s="10"/>
    </row>
    <row r="7920" customFormat="false" ht="15.75" hidden="false" customHeight="false" outlineLevel="0" collapsed="false">
      <c r="A7920" s="6" t="n">
        <v>43031.8381134259</v>
      </c>
      <c r="B7920" s="7" t="str">
        <f aca="false">HYPERLINK("https://twitter.com/Kataphraktes","@Kataphraktes")</f>
        <v>@Kataphraktes</v>
      </c>
      <c r="C7920" s="8" t="s">
        <v>17642</v>
      </c>
      <c r="D7920" s="8" t="s">
        <v>15931</v>
      </c>
      <c r="E7920" s="9" t="str">
        <f aca="false">HYPERLINK("https://twitter.com/Kataphraktes/status/922660638849142784","922660638849142784")</f>
        <v>922660638849142784</v>
      </c>
      <c r="F7920" s="10" t="s">
        <v>25</v>
      </c>
      <c r="G7920" s="10" t="n">
        <v>1147</v>
      </c>
      <c r="H7920" s="10" t="n">
        <v>4415</v>
      </c>
      <c r="I7920" s="10" t="n">
        <v>3</v>
      </c>
      <c r="J7920" s="10" t="n">
        <v>0</v>
      </c>
      <c r="K7920" s="10" t="s">
        <v>20</v>
      </c>
      <c r="L7920" s="11" t="n">
        <v>40335.4153356482</v>
      </c>
      <c r="M7920" s="12" t="s">
        <v>17643</v>
      </c>
      <c r="N7920" s="12" t="s">
        <v>17644</v>
      </c>
      <c r="O7920" s="9" t="str">
        <f aca="false">HYPERLINK("https://pbs.twimg.com/profile_images/916107891530256384/RI82-6IF_normal.jpg","View")</f>
        <v>View</v>
      </c>
      <c r="P7920" s="10"/>
    </row>
    <row r="7921" customFormat="false" ht="15.75" hidden="false" customHeight="false" outlineLevel="0" collapsed="false">
      <c r="A7921" s="6" t="n">
        <v>43031.8383796296</v>
      </c>
      <c r="B7921" s="7" t="str">
        <f aca="false">HYPERLINK("https://twitter.com/CoreCenter","@CoreCenter")</f>
        <v>@CoreCenter</v>
      </c>
      <c r="C7921" s="8" t="n">
        <v>1</v>
      </c>
      <c r="D7921" s="8" t="s">
        <v>17626</v>
      </c>
      <c r="E7921" s="9" t="str">
        <f aca="false">HYPERLINK("https://twitter.com/CoreCenter/status/922660736396136448","922660736396136448")</f>
        <v>922660736396136448</v>
      </c>
      <c r="F7921" s="10" t="s">
        <v>39</v>
      </c>
      <c r="G7921" s="10" t="n">
        <v>1001</v>
      </c>
      <c r="H7921" s="10" t="n">
        <v>813</v>
      </c>
      <c r="I7921" s="10" t="n">
        <v>51</v>
      </c>
      <c r="J7921" s="10" t="n">
        <v>0</v>
      </c>
      <c r="K7921" s="10" t="s">
        <v>20</v>
      </c>
      <c r="L7921" s="11" t="n">
        <v>42307.3174884259</v>
      </c>
      <c r="M7921" s="12"/>
      <c r="N7921" s="12" t="s">
        <v>17645</v>
      </c>
      <c r="O7921" s="9" t="str">
        <f aca="false">HYPERLINK("https://pbs.twimg.com/profile_images/923680817573920769/JFsg4nbu_normal.jpg","View")</f>
        <v>View</v>
      </c>
      <c r="P7921" s="10"/>
    </row>
    <row r="7922" customFormat="false" ht="15.75" hidden="false" customHeight="false" outlineLevel="0" collapsed="false">
      <c r="A7922" s="6" t="n">
        <v>43031.8387384259</v>
      </c>
      <c r="B7922" s="7" t="str">
        <f aca="false">HYPERLINK("https://twitter.com/normandin_jay","@normandin_jay")</f>
        <v>@normandin_jay</v>
      </c>
      <c r="C7922" s="8" t="s">
        <v>17646</v>
      </c>
      <c r="D7922" s="8" t="s">
        <v>16929</v>
      </c>
      <c r="E7922" s="9" t="str">
        <f aca="false">HYPERLINK("https://twitter.com/normandin_jay/status/922660866851352576","922660866851352576")</f>
        <v>922660866851352576</v>
      </c>
      <c r="F7922" s="10" t="s">
        <v>98</v>
      </c>
      <c r="G7922" s="10" t="n">
        <v>99</v>
      </c>
      <c r="H7922" s="10" t="n">
        <v>214</v>
      </c>
      <c r="I7922" s="10" t="n">
        <v>247</v>
      </c>
      <c r="J7922" s="10" t="n">
        <v>0</v>
      </c>
      <c r="K7922" s="10" t="s">
        <v>20</v>
      </c>
      <c r="L7922" s="11" t="n">
        <v>42640.8143287037</v>
      </c>
      <c r="M7922" s="12"/>
      <c r="N7922" s="12"/>
      <c r="O7922" s="9" t="str">
        <f aca="false">HYPERLINK("https://abs.twimg.com/sticky/default_profile_images/default_profile_normal.png","View")</f>
        <v>View</v>
      </c>
      <c r="P7922" s="10"/>
    </row>
    <row r="7923" customFormat="false" ht="15.75" hidden="false" customHeight="false" outlineLevel="0" collapsed="false">
      <c r="A7923" s="6" t="n">
        <v>43031.8389930556</v>
      </c>
      <c r="B7923" s="7" t="str">
        <f aca="false">HYPERLINK("https://twitter.com/JamesRoy","@JamesRoy")</f>
        <v>@JamesRoy</v>
      </c>
      <c r="C7923" s="8" t="s">
        <v>16451</v>
      </c>
      <c r="D7923" s="8" t="s">
        <v>17647</v>
      </c>
      <c r="E7923" s="9" t="str">
        <f aca="false">HYPERLINK("https://twitter.com/JamesRoy/status/922660957704413184","922660957704413184")</f>
        <v>922660957704413184</v>
      </c>
      <c r="F7923" s="10" t="s">
        <v>60</v>
      </c>
      <c r="G7923" s="10" t="n">
        <v>14356</v>
      </c>
      <c r="H7923" s="10" t="n">
        <v>13697</v>
      </c>
      <c r="I7923" s="10" t="n">
        <v>0</v>
      </c>
      <c r="J7923" s="10" t="n">
        <v>0</v>
      </c>
      <c r="K7923" s="10" t="s">
        <v>20</v>
      </c>
      <c r="L7923" s="11" t="n">
        <v>39826.2566782407</v>
      </c>
      <c r="M7923" s="12" t="s">
        <v>16453</v>
      </c>
      <c r="N7923" s="12" t="s">
        <v>16454</v>
      </c>
      <c r="O7923" s="9" t="str">
        <f aca="false">HYPERLINK("https://pbs.twimg.com/profile_images/638077492847378432/_B521DK6_normal.jpg","View")</f>
        <v>View</v>
      </c>
      <c r="P7923" s="10"/>
    </row>
    <row r="7924" customFormat="false" ht="15.75" hidden="false" customHeight="false" outlineLevel="0" collapsed="false">
      <c r="A7924" s="6" t="n">
        <v>43031.8391550926</v>
      </c>
      <c r="B7924" s="7" t="str">
        <f aca="false">HYPERLINK("https://twitter.com/xialiang896415","@xialiang896415")</f>
        <v>@xialiang896415</v>
      </c>
      <c r="C7924" s="14" t="s">
        <v>17648</v>
      </c>
      <c r="D7924" s="8" t="s">
        <v>17626</v>
      </c>
      <c r="E7924" s="9" t="str">
        <f aca="false">HYPERLINK("https://twitter.com/xialiang896415/status/922661015677943808","922661015677943808")</f>
        <v>922661015677943808</v>
      </c>
      <c r="F7924" s="10" t="s">
        <v>25</v>
      </c>
      <c r="G7924" s="10" t="n">
        <v>3</v>
      </c>
      <c r="H7924" s="10" t="n">
        <v>110</v>
      </c>
      <c r="I7924" s="10" t="n">
        <v>51</v>
      </c>
      <c r="J7924" s="10" t="n">
        <v>0</v>
      </c>
      <c r="K7924" s="10" t="s">
        <v>20</v>
      </c>
      <c r="L7924" s="11" t="n">
        <v>42991.1712615741</v>
      </c>
      <c r="M7924" s="12" t="s">
        <v>17649</v>
      </c>
      <c r="N7924" s="13" t="s">
        <v>17650</v>
      </c>
      <c r="O7924" s="9" t="str">
        <f aca="false">HYPERLINK("https://pbs.twimg.com/profile_images/907952944410107904/LLV6osws_normal.jpg","View")</f>
        <v>View</v>
      </c>
      <c r="P7924" s="10"/>
    </row>
    <row r="7925" customFormat="false" ht="15.75" hidden="false" customHeight="false" outlineLevel="0" collapsed="false">
      <c r="A7925" s="6" t="n">
        <v>43031.8394328704</v>
      </c>
      <c r="B7925" s="7" t="str">
        <f aca="false">HYPERLINK("https://twitter.com/kassembanda","@kassembanda")</f>
        <v>@kassembanda</v>
      </c>
      <c r="C7925" s="8" t="s">
        <v>17651</v>
      </c>
      <c r="D7925" s="8" t="s">
        <v>17626</v>
      </c>
      <c r="E7925" s="9" t="str">
        <f aca="false">HYPERLINK("https://twitter.com/kassembanda/status/922661116915994627","922661116915994627")</f>
        <v>922661116915994627</v>
      </c>
      <c r="F7925" s="10" t="s">
        <v>98</v>
      </c>
      <c r="G7925" s="10" t="n">
        <v>376</v>
      </c>
      <c r="H7925" s="10" t="n">
        <v>580</v>
      </c>
      <c r="I7925" s="10" t="n">
        <v>51</v>
      </c>
      <c r="J7925" s="10" t="n">
        <v>0</v>
      </c>
      <c r="K7925" s="10" t="s">
        <v>20</v>
      </c>
      <c r="L7925" s="11" t="n">
        <v>42323.8680671296</v>
      </c>
      <c r="M7925" s="12" t="s">
        <v>17652</v>
      </c>
      <c r="N7925" s="12" t="s">
        <v>17653</v>
      </c>
      <c r="O7925" s="9" t="str">
        <f aca="false">HYPERLINK("https://pbs.twimg.com/profile_images/883765260573970436/guV_zoC-_normal.jpg","View")</f>
        <v>View</v>
      </c>
      <c r="P7925" s="10"/>
    </row>
    <row r="7926" customFormat="false" ht="15.75" hidden="false" customHeight="false" outlineLevel="0" collapsed="false">
      <c r="A7926" s="6" t="n">
        <v>43031.8394907407</v>
      </c>
      <c r="B7926" s="7" t="str">
        <f aca="false">HYPERLINK("https://twitter.com/chicago2503","@chicago2503")</f>
        <v>@chicago2503</v>
      </c>
      <c r="C7926" s="8" t="s">
        <v>17654</v>
      </c>
      <c r="D7926" s="8" t="s">
        <v>17626</v>
      </c>
      <c r="E7926" s="9" t="str">
        <f aca="false">HYPERLINK("https://twitter.com/chicago2503/status/922661140483715077","922661140483715077")</f>
        <v>922661140483715077</v>
      </c>
      <c r="F7926" s="10" t="s">
        <v>51</v>
      </c>
      <c r="G7926" s="10" t="n">
        <v>769</v>
      </c>
      <c r="H7926" s="10" t="n">
        <v>2250</v>
      </c>
      <c r="I7926" s="10" t="n">
        <v>51</v>
      </c>
      <c r="J7926" s="10" t="n">
        <v>0</v>
      </c>
      <c r="K7926" s="10" t="s">
        <v>20</v>
      </c>
      <c r="L7926" s="11" t="n">
        <v>39933.9713194444</v>
      </c>
      <c r="M7926" s="12"/>
      <c r="N7926" s="12" t="s">
        <v>17655</v>
      </c>
      <c r="O7926" s="9" t="str">
        <f aca="false">HYPERLINK("https://pbs.twimg.com/profile_images/704715063492530177/GZkIRQrd_normal.jpg","View")</f>
        <v>View</v>
      </c>
      <c r="P7926" s="10"/>
    </row>
    <row r="7927" customFormat="false" ht="15.75" hidden="false" customHeight="false" outlineLevel="0" collapsed="false">
      <c r="A7927" s="6" t="n">
        <v>43031.8396643519</v>
      </c>
      <c r="B7927" s="7" t="str">
        <f aca="false">HYPERLINK("https://twitter.com/NarrendraM","@NarrendraM")</f>
        <v>@NarrendraM</v>
      </c>
      <c r="C7927" s="8" t="s">
        <v>468</v>
      </c>
      <c r="D7927" s="8" t="s">
        <v>17656</v>
      </c>
      <c r="E7927" s="9" t="str">
        <f aca="false">HYPERLINK("https://twitter.com/NarrendraM/status/922661200483274753","922661200483274753")</f>
        <v>922661200483274753</v>
      </c>
      <c r="F7927" s="10" t="s">
        <v>60</v>
      </c>
      <c r="G7927" s="10" t="n">
        <v>1999</v>
      </c>
      <c r="H7927" s="10" t="n">
        <v>252</v>
      </c>
      <c r="I7927" s="10" t="n">
        <v>0</v>
      </c>
      <c r="J7927" s="10" t="n">
        <v>0</v>
      </c>
      <c r="K7927" s="10" t="s">
        <v>20</v>
      </c>
      <c r="L7927" s="11" t="n">
        <v>42471.0737037037</v>
      </c>
      <c r="M7927" s="12" t="s">
        <v>253</v>
      </c>
      <c r="N7927" s="12" t="s">
        <v>470</v>
      </c>
      <c r="O7927" s="9" t="str">
        <f aca="false">HYPERLINK("https://pbs.twimg.com/profile_images/743939643738034176/WkGloI0u_normal.jpg","View")</f>
        <v>View</v>
      </c>
      <c r="P7927" s="10"/>
    </row>
    <row r="7928" customFormat="false" ht="15.75" hidden="false" customHeight="false" outlineLevel="0" collapsed="false">
      <c r="A7928" s="6" t="n">
        <v>43031.8396990741</v>
      </c>
      <c r="B7928" s="7" t="str">
        <f aca="false">HYPERLINK("https://twitter.com/the__himanish","@the__himanish")</f>
        <v>@the__himanish</v>
      </c>
      <c r="C7928" s="8" t="s">
        <v>382</v>
      </c>
      <c r="D7928" s="8" t="s">
        <v>17657</v>
      </c>
      <c r="E7928" s="9" t="str">
        <f aca="false">HYPERLINK("https://twitter.com/the__himanish/status/922661213896691712","922661213896691712")</f>
        <v>922661213896691712</v>
      </c>
      <c r="F7928" s="10" t="s">
        <v>60</v>
      </c>
      <c r="G7928" s="10" t="n">
        <v>1811</v>
      </c>
      <c r="H7928" s="10" t="n">
        <v>1625</v>
      </c>
      <c r="I7928" s="10" t="n">
        <v>0</v>
      </c>
      <c r="J7928" s="10" t="n">
        <v>0</v>
      </c>
      <c r="K7928" s="10" t="s">
        <v>20</v>
      </c>
      <c r="L7928" s="11" t="n">
        <v>40222.1517824074</v>
      </c>
      <c r="M7928" s="12" t="s">
        <v>87</v>
      </c>
      <c r="N7928" s="12" t="s">
        <v>384</v>
      </c>
      <c r="O7928" s="9" t="str">
        <f aca="false">HYPERLINK("https://pbs.twimg.com/profile_images/914165533918015489/A6iR_gz2_normal.jpg","View")</f>
        <v>View</v>
      </c>
      <c r="P7928" s="10"/>
    </row>
    <row r="7929" customFormat="false" ht="15.75" hidden="false" customHeight="false" outlineLevel="0" collapsed="false">
      <c r="A7929" s="6" t="n">
        <v>43031.8398263889</v>
      </c>
      <c r="B7929" s="7" t="str">
        <f aca="false">HYPERLINK("https://twitter.com/RaisinaSeries","@RaisinaSeries")</f>
        <v>@RaisinaSeries</v>
      </c>
      <c r="C7929" s="8" t="s">
        <v>5007</v>
      </c>
      <c r="D7929" s="8" t="s">
        <v>17626</v>
      </c>
      <c r="E7929" s="9" t="str">
        <f aca="false">HYPERLINK("https://twitter.com/RaisinaSeries/status/922661263099887616","922661263099887616")</f>
        <v>922661263099887616</v>
      </c>
      <c r="F7929" s="10" t="s">
        <v>51</v>
      </c>
      <c r="G7929" s="10" t="n">
        <v>24201</v>
      </c>
      <c r="H7929" s="10" t="n">
        <v>229</v>
      </c>
      <c r="I7929" s="10" t="n">
        <v>51</v>
      </c>
      <c r="J7929" s="10" t="n">
        <v>0</v>
      </c>
      <c r="K7929" s="10" t="s">
        <v>20</v>
      </c>
      <c r="L7929" s="11" t="n">
        <v>41291.4987384259</v>
      </c>
      <c r="M7929" s="12" t="s">
        <v>5008</v>
      </c>
      <c r="N7929" s="12" t="s">
        <v>5009</v>
      </c>
      <c r="O7929" s="9" t="str">
        <f aca="false">HYPERLINK("https://pbs.twimg.com/profile_images/835127600716525568/SKkzaFgh_normal.jpg","View")</f>
        <v>View</v>
      </c>
      <c r="P7929" s="10"/>
    </row>
    <row r="7930" customFormat="false" ht="15.75" hidden="false" customHeight="false" outlineLevel="0" collapsed="false">
      <c r="A7930" s="6" t="n">
        <v>43031.8401967593</v>
      </c>
      <c r="B7930" s="7" t="str">
        <f aca="false">HYPERLINK("https://twitter.com/WinstonWellsIC","@WinstonWellsIC")</f>
        <v>@WinstonWellsIC</v>
      </c>
      <c r="C7930" s="8" t="s">
        <v>17658</v>
      </c>
      <c r="D7930" s="8" t="s">
        <v>17659</v>
      </c>
      <c r="E7930" s="9" t="str">
        <f aca="false">HYPERLINK("https://twitter.com/WinstonWellsIC/status/922661396139175938","922661396139175938")</f>
        <v>922661396139175938</v>
      </c>
      <c r="F7930" s="10" t="s">
        <v>39</v>
      </c>
      <c r="G7930" s="10" t="n">
        <v>218</v>
      </c>
      <c r="H7930" s="10" t="n">
        <v>233</v>
      </c>
      <c r="I7930" s="10" t="n">
        <v>0</v>
      </c>
      <c r="J7930" s="10" t="n">
        <v>0</v>
      </c>
      <c r="K7930" s="10" t="s">
        <v>20</v>
      </c>
      <c r="L7930" s="11" t="n">
        <v>41457.4501967593</v>
      </c>
      <c r="M7930" s="12" t="s">
        <v>17660</v>
      </c>
      <c r="N7930" s="12" t="s">
        <v>17661</v>
      </c>
      <c r="O7930" s="9" t="str">
        <f aca="false">HYPERLINK("https://pbs.twimg.com/profile_images/500599540278259713/hZ9mXXXv_normal.jpeg","View")</f>
        <v>View</v>
      </c>
      <c r="P7930" s="10"/>
    </row>
    <row r="7931" customFormat="false" ht="15.75" hidden="false" customHeight="false" outlineLevel="0" collapsed="false">
      <c r="A7931" s="6" t="n">
        <v>43031.8402893519</v>
      </c>
      <c r="B7931" s="7" t="str">
        <f aca="false">HYPERLINK("https://twitter.com/archtomy","@archtomy")</f>
        <v>@archtomy</v>
      </c>
      <c r="C7931" s="8" t="s">
        <v>15718</v>
      </c>
      <c r="D7931" s="8" t="s">
        <v>17626</v>
      </c>
      <c r="E7931" s="9" t="str">
        <f aca="false">HYPERLINK("https://twitter.com/archtomy/status/922661428158349313","922661428158349313")</f>
        <v>922661428158349313</v>
      </c>
      <c r="F7931" s="10" t="s">
        <v>25</v>
      </c>
      <c r="G7931" s="10" t="n">
        <v>1169</v>
      </c>
      <c r="H7931" s="10" t="n">
        <v>1501</v>
      </c>
      <c r="I7931" s="10" t="n">
        <v>51</v>
      </c>
      <c r="J7931" s="10" t="n">
        <v>0</v>
      </c>
      <c r="K7931" s="10" t="s">
        <v>20</v>
      </c>
      <c r="L7931" s="11" t="n">
        <v>40040.3749189815</v>
      </c>
      <c r="M7931" s="12" t="s">
        <v>15719</v>
      </c>
      <c r="N7931" s="12" t="s">
        <v>15720</v>
      </c>
      <c r="O7931" s="9" t="str">
        <f aca="false">HYPERLINK("https://pbs.twimg.com/profile_images/704640337927471104/F3b82B2i_normal.jpg","View")</f>
        <v>View</v>
      </c>
      <c r="P7931" s="10"/>
    </row>
    <row r="7932" customFormat="false" ht="15.75" hidden="false" customHeight="false" outlineLevel="0" collapsed="false">
      <c r="A7932" s="6" t="n">
        <v>43031.8406018519</v>
      </c>
      <c r="B7932" s="7" t="str">
        <f aca="false">HYPERLINK("https://twitter.com/InvestingLatest","@InvestingLatest")</f>
        <v>@InvestingLatest</v>
      </c>
      <c r="C7932" s="8" t="s">
        <v>934</v>
      </c>
      <c r="D7932" s="8" t="s">
        <v>17662</v>
      </c>
      <c r="E7932" s="9" t="str">
        <f aca="false">HYPERLINK("https://twitter.com/InvestingLatest/status/922661540834181120","922661540834181120")</f>
        <v>922661540834181120</v>
      </c>
      <c r="F7932" s="10" t="s">
        <v>60</v>
      </c>
      <c r="G7932" s="10" t="n">
        <v>1538</v>
      </c>
      <c r="H7932" s="10" t="n">
        <v>33</v>
      </c>
      <c r="I7932" s="10" t="n">
        <v>0</v>
      </c>
      <c r="J7932" s="10" t="n">
        <v>0</v>
      </c>
      <c r="K7932" s="10" t="s">
        <v>20</v>
      </c>
      <c r="L7932" s="11" t="n">
        <v>41946.3308912037</v>
      </c>
      <c r="M7932" s="12"/>
      <c r="N7932" s="12" t="s">
        <v>936</v>
      </c>
      <c r="O7932" s="9" t="str">
        <f aca="false">HYPERLINK("https://pbs.twimg.com/profile_images/529461684297945089/uscUz0UO_normal.jpeg","View")</f>
        <v>View</v>
      </c>
      <c r="P7932" s="10"/>
    </row>
    <row r="7933" customFormat="false" ht="15.75" hidden="false" customHeight="false" outlineLevel="0" collapsed="false">
      <c r="A7933" s="6" t="n">
        <v>43031.8408217593</v>
      </c>
      <c r="B7933" s="7" t="str">
        <f aca="false">HYPERLINK("https://twitter.com/nickjcmw","@nickjcmw")</f>
        <v>@nickjcmw</v>
      </c>
      <c r="C7933" s="8" t="s">
        <v>17663</v>
      </c>
      <c r="D7933" s="8" t="s">
        <v>17626</v>
      </c>
      <c r="E7933" s="9" t="str">
        <f aca="false">HYPERLINK("https://twitter.com/nickjcmw/status/922661620899250178","922661620899250178")</f>
        <v>922661620899250178</v>
      </c>
      <c r="F7933" s="10" t="s">
        <v>51</v>
      </c>
      <c r="G7933" s="10" t="n">
        <v>1047</v>
      </c>
      <c r="H7933" s="10" t="n">
        <v>4928</v>
      </c>
      <c r="I7933" s="10" t="n">
        <v>51</v>
      </c>
      <c r="J7933" s="10" t="n">
        <v>0</v>
      </c>
      <c r="K7933" s="10" t="s">
        <v>20</v>
      </c>
      <c r="L7933" s="11" t="n">
        <v>41598.5971296296</v>
      </c>
      <c r="M7933" s="12"/>
      <c r="N7933" s="12" t="s">
        <v>17664</v>
      </c>
      <c r="O7933" s="9" t="str">
        <f aca="false">HYPERLINK("https://pbs.twimg.com/profile_images/896520011245899776/SmcJLCCo_normal.jpg","View")</f>
        <v>View</v>
      </c>
      <c r="P7933" s="10"/>
    </row>
    <row r="7934" customFormat="false" ht="15.75" hidden="false" customHeight="false" outlineLevel="0" collapsed="false">
      <c r="A7934" s="6" t="n">
        <v>43031.8408564815</v>
      </c>
      <c r="B7934" s="7" t="str">
        <f aca="false">HYPERLINK("https://twitter.com/DrShyamKumarCh1","@DrShyamKumarCh1")</f>
        <v>@DrShyamKumarCh1</v>
      </c>
      <c r="C7934" s="8" t="s">
        <v>17665</v>
      </c>
      <c r="D7934" s="8" t="s">
        <v>17626</v>
      </c>
      <c r="E7934" s="9" t="str">
        <f aca="false">HYPERLINK("https://twitter.com/DrShyamKumarCh1/status/922661634765553664","922661634765553664")</f>
        <v>922661634765553664</v>
      </c>
      <c r="F7934" s="10" t="s">
        <v>25</v>
      </c>
      <c r="G7934" s="10" t="n">
        <v>635</v>
      </c>
      <c r="H7934" s="10" t="n">
        <v>439</v>
      </c>
      <c r="I7934" s="10" t="n">
        <v>51</v>
      </c>
      <c r="J7934" s="10" t="n">
        <v>0</v>
      </c>
      <c r="K7934" s="10" t="s">
        <v>20</v>
      </c>
      <c r="L7934" s="11" t="n">
        <v>42795.9336805556</v>
      </c>
      <c r="M7934" s="12" t="s">
        <v>8612</v>
      </c>
      <c r="N7934" s="12" t="s">
        <v>17666</v>
      </c>
      <c r="O7934" s="9" t="str">
        <f aca="false">HYPERLINK("https://pbs.twimg.com/profile_images/913696801508569088/vgQH92dW_normal.jpg","View")</f>
        <v>View</v>
      </c>
      <c r="P7934" s="10"/>
    </row>
    <row r="7935" customFormat="false" ht="15.75" hidden="false" customHeight="false" outlineLevel="0" collapsed="false">
      <c r="A7935" s="6" t="n">
        <v>43031.8417013889</v>
      </c>
      <c r="B7935" s="7" t="str">
        <f aca="false">HYPERLINK("https://twitter.com/lynx55","@lynx55")</f>
        <v>@lynx55</v>
      </c>
      <c r="C7935" s="8" t="s">
        <v>14479</v>
      </c>
      <c r="D7935" s="8" t="s">
        <v>17626</v>
      </c>
      <c r="E7935" s="9" t="str">
        <f aca="false">HYPERLINK("https://twitter.com/lynx55/status/922661941356744704","922661941356744704")</f>
        <v>922661941356744704</v>
      </c>
      <c r="F7935" s="10" t="s">
        <v>25</v>
      </c>
      <c r="G7935" s="10" t="n">
        <v>4243</v>
      </c>
      <c r="H7935" s="10" t="n">
        <v>4441</v>
      </c>
      <c r="I7935" s="10" t="n">
        <v>51</v>
      </c>
      <c r="J7935" s="10" t="n">
        <v>0</v>
      </c>
      <c r="K7935" s="10" t="s">
        <v>20</v>
      </c>
      <c r="L7935" s="11" t="n">
        <v>39363.8998726852</v>
      </c>
      <c r="M7935" s="12" t="s">
        <v>14480</v>
      </c>
      <c r="N7935" s="12" t="s">
        <v>14481</v>
      </c>
      <c r="O7935" s="9" t="str">
        <f aca="false">HYPERLINK("https://pbs.twimg.com/profile_images/917384747403370496/4k9Tip0C_normal.jpg","View")</f>
        <v>View</v>
      </c>
      <c r="P7935" s="10"/>
    </row>
    <row r="7936" customFormat="false" ht="15.75" hidden="false" customHeight="false" outlineLevel="0" collapsed="false">
      <c r="A7936" s="6" t="n">
        <v>43031.8419907407</v>
      </c>
      <c r="B7936" s="7" t="str">
        <f aca="false">HYPERLINK("https://twitter.com/Razer17441735","@Razer17441735")</f>
        <v>@Razer17441735</v>
      </c>
      <c r="C7936" s="8" t="s">
        <v>13202</v>
      </c>
      <c r="D7936" s="8" t="s">
        <v>17614</v>
      </c>
      <c r="E7936" s="9" t="str">
        <f aca="false">HYPERLINK("https://twitter.com/Razer17441735/status/922662046684139520","922662046684139520")</f>
        <v>922662046684139520</v>
      </c>
      <c r="F7936" s="10" t="s">
        <v>13203</v>
      </c>
      <c r="G7936" s="10" t="n">
        <v>179</v>
      </c>
      <c r="H7936" s="10" t="n">
        <v>1854</v>
      </c>
      <c r="I7936" s="10" t="n">
        <v>9</v>
      </c>
      <c r="J7936" s="10" t="n">
        <v>0</v>
      </c>
      <c r="K7936" s="10" t="s">
        <v>20</v>
      </c>
      <c r="L7936" s="11" t="n">
        <v>42907.1482986111</v>
      </c>
      <c r="M7936" s="12" t="s">
        <v>230</v>
      </c>
      <c r="N7936" s="12" t="s">
        <v>13204</v>
      </c>
      <c r="O7936" s="9" t="str">
        <f aca="false">HYPERLINK("https://pbs.twimg.com/profile_images/877474799391571968/tHcwTsPe_normal.jpg","View")</f>
        <v>View</v>
      </c>
      <c r="P7936" s="10"/>
    </row>
    <row r="7937" customFormat="false" ht="15.75" hidden="false" customHeight="false" outlineLevel="0" collapsed="false">
      <c r="A7937" s="6" t="n">
        <v>43031.843275463</v>
      </c>
      <c r="B7937" s="7" t="str">
        <f aca="false">HYPERLINK("https://twitter.com/onlinelords","@onlinelords")</f>
        <v>@onlinelords</v>
      </c>
      <c r="C7937" s="8" t="s">
        <v>3710</v>
      </c>
      <c r="D7937" s="8" t="s">
        <v>17667</v>
      </c>
      <c r="E7937" s="9" t="str">
        <f aca="false">HYPERLINK("https://twitter.com/onlinelords/status/922662510007869440","922662510007869440")</f>
        <v>922662510007869440</v>
      </c>
      <c r="F7937" s="10" t="s">
        <v>60</v>
      </c>
      <c r="G7937" s="10" t="n">
        <v>510</v>
      </c>
      <c r="H7937" s="10" t="n">
        <v>1816</v>
      </c>
      <c r="I7937" s="10" t="n">
        <v>0</v>
      </c>
      <c r="J7937" s="10" t="n">
        <v>0</v>
      </c>
      <c r="K7937" s="10" t="s">
        <v>20</v>
      </c>
      <c r="L7937" s="11" t="n">
        <v>42910.4271412037</v>
      </c>
      <c r="M7937" s="12" t="s">
        <v>3712</v>
      </c>
      <c r="N7937" s="12" t="s">
        <v>3713</v>
      </c>
      <c r="O7937" s="9" t="str">
        <f aca="false">HYPERLINK("https://pbs.twimg.com/profile_images/919643248817254400/z8AUB3Qm_normal.jpg","View")</f>
        <v>View</v>
      </c>
      <c r="P7937" s="10"/>
    </row>
    <row r="7938" customFormat="false" ht="15.75" hidden="false" customHeight="false" outlineLevel="0" collapsed="false">
      <c r="A7938" s="6" t="n">
        <v>43031.8433564815</v>
      </c>
      <c r="B7938" s="7" t="str">
        <f aca="false">HYPERLINK("https://twitter.com/Essay_Lords","@Essay_Lords")</f>
        <v>@Essay_Lords</v>
      </c>
      <c r="C7938" s="8" t="s">
        <v>16409</v>
      </c>
      <c r="D7938" s="8" t="s">
        <v>17668</v>
      </c>
      <c r="E7938" s="9" t="str">
        <f aca="false">HYPERLINK("https://twitter.com/Essay_Lords/status/922662541637181440","922662541637181440")</f>
        <v>922662541637181440</v>
      </c>
      <c r="F7938" s="10" t="s">
        <v>60</v>
      </c>
      <c r="G7938" s="10" t="n">
        <v>4286</v>
      </c>
      <c r="H7938" s="10" t="n">
        <v>3618</v>
      </c>
      <c r="I7938" s="10" t="n">
        <v>0</v>
      </c>
      <c r="J7938" s="10" t="n">
        <v>0</v>
      </c>
      <c r="K7938" s="10" t="s">
        <v>20</v>
      </c>
      <c r="L7938" s="11" t="n">
        <v>41982.4216550926</v>
      </c>
      <c r="M7938" s="12" t="s">
        <v>3712</v>
      </c>
      <c r="N7938" s="12" t="s">
        <v>16411</v>
      </c>
      <c r="O7938" s="9" t="str">
        <f aca="false">HYPERLINK("https://pbs.twimg.com/profile_images/722066414362894336/kHUvL0fA_normal.jpg","View")</f>
        <v>View</v>
      </c>
      <c r="P7938" s="10"/>
    </row>
    <row r="7939" customFormat="false" ht="15.75" hidden="false" customHeight="false" outlineLevel="0" collapsed="false">
      <c r="A7939" s="6" t="n">
        <v>43031.8436342593</v>
      </c>
      <c r="B7939" s="7" t="str">
        <f aca="false">HYPERLINK("https://twitter.com/jorgegarciagon3","@jorgegarciagon3")</f>
        <v>@jorgegarciagon3</v>
      </c>
      <c r="C7939" s="8" t="s">
        <v>17669</v>
      </c>
      <c r="D7939" s="8" t="s">
        <v>16785</v>
      </c>
      <c r="E7939" s="9" t="str">
        <f aca="false">HYPERLINK("https://twitter.com/jorgegarciagon3/status/922662642363269120","922662642363269120")</f>
        <v>922662642363269120</v>
      </c>
      <c r="F7939" s="10" t="s">
        <v>51</v>
      </c>
      <c r="G7939" s="10" t="n">
        <v>198</v>
      </c>
      <c r="H7939" s="10" t="n">
        <v>309</v>
      </c>
      <c r="I7939" s="10" t="n">
        <v>41</v>
      </c>
      <c r="J7939" s="10" t="n">
        <v>0</v>
      </c>
      <c r="K7939" s="10" t="s">
        <v>20</v>
      </c>
      <c r="L7939" s="11" t="n">
        <v>41576.4765277778</v>
      </c>
      <c r="M7939" s="12" t="s">
        <v>8146</v>
      </c>
      <c r="N7939" s="12"/>
      <c r="O7939" s="9" t="str">
        <f aca="false">HYPERLINK("https://pbs.twimg.com/profile_images/823736132441489408/6OtptJMY_normal.jpg","View")</f>
        <v>View</v>
      </c>
      <c r="P7939" s="10"/>
    </row>
    <row r="7940" customFormat="false" ht="15.75" hidden="false" customHeight="false" outlineLevel="0" collapsed="false">
      <c r="A7940" s="6" t="n">
        <v>43031.8437037037</v>
      </c>
      <c r="B7940" s="7" t="str">
        <f aca="false">HYPERLINK("https://twitter.com/Sorgitzak","@Sorgitzak")</f>
        <v>@Sorgitzak</v>
      </c>
      <c r="C7940" s="8" t="s">
        <v>421</v>
      </c>
      <c r="D7940" s="8" t="s">
        <v>17670</v>
      </c>
      <c r="E7940" s="9" t="str">
        <f aca="false">HYPERLINK("https://twitter.com/Sorgitzak/status/922662666384084993","922662666384084993")</f>
        <v>922662666384084993</v>
      </c>
      <c r="F7940" s="10" t="s">
        <v>60</v>
      </c>
      <c r="G7940" s="10" t="n">
        <v>719</v>
      </c>
      <c r="H7940" s="10" t="n">
        <v>1309</v>
      </c>
      <c r="I7940" s="10" t="n">
        <v>0</v>
      </c>
      <c r="J7940" s="10" t="n">
        <v>0</v>
      </c>
      <c r="K7940" s="10" t="s">
        <v>20</v>
      </c>
      <c r="L7940" s="11" t="n">
        <v>39990.5521527778</v>
      </c>
      <c r="M7940" s="12" t="s">
        <v>423</v>
      </c>
      <c r="N7940" s="12"/>
      <c r="O7940" s="9" t="str">
        <f aca="false">HYPERLINK("https://pbs.twimg.com/profile_images/284404970/sorgitzak_normal.JPG","View")</f>
        <v>View</v>
      </c>
      <c r="P7940" s="10"/>
    </row>
    <row r="7941" customFormat="false" ht="15.75" hidden="false" customHeight="false" outlineLevel="0" collapsed="false">
      <c r="A7941" s="6" t="n">
        <v>43031.8445023148</v>
      </c>
      <c r="B7941" s="7" t="str">
        <f aca="false">HYPERLINK("https://twitter.com/jornalistavitor","@jornalistavitor")</f>
        <v>@jornalistavitor</v>
      </c>
      <c r="C7941" s="8" t="s">
        <v>17600</v>
      </c>
      <c r="D7941" s="8" t="s">
        <v>17626</v>
      </c>
      <c r="E7941" s="9" t="str">
        <f aca="false">HYPERLINK("https://twitter.com/jornalistavitor/status/922662953496834048","922662953496834048")</f>
        <v>922662953496834048</v>
      </c>
      <c r="F7941" s="10" t="s">
        <v>39</v>
      </c>
      <c r="G7941" s="10" t="n">
        <v>35102</v>
      </c>
      <c r="H7941" s="10" t="n">
        <v>26664</v>
      </c>
      <c r="I7941" s="10" t="n">
        <v>51</v>
      </c>
      <c r="J7941" s="10" t="n">
        <v>0</v>
      </c>
      <c r="K7941" s="10" t="s">
        <v>20</v>
      </c>
      <c r="L7941" s="11" t="n">
        <v>40220.3957291667</v>
      </c>
      <c r="M7941" s="12" t="s">
        <v>423</v>
      </c>
      <c r="N7941" s="12" t="s">
        <v>17601</v>
      </c>
      <c r="O7941" s="9" t="str">
        <f aca="false">HYPERLINK("https://pbs.twimg.com/profile_images/378800000463633572/8494361443a9361de1017d497c5ee1f2_normal.jpeg","View")</f>
        <v>View</v>
      </c>
      <c r="P7941" s="10"/>
    </row>
    <row r="7942" customFormat="false" ht="15.75" hidden="false" customHeight="false" outlineLevel="0" collapsed="false">
      <c r="A7942" s="6" t="n">
        <v>43031.8460185185</v>
      </c>
      <c r="B7942" s="7" t="str">
        <f aca="false">HYPERLINK("https://twitter.com/n00bki11er","@n00bki11er")</f>
        <v>@n00bki11er</v>
      </c>
      <c r="C7942" s="14" t="s">
        <v>6554</v>
      </c>
      <c r="D7942" s="8" t="s">
        <v>17626</v>
      </c>
      <c r="E7942" s="9" t="str">
        <f aca="false">HYPERLINK("https://twitter.com/n00bki11er/status/922663505735532544","922663505735532544")</f>
        <v>922663505735532544</v>
      </c>
      <c r="F7942" s="10" t="s">
        <v>51</v>
      </c>
      <c r="G7942" s="10" t="n">
        <v>33</v>
      </c>
      <c r="H7942" s="10" t="n">
        <v>313</v>
      </c>
      <c r="I7942" s="10" t="n">
        <v>51</v>
      </c>
      <c r="J7942" s="10" t="n">
        <v>0</v>
      </c>
      <c r="K7942" s="10" t="s">
        <v>20</v>
      </c>
      <c r="L7942" s="11" t="n">
        <v>40591.0392708333</v>
      </c>
      <c r="M7942" s="12" t="s">
        <v>6555</v>
      </c>
      <c r="N7942" s="13" t="s">
        <v>6556</v>
      </c>
      <c r="O7942" s="9" t="str">
        <f aca="false">HYPERLINK("https://pbs.twimg.com/profile_images/847878873228259329/orXyBxqI_normal.jpg","View")</f>
        <v>View</v>
      </c>
      <c r="P7942" s="10"/>
    </row>
    <row r="7943" customFormat="false" ht="15.75" hidden="false" customHeight="false" outlineLevel="0" collapsed="false">
      <c r="A7943" s="6" t="n">
        <v>43031.8462268519</v>
      </c>
      <c r="B7943" s="7" t="str">
        <f aca="false">HYPERLINK("https://twitter.com/jaras808","@jaras808")</f>
        <v>@jaras808</v>
      </c>
      <c r="C7943" s="8" t="s">
        <v>17671</v>
      </c>
      <c r="D7943" s="8" t="s">
        <v>17626</v>
      </c>
      <c r="E7943" s="9" t="str">
        <f aca="false">HYPERLINK("https://twitter.com/jaras808/status/922663581505720320","922663581505720320")</f>
        <v>922663581505720320</v>
      </c>
      <c r="F7943" s="10" t="s">
        <v>25</v>
      </c>
      <c r="G7943" s="10" t="n">
        <v>560</v>
      </c>
      <c r="H7943" s="10" t="n">
        <v>487</v>
      </c>
      <c r="I7943" s="10" t="n">
        <v>51</v>
      </c>
      <c r="J7943" s="10" t="n">
        <v>0</v>
      </c>
      <c r="K7943" s="10" t="s">
        <v>20</v>
      </c>
      <c r="L7943" s="11" t="n">
        <v>42050.5067361111</v>
      </c>
      <c r="M7943" s="12"/>
      <c r="N7943" s="12"/>
      <c r="O7943" s="9" t="str">
        <f aca="false">HYPERLINK("https://pbs.twimg.com/profile_images/666005670328713216/ETJnWJFa_normal.jpg","View")</f>
        <v>View</v>
      </c>
      <c r="P7943" s="10"/>
    </row>
    <row r="7944" customFormat="false" ht="15.75" hidden="false" customHeight="false" outlineLevel="0" collapsed="false">
      <c r="A7944" s="6" t="n">
        <v>43031.8472916667</v>
      </c>
      <c r="B7944" s="7" t="str">
        <f aca="false">HYPERLINK("https://twitter.com/asuka_250","@asuka_250")</f>
        <v>@asuka_250</v>
      </c>
      <c r="C7944" s="8" t="s">
        <v>1235</v>
      </c>
      <c r="D7944" s="8" t="s">
        <v>17626</v>
      </c>
      <c r="E7944" s="9" t="str">
        <f aca="false">HYPERLINK("https://twitter.com/asuka_250/status/922663967851294720","922663967851294720")</f>
        <v>922663967851294720</v>
      </c>
      <c r="F7944" s="10" t="s">
        <v>39</v>
      </c>
      <c r="G7944" s="10" t="n">
        <v>30709</v>
      </c>
      <c r="H7944" s="10" t="n">
        <v>30516</v>
      </c>
      <c r="I7944" s="10" t="n">
        <v>51</v>
      </c>
      <c r="J7944" s="10" t="n">
        <v>0</v>
      </c>
      <c r="K7944" s="10" t="s">
        <v>20</v>
      </c>
      <c r="L7944" s="11" t="n">
        <v>41943.1724768519</v>
      </c>
      <c r="M7944" s="12" t="s">
        <v>186</v>
      </c>
      <c r="N7944" s="12" t="s">
        <v>1236</v>
      </c>
      <c r="O7944" s="9" t="str">
        <f aca="false">HYPERLINK("https://pbs.twimg.com/profile_images/576284037486014464/dhYtI1qZ_normal.jpeg","View")</f>
        <v>View</v>
      </c>
      <c r="P7944" s="10"/>
    </row>
    <row r="7945" customFormat="false" ht="15.75" hidden="false" customHeight="false" outlineLevel="0" collapsed="false">
      <c r="A7945" s="6" t="n">
        <v>43031.8473263889</v>
      </c>
      <c r="B7945" s="7" t="str">
        <f aca="false">HYPERLINK("https://twitter.com/ZacharyStern25","@ZacharyStern25")</f>
        <v>@ZacharyStern25</v>
      </c>
      <c r="C7945" s="8" t="s">
        <v>17672</v>
      </c>
      <c r="D7945" s="8" t="s">
        <v>17626</v>
      </c>
      <c r="E7945" s="9" t="str">
        <f aca="false">HYPERLINK("https://twitter.com/ZacharyStern25/status/922663978509115393","922663978509115393")</f>
        <v>922663978509115393</v>
      </c>
      <c r="F7945" s="10" t="s">
        <v>51</v>
      </c>
      <c r="G7945" s="10" t="n">
        <v>278</v>
      </c>
      <c r="H7945" s="10" t="n">
        <v>257</v>
      </c>
      <c r="I7945" s="10" t="n">
        <v>51</v>
      </c>
      <c r="J7945" s="10" t="n">
        <v>0</v>
      </c>
      <c r="K7945" s="10" t="s">
        <v>20</v>
      </c>
      <c r="L7945" s="11" t="n">
        <v>41932.8706365741</v>
      </c>
      <c r="M7945" s="12" t="s">
        <v>752</v>
      </c>
      <c r="N7945" s="12" t="s">
        <v>17673</v>
      </c>
      <c r="O7945" s="9" t="str">
        <f aca="false">HYPERLINK("https://pbs.twimg.com/profile_images/922863413977419776/Kn9BpqEp_normal.jpg","View")</f>
        <v>View</v>
      </c>
      <c r="P7945" s="10"/>
    </row>
    <row r="7946" customFormat="false" ht="15.75" hidden="false" customHeight="false" outlineLevel="0" collapsed="false">
      <c r="A7946" s="6" t="n">
        <v>43031.8473726852</v>
      </c>
      <c r="B7946" s="7" t="str">
        <f aca="false">HYPERLINK("https://twitter.com/Amit69880971","@Amit69880971")</f>
        <v>@Amit69880971</v>
      </c>
      <c r="C7946" s="8" t="s">
        <v>17674</v>
      </c>
      <c r="D7946" s="8" t="s">
        <v>17626</v>
      </c>
      <c r="E7946" s="9" t="str">
        <f aca="false">HYPERLINK("https://twitter.com/Amit69880971/status/922663995470835712","922663995470835712")</f>
        <v>922663995470835712</v>
      </c>
      <c r="F7946" s="10" t="s">
        <v>51</v>
      </c>
      <c r="G7946" s="10" t="n">
        <v>19</v>
      </c>
      <c r="H7946" s="10" t="n">
        <v>165</v>
      </c>
      <c r="I7946" s="10" t="n">
        <v>51</v>
      </c>
      <c r="J7946" s="10" t="n">
        <v>0</v>
      </c>
      <c r="K7946" s="10" t="s">
        <v>20</v>
      </c>
      <c r="L7946" s="11" t="n">
        <v>42812.870775463</v>
      </c>
      <c r="M7946" s="12" t="s">
        <v>72</v>
      </c>
      <c r="N7946" s="12" t="s">
        <v>17675</v>
      </c>
      <c r="O7946" s="9" t="str">
        <f aca="false">HYPERLINK("https://pbs.twimg.com/profile_images/896296682429612033/17qDY7os_normal.jpg","View")</f>
        <v>View</v>
      </c>
      <c r="P7946" s="10"/>
    </row>
    <row r="7947" customFormat="false" ht="15.75" hidden="false" customHeight="false" outlineLevel="0" collapsed="false">
      <c r="A7947" s="6" t="n">
        <v>43031.8476967593</v>
      </c>
      <c r="B7947" s="7" t="str">
        <f aca="false">HYPERLINK("https://twitter.com/Sousuke_Koyama","@Sousuke_Koyama")</f>
        <v>@Sousuke_Koyama</v>
      </c>
      <c r="C7947" s="14" t="s">
        <v>17676</v>
      </c>
      <c r="D7947" s="8" t="s">
        <v>3134</v>
      </c>
      <c r="E7947" s="9" t="str">
        <f aca="false">HYPERLINK("https://twitter.com/Sousuke_Koyama/status/922664112059904000","922664112059904000")</f>
        <v>922664112059904000</v>
      </c>
      <c r="F7947" s="10" t="s">
        <v>39</v>
      </c>
      <c r="G7947" s="10" t="n">
        <v>10523</v>
      </c>
      <c r="H7947" s="10" t="n">
        <v>4534</v>
      </c>
      <c r="I7947" s="10" t="n">
        <v>11</v>
      </c>
      <c r="J7947" s="10" t="n">
        <v>0</v>
      </c>
      <c r="K7947" s="10" t="s">
        <v>20</v>
      </c>
      <c r="L7947" s="11" t="n">
        <v>40330.2241203704</v>
      </c>
      <c r="M7947" s="13" t="s">
        <v>4178</v>
      </c>
      <c r="N7947" s="13" t="s">
        <v>17677</v>
      </c>
      <c r="O7947" s="9" t="str">
        <f aca="false">HYPERLINK("https://pbs.twimg.com/profile_images/628932146858602496/J1Kc2csc_normal.jpg","View")</f>
        <v>View</v>
      </c>
      <c r="P7947" s="10"/>
    </row>
    <row r="7948" customFormat="false" ht="15.75" hidden="false" customHeight="false" outlineLevel="0" collapsed="false">
      <c r="A7948" s="6" t="n">
        <v>43031.8481018518</v>
      </c>
      <c r="B7948" s="7" t="str">
        <f aca="false">HYPERLINK("https://twitter.com/fuzzyguest","@fuzzyguest")</f>
        <v>@fuzzyguest</v>
      </c>
      <c r="C7948" s="8" t="s">
        <v>6258</v>
      </c>
      <c r="D7948" s="8" t="s">
        <v>17626</v>
      </c>
      <c r="E7948" s="9" t="str">
        <f aca="false">HYPERLINK("https://twitter.com/fuzzyguest/status/922664259925843969","922664259925843969")</f>
        <v>922664259925843969</v>
      </c>
      <c r="F7948" s="10" t="s">
        <v>39</v>
      </c>
      <c r="G7948" s="10" t="n">
        <v>56</v>
      </c>
      <c r="H7948" s="10" t="n">
        <v>815</v>
      </c>
      <c r="I7948" s="10" t="n">
        <v>51</v>
      </c>
      <c r="J7948" s="10" t="n">
        <v>0</v>
      </c>
      <c r="K7948" s="10" t="s">
        <v>20</v>
      </c>
      <c r="L7948" s="11" t="n">
        <v>41335.8183333333</v>
      </c>
      <c r="M7948" s="12" t="s">
        <v>574</v>
      </c>
      <c r="N7948" s="12"/>
      <c r="O7948" s="9" t="str">
        <f aca="false">HYPERLINK("https://pbs.twimg.com/profile_images/378800000310251208/39e3ef268e83d4457361db41b199ea80_normal.jpeg","View")</f>
        <v>View</v>
      </c>
      <c r="P7948" s="10"/>
    </row>
    <row r="7949" customFormat="false" ht="15.75" hidden="false" customHeight="false" outlineLevel="0" collapsed="false">
      <c r="A7949" s="6" t="n">
        <v>43031.8483101852</v>
      </c>
      <c r="B7949" s="7" t="str">
        <f aca="false">HYPERLINK("https://twitter.com/shailendrat","@shailendrat")</f>
        <v>@shailendrat</v>
      </c>
      <c r="C7949" s="8" t="s">
        <v>17678</v>
      </c>
      <c r="D7949" s="8" t="s">
        <v>17626</v>
      </c>
      <c r="E7949" s="9" t="str">
        <f aca="false">HYPERLINK("https://twitter.com/shailendrat/status/922664335557709824","922664335557709824")</f>
        <v>922664335557709824</v>
      </c>
      <c r="F7949" s="10" t="s">
        <v>25</v>
      </c>
      <c r="G7949" s="10" t="n">
        <v>16451</v>
      </c>
      <c r="H7949" s="10" t="n">
        <v>8235</v>
      </c>
      <c r="I7949" s="10" t="n">
        <v>51</v>
      </c>
      <c r="J7949" s="10" t="n">
        <v>0</v>
      </c>
      <c r="K7949" s="10" t="s">
        <v>20</v>
      </c>
      <c r="L7949" s="11" t="n">
        <v>39949.5564467593</v>
      </c>
      <c r="M7949" s="12" t="s">
        <v>17679</v>
      </c>
      <c r="N7949" s="12" t="s">
        <v>17680</v>
      </c>
      <c r="O7949" s="9" t="str">
        <f aca="false">HYPERLINK("https://pbs.twimg.com/profile_images/905626150356914176/TxCBowrB_normal.jpg","View")</f>
        <v>View</v>
      </c>
      <c r="P7949" s="10"/>
    </row>
    <row r="7950" customFormat="false" ht="15.75" hidden="false" customHeight="false" outlineLevel="0" collapsed="false">
      <c r="A7950" s="6" t="n">
        <v>43031.8483796296</v>
      </c>
      <c r="B7950" s="7" t="str">
        <f aca="false">HYPERLINK("https://twitter.com/raphaelha67","@raphaelha67")</f>
        <v>@raphaelha67</v>
      </c>
      <c r="C7950" s="8" t="s">
        <v>424</v>
      </c>
      <c r="D7950" s="8" t="s">
        <v>16929</v>
      </c>
      <c r="E7950" s="9" t="str">
        <f aca="false">HYPERLINK("https://twitter.com/raphaelha67/status/922664358676746240","922664358676746240")</f>
        <v>922664358676746240</v>
      </c>
      <c r="F7950" s="10" t="s">
        <v>51</v>
      </c>
      <c r="G7950" s="10" t="n">
        <v>461</v>
      </c>
      <c r="H7950" s="10" t="n">
        <v>13</v>
      </c>
      <c r="I7950" s="10" t="n">
        <v>247</v>
      </c>
      <c r="J7950" s="10" t="n">
        <v>0</v>
      </c>
      <c r="K7950" s="10" t="s">
        <v>20</v>
      </c>
      <c r="L7950" s="11" t="n">
        <v>42610.639375</v>
      </c>
      <c r="M7950" s="12"/>
      <c r="N7950" s="12" t="s">
        <v>425</v>
      </c>
      <c r="O7950" s="9" t="str">
        <f aca="false">HYPERLINK("https://abs.twimg.com/sticky/default_profile_images/default_profile_normal.png","View")</f>
        <v>View</v>
      </c>
      <c r="P7950" s="10"/>
    </row>
    <row r="7951" customFormat="false" ht="15.75" hidden="false" customHeight="false" outlineLevel="0" collapsed="false">
      <c r="A7951" s="6" t="n">
        <v>43031.8487962963</v>
      </c>
      <c r="B7951" s="7" t="str">
        <f aca="false">HYPERLINK("https://twitter.com/Purplegarter1","@Purplegarter1")</f>
        <v>@Purplegarter1</v>
      </c>
      <c r="C7951" s="8" t="s">
        <v>17681</v>
      </c>
      <c r="D7951" s="8" t="s">
        <v>13595</v>
      </c>
      <c r="E7951" s="9" t="str">
        <f aca="false">HYPERLINK("https://twitter.com/Purplegarter1/status/922664511592652801","922664511592652801")</f>
        <v>922664511592652801</v>
      </c>
      <c r="F7951" s="10" t="s">
        <v>177</v>
      </c>
      <c r="G7951" s="10" t="n">
        <v>5055</v>
      </c>
      <c r="H7951" s="10" t="n">
        <v>2990</v>
      </c>
      <c r="I7951" s="10" t="n">
        <v>88</v>
      </c>
      <c r="J7951" s="10" t="n">
        <v>0</v>
      </c>
      <c r="K7951" s="10" t="s">
        <v>20</v>
      </c>
      <c r="L7951" s="11" t="n">
        <v>41558.5660185185</v>
      </c>
      <c r="M7951" s="12"/>
      <c r="N7951" s="12"/>
      <c r="O7951" s="9" t="str">
        <f aca="false">HYPERLINK("https://pbs.twimg.com/profile_images/413699302611886080/geQ9MFWE_normal.jpeg","View")</f>
        <v>View</v>
      </c>
      <c r="P7951" s="10"/>
    </row>
    <row r="7952" customFormat="false" ht="15.75" hidden="false" customHeight="false" outlineLevel="0" collapsed="false">
      <c r="A7952" s="6" t="n">
        <v>43031.8488194444</v>
      </c>
      <c r="B7952" s="7" t="str">
        <f aca="false">HYPERLINK("https://twitter.com/Capabilitist","@Capabilitist")</f>
        <v>@Capabilitist</v>
      </c>
      <c r="C7952" s="8" t="s">
        <v>17682</v>
      </c>
      <c r="D7952" s="8" t="s">
        <v>17626</v>
      </c>
      <c r="E7952" s="9" t="str">
        <f aca="false">HYPERLINK("https://twitter.com/Capabilitist/status/922664519805026304","922664519805026304")</f>
        <v>922664519805026304</v>
      </c>
      <c r="F7952" s="10" t="s">
        <v>25</v>
      </c>
      <c r="G7952" s="10" t="n">
        <v>112</v>
      </c>
      <c r="H7952" s="10" t="n">
        <v>611</v>
      </c>
      <c r="I7952" s="10" t="n">
        <v>51</v>
      </c>
      <c r="J7952" s="10" t="n">
        <v>0</v>
      </c>
      <c r="K7952" s="10" t="s">
        <v>20</v>
      </c>
      <c r="L7952" s="11" t="n">
        <v>41640.2002777778</v>
      </c>
      <c r="M7952" s="13" t="s">
        <v>17683</v>
      </c>
      <c r="N7952" s="13" t="s">
        <v>17684</v>
      </c>
      <c r="O7952" s="9" t="str">
        <f aca="false">HYPERLINK("https://pbs.twimg.com/profile_images/923578238059679744/pSbeIg24_normal.jpg","View")</f>
        <v>View</v>
      </c>
      <c r="P7952" s="10"/>
    </row>
    <row r="7953" customFormat="false" ht="15.75" hidden="false" customHeight="false" outlineLevel="0" collapsed="false">
      <c r="A7953" s="6" t="n">
        <v>43031.8488310185</v>
      </c>
      <c r="B7953" s="7" t="str">
        <f aca="false">HYPERLINK("https://twitter.com/asuka_250","@asuka_250")</f>
        <v>@asuka_250</v>
      </c>
      <c r="C7953" s="8" t="s">
        <v>1235</v>
      </c>
      <c r="D7953" s="8" t="s">
        <v>14814</v>
      </c>
      <c r="E7953" s="9" t="str">
        <f aca="false">HYPERLINK("https://twitter.com/asuka_250/status/922664523605016576","922664523605016576")</f>
        <v>922664523605016576</v>
      </c>
      <c r="F7953" s="10" t="s">
        <v>39</v>
      </c>
      <c r="G7953" s="10" t="n">
        <v>30709</v>
      </c>
      <c r="H7953" s="10" t="n">
        <v>30516</v>
      </c>
      <c r="I7953" s="10" t="n">
        <v>12</v>
      </c>
      <c r="J7953" s="10" t="n">
        <v>0</v>
      </c>
      <c r="K7953" s="10" t="s">
        <v>20</v>
      </c>
      <c r="L7953" s="11" t="n">
        <v>41943.1724768519</v>
      </c>
      <c r="M7953" s="12" t="s">
        <v>186</v>
      </c>
      <c r="N7953" s="12" t="s">
        <v>1236</v>
      </c>
      <c r="O7953" s="9" t="str">
        <f aca="false">HYPERLINK("https://pbs.twimg.com/profile_images/576284037486014464/dhYtI1qZ_normal.jpeg","View")</f>
        <v>View</v>
      </c>
      <c r="P7953" s="10"/>
    </row>
    <row r="7954" customFormat="false" ht="15.75" hidden="false" customHeight="false" outlineLevel="0" collapsed="false">
      <c r="A7954" s="6" t="n">
        <v>43031.8491087963</v>
      </c>
      <c r="B7954" s="7" t="str">
        <f aca="false">HYPERLINK("https://twitter.com/asuka_250","@asuka_250")</f>
        <v>@asuka_250</v>
      </c>
      <c r="C7954" s="8" t="s">
        <v>1235</v>
      </c>
      <c r="D7954" s="8" t="s">
        <v>17569</v>
      </c>
      <c r="E7954" s="9" t="str">
        <f aca="false">HYPERLINK("https://twitter.com/asuka_250/status/922664624004018176","922664624004018176")</f>
        <v>922664624004018176</v>
      </c>
      <c r="F7954" s="10" t="s">
        <v>39</v>
      </c>
      <c r="G7954" s="10" t="n">
        <v>30709</v>
      </c>
      <c r="H7954" s="10" t="n">
        <v>30516</v>
      </c>
      <c r="I7954" s="10" t="n">
        <v>28</v>
      </c>
      <c r="J7954" s="10" t="n">
        <v>0</v>
      </c>
      <c r="K7954" s="10" t="s">
        <v>20</v>
      </c>
      <c r="L7954" s="11" t="n">
        <v>41943.1724768519</v>
      </c>
      <c r="M7954" s="12" t="s">
        <v>186</v>
      </c>
      <c r="N7954" s="12" t="s">
        <v>1236</v>
      </c>
      <c r="O7954" s="9" t="str">
        <f aca="false">HYPERLINK("https://pbs.twimg.com/profile_images/576284037486014464/dhYtI1qZ_normal.jpeg","View")</f>
        <v>View</v>
      </c>
      <c r="P7954" s="10"/>
    </row>
    <row r="7955" customFormat="false" ht="15.75" hidden="false" customHeight="false" outlineLevel="0" collapsed="false">
      <c r="A7955" s="6" t="n">
        <v>43031.8498148148</v>
      </c>
      <c r="B7955" s="7" t="str">
        <f aca="false">HYPERLINK("https://twitter.com/saadsafeer5","@saadsafeer5")</f>
        <v>@saadsafeer5</v>
      </c>
      <c r="C7955" s="8" t="s">
        <v>17685</v>
      </c>
      <c r="D7955" s="8" t="s">
        <v>17626</v>
      </c>
      <c r="E7955" s="9" t="str">
        <f aca="false">HYPERLINK("https://twitter.com/saadsafeer5/status/922664882176131072","922664882176131072")</f>
        <v>922664882176131072</v>
      </c>
      <c r="F7955" s="10" t="s">
        <v>25</v>
      </c>
      <c r="G7955" s="10" t="n">
        <v>294</v>
      </c>
      <c r="H7955" s="10" t="n">
        <v>808</v>
      </c>
      <c r="I7955" s="10" t="n">
        <v>51</v>
      </c>
      <c r="J7955" s="10" t="n">
        <v>0</v>
      </c>
      <c r="K7955" s="10" t="s">
        <v>20</v>
      </c>
      <c r="L7955" s="11" t="n">
        <v>42117.1285185185</v>
      </c>
      <c r="M7955" s="12" t="s">
        <v>12607</v>
      </c>
      <c r="N7955" s="12" t="s">
        <v>17686</v>
      </c>
      <c r="O7955" s="9" t="str">
        <f aca="false">HYPERLINK("https://pbs.twimg.com/profile_images/921782684371816450/at3If3lU_normal.jpg","View")</f>
        <v>View</v>
      </c>
      <c r="P7955" s="10"/>
    </row>
    <row r="7956" customFormat="false" ht="15.75" hidden="false" customHeight="false" outlineLevel="0" collapsed="false">
      <c r="A7956" s="6" t="n">
        <v>43031.850775463</v>
      </c>
      <c r="B7956" s="7" t="str">
        <f aca="false">HYPERLINK("https://twitter.com/MicheleDTweets","@MicheleDTweets")</f>
        <v>@MicheleDTweets</v>
      </c>
      <c r="C7956" s="8" t="s">
        <v>17687</v>
      </c>
      <c r="D7956" s="8" t="s">
        <v>16929</v>
      </c>
      <c r="E7956" s="9" t="str">
        <f aca="false">HYPERLINK("https://twitter.com/MicheleDTweets/status/922665227702829056","922665227702829056")</f>
        <v>922665227702829056</v>
      </c>
      <c r="F7956" s="10" t="s">
        <v>51</v>
      </c>
      <c r="G7956" s="10" t="n">
        <v>405</v>
      </c>
      <c r="H7956" s="10" t="n">
        <v>1503</v>
      </c>
      <c r="I7956" s="10" t="n">
        <v>247</v>
      </c>
      <c r="J7956" s="10" t="n">
        <v>0</v>
      </c>
      <c r="K7956" s="10" t="s">
        <v>20</v>
      </c>
      <c r="L7956" s="11" t="n">
        <v>40816.8354398148</v>
      </c>
      <c r="M7956" s="12"/>
      <c r="N7956" s="12" t="s">
        <v>17688</v>
      </c>
      <c r="O7956" s="9" t="str">
        <f aca="false">HYPERLINK("https://pbs.twimg.com/profile_images/870267143270481921/3BlybVgB_normal.jpg","View")</f>
        <v>View</v>
      </c>
      <c r="P7956" s="10"/>
    </row>
    <row r="7957" customFormat="false" ht="15.75" hidden="false" customHeight="false" outlineLevel="0" collapsed="false">
      <c r="A7957" s="6" t="n">
        <v>43031.8509143519</v>
      </c>
      <c r="B7957" s="7" t="str">
        <f aca="false">HYPERLINK("https://twitter.com/Amit_Mohan","@Amit_Mohan")</f>
        <v>@Amit_Mohan</v>
      </c>
      <c r="C7957" s="8" t="s">
        <v>17689</v>
      </c>
      <c r="D7957" s="8" t="s">
        <v>10525</v>
      </c>
      <c r="E7957" s="9" t="str">
        <f aca="false">HYPERLINK("https://twitter.com/Amit_Mohan/status/922665277250158592","922665277250158592")</f>
        <v>922665277250158592</v>
      </c>
      <c r="F7957" s="10" t="s">
        <v>51</v>
      </c>
      <c r="G7957" s="10" t="n">
        <v>66</v>
      </c>
      <c r="H7957" s="10" t="n">
        <v>645</v>
      </c>
      <c r="I7957" s="10" t="n">
        <v>9</v>
      </c>
      <c r="J7957" s="10" t="n">
        <v>0</v>
      </c>
      <c r="K7957" s="10" t="s">
        <v>20</v>
      </c>
      <c r="L7957" s="11" t="n">
        <v>39946.8579513889</v>
      </c>
      <c r="M7957" s="12" t="s">
        <v>752</v>
      </c>
      <c r="N7957" s="12" t="s">
        <v>17690</v>
      </c>
      <c r="O7957" s="9" t="str">
        <f aca="false">HYPERLINK("https://pbs.twimg.com/profile_images/293266679/Amit_006_normal.jpg","View")</f>
        <v>View</v>
      </c>
      <c r="P7957" s="10"/>
    </row>
    <row r="7958" customFormat="false" ht="15.75" hidden="false" customHeight="false" outlineLevel="0" collapsed="false">
      <c r="A7958" s="6" t="n">
        <v>43031.8517013889</v>
      </c>
      <c r="B7958" s="7" t="str">
        <f aca="false">HYPERLINK("https://twitter.com/NYCKevo","@NYCKevo")</f>
        <v>@NYCKevo</v>
      </c>
      <c r="C7958" s="8" t="s">
        <v>17691</v>
      </c>
      <c r="D7958" s="8" t="s">
        <v>17626</v>
      </c>
      <c r="E7958" s="9" t="str">
        <f aca="false">HYPERLINK("https://twitter.com/NYCKevo/status/922665564006440960","922665564006440960")</f>
        <v>922665564006440960</v>
      </c>
      <c r="F7958" s="10" t="s">
        <v>51</v>
      </c>
      <c r="G7958" s="10" t="n">
        <v>159</v>
      </c>
      <c r="H7958" s="10" t="n">
        <v>758</v>
      </c>
      <c r="I7958" s="10" t="n">
        <v>51</v>
      </c>
      <c r="J7958" s="10" t="n">
        <v>0</v>
      </c>
      <c r="K7958" s="10" t="s">
        <v>20</v>
      </c>
      <c r="L7958" s="11" t="n">
        <v>42306.3747569444</v>
      </c>
      <c r="M7958" s="12" t="s">
        <v>17692</v>
      </c>
      <c r="N7958" s="12" t="s">
        <v>17693</v>
      </c>
      <c r="O7958" s="9" t="str">
        <f aca="false">HYPERLINK("https://pbs.twimg.com/profile_images/896535110639636481/WDsZyECd_normal.jpg","View")</f>
        <v>View</v>
      </c>
      <c r="P7958" s="10"/>
    </row>
    <row r="7959" customFormat="false" ht="15.75" hidden="false" customHeight="false" outlineLevel="0" collapsed="false">
      <c r="A7959" s="6" t="n">
        <v>43031.8519444444</v>
      </c>
      <c r="B7959" s="7" t="str">
        <f aca="false">HYPERLINK("https://twitter.com/rotermeer","@rotermeer")</f>
        <v>@rotermeer</v>
      </c>
      <c r="C7959" s="14" t="s">
        <v>17694</v>
      </c>
      <c r="D7959" s="8" t="s">
        <v>3134</v>
      </c>
      <c r="E7959" s="9" t="str">
        <f aca="false">HYPERLINK("https://twitter.com/rotermeer/status/922665653798019073","922665653798019073")</f>
        <v>922665653798019073</v>
      </c>
      <c r="F7959" s="10" t="s">
        <v>17695</v>
      </c>
      <c r="G7959" s="10" t="n">
        <v>245</v>
      </c>
      <c r="H7959" s="10" t="n">
        <v>242</v>
      </c>
      <c r="I7959" s="10" t="n">
        <v>11</v>
      </c>
      <c r="J7959" s="10" t="n">
        <v>0</v>
      </c>
      <c r="K7959" s="10" t="s">
        <v>20</v>
      </c>
      <c r="L7959" s="11" t="n">
        <v>40297.3646643519</v>
      </c>
      <c r="M7959" s="13" t="s">
        <v>17696</v>
      </c>
      <c r="N7959" s="13" t="s">
        <v>17697</v>
      </c>
      <c r="O7959" s="9" t="str">
        <f aca="false">HYPERLINK("https://pbs.twimg.com/profile_images/680605565563703297/Q-00P-mq_normal.png","View")</f>
        <v>View</v>
      </c>
      <c r="P7959" s="10"/>
    </row>
    <row r="7960" customFormat="false" ht="15.75" hidden="false" customHeight="false" outlineLevel="0" collapsed="false">
      <c r="A7960" s="6" t="n">
        <v>43031.8521296296</v>
      </c>
      <c r="B7960" s="7" t="str">
        <f aca="false">HYPERLINK("https://twitter.com/hal_eye","@hal_eye")</f>
        <v>@hal_eye</v>
      </c>
      <c r="C7960" s="8" t="s">
        <v>17698</v>
      </c>
      <c r="D7960" s="8" t="s">
        <v>17626</v>
      </c>
      <c r="E7960" s="9" t="str">
        <f aca="false">HYPERLINK("https://twitter.com/hal_eye/status/922665719845851137","922665719845851137")</f>
        <v>922665719845851137</v>
      </c>
      <c r="F7960" s="10" t="s">
        <v>25</v>
      </c>
      <c r="G7960" s="10" t="n">
        <v>78</v>
      </c>
      <c r="H7960" s="10" t="n">
        <v>273</v>
      </c>
      <c r="I7960" s="10" t="n">
        <v>51</v>
      </c>
      <c r="J7960" s="10" t="n">
        <v>0</v>
      </c>
      <c r="K7960" s="10" t="s">
        <v>20</v>
      </c>
      <c r="L7960" s="11" t="n">
        <v>41550.050462963</v>
      </c>
      <c r="M7960" s="12"/>
      <c r="N7960" s="12" t="s">
        <v>17699</v>
      </c>
      <c r="O7960" s="9" t="str">
        <f aca="false">HYPERLINK("https://pbs.twimg.com/profile_images/811679790973517824/ld1zB2jL_normal.jpg","View")</f>
        <v>View</v>
      </c>
      <c r="P7960" s="10"/>
    </row>
    <row r="7961" customFormat="false" ht="15.75" hidden="false" customHeight="false" outlineLevel="0" collapsed="false">
      <c r="A7961" s="6" t="n">
        <v>43031.8526851852</v>
      </c>
      <c r="B7961" s="7" t="str">
        <f aca="false">HYPERLINK("https://twitter.com/KobeMatthew1923","@KobeMatthew1923")</f>
        <v>@KobeMatthew1923</v>
      </c>
      <c r="C7961" s="8" t="s">
        <v>17700</v>
      </c>
      <c r="D7961" s="8" t="s">
        <v>17626</v>
      </c>
      <c r="E7961" s="9" t="str">
        <f aca="false">HYPERLINK("https://twitter.com/KobeMatthew1923/status/922665920547389442","922665920547389442")</f>
        <v>922665920547389442</v>
      </c>
      <c r="F7961" s="10" t="s">
        <v>51</v>
      </c>
      <c r="G7961" s="10" t="n">
        <v>45</v>
      </c>
      <c r="H7961" s="10" t="n">
        <v>185</v>
      </c>
      <c r="I7961" s="10" t="n">
        <v>51</v>
      </c>
      <c r="J7961" s="10" t="n">
        <v>0</v>
      </c>
      <c r="K7961" s="10" t="s">
        <v>20</v>
      </c>
      <c r="L7961" s="11" t="n">
        <v>42961.7056944444</v>
      </c>
      <c r="M7961" s="12" t="s">
        <v>9331</v>
      </c>
      <c r="N7961" s="12" t="s">
        <v>17701</v>
      </c>
      <c r="O7961" s="9" t="str">
        <f aca="false">HYPERLINK("https://pbs.twimg.com/profile_images/911431125775601671/9CCtvmwz_normal.jpg","View")</f>
        <v>View</v>
      </c>
      <c r="P7961" s="10"/>
    </row>
    <row r="7962" customFormat="false" ht="15.75" hidden="false" customHeight="false" outlineLevel="0" collapsed="false">
      <c r="A7962" s="6" t="n">
        <v>43031.8534259259</v>
      </c>
      <c r="B7962" s="7" t="str">
        <f aca="false">HYPERLINK("https://twitter.com/TheresaAFallon","@TheresaAFallon")</f>
        <v>@TheresaAFallon</v>
      </c>
      <c r="C7962" s="8" t="s">
        <v>3859</v>
      </c>
      <c r="D7962" s="8" t="s">
        <v>15302</v>
      </c>
      <c r="E7962" s="9" t="str">
        <f aca="false">HYPERLINK("https://twitter.com/TheresaAFallon/status/922666189376995328","922666189376995328")</f>
        <v>922666189376995328</v>
      </c>
      <c r="F7962" s="10" t="s">
        <v>39</v>
      </c>
      <c r="G7962" s="10" t="n">
        <v>12498</v>
      </c>
      <c r="H7962" s="10" t="n">
        <v>9080</v>
      </c>
      <c r="I7962" s="10" t="n">
        <v>11</v>
      </c>
      <c r="J7962" s="10" t="n">
        <v>0</v>
      </c>
      <c r="K7962" s="10" t="s">
        <v>20</v>
      </c>
      <c r="L7962" s="11" t="n">
        <v>41721.5580324074</v>
      </c>
      <c r="M7962" s="12" t="s">
        <v>1168</v>
      </c>
      <c r="N7962" s="12" t="s">
        <v>3861</v>
      </c>
      <c r="O7962" s="9" t="str">
        <f aca="false">HYPERLINK("https://pbs.twimg.com/profile_images/649602371648000000/TR22zWWv_normal.png","View")</f>
        <v>View</v>
      </c>
      <c r="P7962" s="10"/>
    </row>
    <row r="7963" customFormat="false" ht="15.75" hidden="false" customHeight="false" outlineLevel="0" collapsed="false">
      <c r="A7963" s="6" t="n">
        <v>43031.8556018519</v>
      </c>
      <c r="B7963" s="7" t="str">
        <f aca="false">HYPERLINK("https://twitter.com/tkoka","@tkoka")</f>
        <v>@tkoka</v>
      </c>
      <c r="C7963" s="14" t="s">
        <v>17702</v>
      </c>
      <c r="D7963" s="8" t="s">
        <v>17569</v>
      </c>
      <c r="E7963" s="9" t="str">
        <f aca="false">HYPERLINK("https://twitter.com/tkoka/status/922666977587380224","922666977587380224")</f>
        <v>922666977587380224</v>
      </c>
      <c r="F7963" s="10" t="s">
        <v>51</v>
      </c>
      <c r="G7963" s="10" t="n">
        <v>321</v>
      </c>
      <c r="H7963" s="10" t="n">
        <v>485</v>
      </c>
      <c r="I7963" s="10" t="n">
        <v>28</v>
      </c>
      <c r="J7963" s="10" t="n">
        <v>0</v>
      </c>
      <c r="K7963" s="10" t="s">
        <v>20</v>
      </c>
      <c r="L7963" s="11" t="n">
        <v>40448.9576157407</v>
      </c>
      <c r="M7963" s="13" t="s">
        <v>17703</v>
      </c>
      <c r="N7963" s="12" t="s">
        <v>17704</v>
      </c>
      <c r="O7963" s="9" t="str">
        <f aca="false">HYPERLINK("https://pbs.twimg.com/profile_images/2616883133/120916_1956_01_normal.jpg","View")</f>
        <v>View</v>
      </c>
      <c r="P7963" s="10"/>
    </row>
    <row r="7964" customFormat="false" ht="15.75" hidden="false" customHeight="false" outlineLevel="0" collapsed="false">
      <c r="A7964" s="6" t="n">
        <v>43031.855625</v>
      </c>
      <c r="B7964" s="7" t="str">
        <f aca="false">HYPERLINK("https://twitter.com/stein_m","@stein_m")</f>
        <v>@stein_m</v>
      </c>
      <c r="C7964" s="8" t="s">
        <v>17705</v>
      </c>
      <c r="D7964" s="8" t="s">
        <v>17706</v>
      </c>
      <c r="E7964" s="9" t="str">
        <f aca="false">HYPERLINK("https://twitter.com/stein_m/status/922666986563235841","922666986563235841")</f>
        <v>922666986563235841</v>
      </c>
      <c r="F7964" s="10" t="s">
        <v>39</v>
      </c>
      <c r="G7964" s="10" t="n">
        <v>10</v>
      </c>
      <c r="H7964" s="10" t="n">
        <v>2</v>
      </c>
      <c r="I7964" s="10" t="n">
        <v>0</v>
      </c>
      <c r="J7964" s="10" t="n">
        <v>0</v>
      </c>
      <c r="K7964" s="10" t="s">
        <v>20</v>
      </c>
      <c r="L7964" s="11" t="n">
        <v>40084.8533449074</v>
      </c>
      <c r="M7964" s="12" t="s">
        <v>1473</v>
      </c>
      <c r="N7964" s="12" t="s">
        <v>17707</v>
      </c>
      <c r="O7964" s="9" t="str">
        <f aca="false">HYPERLINK("https://pbs.twimg.com/profile_images/702329982631047168/v3pRW4UJ_normal.jpg","View")</f>
        <v>View</v>
      </c>
      <c r="P7964" s="10"/>
    </row>
    <row r="7965" customFormat="false" ht="15.75" hidden="false" customHeight="false" outlineLevel="0" collapsed="false">
      <c r="A7965" s="6" t="n">
        <v>43031.8558101852</v>
      </c>
      <c r="B7965" s="7" t="str">
        <f aca="false">HYPERLINK("https://twitter.com/Thoton","@Thoton")</f>
        <v>@Thoton</v>
      </c>
      <c r="C7965" s="8" t="s">
        <v>13902</v>
      </c>
      <c r="D7965" s="8" t="s">
        <v>17626</v>
      </c>
      <c r="E7965" s="9" t="str">
        <f aca="false">HYPERLINK("https://twitter.com/Thoton/status/922667054359965696","922667054359965696")</f>
        <v>922667054359965696</v>
      </c>
      <c r="F7965" s="10" t="s">
        <v>25</v>
      </c>
      <c r="G7965" s="10" t="n">
        <v>14228</v>
      </c>
      <c r="H7965" s="10" t="n">
        <v>4525</v>
      </c>
      <c r="I7965" s="10" t="n">
        <v>51</v>
      </c>
      <c r="J7965" s="10" t="n">
        <v>0</v>
      </c>
      <c r="K7965" s="10" t="s">
        <v>20</v>
      </c>
      <c r="L7965" s="11" t="n">
        <v>40388.1461805556</v>
      </c>
      <c r="M7965" s="12" t="s">
        <v>13904</v>
      </c>
      <c r="N7965" s="13" t="s">
        <v>13905</v>
      </c>
      <c r="O7965" s="9" t="str">
        <f aca="false">HYPERLINK("https://pbs.twimg.com/profile_images/875394157409320960/gQZv_1O4_normal.jpg","View")</f>
        <v>View</v>
      </c>
      <c r="P7965" s="10"/>
    </row>
    <row r="7966" customFormat="false" ht="15.75" hidden="false" customHeight="false" outlineLevel="0" collapsed="false">
      <c r="A7966" s="6" t="n">
        <v>43031.8559490741</v>
      </c>
      <c r="B7966" s="7" t="str">
        <f aca="false">HYPERLINK("https://twitter.com/SHatibu","@SHatibu")</f>
        <v>@SHatibu</v>
      </c>
      <c r="C7966" s="8" t="s">
        <v>17708</v>
      </c>
      <c r="D7966" s="8" t="s">
        <v>17626</v>
      </c>
      <c r="E7966" s="9" t="str">
        <f aca="false">HYPERLINK("https://twitter.com/SHatibu/status/922667105069170688","922667105069170688")</f>
        <v>922667105069170688</v>
      </c>
      <c r="F7966" s="10" t="s">
        <v>25</v>
      </c>
      <c r="G7966" s="10" t="n">
        <v>403</v>
      </c>
      <c r="H7966" s="10" t="n">
        <v>1219</v>
      </c>
      <c r="I7966" s="10" t="n">
        <v>51</v>
      </c>
      <c r="J7966" s="10" t="n">
        <v>0</v>
      </c>
      <c r="K7966" s="10" t="s">
        <v>20</v>
      </c>
      <c r="L7966" s="11" t="n">
        <v>41058.9074768518</v>
      </c>
      <c r="M7966" s="12" t="s">
        <v>17709</v>
      </c>
      <c r="N7966" s="12"/>
      <c r="O7966" s="9" t="str">
        <f aca="false">HYPERLINK("https://pbs.twimg.com/profile_images/3220977519/ea83951f429ab8113c0fc80ff96a1a19_normal.jpeg","View")</f>
        <v>View</v>
      </c>
      <c r="P7966" s="10"/>
    </row>
    <row r="7967" customFormat="false" ht="15.75" hidden="false" customHeight="false" outlineLevel="0" collapsed="false">
      <c r="A7967" s="6" t="n">
        <v>43031.8561574074</v>
      </c>
      <c r="B7967" s="7" t="str">
        <f aca="false">HYPERLINK("https://twitter.com/Thoton","@Thoton")</f>
        <v>@Thoton</v>
      </c>
      <c r="C7967" s="8" t="s">
        <v>13902</v>
      </c>
      <c r="D7967" s="8" t="s">
        <v>17569</v>
      </c>
      <c r="E7967" s="9" t="str">
        <f aca="false">HYPERLINK("https://twitter.com/Thoton/status/922667180390457344","922667180390457344")</f>
        <v>922667180390457344</v>
      </c>
      <c r="F7967" s="10" t="s">
        <v>25</v>
      </c>
      <c r="G7967" s="10" t="n">
        <v>14228</v>
      </c>
      <c r="H7967" s="10" t="n">
        <v>4525</v>
      </c>
      <c r="I7967" s="10" t="n">
        <v>28</v>
      </c>
      <c r="J7967" s="10" t="n">
        <v>0</v>
      </c>
      <c r="K7967" s="10" t="s">
        <v>20</v>
      </c>
      <c r="L7967" s="11" t="n">
        <v>40388.1461805556</v>
      </c>
      <c r="M7967" s="12" t="s">
        <v>13904</v>
      </c>
      <c r="N7967" s="13" t="s">
        <v>13905</v>
      </c>
      <c r="O7967" s="9" t="str">
        <f aca="false">HYPERLINK("https://pbs.twimg.com/profile_images/875394157409320960/gQZv_1O4_normal.jpg","View")</f>
        <v>View</v>
      </c>
      <c r="P7967" s="10"/>
    </row>
    <row r="7968" customFormat="false" ht="15.75" hidden="false" customHeight="false" outlineLevel="0" collapsed="false">
      <c r="A7968" s="6" t="n">
        <v>43031.8562037037</v>
      </c>
      <c r="B7968" s="7" t="str">
        <f aca="false">HYPERLINK("https://twitter.com/jainesh1204","@jainesh1204")</f>
        <v>@jainesh1204</v>
      </c>
      <c r="C7968" s="8" t="s">
        <v>17710</v>
      </c>
      <c r="D7968" s="8" t="s">
        <v>17626</v>
      </c>
      <c r="E7968" s="9" t="str">
        <f aca="false">HYPERLINK("https://twitter.com/jainesh1204/status/922667194164568064","922667194164568064")</f>
        <v>922667194164568064</v>
      </c>
      <c r="F7968" s="10" t="s">
        <v>51</v>
      </c>
      <c r="G7968" s="10" t="n">
        <v>523</v>
      </c>
      <c r="H7968" s="10" t="n">
        <v>200</v>
      </c>
      <c r="I7968" s="10" t="n">
        <v>51</v>
      </c>
      <c r="J7968" s="10" t="n">
        <v>0</v>
      </c>
      <c r="K7968" s="10" t="s">
        <v>20</v>
      </c>
      <c r="L7968" s="11" t="n">
        <v>42235.3241319445</v>
      </c>
      <c r="M7968" s="12" t="s">
        <v>17711</v>
      </c>
      <c r="N7968" s="12" t="s">
        <v>17712</v>
      </c>
      <c r="O7968" s="9" t="str">
        <f aca="false">HYPERLINK("https://pbs.twimg.com/profile_images/887726853233950721/wUybfidM_normal.jpg","View")</f>
        <v>View</v>
      </c>
      <c r="P7968" s="10"/>
    </row>
    <row r="7969" customFormat="false" ht="15.75" hidden="false" customHeight="false" outlineLevel="0" collapsed="false">
      <c r="A7969" s="6" t="n">
        <v>43031.8562962963</v>
      </c>
      <c r="B7969" s="7" t="str">
        <f aca="false">HYPERLINK("https://twitter.com/SsSiayers","@SsSiayers")</f>
        <v>@SsSiayers</v>
      </c>
      <c r="C7969" s="8" t="s">
        <v>17713</v>
      </c>
      <c r="D7969" s="8" t="s">
        <v>14598</v>
      </c>
      <c r="E7969" s="9" t="str">
        <f aca="false">HYPERLINK("https://twitter.com/SsSiayers/status/922667230705438726","922667230705438726")</f>
        <v>922667230705438726</v>
      </c>
      <c r="F7969" s="10" t="s">
        <v>25</v>
      </c>
      <c r="G7969" s="10" t="n">
        <v>28</v>
      </c>
      <c r="H7969" s="10" t="n">
        <v>1033</v>
      </c>
      <c r="I7969" s="10" t="n">
        <v>23</v>
      </c>
      <c r="J7969" s="10" t="n">
        <v>0</v>
      </c>
      <c r="K7969" s="10" t="s">
        <v>20</v>
      </c>
      <c r="L7969" s="11" t="n">
        <v>41743.9447337963</v>
      </c>
      <c r="M7969" s="12" t="s">
        <v>17714</v>
      </c>
      <c r="N7969" s="12" t="s">
        <v>17715</v>
      </c>
      <c r="O7969" s="9" t="str">
        <f aca="false">HYPERLINK("https://pbs.twimg.com/profile_images/749769175258783744/D84nDdx0_normal.jpg","View")</f>
        <v>View</v>
      </c>
      <c r="P7969" s="10"/>
    </row>
    <row r="7970" customFormat="false" ht="15.75" hidden="false" customHeight="false" outlineLevel="0" collapsed="false">
      <c r="A7970" s="6" t="n">
        <v>43031.8563773148</v>
      </c>
      <c r="B7970" s="7" t="str">
        <f aca="false">HYPERLINK("https://twitter.com/Paboya108","@Paboya108")</f>
        <v>@Paboya108</v>
      </c>
      <c r="C7970" s="8" t="s">
        <v>17716</v>
      </c>
      <c r="D7970" s="8" t="s">
        <v>17569</v>
      </c>
      <c r="E7970" s="9" t="str">
        <f aca="false">HYPERLINK("https://twitter.com/Paboya108/status/922667257502711808","922667257502711808")</f>
        <v>922667257502711808</v>
      </c>
      <c r="F7970" s="10" t="s">
        <v>39</v>
      </c>
      <c r="G7970" s="10" t="n">
        <v>2607</v>
      </c>
      <c r="H7970" s="10" t="n">
        <v>2569</v>
      </c>
      <c r="I7970" s="10" t="n">
        <v>28</v>
      </c>
      <c r="J7970" s="10" t="n">
        <v>0</v>
      </c>
      <c r="K7970" s="10" t="s">
        <v>20</v>
      </c>
      <c r="L7970" s="11" t="n">
        <v>40969.4350231482</v>
      </c>
      <c r="M7970" s="12"/>
      <c r="N7970" s="13" t="s">
        <v>17717</v>
      </c>
      <c r="O7970" s="9" t="str">
        <f aca="false">HYPERLINK("https://pbs.twimg.com/profile_images/576879271626440704/6vAS2pnn_normal.jpeg","View")</f>
        <v>View</v>
      </c>
      <c r="P7970" s="10"/>
    </row>
    <row r="7971" customFormat="false" ht="15.75" hidden="false" customHeight="false" outlineLevel="0" collapsed="false">
      <c r="A7971" s="6" t="n">
        <v>43031.856724537</v>
      </c>
      <c r="B7971" s="7" t="str">
        <f aca="false">HYPERLINK("https://twitter.com/joetrader6","@joetrader6")</f>
        <v>@joetrader6</v>
      </c>
      <c r="C7971" s="8" t="s">
        <v>1415</v>
      </c>
      <c r="D7971" s="8" t="s">
        <v>17626</v>
      </c>
      <c r="E7971" s="9" t="str">
        <f aca="false">HYPERLINK("https://twitter.com/joetrader6/status/922667383751368704","922667383751368704")</f>
        <v>922667383751368704</v>
      </c>
      <c r="F7971" s="10" t="s">
        <v>51</v>
      </c>
      <c r="G7971" s="10" t="n">
        <v>265</v>
      </c>
      <c r="H7971" s="10" t="n">
        <v>450</v>
      </c>
      <c r="I7971" s="10" t="n">
        <v>51</v>
      </c>
      <c r="J7971" s="10" t="n">
        <v>0</v>
      </c>
      <c r="K7971" s="10" t="s">
        <v>20</v>
      </c>
      <c r="L7971" s="11" t="n">
        <v>41226.4339930556</v>
      </c>
      <c r="M7971" s="12"/>
      <c r="N7971" s="12" t="s">
        <v>1416</v>
      </c>
      <c r="O7971" s="9" t="str">
        <f aca="false">HYPERLINK("https://pbs.twimg.com/profile_images/2849377721/080037e8101380451d04cb0e7f6c9621_normal.jpeg","View")</f>
        <v>View</v>
      </c>
      <c r="P7971" s="10"/>
    </row>
    <row r="7972" customFormat="false" ht="15.75" hidden="false" customHeight="false" outlineLevel="0" collapsed="false">
      <c r="A7972" s="6" t="n">
        <v>43031.859224537</v>
      </c>
      <c r="B7972" s="7" t="str">
        <f aca="false">HYPERLINK("https://twitter.com/e__mccarthy","@e__mccarthy")</f>
        <v>@e__mccarthy</v>
      </c>
      <c r="C7972" s="8" t="s">
        <v>17718</v>
      </c>
      <c r="D7972" s="8" t="s">
        <v>16785</v>
      </c>
      <c r="E7972" s="9" t="str">
        <f aca="false">HYPERLINK("https://twitter.com/e__mccarthy/status/922668289544908800","922668289544908800")</f>
        <v>922668289544908800</v>
      </c>
      <c r="F7972" s="10" t="s">
        <v>51</v>
      </c>
      <c r="G7972" s="10" t="n">
        <v>146</v>
      </c>
      <c r="H7972" s="10" t="n">
        <v>472</v>
      </c>
      <c r="I7972" s="10" t="n">
        <v>41</v>
      </c>
      <c r="J7972" s="10" t="n">
        <v>0</v>
      </c>
      <c r="K7972" s="10" t="s">
        <v>20</v>
      </c>
      <c r="L7972" s="11" t="n">
        <v>40208.371724537</v>
      </c>
      <c r="M7972" s="12" t="s">
        <v>1423</v>
      </c>
      <c r="N7972" s="12" t="s">
        <v>17719</v>
      </c>
      <c r="O7972" s="9" t="str">
        <f aca="false">HYPERLINK("https://pbs.twimg.com/profile_images/745771001615548416/0hJASgSv_normal.jpg","View")</f>
        <v>View</v>
      </c>
      <c r="P7972" s="10"/>
    </row>
    <row r="7973" customFormat="false" ht="15.75" hidden="false" customHeight="false" outlineLevel="0" collapsed="false">
      <c r="A7973" s="6" t="n">
        <v>43031.8593981482</v>
      </c>
      <c r="B7973" s="7" t="str">
        <f aca="false">HYPERLINK("https://twitter.com/TheIndiangag","@TheIndiangag")</f>
        <v>@TheIndiangag</v>
      </c>
      <c r="C7973" s="8" t="s">
        <v>17720</v>
      </c>
      <c r="D7973" s="8" t="s">
        <v>8538</v>
      </c>
      <c r="E7973" s="9" t="str">
        <f aca="false">HYPERLINK("https://twitter.com/TheIndiangag/status/922668352396443648","922668352396443648")</f>
        <v>922668352396443648</v>
      </c>
      <c r="F7973" s="10" t="s">
        <v>25</v>
      </c>
      <c r="G7973" s="10" t="n">
        <v>213</v>
      </c>
      <c r="H7973" s="10" t="n">
        <v>201</v>
      </c>
      <c r="I7973" s="10" t="n">
        <v>1015</v>
      </c>
      <c r="J7973" s="10" t="n">
        <v>0</v>
      </c>
      <c r="K7973" s="10" t="s">
        <v>20</v>
      </c>
      <c r="L7973" s="11" t="n">
        <v>40310.1071180556</v>
      </c>
      <c r="M7973" s="12" t="s">
        <v>17721</v>
      </c>
      <c r="N7973" s="12" t="s">
        <v>17722</v>
      </c>
      <c r="O7973" s="9" t="str">
        <f aca="false">HYPERLINK("https://pbs.twimg.com/profile_images/515201645546700801/CnmZDaDs_normal.jpeg","View")</f>
        <v>View</v>
      </c>
      <c r="P7973" s="10"/>
    </row>
    <row r="7974" customFormat="false" ht="15.75" hidden="false" customHeight="false" outlineLevel="0" collapsed="false">
      <c r="A7974" s="6" t="n">
        <v>43031.8596643519</v>
      </c>
      <c r="B7974" s="7" t="str">
        <f aca="false">HYPERLINK("https://twitter.com/SoBeCharly","@SoBeCharly")</f>
        <v>@SoBeCharly</v>
      </c>
      <c r="C7974" s="8" t="s">
        <v>17723</v>
      </c>
      <c r="D7974" s="8" t="s">
        <v>16929</v>
      </c>
      <c r="E7974" s="9" t="str">
        <f aca="false">HYPERLINK("https://twitter.com/SoBeCharly/status/922668449289170946","922668449289170946")</f>
        <v>922668449289170946</v>
      </c>
      <c r="F7974" s="10" t="s">
        <v>98</v>
      </c>
      <c r="G7974" s="10" t="n">
        <v>399</v>
      </c>
      <c r="H7974" s="10" t="n">
        <v>431</v>
      </c>
      <c r="I7974" s="10" t="n">
        <v>247</v>
      </c>
      <c r="J7974" s="10" t="n">
        <v>0</v>
      </c>
      <c r="K7974" s="10" t="s">
        <v>20</v>
      </c>
      <c r="L7974" s="11" t="n">
        <v>40810.3477314815</v>
      </c>
      <c r="M7974" s="12" t="s">
        <v>17724</v>
      </c>
      <c r="N7974" s="12"/>
      <c r="O7974" s="9" t="str">
        <f aca="false">HYPERLINK("https://pbs.twimg.com/profile_images/497208248231927808/9fC3zJnc_normal.jpeg","View")</f>
        <v>View</v>
      </c>
      <c r="P7974" s="10"/>
    </row>
    <row r="7975" customFormat="false" ht="15.75" hidden="false" customHeight="false" outlineLevel="0" collapsed="false">
      <c r="A7975" s="6" t="n">
        <v>43031.8598263889</v>
      </c>
      <c r="B7975" s="7" t="str">
        <f aca="false">HYPERLINK("https://twitter.com/MitkaryS","@MitkaryS")</f>
        <v>@MitkaryS</v>
      </c>
      <c r="C7975" s="8" t="s">
        <v>17725</v>
      </c>
      <c r="D7975" s="8" t="s">
        <v>15327</v>
      </c>
      <c r="E7975" s="9" t="str">
        <f aca="false">HYPERLINK("https://twitter.com/MitkaryS/status/922668509104103426","922668509104103426")</f>
        <v>922668509104103426</v>
      </c>
      <c r="F7975" s="10" t="s">
        <v>25</v>
      </c>
      <c r="G7975" s="10" t="n">
        <v>793</v>
      </c>
      <c r="H7975" s="10" t="n">
        <v>1154</v>
      </c>
      <c r="I7975" s="10" t="n">
        <v>4</v>
      </c>
      <c r="J7975" s="10" t="n">
        <v>0</v>
      </c>
      <c r="K7975" s="10" t="s">
        <v>20</v>
      </c>
      <c r="L7975" s="11" t="n">
        <v>40022.4575578704</v>
      </c>
      <c r="M7975" s="12" t="s">
        <v>72</v>
      </c>
      <c r="N7975" s="12" t="s">
        <v>17726</v>
      </c>
      <c r="O7975" s="9" t="str">
        <f aca="false">HYPERLINK("https://pbs.twimg.com/profile_images/897324329368551425/7DD-ZOhT_normal.jpg","View")</f>
        <v>View</v>
      </c>
      <c r="P7975" s="10"/>
    </row>
    <row r="7976" customFormat="false" ht="15.75" hidden="false" customHeight="false" outlineLevel="0" collapsed="false">
      <c r="A7976" s="6" t="n">
        <v>43031.8601157407</v>
      </c>
      <c r="B7976" s="7" t="str">
        <f aca="false">HYPERLINK("https://twitter.com/jambudweepan","@jambudweepan")</f>
        <v>@jambudweepan</v>
      </c>
      <c r="C7976" s="8" t="s">
        <v>17727</v>
      </c>
      <c r="D7976" s="8" t="s">
        <v>8538</v>
      </c>
      <c r="E7976" s="9" t="str">
        <f aca="false">HYPERLINK("https://twitter.com/jambudweepan/status/922668615047843841","922668615047843841")</f>
        <v>922668615047843841</v>
      </c>
      <c r="F7976" s="10" t="s">
        <v>39</v>
      </c>
      <c r="G7976" s="10" t="n">
        <v>218</v>
      </c>
      <c r="H7976" s="10" t="n">
        <v>277</v>
      </c>
      <c r="I7976" s="10" t="n">
        <v>1015</v>
      </c>
      <c r="J7976" s="10" t="n">
        <v>0</v>
      </c>
      <c r="K7976" s="10" t="s">
        <v>20</v>
      </c>
      <c r="L7976" s="11" t="n">
        <v>42311.8621180556</v>
      </c>
      <c r="M7976" s="12" t="s">
        <v>4400</v>
      </c>
      <c r="N7976" s="12" t="s">
        <v>17728</v>
      </c>
      <c r="O7976" s="9" t="str">
        <f aca="false">HYPERLINK("https://pbs.twimg.com/profile_images/661840225576972288/6ibTwdM__normal.jpg","View")</f>
        <v>View</v>
      </c>
      <c r="P7976" s="10"/>
    </row>
    <row r="7977" customFormat="false" ht="15.75" hidden="false" customHeight="false" outlineLevel="0" collapsed="false">
      <c r="A7977" s="6" t="n">
        <v>43031.8604050926</v>
      </c>
      <c r="B7977" s="7" t="str">
        <f aca="false">HYPERLINK("https://twitter.com/LD7377","@LD7377")</f>
        <v>@LD7377</v>
      </c>
      <c r="C7977" s="8" t="s">
        <v>17729</v>
      </c>
      <c r="D7977" s="8" t="s">
        <v>16929</v>
      </c>
      <c r="E7977" s="9" t="str">
        <f aca="false">HYPERLINK("https://twitter.com/LD7377/status/922668719649693697","922668719649693697")</f>
        <v>922668719649693697</v>
      </c>
      <c r="F7977" s="10" t="s">
        <v>177</v>
      </c>
      <c r="G7977" s="10" t="n">
        <v>31</v>
      </c>
      <c r="H7977" s="10" t="n">
        <v>146</v>
      </c>
      <c r="I7977" s="10" t="n">
        <v>247</v>
      </c>
      <c r="J7977" s="10" t="n">
        <v>0</v>
      </c>
      <c r="K7977" s="10" t="s">
        <v>20</v>
      </c>
      <c r="L7977" s="11" t="n">
        <v>42929.9416435185</v>
      </c>
      <c r="M7977" s="12"/>
      <c r="N7977" s="12"/>
      <c r="O7977" s="9" t="str">
        <f aca="false">HYPERLINK("https://abs.twimg.com/sticky/default_profile_images/default_profile_normal.png","View")</f>
        <v>View</v>
      </c>
      <c r="P7977" s="10"/>
    </row>
    <row r="7978" customFormat="false" ht="15.75" hidden="false" customHeight="false" outlineLevel="0" collapsed="false">
      <c r="A7978" s="6" t="n">
        <v>43031.8635069444</v>
      </c>
      <c r="B7978" s="7" t="str">
        <f aca="false">HYPERLINK("https://twitter.com/ChooseGudPerson","@ChooseGudPerson")</f>
        <v>@ChooseGudPerson</v>
      </c>
      <c r="C7978" s="8" t="s">
        <v>15461</v>
      </c>
      <c r="D7978" s="8" t="s">
        <v>17626</v>
      </c>
      <c r="E7978" s="9" t="str">
        <f aca="false">HYPERLINK("https://twitter.com/ChooseGudPerson/status/922669842552856577","922669842552856577")</f>
        <v>922669842552856577</v>
      </c>
      <c r="F7978" s="10" t="s">
        <v>25</v>
      </c>
      <c r="G7978" s="10" t="n">
        <v>335</v>
      </c>
      <c r="H7978" s="10" t="n">
        <v>288</v>
      </c>
      <c r="I7978" s="10" t="n">
        <v>51</v>
      </c>
      <c r="J7978" s="10" t="n">
        <v>0</v>
      </c>
      <c r="K7978" s="10" t="s">
        <v>20</v>
      </c>
      <c r="L7978" s="11" t="n">
        <v>42035.9840740741</v>
      </c>
      <c r="M7978" s="12"/>
      <c r="N7978" s="12" t="s">
        <v>15462</v>
      </c>
      <c r="O7978" s="9" t="str">
        <f aca="false">HYPERLINK("https://pbs.twimg.com/profile_images/856840622711463937/t5-IWQdE_normal.jpg","View")</f>
        <v>View</v>
      </c>
      <c r="P7978" s="10"/>
    </row>
    <row r="7979" customFormat="false" ht="15.75" hidden="false" customHeight="false" outlineLevel="0" collapsed="false">
      <c r="A7979" s="6" t="n">
        <v>43031.864525463</v>
      </c>
      <c r="B7979" s="7" t="str">
        <f aca="false">HYPERLINK("https://twitter.com/kelvinmagreth19","@kelvinmagreth19")</f>
        <v>@kelvinmagreth19</v>
      </c>
      <c r="C7979" s="8" t="s">
        <v>17730</v>
      </c>
      <c r="D7979" s="8" t="s">
        <v>17569</v>
      </c>
      <c r="E7979" s="9" t="str">
        <f aca="false">HYPERLINK("https://twitter.com/kelvinmagreth19/status/922670211152666624","922670211152666624")</f>
        <v>922670211152666624</v>
      </c>
      <c r="F7979" s="10" t="s">
        <v>3790</v>
      </c>
      <c r="G7979" s="10" t="n">
        <v>377</v>
      </c>
      <c r="H7979" s="10" t="n">
        <v>136</v>
      </c>
      <c r="I7979" s="10" t="n">
        <v>28</v>
      </c>
      <c r="J7979" s="10" t="n">
        <v>0</v>
      </c>
      <c r="K7979" s="10" t="s">
        <v>20</v>
      </c>
      <c r="L7979" s="11" t="n">
        <v>42041.1837731482</v>
      </c>
      <c r="M7979" s="12" t="s">
        <v>17731</v>
      </c>
      <c r="N7979" s="12" t="s">
        <v>17732</v>
      </c>
      <c r="O7979" s="9" t="str">
        <f aca="false">HYPERLINK("https://pbs.twimg.com/profile_images/788994186439749632/7ZxP4S3c_normal.jpg","View")</f>
        <v>View</v>
      </c>
      <c r="P7979" s="10"/>
    </row>
    <row r="7980" customFormat="false" ht="15.75" hidden="false" customHeight="false" outlineLevel="0" collapsed="false">
      <c r="A7980" s="6" t="n">
        <v>43031.8650810185</v>
      </c>
      <c r="B7980" s="7" t="str">
        <f aca="false">HYPERLINK("https://twitter.com/SusieNielsen66","@SusieNielsen66")</f>
        <v>@SusieNielsen66</v>
      </c>
      <c r="C7980" s="8" t="s">
        <v>17733</v>
      </c>
      <c r="D7980" s="8" t="s">
        <v>16929</v>
      </c>
      <c r="E7980" s="9" t="str">
        <f aca="false">HYPERLINK("https://twitter.com/SusieNielsen66/status/922670413343264768","922670413343264768")</f>
        <v>922670413343264768</v>
      </c>
      <c r="F7980" s="10" t="s">
        <v>25</v>
      </c>
      <c r="G7980" s="10" t="n">
        <v>10</v>
      </c>
      <c r="H7980" s="10" t="n">
        <v>88</v>
      </c>
      <c r="I7980" s="10" t="n">
        <v>247</v>
      </c>
      <c r="J7980" s="10" t="n">
        <v>0</v>
      </c>
      <c r="K7980" s="10" t="s">
        <v>20</v>
      </c>
      <c r="L7980" s="11" t="n">
        <v>43007.9162268519</v>
      </c>
      <c r="M7980" s="12"/>
      <c r="N7980" s="12"/>
      <c r="O7980" s="9" t="str">
        <f aca="false">HYPERLINK("https://abs.twimg.com/sticky/default_profile_images/default_profile_normal.png","View")</f>
        <v>View</v>
      </c>
      <c r="P7980" s="10"/>
    </row>
    <row r="7981" customFormat="false" ht="15.75" hidden="false" customHeight="false" outlineLevel="0" collapsed="false">
      <c r="A7981" s="6" t="n">
        <v>43031.8665277778</v>
      </c>
      <c r="B7981" s="7" t="str">
        <f aca="false">HYPERLINK("https://twitter.com/astrojog","@astrojog")</f>
        <v>@astrojog</v>
      </c>
      <c r="C7981" s="8" t="s">
        <v>17734</v>
      </c>
      <c r="D7981" s="8" t="s">
        <v>17735</v>
      </c>
      <c r="E7981" s="9" t="str">
        <f aca="false">HYPERLINK("https://twitter.com/astrojog/status/922670937098481665","922670937098481665")</f>
        <v>922670937098481665</v>
      </c>
      <c r="F7981" s="10" t="s">
        <v>25</v>
      </c>
      <c r="G7981" s="10" t="n">
        <v>460</v>
      </c>
      <c r="H7981" s="10" t="n">
        <v>2155</v>
      </c>
      <c r="I7981" s="10" t="n">
        <v>2</v>
      </c>
      <c r="J7981" s="10" t="n">
        <v>0</v>
      </c>
      <c r="K7981" s="10" t="s">
        <v>20</v>
      </c>
      <c r="L7981" s="11" t="n">
        <v>39801.5653356481</v>
      </c>
      <c r="M7981" s="12"/>
      <c r="N7981" s="12" t="s">
        <v>17736</v>
      </c>
      <c r="O7981" s="9" t="str">
        <f aca="false">HYPERLINK("https://pbs.twimg.com/profile_images/2252870021/en-lemaitre-einstein_normal.jpg","View")</f>
        <v>View</v>
      </c>
      <c r="P7981" s="10"/>
    </row>
    <row r="7982" customFormat="false" ht="15.75" hidden="false" customHeight="false" outlineLevel="0" collapsed="false">
      <c r="A7982" s="6" t="n">
        <v>43031.8687615741</v>
      </c>
      <c r="B7982" s="7" t="str">
        <f aca="false">HYPERLINK("https://twitter.com/acceentee","@acceentee")</f>
        <v>@acceentee</v>
      </c>
      <c r="C7982" s="8" t="s">
        <v>17737</v>
      </c>
      <c r="D7982" s="8" t="s">
        <v>16929</v>
      </c>
      <c r="E7982" s="9" t="str">
        <f aca="false">HYPERLINK("https://twitter.com/acceentee/status/922671746418970626","922671746418970626")</f>
        <v>922671746418970626</v>
      </c>
      <c r="F7982" s="10" t="s">
        <v>25</v>
      </c>
      <c r="G7982" s="10" t="n">
        <v>54</v>
      </c>
      <c r="H7982" s="10" t="n">
        <v>650</v>
      </c>
      <c r="I7982" s="10" t="n">
        <v>247</v>
      </c>
      <c r="J7982" s="10" t="n">
        <v>0</v>
      </c>
      <c r="K7982" s="10" t="s">
        <v>20</v>
      </c>
      <c r="L7982" s="11" t="n">
        <v>42930.594525463</v>
      </c>
      <c r="M7982" s="12"/>
      <c r="N7982" s="12"/>
      <c r="O7982" s="9" t="str">
        <f aca="false">HYPERLINK("https://abs.twimg.com/sticky/default_profile_images/default_profile_normal.png","View")</f>
        <v>View</v>
      </c>
      <c r="P7982" s="10"/>
    </row>
    <row r="7983" customFormat="false" ht="15.75" hidden="false" customHeight="false" outlineLevel="0" collapsed="false">
      <c r="A7983" s="6" t="n">
        <v>43031.8699884259</v>
      </c>
      <c r="B7983" s="7" t="str">
        <f aca="false">HYPERLINK("https://twitter.com/breaking_news_4","@breaking_news_4")</f>
        <v>@breaking_news_4</v>
      </c>
      <c r="C7983" s="8" t="s">
        <v>310</v>
      </c>
      <c r="D7983" s="8" t="s">
        <v>16698</v>
      </c>
      <c r="E7983" s="9" t="str">
        <f aca="false">HYPERLINK("https://twitter.com/breaking_news_4/status/922672191103295490","922672191103295490")</f>
        <v>922672191103295490</v>
      </c>
      <c r="F7983" s="10" t="s">
        <v>60</v>
      </c>
      <c r="G7983" s="10" t="n">
        <v>1569</v>
      </c>
      <c r="H7983" s="10" t="n">
        <v>168</v>
      </c>
      <c r="I7983" s="10" t="n">
        <v>0</v>
      </c>
      <c r="J7983" s="10" t="n">
        <v>0</v>
      </c>
      <c r="K7983" s="10" t="s">
        <v>20</v>
      </c>
      <c r="L7983" s="11" t="n">
        <v>41323.5986111111</v>
      </c>
      <c r="M7983" s="12"/>
      <c r="N7983" s="12"/>
      <c r="O7983" s="9" t="str">
        <f aca="false">HYPERLINK("https://pbs.twimg.com/profile_images/3506234829/a38e573d69ee71fcc25830b97d00c179_normal.png","View")</f>
        <v>View</v>
      </c>
      <c r="P7983" s="10"/>
    </row>
    <row r="7984" customFormat="false" ht="15.75" hidden="false" customHeight="false" outlineLevel="0" collapsed="false">
      <c r="A7984" s="6" t="n">
        <v>43031.8702199074</v>
      </c>
      <c r="B7984" s="7" t="str">
        <f aca="false">HYPERLINK("https://twitter.com/MarcoNavarroLor","@MarcoNavarroLor")</f>
        <v>@MarcoNavarroLor</v>
      </c>
      <c r="C7984" s="8" t="s">
        <v>16463</v>
      </c>
      <c r="D7984" s="8" t="s">
        <v>17626</v>
      </c>
      <c r="E7984" s="9" t="str">
        <f aca="false">HYPERLINK("https://twitter.com/MarcoNavarroLor/status/922672274242768896","922672274242768896")</f>
        <v>922672274242768896</v>
      </c>
      <c r="F7984" s="10" t="s">
        <v>51</v>
      </c>
      <c r="G7984" s="10" t="n">
        <v>684</v>
      </c>
      <c r="H7984" s="10" t="n">
        <v>100</v>
      </c>
      <c r="I7984" s="10" t="n">
        <v>51</v>
      </c>
      <c r="J7984" s="10" t="n">
        <v>0</v>
      </c>
      <c r="K7984" s="10" t="s">
        <v>20</v>
      </c>
      <c r="L7984" s="11" t="n">
        <v>42314.4551041667</v>
      </c>
      <c r="M7984" s="12" t="s">
        <v>16464</v>
      </c>
      <c r="N7984" s="12" t="s">
        <v>16465</v>
      </c>
      <c r="O7984" s="9" t="str">
        <f aca="false">HYPERLINK("https://pbs.twimg.com/profile_images/913887688268402688/p4NueOZE_normal.jpg","View")</f>
        <v>View</v>
      </c>
      <c r="P7984" s="10"/>
    </row>
    <row r="7985" customFormat="false" ht="15.75" hidden="false" customHeight="false" outlineLevel="0" collapsed="false">
      <c r="A7985" s="6" t="n">
        <v>43031.8712847222</v>
      </c>
      <c r="B7985" s="7" t="str">
        <f aca="false">HYPERLINK("https://twitter.com/canaemt","@canaemt")</f>
        <v>@canaemt</v>
      </c>
      <c r="C7985" s="14" t="s">
        <v>17738</v>
      </c>
      <c r="D7985" s="8" t="s">
        <v>15821</v>
      </c>
      <c r="E7985" s="9" t="str">
        <f aca="false">HYPERLINK("https://twitter.com/canaemt/status/922672662551314432","922672662551314432")</f>
        <v>922672662551314432</v>
      </c>
      <c r="F7985" s="10" t="s">
        <v>25</v>
      </c>
      <c r="G7985" s="10" t="n">
        <v>111</v>
      </c>
      <c r="H7985" s="10" t="n">
        <v>337</v>
      </c>
      <c r="I7985" s="10" t="n">
        <v>41</v>
      </c>
      <c r="J7985" s="10" t="n">
        <v>0</v>
      </c>
      <c r="K7985" s="10" t="s">
        <v>20</v>
      </c>
      <c r="L7985" s="11" t="n">
        <v>40542.1497337963</v>
      </c>
      <c r="M7985" s="12"/>
      <c r="N7985" s="13" t="s">
        <v>17739</v>
      </c>
      <c r="O7985" s="9" t="str">
        <f aca="false">HYPERLINK("https://pbs.twimg.com/profile_images/900584924863909888/R67f8gl4_normal.jpg","View")</f>
        <v>View</v>
      </c>
      <c r="P7985" s="10"/>
    </row>
    <row r="7986" customFormat="false" ht="15.75" hidden="false" customHeight="false" outlineLevel="0" collapsed="false">
      <c r="A7986" s="6" t="n">
        <v>43031.8717361111</v>
      </c>
      <c r="B7986" s="7" t="str">
        <f aca="false">HYPERLINK("https://twitter.com/tamraraven","@tamraraven")</f>
        <v>@tamraraven</v>
      </c>
      <c r="C7986" s="8" t="s">
        <v>17740</v>
      </c>
      <c r="D7986" s="8" t="s">
        <v>13595</v>
      </c>
      <c r="E7986" s="9" t="str">
        <f aca="false">HYPERLINK("https://twitter.com/tamraraven/status/922672825927790593","922672825927790593")</f>
        <v>922672825927790593</v>
      </c>
      <c r="F7986" s="10" t="s">
        <v>51</v>
      </c>
      <c r="G7986" s="10" t="n">
        <v>2798</v>
      </c>
      <c r="H7986" s="10" t="n">
        <v>5001</v>
      </c>
      <c r="I7986" s="10" t="n">
        <v>88</v>
      </c>
      <c r="J7986" s="10" t="n">
        <v>0</v>
      </c>
      <c r="K7986" s="10" t="s">
        <v>20</v>
      </c>
      <c r="L7986" s="11" t="n">
        <v>40578.9494907407</v>
      </c>
      <c r="M7986" s="12" t="s">
        <v>17741</v>
      </c>
      <c r="N7986" s="12" t="s">
        <v>17742</v>
      </c>
      <c r="O7986" s="9" t="str">
        <f aca="false">HYPERLINK("https://pbs.twimg.com/profile_images/1886945817/GSTM_baby_icon_125_normal.jpg","View")</f>
        <v>View</v>
      </c>
      <c r="P7986" s="10"/>
    </row>
    <row r="7987" customFormat="false" ht="15.75" hidden="false" customHeight="false" outlineLevel="0" collapsed="false">
      <c r="A7987" s="6" t="n">
        <v>43031.8723032407</v>
      </c>
      <c r="B7987" s="7" t="str">
        <f aca="false">HYPERLINK("https://twitter.com/Batzul","@Batzul")</f>
        <v>@Batzul</v>
      </c>
      <c r="C7987" s="8" t="s">
        <v>17743</v>
      </c>
      <c r="D7987" s="8" t="s">
        <v>17626</v>
      </c>
      <c r="E7987" s="9" t="str">
        <f aca="false">HYPERLINK("https://twitter.com/Batzul/status/922673029187911681","922673029187911681")</f>
        <v>922673029187911681</v>
      </c>
      <c r="F7987" s="10" t="s">
        <v>51</v>
      </c>
      <c r="G7987" s="10" t="n">
        <v>5909</v>
      </c>
      <c r="H7987" s="10" t="n">
        <v>339</v>
      </c>
      <c r="I7987" s="10" t="n">
        <v>51</v>
      </c>
      <c r="J7987" s="10" t="n">
        <v>0</v>
      </c>
      <c r="K7987" s="10" t="s">
        <v>20</v>
      </c>
      <c r="L7987" s="11" t="n">
        <v>40098.465162037</v>
      </c>
      <c r="M7987" s="12" t="s">
        <v>17744</v>
      </c>
      <c r="N7987" s="12" t="s">
        <v>17745</v>
      </c>
      <c r="O7987" s="9" t="str">
        <f aca="false">HYPERLINK("https://pbs.twimg.com/profile_images/785735965197279232/z57Dc-Rf_normal.jpg","View")</f>
        <v>View</v>
      </c>
      <c r="P7987" s="10"/>
    </row>
    <row r="7988" customFormat="false" ht="15.75" hidden="false" customHeight="false" outlineLevel="0" collapsed="false">
      <c r="A7988" s="6" t="n">
        <v>43031.8765046296</v>
      </c>
      <c r="B7988" s="7" t="str">
        <f aca="false">HYPERLINK("https://twitter.com/edgawanewcomer","@edgawanewcomer")</f>
        <v>@edgawanewcomer</v>
      </c>
      <c r="C7988" s="14" t="s">
        <v>17746</v>
      </c>
      <c r="D7988" s="8" t="s">
        <v>15302</v>
      </c>
      <c r="E7988" s="9" t="str">
        <f aca="false">HYPERLINK("https://twitter.com/edgawanewcomer/status/922674552617934848","922674552617934848")</f>
        <v>922674552617934848</v>
      </c>
      <c r="F7988" s="10" t="s">
        <v>39</v>
      </c>
      <c r="G7988" s="10" t="n">
        <v>71</v>
      </c>
      <c r="H7988" s="10" t="n">
        <v>417</v>
      </c>
      <c r="I7988" s="10" t="n">
        <v>11</v>
      </c>
      <c r="J7988" s="10" t="n">
        <v>0</v>
      </c>
      <c r="K7988" s="10" t="s">
        <v>20</v>
      </c>
      <c r="L7988" s="11" t="n">
        <v>42931.6893981482</v>
      </c>
      <c r="M7988" s="13" t="s">
        <v>17747</v>
      </c>
      <c r="N7988" s="13" t="s">
        <v>17748</v>
      </c>
      <c r="O7988" s="9" t="str">
        <f aca="false">HYPERLINK("https://pbs.twimg.com/profile_images/886749143233814529/Wer1UREb_normal.jpg","View")</f>
        <v>View</v>
      </c>
      <c r="P7988" s="10"/>
    </row>
    <row r="7989" customFormat="false" ht="15.75" hidden="false" customHeight="false" outlineLevel="0" collapsed="false">
      <c r="A7989" s="6" t="n">
        <v>43031.8765740741</v>
      </c>
      <c r="B7989" s="7" t="str">
        <f aca="false">HYPERLINK("https://twitter.com/AzzhureSpain","@AzzhureSpain")</f>
        <v>@AzzhureSpain</v>
      </c>
      <c r="C7989" s="8" t="s">
        <v>17749</v>
      </c>
      <c r="D7989" s="8" t="s">
        <v>17626</v>
      </c>
      <c r="E7989" s="9" t="str">
        <f aca="false">HYPERLINK("https://twitter.com/AzzhureSpain/status/922674577477722112","922674577477722112")</f>
        <v>922674577477722112</v>
      </c>
      <c r="F7989" s="10" t="s">
        <v>563</v>
      </c>
      <c r="G7989" s="10" t="n">
        <v>20</v>
      </c>
      <c r="H7989" s="10" t="n">
        <v>91</v>
      </c>
      <c r="I7989" s="10" t="n">
        <v>51</v>
      </c>
      <c r="J7989" s="10" t="n">
        <v>0</v>
      </c>
      <c r="K7989" s="10" t="s">
        <v>20</v>
      </c>
      <c r="L7989" s="11" t="n">
        <v>42644.3593518519</v>
      </c>
      <c r="M7989" s="12"/>
      <c r="N7989" s="12"/>
      <c r="O7989" s="9" t="str">
        <f aca="false">HYPERLINK("https://pbs.twimg.com/profile_images/782244588992036864/bUGc3ck4_normal.jpg","View")</f>
        <v>View</v>
      </c>
      <c r="P7989" s="10"/>
    </row>
    <row r="7990" customFormat="false" ht="15.75" hidden="false" customHeight="false" outlineLevel="0" collapsed="false">
      <c r="A7990" s="6" t="n">
        <v>43031.8790740741</v>
      </c>
      <c r="B7990" s="7" t="str">
        <f aca="false">HYPERLINK("https://twitter.com/Estrcp","@Estrcp")</f>
        <v>@Estrcp</v>
      </c>
      <c r="C7990" s="8" t="s">
        <v>16915</v>
      </c>
      <c r="D7990" s="8" t="s">
        <v>17626</v>
      </c>
      <c r="E7990" s="9" t="str">
        <f aca="false">HYPERLINK("https://twitter.com/Estrcp/status/922675482348412928","922675482348412928")</f>
        <v>922675482348412928</v>
      </c>
      <c r="F7990" s="10" t="s">
        <v>25</v>
      </c>
      <c r="G7990" s="10" t="n">
        <v>719</v>
      </c>
      <c r="H7990" s="10" t="n">
        <v>650</v>
      </c>
      <c r="I7990" s="10" t="n">
        <v>51</v>
      </c>
      <c r="J7990" s="10" t="n">
        <v>0</v>
      </c>
      <c r="K7990" s="10" t="s">
        <v>20</v>
      </c>
      <c r="L7990" s="11" t="n">
        <v>40675.5055324074</v>
      </c>
      <c r="M7990" s="12"/>
      <c r="N7990" s="12" t="s">
        <v>16916</v>
      </c>
      <c r="O7990" s="9" t="str">
        <f aca="false">HYPERLINK("https://pbs.twimg.com/profile_images/895657803179843585/zE6-3L2A_normal.jpg","View")</f>
        <v>View</v>
      </c>
      <c r="P7990" s="10"/>
    </row>
    <row r="7991" customFormat="false" ht="15.75" hidden="false" customHeight="false" outlineLevel="0" collapsed="false">
      <c r="A7991" s="6" t="n">
        <v>43031.8799884259</v>
      </c>
      <c r="B7991" s="7" t="str">
        <f aca="false">HYPERLINK("https://twitter.com/Amos_Jw","@Amos_Jw")</f>
        <v>@Amos_Jw</v>
      </c>
      <c r="C7991" s="8" t="s">
        <v>17750</v>
      </c>
      <c r="D7991" s="8" t="s">
        <v>17626</v>
      </c>
      <c r="E7991" s="9" t="str">
        <f aca="false">HYPERLINK("https://twitter.com/Amos_Jw/status/922675815896240134","922675815896240134")</f>
        <v>922675815896240134</v>
      </c>
      <c r="F7991" s="10" t="s">
        <v>25</v>
      </c>
      <c r="G7991" s="10" t="n">
        <v>445</v>
      </c>
      <c r="H7991" s="10" t="n">
        <v>76</v>
      </c>
      <c r="I7991" s="10" t="n">
        <v>51</v>
      </c>
      <c r="J7991" s="10" t="n">
        <v>0</v>
      </c>
      <c r="K7991" s="10" t="s">
        <v>20</v>
      </c>
      <c r="L7991" s="11" t="n">
        <v>41615.0582291667</v>
      </c>
      <c r="M7991" s="12" t="s">
        <v>17751</v>
      </c>
      <c r="N7991" s="12" t="s">
        <v>17752</v>
      </c>
      <c r="O7991" s="9" t="str">
        <f aca="false">HYPERLINK("https://pbs.twimg.com/profile_images/921626838207787008/H_CjfU4I_normal.jpg","View")</f>
        <v>View</v>
      </c>
      <c r="P7991" s="10"/>
    </row>
    <row r="7992" customFormat="false" ht="15.75" hidden="false" customHeight="false" outlineLevel="0" collapsed="false">
      <c r="A7992" s="6" t="n">
        <v>43031.8812962963</v>
      </c>
      <c r="B7992" s="7" t="str">
        <f aca="false">HYPERLINK("https://twitter.com/Wrangle75112470","@Wrangle75112470")</f>
        <v>@Wrangle75112470</v>
      </c>
      <c r="C7992" s="8" t="s">
        <v>17753</v>
      </c>
      <c r="D7992" s="8" t="s">
        <v>16929</v>
      </c>
      <c r="E7992" s="9" t="str">
        <f aca="false">HYPERLINK("https://twitter.com/Wrangle75112470/status/922676290271961088","922676290271961088")</f>
        <v>922676290271961088</v>
      </c>
      <c r="F7992" s="10" t="s">
        <v>25</v>
      </c>
      <c r="G7992" s="10" t="n">
        <v>133</v>
      </c>
      <c r="H7992" s="10" t="n">
        <v>1134</v>
      </c>
      <c r="I7992" s="10" t="n">
        <v>247</v>
      </c>
      <c r="J7992" s="10" t="n">
        <v>0</v>
      </c>
      <c r="K7992" s="10" t="s">
        <v>20</v>
      </c>
      <c r="L7992" s="11" t="n">
        <v>42972.9613657407</v>
      </c>
      <c r="M7992" s="12" t="s">
        <v>11207</v>
      </c>
      <c r="N7992" s="12" t="s">
        <v>17754</v>
      </c>
      <c r="O7992" s="9" t="str">
        <f aca="false">HYPERLINK("https://pbs.twimg.com/profile_images/901355490944339968/ok6JXuAo_normal.jpg","View")</f>
        <v>View</v>
      </c>
      <c r="P7992" s="10"/>
    </row>
    <row r="7993" customFormat="false" ht="15.75" hidden="false" customHeight="false" outlineLevel="0" collapsed="false">
      <c r="A7993" s="6" t="n">
        <v>43031.8825694445</v>
      </c>
      <c r="B7993" s="7" t="str">
        <f aca="false">HYPERLINK("https://twitter.com/PianetBardock","@PianetBardock")</f>
        <v>@PianetBardock</v>
      </c>
      <c r="C7993" s="8" t="s">
        <v>17755</v>
      </c>
      <c r="D7993" s="8" t="s">
        <v>14598</v>
      </c>
      <c r="E7993" s="9" t="str">
        <f aca="false">HYPERLINK("https://twitter.com/PianetBardock/status/922676752316551170","922676752316551170")</f>
        <v>922676752316551170</v>
      </c>
      <c r="F7993" s="10" t="s">
        <v>25</v>
      </c>
      <c r="G7993" s="10" t="n">
        <v>19</v>
      </c>
      <c r="H7993" s="10" t="n">
        <v>1431</v>
      </c>
      <c r="I7993" s="10" t="n">
        <v>23</v>
      </c>
      <c r="J7993" s="10" t="n">
        <v>0</v>
      </c>
      <c r="K7993" s="10" t="s">
        <v>20</v>
      </c>
      <c r="L7993" s="11" t="n">
        <v>41082.1896064815</v>
      </c>
      <c r="M7993" s="12" t="s">
        <v>17756</v>
      </c>
      <c r="N7993" s="12" t="s">
        <v>17757</v>
      </c>
      <c r="O7993" s="9" t="str">
        <f aca="false">HYPERLINK("https://pbs.twimg.com/profile_images/764250773077254148/fGJu3UZV_normal.jpg","View")</f>
        <v>View</v>
      </c>
      <c r="P7993" s="10"/>
    </row>
    <row r="7994" customFormat="false" ht="15.75" hidden="false" customHeight="false" outlineLevel="0" collapsed="false">
      <c r="A7994" s="6" t="n">
        <v>43031.8850115741</v>
      </c>
      <c r="B7994" s="7" t="str">
        <f aca="false">HYPERLINK("https://twitter.com/edgawanewcomer","@edgawanewcomer")</f>
        <v>@edgawanewcomer</v>
      </c>
      <c r="C7994" s="14" t="s">
        <v>17746</v>
      </c>
      <c r="D7994" s="8" t="s">
        <v>1818</v>
      </c>
      <c r="E7994" s="9" t="str">
        <f aca="false">HYPERLINK("https://twitter.com/edgawanewcomer/status/922677633615241217","922677633615241217")</f>
        <v>922677633615241217</v>
      </c>
      <c r="F7994" s="10" t="s">
        <v>39</v>
      </c>
      <c r="G7994" s="10" t="n">
        <v>71</v>
      </c>
      <c r="H7994" s="10" t="n">
        <v>417</v>
      </c>
      <c r="I7994" s="10" t="n">
        <v>12</v>
      </c>
      <c r="J7994" s="10" t="n">
        <v>0</v>
      </c>
      <c r="K7994" s="10" t="s">
        <v>20</v>
      </c>
      <c r="L7994" s="11" t="n">
        <v>42931.6893981482</v>
      </c>
      <c r="M7994" s="13" t="s">
        <v>17747</v>
      </c>
      <c r="N7994" s="13" t="s">
        <v>17748</v>
      </c>
      <c r="O7994" s="9" t="str">
        <f aca="false">HYPERLINK("https://pbs.twimg.com/profile_images/886749143233814529/Wer1UREb_normal.jpg","View")</f>
        <v>View</v>
      </c>
      <c r="P7994" s="10"/>
    </row>
    <row r="7995" customFormat="false" ht="15.75" hidden="false" customHeight="false" outlineLevel="0" collapsed="false">
      <c r="A7995" s="6" t="n">
        <v>43031.8856828704</v>
      </c>
      <c r="B7995" s="7" t="str">
        <f aca="false">HYPERLINK("https://twitter.com/GrandpaJerry0","@GrandpaJerry0")</f>
        <v>@GrandpaJerry0</v>
      </c>
      <c r="C7995" s="8" t="s">
        <v>17758</v>
      </c>
      <c r="D7995" s="8" t="s">
        <v>17759</v>
      </c>
      <c r="E7995" s="9" t="str">
        <f aca="false">HYPERLINK("https://twitter.com/GrandpaJerry0/status/922677880470978560","922677880470978560")</f>
        <v>922677880470978560</v>
      </c>
      <c r="F7995" s="10" t="s">
        <v>39</v>
      </c>
      <c r="G7995" s="10" t="n">
        <v>83</v>
      </c>
      <c r="H7995" s="10" t="n">
        <v>339</v>
      </c>
      <c r="I7995" s="10" t="n">
        <v>0</v>
      </c>
      <c r="J7995" s="10" t="n">
        <v>1</v>
      </c>
      <c r="K7995" s="10" t="s">
        <v>20</v>
      </c>
      <c r="L7995" s="11" t="n">
        <v>42430.4245138889</v>
      </c>
      <c r="M7995" s="12" t="s">
        <v>295</v>
      </c>
      <c r="N7995" s="12" t="s">
        <v>17760</v>
      </c>
      <c r="O7995" s="9" t="str">
        <f aca="false">HYPERLINK("https://pbs.twimg.com/profile_images/831898222088089600/M1Ot5Myg_normal.jpg","View")</f>
        <v>View</v>
      </c>
      <c r="P7995" s="10"/>
    </row>
    <row r="7996" customFormat="false" ht="15.75" hidden="false" customHeight="false" outlineLevel="0" collapsed="false">
      <c r="A7996" s="6" t="n">
        <v>43031.8952083333</v>
      </c>
      <c r="B7996" s="7" t="str">
        <f aca="false">HYPERLINK("https://twitter.com/todayng","@todayng")</f>
        <v>@todayng</v>
      </c>
      <c r="C7996" s="8" t="s">
        <v>16872</v>
      </c>
      <c r="D7996" s="8" t="s">
        <v>17761</v>
      </c>
      <c r="E7996" s="9" t="str">
        <f aca="false">HYPERLINK("https://twitter.com/todayng/status/922681329203871744","922681329203871744")</f>
        <v>922681329203871744</v>
      </c>
      <c r="F7996" s="9" t="s">
        <v>1147</v>
      </c>
      <c r="G7996" s="10" t="n">
        <v>108519</v>
      </c>
      <c r="H7996" s="10" t="n">
        <v>2</v>
      </c>
      <c r="I7996" s="10" t="n">
        <v>0</v>
      </c>
      <c r="J7996" s="10" t="n">
        <v>0</v>
      </c>
      <c r="K7996" s="10" t="s">
        <v>20</v>
      </c>
      <c r="L7996" s="11" t="n">
        <v>41743.1806597222</v>
      </c>
      <c r="M7996" s="12"/>
      <c r="N7996" s="12" t="s">
        <v>16874</v>
      </c>
      <c r="O7996" s="9" t="str">
        <f aca="false">HYPERLINK("https://pbs.twimg.com/profile_images/891304751882788864/FmD9OUZy_normal.jpg","View")</f>
        <v>View</v>
      </c>
      <c r="P7996" s="9" t="str">
        <f aca="false">HYPERLINK("https://ctrlq.org/maps/address/#9.062813,7.51898289","Map")</f>
        <v>Map</v>
      </c>
    </row>
    <row r="7997" customFormat="false" ht="15.75" hidden="false" customHeight="false" outlineLevel="0" collapsed="false">
      <c r="A7997" s="6" t="n">
        <v>43031.8952430556</v>
      </c>
      <c r="B7997" s="7" t="str">
        <f aca="false">HYPERLINK("https://twitter.com/NigeriaNewsdesk","@NigeriaNewsdesk")</f>
        <v>@NigeriaNewsdesk</v>
      </c>
      <c r="C7997" s="8" t="s">
        <v>16875</v>
      </c>
      <c r="D7997" s="8" t="s">
        <v>17762</v>
      </c>
      <c r="E7997" s="9" t="str">
        <f aca="false">HYPERLINK("https://twitter.com/NigeriaNewsdesk/status/922681342164209664","922681342164209664")</f>
        <v>922681342164209664</v>
      </c>
      <c r="F7997" s="9" t="s">
        <v>1147</v>
      </c>
      <c r="G7997" s="10" t="n">
        <v>1445389</v>
      </c>
      <c r="H7997" s="10" t="n">
        <v>2</v>
      </c>
      <c r="I7997" s="10" t="n">
        <v>0</v>
      </c>
      <c r="J7997" s="10" t="n">
        <v>4</v>
      </c>
      <c r="K7997" s="10" t="s">
        <v>20</v>
      </c>
      <c r="L7997" s="11" t="n">
        <v>40137.1216666667</v>
      </c>
      <c r="M7997" s="12"/>
      <c r="N7997" s="12" t="s">
        <v>16877</v>
      </c>
      <c r="O7997" s="9" t="str">
        <f aca="false">HYPERLINK("https://pbs.twimg.com/profile_images/559635895909752832/5m7oAlGi_normal.png","View")</f>
        <v>View</v>
      </c>
      <c r="P7997" s="9" t="str">
        <f aca="false">HYPERLINK("https://ctrlq.org/maps/address/#6.61496451,3.36136043","Map")</f>
        <v>Map</v>
      </c>
    </row>
    <row r="7998" customFormat="false" ht="15.75" hidden="false" customHeight="false" outlineLevel="0" collapsed="false">
      <c r="A7998" s="6" t="n">
        <v>43031.8953472222</v>
      </c>
      <c r="B7998" s="7" t="str">
        <f aca="false">HYPERLINK("https://twitter.com/JesusRiera14","@JesusRiera14")</f>
        <v>@JesusRiera14</v>
      </c>
      <c r="C7998" s="8" t="s">
        <v>17763</v>
      </c>
      <c r="D7998" s="8" t="s">
        <v>16929</v>
      </c>
      <c r="E7998" s="9" t="str">
        <f aca="false">HYPERLINK("https://twitter.com/JesusRiera14/status/922681380659658752","922681380659658752")</f>
        <v>922681380659658752</v>
      </c>
      <c r="F7998" s="10" t="s">
        <v>51</v>
      </c>
      <c r="G7998" s="10" t="n">
        <v>1443</v>
      </c>
      <c r="H7998" s="10" t="n">
        <v>595</v>
      </c>
      <c r="I7998" s="10" t="n">
        <v>247</v>
      </c>
      <c r="J7998" s="10" t="n">
        <v>0</v>
      </c>
      <c r="K7998" s="10" t="s">
        <v>20</v>
      </c>
      <c r="L7998" s="11" t="n">
        <v>40225.3969791667</v>
      </c>
      <c r="M7998" s="12" t="s">
        <v>17764</v>
      </c>
      <c r="N7998" s="12" t="s">
        <v>17765</v>
      </c>
      <c r="O7998" s="9" t="str">
        <f aca="false">HYPERLINK("https://pbs.twimg.com/profile_images/916710793546207232/nVFWrlXC_normal.jpg","View")</f>
        <v>View</v>
      </c>
      <c r="P7998" s="10"/>
    </row>
    <row r="7999" customFormat="false" ht="15.75" hidden="false" customHeight="false" outlineLevel="0" collapsed="false">
      <c r="A7999" s="6" t="n">
        <v>43031.8953819444</v>
      </c>
      <c r="B7999" s="7" t="str">
        <f aca="false">HYPERLINK("https://twitter.com/noza8ouji","@noza8ouji")</f>
        <v>@noza8ouji</v>
      </c>
      <c r="C7999" s="8" t="s">
        <v>17766</v>
      </c>
      <c r="D7999" s="8" t="s">
        <v>3134</v>
      </c>
      <c r="E7999" s="9" t="str">
        <f aca="false">HYPERLINK("https://twitter.com/noza8ouji/status/922681391929626624","922681391929626624")</f>
        <v>922681391929626624</v>
      </c>
      <c r="F7999" s="10" t="s">
        <v>25</v>
      </c>
      <c r="G7999" s="10" t="n">
        <v>468</v>
      </c>
      <c r="H7999" s="10" t="n">
        <v>903</v>
      </c>
      <c r="I7999" s="10" t="n">
        <v>11</v>
      </c>
      <c r="J7999" s="10" t="n">
        <v>0</v>
      </c>
      <c r="K7999" s="10" t="s">
        <v>20</v>
      </c>
      <c r="L7999" s="11" t="n">
        <v>40194.2973148148</v>
      </c>
      <c r="M7999" s="12" t="s">
        <v>17767</v>
      </c>
      <c r="N7999" s="13" t="s">
        <v>17768</v>
      </c>
      <c r="O7999" s="9" t="str">
        <f aca="false">HYPERLINK("https://pbs.twimg.com/profile_images/749127940378546176/34NbQGVC_normal.jpg","View")</f>
        <v>View</v>
      </c>
      <c r="P7999" s="10"/>
    </row>
    <row r="8000" customFormat="false" ht="15.75" hidden="false" customHeight="false" outlineLevel="0" collapsed="false">
      <c r="A8000" s="6" t="n">
        <v>43031.896724537</v>
      </c>
      <c r="B8000" s="7" t="str">
        <f aca="false">HYPERLINK("https://twitter.com/akinto70","@akinto70")</f>
        <v>@akinto70</v>
      </c>
      <c r="C8000" s="8" t="s">
        <v>16885</v>
      </c>
      <c r="D8000" s="8" t="s">
        <v>17769</v>
      </c>
      <c r="E8000" s="9" t="str">
        <f aca="false">HYPERLINK("https://twitter.com/akinto70/status/922681880851427328","922681880851427328")</f>
        <v>922681880851427328</v>
      </c>
      <c r="F8000" s="10" t="s">
        <v>60</v>
      </c>
      <c r="G8000" s="10" t="n">
        <v>270</v>
      </c>
      <c r="H8000" s="10" t="n">
        <v>314</v>
      </c>
      <c r="I8000" s="10" t="n">
        <v>0</v>
      </c>
      <c r="J8000" s="10" t="n">
        <v>0</v>
      </c>
      <c r="K8000" s="10" t="s">
        <v>20</v>
      </c>
      <c r="L8000" s="11" t="n">
        <v>41013.9383564815</v>
      </c>
      <c r="M8000" s="12" t="s">
        <v>16887</v>
      </c>
      <c r="N8000" s="12" t="s">
        <v>16888</v>
      </c>
      <c r="O8000" s="9" t="str">
        <f aca="false">HYPERLINK("https://pbs.twimg.com/profile_images/843536542551425024/S5IJjqKR_normal.jpg","View")</f>
        <v>View</v>
      </c>
      <c r="P8000" s="10"/>
    </row>
    <row r="8001" customFormat="false" ht="15.75" hidden="false" customHeight="false" outlineLevel="0" collapsed="false">
      <c r="A8001" s="6" t="n">
        <v>43031.8981712963</v>
      </c>
      <c r="B8001" s="7" t="str">
        <f aca="false">HYPERLINK("https://twitter.com/bbello2015","@bbello2015")</f>
        <v>@bbello2015</v>
      </c>
      <c r="C8001" s="8" t="s">
        <v>16892</v>
      </c>
      <c r="D8001" s="8" t="s">
        <v>17770</v>
      </c>
      <c r="E8001" s="9" t="str">
        <f aca="false">HYPERLINK("https://twitter.com/bbello2015/status/922682402945806343","922682402945806343")</f>
        <v>922682402945806343</v>
      </c>
      <c r="F8001" s="10" t="s">
        <v>60</v>
      </c>
      <c r="G8001" s="10" t="n">
        <v>1312</v>
      </c>
      <c r="H8001" s="10" t="n">
        <v>340</v>
      </c>
      <c r="I8001" s="10" t="n">
        <v>0</v>
      </c>
      <c r="J8001" s="10" t="n">
        <v>0</v>
      </c>
      <c r="K8001" s="10" t="s">
        <v>20</v>
      </c>
      <c r="L8001" s="11" t="n">
        <v>40609.2251388889</v>
      </c>
      <c r="M8001" s="12" t="s">
        <v>16894</v>
      </c>
      <c r="N8001" s="12" t="s">
        <v>16895</v>
      </c>
      <c r="O8001" s="9" t="str">
        <f aca="false">HYPERLINK("https://pbs.twimg.com/profile_images/898413184188530688/1uVx-t23_normal.jpg","View")</f>
        <v>View</v>
      </c>
      <c r="P8001" s="10"/>
    </row>
    <row r="8002" customFormat="false" ht="15.75" hidden="false" customHeight="false" outlineLevel="0" collapsed="false">
      <c r="A8002" s="6" t="n">
        <v>43031.899224537</v>
      </c>
      <c r="B8002" s="7" t="str">
        <f aca="false">HYPERLINK("https://twitter.com/danborusensya","@danborusensya")</f>
        <v>@danborusensya</v>
      </c>
      <c r="C8002" s="14" t="s">
        <v>17771</v>
      </c>
      <c r="D8002" s="8" t="s">
        <v>3134</v>
      </c>
      <c r="E8002" s="9" t="str">
        <f aca="false">HYPERLINK("https://twitter.com/danborusensya/status/922682784866373632","922682784866373632")</f>
        <v>922682784866373632</v>
      </c>
      <c r="F8002" s="10" t="s">
        <v>25</v>
      </c>
      <c r="G8002" s="10" t="n">
        <v>83</v>
      </c>
      <c r="H8002" s="10" t="n">
        <v>66</v>
      </c>
      <c r="I8002" s="10" t="n">
        <v>11</v>
      </c>
      <c r="J8002" s="10" t="n">
        <v>0</v>
      </c>
      <c r="K8002" s="10" t="s">
        <v>20</v>
      </c>
      <c r="L8002" s="11" t="n">
        <v>42272.2331365741</v>
      </c>
      <c r="M8002" s="13" t="s">
        <v>17772</v>
      </c>
      <c r="N8002" s="12" t="s">
        <v>17773</v>
      </c>
      <c r="O8002" s="9" t="str">
        <f aca="false">HYPERLINK("https://pbs.twimg.com/profile_images/647389401627004928/uujOjtoZ_normal.jpg","View")</f>
        <v>View</v>
      </c>
      <c r="P8002" s="10"/>
    </row>
    <row r="8003" customFormat="false" ht="15.75" hidden="false" customHeight="false" outlineLevel="0" collapsed="false">
      <c r="A8003" s="6" t="n">
        <v>43031.9004976852</v>
      </c>
      <c r="B8003" s="7" t="str">
        <f aca="false">HYPERLINK("https://twitter.com/pmstillman","@pmstillman")</f>
        <v>@pmstillman</v>
      </c>
      <c r="C8003" s="8" t="s">
        <v>17774</v>
      </c>
      <c r="D8003" s="8" t="s">
        <v>16929</v>
      </c>
      <c r="E8003" s="9" t="str">
        <f aca="false">HYPERLINK("https://twitter.com/pmstillman/status/922683246898499584","922683246898499584")</f>
        <v>922683246898499584</v>
      </c>
      <c r="F8003" s="10" t="s">
        <v>98</v>
      </c>
      <c r="G8003" s="10" t="n">
        <v>1532</v>
      </c>
      <c r="H8003" s="10" t="n">
        <v>4572</v>
      </c>
      <c r="I8003" s="10" t="n">
        <v>247</v>
      </c>
      <c r="J8003" s="10" t="n">
        <v>0</v>
      </c>
      <c r="K8003" s="10" t="s">
        <v>20</v>
      </c>
      <c r="L8003" s="11" t="n">
        <v>42375.676412037</v>
      </c>
      <c r="M8003" s="12" t="s">
        <v>17775</v>
      </c>
      <c r="N8003" s="12" t="s">
        <v>17776</v>
      </c>
      <c r="O8003" s="9" t="str">
        <f aca="false">HYPERLINK("https://pbs.twimg.com/profile_images/685489021632512000/LORc2f71_normal.jpg","View")</f>
        <v>View</v>
      </c>
      <c r="P8003" s="10"/>
    </row>
    <row r="8004" customFormat="false" ht="15.75" hidden="false" customHeight="false" outlineLevel="0" collapsed="false">
      <c r="A8004" s="6" t="n">
        <v>43031.9029166667</v>
      </c>
      <c r="B8004" s="7" t="str">
        <f aca="false">HYPERLINK("https://twitter.com/Edomka","@Edomka")</f>
        <v>@Edomka</v>
      </c>
      <c r="C8004" s="8" t="s">
        <v>17413</v>
      </c>
      <c r="D8004" s="8" t="s">
        <v>17777</v>
      </c>
      <c r="E8004" s="9" t="str">
        <f aca="false">HYPERLINK("https://twitter.com/Edomka/status/922684123096940544","922684123096940544")</f>
        <v>922684123096940544</v>
      </c>
      <c r="F8004" s="10" t="s">
        <v>39</v>
      </c>
      <c r="G8004" s="10" t="n">
        <v>4017</v>
      </c>
      <c r="H8004" s="10" t="n">
        <v>841</v>
      </c>
      <c r="I8004" s="10" t="n">
        <v>0</v>
      </c>
      <c r="J8004" s="10" t="n">
        <v>1</v>
      </c>
      <c r="K8004" s="10" t="s">
        <v>20</v>
      </c>
      <c r="L8004" s="11" t="n">
        <v>41021.6032523148</v>
      </c>
      <c r="M8004" s="12" t="s">
        <v>17415</v>
      </c>
      <c r="N8004" s="12" t="s">
        <v>17416</v>
      </c>
      <c r="O8004" s="9" t="str">
        <f aca="false">HYPERLINK("https://pbs.twimg.com/profile_images/886759969240096768/wYpOqC7R_normal.jpg","View")</f>
        <v>View</v>
      </c>
      <c r="P8004" s="10"/>
    </row>
    <row r="8005" customFormat="false" ht="15.75" hidden="false" customHeight="false" outlineLevel="0" collapsed="false">
      <c r="A8005" s="6" t="n">
        <v>43031.9054166667</v>
      </c>
      <c r="B8005" s="7" t="str">
        <f aca="false">HYPERLINK("https://twitter.com/bharatsiyer","@bharatsiyer")</f>
        <v>@bharatsiyer</v>
      </c>
      <c r="C8005" s="8" t="s">
        <v>17778</v>
      </c>
      <c r="D8005" s="8" t="s">
        <v>8538</v>
      </c>
      <c r="E8005" s="9" t="str">
        <f aca="false">HYPERLINK("https://twitter.com/bharatsiyer/status/922685031323140096","922685031323140096")</f>
        <v>922685031323140096</v>
      </c>
      <c r="F8005" s="10" t="s">
        <v>25</v>
      </c>
      <c r="G8005" s="10" t="n">
        <v>109</v>
      </c>
      <c r="H8005" s="10" t="n">
        <v>249</v>
      </c>
      <c r="I8005" s="10" t="n">
        <v>1015</v>
      </c>
      <c r="J8005" s="10" t="n">
        <v>0</v>
      </c>
      <c r="K8005" s="10" t="s">
        <v>20</v>
      </c>
      <c r="L8005" s="11" t="n">
        <v>40042.0757175926</v>
      </c>
      <c r="M8005" s="12" t="s">
        <v>868</v>
      </c>
      <c r="N8005" s="12" t="s">
        <v>17779</v>
      </c>
      <c r="O8005" s="9" t="str">
        <f aca="false">HYPERLINK("https://pbs.twimg.com/profile_images/901936311426179072/oqgz_wMr_normal.jpg","View")</f>
        <v>View</v>
      </c>
      <c r="P8005" s="10"/>
    </row>
    <row r="8006" customFormat="false" ht="15.75" hidden="false" customHeight="false" outlineLevel="0" collapsed="false">
      <c r="A8006" s="6" t="n">
        <v>43031.9055902778</v>
      </c>
      <c r="B8006" s="7" t="str">
        <f aca="false">HYPERLINK("https://twitter.com/Newslockergames","@Newslockergames")</f>
        <v>@Newslockergames</v>
      </c>
      <c r="C8006" s="8" t="s">
        <v>17780</v>
      </c>
      <c r="D8006" s="8" t="s">
        <v>17781</v>
      </c>
      <c r="E8006" s="9" t="str">
        <f aca="false">HYPERLINK("https://twitter.com/Newslockergames/status/922685095064072198","922685095064072198")</f>
        <v>922685095064072198</v>
      </c>
      <c r="F8006" s="10" t="s">
        <v>3042</v>
      </c>
      <c r="G8006" s="10" t="n">
        <v>1371</v>
      </c>
      <c r="H8006" s="10" t="n">
        <v>1223</v>
      </c>
      <c r="I8006" s="10" t="n">
        <v>0</v>
      </c>
      <c r="J8006" s="10" t="n">
        <v>0</v>
      </c>
      <c r="K8006" s="10" t="s">
        <v>20</v>
      </c>
      <c r="L8006" s="11" t="n">
        <v>41113.5109027778</v>
      </c>
      <c r="M8006" s="12"/>
      <c r="N8006" s="12" t="s">
        <v>17782</v>
      </c>
      <c r="O8006" s="9" t="str">
        <f aca="false">HYPERLINK("https://pbs.twimg.com/profile_images/588647153540685824/kwznbl2a_normal.png","View")</f>
        <v>View</v>
      </c>
      <c r="P8006" s="10"/>
    </row>
    <row r="8007" customFormat="false" ht="15.75" hidden="false" customHeight="false" outlineLevel="0" collapsed="false">
      <c r="A8007" s="6" t="n">
        <v>43031.9061458333</v>
      </c>
      <c r="B8007" s="7" t="str">
        <f aca="false">HYPERLINK("https://twitter.com/cegonzalezj1","@cegonzalezj1")</f>
        <v>@cegonzalezj1</v>
      </c>
      <c r="C8007" s="8" t="s">
        <v>17783</v>
      </c>
      <c r="D8007" s="8" t="s">
        <v>17626</v>
      </c>
      <c r="E8007" s="9" t="str">
        <f aca="false">HYPERLINK("https://twitter.com/cegonzalezj1/status/922685293060329474","922685293060329474")</f>
        <v>922685293060329474</v>
      </c>
      <c r="F8007" s="10" t="s">
        <v>25</v>
      </c>
      <c r="G8007" s="10" t="n">
        <v>2708</v>
      </c>
      <c r="H8007" s="10" t="n">
        <v>5001</v>
      </c>
      <c r="I8007" s="10" t="n">
        <v>51</v>
      </c>
      <c r="J8007" s="10" t="n">
        <v>0</v>
      </c>
      <c r="K8007" s="10" t="s">
        <v>20</v>
      </c>
      <c r="L8007" s="11" t="n">
        <v>41626.9496412037</v>
      </c>
      <c r="M8007" s="12" t="s">
        <v>17784</v>
      </c>
      <c r="N8007" s="12" t="s">
        <v>17785</v>
      </c>
      <c r="O8007" s="9" t="str">
        <f aca="false">HYPERLINK("https://pbs.twimg.com/profile_images/517723697235628032/lLxeBXjN_normal.jpeg","View")</f>
        <v>View</v>
      </c>
      <c r="P8007" s="10"/>
    </row>
    <row r="8008" customFormat="false" ht="15.75" hidden="false" customHeight="false" outlineLevel="0" collapsed="false">
      <c r="A8008" s="6" t="n">
        <v>43031.9062847222</v>
      </c>
      <c r="B8008" s="7" t="str">
        <f aca="false">HYPERLINK("https://twitter.com/trtworld","@trtworld")</f>
        <v>@trtworld</v>
      </c>
      <c r="C8008" s="8" t="s">
        <v>1552</v>
      </c>
      <c r="D8008" s="8" t="s">
        <v>17786</v>
      </c>
      <c r="E8008" s="9" t="str">
        <f aca="false">HYPERLINK("https://twitter.com/trtworld/status/922685343408820224","922685343408820224")</f>
        <v>922685343408820224</v>
      </c>
      <c r="F8008" s="10" t="s">
        <v>268</v>
      </c>
      <c r="G8008" s="10" t="n">
        <v>113609</v>
      </c>
      <c r="H8008" s="10" t="n">
        <v>9</v>
      </c>
      <c r="I8008" s="10" t="n">
        <v>3</v>
      </c>
      <c r="J8008" s="10" t="n">
        <v>2</v>
      </c>
      <c r="K8008" s="10" t="s">
        <v>20</v>
      </c>
      <c r="L8008" s="11" t="n">
        <v>42076.183125</v>
      </c>
      <c r="M8008" s="12"/>
      <c r="N8008" s="12" t="s">
        <v>1554</v>
      </c>
      <c r="O8008" s="9" t="str">
        <f aca="false">HYPERLINK("https://pbs.twimg.com/profile_images/604916087180754945/1aMHMBIj_normal.png","View")</f>
        <v>View</v>
      </c>
      <c r="P8008" s="10"/>
    </row>
    <row r="8009" customFormat="false" ht="15.75" hidden="false" customHeight="false" outlineLevel="0" collapsed="false">
      <c r="A8009" s="6" t="n">
        <v>43031.9063888889</v>
      </c>
      <c r="B8009" s="7" t="str">
        <f aca="false">HYPERLINK("https://twitter.com/alllibertynews","@alllibertynews")</f>
        <v>@alllibertynews</v>
      </c>
      <c r="C8009" s="8" t="s">
        <v>16420</v>
      </c>
      <c r="D8009" s="8" t="s">
        <v>17626</v>
      </c>
      <c r="E8009" s="9" t="str">
        <f aca="false">HYPERLINK("https://twitter.com/alllibertynews/status/922685381904158720","922685381904158720")</f>
        <v>922685381904158720</v>
      </c>
      <c r="F8009" s="10" t="s">
        <v>16421</v>
      </c>
      <c r="G8009" s="10" t="n">
        <v>15798</v>
      </c>
      <c r="H8009" s="10" t="n">
        <v>4311</v>
      </c>
      <c r="I8009" s="10" t="n">
        <v>51</v>
      </c>
      <c r="J8009" s="10" t="n">
        <v>0</v>
      </c>
      <c r="K8009" s="10" t="s">
        <v>20</v>
      </c>
      <c r="L8009" s="11" t="n">
        <v>42355.8898842593</v>
      </c>
      <c r="M8009" s="12"/>
      <c r="N8009" s="12"/>
      <c r="O8009" s="9" t="str">
        <f aca="false">HYPERLINK("https://pbs.twimg.com/profile_images/677726486694989824/x5Umx9Jt_normal.png","View")</f>
        <v>View</v>
      </c>
      <c r="P8009" s="10"/>
    </row>
    <row r="8010" customFormat="false" ht="15.75" hidden="false" customHeight="false" outlineLevel="0" collapsed="false">
      <c r="A8010" s="6" t="n">
        <v>43031.9108449074</v>
      </c>
      <c r="B8010" s="7" t="str">
        <f aca="false">HYPERLINK("https://twitter.com/Jsenavirathna","@Jsenavirathna")</f>
        <v>@Jsenavirathna</v>
      </c>
      <c r="C8010" s="8" t="s">
        <v>17787</v>
      </c>
      <c r="D8010" s="8" t="s">
        <v>11284</v>
      </c>
      <c r="E8010" s="9" t="str">
        <f aca="false">HYPERLINK("https://twitter.com/Jsenavirathna/status/922686998695043072","922686998695043072")</f>
        <v>922686998695043072</v>
      </c>
      <c r="F8010" s="10" t="s">
        <v>25</v>
      </c>
      <c r="G8010" s="10" t="n">
        <v>0</v>
      </c>
      <c r="H8010" s="10" t="n">
        <v>37</v>
      </c>
      <c r="I8010" s="10" t="n">
        <v>41</v>
      </c>
      <c r="J8010" s="10" t="n">
        <v>0</v>
      </c>
      <c r="K8010" s="10" t="s">
        <v>20</v>
      </c>
      <c r="L8010" s="11" t="n">
        <v>42068.2576157407</v>
      </c>
      <c r="M8010" s="12"/>
      <c r="N8010" s="12"/>
      <c r="O8010" s="9" t="str">
        <f aca="false">HYPERLINK("https://pbs.twimg.com/profile_images/874652974231953409/Ajo_nb_F_normal.jpg","View")</f>
        <v>View</v>
      </c>
      <c r="P8010" s="10"/>
    </row>
    <row r="8011" customFormat="false" ht="15.75" hidden="false" customHeight="false" outlineLevel="0" collapsed="false">
      <c r="A8011" s="6" t="n">
        <v>43031.9117013889</v>
      </c>
      <c r="B8011" s="7" t="str">
        <f aca="false">HYPERLINK("https://twitter.com/salauoba","@salauoba")</f>
        <v>@salauoba</v>
      </c>
      <c r="C8011" s="8" t="s">
        <v>17788</v>
      </c>
      <c r="D8011" s="8" t="s">
        <v>14814</v>
      </c>
      <c r="E8011" s="9" t="str">
        <f aca="false">HYPERLINK("https://twitter.com/salauoba/status/922687307920048128","922687307920048128")</f>
        <v>922687307920048128</v>
      </c>
      <c r="F8011" s="10" t="s">
        <v>3790</v>
      </c>
      <c r="G8011" s="10" t="n">
        <v>217</v>
      </c>
      <c r="H8011" s="10" t="n">
        <v>1302</v>
      </c>
      <c r="I8011" s="10" t="n">
        <v>12</v>
      </c>
      <c r="J8011" s="10" t="n">
        <v>0</v>
      </c>
      <c r="K8011" s="10" t="s">
        <v>20</v>
      </c>
      <c r="L8011" s="11" t="n">
        <v>42038.2077546296</v>
      </c>
      <c r="M8011" s="12" t="s">
        <v>17789</v>
      </c>
      <c r="N8011" s="12" t="s">
        <v>17790</v>
      </c>
      <c r="O8011" s="9" t="str">
        <f aca="false">HYPERLINK("https://pbs.twimg.com/profile_images/814444787524837376/jLFtzsit_normal.jpg","View")</f>
        <v>View</v>
      </c>
      <c r="P8011" s="10"/>
    </row>
    <row r="8012" customFormat="false" ht="15.75" hidden="false" customHeight="false" outlineLevel="0" collapsed="false">
      <c r="A8012" s="6" t="n">
        <v>43031.9122916667</v>
      </c>
      <c r="B8012" s="7" t="str">
        <f aca="false">HYPERLINK("https://twitter.com/MorgensenJim","@MorgensenJim")</f>
        <v>@MorgensenJim</v>
      </c>
      <c r="C8012" s="8" t="s">
        <v>17791</v>
      </c>
      <c r="D8012" s="8" t="s">
        <v>16929</v>
      </c>
      <c r="E8012" s="9" t="str">
        <f aca="false">HYPERLINK("https://twitter.com/MorgensenJim/status/922687521196331009","922687521196331009")</f>
        <v>922687521196331009</v>
      </c>
      <c r="F8012" s="10" t="s">
        <v>51</v>
      </c>
      <c r="G8012" s="10" t="n">
        <v>148</v>
      </c>
      <c r="H8012" s="10" t="n">
        <v>183</v>
      </c>
      <c r="I8012" s="10" t="n">
        <v>247</v>
      </c>
      <c r="J8012" s="10" t="n">
        <v>0</v>
      </c>
      <c r="K8012" s="10" t="s">
        <v>20</v>
      </c>
      <c r="L8012" s="11" t="n">
        <v>42566.1010648148</v>
      </c>
      <c r="M8012" s="12" t="s">
        <v>17792</v>
      </c>
      <c r="N8012" s="12"/>
      <c r="O8012" s="9" t="str">
        <f aca="false">HYPERLINK("https://pbs.twimg.com/profile_images/758779098768420864/ZBKz7nqu_normal.jpg","View")</f>
        <v>View</v>
      </c>
      <c r="P8012" s="10"/>
    </row>
    <row r="8013" customFormat="false" ht="15.75" hidden="false" customHeight="false" outlineLevel="0" collapsed="false">
      <c r="A8013" s="6" t="n">
        <v>43031.9128240741</v>
      </c>
      <c r="B8013" s="7" t="str">
        <f aca="false">HYPERLINK("https://twitter.com/Veracious2020","@Veracious2020")</f>
        <v>@Veracious2020</v>
      </c>
      <c r="C8013" s="8" t="s">
        <v>17793</v>
      </c>
      <c r="D8013" s="8" t="s">
        <v>16929</v>
      </c>
      <c r="E8013" s="9" t="str">
        <f aca="false">HYPERLINK("https://twitter.com/Veracious2020/status/922687715228962816","922687715228962816")</f>
        <v>922687715228962816</v>
      </c>
      <c r="F8013" s="10" t="s">
        <v>51</v>
      </c>
      <c r="G8013" s="10" t="n">
        <v>15</v>
      </c>
      <c r="H8013" s="10" t="n">
        <v>28</v>
      </c>
      <c r="I8013" s="10" t="n">
        <v>247</v>
      </c>
      <c r="J8013" s="10" t="n">
        <v>0</v>
      </c>
      <c r="K8013" s="10" t="s">
        <v>20</v>
      </c>
      <c r="L8013" s="11" t="n">
        <v>42769.5215625</v>
      </c>
      <c r="M8013" s="12" t="s">
        <v>230</v>
      </c>
      <c r="N8013" s="12" t="s">
        <v>17794</v>
      </c>
      <c r="O8013" s="9" t="str">
        <f aca="false">HYPERLINK("https://pbs.twimg.com/profile_images/827620110391062528/k2elMuHN_normal.jpg","View")</f>
        <v>View</v>
      </c>
      <c r="P8013" s="10"/>
    </row>
    <row r="8014" customFormat="false" ht="15.75" hidden="false" customHeight="false" outlineLevel="0" collapsed="false">
      <c r="A8014" s="6" t="n">
        <v>43031.9140625</v>
      </c>
      <c r="B8014" s="7" t="str">
        <f aca="false">HYPERLINK("https://twitter.com/WatchmansPost","@WatchmansPost")</f>
        <v>@WatchmansPost</v>
      </c>
      <c r="C8014" s="8" t="s">
        <v>17795</v>
      </c>
      <c r="D8014" s="8" t="s">
        <v>17569</v>
      </c>
      <c r="E8014" s="9" t="str">
        <f aca="false">HYPERLINK("https://twitter.com/WatchmansPost/status/922688163486846976","922688163486846976")</f>
        <v>922688163486846976</v>
      </c>
      <c r="F8014" s="10" t="s">
        <v>25</v>
      </c>
      <c r="G8014" s="10" t="n">
        <v>276</v>
      </c>
      <c r="H8014" s="10" t="n">
        <v>379</v>
      </c>
      <c r="I8014" s="10" t="n">
        <v>28</v>
      </c>
      <c r="J8014" s="10" t="n">
        <v>0</v>
      </c>
      <c r="K8014" s="10" t="s">
        <v>20</v>
      </c>
      <c r="L8014" s="11" t="n">
        <v>42810.4063078704</v>
      </c>
      <c r="M8014" s="12" t="s">
        <v>17796</v>
      </c>
      <c r="N8014" s="12" t="s">
        <v>17797</v>
      </c>
      <c r="O8014" s="9" t="str">
        <f aca="false">HYPERLINK("https://pbs.twimg.com/profile_images/877638562862313472/u7zuVJcA_normal.jpg","View")</f>
        <v>View</v>
      </c>
      <c r="P8014" s="10"/>
    </row>
    <row r="8015" customFormat="false" ht="15.75" hidden="false" customHeight="false" outlineLevel="0" collapsed="false">
      <c r="A8015" s="6" t="n">
        <v>43031.9147685185</v>
      </c>
      <c r="B8015" s="7" t="str">
        <f aca="false">HYPERLINK("https://twitter.com/abhinavrai327","@abhinavrai327")</f>
        <v>@abhinavrai327</v>
      </c>
      <c r="C8015" s="8" t="s">
        <v>17798</v>
      </c>
      <c r="D8015" s="8" t="s">
        <v>17626</v>
      </c>
      <c r="E8015" s="9" t="str">
        <f aca="false">HYPERLINK("https://twitter.com/abhinavrai327/status/922688418752094208","922688418752094208")</f>
        <v>922688418752094208</v>
      </c>
      <c r="F8015" s="10" t="s">
        <v>25</v>
      </c>
      <c r="G8015" s="10" t="n">
        <v>75</v>
      </c>
      <c r="H8015" s="10" t="n">
        <v>171</v>
      </c>
      <c r="I8015" s="10" t="n">
        <v>51</v>
      </c>
      <c r="J8015" s="10" t="n">
        <v>0</v>
      </c>
      <c r="K8015" s="10" t="s">
        <v>20</v>
      </c>
      <c r="L8015" s="11" t="n">
        <v>41697.2671875</v>
      </c>
      <c r="M8015" s="12" t="s">
        <v>8023</v>
      </c>
      <c r="N8015" s="12" t="s">
        <v>17799</v>
      </c>
      <c r="O8015" s="9" t="str">
        <f aca="false">HYPERLINK("https://pbs.twimg.com/profile_images/919027164552376320/_eKKsuNU_normal.jpg","View")</f>
        <v>View</v>
      </c>
      <c r="P8015" s="10"/>
    </row>
    <row r="8016" customFormat="false" ht="15.75" hidden="false" customHeight="false" outlineLevel="0" collapsed="false">
      <c r="A8016" s="6" t="n">
        <v>43031.9157060185</v>
      </c>
      <c r="B8016" s="7" t="str">
        <f aca="false">HYPERLINK("https://twitter.com/KohNagao","@KohNagao")</f>
        <v>@KohNagao</v>
      </c>
      <c r="C8016" s="8" t="s">
        <v>17800</v>
      </c>
      <c r="D8016" s="8" t="s">
        <v>17569</v>
      </c>
      <c r="E8016" s="9" t="str">
        <f aca="false">HYPERLINK("https://twitter.com/KohNagao/status/922688760290140160","922688760290140160")</f>
        <v>922688760290140160</v>
      </c>
      <c r="F8016" s="10" t="s">
        <v>39</v>
      </c>
      <c r="G8016" s="10" t="n">
        <v>740</v>
      </c>
      <c r="H8016" s="10" t="n">
        <v>562</v>
      </c>
      <c r="I8016" s="10" t="n">
        <v>28</v>
      </c>
      <c r="J8016" s="10" t="n">
        <v>0</v>
      </c>
      <c r="K8016" s="10" t="s">
        <v>20</v>
      </c>
      <c r="L8016" s="11" t="n">
        <v>42038.7976736111</v>
      </c>
      <c r="M8016" s="12" t="s">
        <v>17801</v>
      </c>
      <c r="N8016" s="13" t="s">
        <v>17802</v>
      </c>
      <c r="O8016" s="9" t="str">
        <f aca="false">HYPERLINK("https://pbs.twimg.com/profile_images/906035209585360903/BiManyQC_normal.jpg","View")</f>
        <v>View</v>
      </c>
      <c r="P8016" s="10"/>
    </row>
    <row r="8017" customFormat="false" ht="15.75" hidden="false" customHeight="false" outlineLevel="0" collapsed="false">
      <c r="A8017" s="6" t="n">
        <v>43031.9160416667</v>
      </c>
      <c r="B8017" s="7" t="str">
        <f aca="false">HYPERLINK("https://twitter.com/KartikM16849411","@KartikM16849411")</f>
        <v>@KartikM16849411</v>
      </c>
      <c r="C8017" s="8" t="s">
        <v>17803</v>
      </c>
      <c r="D8017" s="8" t="s">
        <v>8538</v>
      </c>
      <c r="E8017" s="9" t="str">
        <f aca="false">HYPERLINK("https://twitter.com/KartikM16849411/status/922688879647391744","922688879647391744")</f>
        <v>922688879647391744</v>
      </c>
      <c r="F8017" s="10" t="s">
        <v>25</v>
      </c>
      <c r="G8017" s="10" t="n">
        <v>128</v>
      </c>
      <c r="H8017" s="10" t="n">
        <v>462</v>
      </c>
      <c r="I8017" s="10" t="n">
        <v>1015</v>
      </c>
      <c r="J8017" s="10" t="n">
        <v>0</v>
      </c>
      <c r="K8017" s="10" t="s">
        <v>20</v>
      </c>
      <c r="L8017" s="11" t="n">
        <v>42529.1908796296</v>
      </c>
      <c r="M8017" s="12" t="s">
        <v>8603</v>
      </c>
      <c r="N8017" s="12" t="s">
        <v>17804</v>
      </c>
      <c r="O8017" s="9" t="str">
        <f aca="false">HYPERLINK("https://pbs.twimg.com/profile_images/905356559563202560/gev3_w1p_normal.jpg","View")</f>
        <v>View</v>
      </c>
      <c r="P8017" s="10"/>
    </row>
    <row r="8018" customFormat="false" ht="15.75" hidden="false" customHeight="false" outlineLevel="0" collapsed="false">
      <c r="A8018" s="6" t="n">
        <v>43031.916712963</v>
      </c>
      <c r="B8018" s="7" t="str">
        <f aca="false">HYPERLINK("https://twitter.com/psoby","@psoby")</f>
        <v>@psoby</v>
      </c>
      <c r="C8018" s="8" t="s">
        <v>17805</v>
      </c>
      <c r="D8018" s="8" t="s">
        <v>17806</v>
      </c>
      <c r="E8018" s="9" t="str">
        <f aca="false">HYPERLINK("https://twitter.com/psoby/status/922689122858405888","922689122858405888")</f>
        <v>922689122858405888</v>
      </c>
      <c r="F8018" s="10" t="s">
        <v>55</v>
      </c>
      <c r="G8018" s="10" t="n">
        <v>576</v>
      </c>
      <c r="H8018" s="10" t="n">
        <v>2356</v>
      </c>
      <c r="I8018" s="10" t="n">
        <v>0</v>
      </c>
      <c r="J8018" s="10" t="n">
        <v>0</v>
      </c>
      <c r="K8018" s="10" t="s">
        <v>20</v>
      </c>
      <c r="L8018" s="11" t="n">
        <v>40067.8078125</v>
      </c>
      <c r="M8018" s="12" t="s">
        <v>17807</v>
      </c>
      <c r="N8018" s="12" t="s">
        <v>17808</v>
      </c>
      <c r="O8018" s="9" t="str">
        <f aca="false">HYPERLINK("https://pbs.twimg.com/profile_images/491583683715821568/prW8sv6d_normal.jpeg","View")</f>
        <v>View</v>
      </c>
      <c r="P8018" s="10"/>
    </row>
    <row r="8019" customFormat="false" ht="15.75" hidden="false" customHeight="false" outlineLevel="0" collapsed="false">
      <c r="A8019" s="6" t="n">
        <v>43031.9173842593</v>
      </c>
      <c r="B8019" s="7" t="str">
        <f aca="false">HYPERLINK("https://twitter.com/annafifield","@annafifield")</f>
        <v>@annafifield</v>
      </c>
      <c r="C8019" s="8" t="s">
        <v>17809</v>
      </c>
      <c r="D8019" s="8" t="s">
        <v>17614</v>
      </c>
      <c r="E8019" s="9" t="str">
        <f aca="false">HYPERLINK("https://twitter.com/annafifield/status/922689365385662464","922689365385662464")</f>
        <v>922689365385662464</v>
      </c>
      <c r="F8019" s="10" t="s">
        <v>1167</v>
      </c>
      <c r="G8019" s="10" t="n">
        <v>66669</v>
      </c>
      <c r="H8019" s="10" t="n">
        <v>1320</v>
      </c>
      <c r="I8019" s="10" t="n">
        <v>9</v>
      </c>
      <c r="J8019" s="10" t="n">
        <v>0</v>
      </c>
      <c r="K8019" s="10" t="s">
        <v>20</v>
      </c>
      <c r="L8019" s="11" t="n">
        <v>40040.3068287037</v>
      </c>
      <c r="M8019" s="12" t="s">
        <v>17810</v>
      </c>
      <c r="N8019" s="12" t="s">
        <v>17811</v>
      </c>
      <c r="O8019" s="9" t="str">
        <f aca="false">HYPERLINK("https://pbs.twimg.com/profile_images/691449618329006080/ZtSbU6cz_normal.jpg","View")</f>
        <v>View</v>
      </c>
      <c r="P8019" s="10"/>
    </row>
    <row r="8020" customFormat="false" ht="15.75" hidden="false" customHeight="false" outlineLevel="0" collapsed="false">
      <c r="A8020" s="6" t="n">
        <v>43031.9196527778</v>
      </c>
      <c r="B8020" s="7" t="str">
        <f aca="false">HYPERLINK("https://twitter.com/satishej","@satishej")</f>
        <v>@satishej</v>
      </c>
      <c r="C8020" s="8" t="s">
        <v>17812</v>
      </c>
      <c r="D8020" s="8" t="s">
        <v>8538</v>
      </c>
      <c r="E8020" s="9" t="str">
        <f aca="false">HYPERLINK("https://twitter.com/satishej/status/922690188643569664","922690188643569664")</f>
        <v>922690188643569664</v>
      </c>
      <c r="F8020" s="10" t="s">
        <v>39</v>
      </c>
      <c r="G8020" s="10" t="n">
        <v>113</v>
      </c>
      <c r="H8020" s="10" t="n">
        <v>114</v>
      </c>
      <c r="I8020" s="10" t="n">
        <v>1015</v>
      </c>
      <c r="J8020" s="10" t="n">
        <v>0</v>
      </c>
      <c r="K8020" s="10" t="s">
        <v>20</v>
      </c>
      <c r="L8020" s="11" t="n">
        <v>41764.8697916667</v>
      </c>
      <c r="M8020" s="12"/>
      <c r="N8020" s="12"/>
      <c r="O8020" s="9" t="str">
        <f aca="false">HYPERLINK("https://pbs.twimg.com/profile_images/519730454765654016/51tf3VQU_normal.jpeg","View")</f>
        <v>View</v>
      </c>
      <c r="P8020" s="10"/>
    </row>
    <row r="8021" customFormat="false" ht="15.75" hidden="false" customHeight="false" outlineLevel="0" collapsed="false">
      <c r="A8021" s="6" t="n">
        <v>43031.9308217593</v>
      </c>
      <c r="B8021" s="7" t="str">
        <f aca="false">HYPERLINK("https://twitter.com/mutsusoken","@mutsusoken")</f>
        <v>@mutsusoken</v>
      </c>
      <c r="C8021" s="14" t="s">
        <v>2062</v>
      </c>
      <c r="D8021" s="8" t="s">
        <v>17813</v>
      </c>
      <c r="E8021" s="9" t="str">
        <f aca="false">HYPERLINK("https://twitter.com/mutsusoken/status/922694238718001152","922694238718001152")</f>
        <v>922694238718001152</v>
      </c>
      <c r="F8021" s="10" t="s">
        <v>51</v>
      </c>
      <c r="G8021" s="10" t="n">
        <v>722</v>
      </c>
      <c r="H8021" s="10" t="n">
        <v>1003</v>
      </c>
      <c r="I8021" s="10" t="n">
        <v>0</v>
      </c>
      <c r="J8021" s="10" t="n">
        <v>0</v>
      </c>
      <c r="K8021" s="10" t="s">
        <v>20</v>
      </c>
      <c r="L8021" s="11" t="n">
        <v>41257.7458564815</v>
      </c>
      <c r="M8021" s="12" t="s">
        <v>574</v>
      </c>
      <c r="N8021" s="13" t="s">
        <v>2063</v>
      </c>
      <c r="O8021" s="9" t="str">
        <f aca="false">HYPERLINK("https://pbs.twimg.com/profile_images/2976760403/51bbd1956ef1a3378f939f563df2efe2_normal.jpeg","View")</f>
        <v>View</v>
      </c>
      <c r="P8021" s="10"/>
    </row>
    <row r="8022" customFormat="false" ht="15.75" hidden="false" customHeight="false" outlineLevel="0" collapsed="false">
      <c r="A8022" s="6" t="n">
        <v>43031.9337037037</v>
      </c>
      <c r="B8022" s="7" t="str">
        <f aca="false">HYPERLINK("https://twitter.com/miro_bey","@miro_bey")</f>
        <v>@miro_bey</v>
      </c>
      <c r="C8022" s="8" t="s">
        <v>12468</v>
      </c>
      <c r="D8022" s="8" t="s">
        <v>17814</v>
      </c>
      <c r="E8022" s="9" t="str">
        <f aca="false">HYPERLINK("https://twitter.com/miro_bey/status/922695281879199744","922695281879199744")</f>
        <v>922695281879199744</v>
      </c>
      <c r="F8022" s="10" t="s">
        <v>51</v>
      </c>
      <c r="G8022" s="10" t="n">
        <v>1099</v>
      </c>
      <c r="H8022" s="10" t="n">
        <v>457</v>
      </c>
      <c r="I8022" s="10" t="n">
        <v>3</v>
      </c>
      <c r="J8022" s="10" t="n">
        <v>0</v>
      </c>
      <c r="K8022" s="10" t="s">
        <v>20</v>
      </c>
      <c r="L8022" s="11" t="n">
        <v>41634.7252546296</v>
      </c>
      <c r="M8022" s="12"/>
      <c r="N8022" s="12" t="s">
        <v>12469</v>
      </c>
      <c r="O8022" s="9" t="str">
        <f aca="false">HYPERLINK("https://pbs.twimg.com/profile_images/912392692470083584/OQf6pA1F_normal.jpg","View")</f>
        <v>View</v>
      </c>
      <c r="P8022" s="10"/>
    </row>
    <row r="8023" customFormat="false" ht="15.75" hidden="false" customHeight="false" outlineLevel="0" collapsed="false">
      <c r="A8023" s="6" t="n">
        <v>43031.9350231482</v>
      </c>
      <c r="B8023" s="7" t="str">
        <f aca="false">HYPERLINK("https://twitter.com/zynic1","@zynic1")</f>
        <v>@zynic1</v>
      </c>
      <c r="C8023" s="8" t="s">
        <v>17815</v>
      </c>
      <c r="D8023" s="8" t="s">
        <v>17614</v>
      </c>
      <c r="E8023" s="9" t="str">
        <f aca="false">HYPERLINK("https://twitter.com/zynic1/status/922695758318637056","922695758318637056")</f>
        <v>922695758318637056</v>
      </c>
      <c r="F8023" s="10" t="s">
        <v>51</v>
      </c>
      <c r="G8023" s="10" t="n">
        <v>49</v>
      </c>
      <c r="H8023" s="10" t="n">
        <v>565</v>
      </c>
      <c r="I8023" s="10" t="n">
        <v>9</v>
      </c>
      <c r="J8023" s="10" t="n">
        <v>0</v>
      </c>
      <c r="K8023" s="10" t="s">
        <v>20</v>
      </c>
      <c r="L8023" s="11" t="n">
        <v>40617.1583564815</v>
      </c>
      <c r="M8023" s="12"/>
      <c r="N8023" s="12"/>
      <c r="O8023" s="9" t="str">
        <f aca="false">HYPERLINK("https://pbs.twimg.com/profile_images/638726252497629184/2Hqx5Sww_normal.jpg","View")</f>
        <v>View</v>
      </c>
      <c r="P8023" s="10"/>
    </row>
    <row r="8024" customFormat="false" ht="15.75" hidden="false" customHeight="false" outlineLevel="0" collapsed="false">
      <c r="A8024" s="6" t="n">
        <v>43031.9361574074</v>
      </c>
      <c r="B8024" s="7" t="str">
        <f aca="false">HYPERLINK("https://twitter.com/Aguilara54","@Aguilara54")</f>
        <v>@Aguilara54</v>
      </c>
      <c r="C8024" s="8" t="s">
        <v>17816</v>
      </c>
      <c r="D8024" s="8" t="s">
        <v>17626</v>
      </c>
      <c r="E8024" s="9" t="str">
        <f aca="false">HYPERLINK("https://twitter.com/Aguilara54/status/922696171629379584","922696171629379584")</f>
        <v>922696171629379584</v>
      </c>
      <c r="F8024" s="10" t="s">
        <v>51</v>
      </c>
      <c r="G8024" s="10" t="n">
        <v>187</v>
      </c>
      <c r="H8024" s="10" t="n">
        <v>319</v>
      </c>
      <c r="I8024" s="10" t="n">
        <v>51</v>
      </c>
      <c r="J8024" s="10" t="n">
        <v>0</v>
      </c>
      <c r="K8024" s="10" t="s">
        <v>20</v>
      </c>
      <c r="L8024" s="11" t="n">
        <v>42443.9920138889</v>
      </c>
      <c r="M8024" s="12"/>
      <c r="N8024" s="12"/>
      <c r="O8024" s="9" t="str">
        <f aca="false">HYPERLINK("https://abs.twimg.com/sticky/default_profile_images/default_profile_normal.png","View")</f>
        <v>View</v>
      </c>
      <c r="P8024" s="10"/>
    </row>
    <row r="8025" customFormat="false" ht="15.75" hidden="false" customHeight="false" outlineLevel="0" collapsed="false">
      <c r="A8025" s="6" t="n">
        <v>43031.9369097222</v>
      </c>
      <c r="B8025" s="7" t="str">
        <f aca="false">HYPERLINK("https://twitter.com/Chi312Chi","@Chi312Chi")</f>
        <v>@Chi312Chi</v>
      </c>
      <c r="C8025" s="8" t="s">
        <v>1359</v>
      </c>
      <c r="D8025" s="8" t="s">
        <v>17614</v>
      </c>
      <c r="E8025" s="9" t="str">
        <f aca="false">HYPERLINK("https://twitter.com/Chi312Chi/status/922696440840941568","922696440840941568")</f>
        <v>922696440840941568</v>
      </c>
      <c r="F8025" s="10" t="s">
        <v>4100</v>
      </c>
      <c r="G8025" s="10" t="n">
        <v>580</v>
      </c>
      <c r="H8025" s="10" t="n">
        <v>2786</v>
      </c>
      <c r="I8025" s="10" t="n">
        <v>9</v>
      </c>
      <c r="J8025" s="10" t="n">
        <v>0</v>
      </c>
      <c r="K8025" s="10" t="s">
        <v>20</v>
      </c>
      <c r="L8025" s="11" t="n">
        <v>41645.8166203704</v>
      </c>
      <c r="M8025" s="12"/>
      <c r="N8025" s="12"/>
      <c r="O8025" s="9" t="str">
        <f aca="false">HYPERLINK("https://pbs.twimg.com/profile_images/918940173085413376/0qeHPlF8_normal.jpg","View")</f>
        <v>View</v>
      </c>
      <c r="P8025" s="10"/>
    </row>
    <row r="8026" customFormat="false" ht="15.75" hidden="false" customHeight="false" outlineLevel="0" collapsed="false">
      <c r="A8026" s="6" t="n">
        <v>43031.9372106481</v>
      </c>
      <c r="B8026" s="7" t="str">
        <f aca="false">HYPERLINK("https://twitter.com/CaseyBillX","@CaseyBillX")</f>
        <v>@CaseyBillX</v>
      </c>
      <c r="C8026" s="8" t="s">
        <v>2159</v>
      </c>
      <c r="D8026" s="8" t="s">
        <v>17614</v>
      </c>
      <c r="E8026" s="9" t="str">
        <f aca="false">HYPERLINK("https://twitter.com/CaseyBillX/status/922696552761774080","922696552761774080")</f>
        <v>922696552761774080</v>
      </c>
      <c r="F8026" s="10" t="s">
        <v>2160</v>
      </c>
      <c r="G8026" s="10" t="n">
        <v>2484</v>
      </c>
      <c r="H8026" s="10" t="n">
        <v>5001</v>
      </c>
      <c r="I8026" s="10" t="n">
        <v>9</v>
      </c>
      <c r="J8026" s="10" t="n">
        <v>0</v>
      </c>
      <c r="K8026" s="10" t="s">
        <v>20</v>
      </c>
      <c r="L8026" s="11" t="n">
        <v>42997.1530208333</v>
      </c>
      <c r="M8026" s="12"/>
      <c r="N8026" s="12"/>
      <c r="O8026" s="9" t="str">
        <f aca="false">HYPERLINK("https://pbs.twimg.com/profile_images/910103474003525633/_kzNa9NX_normal.jpg","View")</f>
        <v>View</v>
      </c>
      <c r="P8026" s="10"/>
    </row>
    <row r="8027" customFormat="false" ht="15.75" hidden="false" customHeight="false" outlineLevel="0" collapsed="false">
      <c r="A8027" s="6" t="n">
        <v>43031.938125</v>
      </c>
      <c r="B8027" s="7" t="str">
        <f aca="false">HYPERLINK("https://twitter.com/ideas4thefuture","@ideas4thefuture")</f>
        <v>@ideas4thefuture</v>
      </c>
      <c r="C8027" s="8" t="s">
        <v>2544</v>
      </c>
      <c r="D8027" s="8" t="s">
        <v>17817</v>
      </c>
      <c r="E8027" s="9" t="str">
        <f aca="false">HYPERLINK("https://twitter.com/ideas4thefuture/status/922696881167306752","922696881167306752")</f>
        <v>922696881167306752</v>
      </c>
      <c r="F8027" s="10" t="s">
        <v>39</v>
      </c>
      <c r="G8027" s="10" t="n">
        <v>5859</v>
      </c>
      <c r="H8027" s="10" t="n">
        <v>2795</v>
      </c>
      <c r="I8027" s="10" t="n">
        <v>0</v>
      </c>
      <c r="J8027" s="10" t="n">
        <v>0</v>
      </c>
      <c r="K8027" s="10" t="s">
        <v>20</v>
      </c>
      <c r="L8027" s="11" t="n">
        <v>40603.115787037</v>
      </c>
      <c r="M8027" s="12" t="s">
        <v>2546</v>
      </c>
      <c r="N8027" s="12" t="s">
        <v>2547</v>
      </c>
      <c r="O8027" s="9" t="str">
        <f aca="false">HYPERLINK("https://pbs.twimg.com/profile_images/480338234699173889/IUZBg5H0_normal.jpeg","View")</f>
        <v>View</v>
      </c>
      <c r="P8027" s="10"/>
    </row>
    <row r="8028" customFormat="false" ht="15.75" hidden="false" customHeight="false" outlineLevel="0" collapsed="false">
      <c r="A8028" s="6" t="n">
        <v>43031.939224537</v>
      </c>
      <c r="B8028" s="7" t="str">
        <f aca="false">HYPERLINK("https://twitter.com/KazimotoBaraka3","@KazimotoBaraka3")</f>
        <v>@KazimotoBaraka3</v>
      </c>
      <c r="C8028" s="8" t="s">
        <v>6059</v>
      </c>
      <c r="D8028" s="8" t="s">
        <v>17569</v>
      </c>
      <c r="E8028" s="9" t="str">
        <f aca="false">HYPERLINK("https://twitter.com/KazimotoBaraka3/status/922697282134401024","922697282134401024")</f>
        <v>922697282134401024</v>
      </c>
      <c r="F8028" s="10" t="s">
        <v>25</v>
      </c>
      <c r="G8028" s="10" t="n">
        <v>482</v>
      </c>
      <c r="H8028" s="10" t="n">
        <v>5000</v>
      </c>
      <c r="I8028" s="10" t="n">
        <v>28</v>
      </c>
      <c r="J8028" s="10" t="n">
        <v>0</v>
      </c>
      <c r="K8028" s="10" t="s">
        <v>20</v>
      </c>
      <c r="L8028" s="11" t="n">
        <v>42834.0741319445</v>
      </c>
      <c r="M8028" s="12" t="s">
        <v>5398</v>
      </c>
      <c r="N8028" s="12" t="s">
        <v>6060</v>
      </c>
      <c r="O8028" s="9" t="str">
        <f aca="false">HYPERLINK("https://pbs.twimg.com/profile_images/912565184815882240/RnjIyacP_normal.jpg","View")</f>
        <v>View</v>
      </c>
      <c r="P8028" s="10"/>
    </row>
    <row r="8029" customFormat="false" ht="15.75" hidden="false" customHeight="false" outlineLevel="0" collapsed="false">
      <c r="A8029" s="6" t="n">
        <v>43031.9398958333</v>
      </c>
      <c r="B8029" s="7" t="str">
        <f aca="false">HYPERLINK("https://twitter.com/Kayleen632","@Kayleen632")</f>
        <v>@Kayleen632</v>
      </c>
      <c r="C8029" s="8" t="s">
        <v>17818</v>
      </c>
      <c r="D8029" s="8" t="s">
        <v>14598</v>
      </c>
      <c r="E8029" s="9" t="str">
        <f aca="false">HYPERLINK("https://twitter.com/Kayleen632/status/922697526083555328","922697526083555328")</f>
        <v>922697526083555328</v>
      </c>
      <c r="F8029" s="10" t="s">
        <v>25</v>
      </c>
      <c r="G8029" s="10" t="n">
        <v>43</v>
      </c>
      <c r="H8029" s="10" t="n">
        <v>1486</v>
      </c>
      <c r="I8029" s="10" t="n">
        <v>23</v>
      </c>
      <c r="J8029" s="10" t="n">
        <v>0</v>
      </c>
      <c r="K8029" s="10" t="s">
        <v>20</v>
      </c>
      <c r="L8029" s="11" t="n">
        <v>41081.7453819444</v>
      </c>
      <c r="M8029" s="12" t="s">
        <v>17819</v>
      </c>
      <c r="N8029" s="12" t="s">
        <v>17820</v>
      </c>
      <c r="O8029" s="9" t="str">
        <f aca="false">HYPERLINK("https://pbs.twimg.com/profile_images/770369509769244672/pDSKDuRH_normal.jpg","View")</f>
        <v>View</v>
      </c>
      <c r="P8029" s="10"/>
    </row>
    <row r="8030" customFormat="false" ht="15.75" hidden="false" customHeight="false" outlineLevel="0" collapsed="false">
      <c r="A8030" s="6" t="n">
        <v>43031.9466203704</v>
      </c>
      <c r="B8030" s="7" t="str">
        <f aca="false">HYPERLINK("https://twitter.com/rayann2320","@rayann2320")</f>
        <v>@rayann2320</v>
      </c>
      <c r="C8030" s="8" t="s">
        <v>17821</v>
      </c>
      <c r="D8030" s="8" t="s">
        <v>17569</v>
      </c>
      <c r="E8030" s="9" t="str">
        <f aca="false">HYPERLINK("https://twitter.com/rayann2320/status/922699961095073792","922699961095073792")</f>
        <v>922699961095073792</v>
      </c>
      <c r="F8030" s="10" t="s">
        <v>25</v>
      </c>
      <c r="G8030" s="10" t="n">
        <v>9315</v>
      </c>
      <c r="H8030" s="10" t="n">
        <v>10207</v>
      </c>
      <c r="I8030" s="10" t="n">
        <v>28</v>
      </c>
      <c r="J8030" s="10" t="n">
        <v>0</v>
      </c>
      <c r="K8030" s="10" t="s">
        <v>20</v>
      </c>
      <c r="L8030" s="11" t="n">
        <v>41769.6409606481</v>
      </c>
      <c r="M8030" s="12" t="s">
        <v>5461</v>
      </c>
      <c r="N8030" s="12" t="s">
        <v>17822</v>
      </c>
      <c r="O8030" s="9" t="str">
        <f aca="false">HYPERLINK("https://pbs.twimg.com/profile_images/721790472692183040/Mk_Ep6BC_normal.png","View")</f>
        <v>View</v>
      </c>
      <c r="P8030" s="10"/>
    </row>
    <row r="8031" customFormat="false" ht="15.75" hidden="false" customHeight="false" outlineLevel="0" collapsed="false">
      <c r="A8031" s="6" t="n">
        <v>43031.9492708333</v>
      </c>
      <c r="B8031" s="7" t="str">
        <f aca="false">HYPERLINK("https://twitter.com/Shekhar_Pro","@Shekhar_Pro")</f>
        <v>@Shekhar_Pro</v>
      </c>
      <c r="C8031" s="8" t="s">
        <v>511</v>
      </c>
      <c r="D8031" s="8" t="s">
        <v>6707</v>
      </c>
      <c r="E8031" s="9" t="str">
        <f aca="false">HYPERLINK("https://twitter.com/Shekhar_Pro/status/922700922706210816","922700922706210816")</f>
        <v>922700922706210816</v>
      </c>
      <c r="F8031" s="10" t="s">
        <v>98</v>
      </c>
      <c r="G8031" s="10" t="n">
        <v>10</v>
      </c>
      <c r="H8031" s="10" t="n">
        <v>88</v>
      </c>
      <c r="I8031" s="10" t="n">
        <v>97</v>
      </c>
      <c r="J8031" s="10" t="n">
        <v>0</v>
      </c>
      <c r="K8031" s="10" t="s">
        <v>20</v>
      </c>
      <c r="L8031" s="11" t="n">
        <v>42212.2416319445</v>
      </c>
      <c r="M8031" s="12" t="s">
        <v>512</v>
      </c>
      <c r="N8031" s="12" t="s">
        <v>513</v>
      </c>
      <c r="O8031" s="9" t="str">
        <f aca="false">HYPERLINK("https://abs.twimg.com/sticky/default_profile_images/default_profile_normal.png","View")</f>
        <v>View</v>
      </c>
      <c r="P8031" s="10"/>
    </row>
    <row r="8032" customFormat="false" ht="15.75" hidden="false" customHeight="false" outlineLevel="0" collapsed="false">
      <c r="A8032" s="6" t="n">
        <v>43031.9493865741</v>
      </c>
      <c r="B8032" s="7" t="str">
        <f aca="false">HYPERLINK("https://twitter.com/Cloud_Newsman","@Cloud_Newsman")</f>
        <v>@Cloud_Newsman</v>
      </c>
      <c r="C8032" s="8" t="s">
        <v>17823</v>
      </c>
      <c r="D8032" s="8" t="s">
        <v>17824</v>
      </c>
      <c r="E8032" s="9" t="str">
        <f aca="false">HYPERLINK("https://twitter.com/Cloud_Newsman/status/922700964087418881","922700964087418881")</f>
        <v>922700964087418881</v>
      </c>
      <c r="F8032" s="10" t="s">
        <v>17825</v>
      </c>
      <c r="G8032" s="10" t="n">
        <v>1876</v>
      </c>
      <c r="H8032" s="10" t="n">
        <v>1628</v>
      </c>
      <c r="I8032" s="10" t="n">
        <v>0</v>
      </c>
      <c r="J8032" s="10" t="n">
        <v>0</v>
      </c>
      <c r="K8032" s="10" t="s">
        <v>20</v>
      </c>
      <c r="L8032" s="11" t="n">
        <v>41289.193912037</v>
      </c>
      <c r="M8032" s="12" t="s">
        <v>17826</v>
      </c>
      <c r="N8032" s="12" t="s">
        <v>17827</v>
      </c>
      <c r="O8032" s="9" t="str">
        <f aca="false">HYPERLINK("https://pbs.twimg.com/profile_images/3143734674/ba806349b0ec97005af6eac05f79b8e0_normal.png","View")</f>
        <v>View</v>
      </c>
      <c r="P8032" s="10"/>
    </row>
    <row r="8033" customFormat="false" ht="15.75" hidden="false" customHeight="false" outlineLevel="0" collapsed="false">
      <c r="A8033" s="6" t="n">
        <v>43031.9508449074</v>
      </c>
      <c r="B8033" s="7" t="str">
        <f aca="false">HYPERLINK("https://twitter.com/Cloud_Expertise","@Cloud_Expertise")</f>
        <v>@Cloud_Expertise</v>
      </c>
      <c r="C8033" s="8" t="s">
        <v>17828</v>
      </c>
      <c r="D8033" s="8" t="s">
        <v>17829</v>
      </c>
      <c r="E8033" s="9" t="str">
        <f aca="false">HYPERLINK("https://twitter.com/Cloud_Expertise/status/922701494016716800","922701494016716800")</f>
        <v>922701494016716800</v>
      </c>
      <c r="F8033" s="10" t="s">
        <v>60</v>
      </c>
      <c r="G8033" s="10" t="n">
        <v>119</v>
      </c>
      <c r="H8033" s="10" t="n">
        <v>34</v>
      </c>
      <c r="I8033" s="10" t="n">
        <v>0</v>
      </c>
      <c r="J8033" s="10" t="n">
        <v>0</v>
      </c>
      <c r="K8033" s="10" t="s">
        <v>20</v>
      </c>
      <c r="L8033" s="11" t="n">
        <v>42695.0803009259</v>
      </c>
      <c r="M8033" s="12"/>
      <c r="N8033" s="12" t="s">
        <v>17830</v>
      </c>
      <c r="O8033" s="9" t="str">
        <f aca="false">HYPERLINK("https://pbs.twimg.com/profile_images/812252415349112832/MY3fbtYB_normal.jpg","View")</f>
        <v>View</v>
      </c>
      <c r="P8033" s="10"/>
    </row>
    <row r="8034" customFormat="false" ht="15.75" hidden="false" customHeight="false" outlineLevel="0" collapsed="false">
      <c r="A8034" s="6" t="n">
        <v>43031.9556597222</v>
      </c>
      <c r="B8034" s="7" t="str">
        <f aca="false">HYPERLINK("https://twitter.com/Bahdbhabie","@Bahdbhabie")</f>
        <v>@Bahdbhabie</v>
      </c>
      <c r="C8034" s="8" t="s">
        <v>17831</v>
      </c>
      <c r="D8034" s="8" t="s">
        <v>14906</v>
      </c>
      <c r="E8034" s="9" t="str">
        <f aca="false">HYPERLINK("https://twitter.com/Bahdbhabie/status/922703238314561536","922703238314561536")</f>
        <v>922703238314561536</v>
      </c>
      <c r="F8034" s="10" t="s">
        <v>39</v>
      </c>
      <c r="G8034" s="10" t="n">
        <v>329</v>
      </c>
      <c r="H8034" s="10" t="n">
        <v>33</v>
      </c>
      <c r="I8034" s="10" t="n">
        <v>2</v>
      </c>
      <c r="J8034" s="10" t="n">
        <v>0</v>
      </c>
      <c r="K8034" s="10" t="s">
        <v>20</v>
      </c>
      <c r="L8034" s="11" t="n">
        <v>41110.7462384259</v>
      </c>
      <c r="M8034" s="12"/>
      <c r="N8034" s="12" t="s">
        <v>17832</v>
      </c>
      <c r="O8034" s="9" t="str">
        <f aca="false">HYPERLINK("https://pbs.twimg.com/profile_images/919693733154689024/RS8dUQ6U_normal.jpg","View")</f>
        <v>View</v>
      </c>
      <c r="P8034" s="10"/>
    </row>
    <row r="8035" customFormat="false" ht="15.75" hidden="false" customHeight="false" outlineLevel="0" collapsed="false">
      <c r="A8035" s="6" t="n">
        <v>43031.9558101852</v>
      </c>
      <c r="B8035" s="7" t="str">
        <f aca="false">HYPERLINK("https://twitter.com/RavindraSoni1","@RavindraSoni1")</f>
        <v>@RavindraSoni1</v>
      </c>
      <c r="C8035" s="8" t="s">
        <v>1083</v>
      </c>
      <c r="D8035" s="8" t="s">
        <v>17833</v>
      </c>
      <c r="E8035" s="9" t="str">
        <f aca="false">HYPERLINK("https://twitter.com/RavindraSoni1/status/922703292991451136","922703292991451136")</f>
        <v>922703292991451136</v>
      </c>
      <c r="F8035" s="9" t="s">
        <v>979</v>
      </c>
      <c r="G8035" s="10" t="n">
        <v>281</v>
      </c>
      <c r="H8035" s="10" t="n">
        <v>512</v>
      </c>
      <c r="I8035" s="10" t="n">
        <v>0</v>
      </c>
      <c r="J8035" s="10" t="n">
        <v>0</v>
      </c>
      <c r="K8035" s="10" t="s">
        <v>20</v>
      </c>
      <c r="L8035" s="11" t="n">
        <v>40703.1341666667</v>
      </c>
      <c r="M8035" s="12" t="s">
        <v>1085</v>
      </c>
      <c r="N8035" s="12" t="s">
        <v>1086</v>
      </c>
      <c r="O8035" s="9" t="str">
        <f aca="false">HYPERLINK("https://pbs.twimg.com/profile_images/809424050770448384/e3p1bqh-_normal.jpg","View")</f>
        <v>View</v>
      </c>
      <c r="P8035" s="10"/>
    </row>
    <row r="8036" customFormat="false" ht="15.75" hidden="false" customHeight="false" outlineLevel="0" collapsed="false">
      <c r="A8036" s="6" t="n">
        <v>43031.9642592593</v>
      </c>
      <c r="B8036" s="7" t="str">
        <f aca="false">HYPERLINK("https://twitter.com/sivacbetwit","@sivacbetwit")</f>
        <v>@sivacbetwit</v>
      </c>
      <c r="C8036" s="8" t="s">
        <v>17834</v>
      </c>
      <c r="D8036" s="8" t="s">
        <v>8538</v>
      </c>
      <c r="E8036" s="9" t="str">
        <f aca="false">HYPERLINK("https://twitter.com/sivacbetwit/status/922706354736910336","922706354736910336")</f>
        <v>922706354736910336</v>
      </c>
      <c r="F8036" s="10" t="s">
        <v>25</v>
      </c>
      <c r="G8036" s="10" t="n">
        <v>50</v>
      </c>
      <c r="H8036" s="10" t="n">
        <v>326</v>
      </c>
      <c r="I8036" s="10" t="n">
        <v>1015</v>
      </c>
      <c r="J8036" s="10" t="n">
        <v>0</v>
      </c>
      <c r="K8036" s="10" t="s">
        <v>20</v>
      </c>
      <c r="L8036" s="11" t="n">
        <v>40517.3107523148</v>
      </c>
      <c r="M8036" s="12" t="s">
        <v>17835</v>
      </c>
      <c r="N8036" s="12" t="s">
        <v>17836</v>
      </c>
      <c r="O8036" s="9" t="str">
        <f aca="false">HYPERLINK("https://pbs.twimg.com/profile_images/2274872886/9b6jyzml75487kr7he3f_normal.jpeg","View")</f>
        <v>View</v>
      </c>
      <c r="P8036" s="10"/>
    </row>
    <row r="8037" customFormat="false" ht="15.75" hidden="false" customHeight="false" outlineLevel="0" collapsed="false">
      <c r="A8037" s="6" t="n">
        <v>43031.9704398148</v>
      </c>
      <c r="B8037" s="7" t="str">
        <f aca="false">HYPERLINK("https://twitter.com/Georgekurian4K","@Georgekurian4K")</f>
        <v>@Georgekurian4K</v>
      </c>
      <c r="C8037" s="8" t="s">
        <v>7631</v>
      </c>
      <c r="D8037" s="8" t="s">
        <v>17626</v>
      </c>
      <c r="E8037" s="9" t="str">
        <f aca="false">HYPERLINK("https://twitter.com/Georgekurian4K/status/922708593736142848","922708593736142848")</f>
        <v>922708593736142848</v>
      </c>
      <c r="F8037" s="10" t="s">
        <v>25</v>
      </c>
      <c r="G8037" s="10" t="n">
        <v>35998</v>
      </c>
      <c r="H8037" s="10" t="n">
        <v>1374</v>
      </c>
      <c r="I8037" s="10" t="n">
        <v>51</v>
      </c>
      <c r="J8037" s="10" t="n">
        <v>0</v>
      </c>
      <c r="K8037" s="10" t="s">
        <v>20</v>
      </c>
      <c r="L8037" s="11" t="n">
        <v>41693.984212963</v>
      </c>
      <c r="M8037" s="12" t="s">
        <v>3531</v>
      </c>
      <c r="N8037" s="12" t="s">
        <v>7632</v>
      </c>
      <c r="O8037" s="9" t="str">
        <f aca="false">HYPERLINK("https://pbs.twimg.com/profile_images/774673230573494273/rrOg52My_normal.jpg","View")</f>
        <v>View</v>
      </c>
      <c r="P8037" s="10"/>
    </row>
    <row r="8038" customFormat="false" ht="15.75" hidden="false" customHeight="false" outlineLevel="0" collapsed="false">
      <c r="A8038" s="6" t="n">
        <v>43031.9714236111</v>
      </c>
      <c r="B8038" s="7" t="str">
        <f aca="false">HYPERLINK("https://twitter.com/BharatAPatel4","@BharatAPatel4")</f>
        <v>@BharatAPatel4</v>
      </c>
      <c r="C8038" s="8" t="s">
        <v>17837</v>
      </c>
      <c r="D8038" s="8" t="s">
        <v>17838</v>
      </c>
      <c r="E8038" s="9" t="str">
        <f aca="false">HYPERLINK("https://twitter.com/BharatAPatel4/status/922708948481953792","922708948481953792")</f>
        <v>922708948481953792</v>
      </c>
      <c r="F8038" s="10" t="s">
        <v>98</v>
      </c>
      <c r="G8038" s="10" t="n">
        <v>8</v>
      </c>
      <c r="H8038" s="10" t="n">
        <v>87</v>
      </c>
      <c r="I8038" s="10" t="n">
        <v>0</v>
      </c>
      <c r="J8038" s="10" t="n">
        <v>0</v>
      </c>
      <c r="K8038" s="10" t="s">
        <v>20</v>
      </c>
      <c r="L8038" s="11" t="n">
        <v>42823.9508796296</v>
      </c>
      <c r="M8038" s="12" t="s">
        <v>17839</v>
      </c>
      <c r="N8038" s="12" t="s">
        <v>11062</v>
      </c>
      <c r="O8038" s="9" t="str">
        <f aca="false">HYPERLINK("https://pbs.twimg.com/profile_images/854557092849614848/zL5cQURB_normal.jpg","View")</f>
        <v>View</v>
      </c>
      <c r="P8038" s="10"/>
    </row>
    <row r="8039" customFormat="false" ht="15.75" hidden="false" customHeight="false" outlineLevel="0" collapsed="false">
      <c r="A8039" s="6" t="n">
        <v>43031.9715277778</v>
      </c>
      <c r="B8039" s="7" t="str">
        <f aca="false">HYPERLINK("https://twitter.com/Georgekurian4K","@Georgekurian4K")</f>
        <v>@Georgekurian4K</v>
      </c>
      <c r="C8039" s="8" t="s">
        <v>7631</v>
      </c>
      <c r="D8039" s="8" t="s">
        <v>16392</v>
      </c>
      <c r="E8039" s="9" t="str">
        <f aca="false">HYPERLINK("https://twitter.com/Georgekurian4K/status/922708986352324609","922708986352324609")</f>
        <v>922708986352324609</v>
      </c>
      <c r="F8039" s="10" t="s">
        <v>25</v>
      </c>
      <c r="G8039" s="10" t="n">
        <v>35998</v>
      </c>
      <c r="H8039" s="10" t="n">
        <v>1374</v>
      </c>
      <c r="I8039" s="10" t="n">
        <v>3</v>
      </c>
      <c r="J8039" s="10" t="n">
        <v>0</v>
      </c>
      <c r="K8039" s="10" t="s">
        <v>20</v>
      </c>
      <c r="L8039" s="11" t="n">
        <v>41693.984212963</v>
      </c>
      <c r="M8039" s="12" t="s">
        <v>3531</v>
      </c>
      <c r="N8039" s="12" t="s">
        <v>7632</v>
      </c>
      <c r="O8039" s="9" t="str">
        <f aca="false">HYPERLINK("https://pbs.twimg.com/profile_images/774673230573494273/rrOg52My_normal.jpg","View")</f>
        <v>View</v>
      </c>
      <c r="P8039" s="10"/>
    </row>
    <row r="8040" customFormat="false" ht="15.75" hidden="false" customHeight="false" outlineLevel="0" collapsed="false">
      <c r="A8040" s="6" t="n">
        <v>43031.9732060185</v>
      </c>
      <c r="B8040" s="7" t="str">
        <f aca="false">HYPERLINK("https://twitter.com/bidaia","@bidaia")</f>
        <v>@bidaia</v>
      </c>
      <c r="C8040" s="8" t="s">
        <v>17840</v>
      </c>
      <c r="D8040" s="8" t="s">
        <v>17841</v>
      </c>
      <c r="E8040" s="9" t="str">
        <f aca="false">HYPERLINK("https://twitter.com/bidaia/status/922709594836783104","922709594836783104")</f>
        <v>922709594836783104</v>
      </c>
      <c r="F8040" s="10" t="s">
        <v>39</v>
      </c>
      <c r="G8040" s="10" t="n">
        <v>2675</v>
      </c>
      <c r="H8040" s="10" t="n">
        <v>2955</v>
      </c>
      <c r="I8040" s="10" t="n">
        <v>1</v>
      </c>
      <c r="J8040" s="10" t="n">
        <v>0</v>
      </c>
      <c r="K8040" s="10" t="s">
        <v>20</v>
      </c>
      <c r="L8040" s="11" t="n">
        <v>39896.2299884259</v>
      </c>
      <c r="M8040" s="12" t="s">
        <v>17842</v>
      </c>
      <c r="N8040" s="12" t="s">
        <v>17843</v>
      </c>
      <c r="O8040" s="9" t="str">
        <f aca="false">HYPERLINK("https://pbs.twimg.com/profile_images/880241874/Profile_7_normal.jpg","View")</f>
        <v>View</v>
      </c>
      <c r="P8040" s="10"/>
    </row>
    <row r="8041" customFormat="false" ht="15.75" hidden="false" customHeight="false" outlineLevel="0" collapsed="false">
      <c r="A8041" s="6" t="n">
        <v>43031.9744560185</v>
      </c>
      <c r="B8041" s="7" t="str">
        <f aca="false">HYPERLINK("https://twitter.com/Michaelprice888","@Michaelprice888")</f>
        <v>@Michaelprice888</v>
      </c>
      <c r="C8041" s="8" t="s">
        <v>17844</v>
      </c>
      <c r="D8041" s="8" t="s">
        <v>8538</v>
      </c>
      <c r="E8041" s="9" t="str">
        <f aca="false">HYPERLINK("https://twitter.com/Michaelprice888/status/922710049897828352","922710049897828352")</f>
        <v>922710049897828352</v>
      </c>
      <c r="F8041" s="10" t="s">
        <v>51</v>
      </c>
      <c r="G8041" s="10" t="n">
        <v>18</v>
      </c>
      <c r="H8041" s="10" t="n">
        <v>27</v>
      </c>
      <c r="I8041" s="10" t="n">
        <v>1015</v>
      </c>
      <c r="J8041" s="10" t="n">
        <v>0</v>
      </c>
      <c r="K8041" s="10" t="s">
        <v>20</v>
      </c>
      <c r="L8041" s="11" t="n">
        <v>42953.5085416667</v>
      </c>
      <c r="M8041" s="12" t="s">
        <v>230</v>
      </c>
      <c r="N8041" s="12" t="s">
        <v>17845</v>
      </c>
      <c r="O8041" s="9" t="str">
        <f aca="false">HYPERLINK("https://pbs.twimg.com/profile_images/897618675598934017/oo344pEd_normal.jpg","View")</f>
        <v>View</v>
      </c>
      <c r="P8041" s="10"/>
    </row>
    <row r="8042" customFormat="false" ht="15.75" hidden="false" customHeight="false" outlineLevel="0" collapsed="false">
      <c r="A8042" s="6" t="n">
        <v>43031.9765046296</v>
      </c>
      <c r="B8042" s="7" t="str">
        <f aca="false">HYPERLINK("https://twitter.com/GadgetsUKnews","@GadgetsUKnews")</f>
        <v>@GadgetsUKnews</v>
      </c>
      <c r="C8042" s="8" t="s">
        <v>17846</v>
      </c>
      <c r="D8042" s="8" t="s">
        <v>17847</v>
      </c>
      <c r="E8042" s="9" t="str">
        <f aca="false">HYPERLINK("https://twitter.com/GadgetsUKnews/status/922710792109207552","922710792109207552")</f>
        <v>922710792109207552</v>
      </c>
      <c r="F8042" s="10" t="s">
        <v>3042</v>
      </c>
      <c r="G8042" s="10" t="n">
        <v>475</v>
      </c>
      <c r="H8042" s="10" t="n">
        <v>533</v>
      </c>
      <c r="I8042" s="10" t="n">
        <v>0</v>
      </c>
      <c r="J8042" s="10" t="n">
        <v>0</v>
      </c>
      <c r="K8042" s="10" t="s">
        <v>20</v>
      </c>
      <c r="L8042" s="11" t="n">
        <v>41400.3264814815</v>
      </c>
      <c r="M8042" s="12"/>
      <c r="N8042" s="12" t="s">
        <v>17848</v>
      </c>
      <c r="O8042" s="9" t="str">
        <f aca="false">HYPERLINK("https://pbs.twimg.com/profile_images/436595741633835008/f0nDA_kE_normal.png","View")</f>
        <v>View</v>
      </c>
      <c r="P8042" s="10"/>
    </row>
    <row r="8043" customFormat="false" ht="15.75" hidden="false" customHeight="false" outlineLevel="0" collapsed="false">
      <c r="A8043" s="6" t="n">
        <v>43031.9794097222</v>
      </c>
      <c r="B8043" s="7" t="str">
        <f aca="false">HYPERLINK("https://twitter.com/JennyFear666","@JennyFear666")</f>
        <v>@JennyFear666</v>
      </c>
      <c r="C8043" s="8" t="s">
        <v>17849</v>
      </c>
      <c r="D8043" s="8" t="s">
        <v>15162</v>
      </c>
      <c r="E8043" s="9" t="str">
        <f aca="false">HYPERLINK("https://twitter.com/JennyFear666/status/922711843508051968","922711843508051968")</f>
        <v>922711843508051968</v>
      </c>
      <c r="F8043" s="10" t="s">
        <v>25</v>
      </c>
      <c r="G8043" s="10" t="n">
        <v>2913</v>
      </c>
      <c r="H8043" s="10" t="n">
        <v>4004</v>
      </c>
      <c r="I8043" s="10" t="n">
        <v>15</v>
      </c>
      <c r="J8043" s="10" t="n">
        <v>0</v>
      </c>
      <c r="K8043" s="10" t="s">
        <v>20</v>
      </c>
      <c r="L8043" s="11" t="n">
        <v>42210.9824189815</v>
      </c>
      <c r="M8043" s="12" t="s">
        <v>5461</v>
      </c>
      <c r="N8043" s="12" t="s">
        <v>17850</v>
      </c>
      <c r="O8043" s="9" t="str">
        <f aca="false">HYPERLINK("https://pbs.twimg.com/profile_images/655142735016538112/qPHY1nY2_normal.jpg","View")</f>
        <v>View</v>
      </c>
      <c r="P8043" s="10"/>
    </row>
    <row r="8044" customFormat="false" ht="15.75" hidden="false" customHeight="false" outlineLevel="0" collapsed="false">
      <c r="A8044" s="6" t="n">
        <v>43031.9798726852</v>
      </c>
      <c r="B8044" s="7" t="str">
        <f aca="false">HYPERLINK("https://twitter.com/Kerokero97","@Kerokero97")</f>
        <v>@Kerokero97</v>
      </c>
      <c r="C8044" s="8" t="s">
        <v>17851</v>
      </c>
      <c r="D8044" s="8" t="s">
        <v>10168</v>
      </c>
      <c r="E8044" s="9" t="str">
        <f aca="false">HYPERLINK("https://twitter.com/Kerokero97/status/922712012404281344","922712012404281344")</f>
        <v>922712012404281344</v>
      </c>
      <c r="F8044" s="10" t="s">
        <v>39</v>
      </c>
      <c r="G8044" s="10" t="n">
        <v>3185</v>
      </c>
      <c r="H8044" s="10" t="n">
        <v>2831</v>
      </c>
      <c r="I8044" s="10" t="n">
        <v>25</v>
      </c>
      <c r="J8044" s="10" t="n">
        <v>0</v>
      </c>
      <c r="K8044" s="10" t="s">
        <v>20</v>
      </c>
      <c r="L8044" s="11" t="n">
        <v>40622.5108333333</v>
      </c>
      <c r="M8044" s="12" t="s">
        <v>17852</v>
      </c>
      <c r="N8044" s="12" t="s">
        <v>17853</v>
      </c>
      <c r="O8044" s="9" t="str">
        <f aca="false">HYPERLINK("https://pbs.twimg.com/profile_images/1280644306/WAKA-resize_normal.jpg","View")</f>
        <v>View</v>
      </c>
      <c r="P8044" s="10"/>
    </row>
    <row r="8045" customFormat="false" ht="15.75" hidden="false" customHeight="false" outlineLevel="0" collapsed="false">
      <c r="A8045" s="6" t="n">
        <v>43031.9833217593</v>
      </c>
      <c r="B8045" s="7" t="str">
        <f aca="false">HYPERLINK("https://twitter.com/DAICHAN9265","@DAICHAN9265")</f>
        <v>@DAICHAN9265</v>
      </c>
      <c r="C8045" s="14" t="s">
        <v>17854</v>
      </c>
      <c r="D8045" s="8" t="s">
        <v>10788</v>
      </c>
      <c r="E8045" s="9" t="str">
        <f aca="false">HYPERLINK("https://twitter.com/DAICHAN9265/status/922713260918312960","922713260918312960")</f>
        <v>922713260918312960</v>
      </c>
      <c r="F8045" s="10" t="s">
        <v>25</v>
      </c>
      <c r="G8045" s="10" t="n">
        <v>332</v>
      </c>
      <c r="H8045" s="10" t="n">
        <v>2468</v>
      </c>
      <c r="I8045" s="10" t="n">
        <v>18</v>
      </c>
      <c r="J8045" s="10" t="n">
        <v>0</v>
      </c>
      <c r="K8045" s="10" t="s">
        <v>20</v>
      </c>
      <c r="L8045" s="11" t="n">
        <v>42738.9846064815</v>
      </c>
      <c r="M8045" s="12"/>
      <c r="N8045" s="12"/>
      <c r="O8045" s="9" t="str">
        <f aca="false">HYPERLINK("https://abs.twimg.com/sticky/default_profile_images/default_profile_normal.png","View")</f>
        <v>View</v>
      </c>
      <c r="P8045" s="10"/>
    </row>
    <row r="8046" customFormat="false" ht="15.75" hidden="false" customHeight="false" outlineLevel="0" collapsed="false">
      <c r="A8046" s="6" t="n">
        <v>43031.9885763889</v>
      </c>
      <c r="B8046" s="7" t="str">
        <f aca="false">HYPERLINK("https://twitter.com/LenoraWalter30","@LenoraWalter30")</f>
        <v>@LenoraWalter30</v>
      </c>
      <c r="C8046" s="8" t="s">
        <v>17855</v>
      </c>
      <c r="D8046" s="8" t="s">
        <v>17856</v>
      </c>
      <c r="E8046" s="9" t="str">
        <f aca="false">HYPERLINK("https://twitter.com/LenoraWalter30/status/922715167212822529","922715167212822529")</f>
        <v>922715167212822529</v>
      </c>
      <c r="F8046" s="10" t="s">
        <v>39</v>
      </c>
      <c r="G8046" s="10" t="n">
        <v>112</v>
      </c>
      <c r="H8046" s="10" t="n">
        <v>499</v>
      </c>
      <c r="I8046" s="10" t="n">
        <v>1</v>
      </c>
      <c r="J8046" s="10" t="n">
        <v>0</v>
      </c>
      <c r="K8046" s="10" t="s">
        <v>20</v>
      </c>
      <c r="L8046" s="11" t="n">
        <v>43022.0187037037</v>
      </c>
      <c r="M8046" s="12" t="s">
        <v>491</v>
      </c>
      <c r="N8046" s="12" t="s">
        <v>17857</v>
      </c>
      <c r="O8046" s="9" t="str">
        <f aca="false">HYPERLINK("https://pbs.twimg.com/profile_images/919103126367596544/yvS3m2Db_normal.jpg","View")</f>
        <v>View</v>
      </c>
      <c r="P8046" s="10"/>
    </row>
    <row r="8047" customFormat="false" ht="15.75" hidden="false" customHeight="false" outlineLevel="0" collapsed="false">
      <c r="A8047" s="6" t="n">
        <v>43031.9891435185</v>
      </c>
      <c r="B8047" s="7" t="str">
        <f aca="false">HYPERLINK("https://twitter.com/bony_rabbit","@bony_rabbit")</f>
        <v>@bony_rabbit</v>
      </c>
      <c r="C8047" s="8" t="s">
        <v>17858</v>
      </c>
      <c r="D8047" s="8" t="s">
        <v>7214</v>
      </c>
      <c r="E8047" s="9" t="str">
        <f aca="false">HYPERLINK("https://twitter.com/bony_rabbit/status/922715373077745664","922715373077745664")</f>
        <v>922715373077745664</v>
      </c>
      <c r="F8047" s="10" t="s">
        <v>39</v>
      </c>
      <c r="G8047" s="10" t="n">
        <v>1636</v>
      </c>
      <c r="H8047" s="10" t="n">
        <v>2335</v>
      </c>
      <c r="I8047" s="10" t="n">
        <v>2</v>
      </c>
      <c r="J8047" s="10" t="n">
        <v>0</v>
      </c>
      <c r="K8047" s="10" t="s">
        <v>20</v>
      </c>
      <c r="L8047" s="11" t="n">
        <v>42103.9956944444</v>
      </c>
      <c r="M8047" s="12"/>
      <c r="N8047" s="12"/>
      <c r="O8047" s="9" t="str">
        <f aca="false">HYPERLINK("https://pbs.twimg.com/profile_images/859302759023226880/0CNEOy_K_normal.png","View")</f>
        <v>View</v>
      </c>
      <c r="P8047" s="10"/>
    </row>
    <row r="8048" customFormat="false" ht="15.75" hidden="false" customHeight="false" outlineLevel="0" collapsed="false">
      <c r="A8048" s="6" t="n">
        <v>43031.9900810185</v>
      </c>
      <c r="B8048" s="7" t="str">
        <f aca="false">HYPERLINK("https://twitter.com/EricssenWen","@EricssenWen")</f>
        <v>@EricssenWen</v>
      </c>
      <c r="C8048" s="8" t="s">
        <v>17859</v>
      </c>
      <c r="D8048" s="8" t="s">
        <v>17860</v>
      </c>
      <c r="E8048" s="9" t="str">
        <f aca="false">HYPERLINK("https://twitter.com/EricssenWen/status/922715712333983745","922715712333983745")</f>
        <v>922715712333983745</v>
      </c>
      <c r="F8048" s="10" t="s">
        <v>39</v>
      </c>
      <c r="G8048" s="10" t="n">
        <v>724</v>
      </c>
      <c r="H8048" s="10" t="n">
        <v>351</v>
      </c>
      <c r="I8048" s="10" t="n">
        <v>0</v>
      </c>
      <c r="J8048" s="10" t="n">
        <v>0</v>
      </c>
      <c r="K8048" s="10" t="s">
        <v>20</v>
      </c>
      <c r="L8048" s="11" t="n">
        <v>39970.9678587963</v>
      </c>
      <c r="M8048" s="12" t="s">
        <v>186</v>
      </c>
      <c r="N8048" s="12" t="s">
        <v>17861</v>
      </c>
      <c r="O8048" s="9" t="str">
        <f aca="false">HYPERLINK("https://pbs.twimg.com/profile_images/822763395677990913/7STMQ9Ra_normal.jpg","View")</f>
        <v>View</v>
      </c>
      <c r="P8048" s="10"/>
    </row>
    <row r="8049" customFormat="false" ht="15.75" hidden="false" customHeight="false" outlineLevel="0" collapsed="false">
      <c r="A8049" s="6" t="n">
        <v>43031.9919097222</v>
      </c>
      <c r="B8049" s="7" t="str">
        <f aca="false">HYPERLINK("https://twitter.com/novellanews","@novellanews")</f>
        <v>@novellanews</v>
      </c>
      <c r="C8049" s="8" t="s">
        <v>17862</v>
      </c>
      <c r="D8049" s="8" t="s">
        <v>17863</v>
      </c>
      <c r="E8049" s="9" t="str">
        <f aca="false">HYPERLINK("https://twitter.com/novellanews/status/922716375264759814","922716375264759814")</f>
        <v>922716375264759814</v>
      </c>
      <c r="F8049" s="10" t="s">
        <v>51</v>
      </c>
      <c r="G8049" s="10" t="n">
        <v>3488</v>
      </c>
      <c r="H8049" s="10" t="n">
        <v>136</v>
      </c>
      <c r="I8049" s="10" t="n">
        <v>2</v>
      </c>
      <c r="J8049" s="10" t="n">
        <v>0</v>
      </c>
      <c r="K8049" s="10" t="s">
        <v>20</v>
      </c>
      <c r="L8049" s="11" t="n">
        <v>40281.4184490741</v>
      </c>
      <c r="M8049" s="12" t="s">
        <v>17864</v>
      </c>
      <c r="N8049" s="12" t="s">
        <v>17865</v>
      </c>
      <c r="O8049" s="9" t="str">
        <f aca="false">HYPERLINK("https://pbs.twimg.com/profile_images/820249177/novellacalligaris_normal.jpg","View")</f>
        <v>View</v>
      </c>
      <c r="P8049" s="10"/>
    </row>
    <row r="8050" customFormat="false" ht="15.75" hidden="false" customHeight="false" outlineLevel="0" collapsed="false">
      <c r="A8050" s="6" t="n">
        <v>43032.0007291667</v>
      </c>
      <c r="B8050" s="7" t="str">
        <f aca="false">HYPERLINK("https://twitter.com/inampenguin","@inampenguin")</f>
        <v>@inampenguin</v>
      </c>
      <c r="C8050" s="8" t="s">
        <v>17866</v>
      </c>
      <c r="D8050" s="8" t="s">
        <v>15268</v>
      </c>
      <c r="E8050" s="9" t="str">
        <f aca="false">HYPERLINK("https://twitter.com/inampenguin/status/922719572175785985","922719572175785985")</f>
        <v>922719572175785985</v>
      </c>
      <c r="F8050" s="10" t="s">
        <v>51</v>
      </c>
      <c r="G8050" s="10" t="n">
        <v>6922</v>
      </c>
      <c r="H8050" s="10" t="n">
        <v>270</v>
      </c>
      <c r="I8050" s="10" t="n">
        <v>2</v>
      </c>
      <c r="J8050" s="10" t="n">
        <v>0</v>
      </c>
      <c r="K8050" s="10" t="s">
        <v>20</v>
      </c>
      <c r="L8050" s="11" t="n">
        <v>40075.2834490741</v>
      </c>
      <c r="M8050" s="12" t="s">
        <v>17867</v>
      </c>
      <c r="N8050" s="12" t="s">
        <v>17868</v>
      </c>
      <c r="O8050" s="9" t="str">
        <f aca="false">HYPERLINK("https://pbs.twimg.com/profile_images/919793788851175430/msNDeVOg_normal.jpg","View")</f>
        <v>View</v>
      </c>
      <c r="P8050" s="10"/>
    </row>
    <row r="8051" customFormat="false" ht="15.75" hidden="false" customHeight="false" outlineLevel="0" collapsed="false">
      <c r="A8051" s="6" t="n">
        <v>43032.0011111111</v>
      </c>
      <c r="B8051" s="7" t="str">
        <f aca="false">HYPERLINK("https://twitter.com/nahm315","@nahm315")</f>
        <v>@nahm315</v>
      </c>
      <c r="C8051" s="8" t="s">
        <v>17869</v>
      </c>
      <c r="D8051" s="8" t="s">
        <v>16929</v>
      </c>
      <c r="E8051" s="9" t="str">
        <f aca="false">HYPERLINK("https://twitter.com/nahm315/status/922719708742381568","922719708742381568")</f>
        <v>922719708742381568</v>
      </c>
      <c r="F8051" s="10" t="s">
        <v>25</v>
      </c>
      <c r="G8051" s="10" t="n">
        <v>276</v>
      </c>
      <c r="H8051" s="10" t="n">
        <v>616</v>
      </c>
      <c r="I8051" s="10" t="n">
        <v>247</v>
      </c>
      <c r="J8051" s="10" t="n">
        <v>0</v>
      </c>
      <c r="K8051" s="10" t="s">
        <v>20</v>
      </c>
      <c r="L8051" s="11" t="n">
        <v>41543.8334606482</v>
      </c>
      <c r="M8051" s="12"/>
      <c r="N8051" s="12" t="s">
        <v>17870</v>
      </c>
      <c r="O8051" s="9" t="str">
        <f aca="false">HYPERLINK("https://pbs.twimg.com/profile_images/870163755262386176/whtAMR-1_normal.jpg","View")</f>
        <v>View</v>
      </c>
      <c r="P8051" s="10"/>
    </row>
    <row r="8052" customFormat="false" ht="15.75" hidden="false" customHeight="false" outlineLevel="0" collapsed="false">
      <c r="A8052" s="6" t="n">
        <v>43032.0062615741</v>
      </c>
      <c r="B8052" s="7" t="str">
        <f aca="false">HYPERLINK("https://twitter.com/htambe","@htambe")</f>
        <v>@htambe</v>
      </c>
      <c r="C8052" s="8" t="s">
        <v>17871</v>
      </c>
      <c r="D8052" s="8" t="s">
        <v>8538</v>
      </c>
      <c r="E8052" s="9" t="str">
        <f aca="false">HYPERLINK("https://twitter.com/htambe/status/922721573638828032","922721573638828032")</f>
        <v>922721573638828032</v>
      </c>
      <c r="F8052" s="10" t="s">
        <v>51</v>
      </c>
      <c r="G8052" s="10" t="n">
        <v>144</v>
      </c>
      <c r="H8052" s="10" t="n">
        <v>121</v>
      </c>
      <c r="I8052" s="10" t="n">
        <v>1015</v>
      </c>
      <c r="J8052" s="10" t="n">
        <v>0</v>
      </c>
      <c r="K8052" s="10" t="s">
        <v>20</v>
      </c>
      <c r="L8052" s="11" t="n">
        <v>40433.0272222222</v>
      </c>
      <c r="M8052" s="12"/>
      <c r="N8052" s="12"/>
      <c r="O8052" s="9" t="str">
        <f aca="false">HYPERLINK("https://pbs.twimg.com/profile_images/694528787946479617/vJD84bMJ_normal.jpg","View")</f>
        <v>View</v>
      </c>
      <c r="P8052" s="10"/>
    </row>
    <row r="8053" customFormat="false" ht="15.75" hidden="false" customHeight="false" outlineLevel="0" collapsed="false">
      <c r="A8053" s="6" t="n">
        <v>43032.0136689815</v>
      </c>
      <c r="B8053" s="7" t="str">
        <f aca="false">HYPERLINK("https://twitter.com/mitsuya_niwa","@mitsuya_niwa")</f>
        <v>@mitsuya_niwa</v>
      </c>
      <c r="C8053" s="14" t="s">
        <v>11709</v>
      </c>
      <c r="D8053" s="8" t="s">
        <v>17614</v>
      </c>
      <c r="E8053" s="9" t="str">
        <f aca="false">HYPERLINK("https://twitter.com/mitsuya_niwa/status/922724260132487168","922724260132487168")</f>
        <v>922724260132487168</v>
      </c>
      <c r="F8053" s="10" t="s">
        <v>39</v>
      </c>
      <c r="G8053" s="10" t="n">
        <v>9075</v>
      </c>
      <c r="H8053" s="10" t="n">
        <v>123</v>
      </c>
      <c r="I8053" s="10" t="n">
        <v>9</v>
      </c>
      <c r="J8053" s="10" t="n">
        <v>0</v>
      </c>
      <c r="K8053" s="10" t="s">
        <v>20</v>
      </c>
      <c r="L8053" s="11" t="n">
        <v>40189.6716782407</v>
      </c>
      <c r="M8053" s="12" t="s">
        <v>357</v>
      </c>
      <c r="N8053" s="13" t="s">
        <v>11710</v>
      </c>
      <c r="O8053" s="9" t="str">
        <f aca="false">HYPERLINK("https://pbs.twimg.com/profile_images/1099542286/20090816_616399_normal.jpg","View")</f>
        <v>View</v>
      </c>
      <c r="P8053" s="10"/>
    </row>
    <row r="8054" customFormat="false" ht="15.75" hidden="false" customHeight="false" outlineLevel="0" collapsed="false">
      <c r="A8054" s="6" t="n">
        <v>43032.0233449074</v>
      </c>
      <c r="B8054" s="7" t="str">
        <f aca="false">HYPERLINK("https://twitter.com/jacksnewswatch","@jacksnewswatch")</f>
        <v>@jacksnewswatch</v>
      </c>
      <c r="C8054" s="8" t="s">
        <v>17872</v>
      </c>
      <c r="D8054" s="8" t="s">
        <v>17873</v>
      </c>
      <c r="E8054" s="9" t="str">
        <f aca="false">HYPERLINK("https://twitter.com/jacksnewswatch/status/922727767489122304","922727767489122304")</f>
        <v>922727767489122304</v>
      </c>
      <c r="F8054" s="10" t="s">
        <v>39</v>
      </c>
      <c r="G8054" s="10" t="n">
        <v>90</v>
      </c>
      <c r="H8054" s="10" t="n">
        <v>16</v>
      </c>
      <c r="I8054" s="10" t="n">
        <v>0</v>
      </c>
      <c r="J8054" s="10" t="n">
        <v>0</v>
      </c>
      <c r="K8054" s="10" t="s">
        <v>20</v>
      </c>
      <c r="L8054" s="11" t="n">
        <v>40387.4471643518</v>
      </c>
      <c r="M8054" s="12" t="s">
        <v>17874</v>
      </c>
      <c r="N8054" s="12" t="s">
        <v>17875</v>
      </c>
      <c r="O8054" s="9" t="str">
        <f aca="false">HYPERLINK("https://pbs.twimg.com/profile_images/888792067895414784/0LHbubKF_normal.jpg","View")</f>
        <v>View</v>
      </c>
      <c r="P8054" s="10"/>
    </row>
    <row r="8055" customFormat="false" ht="15.75" hidden="false" customHeight="false" outlineLevel="0" collapsed="false">
      <c r="A8055" s="6" t="n">
        <v>43032.0240972222</v>
      </c>
      <c r="B8055" s="7" t="str">
        <f aca="false">HYPERLINK("https://twitter.com/Kethical","@Kethical")</f>
        <v>@Kethical</v>
      </c>
      <c r="C8055" s="8" t="s">
        <v>6052</v>
      </c>
      <c r="D8055" s="8" t="s">
        <v>13253</v>
      </c>
      <c r="E8055" s="9" t="str">
        <f aca="false">HYPERLINK("https://twitter.com/Kethical/status/922728036751085569","922728036751085569")</f>
        <v>922728036751085569</v>
      </c>
      <c r="F8055" s="10" t="s">
        <v>51</v>
      </c>
      <c r="G8055" s="10" t="n">
        <v>1417</v>
      </c>
      <c r="H8055" s="10" t="n">
        <v>2507</v>
      </c>
      <c r="I8055" s="10" t="n">
        <v>22</v>
      </c>
      <c r="J8055" s="10" t="n">
        <v>0</v>
      </c>
      <c r="K8055" s="10" t="s">
        <v>20</v>
      </c>
      <c r="L8055" s="11" t="n">
        <v>40415.0963425926</v>
      </c>
      <c r="M8055" s="12" t="s">
        <v>893</v>
      </c>
      <c r="N8055" s="12" t="s">
        <v>6054</v>
      </c>
      <c r="O8055" s="9" t="str">
        <f aca="false">HYPERLINK("https://pbs.twimg.com/profile_images/619528322511450112/g1_vlzYr_normal.jpg","View")</f>
        <v>View</v>
      </c>
      <c r="P8055" s="10"/>
    </row>
    <row r="8056" customFormat="false" ht="15.75" hidden="false" customHeight="false" outlineLevel="0" collapsed="false">
      <c r="A8056" s="6" t="n">
        <v>43032.0249537037</v>
      </c>
      <c r="B8056" s="7" t="str">
        <f aca="false">HYPERLINK("https://twitter.com/GabbyOgbechie1","@GabbyOgbechie1")</f>
        <v>@GabbyOgbechie1</v>
      </c>
      <c r="C8056" s="8" t="s">
        <v>16354</v>
      </c>
      <c r="D8056" s="8" t="s">
        <v>17876</v>
      </c>
      <c r="E8056" s="9" t="str">
        <f aca="false">HYPERLINK("https://twitter.com/GabbyOgbechie1/status/922728348496916480","922728348496916480")</f>
        <v>922728348496916480</v>
      </c>
      <c r="F8056" s="10" t="s">
        <v>39</v>
      </c>
      <c r="G8056" s="10" t="n">
        <v>5053</v>
      </c>
      <c r="H8056" s="10" t="n">
        <v>5448</v>
      </c>
      <c r="I8056" s="10" t="n">
        <v>0</v>
      </c>
      <c r="J8056" s="10" t="n">
        <v>0</v>
      </c>
      <c r="K8056" s="10" t="s">
        <v>20</v>
      </c>
      <c r="L8056" s="11" t="n">
        <v>41416.5349421296</v>
      </c>
      <c r="M8056" s="12" t="s">
        <v>2645</v>
      </c>
      <c r="N8056" s="12" t="s">
        <v>16356</v>
      </c>
      <c r="O8056" s="9" t="str">
        <f aca="false">HYPERLINK("https://pbs.twimg.com/profile_images/475710173135122433/g6d6rAYp_normal.jpeg","View")</f>
        <v>View</v>
      </c>
      <c r="P8056" s="10"/>
    </row>
    <row r="8057" customFormat="false" ht="15.75" hidden="false" customHeight="false" outlineLevel="0" collapsed="false">
      <c r="A8057" s="6" t="n">
        <v>43032.0334953704</v>
      </c>
      <c r="B8057" s="7" t="str">
        <f aca="false">HYPERLINK("https://twitter.com/business","@business")</f>
        <v>@business</v>
      </c>
      <c r="C8057" s="8" t="s">
        <v>196</v>
      </c>
      <c r="D8057" s="8" t="s">
        <v>17877</v>
      </c>
      <c r="E8057" s="9" t="str">
        <f aca="false">HYPERLINK("https://twitter.com/business/status/922731445193445377","922731445193445377")</f>
        <v>922731445193445377</v>
      </c>
      <c r="F8057" s="10" t="s">
        <v>268</v>
      </c>
      <c r="G8057" s="10" t="n">
        <v>4344210</v>
      </c>
      <c r="H8057" s="10" t="n">
        <v>1088</v>
      </c>
      <c r="I8057" s="10" t="n">
        <v>27</v>
      </c>
      <c r="J8057" s="10" t="n">
        <v>27</v>
      </c>
      <c r="K8057" s="10" t="s">
        <v>20</v>
      </c>
      <c r="L8057" s="11" t="n">
        <v>39926.5453356481</v>
      </c>
      <c r="M8057" s="12" t="s">
        <v>199</v>
      </c>
      <c r="N8057" s="12" t="s">
        <v>200</v>
      </c>
      <c r="O8057" s="9" t="str">
        <f aca="false">HYPERLINK("https://pbs.twimg.com/profile_images/714946924105883648/4fgNVF4H_normal.jpg","View")</f>
        <v>View</v>
      </c>
      <c r="P8057" s="10"/>
    </row>
    <row r="8058" customFormat="false" ht="15.75" hidden="false" customHeight="false" outlineLevel="0" collapsed="false">
      <c r="A8058" s="6" t="n">
        <v>43032.0335300926</v>
      </c>
      <c r="B8058" s="7" t="str">
        <f aca="false">HYPERLINK("https://twitter.com/FallySomboNkhwa","@FallySomboNkhwa")</f>
        <v>@FallySomboNkhwa</v>
      </c>
      <c r="C8058" s="8" t="s">
        <v>260</v>
      </c>
      <c r="D8058" s="8" t="s">
        <v>17878</v>
      </c>
      <c r="E8058" s="9" t="str">
        <f aca="false">HYPERLINK("https://twitter.com/FallySomboNkhwa/status/922731455423369216","922731455423369216")</f>
        <v>922731455423369216</v>
      </c>
      <c r="F8058" s="10" t="s">
        <v>60</v>
      </c>
      <c r="G8058" s="10" t="n">
        <v>421</v>
      </c>
      <c r="H8058" s="10" t="n">
        <v>2195</v>
      </c>
      <c r="I8058" s="10" t="n">
        <v>0</v>
      </c>
      <c r="J8058" s="10" t="n">
        <v>0</v>
      </c>
      <c r="K8058" s="10" t="s">
        <v>20</v>
      </c>
      <c r="L8058" s="11" t="n">
        <v>41551.8204166667</v>
      </c>
      <c r="M8058" s="12" t="s">
        <v>262</v>
      </c>
      <c r="N8058" s="12" t="s">
        <v>263</v>
      </c>
      <c r="O8058" s="9" t="str">
        <f aca="false">HYPERLINK("https://pbs.twimg.com/profile_images/543761133505503235/pKcg8bc2_normal.jpeg","View")</f>
        <v>View</v>
      </c>
      <c r="P8058" s="10"/>
    </row>
    <row r="8059" customFormat="false" ht="15.75" hidden="false" customHeight="false" outlineLevel="0" collapsed="false">
      <c r="A8059" s="6" t="n">
        <v>43032.0336805556</v>
      </c>
      <c r="B8059" s="7" t="str">
        <f aca="false">HYPERLINK("https://twitter.com/graynoize","@graynoize")</f>
        <v>@graynoize</v>
      </c>
      <c r="C8059" s="8" t="s">
        <v>17879</v>
      </c>
      <c r="D8059" s="8" t="s">
        <v>17880</v>
      </c>
      <c r="E8059" s="9" t="str">
        <f aca="false">HYPERLINK("https://twitter.com/graynoize/status/922731512096636929","922731512096636929")</f>
        <v>922731512096636929</v>
      </c>
      <c r="F8059" s="10" t="s">
        <v>39</v>
      </c>
      <c r="G8059" s="10" t="n">
        <v>249</v>
      </c>
      <c r="H8059" s="10" t="n">
        <v>454</v>
      </c>
      <c r="I8059" s="10" t="n">
        <v>27</v>
      </c>
      <c r="J8059" s="10" t="n">
        <v>0</v>
      </c>
      <c r="K8059" s="10" t="s">
        <v>20</v>
      </c>
      <c r="L8059" s="11" t="n">
        <v>41405.8740972222</v>
      </c>
      <c r="M8059" s="12" t="s">
        <v>17881</v>
      </c>
      <c r="N8059" s="12" t="s">
        <v>17882</v>
      </c>
      <c r="O8059" s="9" t="str">
        <f aca="false">HYPERLINK("https://pbs.twimg.com/profile_images/635395045445636096/N4MR9vUb_normal.jpg","View")</f>
        <v>View</v>
      </c>
      <c r="P8059" s="10"/>
    </row>
    <row r="8060" customFormat="false" ht="15.75" hidden="false" customHeight="false" outlineLevel="0" collapsed="false">
      <c r="A8060" s="6" t="n">
        <v>43032.0343518518</v>
      </c>
      <c r="B8060" s="7" t="str">
        <f aca="false">HYPERLINK("https://twitter.com/prepzilla","@prepzilla")</f>
        <v>@prepzilla</v>
      </c>
      <c r="C8060" s="8" t="s">
        <v>235</v>
      </c>
      <c r="D8060" s="8" t="s">
        <v>17883</v>
      </c>
      <c r="E8060" s="9" t="str">
        <f aca="false">HYPERLINK("https://twitter.com/prepzilla/status/922731753109884928","922731753109884928")</f>
        <v>922731753109884928</v>
      </c>
      <c r="F8060" s="10" t="s">
        <v>60</v>
      </c>
      <c r="G8060" s="10" t="n">
        <v>7686</v>
      </c>
      <c r="H8060" s="10" t="n">
        <v>477</v>
      </c>
      <c r="I8060" s="10" t="n">
        <v>0</v>
      </c>
      <c r="J8060" s="10" t="n">
        <v>0</v>
      </c>
      <c r="K8060" s="10" t="s">
        <v>20</v>
      </c>
      <c r="L8060" s="11" t="n">
        <v>41299.7417361111</v>
      </c>
      <c r="M8060" s="12" t="s">
        <v>237</v>
      </c>
      <c r="N8060" s="12" t="s">
        <v>238</v>
      </c>
      <c r="O8060" s="9" t="str">
        <f aca="false">HYPERLINK("https://pbs.twimg.com/profile_images/900797880516005888/1bWN5qbC_normal.jpg","View")</f>
        <v>View</v>
      </c>
      <c r="P8060" s="10"/>
    </row>
    <row r="8061" customFormat="false" ht="15.75" hidden="false" customHeight="false" outlineLevel="0" collapsed="false">
      <c r="A8061" s="6" t="n">
        <v>43032.0343981482</v>
      </c>
      <c r="B8061" s="7" t="str">
        <f aca="false">HYPERLINK("https://twitter.com/bdnews24","@bdnews24")</f>
        <v>@bdnews24</v>
      </c>
      <c r="C8061" s="8" t="s">
        <v>216</v>
      </c>
      <c r="D8061" s="8" t="s">
        <v>17884</v>
      </c>
      <c r="E8061" s="9" t="str">
        <f aca="false">HYPERLINK("https://twitter.com/bdnews24/status/922731772974108673","922731772974108673")</f>
        <v>922731772974108673</v>
      </c>
      <c r="F8061" s="10" t="s">
        <v>60</v>
      </c>
      <c r="G8061" s="10" t="n">
        <v>215604</v>
      </c>
      <c r="H8061" s="10" t="n">
        <v>67887</v>
      </c>
      <c r="I8061" s="10" t="n">
        <v>0</v>
      </c>
      <c r="J8061" s="10" t="n">
        <v>0</v>
      </c>
      <c r="K8061" s="10" t="s">
        <v>20</v>
      </c>
      <c r="L8061" s="11" t="n">
        <v>39844.4680439815</v>
      </c>
      <c r="M8061" s="12" t="s">
        <v>218</v>
      </c>
      <c r="N8061" s="12" t="s">
        <v>219</v>
      </c>
      <c r="O8061" s="9" t="str">
        <f aca="false">HYPERLINK("https://pbs.twimg.com/profile_images/718433521509994497/4iW9RC_r_normal.jpg","View")</f>
        <v>View</v>
      </c>
      <c r="P8061" s="10"/>
    </row>
    <row r="8062" customFormat="false" ht="15.75" hidden="false" customHeight="false" outlineLevel="0" collapsed="false">
      <c r="A8062" s="6" t="n">
        <v>43032.0347800926</v>
      </c>
      <c r="B8062" s="7" t="str">
        <f aca="false">HYPERLINK("https://twitter.com/azramharris","@azramharris")</f>
        <v>@azramharris</v>
      </c>
      <c r="C8062" s="8" t="s">
        <v>17885</v>
      </c>
      <c r="D8062" s="8" t="s">
        <v>17880</v>
      </c>
      <c r="E8062" s="9" t="str">
        <f aca="false">HYPERLINK("https://twitter.com/azramharris/status/922731911805411329","922731911805411329")</f>
        <v>922731911805411329</v>
      </c>
      <c r="F8062" s="10" t="s">
        <v>25</v>
      </c>
      <c r="G8062" s="10" t="n">
        <v>354</v>
      </c>
      <c r="H8062" s="10" t="n">
        <v>303</v>
      </c>
      <c r="I8062" s="10" t="n">
        <v>27</v>
      </c>
      <c r="J8062" s="10" t="n">
        <v>0</v>
      </c>
      <c r="K8062" s="10" t="s">
        <v>20</v>
      </c>
      <c r="L8062" s="11" t="n">
        <v>40441.8447453704</v>
      </c>
      <c r="M8062" s="12" t="s">
        <v>17886</v>
      </c>
      <c r="N8062" s="12" t="s">
        <v>17887</v>
      </c>
      <c r="O8062" s="9" t="str">
        <f aca="false">HYPERLINK("https://pbs.twimg.com/profile_images/538304646494699520/ZmCF7Axn_normal.jpeg","View")</f>
        <v>View</v>
      </c>
      <c r="P8062" s="10"/>
    </row>
    <row r="8063" customFormat="false" ht="15.75" hidden="false" customHeight="false" outlineLevel="0" collapsed="false">
      <c r="A8063" s="6" t="n">
        <v>43032.0352430556</v>
      </c>
      <c r="B8063" s="7" t="str">
        <f aca="false">HYPERLINK("https://twitter.com/SaraGomezAranci","@SaraGomezAranci")</f>
        <v>@SaraGomezAranci</v>
      </c>
      <c r="C8063" s="8" t="s">
        <v>1443</v>
      </c>
      <c r="D8063" s="8" t="s">
        <v>17880</v>
      </c>
      <c r="E8063" s="9" t="str">
        <f aca="false">HYPERLINK("https://twitter.com/SaraGomezAranci/status/922732075639361536","922732075639361536")</f>
        <v>922732075639361536</v>
      </c>
      <c r="F8063" s="10" t="s">
        <v>51</v>
      </c>
      <c r="G8063" s="10" t="n">
        <v>1718</v>
      </c>
      <c r="H8063" s="10" t="n">
        <v>434</v>
      </c>
      <c r="I8063" s="10" t="n">
        <v>27</v>
      </c>
      <c r="J8063" s="10" t="n">
        <v>0</v>
      </c>
      <c r="K8063" s="10" t="s">
        <v>20</v>
      </c>
      <c r="L8063" s="11" t="n">
        <v>41277.0701041667</v>
      </c>
      <c r="M8063" s="12"/>
      <c r="N8063" s="12" t="s">
        <v>1444</v>
      </c>
      <c r="O8063" s="9" t="str">
        <f aca="false">HYPERLINK("https://pbs.twimg.com/profile_images/909880427351068674/WzgGubCv_normal.jpg","View")</f>
        <v>View</v>
      </c>
      <c r="P8063" s="10"/>
    </row>
    <row r="8064" customFormat="false" ht="15.75" hidden="false" customHeight="false" outlineLevel="0" collapsed="false">
      <c r="A8064" s="6" t="n">
        <v>43032.0352546296</v>
      </c>
      <c r="B8064" s="7" t="str">
        <f aca="false">HYPERLINK("https://twitter.com/laila_cakes","@laila_cakes")</f>
        <v>@laila_cakes</v>
      </c>
      <c r="C8064" s="8" t="s">
        <v>624</v>
      </c>
      <c r="D8064" s="8" t="s">
        <v>17880</v>
      </c>
      <c r="E8064" s="9" t="str">
        <f aca="false">HYPERLINK("https://twitter.com/laila_cakes/status/922732083096698881","922732083096698881")</f>
        <v>922732083096698881</v>
      </c>
      <c r="F8064" s="10" t="s">
        <v>25</v>
      </c>
      <c r="G8064" s="10" t="n">
        <v>1714</v>
      </c>
      <c r="H8064" s="10" t="n">
        <v>5004</v>
      </c>
      <c r="I8064" s="10" t="n">
        <v>27</v>
      </c>
      <c r="J8064" s="10" t="n">
        <v>0</v>
      </c>
      <c r="K8064" s="10" t="s">
        <v>20</v>
      </c>
      <c r="L8064" s="11" t="n">
        <v>42666.8468402778</v>
      </c>
      <c r="M8064" s="12" t="s">
        <v>626</v>
      </c>
      <c r="N8064" s="12" t="s">
        <v>627</v>
      </c>
      <c r="O8064" s="9" t="str">
        <f aca="false">HYPERLINK("https://pbs.twimg.com/profile_images/814909617725542401/6lU_v8t8_normal.jpg","View")</f>
        <v>View</v>
      </c>
      <c r="P8064" s="10"/>
    </row>
    <row r="8065" customFormat="false" ht="15.75" hidden="false" customHeight="false" outlineLevel="0" collapsed="false">
      <c r="A8065" s="6" t="n">
        <v>43032.0354282407</v>
      </c>
      <c r="B8065" s="7" t="str">
        <f aca="false">HYPERLINK("https://twitter.com/rachitattweet","@rachitattweet")</f>
        <v>@rachitattweet</v>
      </c>
      <c r="C8065" s="8" t="s">
        <v>14164</v>
      </c>
      <c r="D8065" s="8" t="s">
        <v>17880</v>
      </c>
      <c r="E8065" s="9" t="str">
        <f aca="false">HYPERLINK("https://twitter.com/rachitattweet/status/922732145671471104","922732145671471104")</f>
        <v>922732145671471104</v>
      </c>
      <c r="F8065" s="10" t="s">
        <v>39</v>
      </c>
      <c r="G8065" s="10" t="n">
        <v>1087</v>
      </c>
      <c r="H8065" s="10" t="n">
        <v>427</v>
      </c>
      <c r="I8065" s="10" t="n">
        <v>27</v>
      </c>
      <c r="J8065" s="10" t="n">
        <v>0</v>
      </c>
      <c r="K8065" s="10" t="s">
        <v>20</v>
      </c>
      <c r="L8065" s="11" t="n">
        <v>40384.2953819444</v>
      </c>
      <c r="M8065" s="12"/>
      <c r="N8065" s="12" t="s">
        <v>14165</v>
      </c>
      <c r="O8065" s="9" t="str">
        <f aca="false">HYPERLINK("https://pbs.twimg.com/profile_images/528992118165880835/DalpselC_normal.jpeg","View")</f>
        <v>View</v>
      </c>
      <c r="P8065" s="10"/>
    </row>
    <row r="8066" customFormat="false" ht="15.75" hidden="false" customHeight="false" outlineLevel="0" collapsed="false">
      <c r="A8066" s="6" t="n">
        <v>43032.0355902778</v>
      </c>
      <c r="B8066" s="7" t="str">
        <f aca="false">HYPERLINK("https://twitter.com/mlnangalama","@mlnangalama")</f>
        <v>@mlnangalama</v>
      </c>
      <c r="C8066" s="8" t="s">
        <v>255</v>
      </c>
      <c r="D8066" s="8" t="s">
        <v>17888</v>
      </c>
      <c r="E8066" s="9" t="str">
        <f aca="false">HYPERLINK("https://twitter.com/mlnangalama/status/922732203272036352","922732203272036352")</f>
        <v>922732203272036352</v>
      </c>
      <c r="F8066" s="10" t="s">
        <v>60</v>
      </c>
      <c r="G8066" s="10" t="n">
        <v>2370</v>
      </c>
      <c r="H8066" s="10" t="n">
        <v>1584</v>
      </c>
      <c r="I8066" s="10" t="n">
        <v>0</v>
      </c>
      <c r="J8066" s="10" t="n">
        <v>0</v>
      </c>
      <c r="K8066" s="10" t="s">
        <v>20</v>
      </c>
      <c r="L8066" s="11" t="n">
        <v>41041.5437847222</v>
      </c>
      <c r="M8066" s="12" t="s">
        <v>257</v>
      </c>
      <c r="N8066" s="12" t="s">
        <v>258</v>
      </c>
      <c r="O8066" s="9" t="str">
        <f aca="false">HYPERLINK("https://pbs.twimg.com/profile_images/900915882444173313/biUHzvpx_normal.jpg","View")</f>
        <v>View</v>
      </c>
      <c r="P8066" s="10"/>
    </row>
    <row r="8067" customFormat="false" ht="15.75" hidden="false" customHeight="false" outlineLevel="0" collapsed="false">
      <c r="A8067" s="6" t="n">
        <v>43032.0356481481</v>
      </c>
      <c r="B8067" s="7" t="str">
        <f aca="false">HYPERLINK("https://twitter.com/astrid_meurer","@astrid_meurer")</f>
        <v>@astrid_meurer</v>
      </c>
      <c r="C8067" s="8" t="s">
        <v>17889</v>
      </c>
      <c r="D8067" s="8" t="s">
        <v>17880</v>
      </c>
      <c r="E8067" s="9" t="str">
        <f aca="false">HYPERLINK("https://twitter.com/astrid_meurer/status/922732225379962880","922732225379962880")</f>
        <v>922732225379962880</v>
      </c>
      <c r="F8067" s="10" t="s">
        <v>177</v>
      </c>
      <c r="G8067" s="10" t="n">
        <v>690</v>
      </c>
      <c r="H8067" s="10" t="n">
        <v>4035</v>
      </c>
      <c r="I8067" s="10" t="n">
        <v>27</v>
      </c>
      <c r="J8067" s="10" t="n">
        <v>0</v>
      </c>
      <c r="K8067" s="10" t="s">
        <v>20</v>
      </c>
      <c r="L8067" s="11" t="n">
        <v>42709.9052199074</v>
      </c>
      <c r="M8067" s="12" t="s">
        <v>17890</v>
      </c>
      <c r="N8067" s="12" t="s">
        <v>17891</v>
      </c>
      <c r="O8067" s="9" t="str">
        <f aca="false">HYPERLINK("https://pbs.twimg.com/profile_images/806012651692179456/MW2IGBMa_normal.jpg","View")</f>
        <v>View</v>
      </c>
      <c r="P8067" s="10"/>
    </row>
    <row r="8068" customFormat="false" ht="15.75" hidden="false" customHeight="false" outlineLevel="0" collapsed="false">
      <c r="A8068" s="6" t="n">
        <v>43032.0357407407</v>
      </c>
      <c r="B8068" s="7" t="str">
        <f aca="false">HYPERLINK("https://twitter.com/vituhpr","@vituhpr")</f>
        <v>@vituhpr</v>
      </c>
      <c r="C8068" s="8" t="s">
        <v>17892</v>
      </c>
      <c r="D8068" s="8" t="s">
        <v>17880</v>
      </c>
      <c r="E8068" s="9" t="str">
        <f aca="false">HYPERLINK("https://twitter.com/vituhpr/status/922732257781207040","922732257781207040")</f>
        <v>922732257781207040</v>
      </c>
      <c r="F8068" s="10" t="s">
        <v>25</v>
      </c>
      <c r="G8068" s="10" t="n">
        <v>113</v>
      </c>
      <c r="H8068" s="10" t="n">
        <v>1877</v>
      </c>
      <c r="I8068" s="10" t="n">
        <v>27</v>
      </c>
      <c r="J8068" s="10" t="n">
        <v>0</v>
      </c>
      <c r="K8068" s="10" t="s">
        <v>20</v>
      </c>
      <c r="L8068" s="11" t="n">
        <v>42941.304849537</v>
      </c>
      <c r="M8068" s="12" t="s">
        <v>17893</v>
      </c>
      <c r="N8068" s="12" t="s">
        <v>17894</v>
      </c>
      <c r="O8068" s="9" t="str">
        <f aca="false">HYPERLINK("https://pbs.twimg.com/profile_images/889945365893586944/7IVzFGn__normal.jpg","View")</f>
        <v>View</v>
      </c>
      <c r="P8068" s="10"/>
    </row>
    <row r="8069" customFormat="false" ht="15.75" hidden="false" customHeight="false" outlineLevel="0" collapsed="false">
      <c r="A8069" s="6" t="n">
        <v>43032.0358912037</v>
      </c>
      <c r="B8069" s="7" t="str">
        <f aca="false">HYPERLINK("https://twitter.com/EnzyZuozuomu","@EnzyZuozuomu")</f>
        <v>@EnzyZuozuomu</v>
      </c>
      <c r="C8069" s="14" t="s">
        <v>17895</v>
      </c>
      <c r="D8069" s="8" t="s">
        <v>17880</v>
      </c>
      <c r="E8069" s="9" t="str">
        <f aca="false">HYPERLINK("https://twitter.com/EnzyZuozuomu/status/922732313133248512","922732313133248512")</f>
        <v>922732313133248512</v>
      </c>
      <c r="F8069" s="10" t="s">
        <v>25</v>
      </c>
      <c r="G8069" s="10" t="n">
        <v>255</v>
      </c>
      <c r="H8069" s="10" t="n">
        <v>831</v>
      </c>
      <c r="I8069" s="10" t="n">
        <v>27</v>
      </c>
      <c r="J8069" s="10" t="n">
        <v>0</v>
      </c>
      <c r="K8069" s="10" t="s">
        <v>20</v>
      </c>
      <c r="L8069" s="11" t="n">
        <v>42737.9760300926</v>
      </c>
      <c r="M8069" s="12" t="s">
        <v>17896</v>
      </c>
      <c r="N8069" s="13" t="s">
        <v>17897</v>
      </c>
      <c r="O8069" s="9" t="str">
        <f aca="false">HYPERLINK("https://pbs.twimg.com/profile_images/915729872772665344/eUXzLRPC_normal.jpg","View")</f>
        <v>View</v>
      </c>
      <c r="P8069" s="10"/>
    </row>
    <row r="8070" customFormat="false" ht="15.75" hidden="false" customHeight="false" outlineLevel="0" collapsed="false">
      <c r="A8070" s="6" t="n">
        <v>43032.0359722222</v>
      </c>
      <c r="B8070" s="7" t="str">
        <f aca="false">HYPERLINK("https://twitter.com/Ferjosp","@Ferjosp")</f>
        <v>@Ferjosp</v>
      </c>
      <c r="C8070" s="8" t="s">
        <v>17898</v>
      </c>
      <c r="D8070" s="8" t="s">
        <v>17880</v>
      </c>
      <c r="E8070" s="9" t="str">
        <f aca="false">HYPERLINK("https://twitter.com/Ferjosp/status/922732340400607232","922732340400607232")</f>
        <v>922732340400607232</v>
      </c>
      <c r="F8070" s="10" t="s">
        <v>276</v>
      </c>
      <c r="G8070" s="10" t="n">
        <v>346</v>
      </c>
      <c r="H8070" s="10" t="n">
        <v>557</v>
      </c>
      <c r="I8070" s="10" t="n">
        <v>27</v>
      </c>
      <c r="J8070" s="10" t="n">
        <v>0</v>
      </c>
      <c r="K8070" s="10" t="s">
        <v>20</v>
      </c>
      <c r="L8070" s="11" t="n">
        <v>40016.7462152778</v>
      </c>
      <c r="M8070" s="12" t="s">
        <v>17899</v>
      </c>
      <c r="N8070" s="12" t="s">
        <v>17900</v>
      </c>
      <c r="O8070" s="9" t="str">
        <f aca="false">HYPERLINK("https://pbs.twimg.com/profile_images/857336396859703298/lmcapaXI_normal.jpg","View")</f>
        <v>View</v>
      </c>
      <c r="P8070" s="10"/>
    </row>
    <row r="8071" customFormat="false" ht="15.75" hidden="false" customHeight="false" outlineLevel="0" collapsed="false">
      <c r="A8071" s="6" t="n">
        <v>43032.0361458333</v>
      </c>
      <c r="B8071" s="7" t="str">
        <f aca="false">HYPERLINK("https://twitter.com/SWA_Ltd","@SWA_Ltd")</f>
        <v>@SWA_Ltd</v>
      </c>
      <c r="C8071" s="8" t="s">
        <v>17901</v>
      </c>
      <c r="D8071" s="8" t="s">
        <v>17880</v>
      </c>
      <c r="E8071" s="9" t="str">
        <f aca="false">HYPERLINK("https://twitter.com/SWA_Ltd/status/922732404883841024","922732404883841024")</f>
        <v>922732404883841024</v>
      </c>
      <c r="F8071" s="10" t="s">
        <v>39</v>
      </c>
      <c r="G8071" s="10" t="n">
        <v>16</v>
      </c>
      <c r="H8071" s="10" t="n">
        <v>46</v>
      </c>
      <c r="I8071" s="10" t="n">
        <v>27</v>
      </c>
      <c r="J8071" s="10" t="n">
        <v>0</v>
      </c>
      <c r="K8071" s="10" t="s">
        <v>20</v>
      </c>
      <c r="L8071" s="11" t="n">
        <v>42646.3819791667</v>
      </c>
      <c r="M8071" s="12" t="s">
        <v>17902</v>
      </c>
      <c r="N8071" s="12" t="s">
        <v>17903</v>
      </c>
      <c r="O8071" s="9" t="str">
        <f aca="false">HYPERLINK("https://pbs.twimg.com/profile_images/782977757995294724/9rdVymV3_normal.jpg","View")</f>
        <v>View</v>
      </c>
      <c r="P8071" s="10"/>
    </row>
    <row r="8072" customFormat="false" ht="15.75" hidden="false" customHeight="false" outlineLevel="0" collapsed="false">
      <c r="A8072" s="6" t="n">
        <v>43032.0370601852</v>
      </c>
      <c r="B8072" s="7" t="str">
        <f aca="false">HYPERLINK("https://twitter.com/swissifg","@swissifg")</f>
        <v>@swissifg</v>
      </c>
      <c r="C8072" s="8" t="s">
        <v>247</v>
      </c>
      <c r="D8072" s="8" t="s">
        <v>17904</v>
      </c>
      <c r="E8072" s="9" t="str">
        <f aca="false">HYPERLINK("https://twitter.com/swissifg/status/922732735071956992","922732735071956992")</f>
        <v>922732735071956992</v>
      </c>
      <c r="F8072" s="10" t="s">
        <v>60</v>
      </c>
      <c r="G8072" s="10" t="n">
        <v>1202</v>
      </c>
      <c r="H8072" s="10" t="n">
        <v>670</v>
      </c>
      <c r="I8072" s="10" t="n">
        <v>0</v>
      </c>
      <c r="J8072" s="10" t="n">
        <v>0</v>
      </c>
      <c r="K8072" s="10" t="s">
        <v>20</v>
      </c>
      <c r="L8072" s="11" t="n">
        <v>42499.2341087963</v>
      </c>
      <c r="M8072" s="12" t="s">
        <v>249</v>
      </c>
      <c r="N8072" s="12" t="s">
        <v>250</v>
      </c>
      <c r="O8072" s="9" t="str">
        <f aca="false">HYPERLINK("https://pbs.twimg.com/profile_images/729681805088063489/N4ls5vb8_normal.jpg","View")</f>
        <v>View</v>
      </c>
      <c r="P8072" s="10"/>
    </row>
    <row r="8073" customFormat="false" ht="15.75" hidden="false" customHeight="false" outlineLevel="0" collapsed="false">
      <c r="A8073" s="6" t="n">
        <v>43032.0373032407</v>
      </c>
      <c r="B8073" s="7" t="str">
        <f aca="false">HYPERLINK("https://twitter.com/bbalgabaev","@bbalgabaev")</f>
        <v>@bbalgabaev</v>
      </c>
      <c r="C8073" s="8" t="s">
        <v>17905</v>
      </c>
      <c r="D8073" s="8" t="s">
        <v>17863</v>
      </c>
      <c r="E8073" s="9" t="str">
        <f aca="false">HYPERLINK("https://twitter.com/bbalgabaev/status/922732825085956101","922732825085956101")</f>
        <v>922732825085956101</v>
      </c>
      <c r="F8073" s="10" t="s">
        <v>51</v>
      </c>
      <c r="G8073" s="10" t="n">
        <v>1328</v>
      </c>
      <c r="H8073" s="10" t="n">
        <v>254</v>
      </c>
      <c r="I8073" s="10" t="n">
        <v>2</v>
      </c>
      <c r="J8073" s="10" t="n">
        <v>0</v>
      </c>
      <c r="K8073" s="10" t="s">
        <v>20</v>
      </c>
      <c r="L8073" s="11" t="n">
        <v>40463.2134953704</v>
      </c>
      <c r="M8073" s="12" t="s">
        <v>17906</v>
      </c>
      <c r="N8073" s="12" t="s">
        <v>17907</v>
      </c>
      <c r="O8073" s="9" t="str">
        <f aca="false">HYPERLINK("https://pbs.twimg.com/profile_images/1194770953/image_normal.jpg","View")</f>
        <v>View</v>
      </c>
      <c r="P8073" s="10"/>
    </row>
    <row r="8074" customFormat="false" ht="15.75" hidden="false" customHeight="false" outlineLevel="0" collapsed="false">
      <c r="A8074" s="6" t="n">
        <v>43032.0387037037</v>
      </c>
      <c r="B8074" s="7" t="str">
        <f aca="false">HYPERLINK("https://twitter.com/Bullish","@Bullish")</f>
        <v>@Bullish</v>
      </c>
      <c r="C8074" s="8" t="s">
        <v>223</v>
      </c>
      <c r="D8074" s="8" t="s">
        <v>17908</v>
      </c>
      <c r="E8074" s="9" t="str">
        <f aca="false">HYPERLINK("https://twitter.com/Bullish/status/922733333368500224","922733333368500224")</f>
        <v>922733333368500224</v>
      </c>
      <c r="F8074" s="10" t="s">
        <v>60</v>
      </c>
      <c r="G8074" s="10" t="n">
        <v>184</v>
      </c>
      <c r="H8074" s="10" t="n">
        <v>87</v>
      </c>
      <c r="I8074" s="10" t="n">
        <v>0</v>
      </c>
      <c r="J8074" s="10" t="n">
        <v>0</v>
      </c>
      <c r="K8074" s="10" t="s">
        <v>20</v>
      </c>
      <c r="L8074" s="11" t="n">
        <v>42618.7530439815</v>
      </c>
      <c r="M8074" s="12"/>
      <c r="N8074" s="12"/>
      <c r="O8074" s="9" t="str">
        <f aca="false">HYPERLINK("https://pbs.twimg.com/profile_images/798692093736599552/UikI9dNE_normal.jpg","View")</f>
        <v>View</v>
      </c>
      <c r="P8074" s="10"/>
    </row>
    <row r="8075" customFormat="false" ht="15.75" hidden="false" customHeight="false" outlineLevel="0" collapsed="false">
      <c r="A8075" s="6" t="n">
        <v>43032.0391898148</v>
      </c>
      <c r="B8075" s="7" t="str">
        <f aca="false">HYPERLINK("https://twitter.com/shailendra_nair","@shailendra_nair")</f>
        <v>@shailendra_nair</v>
      </c>
      <c r="C8075" s="8" t="s">
        <v>251</v>
      </c>
      <c r="D8075" s="8" t="s">
        <v>17909</v>
      </c>
      <c r="E8075" s="9" t="str">
        <f aca="false">HYPERLINK("https://twitter.com/shailendra_nair/status/922733509147611136","922733509147611136")</f>
        <v>922733509147611136</v>
      </c>
      <c r="F8075" s="10" t="s">
        <v>60</v>
      </c>
      <c r="G8075" s="10" t="n">
        <v>3987</v>
      </c>
      <c r="H8075" s="10" t="n">
        <v>1042</v>
      </c>
      <c r="I8075" s="10" t="n">
        <v>0</v>
      </c>
      <c r="J8075" s="10" t="n">
        <v>0</v>
      </c>
      <c r="K8075" s="10" t="s">
        <v>20</v>
      </c>
      <c r="L8075" s="11" t="n">
        <v>40362.4379861111</v>
      </c>
      <c r="M8075" s="12" t="s">
        <v>253</v>
      </c>
      <c r="N8075" s="12" t="s">
        <v>254</v>
      </c>
      <c r="O8075" s="9" t="str">
        <f aca="false">HYPERLINK("https://pbs.twimg.com/profile_images/884758468879466497/M_w6UjD3_normal.jpg","View")</f>
        <v>View</v>
      </c>
      <c r="P8075" s="10"/>
    </row>
    <row r="8076" customFormat="false" ht="15.75" hidden="false" customHeight="false" outlineLevel="0" collapsed="false">
      <c r="A8076" s="6" t="n">
        <v>43032.0406944444</v>
      </c>
      <c r="B8076" s="7" t="str">
        <f aca="false">HYPERLINK("https://twitter.com/Galleryite","@Galleryite")</f>
        <v>@Galleryite</v>
      </c>
      <c r="C8076" s="8" t="s">
        <v>4948</v>
      </c>
      <c r="D8076" s="8" t="s">
        <v>17880</v>
      </c>
      <c r="E8076" s="9" t="str">
        <f aca="false">HYPERLINK("https://twitter.com/Galleryite/status/922734051710009344","922734051710009344")</f>
        <v>922734051710009344</v>
      </c>
      <c r="F8076" s="10" t="s">
        <v>51</v>
      </c>
      <c r="G8076" s="10" t="n">
        <v>583</v>
      </c>
      <c r="H8076" s="10" t="n">
        <v>1809</v>
      </c>
      <c r="I8076" s="10" t="n">
        <v>27</v>
      </c>
      <c r="J8076" s="10" t="n">
        <v>0</v>
      </c>
      <c r="K8076" s="10" t="s">
        <v>20</v>
      </c>
      <c r="L8076" s="11" t="n">
        <v>41094.2731134259</v>
      </c>
      <c r="M8076" s="12" t="s">
        <v>4949</v>
      </c>
      <c r="N8076" s="12" t="s">
        <v>4950</v>
      </c>
      <c r="O8076" s="9" t="str">
        <f aca="false">HYPERLINK("https://pbs.twimg.com/profile_images/2366874020/SH3G0035_normal.jpg","View")</f>
        <v>View</v>
      </c>
      <c r="P8076" s="10"/>
    </row>
    <row r="8077" customFormat="false" ht="15.75" hidden="false" customHeight="false" outlineLevel="0" collapsed="false">
      <c r="A8077" s="6" t="n">
        <v>43032.0412037037</v>
      </c>
      <c r="B8077" s="7" t="str">
        <f aca="false">HYPERLINK("https://twitter.com/serge_poznanski","@serge_poznanski")</f>
        <v>@serge_poznanski</v>
      </c>
      <c r="C8077" s="8" t="s">
        <v>212</v>
      </c>
      <c r="D8077" s="8" t="s">
        <v>17910</v>
      </c>
      <c r="E8077" s="9" t="str">
        <f aca="false">HYPERLINK("https://twitter.com/serge_poznanski/status/922734237748547584","922734237748547584")</f>
        <v>922734237748547584</v>
      </c>
      <c r="F8077" s="10" t="s">
        <v>60</v>
      </c>
      <c r="G8077" s="10" t="n">
        <v>1424</v>
      </c>
      <c r="H8077" s="10" t="n">
        <v>2136</v>
      </c>
      <c r="I8077" s="10" t="n">
        <v>0</v>
      </c>
      <c r="J8077" s="10" t="n">
        <v>0</v>
      </c>
      <c r="K8077" s="10" t="s">
        <v>20</v>
      </c>
      <c r="L8077" s="11" t="n">
        <v>42271.4744560185</v>
      </c>
      <c r="M8077" s="12"/>
      <c r="N8077" s="12"/>
      <c r="O8077" s="9" t="str">
        <f aca="false">HYPERLINK("https://pbs.twimg.com/profile_images/647277253240291328/3GezjFCJ_normal.jpg","View")</f>
        <v>View</v>
      </c>
      <c r="P8077" s="10"/>
    </row>
    <row r="8078" customFormat="false" ht="15.75" hidden="false" customHeight="false" outlineLevel="0" collapsed="false">
      <c r="A8078" s="6" t="n">
        <v>43032.0467824074</v>
      </c>
      <c r="B8078" s="7" t="str">
        <f aca="false">HYPERLINK("https://twitter.com/nqh157925","@nqh157925")</f>
        <v>@nqh157925</v>
      </c>
      <c r="C8078" s="14" t="s">
        <v>17911</v>
      </c>
      <c r="D8078" s="8" t="s">
        <v>17880</v>
      </c>
      <c r="E8078" s="9" t="str">
        <f aca="false">HYPERLINK("https://twitter.com/nqh157925/status/922736260678000640","922736260678000640")</f>
        <v>922736260678000640</v>
      </c>
      <c r="F8078" s="10" t="s">
        <v>39</v>
      </c>
      <c r="G8078" s="10" t="n">
        <v>383</v>
      </c>
      <c r="H8078" s="10" t="n">
        <v>2202</v>
      </c>
      <c r="I8078" s="10" t="n">
        <v>27</v>
      </c>
      <c r="J8078" s="10" t="n">
        <v>0</v>
      </c>
      <c r="K8078" s="10" t="s">
        <v>20</v>
      </c>
      <c r="L8078" s="11" t="n">
        <v>42434.2815393519</v>
      </c>
      <c r="M8078" s="12"/>
      <c r="N8078" s="13" t="s">
        <v>17912</v>
      </c>
      <c r="O8078" s="9" t="str">
        <f aca="false">HYPERLINK("https://abs.twimg.com/sticky/default_profile_images/default_profile_normal.png","View")</f>
        <v>View</v>
      </c>
      <c r="P8078" s="10"/>
    </row>
    <row r="8079" customFormat="false" ht="15.75" hidden="false" customHeight="false" outlineLevel="0" collapsed="false">
      <c r="A8079" s="6" t="n">
        <v>43032.0475578704</v>
      </c>
      <c r="B8079" s="7" t="str">
        <f aca="false">HYPERLINK("https://twitter.com/emo_lifey","@emo_lifey")</f>
        <v>@emo_lifey</v>
      </c>
      <c r="C8079" s="8" t="s">
        <v>17913</v>
      </c>
      <c r="D8079" s="8" t="s">
        <v>17880</v>
      </c>
      <c r="E8079" s="9" t="str">
        <f aca="false">HYPERLINK("https://twitter.com/emo_lifey/status/922736539024506880","922736539024506880")</f>
        <v>922736539024506880</v>
      </c>
      <c r="F8079" s="10" t="s">
        <v>51</v>
      </c>
      <c r="G8079" s="10" t="n">
        <v>147</v>
      </c>
      <c r="H8079" s="10" t="n">
        <v>243</v>
      </c>
      <c r="I8079" s="10" t="n">
        <v>27</v>
      </c>
      <c r="J8079" s="10" t="n">
        <v>0</v>
      </c>
      <c r="K8079" s="10" t="s">
        <v>20</v>
      </c>
      <c r="L8079" s="11" t="n">
        <v>40353.3933449074</v>
      </c>
      <c r="M8079" s="12"/>
      <c r="N8079" s="12" t="s">
        <v>17914</v>
      </c>
      <c r="O8079" s="9" t="str">
        <f aca="false">HYPERLINK("https://pbs.twimg.com/profile_images/903524253164650496/RN9yxE9d_normal.jpg","View")</f>
        <v>View</v>
      </c>
      <c r="P8079" s="10"/>
    </row>
    <row r="8080" customFormat="false" ht="15.75" hidden="false" customHeight="false" outlineLevel="0" collapsed="false">
      <c r="A8080" s="6" t="n">
        <v>43032.0488078704</v>
      </c>
      <c r="B8080" s="7" t="str">
        <f aca="false">HYPERLINK("https://twitter.com/MONkGOLDsamurai","@MONkGOLDsamurai")</f>
        <v>@MONkGOLDsamurai</v>
      </c>
      <c r="C8080" s="8" t="s">
        <v>17915</v>
      </c>
      <c r="D8080" s="8" t="s">
        <v>17916</v>
      </c>
      <c r="E8080" s="9" t="str">
        <f aca="false">HYPERLINK("https://twitter.com/MONkGOLDsamurai/status/922736993775132672","922736993775132672")</f>
        <v>922736993775132672</v>
      </c>
      <c r="F8080" s="10" t="s">
        <v>39</v>
      </c>
      <c r="G8080" s="10" t="n">
        <v>26</v>
      </c>
      <c r="H8080" s="10" t="n">
        <v>211</v>
      </c>
      <c r="I8080" s="10" t="n">
        <v>0</v>
      </c>
      <c r="J8080" s="10" t="n">
        <v>0</v>
      </c>
      <c r="K8080" s="10" t="s">
        <v>20</v>
      </c>
      <c r="L8080" s="11" t="n">
        <v>39950.2743171296</v>
      </c>
      <c r="M8080" s="12"/>
      <c r="N8080" s="12"/>
      <c r="O8080" s="9" t="str">
        <f aca="false">HYPERLINK("https://abs.twimg.com/sticky/default_profile_images/default_profile_normal.png","View")</f>
        <v>View</v>
      </c>
      <c r="P8080" s="10"/>
    </row>
    <row r="8081" customFormat="false" ht="15.75" hidden="false" customHeight="false" outlineLevel="0" collapsed="false">
      <c r="A8081" s="6" t="n">
        <v>43032.0502777778</v>
      </c>
      <c r="B8081" s="7" t="str">
        <f aca="false">HYPERLINK("https://twitter.com/london_uknews","@london_uknews")</f>
        <v>@london_uknews</v>
      </c>
      <c r="C8081" s="8" t="s">
        <v>17917</v>
      </c>
      <c r="D8081" s="8" t="s">
        <v>17918</v>
      </c>
      <c r="E8081" s="9" t="str">
        <f aca="false">HYPERLINK("https://twitter.com/london_uknews/status/922737526674280448","922737526674280448")</f>
        <v>922737526674280448</v>
      </c>
      <c r="F8081" s="10" t="s">
        <v>3042</v>
      </c>
      <c r="G8081" s="10" t="n">
        <v>1600</v>
      </c>
      <c r="H8081" s="10" t="n">
        <v>1493</v>
      </c>
      <c r="I8081" s="10" t="n">
        <v>0</v>
      </c>
      <c r="J8081" s="10" t="n">
        <v>0</v>
      </c>
      <c r="K8081" s="10" t="s">
        <v>20</v>
      </c>
      <c r="L8081" s="11" t="n">
        <v>41686.1837731482</v>
      </c>
      <c r="M8081" s="12"/>
      <c r="N8081" s="12" t="s">
        <v>17919</v>
      </c>
      <c r="O8081" s="9" t="str">
        <f aca="false">HYPERLINK("https://pbs.twimg.com/profile_images/435027468102017024/-oY0EUAS_normal.png","View")</f>
        <v>View</v>
      </c>
      <c r="P8081" s="10"/>
    </row>
    <row r="8082" customFormat="false" ht="15.75" hidden="false" customHeight="false" outlineLevel="0" collapsed="false">
      <c r="A8082" s="6" t="n">
        <v>43032.0508333333</v>
      </c>
      <c r="B8082" s="7" t="str">
        <f aca="false">HYPERLINK("https://twitter.com/jaimeotero_","@jaimeotero_")</f>
        <v>@jaimeotero_</v>
      </c>
      <c r="C8082" s="8" t="s">
        <v>205</v>
      </c>
      <c r="D8082" s="8" t="s">
        <v>17920</v>
      </c>
      <c r="E8082" s="9" t="str">
        <f aca="false">HYPERLINK("https://twitter.com/jaimeotero_/status/922737727665246208","922737727665246208")</f>
        <v>922737727665246208</v>
      </c>
      <c r="F8082" s="10" t="s">
        <v>60</v>
      </c>
      <c r="G8082" s="10" t="n">
        <v>34492</v>
      </c>
      <c r="H8082" s="10" t="n">
        <v>31252</v>
      </c>
      <c r="I8082" s="10" t="n">
        <v>0</v>
      </c>
      <c r="J8082" s="10" t="n">
        <v>0</v>
      </c>
      <c r="K8082" s="10" t="s">
        <v>20</v>
      </c>
      <c r="L8082" s="11" t="n">
        <v>42531.0121990741</v>
      </c>
      <c r="M8082" s="12" t="s">
        <v>207</v>
      </c>
      <c r="N8082" s="12" t="s">
        <v>208</v>
      </c>
      <c r="O8082" s="9" t="str">
        <f aca="false">HYPERLINK("https://pbs.twimg.com/profile_images/849817561281818626/acAU04SD_normal.jpg","View")</f>
        <v>View</v>
      </c>
      <c r="P8082" s="10"/>
    </row>
    <row r="8083" customFormat="false" ht="15.75" hidden="false" customHeight="false" outlineLevel="0" collapsed="false">
      <c r="A8083" s="6" t="n">
        <v>43032.0521875</v>
      </c>
      <c r="B8083" s="7" t="str">
        <f aca="false">HYPERLINK("https://twitter.com/Tekki_VR","@Tekki_VR")</f>
        <v>@Tekki_VR</v>
      </c>
      <c r="C8083" s="8" t="s">
        <v>225</v>
      </c>
      <c r="D8083" s="8" t="s">
        <v>17921</v>
      </c>
      <c r="E8083" s="9" t="str">
        <f aca="false">HYPERLINK("https://twitter.com/Tekki_VR/status/922738216100401152","922738216100401152")</f>
        <v>922738216100401152</v>
      </c>
      <c r="F8083" s="10" t="s">
        <v>60</v>
      </c>
      <c r="G8083" s="10" t="n">
        <v>1895</v>
      </c>
      <c r="H8083" s="10" t="n">
        <v>2479</v>
      </c>
      <c r="I8083" s="10" t="n">
        <v>0</v>
      </c>
      <c r="J8083" s="10" t="n">
        <v>0</v>
      </c>
      <c r="K8083" s="10" t="s">
        <v>20</v>
      </c>
      <c r="L8083" s="11" t="n">
        <v>42263.5455324074</v>
      </c>
      <c r="M8083" s="12" t="s">
        <v>227</v>
      </c>
      <c r="N8083" s="12" t="s">
        <v>228</v>
      </c>
      <c r="O8083" s="9" t="str">
        <f aca="false">HYPERLINK("https://pbs.twimg.com/profile_images/760662770694098944/h1nSBfE8_normal.jpg","View")</f>
        <v>View</v>
      </c>
      <c r="P8083" s="10"/>
    </row>
    <row r="8084" customFormat="false" ht="15.75" hidden="false" customHeight="false" outlineLevel="0" collapsed="false">
      <c r="A8084" s="6" t="n">
        <v>43032.0525462963</v>
      </c>
      <c r="B8084" s="7" t="str">
        <f aca="false">HYPERLINK("https://twitter.com/WorldNewsNgayon","@WorldNewsNgayon")</f>
        <v>@WorldNewsNgayon</v>
      </c>
      <c r="C8084" s="8" t="s">
        <v>16694</v>
      </c>
      <c r="D8084" s="8" t="s">
        <v>16695</v>
      </c>
      <c r="E8084" s="9" t="str">
        <f aca="false">HYPERLINK("https://twitter.com/WorldNewsNgayon/status/922738348908843009","922738348908843009")</f>
        <v>922738348908843009</v>
      </c>
      <c r="F8084" s="10" t="s">
        <v>60</v>
      </c>
      <c r="G8084" s="10" t="n">
        <v>1174</v>
      </c>
      <c r="H8084" s="10" t="n">
        <v>9</v>
      </c>
      <c r="I8084" s="10" t="n">
        <v>0</v>
      </c>
      <c r="J8084" s="10" t="n">
        <v>0</v>
      </c>
      <c r="K8084" s="10" t="s">
        <v>20</v>
      </c>
      <c r="L8084" s="11" t="n">
        <v>41174.8472337963</v>
      </c>
      <c r="M8084" s="12" t="s">
        <v>370</v>
      </c>
      <c r="N8084" s="12" t="s">
        <v>16696</v>
      </c>
      <c r="O8084" s="9" t="str">
        <f aca="false">HYPERLINK("https://pbs.twimg.com/profile_images/425420772534784000/_u4Vu6V1_normal.jpeg","View")</f>
        <v>View</v>
      </c>
      <c r="P8084" s="10"/>
    </row>
    <row r="8085" customFormat="false" ht="15.75" hidden="false" customHeight="false" outlineLevel="0" collapsed="false">
      <c r="A8085" s="6" t="n">
        <v>43032.0525694444</v>
      </c>
      <c r="B8085" s="7" t="str">
        <f aca="false">HYPERLINK("https://twitter.com/ggnewsus","@ggnewsus")</f>
        <v>@ggnewsus</v>
      </c>
      <c r="C8085" s="8" t="s">
        <v>16730</v>
      </c>
      <c r="D8085" s="8" t="s">
        <v>16731</v>
      </c>
      <c r="E8085" s="9" t="str">
        <f aca="false">HYPERLINK("https://twitter.com/ggnewsus/status/922738355648987136","922738355648987136")</f>
        <v>922738355648987136</v>
      </c>
      <c r="F8085" s="10" t="s">
        <v>60</v>
      </c>
      <c r="G8085" s="10" t="n">
        <v>862</v>
      </c>
      <c r="H8085" s="10" t="n">
        <v>143</v>
      </c>
      <c r="I8085" s="10" t="n">
        <v>0</v>
      </c>
      <c r="J8085" s="10" t="n">
        <v>0</v>
      </c>
      <c r="K8085" s="10" t="s">
        <v>20</v>
      </c>
      <c r="L8085" s="11" t="n">
        <v>41679.770775463</v>
      </c>
      <c r="M8085" s="12" t="s">
        <v>16732</v>
      </c>
      <c r="N8085" s="12" t="s">
        <v>2091</v>
      </c>
      <c r="O8085" s="9" t="str">
        <f aca="false">HYPERLINK("https://pbs.twimg.com/profile_images/432706003285450752/IHK6C475_normal.png","View")</f>
        <v>View</v>
      </c>
      <c r="P8085" s="10"/>
    </row>
    <row r="8086" customFormat="false" ht="15.75" hidden="false" customHeight="false" outlineLevel="0" collapsed="false">
      <c r="A8086" s="6" t="n">
        <v>43032.0556597222</v>
      </c>
      <c r="B8086" s="7" t="str">
        <f aca="false">HYPERLINK("https://twitter.com/bpolitics","@bpolitics")</f>
        <v>@bpolitics</v>
      </c>
      <c r="C8086" s="8" t="s">
        <v>266</v>
      </c>
      <c r="D8086" s="8" t="s">
        <v>17922</v>
      </c>
      <c r="E8086" s="9" t="str">
        <f aca="false">HYPERLINK("https://twitter.com/bpolitics/status/922739476576604165","922739476576604165")</f>
        <v>922739476576604165</v>
      </c>
      <c r="F8086" s="10" t="s">
        <v>268</v>
      </c>
      <c r="G8086" s="10" t="n">
        <v>221392</v>
      </c>
      <c r="H8086" s="10" t="n">
        <v>868</v>
      </c>
      <c r="I8086" s="10" t="n">
        <v>6</v>
      </c>
      <c r="J8086" s="10" t="n">
        <v>6</v>
      </c>
      <c r="K8086" s="10" t="s">
        <v>20</v>
      </c>
      <c r="L8086" s="11" t="n">
        <v>41025.576400463</v>
      </c>
      <c r="M8086" s="12"/>
      <c r="N8086" s="12" t="s">
        <v>269</v>
      </c>
      <c r="O8086" s="9" t="str">
        <f aca="false">HYPERLINK("https://pbs.twimg.com/profile_images/714804098890133504/cUO4gD1A_normal.jpg","View")</f>
        <v>View</v>
      </c>
      <c r="P8086" s="10"/>
    </row>
    <row r="8087" customFormat="false" ht="15.75" hidden="false" customHeight="false" outlineLevel="0" collapsed="false">
      <c r="A8087" s="6" t="n">
        <v>43032.0600925926</v>
      </c>
      <c r="B8087" s="7" t="str">
        <f aca="false">HYPERLINK("https://twitter.com/BloombergTV","@BloombergTV")</f>
        <v>@BloombergTV</v>
      </c>
      <c r="C8087" s="8" t="s">
        <v>317</v>
      </c>
      <c r="D8087" s="8" t="s">
        <v>17923</v>
      </c>
      <c r="E8087" s="9" t="str">
        <f aca="false">HYPERLINK("https://twitter.com/BloombergTV/status/922741081577525249","922741081577525249")</f>
        <v>922741081577525249</v>
      </c>
      <c r="F8087" s="10" t="s">
        <v>268</v>
      </c>
      <c r="G8087" s="10" t="n">
        <v>452918</v>
      </c>
      <c r="H8087" s="10" t="n">
        <v>458</v>
      </c>
      <c r="I8087" s="10" t="n">
        <v>4</v>
      </c>
      <c r="J8087" s="10" t="n">
        <v>2</v>
      </c>
      <c r="K8087" s="10" t="s">
        <v>20</v>
      </c>
      <c r="L8087" s="11" t="n">
        <v>39927.4899768519</v>
      </c>
      <c r="M8087" s="12" t="s">
        <v>319</v>
      </c>
      <c r="N8087" s="12" t="s">
        <v>320</v>
      </c>
      <c r="O8087" s="9" t="str">
        <f aca="false">HYPERLINK("https://pbs.twimg.com/profile_images/714801760632770560/7My2hMBt_normal.jpg","View")</f>
        <v>View</v>
      </c>
      <c r="P8087" s="10"/>
    </row>
    <row r="8088" customFormat="false" ht="15.75" hidden="false" customHeight="false" outlineLevel="0" collapsed="false">
      <c r="A8088" s="6" t="n">
        <v>43032.0603356481</v>
      </c>
      <c r="B8088" s="7" t="str">
        <f aca="false">HYPERLINK("https://twitter.com/Lauro_Nogueira","@Lauro_Nogueira")</f>
        <v>@Lauro_Nogueira</v>
      </c>
      <c r="C8088" s="8" t="s">
        <v>17924</v>
      </c>
      <c r="D8088" s="8" t="s">
        <v>17925</v>
      </c>
      <c r="E8088" s="9" t="str">
        <f aca="false">HYPERLINK("https://twitter.com/Lauro_Nogueira/status/922741172212297728","922741172212297728")</f>
        <v>922741172212297728</v>
      </c>
      <c r="F8088" s="10" t="s">
        <v>8070</v>
      </c>
      <c r="G8088" s="10" t="n">
        <v>158</v>
      </c>
      <c r="H8088" s="10" t="n">
        <v>545</v>
      </c>
      <c r="I8088" s="10" t="n">
        <v>4</v>
      </c>
      <c r="J8088" s="10" t="n">
        <v>0</v>
      </c>
      <c r="K8088" s="10" t="s">
        <v>20</v>
      </c>
      <c r="L8088" s="11" t="n">
        <v>39962.8422916667</v>
      </c>
      <c r="M8088" s="12" t="s">
        <v>4579</v>
      </c>
      <c r="N8088" s="12" t="s">
        <v>17926</v>
      </c>
      <c r="O8088" s="9" t="str">
        <f aca="false">HYPERLINK("https://pbs.twimg.com/profile_images/739277819281342464/VFZioiOA_normal.jpg","View")</f>
        <v>View</v>
      </c>
      <c r="P8088" s="10"/>
    </row>
    <row r="8089" customFormat="false" ht="15.75" hidden="false" customHeight="false" outlineLevel="0" collapsed="false">
      <c r="A8089" s="6" t="n">
        <v>43032.0606597222</v>
      </c>
      <c r="B8089" s="7" t="str">
        <f aca="false">HYPERLINK("https://twitter.com/DukeTakahashi","@DukeTakahashi")</f>
        <v>@DukeTakahashi</v>
      </c>
      <c r="C8089" s="8" t="s">
        <v>11971</v>
      </c>
      <c r="D8089" s="8" t="s">
        <v>17925</v>
      </c>
      <c r="E8089" s="9" t="str">
        <f aca="false">HYPERLINK("https://twitter.com/DukeTakahashi/status/922741290084605952","922741290084605952")</f>
        <v>922741290084605952</v>
      </c>
      <c r="F8089" s="10" t="s">
        <v>39</v>
      </c>
      <c r="G8089" s="10" t="n">
        <v>972</v>
      </c>
      <c r="H8089" s="10" t="n">
        <v>2867</v>
      </c>
      <c r="I8089" s="10" t="n">
        <v>4</v>
      </c>
      <c r="J8089" s="10" t="n">
        <v>0</v>
      </c>
      <c r="K8089" s="10" t="s">
        <v>20</v>
      </c>
      <c r="L8089" s="11" t="n">
        <v>40323.0850115741</v>
      </c>
      <c r="M8089" s="12"/>
      <c r="N8089" s="12"/>
      <c r="O8089" s="9" t="str">
        <f aca="false">HYPERLINK("https://pbs.twimg.com/profile_images/958492061/Nec_0190_normal.jpg","View")</f>
        <v>View</v>
      </c>
      <c r="P8089" s="10"/>
    </row>
    <row r="8090" customFormat="false" ht="15.75" hidden="false" customHeight="false" outlineLevel="0" collapsed="false">
      <c r="A8090" s="6" t="n">
        <v>43032.0612037037</v>
      </c>
      <c r="B8090" s="7" t="str">
        <f aca="false">HYPERLINK("https://twitter.com/vrai777","@vrai777")</f>
        <v>@vrai777</v>
      </c>
      <c r="C8090" s="8" t="s">
        <v>335</v>
      </c>
      <c r="D8090" s="8" t="s">
        <v>17927</v>
      </c>
      <c r="E8090" s="9" t="str">
        <f aca="false">HYPERLINK("https://twitter.com/vrai777/status/922741484046159872","922741484046159872")</f>
        <v>922741484046159872</v>
      </c>
      <c r="F8090" s="10" t="s">
        <v>60</v>
      </c>
      <c r="G8090" s="10" t="n">
        <v>7959</v>
      </c>
      <c r="H8090" s="10" t="n">
        <v>71</v>
      </c>
      <c r="I8090" s="10" t="n">
        <v>0</v>
      </c>
      <c r="J8090" s="10" t="n">
        <v>0</v>
      </c>
      <c r="K8090" s="10" t="s">
        <v>20</v>
      </c>
      <c r="L8090" s="11" t="n">
        <v>39878.7593287037</v>
      </c>
      <c r="M8090" s="12" t="s">
        <v>295</v>
      </c>
      <c r="N8090" s="12" t="s">
        <v>337</v>
      </c>
      <c r="O8090" s="9" t="str">
        <f aca="false">HYPERLINK("https://pbs.twimg.com/profile_images/688775800284266496/qhWTo08H_normal.png","View")</f>
        <v>View</v>
      </c>
      <c r="P8090" s="10"/>
    </row>
    <row r="8091" customFormat="false" ht="15.75" hidden="false" customHeight="false" outlineLevel="0" collapsed="false">
      <c r="A8091" s="6" t="n">
        <v>43032.0636111111</v>
      </c>
      <c r="B8091" s="7" t="str">
        <f aca="false">HYPERLINK("https://twitter.com/Topgoal","@Topgoal")</f>
        <v>@Topgoal</v>
      </c>
      <c r="C8091" s="8" t="s">
        <v>17928</v>
      </c>
      <c r="D8091" s="8" t="s">
        <v>17929</v>
      </c>
      <c r="E8091" s="9" t="str">
        <f aca="false">HYPERLINK("https://twitter.com/Topgoal/status/922742356847333376","922742356847333376")</f>
        <v>922742356847333376</v>
      </c>
      <c r="F8091" s="10" t="s">
        <v>39</v>
      </c>
      <c r="G8091" s="10" t="n">
        <v>1778</v>
      </c>
      <c r="H8091" s="10" t="n">
        <v>5000</v>
      </c>
      <c r="I8091" s="10" t="n">
        <v>1</v>
      </c>
      <c r="J8091" s="10" t="n">
        <v>0</v>
      </c>
      <c r="K8091" s="10" t="s">
        <v>20</v>
      </c>
      <c r="L8091" s="11" t="n">
        <v>39882.3967592593</v>
      </c>
      <c r="M8091" s="12"/>
      <c r="N8091" s="12" t="s">
        <v>17930</v>
      </c>
      <c r="O8091" s="9" t="str">
        <f aca="false">HYPERLINK("https://pbs.twimg.com/profile_images/836236669795860481/jdgYpZaz_normal.jpg","View")</f>
        <v>View</v>
      </c>
      <c r="P8091" s="10"/>
    </row>
    <row r="8092" customFormat="false" ht="15.75" hidden="false" customHeight="false" outlineLevel="0" collapsed="false">
      <c r="A8092" s="6" t="n">
        <v>43032.0649189815</v>
      </c>
      <c r="B8092" s="7" t="str">
        <f aca="false">HYPERLINK("https://twitter.com/BloombergAsia","@BloombergAsia")</f>
        <v>@BloombergAsia</v>
      </c>
      <c r="C8092" s="8" t="s">
        <v>1399</v>
      </c>
      <c r="D8092" s="8" t="s">
        <v>17931</v>
      </c>
      <c r="E8092" s="9" t="str">
        <f aca="false">HYPERLINK("https://twitter.com/BloombergAsia/status/922742831910924288","922742831910924288")</f>
        <v>922742831910924288</v>
      </c>
      <c r="F8092" s="10" t="s">
        <v>268</v>
      </c>
      <c r="G8092" s="10" t="n">
        <v>28824</v>
      </c>
      <c r="H8092" s="10" t="n">
        <v>97</v>
      </c>
      <c r="I8092" s="10" t="n">
        <v>1</v>
      </c>
      <c r="J8092" s="10" t="n">
        <v>1</v>
      </c>
      <c r="K8092" s="10" t="s">
        <v>20</v>
      </c>
      <c r="L8092" s="11" t="n">
        <v>41052.2384837963</v>
      </c>
      <c r="M8092" s="12"/>
      <c r="N8092" s="12" t="s">
        <v>1401</v>
      </c>
      <c r="O8092" s="9" t="str">
        <f aca="false">HYPERLINK("https://pbs.twimg.com/profile_images/778129630284902401/gXjFkqGM_normal.jpg","View")</f>
        <v>View</v>
      </c>
      <c r="P8092" s="10"/>
    </row>
    <row r="8093" customFormat="false" ht="15.75" hidden="false" customHeight="false" outlineLevel="0" collapsed="false">
      <c r="A8093" s="6" t="n">
        <v>43032.0654166667</v>
      </c>
      <c r="B8093" s="7" t="str">
        <f aca="false">HYPERLINK("https://twitter.com/TFTCS","@TFTCS")</f>
        <v>@TFTCS</v>
      </c>
      <c r="C8093" s="8" t="s">
        <v>338</v>
      </c>
      <c r="D8093" s="8" t="s">
        <v>17932</v>
      </c>
      <c r="E8093" s="9" t="str">
        <f aca="false">HYPERLINK("https://twitter.com/TFTCS/status/922743012115050496","922743012115050496")</f>
        <v>922743012115050496</v>
      </c>
      <c r="F8093" s="10" t="s">
        <v>60</v>
      </c>
      <c r="G8093" s="10" t="n">
        <v>4435</v>
      </c>
      <c r="H8093" s="10" t="n">
        <v>4613</v>
      </c>
      <c r="I8093" s="10" t="n">
        <v>0</v>
      </c>
      <c r="J8093" s="10" t="n">
        <v>0</v>
      </c>
      <c r="K8093" s="10" t="s">
        <v>20</v>
      </c>
      <c r="L8093" s="11" t="n">
        <v>41868.7681018518</v>
      </c>
      <c r="M8093" s="12" t="s">
        <v>340</v>
      </c>
      <c r="N8093" s="12" t="s">
        <v>341</v>
      </c>
      <c r="O8093" s="9" t="str">
        <f aca="false">HYPERLINK("https://pbs.twimg.com/profile_images/736027772800368640/DdLGgNNU_normal.jpg","View")</f>
        <v>View</v>
      </c>
      <c r="P8093" s="10"/>
    </row>
    <row r="8094" customFormat="false" ht="15.75" hidden="false" customHeight="false" outlineLevel="0" collapsed="false">
      <c r="A8094" s="6" t="n">
        <v>43032.0659027778</v>
      </c>
      <c r="B8094" s="7" t="str">
        <f aca="false">HYPERLINK("https://twitter.com/unlewis","@unlewis")</f>
        <v>@unlewis</v>
      </c>
      <c r="C8094" s="8" t="s">
        <v>3038</v>
      </c>
      <c r="D8094" s="8" t="s">
        <v>17933</v>
      </c>
      <c r="E8094" s="9" t="str">
        <f aca="false">HYPERLINK("https://twitter.com/unlewis/status/922743187172499457","922743187172499457")</f>
        <v>922743187172499457</v>
      </c>
      <c r="F8094" s="10" t="s">
        <v>177</v>
      </c>
      <c r="G8094" s="10" t="n">
        <v>2986</v>
      </c>
      <c r="H8094" s="10" t="n">
        <v>2099</v>
      </c>
      <c r="I8094" s="10" t="n">
        <v>6</v>
      </c>
      <c r="J8094" s="10" t="n">
        <v>0</v>
      </c>
      <c r="K8094" s="10" t="s">
        <v>20</v>
      </c>
      <c r="L8094" s="11" t="n">
        <v>41159.8328356482</v>
      </c>
      <c r="M8094" s="12"/>
      <c r="N8094" s="12" t="s">
        <v>3039</v>
      </c>
      <c r="O8094" s="9" t="str">
        <f aca="false">HYPERLINK("https://pbs.twimg.com/profile_images/862117304196255744/4KSB5b7P_normal.jpg","View")</f>
        <v>View</v>
      </c>
      <c r="P8094" s="10"/>
    </row>
    <row r="8095" customFormat="false" ht="15.75" hidden="false" customHeight="false" outlineLevel="0" collapsed="false">
      <c r="A8095" s="6" t="n">
        <v>43032.0661921296</v>
      </c>
      <c r="B8095" s="7" t="str">
        <f aca="false">HYPERLINK("https://twitter.com/abosife2010","@abosife2010")</f>
        <v>@abosife2010</v>
      </c>
      <c r="C8095" s="8" t="s">
        <v>1783</v>
      </c>
      <c r="D8095" s="8" t="s">
        <v>17934</v>
      </c>
      <c r="E8095" s="9" t="str">
        <f aca="false">HYPERLINK("https://twitter.com/abosife2010/status/922743292982374400","922743292982374400")</f>
        <v>922743292982374400</v>
      </c>
      <c r="F8095" s="10" t="s">
        <v>98</v>
      </c>
      <c r="G8095" s="10" t="n">
        <v>1165</v>
      </c>
      <c r="H8095" s="10" t="n">
        <v>3105</v>
      </c>
      <c r="I8095" s="10" t="n">
        <v>1</v>
      </c>
      <c r="J8095" s="10" t="n">
        <v>0</v>
      </c>
      <c r="K8095" s="10" t="s">
        <v>20</v>
      </c>
      <c r="L8095" s="11" t="n">
        <v>40712.519224537</v>
      </c>
      <c r="M8095" s="12" t="s">
        <v>1784</v>
      </c>
      <c r="N8095" s="12" t="s">
        <v>1785</v>
      </c>
      <c r="O8095" s="9" t="str">
        <f aca="false">HYPERLINK("https://pbs.twimg.com/profile_images/869146010953682944/tD96CxJ8_normal.jpg","View")</f>
        <v>View</v>
      </c>
      <c r="P8095" s="10"/>
    </row>
    <row r="8096" customFormat="false" ht="15.75" hidden="false" customHeight="false" outlineLevel="0" collapsed="false">
      <c r="A8096" s="6" t="n">
        <v>43032.0673032407</v>
      </c>
      <c r="B8096" s="7" t="str">
        <f aca="false">HYPERLINK("https://twitter.com/berlinSTOPwar","@berlinSTOPwar")</f>
        <v>@berlinSTOPwar</v>
      </c>
      <c r="C8096" s="8" t="s">
        <v>17935</v>
      </c>
      <c r="D8096" s="8" t="s">
        <v>17936</v>
      </c>
      <c r="E8096" s="9" t="str">
        <f aca="false">HYPERLINK("https://twitter.com/berlinSTOPwar/status/922743696864481280","922743696864481280")</f>
        <v>922743696864481280</v>
      </c>
      <c r="F8096" s="9" t="s">
        <v>979</v>
      </c>
      <c r="G8096" s="10" t="n">
        <v>720</v>
      </c>
      <c r="H8096" s="10" t="n">
        <v>897</v>
      </c>
      <c r="I8096" s="10" t="n">
        <v>0</v>
      </c>
      <c r="J8096" s="10" t="n">
        <v>0</v>
      </c>
      <c r="K8096" s="10" t="s">
        <v>20</v>
      </c>
      <c r="L8096" s="11" t="n">
        <v>40193.9428472222</v>
      </c>
      <c r="M8096" s="12" t="s">
        <v>7716</v>
      </c>
      <c r="N8096" s="12" t="s">
        <v>17937</v>
      </c>
      <c r="O8096" s="9" t="str">
        <f aca="false">HYPERLINK("https://pbs.twimg.com/profile_images/634584102/berlinyellow180_normal.JPG","View")</f>
        <v>View</v>
      </c>
      <c r="P8096" s="10"/>
    </row>
    <row r="8097" customFormat="false" ht="15.75" hidden="false" customHeight="false" outlineLevel="0" collapsed="false">
      <c r="A8097" s="6" t="n">
        <v>43032.0681828704</v>
      </c>
      <c r="B8097" s="7" t="str">
        <f aca="false">HYPERLINK("https://twitter.com/sitifatimahnet","@sitifatimahnet")</f>
        <v>@sitifatimahnet</v>
      </c>
      <c r="C8097" s="8" t="s">
        <v>11184</v>
      </c>
      <c r="D8097" s="8" t="s">
        <v>17938</v>
      </c>
      <c r="E8097" s="9" t="str">
        <f aca="false">HYPERLINK("https://twitter.com/sitifatimahnet/status/922744015090528256","922744015090528256")</f>
        <v>922744015090528256</v>
      </c>
      <c r="F8097" s="10" t="s">
        <v>60</v>
      </c>
      <c r="G8097" s="10" t="n">
        <v>312</v>
      </c>
      <c r="H8097" s="10" t="n">
        <v>27</v>
      </c>
      <c r="I8097" s="10" t="n">
        <v>0</v>
      </c>
      <c r="J8097" s="10" t="n">
        <v>0</v>
      </c>
      <c r="K8097" s="10" t="s">
        <v>20</v>
      </c>
      <c r="L8097" s="11" t="n">
        <v>42698.4371990741</v>
      </c>
      <c r="M8097" s="12" t="s">
        <v>11186</v>
      </c>
      <c r="N8097" s="12" t="s">
        <v>11187</v>
      </c>
      <c r="O8097" s="9" t="str">
        <f aca="false">HYPERLINK("https://pbs.twimg.com/profile_images/897683241594912769/-rSDzg9T_normal.jpg","View")</f>
        <v>View</v>
      </c>
      <c r="P8097" s="10"/>
    </row>
    <row r="8098" customFormat="false" ht="15.75" hidden="false" customHeight="false" outlineLevel="0" collapsed="false">
      <c r="A8098" s="6" t="n">
        <v>43032.0684259259</v>
      </c>
      <c r="B8098" s="7" t="str">
        <f aca="false">HYPERLINK("https://twitter.com/narhari4u","@narhari4u")</f>
        <v>@narhari4u</v>
      </c>
      <c r="C8098" s="8" t="s">
        <v>17939</v>
      </c>
      <c r="D8098" s="8" t="s">
        <v>8538</v>
      </c>
      <c r="E8098" s="9" t="str">
        <f aca="false">HYPERLINK("https://twitter.com/narhari4u/status/922744100658536448","922744100658536448")</f>
        <v>922744100658536448</v>
      </c>
      <c r="F8098" s="10" t="s">
        <v>25</v>
      </c>
      <c r="G8098" s="10" t="n">
        <v>151</v>
      </c>
      <c r="H8098" s="10" t="n">
        <v>289</v>
      </c>
      <c r="I8098" s="10" t="n">
        <v>1015</v>
      </c>
      <c r="J8098" s="10" t="n">
        <v>0</v>
      </c>
      <c r="K8098" s="10" t="s">
        <v>20</v>
      </c>
      <c r="L8098" s="11" t="n">
        <v>42450.3421412037</v>
      </c>
      <c r="M8098" s="12"/>
      <c r="N8098" s="12" t="s">
        <v>17940</v>
      </c>
      <c r="O8098" s="9" t="str">
        <f aca="false">HYPERLINK("https://pbs.twimg.com/profile_images/911441774979145728/2amn3e3E_normal.jpg","View")</f>
        <v>View</v>
      </c>
      <c r="P8098" s="10"/>
    </row>
    <row r="8099" customFormat="false" ht="15.75" hidden="false" customHeight="false" outlineLevel="0" collapsed="false">
      <c r="A8099" s="6" t="n">
        <v>43032.0684490741</v>
      </c>
      <c r="B8099" s="7" t="str">
        <f aca="false">HYPERLINK("https://twitter.com/worldcitizen1st","@worldcitizen1st")</f>
        <v>@worldcitizen1st</v>
      </c>
      <c r="C8099" s="8" t="s">
        <v>17941</v>
      </c>
      <c r="D8099" s="8" t="s">
        <v>17925</v>
      </c>
      <c r="E8099" s="9" t="str">
        <f aca="false">HYPERLINK("https://twitter.com/worldcitizen1st/status/922744111316242433","922744111316242433")</f>
        <v>922744111316242433</v>
      </c>
      <c r="F8099" s="10" t="s">
        <v>177</v>
      </c>
      <c r="G8099" s="10" t="n">
        <v>135</v>
      </c>
      <c r="H8099" s="10" t="n">
        <v>237</v>
      </c>
      <c r="I8099" s="10" t="n">
        <v>4</v>
      </c>
      <c r="J8099" s="10" t="n">
        <v>0</v>
      </c>
      <c r="K8099" s="10" t="s">
        <v>20</v>
      </c>
      <c r="L8099" s="11" t="n">
        <v>42684.2966782407</v>
      </c>
      <c r="M8099" s="12"/>
      <c r="N8099" s="12" t="s">
        <v>17942</v>
      </c>
      <c r="O8099" s="9" t="str">
        <f aca="false">HYPERLINK("https://pbs.twimg.com/profile_images/828272096144941056/bE3AteDT_normal.jpg","View")</f>
        <v>View</v>
      </c>
      <c r="P8099" s="10"/>
    </row>
    <row r="8100" customFormat="false" ht="15.75" hidden="false" customHeight="false" outlineLevel="0" collapsed="false">
      <c r="A8100" s="6" t="n">
        <v>43032.0696527778</v>
      </c>
      <c r="B8100" s="7" t="str">
        <f aca="false">HYPERLINK("https://twitter.com/jntd11","@jntd11")</f>
        <v>@jntd11</v>
      </c>
      <c r="C8100" s="8" t="s">
        <v>17943</v>
      </c>
      <c r="D8100" s="8" t="s">
        <v>8538</v>
      </c>
      <c r="E8100" s="9" t="str">
        <f aca="false">HYPERLINK("https://twitter.com/jntd11/status/922744548954009602","922744548954009602")</f>
        <v>922744548954009602</v>
      </c>
      <c r="F8100" s="10" t="s">
        <v>25</v>
      </c>
      <c r="G8100" s="10" t="n">
        <v>64</v>
      </c>
      <c r="H8100" s="10" t="n">
        <v>159</v>
      </c>
      <c r="I8100" s="10" t="n">
        <v>1015</v>
      </c>
      <c r="J8100" s="10" t="n">
        <v>0</v>
      </c>
      <c r="K8100" s="10" t="s">
        <v>20</v>
      </c>
      <c r="L8100" s="11" t="n">
        <v>40305.016875</v>
      </c>
      <c r="M8100" s="12"/>
      <c r="N8100" s="12"/>
      <c r="O8100" s="9" t="str">
        <f aca="false">HYPERLINK("https://abs.twimg.com/sticky/default_profile_images/default_profile_normal.png","View")</f>
        <v>View</v>
      </c>
      <c r="P8100" s="10"/>
    </row>
    <row r="8101" customFormat="false" ht="15.75" hidden="false" customHeight="false" outlineLevel="0" collapsed="false">
      <c r="A8101" s="6" t="n">
        <v>43032.071087963</v>
      </c>
      <c r="B8101" s="7" t="str">
        <f aca="false">HYPERLINK("https://twitter.com/CNBCTradersFan","@CNBCTradersFan")</f>
        <v>@CNBCTradersFan</v>
      </c>
      <c r="C8101" s="8" t="s">
        <v>325</v>
      </c>
      <c r="D8101" s="8" t="s">
        <v>17944</v>
      </c>
      <c r="E8101" s="9" t="str">
        <f aca="false">HYPERLINK("https://twitter.com/CNBCTradersFan/status/922745067646877702","922745067646877702")</f>
        <v>922745067646877702</v>
      </c>
      <c r="F8101" s="10" t="s">
        <v>60</v>
      </c>
      <c r="G8101" s="10" t="n">
        <v>17155</v>
      </c>
      <c r="H8101" s="10" t="n">
        <v>11641</v>
      </c>
      <c r="I8101" s="10" t="n">
        <v>0</v>
      </c>
      <c r="J8101" s="10" t="n">
        <v>0</v>
      </c>
      <c r="K8101" s="10" t="s">
        <v>20</v>
      </c>
      <c r="L8101" s="11" t="n">
        <v>40922.5054282407</v>
      </c>
      <c r="M8101" s="12" t="s">
        <v>327</v>
      </c>
      <c r="N8101" s="12" t="s">
        <v>328</v>
      </c>
      <c r="O8101" s="9" t="str">
        <f aca="false">HYPERLINK("https://pbs.twimg.com/profile_images/731870469318684672/Ckf7rDdJ_normal.jpg","View")</f>
        <v>View</v>
      </c>
      <c r="P8101" s="10"/>
    </row>
    <row r="8102" customFormat="false" ht="15.75" hidden="false" customHeight="false" outlineLevel="0" collapsed="false">
      <c r="A8102" s="6" t="n">
        <v>43032.0730439815</v>
      </c>
      <c r="B8102" s="7" t="str">
        <f aca="false">HYPERLINK("https://twitter.com/IAPDefenseForum","@IAPDefenseForum")</f>
        <v>@IAPDefenseForum</v>
      </c>
      <c r="C8102" s="8" t="s">
        <v>17945</v>
      </c>
      <c r="D8102" s="8" t="s">
        <v>17946</v>
      </c>
      <c r="E8102" s="9" t="str">
        <f aca="false">HYPERLINK("https://twitter.com/IAPDefenseForum/status/922745777570697216","922745777570697216")</f>
        <v>922745777570697216</v>
      </c>
      <c r="F8102" s="10" t="s">
        <v>110</v>
      </c>
      <c r="G8102" s="10" t="n">
        <v>193</v>
      </c>
      <c r="H8102" s="10" t="n">
        <v>1794</v>
      </c>
      <c r="I8102" s="10" t="n">
        <v>0</v>
      </c>
      <c r="J8102" s="10" t="n">
        <v>0</v>
      </c>
      <c r="K8102" s="10" t="s">
        <v>20</v>
      </c>
      <c r="L8102" s="11" t="n">
        <v>42278.659212963</v>
      </c>
      <c r="M8102" s="12"/>
      <c r="N8102" s="12"/>
      <c r="O8102" s="9" t="str">
        <f aca="false">HYPERLINK("https://pbs.twimg.com/profile_images/778472399830339584/te0FDAAN_normal.jpg","View")</f>
        <v>View</v>
      </c>
      <c r="P8102" s="10"/>
    </row>
    <row r="8103" customFormat="false" ht="15.75" hidden="false" customHeight="false" outlineLevel="0" collapsed="false">
      <c r="A8103" s="6" t="n">
        <v>43032.0741087963</v>
      </c>
      <c r="B8103" s="7" t="str">
        <f aca="false">HYPERLINK("https://twitter.com/LiliyaMarina2","@LiliyaMarina2")</f>
        <v>@LiliyaMarina2</v>
      </c>
      <c r="C8103" s="14" t="s">
        <v>17947</v>
      </c>
      <c r="D8103" s="8" t="s">
        <v>17880</v>
      </c>
      <c r="E8103" s="9" t="str">
        <f aca="false">HYPERLINK("https://twitter.com/LiliyaMarina2/status/922746160736956416","922746160736956416")</f>
        <v>922746160736956416</v>
      </c>
      <c r="F8103" s="10" t="s">
        <v>39</v>
      </c>
      <c r="G8103" s="10" t="n">
        <v>10592</v>
      </c>
      <c r="H8103" s="10" t="n">
        <v>47</v>
      </c>
      <c r="I8103" s="10" t="n">
        <v>27</v>
      </c>
      <c r="J8103" s="10" t="n">
        <v>0</v>
      </c>
      <c r="K8103" s="10" t="s">
        <v>20</v>
      </c>
      <c r="L8103" s="11" t="n">
        <v>42956.3731597222</v>
      </c>
      <c r="M8103" s="12"/>
      <c r="N8103" s="12"/>
      <c r="O8103" s="9" t="str">
        <f aca="false">HYPERLINK("https://pbs.twimg.com/profile_images/910059875891212288/5m5Mvd8d_normal.jpg","View")</f>
        <v>View</v>
      </c>
      <c r="P8103" s="10"/>
    </row>
    <row r="8104" customFormat="false" ht="15.75" hidden="false" customHeight="false" outlineLevel="0" collapsed="false">
      <c r="A8104" s="6" t="n">
        <v>43032.075162037</v>
      </c>
      <c r="B8104" s="7" t="str">
        <f aca="false">HYPERLINK("https://twitter.com/TopFiveTraders","@TopFiveTraders")</f>
        <v>@TopFiveTraders</v>
      </c>
      <c r="C8104" s="8" t="s">
        <v>321</v>
      </c>
      <c r="D8104" s="8" t="s">
        <v>17948</v>
      </c>
      <c r="E8104" s="9" t="str">
        <f aca="false">HYPERLINK("https://twitter.com/TopFiveTraders/status/922746545753284608","922746545753284608")</f>
        <v>922746545753284608</v>
      </c>
      <c r="F8104" s="10" t="s">
        <v>60</v>
      </c>
      <c r="G8104" s="10" t="n">
        <v>8181</v>
      </c>
      <c r="H8104" s="10" t="n">
        <v>6774</v>
      </c>
      <c r="I8104" s="10" t="n">
        <v>0</v>
      </c>
      <c r="J8104" s="10" t="n">
        <v>0</v>
      </c>
      <c r="K8104" s="10" t="s">
        <v>20</v>
      </c>
      <c r="L8104" s="11" t="n">
        <v>41573.4842013889</v>
      </c>
      <c r="M8104" s="12" t="s">
        <v>323</v>
      </c>
      <c r="N8104" s="12" t="s">
        <v>324</v>
      </c>
      <c r="O8104" s="9" t="str">
        <f aca="false">HYPERLINK("https://pbs.twimg.com/profile_images/729113141444026370/hi202Ffp_normal.jpg","View")</f>
        <v>View</v>
      </c>
      <c r="P8104" s="10"/>
    </row>
    <row r="8105" customFormat="false" ht="15.75" hidden="false" customHeight="false" outlineLevel="0" collapsed="false">
      <c r="A8105" s="6" t="n">
        <v>43032.0763541667</v>
      </c>
      <c r="B8105" s="7" t="str">
        <f aca="false">HYPERLINK("https://twitter.com/TheManojGarg","@TheManojGarg")</f>
        <v>@TheManojGarg</v>
      </c>
      <c r="C8105" s="8" t="s">
        <v>17949</v>
      </c>
      <c r="D8105" s="8" t="s">
        <v>8538</v>
      </c>
      <c r="E8105" s="9" t="str">
        <f aca="false">HYPERLINK("https://twitter.com/TheManojGarg/status/922746975400869888","922746975400869888")</f>
        <v>922746975400869888</v>
      </c>
      <c r="F8105" s="10" t="s">
        <v>25</v>
      </c>
      <c r="G8105" s="10" t="n">
        <v>65</v>
      </c>
      <c r="H8105" s="10" t="n">
        <v>5</v>
      </c>
      <c r="I8105" s="10" t="n">
        <v>1015</v>
      </c>
      <c r="J8105" s="10" t="n">
        <v>0</v>
      </c>
      <c r="K8105" s="10" t="s">
        <v>20</v>
      </c>
      <c r="L8105" s="11" t="n">
        <v>40982.4921643519</v>
      </c>
      <c r="M8105" s="12" t="s">
        <v>72</v>
      </c>
      <c r="N8105" s="12" t="s">
        <v>17950</v>
      </c>
      <c r="O8105" s="9" t="str">
        <f aca="false">HYPERLINK("https://pbs.twimg.com/profile_images/593172964511649792/N1i1RmbV_normal.jpg","View")</f>
        <v>View</v>
      </c>
      <c r="P8105" s="10"/>
    </row>
    <row r="8106" customFormat="false" ht="15.75" hidden="false" customHeight="false" outlineLevel="0" collapsed="false">
      <c r="A8106" s="6" t="n">
        <v>43032.0813194445</v>
      </c>
      <c r="B8106" s="7" t="str">
        <f aca="false">HYPERLINK("https://twitter.com/conejitonoel","@conejitonoel")</f>
        <v>@conejitonoel</v>
      </c>
      <c r="C8106" s="8" t="s">
        <v>2378</v>
      </c>
      <c r="D8106" s="8" t="s">
        <v>17569</v>
      </c>
      <c r="E8106" s="9" t="str">
        <f aca="false">HYPERLINK("https://twitter.com/conejitonoel/status/922748774841139200","922748774841139200")</f>
        <v>922748774841139200</v>
      </c>
      <c r="F8106" s="10" t="s">
        <v>177</v>
      </c>
      <c r="G8106" s="10" t="n">
        <v>679</v>
      </c>
      <c r="H8106" s="10" t="n">
        <v>96</v>
      </c>
      <c r="I8106" s="10" t="n">
        <v>28</v>
      </c>
      <c r="J8106" s="10" t="n">
        <v>0</v>
      </c>
      <c r="K8106" s="10" t="s">
        <v>20</v>
      </c>
      <c r="L8106" s="11" t="n">
        <v>40723.1965277778</v>
      </c>
      <c r="M8106" s="12" t="s">
        <v>574</v>
      </c>
      <c r="N8106" s="13" t="s">
        <v>2379</v>
      </c>
      <c r="O8106" s="9" t="str">
        <f aca="false">HYPERLINK("https://pbs.twimg.com/profile_images/894728723680829440/dsPrCOvM_normal.jpg","View")</f>
        <v>View</v>
      </c>
      <c r="P8106" s="10"/>
    </row>
    <row r="8107" customFormat="false" ht="15.75" hidden="false" customHeight="false" outlineLevel="0" collapsed="false">
      <c r="A8107" s="6" t="n">
        <v>43032.081412037</v>
      </c>
      <c r="B8107" s="7" t="str">
        <f aca="false">HYPERLINK("https://twitter.com/conejitonoel","@conejitonoel")</f>
        <v>@conejitonoel</v>
      </c>
      <c r="C8107" s="8" t="s">
        <v>2378</v>
      </c>
      <c r="D8107" s="8" t="s">
        <v>14814</v>
      </c>
      <c r="E8107" s="9" t="str">
        <f aca="false">HYPERLINK("https://twitter.com/conejitonoel/status/922748809184026624","922748809184026624")</f>
        <v>922748809184026624</v>
      </c>
      <c r="F8107" s="10" t="s">
        <v>177</v>
      </c>
      <c r="G8107" s="10" t="n">
        <v>679</v>
      </c>
      <c r="H8107" s="10" t="n">
        <v>96</v>
      </c>
      <c r="I8107" s="10" t="n">
        <v>12</v>
      </c>
      <c r="J8107" s="10" t="n">
        <v>0</v>
      </c>
      <c r="K8107" s="10" t="s">
        <v>20</v>
      </c>
      <c r="L8107" s="11" t="n">
        <v>40723.1965277778</v>
      </c>
      <c r="M8107" s="12" t="s">
        <v>574</v>
      </c>
      <c r="N8107" s="13" t="s">
        <v>2379</v>
      </c>
      <c r="O8107" s="9" t="str">
        <f aca="false">HYPERLINK("https://pbs.twimg.com/profile_images/894728723680829440/dsPrCOvM_normal.jpg","View")</f>
        <v>View</v>
      </c>
      <c r="P8107" s="10"/>
    </row>
    <row r="8108" customFormat="false" ht="15.75" hidden="false" customHeight="false" outlineLevel="0" collapsed="false">
      <c r="A8108" s="6" t="n">
        <v>43032.09375</v>
      </c>
      <c r="B8108" s="7" t="str">
        <f aca="false">HYPERLINK("https://twitter.com/KRTpro_News","@KRTpro_News")</f>
        <v>@KRTpro_News</v>
      </c>
      <c r="C8108" s="8" t="s">
        <v>17951</v>
      </c>
      <c r="D8108" s="8" t="s">
        <v>17952</v>
      </c>
      <c r="E8108" s="9" t="str">
        <f aca="false">HYPERLINK("https://twitter.com/KRTpro_News/status/922753280069038080","922753280069038080")</f>
        <v>922753280069038080</v>
      </c>
      <c r="F8108" s="10" t="s">
        <v>276</v>
      </c>
      <c r="G8108" s="10" t="n">
        <v>10088</v>
      </c>
      <c r="H8108" s="10" t="n">
        <v>6230</v>
      </c>
      <c r="I8108" s="10" t="n">
        <v>0</v>
      </c>
      <c r="J8108" s="10" t="n">
        <v>0</v>
      </c>
      <c r="K8108" s="10" t="s">
        <v>20</v>
      </c>
      <c r="L8108" s="11" t="n">
        <v>40533.9848842593</v>
      </c>
      <c r="M8108" s="12" t="s">
        <v>893</v>
      </c>
      <c r="N8108" s="12" t="s">
        <v>17953</v>
      </c>
      <c r="O8108" s="9" t="str">
        <f aca="false">HYPERLINK("https://pbs.twimg.com/profile_images/826028903542169601/IHhMM5JS_normal.jpg","View")</f>
        <v>View</v>
      </c>
      <c r="P8108" s="10"/>
    </row>
    <row r="8109" customFormat="false" ht="15.75" hidden="false" customHeight="false" outlineLevel="0" collapsed="false">
      <c r="A8109" s="6" t="n">
        <v>43032.0945833333</v>
      </c>
      <c r="B8109" s="7" t="str">
        <f aca="false">HYPERLINK("https://twitter.com/FXstreetReports","@FXstreetReports")</f>
        <v>@FXstreetReports</v>
      </c>
      <c r="C8109" s="8" t="s">
        <v>17954</v>
      </c>
      <c r="D8109" s="8" t="s">
        <v>17955</v>
      </c>
      <c r="E8109" s="9" t="str">
        <f aca="false">HYPERLINK("https://twitter.com/FXstreetReports/status/922753580083367937","922753580083367937")</f>
        <v>922753580083367937</v>
      </c>
      <c r="F8109" s="10" t="s">
        <v>17956</v>
      </c>
      <c r="G8109" s="10" t="n">
        <v>9360</v>
      </c>
      <c r="H8109" s="10" t="n">
        <v>11</v>
      </c>
      <c r="I8109" s="10" t="n">
        <v>0</v>
      </c>
      <c r="J8109" s="10" t="n">
        <v>0</v>
      </c>
      <c r="K8109" s="10" t="s">
        <v>20</v>
      </c>
      <c r="L8109" s="11" t="n">
        <v>40834.3443055556</v>
      </c>
      <c r="M8109" s="12" t="s">
        <v>4232</v>
      </c>
      <c r="N8109" s="12" t="s">
        <v>17957</v>
      </c>
      <c r="O8109" s="9" t="str">
        <f aca="false">HYPERLINK("https://pbs.twimg.com/profile_images/468318162937593857/BQSIfATW_normal.png","View")</f>
        <v>View</v>
      </c>
      <c r="P8109" s="10"/>
    </row>
    <row r="8110" customFormat="false" ht="15.75" hidden="false" customHeight="false" outlineLevel="0" collapsed="false">
      <c r="A8110" s="6" t="n">
        <v>43032.099537037</v>
      </c>
      <c r="B8110" s="7" t="str">
        <f aca="false">HYPERLINK("https://twitter.com/noikeanolife","@noikeanolife")</f>
        <v>@noikeanolife</v>
      </c>
      <c r="C8110" s="8" t="s">
        <v>17958</v>
      </c>
      <c r="D8110" s="8" t="s">
        <v>17933</v>
      </c>
      <c r="E8110" s="9" t="str">
        <f aca="false">HYPERLINK("https://twitter.com/noikeanolife/status/922755378072322048","922755378072322048")</f>
        <v>922755378072322048</v>
      </c>
      <c r="F8110" s="10" t="s">
        <v>39</v>
      </c>
      <c r="G8110" s="10" t="n">
        <v>3765</v>
      </c>
      <c r="H8110" s="10" t="n">
        <v>3363</v>
      </c>
      <c r="I8110" s="10" t="n">
        <v>6</v>
      </c>
      <c r="J8110" s="10" t="n">
        <v>0</v>
      </c>
      <c r="K8110" s="10" t="s">
        <v>20</v>
      </c>
      <c r="L8110" s="11" t="n">
        <v>40354.9662962963</v>
      </c>
      <c r="M8110" s="13" t="s">
        <v>17959</v>
      </c>
      <c r="N8110" s="13" t="s">
        <v>17960</v>
      </c>
      <c r="O8110" s="9" t="str">
        <f aca="false">HYPERLINK("https://pbs.twimg.com/profile_images/479755170314604545/3XyKdzvj_normal.png","View")</f>
        <v>View</v>
      </c>
      <c r="P8110" s="10"/>
    </row>
    <row r="8111" customFormat="false" ht="15.75" hidden="false" customHeight="false" outlineLevel="0" collapsed="false">
      <c r="A8111" s="6" t="n">
        <v>43032.0999537037</v>
      </c>
      <c r="B8111" s="7" t="str">
        <f aca="false">HYPERLINK("https://twitter.com/WorldsPolitics1","@WorldsPolitics1")</f>
        <v>@WorldsPolitics1</v>
      </c>
      <c r="C8111" s="8" t="s">
        <v>17961</v>
      </c>
      <c r="D8111" s="8" t="s">
        <v>17962</v>
      </c>
      <c r="E8111" s="9" t="str">
        <f aca="false">HYPERLINK("https://twitter.com/WorldsPolitics1/status/922755525913165824","922755525913165824")</f>
        <v>922755525913165824</v>
      </c>
      <c r="F8111" s="10" t="s">
        <v>25</v>
      </c>
      <c r="G8111" s="10" t="n">
        <v>1</v>
      </c>
      <c r="H8111" s="10" t="n">
        <v>118</v>
      </c>
      <c r="I8111" s="10" t="n">
        <v>2</v>
      </c>
      <c r="J8111" s="10" t="n">
        <v>0</v>
      </c>
      <c r="K8111" s="10" t="s">
        <v>20</v>
      </c>
      <c r="L8111" s="11" t="n">
        <v>43018.3467476852</v>
      </c>
      <c r="M8111" s="12"/>
      <c r="N8111" s="12"/>
      <c r="O8111" s="9" t="str">
        <f aca="false">HYPERLINK("https://abs.twimg.com/sticky/default_profile_images/default_profile_normal.png","View")</f>
        <v>View</v>
      </c>
      <c r="P8111" s="10"/>
    </row>
    <row r="8112" customFormat="false" ht="15.75" hidden="false" customHeight="false" outlineLevel="0" collapsed="false">
      <c r="A8112" s="6" t="n">
        <v>43032.100775463</v>
      </c>
      <c r="B8112" s="7" t="str">
        <f aca="false">HYPERLINK("https://twitter.com/cocu_yang","@cocu_yang")</f>
        <v>@cocu_yang</v>
      </c>
      <c r="C8112" s="14" t="s">
        <v>17963</v>
      </c>
      <c r="D8112" s="8" t="s">
        <v>15694</v>
      </c>
      <c r="E8112" s="9" t="str">
        <f aca="false">HYPERLINK("https://twitter.com/cocu_yang/status/922755827563245569","922755827563245569")</f>
        <v>922755827563245569</v>
      </c>
      <c r="F8112" s="10" t="s">
        <v>177</v>
      </c>
      <c r="G8112" s="10" t="n">
        <v>2023</v>
      </c>
      <c r="H8112" s="10" t="n">
        <v>1129</v>
      </c>
      <c r="I8112" s="10" t="n">
        <v>10</v>
      </c>
      <c r="J8112" s="10" t="n">
        <v>0</v>
      </c>
      <c r="K8112" s="10" t="s">
        <v>20</v>
      </c>
      <c r="L8112" s="11" t="n">
        <v>40201.0072569444</v>
      </c>
      <c r="M8112" s="13" t="s">
        <v>17964</v>
      </c>
      <c r="N8112" s="13" t="s">
        <v>17965</v>
      </c>
      <c r="O8112" s="9" t="str">
        <f aca="false">HYPERLINK("https://pbs.twimg.com/profile_images/726944503731359744/yEjagfY1_normal.jpg","View")</f>
        <v>View</v>
      </c>
      <c r="P8112" s="10"/>
    </row>
    <row r="8113" customFormat="false" ht="15.75" hidden="false" customHeight="false" outlineLevel="0" collapsed="false">
      <c r="A8113" s="6" t="n">
        <v>43032.1008564815</v>
      </c>
      <c r="B8113" s="7" t="str">
        <f aca="false">HYPERLINK("https://twitter.com/3rdbadstory","@3rdbadstory")</f>
        <v>@3rdbadstory</v>
      </c>
      <c r="C8113" s="14" t="s">
        <v>17966</v>
      </c>
      <c r="D8113" s="8" t="s">
        <v>17626</v>
      </c>
      <c r="E8113" s="9" t="str">
        <f aca="false">HYPERLINK("https://twitter.com/3rdbadstory/status/922755854541008896","922755854541008896")</f>
        <v>922755854541008896</v>
      </c>
      <c r="F8113" s="10" t="s">
        <v>51</v>
      </c>
      <c r="G8113" s="10" t="n">
        <v>467</v>
      </c>
      <c r="H8113" s="10" t="n">
        <v>26</v>
      </c>
      <c r="I8113" s="10" t="n">
        <v>51</v>
      </c>
      <c r="J8113" s="10" t="n">
        <v>0</v>
      </c>
      <c r="K8113" s="10" t="s">
        <v>20</v>
      </c>
      <c r="L8113" s="11" t="n">
        <v>42470.2022685185</v>
      </c>
      <c r="M8113" s="12"/>
      <c r="N8113" s="13" t="s">
        <v>17967</v>
      </c>
      <c r="O8113" s="9" t="str">
        <f aca="false">HYPERLINK("https://pbs.twimg.com/profile_images/792863179571204096/aaGP8o2V_normal.jpg","View")</f>
        <v>View</v>
      </c>
      <c r="P8113" s="10"/>
    </row>
    <row r="8114" customFormat="false" ht="15.75" hidden="false" customHeight="false" outlineLevel="0" collapsed="false">
      <c r="A8114" s="6" t="n">
        <v>43032.1022916667</v>
      </c>
      <c r="B8114" s="7" t="str">
        <f aca="false">HYPERLINK("https://twitter.com/PMoallemian","@PMoallemian")</f>
        <v>@PMoallemian</v>
      </c>
      <c r="C8114" s="8" t="s">
        <v>16648</v>
      </c>
      <c r="D8114" s="8" t="s">
        <v>16649</v>
      </c>
      <c r="E8114" s="9" t="str">
        <f aca="false">HYPERLINK("https://twitter.com/PMoallemian/status/922756374983069697","922756374983069697")</f>
        <v>922756374983069697</v>
      </c>
      <c r="F8114" s="10" t="s">
        <v>60</v>
      </c>
      <c r="G8114" s="10" t="n">
        <v>5104</v>
      </c>
      <c r="H8114" s="10" t="n">
        <v>90</v>
      </c>
      <c r="I8114" s="10" t="n">
        <v>0</v>
      </c>
      <c r="J8114" s="10" t="n">
        <v>0</v>
      </c>
      <c r="K8114" s="10" t="s">
        <v>20</v>
      </c>
      <c r="L8114" s="11" t="n">
        <v>39556.6892013889</v>
      </c>
      <c r="M8114" s="12" t="s">
        <v>21</v>
      </c>
      <c r="N8114" s="12" t="s">
        <v>16650</v>
      </c>
      <c r="O8114" s="9" t="str">
        <f aca="false">HYPERLINK("https://pbs.twimg.com/profile_images/2383496814/8p8tjkit7a1nmjrarib6_normal.jpeg","View")</f>
        <v>View</v>
      </c>
      <c r="P8114" s="10"/>
    </row>
    <row r="8115" customFormat="false" ht="15.75" hidden="false" customHeight="false" outlineLevel="0" collapsed="false">
      <c r="A8115" s="6" t="n">
        <v>43032.1028472222</v>
      </c>
      <c r="B8115" s="7" t="str">
        <f aca="false">HYPERLINK("https://twitter.com/asiapacifier","@asiapacifier")</f>
        <v>@asiapacifier</v>
      </c>
      <c r="C8115" s="8" t="s">
        <v>17968</v>
      </c>
      <c r="D8115" s="8" t="s">
        <v>17969</v>
      </c>
      <c r="E8115" s="9" t="str">
        <f aca="false">HYPERLINK("https://twitter.com/asiapacifier/status/922756577127534592","922756577127534592")</f>
        <v>922756577127534592</v>
      </c>
      <c r="F8115" s="10" t="s">
        <v>39</v>
      </c>
      <c r="G8115" s="10" t="n">
        <v>26</v>
      </c>
      <c r="H8115" s="10" t="n">
        <v>89</v>
      </c>
      <c r="I8115" s="10" t="n">
        <v>0</v>
      </c>
      <c r="J8115" s="10" t="n">
        <v>0</v>
      </c>
      <c r="K8115" s="10" t="s">
        <v>20</v>
      </c>
      <c r="L8115" s="11" t="n">
        <v>40198.4343055556</v>
      </c>
      <c r="M8115" s="12" t="s">
        <v>3053</v>
      </c>
      <c r="N8115" s="12" t="s">
        <v>17970</v>
      </c>
      <c r="O8115" s="9" t="str">
        <f aca="false">HYPERLINK("https://pbs.twimg.com/profile_images/909084143883112449/thCPG5Q9_normal.jpg","View")</f>
        <v>View</v>
      </c>
      <c r="P8115" s="10"/>
    </row>
    <row r="8116" customFormat="false" ht="15.75" hidden="false" customHeight="false" outlineLevel="0" collapsed="false">
      <c r="A8116" s="6" t="n">
        <v>43032.1055092593</v>
      </c>
      <c r="B8116" s="7" t="str">
        <f aca="false">HYPERLINK("https://twitter.com/asuka_250","@asuka_250")</f>
        <v>@asuka_250</v>
      </c>
      <c r="C8116" s="8" t="s">
        <v>1235</v>
      </c>
      <c r="D8116" s="8" t="s">
        <v>17880</v>
      </c>
      <c r="E8116" s="9" t="str">
        <f aca="false">HYPERLINK("https://twitter.com/asuka_250/status/922757542878441473","922757542878441473")</f>
        <v>922757542878441473</v>
      </c>
      <c r="F8116" s="10" t="s">
        <v>25</v>
      </c>
      <c r="G8116" s="10" t="n">
        <v>30709</v>
      </c>
      <c r="H8116" s="10" t="n">
        <v>30516</v>
      </c>
      <c r="I8116" s="10" t="n">
        <v>27</v>
      </c>
      <c r="J8116" s="10" t="n">
        <v>0</v>
      </c>
      <c r="K8116" s="10" t="s">
        <v>20</v>
      </c>
      <c r="L8116" s="11" t="n">
        <v>41943.1724768519</v>
      </c>
      <c r="M8116" s="12" t="s">
        <v>186</v>
      </c>
      <c r="N8116" s="12" t="s">
        <v>1236</v>
      </c>
      <c r="O8116" s="9" t="str">
        <f aca="false">HYPERLINK("https://pbs.twimg.com/profile_images/576284037486014464/dhYtI1qZ_normal.jpeg","View")</f>
        <v>View</v>
      </c>
      <c r="P8116" s="10"/>
    </row>
    <row r="8117" customFormat="false" ht="15.75" hidden="false" customHeight="false" outlineLevel="0" collapsed="false">
      <c r="A8117" s="6" t="n">
        <v>43032.1055787037</v>
      </c>
      <c r="B8117" s="7" t="str">
        <f aca="false">HYPERLINK("https://twitter.com/ezedozitt21","@ezedozitt21")</f>
        <v>@ezedozitt21</v>
      </c>
      <c r="C8117" s="8" t="s">
        <v>17971</v>
      </c>
      <c r="D8117" s="8" t="s">
        <v>16929</v>
      </c>
      <c r="E8117" s="9" t="str">
        <f aca="false">HYPERLINK("https://twitter.com/ezedozitt21/status/922757567763300352","922757567763300352")</f>
        <v>922757567763300352</v>
      </c>
      <c r="F8117" s="10" t="s">
        <v>25</v>
      </c>
      <c r="G8117" s="10" t="n">
        <v>630</v>
      </c>
      <c r="H8117" s="10" t="n">
        <v>3449</v>
      </c>
      <c r="I8117" s="10" t="n">
        <v>247</v>
      </c>
      <c r="J8117" s="10" t="n">
        <v>0</v>
      </c>
      <c r="K8117" s="10" t="s">
        <v>20</v>
      </c>
      <c r="L8117" s="11" t="n">
        <v>42260.6309606482</v>
      </c>
      <c r="M8117" s="12"/>
      <c r="N8117" s="12" t="s">
        <v>17972</v>
      </c>
      <c r="O8117" s="9" t="str">
        <f aca="false">HYPERLINK("https://pbs.twimg.com/profile_images/922755815945019393/vERBd1mH_normal.jpg","View")</f>
        <v>View</v>
      </c>
      <c r="P8117" s="10"/>
    </row>
    <row r="8118" customFormat="false" ht="15.75" hidden="false" customHeight="false" outlineLevel="0" collapsed="false">
      <c r="A8118" s="6" t="n">
        <v>43032.1056481482</v>
      </c>
      <c r="B8118" s="7" t="str">
        <f aca="false">HYPERLINK("https://twitter.com/BloombergAsia","@BloombergAsia")</f>
        <v>@BloombergAsia</v>
      </c>
      <c r="C8118" s="8" t="s">
        <v>1399</v>
      </c>
      <c r="D8118" s="8" t="s">
        <v>17973</v>
      </c>
      <c r="E8118" s="9" t="str">
        <f aca="false">HYPERLINK("https://twitter.com/BloombergAsia/status/922757591167418369","922757591167418369")</f>
        <v>922757591167418369</v>
      </c>
      <c r="F8118" s="9" t="s">
        <v>198</v>
      </c>
      <c r="G8118" s="10" t="n">
        <v>28824</v>
      </c>
      <c r="H8118" s="10" t="n">
        <v>97</v>
      </c>
      <c r="I8118" s="10" t="n">
        <v>2</v>
      </c>
      <c r="J8118" s="10" t="n">
        <v>2</v>
      </c>
      <c r="K8118" s="10" t="s">
        <v>20</v>
      </c>
      <c r="L8118" s="11" t="n">
        <v>41052.2384837963</v>
      </c>
      <c r="M8118" s="12"/>
      <c r="N8118" s="12" t="s">
        <v>1401</v>
      </c>
      <c r="O8118" s="9" t="str">
        <f aca="false">HYPERLINK("https://pbs.twimg.com/profile_images/778129630284902401/gXjFkqGM_normal.jpg","View")</f>
        <v>View</v>
      </c>
      <c r="P8118" s="10"/>
    </row>
    <row r="8119" customFormat="false" ht="15.75" hidden="false" customHeight="false" outlineLevel="0" collapsed="false">
      <c r="A8119" s="6" t="n">
        <v>43032.1057638889</v>
      </c>
      <c r="B8119" s="7" t="str">
        <f aca="false">HYPERLINK("https://twitter.com/bpolitics","@bpolitics")</f>
        <v>@bpolitics</v>
      </c>
      <c r="C8119" s="8" t="s">
        <v>266</v>
      </c>
      <c r="D8119" s="8" t="s">
        <v>17974</v>
      </c>
      <c r="E8119" s="9" t="str">
        <f aca="false">HYPERLINK("https://twitter.com/bpolitics/status/922757632850456576","922757632850456576")</f>
        <v>922757632850456576</v>
      </c>
      <c r="F8119" s="9" t="s">
        <v>198</v>
      </c>
      <c r="G8119" s="10" t="n">
        <v>221392</v>
      </c>
      <c r="H8119" s="10" t="n">
        <v>868</v>
      </c>
      <c r="I8119" s="10" t="n">
        <v>12</v>
      </c>
      <c r="J8119" s="10" t="n">
        <v>7</v>
      </c>
      <c r="K8119" s="10" t="s">
        <v>20</v>
      </c>
      <c r="L8119" s="11" t="n">
        <v>41025.576400463</v>
      </c>
      <c r="M8119" s="12"/>
      <c r="N8119" s="12" t="s">
        <v>269</v>
      </c>
      <c r="O8119" s="9" t="str">
        <f aca="false">HYPERLINK("https://pbs.twimg.com/profile_images/714804098890133504/cUO4gD1A_normal.jpg","View")</f>
        <v>View</v>
      </c>
      <c r="P8119" s="10"/>
    </row>
    <row r="8120" customFormat="false" ht="15.75" hidden="false" customHeight="false" outlineLevel="0" collapsed="false">
      <c r="A8120" s="6" t="n">
        <v>43032.1063310185</v>
      </c>
      <c r="B8120" s="7" t="str">
        <f aca="false">HYPERLINK("https://twitter.com/yvfk116","@yvfk116")</f>
        <v>@yvfk116</v>
      </c>
      <c r="C8120" s="14" t="s">
        <v>17975</v>
      </c>
      <c r="D8120" s="8" t="s">
        <v>17880</v>
      </c>
      <c r="E8120" s="9" t="str">
        <f aca="false">HYPERLINK("https://twitter.com/yvfk116/status/922757837876428800","922757837876428800")</f>
        <v>922757837876428800</v>
      </c>
      <c r="F8120" s="10" t="s">
        <v>39</v>
      </c>
      <c r="G8120" s="10" t="n">
        <v>248</v>
      </c>
      <c r="H8120" s="10" t="n">
        <v>426</v>
      </c>
      <c r="I8120" s="10" t="n">
        <v>27</v>
      </c>
      <c r="J8120" s="10" t="n">
        <v>0</v>
      </c>
      <c r="K8120" s="10" t="s">
        <v>20</v>
      </c>
      <c r="L8120" s="11" t="n">
        <v>42824.7619675926</v>
      </c>
      <c r="M8120" s="12"/>
      <c r="N8120" s="12"/>
      <c r="O8120" s="9" t="str">
        <f aca="false">HYPERLINK("https://pbs.twimg.com/profile_images/910771414331924481/mXFPl_l__normal.jpg","View")</f>
        <v>View</v>
      </c>
      <c r="P8120" s="10"/>
    </row>
    <row r="8121" customFormat="false" ht="15.75" hidden="false" customHeight="false" outlineLevel="0" collapsed="false">
      <c r="A8121" s="6" t="n">
        <v>43032.1065393519</v>
      </c>
      <c r="B8121" s="7" t="str">
        <f aca="false">HYPERLINK("https://twitter.com/sitifatimahnet","@sitifatimahnet")</f>
        <v>@sitifatimahnet</v>
      </c>
      <c r="C8121" s="8" t="s">
        <v>11184</v>
      </c>
      <c r="D8121" s="8" t="s">
        <v>17976</v>
      </c>
      <c r="E8121" s="9" t="str">
        <f aca="false">HYPERLINK("https://twitter.com/sitifatimahnet/status/922757914359664641","922757914359664641")</f>
        <v>922757914359664641</v>
      </c>
      <c r="F8121" s="10" t="s">
        <v>60</v>
      </c>
      <c r="G8121" s="10" t="n">
        <v>312</v>
      </c>
      <c r="H8121" s="10" t="n">
        <v>27</v>
      </c>
      <c r="I8121" s="10" t="n">
        <v>0</v>
      </c>
      <c r="J8121" s="10" t="n">
        <v>0</v>
      </c>
      <c r="K8121" s="10" t="s">
        <v>20</v>
      </c>
      <c r="L8121" s="11" t="n">
        <v>42698.4371990741</v>
      </c>
      <c r="M8121" s="12" t="s">
        <v>11186</v>
      </c>
      <c r="N8121" s="12" t="s">
        <v>11187</v>
      </c>
      <c r="O8121" s="9" t="str">
        <f aca="false">HYPERLINK("https://pbs.twimg.com/profile_images/897683241594912769/-rSDzg9T_normal.jpg","View")</f>
        <v>View</v>
      </c>
      <c r="P8121" s="10"/>
    </row>
    <row r="8122" customFormat="false" ht="15.75" hidden="false" customHeight="false" outlineLevel="0" collapsed="false">
      <c r="A8122" s="6" t="n">
        <v>43032.1081597222</v>
      </c>
      <c r="B8122" s="7" t="str">
        <f aca="false">HYPERLINK("https://twitter.com/IAmJoeTrudeau","@IAmJoeTrudeau")</f>
        <v>@IAmJoeTrudeau</v>
      </c>
      <c r="C8122" s="8" t="s">
        <v>17977</v>
      </c>
      <c r="D8122" s="8" t="s">
        <v>17978</v>
      </c>
      <c r="E8122" s="9" t="str">
        <f aca="false">HYPERLINK("https://twitter.com/IAmJoeTrudeau/status/922758502958764033","922758502958764033")</f>
        <v>922758502958764033</v>
      </c>
      <c r="F8122" s="10" t="s">
        <v>177</v>
      </c>
      <c r="G8122" s="10" t="n">
        <v>31721</v>
      </c>
      <c r="H8122" s="10" t="n">
        <v>2735</v>
      </c>
      <c r="I8122" s="10" t="n">
        <v>12</v>
      </c>
      <c r="J8122" s="10" t="n">
        <v>0</v>
      </c>
      <c r="K8122" s="10" t="s">
        <v>20</v>
      </c>
      <c r="L8122" s="11" t="n">
        <v>42780.7810763889</v>
      </c>
      <c r="M8122" s="12" t="s">
        <v>4050</v>
      </c>
      <c r="N8122" s="12" t="s">
        <v>17979</v>
      </c>
      <c r="O8122" s="9" t="str">
        <f aca="false">HYPERLINK("https://pbs.twimg.com/profile_images/897162932470992896/ux4IX8w4_normal.jpg","View")</f>
        <v>View</v>
      </c>
      <c r="P8122" s="10"/>
    </row>
    <row r="8123" customFormat="false" ht="15.75" hidden="false" customHeight="false" outlineLevel="0" collapsed="false">
      <c r="A8123" s="6" t="n">
        <v>43032.1094791667</v>
      </c>
      <c r="B8123" s="7" t="str">
        <f aca="false">HYPERLINK("https://twitter.com/NiliMajumder","@NiliMajumder")</f>
        <v>@NiliMajumder</v>
      </c>
      <c r="C8123" s="8" t="s">
        <v>17980</v>
      </c>
      <c r="D8123" s="8" t="s">
        <v>15821</v>
      </c>
      <c r="E8123" s="9" t="str">
        <f aca="false">HYPERLINK("https://twitter.com/NiliMajumder/status/922758981889622016","922758981889622016")</f>
        <v>922758981889622016</v>
      </c>
      <c r="F8123" s="10" t="s">
        <v>39</v>
      </c>
      <c r="G8123" s="10" t="n">
        <v>25993</v>
      </c>
      <c r="H8123" s="10" t="n">
        <v>3868</v>
      </c>
      <c r="I8123" s="10" t="n">
        <v>41</v>
      </c>
      <c r="J8123" s="10" t="n">
        <v>0</v>
      </c>
      <c r="K8123" s="10" t="s">
        <v>20</v>
      </c>
      <c r="L8123" s="11" t="n">
        <v>40828.3871643519</v>
      </c>
      <c r="M8123" s="12"/>
      <c r="N8123" s="12" t="s">
        <v>17981</v>
      </c>
      <c r="O8123" s="9" t="str">
        <f aca="false">HYPERLINK("https://pbs.twimg.com/profile_images/861620741472636928/RCERE6jw_normal.jpg","View")</f>
        <v>View</v>
      </c>
      <c r="P8123" s="10"/>
    </row>
    <row r="8124" customFormat="false" ht="15.75" hidden="false" customHeight="false" outlineLevel="0" collapsed="false">
      <c r="A8124" s="6" t="n">
        <v>43032.1100578704</v>
      </c>
      <c r="B8124" s="7" t="str">
        <f aca="false">HYPERLINK("https://twitter.com/Hayleyjd01","@Hayleyjd01")</f>
        <v>@Hayleyjd01</v>
      </c>
      <c r="C8124" s="8" t="s">
        <v>17982</v>
      </c>
      <c r="D8124" s="8" t="s">
        <v>17978</v>
      </c>
      <c r="E8124" s="9" t="str">
        <f aca="false">HYPERLINK("https://twitter.com/Hayleyjd01/status/922759187955937280","922759187955937280")</f>
        <v>922759187955937280</v>
      </c>
      <c r="F8124" s="10" t="s">
        <v>25</v>
      </c>
      <c r="G8124" s="10" t="n">
        <v>90</v>
      </c>
      <c r="H8124" s="10" t="n">
        <v>5002</v>
      </c>
      <c r="I8124" s="10" t="n">
        <v>12</v>
      </c>
      <c r="J8124" s="10" t="n">
        <v>0</v>
      </c>
      <c r="K8124" s="10" t="s">
        <v>20</v>
      </c>
      <c r="L8124" s="11" t="n">
        <v>40889.739837963</v>
      </c>
      <c r="M8124" s="12" t="s">
        <v>17983</v>
      </c>
      <c r="N8124" s="12" t="s">
        <v>17984</v>
      </c>
      <c r="O8124" s="9" t="str">
        <f aca="false">HYPERLINK("https://pbs.twimg.com/profile_images/743392224302473216/MWajZuiK_normal.jpg","View")</f>
        <v>View</v>
      </c>
      <c r="P8124" s="10"/>
    </row>
    <row r="8125" customFormat="false" ht="15.75" hidden="false" customHeight="false" outlineLevel="0" collapsed="false">
      <c r="A8125" s="6" t="n">
        <v>43032.1103125</v>
      </c>
      <c r="B8125" s="7" t="str">
        <f aca="false">HYPERLINK("https://twitter.com/lI_Gattopardo","@lI_Gattopardo")</f>
        <v>@lI_Gattopardo</v>
      </c>
      <c r="C8125" s="8" t="s">
        <v>17985</v>
      </c>
      <c r="D8125" s="8" t="s">
        <v>17880</v>
      </c>
      <c r="E8125" s="9" t="str">
        <f aca="false">HYPERLINK("https://twitter.com/lI_Gattopardo/status/922759281736278017","922759281736278017")</f>
        <v>922759281736278017</v>
      </c>
      <c r="F8125" s="10" t="s">
        <v>39</v>
      </c>
      <c r="G8125" s="10" t="n">
        <v>280</v>
      </c>
      <c r="H8125" s="10" t="n">
        <v>365</v>
      </c>
      <c r="I8125" s="10" t="n">
        <v>27</v>
      </c>
      <c r="J8125" s="10" t="n">
        <v>0</v>
      </c>
      <c r="K8125" s="10" t="s">
        <v>20</v>
      </c>
      <c r="L8125" s="11" t="n">
        <v>42483.7484143519</v>
      </c>
      <c r="M8125" s="13" t="s">
        <v>17986</v>
      </c>
      <c r="N8125" s="13" t="s">
        <v>17987</v>
      </c>
      <c r="O8125" s="9" t="str">
        <f aca="false">HYPERLINK("https://pbs.twimg.com/profile_images/868629468729950208/NWEyze-D_normal.jpg","View")</f>
        <v>View</v>
      </c>
      <c r="P8125" s="10"/>
    </row>
    <row r="8126" customFormat="false" ht="15.75" hidden="false" customHeight="false" outlineLevel="0" collapsed="false">
      <c r="A8126" s="6" t="n">
        <v>43032.1112731482</v>
      </c>
      <c r="B8126" s="7" t="str">
        <f aca="false">HYPERLINK("https://twitter.com/davidke08674589","@davidke08674589")</f>
        <v>@davidke08674589</v>
      </c>
      <c r="C8126" s="8" t="s">
        <v>17988</v>
      </c>
      <c r="D8126" s="8" t="s">
        <v>16929</v>
      </c>
      <c r="E8126" s="9" t="str">
        <f aca="false">HYPERLINK("https://twitter.com/davidke08674589/status/922759628118724608","922759628118724608")</f>
        <v>922759628118724608</v>
      </c>
      <c r="F8126" s="10" t="s">
        <v>39</v>
      </c>
      <c r="G8126" s="10" t="n">
        <v>77</v>
      </c>
      <c r="H8126" s="10" t="n">
        <v>141</v>
      </c>
      <c r="I8126" s="10" t="n">
        <v>247</v>
      </c>
      <c r="J8126" s="10" t="n">
        <v>0</v>
      </c>
      <c r="K8126" s="10" t="s">
        <v>20</v>
      </c>
      <c r="L8126" s="11" t="n">
        <v>42461.5023842593</v>
      </c>
      <c r="M8126" s="12" t="s">
        <v>17989</v>
      </c>
      <c r="N8126" s="12" t="s">
        <v>17990</v>
      </c>
      <c r="O8126" s="9" t="str">
        <f aca="false">HYPERLINK("https://pbs.twimg.com/profile_images/730490662211227648/5VK6kQQN_normal.jpg","View")</f>
        <v>View</v>
      </c>
      <c r="P8126" s="10"/>
    </row>
    <row r="8127" customFormat="false" ht="15.75" hidden="false" customHeight="false" outlineLevel="0" collapsed="false">
      <c r="A8127" s="6" t="n">
        <v>43032.112650463</v>
      </c>
      <c r="B8127" s="7" t="str">
        <f aca="false">HYPERLINK("https://twitter.com/joshua_chung","@joshua_chung")</f>
        <v>@joshua_chung</v>
      </c>
      <c r="C8127" s="8" t="s">
        <v>17991</v>
      </c>
      <c r="D8127" s="8" t="s">
        <v>16929</v>
      </c>
      <c r="E8127" s="9" t="str">
        <f aca="false">HYPERLINK("https://twitter.com/joshua_chung/status/922760130206109697","922760130206109697")</f>
        <v>922760130206109697</v>
      </c>
      <c r="F8127" s="10" t="s">
        <v>39</v>
      </c>
      <c r="G8127" s="10" t="n">
        <v>102</v>
      </c>
      <c r="H8127" s="10" t="n">
        <v>313</v>
      </c>
      <c r="I8127" s="10" t="n">
        <v>247</v>
      </c>
      <c r="J8127" s="10" t="n">
        <v>0</v>
      </c>
      <c r="K8127" s="10" t="s">
        <v>20</v>
      </c>
      <c r="L8127" s="11" t="n">
        <v>41565.3034953704</v>
      </c>
      <c r="M8127" s="12"/>
      <c r="N8127" s="12"/>
      <c r="O8127" s="9" t="str">
        <f aca="false">HYPERLINK("https://pbs.twimg.com/profile_images/378800000808223520/918bcfe5ec62cf46d972e2f361dad484_normal.jpeg","View")</f>
        <v>View</v>
      </c>
      <c r="P8127" s="10"/>
    </row>
    <row r="8128" customFormat="false" ht="15.75" hidden="false" customHeight="false" outlineLevel="0" collapsed="false">
      <c r="A8128" s="6" t="n">
        <v>43032.1139351852</v>
      </c>
      <c r="B8128" s="7" t="str">
        <f aca="false">HYPERLINK("https://twitter.com/varun18vijay","@varun18vijay")</f>
        <v>@varun18vijay</v>
      </c>
      <c r="C8128" s="8" t="s">
        <v>17992</v>
      </c>
      <c r="D8128" s="8" t="s">
        <v>13661</v>
      </c>
      <c r="E8128" s="9" t="str">
        <f aca="false">HYPERLINK("https://twitter.com/varun18vijay/status/922760592720400386","922760592720400386")</f>
        <v>922760592720400386</v>
      </c>
      <c r="F8128" s="10" t="s">
        <v>1289</v>
      </c>
      <c r="G8128" s="10" t="n">
        <v>12666</v>
      </c>
      <c r="H8128" s="10" t="n">
        <v>3212</v>
      </c>
      <c r="I8128" s="10" t="n">
        <v>7</v>
      </c>
      <c r="J8128" s="10" t="n">
        <v>0</v>
      </c>
      <c r="K8128" s="10" t="s">
        <v>20</v>
      </c>
      <c r="L8128" s="11" t="n">
        <v>40384.077974537</v>
      </c>
      <c r="M8128" s="12" t="s">
        <v>8668</v>
      </c>
      <c r="N8128" s="12" t="s">
        <v>17993</v>
      </c>
      <c r="O8128" s="9" t="str">
        <f aca="false">HYPERLINK("https://pbs.twimg.com/profile_images/523822389956579328/0uculmR1_normal.jpeg","View")</f>
        <v>View</v>
      </c>
      <c r="P8128" s="10"/>
    </row>
    <row r="8129" customFormat="false" ht="15.75" hidden="false" customHeight="false" outlineLevel="0" collapsed="false">
      <c r="A8129" s="6" t="n">
        <v>43032.1166435185</v>
      </c>
      <c r="B8129" s="7" t="str">
        <f aca="false">HYPERLINK("https://twitter.com/otwdlver","@otwdlver")</f>
        <v>@otwdlver</v>
      </c>
      <c r="C8129" s="8" t="s">
        <v>17994</v>
      </c>
      <c r="D8129" s="8" t="s">
        <v>17978</v>
      </c>
      <c r="E8129" s="9" t="str">
        <f aca="false">HYPERLINK("https://twitter.com/otwdlver/status/922761575399874560","922761575399874560")</f>
        <v>922761575399874560</v>
      </c>
      <c r="F8129" s="10" t="s">
        <v>25</v>
      </c>
      <c r="G8129" s="10" t="n">
        <v>86</v>
      </c>
      <c r="H8129" s="10" t="n">
        <v>4512</v>
      </c>
      <c r="I8129" s="10" t="n">
        <v>12</v>
      </c>
      <c r="J8129" s="10" t="n">
        <v>0</v>
      </c>
      <c r="K8129" s="10" t="s">
        <v>20</v>
      </c>
      <c r="L8129" s="11" t="n">
        <v>41740.6018981481</v>
      </c>
      <c r="M8129" s="12" t="s">
        <v>12622</v>
      </c>
      <c r="N8129" s="12" t="s">
        <v>17995</v>
      </c>
      <c r="O8129" s="9" t="str">
        <f aca="false">HYPERLINK("https://pbs.twimg.com/profile_images/750410740255916033/baFFeu1e_normal.jpg","View")</f>
        <v>View</v>
      </c>
      <c r="P8129" s="10"/>
    </row>
    <row r="8130" customFormat="false" ht="15.75" hidden="false" customHeight="false" outlineLevel="0" collapsed="false">
      <c r="A8130" s="6" t="n">
        <v>43032.1185185185</v>
      </c>
      <c r="B8130" s="7" t="str">
        <f aca="false">HYPERLINK("https://twitter.com/LallyFloyd","@LallyFloyd")</f>
        <v>@LallyFloyd</v>
      </c>
      <c r="C8130" s="8" t="s">
        <v>17996</v>
      </c>
      <c r="D8130" s="8" t="s">
        <v>17978</v>
      </c>
      <c r="E8130" s="9" t="str">
        <f aca="false">HYPERLINK("https://twitter.com/LallyFloyd/status/922762255061708800","922762255061708800")</f>
        <v>922762255061708800</v>
      </c>
      <c r="F8130" s="10" t="s">
        <v>25</v>
      </c>
      <c r="G8130" s="10" t="n">
        <v>79</v>
      </c>
      <c r="H8130" s="10" t="n">
        <v>3560</v>
      </c>
      <c r="I8130" s="10" t="n">
        <v>12</v>
      </c>
      <c r="J8130" s="10" t="n">
        <v>0</v>
      </c>
      <c r="K8130" s="10" t="s">
        <v>20</v>
      </c>
      <c r="L8130" s="11" t="n">
        <v>41741.7066550926</v>
      </c>
      <c r="M8130" s="12" t="s">
        <v>17997</v>
      </c>
      <c r="N8130" s="12" t="s">
        <v>17998</v>
      </c>
      <c r="O8130" s="9" t="str">
        <f aca="false">HYPERLINK("https://pbs.twimg.com/profile_images/750411107760742402/QSKqP3LR_normal.jpg","View")</f>
        <v>View</v>
      </c>
      <c r="P8130" s="10"/>
    </row>
    <row r="8131" customFormat="false" ht="15.75" hidden="false" customHeight="false" outlineLevel="0" collapsed="false">
      <c r="A8131" s="6" t="n">
        <v>43032.1200115741</v>
      </c>
      <c r="B8131" s="7" t="str">
        <f aca="false">HYPERLINK("https://twitter.com/bronlslavak","@bronlslavak")</f>
        <v>@bronlslavak</v>
      </c>
      <c r="C8131" s="8" t="s">
        <v>17999</v>
      </c>
      <c r="D8131" s="8" t="s">
        <v>17978</v>
      </c>
      <c r="E8131" s="9" t="str">
        <f aca="false">HYPERLINK("https://twitter.com/bronlslavak/status/922762798102401024","922762798102401024")</f>
        <v>922762798102401024</v>
      </c>
      <c r="F8131" s="10" t="s">
        <v>25</v>
      </c>
      <c r="G8131" s="10" t="n">
        <v>56</v>
      </c>
      <c r="H8131" s="10" t="n">
        <v>4339</v>
      </c>
      <c r="I8131" s="10" t="n">
        <v>12</v>
      </c>
      <c r="J8131" s="10" t="n">
        <v>0</v>
      </c>
      <c r="K8131" s="10" t="s">
        <v>20</v>
      </c>
      <c r="L8131" s="11" t="n">
        <v>41084.3836458333</v>
      </c>
      <c r="M8131" s="12"/>
      <c r="N8131" s="12" t="s">
        <v>18000</v>
      </c>
      <c r="O8131" s="9" t="str">
        <f aca="false">HYPERLINK("https://pbs.twimg.com/profile_images/749314952477937664/2d65giZU_normal.jpg","View")</f>
        <v>View</v>
      </c>
      <c r="P8131" s="10"/>
    </row>
    <row r="8132" customFormat="false" ht="15.75" hidden="false" customHeight="false" outlineLevel="0" collapsed="false">
      <c r="A8132" s="6" t="n">
        <v>43032.1240740741</v>
      </c>
      <c r="B8132" s="7" t="str">
        <f aca="false">HYPERLINK("https://twitter.com/RealKikoMedlna","@RealKikoMedlna")</f>
        <v>@RealKikoMedlna</v>
      </c>
      <c r="C8132" s="8" t="s">
        <v>18001</v>
      </c>
      <c r="D8132" s="8" t="s">
        <v>17978</v>
      </c>
      <c r="E8132" s="9" t="str">
        <f aca="false">HYPERLINK("https://twitter.com/RealKikoMedlna/status/922764268969385984","922764268969385984")</f>
        <v>922764268969385984</v>
      </c>
      <c r="F8132" s="10" t="s">
        <v>25</v>
      </c>
      <c r="G8132" s="10" t="n">
        <v>34</v>
      </c>
      <c r="H8132" s="10" t="n">
        <v>1392</v>
      </c>
      <c r="I8132" s="10" t="n">
        <v>12</v>
      </c>
      <c r="J8132" s="10" t="n">
        <v>0</v>
      </c>
      <c r="K8132" s="10" t="s">
        <v>20</v>
      </c>
      <c r="L8132" s="11" t="n">
        <v>41084.5566203704</v>
      </c>
      <c r="M8132" s="12" t="s">
        <v>18002</v>
      </c>
      <c r="N8132" s="12" t="s">
        <v>18003</v>
      </c>
      <c r="O8132" s="9" t="str">
        <f aca="false">HYPERLINK("https://pbs.twimg.com/profile_images/764415369473843200/CUXJW_nJ_normal.jpg","View")</f>
        <v>View</v>
      </c>
      <c r="P8132" s="10"/>
    </row>
    <row r="8133" customFormat="false" ht="15.75" hidden="false" customHeight="false" outlineLevel="0" collapsed="false">
      <c r="A8133" s="6" t="n">
        <v>43032.1250925926</v>
      </c>
      <c r="B8133" s="7" t="str">
        <f aca="false">HYPERLINK("https://twitter.com/orientexpressgu","@orientexpressgu")</f>
        <v>@orientexpressgu</v>
      </c>
      <c r="C8133" s="8" t="s">
        <v>18004</v>
      </c>
      <c r="D8133" s="8" t="s">
        <v>18005</v>
      </c>
      <c r="E8133" s="9" t="str">
        <f aca="false">HYPERLINK("https://twitter.com/orientexpressgu/status/922764636818169858","922764636818169858")</f>
        <v>922764636818169858</v>
      </c>
      <c r="F8133" s="10" t="s">
        <v>39</v>
      </c>
      <c r="G8133" s="10" t="n">
        <v>593</v>
      </c>
      <c r="H8133" s="10" t="n">
        <v>515</v>
      </c>
      <c r="I8133" s="10" t="n">
        <v>0</v>
      </c>
      <c r="J8133" s="10" t="n">
        <v>0</v>
      </c>
      <c r="K8133" s="10" t="s">
        <v>20</v>
      </c>
      <c r="L8133" s="11" t="n">
        <v>40849.3688888889</v>
      </c>
      <c r="M8133" s="12" t="s">
        <v>18006</v>
      </c>
      <c r="N8133" s="12" t="s">
        <v>18007</v>
      </c>
      <c r="O8133" s="9" t="str">
        <f aca="false">HYPERLINK("https://pbs.twimg.com/profile_images/644089196156579840/DYrkrVfs_normal.jpg","View")</f>
        <v>View</v>
      </c>
      <c r="P8133" s="10"/>
    </row>
    <row r="8134" customFormat="false" ht="15.75" hidden="false" customHeight="false" outlineLevel="0" collapsed="false">
      <c r="A8134" s="6" t="n">
        <v>43032.128587963</v>
      </c>
      <c r="B8134" s="7" t="str">
        <f aca="false">HYPERLINK("https://twitter.com/OSKempawad","@OSKempawad")</f>
        <v>@OSKempawad</v>
      </c>
      <c r="C8134" s="8" t="s">
        <v>18008</v>
      </c>
      <c r="D8134" s="8" t="s">
        <v>8538</v>
      </c>
      <c r="E8134" s="9" t="str">
        <f aca="false">HYPERLINK("https://twitter.com/OSKempawad/status/922765902923345920","922765902923345920")</f>
        <v>922765902923345920</v>
      </c>
      <c r="F8134" s="10" t="s">
        <v>25</v>
      </c>
      <c r="G8134" s="10" t="n">
        <v>21</v>
      </c>
      <c r="H8134" s="10" t="n">
        <v>164</v>
      </c>
      <c r="I8134" s="10" t="n">
        <v>1015</v>
      </c>
      <c r="J8134" s="10" t="n">
        <v>0</v>
      </c>
      <c r="K8134" s="10" t="s">
        <v>20</v>
      </c>
      <c r="L8134" s="11" t="n">
        <v>42789.5286574074</v>
      </c>
      <c r="M8134" s="12" t="s">
        <v>6713</v>
      </c>
      <c r="N8134" s="12" t="s">
        <v>18009</v>
      </c>
      <c r="O8134" s="9" t="str">
        <f aca="false">HYPERLINK("https://pbs.twimg.com/profile_images/835132780610732032/PFk8k00D_normal.jpg","View")</f>
        <v>View</v>
      </c>
      <c r="P8134" s="10"/>
    </row>
    <row r="8135" customFormat="false" ht="15.75" hidden="false" customHeight="false" outlineLevel="0" collapsed="false">
      <c r="A8135" s="6" t="n">
        <v>43032.1295023148</v>
      </c>
      <c r="B8135" s="7" t="str">
        <f aca="false">HYPERLINK("https://twitter.com/JNilssonWright","@JNilssonWright")</f>
        <v>@JNilssonWright</v>
      </c>
      <c r="C8135" s="8" t="s">
        <v>1830</v>
      </c>
      <c r="D8135" s="8" t="s">
        <v>18010</v>
      </c>
      <c r="E8135" s="9" t="str">
        <f aca="false">HYPERLINK("https://twitter.com/JNilssonWright/status/922766237310111744","922766237310111744")</f>
        <v>922766237310111744</v>
      </c>
      <c r="F8135" s="10" t="s">
        <v>39</v>
      </c>
      <c r="G8135" s="10" t="n">
        <v>1311</v>
      </c>
      <c r="H8135" s="10" t="n">
        <v>925</v>
      </c>
      <c r="I8135" s="10" t="n">
        <v>3</v>
      </c>
      <c r="J8135" s="10" t="n">
        <v>8</v>
      </c>
      <c r="K8135" s="10" t="s">
        <v>20</v>
      </c>
      <c r="L8135" s="11" t="n">
        <v>39967.7257407407</v>
      </c>
      <c r="M8135" s="12" t="s">
        <v>1832</v>
      </c>
      <c r="N8135" s="12" t="s">
        <v>1833</v>
      </c>
      <c r="O8135" s="9" t="str">
        <f aca="false">HYPERLINK("https://pbs.twimg.com/profile_images/651470531213021184/YGCR7BrJ_normal.jpg","View")</f>
        <v>View</v>
      </c>
      <c r="P8135" s="10"/>
    </row>
    <row r="8136" customFormat="false" ht="15.75" hidden="false" customHeight="false" outlineLevel="0" collapsed="false">
      <c r="A8136" s="6" t="n">
        <v>43032.1307986111</v>
      </c>
      <c r="B8136" s="7" t="str">
        <f aca="false">HYPERLINK("https://twitter.com/krunox123","@krunox123")</f>
        <v>@krunox123</v>
      </c>
      <c r="C8136" s="8" t="s">
        <v>1049</v>
      </c>
      <c r="D8136" s="8" t="s">
        <v>17096</v>
      </c>
      <c r="E8136" s="9" t="str">
        <f aca="false">HYPERLINK("https://twitter.com/krunox123/status/922766706388463616","922766706388463616")</f>
        <v>922766706388463616</v>
      </c>
      <c r="F8136" s="10" t="s">
        <v>60</v>
      </c>
      <c r="G8136" s="10" t="n">
        <v>10225</v>
      </c>
      <c r="H8136" s="10" t="n">
        <v>2</v>
      </c>
      <c r="I8136" s="10" t="n">
        <v>0</v>
      </c>
      <c r="J8136" s="10" t="n">
        <v>0</v>
      </c>
      <c r="K8136" s="10" t="s">
        <v>20</v>
      </c>
      <c r="L8136" s="11" t="n">
        <v>40938.2278935185</v>
      </c>
      <c r="M8136" s="12" t="s">
        <v>1051</v>
      </c>
      <c r="N8136" s="12" t="s">
        <v>1052</v>
      </c>
      <c r="O8136" s="9" t="str">
        <f aca="false">HYPERLINK("https://pbs.twimg.com/profile_images/824952382618349568/2SFIkM2x_normal.jpg","View")</f>
        <v>View</v>
      </c>
      <c r="P8136" s="10"/>
    </row>
    <row r="8137" customFormat="false" ht="15.75" hidden="false" customHeight="false" outlineLevel="0" collapsed="false">
      <c r="A8137" s="6" t="n">
        <v>43032.1312615741</v>
      </c>
      <c r="B8137" s="7" t="str">
        <f aca="false">HYPERLINK("https://twitter.com/hikosaemon","@hikosaemon")</f>
        <v>@hikosaemon</v>
      </c>
      <c r="C8137" s="8" t="s">
        <v>18011</v>
      </c>
      <c r="D8137" s="8" t="s">
        <v>18012</v>
      </c>
      <c r="E8137" s="9" t="str">
        <f aca="false">HYPERLINK("https://twitter.com/hikosaemon/status/922766874718457857","922766874718457857")</f>
        <v>922766874718457857</v>
      </c>
      <c r="F8137" s="10" t="s">
        <v>1167</v>
      </c>
      <c r="G8137" s="10" t="n">
        <v>10874</v>
      </c>
      <c r="H8137" s="10" t="n">
        <v>6717</v>
      </c>
      <c r="I8137" s="10" t="n">
        <v>0</v>
      </c>
      <c r="J8137" s="10" t="n">
        <v>0</v>
      </c>
      <c r="K8137" s="10" t="s">
        <v>20</v>
      </c>
      <c r="L8137" s="11" t="n">
        <v>39933.0293634259</v>
      </c>
      <c r="M8137" s="12" t="s">
        <v>1473</v>
      </c>
      <c r="N8137" s="12" t="s">
        <v>18013</v>
      </c>
      <c r="O8137" s="9" t="str">
        <f aca="false">HYPERLINK("https://pbs.twimg.com/profile_images/667341467203993600/K4ONEP4k_normal.png","View")</f>
        <v>View</v>
      </c>
      <c r="P8137" s="10"/>
    </row>
    <row r="8138" customFormat="false" ht="15.75" hidden="false" customHeight="false" outlineLevel="0" collapsed="false">
      <c r="A8138" s="6" t="n">
        <v>43032.1333680556</v>
      </c>
      <c r="B8138" s="7" t="str">
        <f aca="false">HYPERLINK("https://twitter.com/wdkblogger","@wdkblogger")</f>
        <v>@wdkblogger</v>
      </c>
      <c r="C8138" s="8" t="s">
        <v>18014</v>
      </c>
      <c r="D8138" s="8" t="s">
        <v>16929</v>
      </c>
      <c r="E8138" s="9" t="str">
        <f aca="false">HYPERLINK("https://twitter.com/wdkblogger/status/922767638887063553","922767638887063553")</f>
        <v>922767638887063553</v>
      </c>
      <c r="F8138" s="10" t="s">
        <v>25</v>
      </c>
      <c r="G8138" s="10" t="n">
        <v>865</v>
      </c>
      <c r="H8138" s="10" t="n">
        <v>1493</v>
      </c>
      <c r="I8138" s="10" t="n">
        <v>247</v>
      </c>
      <c r="J8138" s="10" t="n">
        <v>0</v>
      </c>
      <c r="K8138" s="10" t="s">
        <v>20</v>
      </c>
      <c r="L8138" s="11" t="n">
        <v>39961.2689236111</v>
      </c>
      <c r="M8138" s="12" t="s">
        <v>7673</v>
      </c>
      <c r="N8138" s="12" t="s">
        <v>18015</v>
      </c>
      <c r="O8138" s="9" t="str">
        <f aca="false">HYPERLINK("https://pbs.twimg.com/profile_images/667770381395230720/QVMhfzPy_normal.png","View")</f>
        <v>View</v>
      </c>
      <c r="P8138" s="10"/>
    </row>
    <row r="8139" customFormat="false" ht="15.75" hidden="false" customHeight="false" outlineLevel="0" collapsed="false">
      <c r="A8139" s="6" t="n">
        <v>43032.1341087963</v>
      </c>
      <c r="B8139" s="7" t="str">
        <f aca="false">HYPERLINK("https://twitter.com/TNbbZJBe4VrJgyG","@TNbbZJBe4VrJgyG")</f>
        <v>@TNbbZJBe4VrJgyG</v>
      </c>
      <c r="C8139" s="8" t="s">
        <v>18016</v>
      </c>
      <c r="D8139" s="8" t="s">
        <v>17880</v>
      </c>
      <c r="E8139" s="9" t="str">
        <f aca="false">HYPERLINK("https://twitter.com/TNbbZJBe4VrJgyG/status/922767905304993792","922767905304993792")</f>
        <v>922767905304993792</v>
      </c>
      <c r="F8139" s="10" t="s">
        <v>39</v>
      </c>
      <c r="G8139" s="10" t="n">
        <v>22</v>
      </c>
      <c r="H8139" s="10" t="n">
        <v>0</v>
      </c>
      <c r="I8139" s="10" t="n">
        <v>27</v>
      </c>
      <c r="J8139" s="10" t="n">
        <v>0</v>
      </c>
      <c r="K8139" s="10" t="s">
        <v>20</v>
      </c>
      <c r="L8139" s="11" t="n">
        <v>42999.1235185185</v>
      </c>
      <c r="M8139" s="12"/>
      <c r="N8139" s="12"/>
      <c r="O8139" s="9" t="str">
        <f aca="false">HYPERLINK("https://abs.twimg.com/sticky/default_profile_images/default_profile_normal.png","View")</f>
        <v>View</v>
      </c>
      <c r="P8139" s="10"/>
    </row>
    <row r="8140" customFormat="false" ht="15.75" hidden="false" customHeight="false" outlineLevel="0" collapsed="false">
      <c r="A8140" s="6" t="n">
        <v>43032.1362962963</v>
      </c>
      <c r="B8140" s="7" t="str">
        <f aca="false">HYPERLINK("https://twitter.com/business","@business")</f>
        <v>@business</v>
      </c>
      <c r="C8140" s="8" t="s">
        <v>196</v>
      </c>
      <c r="D8140" s="8" t="s">
        <v>18017</v>
      </c>
      <c r="E8140" s="9" t="str">
        <f aca="false">HYPERLINK("https://twitter.com/business/status/922768700167675904","922768700167675904")</f>
        <v>922768700167675904</v>
      </c>
      <c r="F8140" s="9" t="s">
        <v>198</v>
      </c>
      <c r="G8140" s="10" t="n">
        <v>4344210</v>
      </c>
      <c r="H8140" s="10" t="n">
        <v>1088</v>
      </c>
      <c r="I8140" s="10" t="n">
        <v>18</v>
      </c>
      <c r="J8140" s="10" t="n">
        <v>32</v>
      </c>
      <c r="K8140" s="10" t="s">
        <v>20</v>
      </c>
      <c r="L8140" s="11" t="n">
        <v>39926.5453356481</v>
      </c>
      <c r="M8140" s="12" t="s">
        <v>199</v>
      </c>
      <c r="N8140" s="12" t="s">
        <v>200</v>
      </c>
      <c r="O8140" s="9" t="str">
        <f aca="false">HYPERLINK("https://pbs.twimg.com/profile_images/714946924105883648/4fgNVF4H_normal.jpg","View")</f>
        <v>View</v>
      </c>
      <c r="P8140" s="10"/>
    </row>
    <row r="8141" customFormat="false" ht="15.75" hidden="false" customHeight="false" outlineLevel="0" collapsed="false">
      <c r="A8141" s="6" t="n">
        <v>43032.1363541667</v>
      </c>
      <c r="B8141" s="7" t="str">
        <f aca="false">HYPERLINK("https://twitter.com/shailendra_nair","@shailendra_nair")</f>
        <v>@shailendra_nair</v>
      </c>
      <c r="C8141" s="8" t="s">
        <v>251</v>
      </c>
      <c r="D8141" s="8" t="s">
        <v>18018</v>
      </c>
      <c r="E8141" s="9" t="str">
        <f aca="false">HYPERLINK("https://twitter.com/shailendra_nair/status/922768718094102528","922768718094102528")</f>
        <v>922768718094102528</v>
      </c>
      <c r="F8141" s="10" t="s">
        <v>60</v>
      </c>
      <c r="G8141" s="10" t="n">
        <v>3987</v>
      </c>
      <c r="H8141" s="10" t="n">
        <v>1042</v>
      </c>
      <c r="I8141" s="10" t="n">
        <v>0</v>
      </c>
      <c r="J8141" s="10" t="n">
        <v>0</v>
      </c>
      <c r="K8141" s="10" t="s">
        <v>20</v>
      </c>
      <c r="L8141" s="11" t="n">
        <v>40362.4379861111</v>
      </c>
      <c r="M8141" s="12" t="s">
        <v>253</v>
      </c>
      <c r="N8141" s="12" t="s">
        <v>254</v>
      </c>
      <c r="O8141" s="9" t="str">
        <f aca="false">HYPERLINK("https://pbs.twimg.com/profile_images/884758468879466497/M_w6UjD3_normal.jpg","View")</f>
        <v>View</v>
      </c>
      <c r="P8141" s="10"/>
    </row>
    <row r="8142" customFormat="false" ht="15.75" hidden="false" customHeight="false" outlineLevel="0" collapsed="false">
      <c r="A8142" s="6" t="n">
        <v>43032.136400463</v>
      </c>
      <c r="B8142" s="7" t="str">
        <f aca="false">HYPERLINK("https://twitter.com/mlnangalama","@mlnangalama")</f>
        <v>@mlnangalama</v>
      </c>
      <c r="C8142" s="8" t="s">
        <v>255</v>
      </c>
      <c r="D8142" s="8" t="s">
        <v>18019</v>
      </c>
      <c r="E8142" s="9" t="str">
        <f aca="false">HYPERLINK("https://twitter.com/mlnangalama/status/922768733826895872","922768733826895872")</f>
        <v>922768733826895872</v>
      </c>
      <c r="F8142" s="10" t="s">
        <v>60</v>
      </c>
      <c r="G8142" s="10" t="n">
        <v>2370</v>
      </c>
      <c r="H8142" s="10" t="n">
        <v>1584</v>
      </c>
      <c r="I8142" s="10" t="n">
        <v>0</v>
      </c>
      <c r="J8142" s="10" t="n">
        <v>0</v>
      </c>
      <c r="K8142" s="10" t="s">
        <v>20</v>
      </c>
      <c r="L8142" s="11" t="n">
        <v>41041.5437847222</v>
      </c>
      <c r="M8142" s="12" t="s">
        <v>257</v>
      </c>
      <c r="N8142" s="12" t="s">
        <v>258</v>
      </c>
      <c r="O8142" s="9" t="str">
        <f aca="false">HYPERLINK("https://pbs.twimg.com/profile_images/900915882444173313/biUHzvpx_normal.jpg","View")</f>
        <v>View</v>
      </c>
      <c r="P8142" s="10"/>
    </row>
    <row r="8143" customFormat="false" ht="15.75" hidden="false" customHeight="false" outlineLevel="0" collapsed="false">
      <c r="A8143" s="6" t="n">
        <v>43032.1369328704</v>
      </c>
      <c r="B8143" s="7" t="str">
        <f aca="false">HYPERLINK("https://twitter.com/WalskWarn","@WalskWarn")</f>
        <v>@WalskWarn</v>
      </c>
      <c r="C8143" s="8" t="s">
        <v>18020</v>
      </c>
      <c r="D8143" s="8" t="s">
        <v>18021</v>
      </c>
      <c r="E8143" s="9" t="str">
        <f aca="false">HYPERLINK("https://twitter.com/WalskWarn/status/922768930577567749","922768930577567749")</f>
        <v>922768930577567749</v>
      </c>
      <c r="F8143" s="10" t="s">
        <v>98</v>
      </c>
      <c r="G8143" s="10" t="n">
        <v>54</v>
      </c>
      <c r="H8143" s="10" t="n">
        <v>222</v>
      </c>
      <c r="I8143" s="10" t="n">
        <v>18</v>
      </c>
      <c r="J8143" s="10" t="n">
        <v>0</v>
      </c>
      <c r="K8143" s="10" t="s">
        <v>20</v>
      </c>
      <c r="L8143" s="11" t="n">
        <v>41288.5725</v>
      </c>
      <c r="M8143" s="12"/>
      <c r="N8143" s="12" t="s">
        <v>18022</v>
      </c>
      <c r="O8143" s="9" t="str">
        <f aca="false">HYPERLINK("https://pbs.twimg.com/profile_images/830967314556342272/CPoR3wdU_normal.jpg","View")</f>
        <v>View</v>
      </c>
      <c r="P8143" s="10"/>
    </row>
    <row r="8144" customFormat="false" ht="15.75" hidden="false" customHeight="false" outlineLevel="0" collapsed="false">
      <c r="A8144" s="6" t="n">
        <v>43032.1377314815</v>
      </c>
      <c r="B8144" s="7" t="str">
        <f aca="false">HYPERLINK("https://twitter.com/jaimeotero_","@jaimeotero_")</f>
        <v>@jaimeotero_</v>
      </c>
      <c r="C8144" s="8" t="s">
        <v>205</v>
      </c>
      <c r="D8144" s="8" t="s">
        <v>18023</v>
      </c>
      <c r="E8144" s="9" t="str">
        <f aca="false">HYPERLINK("https://twitter.com/jaimeotero_/status/922769216859762688","922769216859762688")</f>
        <v>922769216859762688</v>
      </c>
      <c r="F8144" s="10" t="s">
        <v>60</v>
      </c>
      <c r="G8144" s="10" t="n">
        <v>34492</v>
      </c>
      <c r="H8144" s="10" t="n">
        <v>31252</v>
      </c>
      <c r="I8144" s="10" t="n">
        <v>1</v>
      </c>
      <c r="J8144" s="10" t="n">
        <v>1</v>
      </c>
      <c r="K8144" s="10" t="s">
        <v>20</v>
      </c>
      <c r="L8144" s="11" t="n">
        <v>42531.0121990741</v>
      </c>
      <c r="M8144" s="12" t="s">
        <v>207</v>
      </c>
      <c r="N8144" s="12" t="s">
        <v>208</v>
      </c>
      <c r="O8144" s="9" t="str">
        <f aca="false">HYPERLINK("https://pbs.twimg.com/profile_images/849817561281818626/acAU04SD_normal.jpg","View")</f>
        <v>View</v>
      </c>
      <c r="P8144" s="10"/>
    </row>
    <row r="8145" customFormat="false" ht="15.75" hidden="false" customHeight="false" outlineLevel="0" collapsed="false">
      <c r="A8145" s="6" t="n">
        <v>43032.1377314815</v>
      </c>
      <c r="B8145" s="7" t="str">
        <f aca="false">HYPERLINK("https://twitter.com/kyennekeith","@kyennekeith")</f>
        <v>@kyennekeith</v>
      </c>
      <c r="C8145" s="8" t="s">
        <v>18024</v>
      </c>
      <c r="D8145" s="8" t="s">
        <v>18021</v>
      </c>
      <c r="E8145" s="9" t="str">
        <f aca="false">HYPERLINK("https://twitter.com/kyennekeith/status/922769220277903360","922769220277903360")</f>
        <v>922769220277903360</v>
      </c>
      <c r="F8145" s="10" t="s">
        <v>39</v>
      </c>
      <c r="G8145" s="10" t="n">
        <v>371</v>
      </c>
      <c r="H8145" s="10" t="n">
        <v>522</v>
      </c>
      <c r="I8145" s="10" t="n">
        <v>18</v>
      </c>
      <c r="J8145" s="10" t="n">
        <v>0</v>
      </c>
      <c r="K8145" s="10" t="s">
        <v>20</v>
      </c>
      <c r="L8145" s="11" t="n">
        <v>39922.4163310185</v>
      </c>
      <c r="M8145" s="12" t="s">
        <v>11343</v>
      </c>
      <c r="N8145" s="12" t="s">
        <v>18025</v>
      </c>
      <c r="O8145" s="9" t="str">
        <f aca="false">HYPERLINK("https://pbs.twimg.com/profile_images/907079478676881408/Fi8XpKKY_normal.jpg","View")</f>
        <v>View</v>
      </c>
      <c r="P8145" s="10"/>
    </row>
    <row r="8146" customFormat="false" ht="15.75" hidden="false" customHeight="false" outlineLevel="0" collapsed="false">
      <c r="A8146" s="6" t="n">
        <v>43032.1378819444</v>
      </c>
      <c r="B8146" s="7" t="str">
        <f aca="false">HYPERLINK("https://twitter.com/DelMrsn89578","@DelMrsn89578")</f>
        <v>@DelMrsn89578</v>
      </c>
      <c r="C8146" s="8" t="s">
        <v>18026</v>
      </c>
      <c r="D8146" s="8" t="s">
        <v>18027</v>
      </c>
      <c r="E8146" s="9" t="str">
        <f aca="false">HYPERLINK("https://twitter.com/DelMrsn89578/status/922769274057449472","922769274057449472")</f>
        <v>922769274057449472</v>
      </c>
      <c r="F8146" s="10" t="s">
        <v>25</v>
      </c>
      <c r="G8146" s="10" t="n">
        <v>2191</v>
      </c>
      <c r="H8146" s="10" t="n">
        <v>3614</v>
      </c>
      <c r="I8146" s="10" t="n">
        <v>1</v>
      </c>
      <c r="J8146" s="10" t="n">
        <v>0</v>
      </c>
      <c r="K8146" s="10" t="s">
        <v>20</v>
      </c>
      <c r="L8146" s="11" t="n">
        <v>41498.035775463</v>
      </c>
      <c r="M8146" s="12"/>
      <c r="N8146" s="12" t="s">
        <v>18028</v>
      </c>
      <c r="O8146" s="9" t="str">
        <f aca="false">HYPERLINK("https://pbs.twimg.com/profile_images/616014622454321153/jiSAn3P__normal.jpg","View")</f>
        <v>View</v>
      </c>
      <c r="P8146" s="10"/>
    </row>
    <row r="8147" customFormat="false" ht="15.75" hidden="false" customHeight="false" outlineLevel="0" collapsed="false">
      <c r="A8147" s="6" t="n">
        <v>43032.1380439815</v>
      </c>
      <c r="B8147" s="7" t="str">
        <f aca="false">HYPERLINK("https://twitter.com/MsMaddieGonzale","@MsMaddieGonzale")</f>
        <v>@MsMaddieGonzale</v>
      </c>
      <c r="C8147" s="8" t="s">
        <v>18029</v>
      </c>
      <c r="D8147" s="8" t="s">
        <v>17978</v>
      </c>
      <c r="E8147" s="9" t="str">
        <f aca="false">HYPERLINK("https://twitter.com/MsMaddieGonzale/status/922769332727291905","922769332727291905")</f>
        <v>922769332727291905</v>
      </c>
      <c r="F8147" s="10" t="s">
        <v>98</v>
      </c>
      <c r="G8147" s="10" t="n">
        <v>742</v>
      </c>
      <c r="H8147" s="10" t="n">
        <v>632</v>
      </c>
      <c r="I8147" s="10" t="n">
        <v>12</v>
      </c>
      <c r="J8147" s="10" t="n">
        <v>0</v>
      </c>
      <c r="K8147" s="10" t="s">
        <v>20</v>
      </c>
      <c r="L8147" s="11" t="n">
        <v>41062.8379976852</v>
      </c>
      <c r="M8147" s="12" t="s">
        <v>1814</v>
      </c>
      <c r="N8147" s="12" t="s">
        <v>18030</v>
      </c>
      <c r="O8147" s="9" t="str">
        <f aca="false">HYPERLINK("https://pbs.twimg.com/profile_images/378800000208867420/880edbb8df430cf5a5c2a22c93e1a671_normal.jpeg","View")</f>
        <v>View</v>
      </c>
      <c r="P8147" s="10"/>
    </row>
    <row r="8148" customFormat="false" ht="15.75" hidden="false" customHeight="false" outlineLevel="0" collapsed="false">
      <c r="A8148" s="6" t="n">
        <v>43032.1384490741</v>
      </c>
      <c r="B8148" s="7" t="str">
        <f aca="false">HYPERLINK("https://twitter.com/serge_poznanski","@serge_poznanski")</f>
        <v>@serge_poznanski</v>
      </c>
      <c r="C8148" s="8" t="s">
        <v>212</v>
      </c>
      <c r="D8148" s="8" t="s">
        <v>18031</v>
      </c>
      <c r="E8148" s="9" t="str">
        <f aca="false">HYPERLINK("https://twitter.com/serge_poznanski/status/922769476910764033","922769476910764033")</f>
        <v>922769476910764033</v>
      </c>
      <c r="F8148" s="10" t="s">
        <v>60</v>
      </c>
      <c r="G8148" s="10" t="n">
        <v>1424</v>
      </c>
      <c r="H8148" s="10" t="n">
        <v>2136</v>
      </c>
      <c r="I8148" s="10" t="n">
        <v>0</v>
      </c>
      <c r="J8148" s="10" t="n">
        <v>0</v>
      </c>
      <c r="K8148" s="10" t="s">
        <v>20</v>
      </c>
      <c r="L8148" s="11" t="n">
        <v>42271.4744560185</v>
      </c>
      <c r="M8148" s="12"/>
      <c r="N8148" s="12"/>
      <c r="O8148" s="9" t="str">
        <f aca="false">HYPERLINK("https://pbs.twimg.com/profile_images/647277253240291328/3GezjFCJ_normal.jpg","View")</f>
        <v>View</v>
      </c>
      <c r="P8148" s="10"/>
    </row>
    <row r="8149" customFormat="false" ht="15.75" hidden="false" customHeight="false" outlineLevel="0" collapsed="false">
      <c r="A8149" s="6" t="n">
        <v>43032.1385763889</v>
      </c>
      <c r="B8149" s="7" t="str">
        <f aca="false">HYPERLINK("https://twitter.com/bdnews24","@bdnews24")</f>
        <v>@bdnews24</v>
      </c>
      <c r="C8149" s="8" t="s">
        <v>216</v>
      </c>
      <c r="D8149" s="8" t="s">
        <v>18032</v>
      </c>
      <c r="E8149" s="9" t="str">
        <f aca="false">HYPERLINK("https://twitter.com/bdnews24/status/922769522708369411","922769522708369411")</f>
        <v>922769522708369411</v>
      </c>
      <c r="F8149" s="10" t="s">
        <v>60</v>
      </c>
      <c r="G8149" s="10" t="n">
        <v>215604</v>
      </c>
      <c r="H8149" s="10" t="n">
        <v>67887</v>
      </c>
      <c r="I8149" s="10" t="n">
        <v>0</v>
      </c>
      <c r="J8149" s="10" t="n">
        <v>0</v>
      </c>
      <c r="K8149" s="10" t="s">
        <v>20</v>
      </c>
      <c r="L8149" s="11" t="n">
        <v>39844.4680439815</v>
      </c>
      <c r="M8149" s="12" t="s">
        <v>218</v>
      </c>
      <c r="N8149" s="12" t="s">
        <v>219</v>
      </c>
      <c r="O8149" s="9" t="str">
        <f aca="false">HYPERLINK("https://pbs.twimg.com/profile_images/718433521509994497/4iW9RC_r_normal.jpg","View")</f>
        <v>View</v>
      </c>
      <c r="P8149" s="10"/>
    </row>
    <row r="8150" customFormat="false" ht="15.75" hidden="false" customHeight="false" outlineLevel="0" collapsed="false">
      <c r="A8150" s="6" t="n">
        <v>43032.1391666667</v>
      </c>
      <c r="B8150" s="7" t="str">
        <f aca="false">HYPERLINK("https://twitter.com/IanHanke","@IanHanke")</f>
        <v>@IanHanke</v>
      </c>
      <c r="C8150" s="8" t="s">
        <v>1197</v>
      </c>
      <c r="D8150" s="8" t="s">
        <v>18021</v>
      </c>
      <c r="E8150" s="9" t="str">
        <f aca="false">HYPERLINK("https://twitter.com/IanHanke/status/922769737116934145","922769737116934145")</f>
        <v>922769737116934145</v>
      </c>
      <c r="F8150" s="10" t="s">
        <v>98</v>
      </c>
      <c r="G8150" s="10" t="n">
        <v>1646</v>
      </c>
      <c r="H8150" s="10" t="n">
        <v>512</v>
      </c>
      <c r="I8150" s="10" t="n">
        <v>18</v>
      </c>
      <c r="J8150" s="10" t="n">
        <v>0</v>
      </c>
      <c r="K8150" s="10" t="s">
        <v>20</v>
      </c>
      <c r="L8150" s="11" t="n">
        <v>39958.9551273148</v>
      </c>
      <c r="M8150" s="12" t="s">
        <v>1199</v>
      </c>
      <c r="N8150" s="12" t="s">
        <v>1200</v>
      </c>
      <c r="O8150" s="9" t="str">
        <f aca="false">HYPERLINK("https://pbs.twimg.com/profile_images/872642853394030592/sSFvxo5r_normal.jpg","View")</f>
        <v>View</v>
      </c>
      <c r="P8150" s="10"/>
    </row>
    <row r="8151" customFormat="false" ht="15.75" hidden="false" customHeight="false" outlineLevel="0" collapsed="false">
      <c r="A8151" s="6" t="n">
        <v>43032.1391898148</v>
      </c>
      <c r="B8151" s="7" t="str">
        <f aca="false">HYPERLINK("https://twitter.com/Bullish","@Bullish")</f>
        <v>@Bullish</v>
      </c>
      <c r="C8151" s="8" t="s">
        <v>223</v>
      </c>
      <c r="D8151" s="8" t="s">
        <v>18033</v>
      </c>
      <c r="E8151" s="9" t="str">
        <f aca="false">HYPERLINK("https://twitter.com/Bullish/status/922769745027444737","922769745027444737")</f>
        <v>922769745027444737</v>
      </c>
      <c r="F8151" s="10" t="s">
        <v>60</v>
      </c>
      <c r="G8151" s="10" t="n">
        <v>184</v>
      </c>
      <c r="H8151" s="10" t="n">
        <v>87</v>
      </c>
      <c r="I8151" s="10" t="n">
        <v>0</v>
      </c>
      <c r="J8151" s="10" t="n">
        <v>0</v>
      </c>
      <c r="K8151" s="10" t="s">
        <v>20</v>
      </c>
      <c r="L8151" s="11" t="n">
        <v>42618.7530439815</v>
      </c>
      <c r="M8151" s="12"/>
      <c r="N8151" s="12"/>
      <c r="O8151" s="9" t="str">
        <f aca="false">HYPERLINK("https://pbs.twimg.com/profile_images/798692093736599552/UikI9dNE_normal.jpg","View")</f>
        <v>View</v>
      </c>
      <c r="P8151" s="10"/>
    </row>
    <row r="8152" customFormat="false" ht="15.75" hidden="false" customHeight="false" outlineLevel="0" collapsed="false">
      <c r="A8152" s="6" t="n">
        <v>43032.1411921296</v>
      </c>
      <c r="B8152" s="7" t="str">
        <f aca="false">HYPERLINK("https://twitter.com/FallySomboNkhwa","@FallySomboNkhwa")</f>
        <v>@FallySomboNkhwa</v>
      </c>
      <c r="C8152" s="8" t="s">
        <v>260</v>
      </c>
      <c r="D8152" s="8" t="s">
        <v>18034</v>
      </c>
      <c r="E8152" s="9" t="str">
        <f aca="false">HYPERLINK("https://twitter.com/FallySomboNkhwa/status/922770472147800065","922770472147800065")</f>
        <v>922770472147800065</v>
      </c>
      <c r="F8152" s="10" t="s">
        <v>60</v>
      </c>
      <c r="G8152" s="10" t="n">
        <v>421</v>
      </c>
      <c r="H8152" s="10" t="n">
        <v>2195</v>
      </c>
      <c r="I8152" s="10" t="n">
        <v>0</v>
      </c>
      <c r="J8152" s="10" t="n">
        <v>0</v>
      </c>
      <c r="K8152" s="10" t="s">
        <v>20</v>
      </c>
      <c r="L8152" s="11" t="n">
        <v>41551.8204166667</v>
      </c>
      <c r="M8152" s="12" t="s">
        <v>262</v>
      </c>
      <c r="N8152" s="12" t="s">
        <v>263</v>
      </c>
      <c r="O8152" s="9" t="str">
        <f aca="false">HYPERLINK("https://pbs.twimg.com/profile_images/543761133505503235/pKcg8bc2_normal.jpeg","View")</f>
        <v>View</v>
      </c>
      <c r="P8152" s="10"/>
    </row>
    <row r="8153" customFormat="false" ht="15.75" hidden="false" customHeight="false" outlineLevel="0" collapsed="false">
      <c r="A8153" s="6" t="n">
        <v>43032.1413425926</v>
      </c>
      <c r="B8153" s="7" t="str">
        <f aca="false">HYPERLINK("https://twitter.com/DTradingAcademy","@DTradingAcademy")</f>
        <v>@DTradingAcademy</v>
      </c>
      <c r="C8153" s="8" t="s">
        <v>15054</v>
      </c>
      <c r="D8153" s="8" t="s">
        <v>18035</v>
      </c>
      <c r="E8153" s="9" t="str">
        <f aca="false">HYPERLINK("https://twitter.com/DTradingAcademy/status/922770526895927296","922770526895927296")</f>
        <v>922770526895927296</v>
      </c>
      <c r="F8153" s="10" t="s">
        <v>39</v>
      </c>
      <c r="G8153" s="10" t="n">
        <v>4249</v>
      </c>
      <c r="H8153" s="10" t="n">
        <v>680</v>
      </c>
      <c r="I8153" s="10" t="n">
        <v>0</v>
      </c>
      <c r="J8153" s="10" t="n">
        <v>0</v>
      </c>
      <c r="K8153" s="10" t="s">
        <v>20</v>
      </c>
      <c r="L8153" s="11" t="n">
        <v>40992.8062037037</v>
      </c>
      <c r="M8153" s="12" t="s">
        <v>370</v>
      </c>
      <c r="N8153" s="12" t="s">
        <v>15056</v>
      </c>
      <c r="O8153" s="9" t="str">
        <f aca="false">HYPERLINK("https://pbs.twimg.com/profile_images/378800000412994280/5661be1a8625bd36406b48f28bf653a0_normal.jpeg","View")</f>
        <v>View</v>
      </c>
      <c r="P8153" s="10"/>
    </row>
    <row r="8154" customFormat="false" ht="15.75" hidden="false" customHeight="false" outlineLevel="0" collapsed="false">
      <c r="A8154" s="6" t="n">
        <v>43032.1417592593</v>
      </c>
      <c r="B8154" s="7" t="str">
        <f aca="false">HYPERLINK("https://twitter.com/prepzilla","@prepzilla")</f>
        <v>@prepzilla</v>
      </c>
      <c r="C8154" s="8" t="s">
        <v>235</v>
      </c>
      <c r="D8154" s="8" t="s">
        <v>18036</v>
      </c>
      <c r="E8154" s="9" t="str">
        <f aca="false">HYPERLINK("https://twitter.com/prepzilla/status/922770679350644736","922770679350644736")</f>
        <v>922770679350644736</v>
      </c>
      <c r="F8154" s="10" t="s">
        <v>60</v>
      </c>
      <c r="G8154" s="10" t="n">
        <v>7686</v>
      </c>
      <c r="H8154" s="10" t="n">
        <v>477</v>
      </c>
      <c r="I8154" s="10" t="n">
        <v>0</v>
      </c>
      <c r="J8154" s="10" t="n">
        <v>0</v>
      </c>
      <c r="K8154" s="10" t="s">
        <v>20</v>
      </c>
      <c r="L8154" s="11" t="n">
        <v>41299.7417361111</v>
      </c>
      <c r="M8154" s="12" t="s">
        <v>237</v>
      </c>
      <c r="N8154" s="12" t="s">
        <v>238</v>
      </c>
      <c r="O8154" s="9" t="str">
        <f aca="false">HYPERLINK("https://pbs.twimg.com/profile_images/900797880516005888/1bWN5qbC_normal.jpg","View")</f>
        <v>View</v>
      </c>
      <c r="P8154" s="10"/>
    </row>
    <row r="8155" customFormat="false" ht="15.75" hidden="false" customHeight="false" outlineLevel="0" collapsed="false">
      <c r="A8155" s="6" t="n">
        <v>43032.1429861111</v>
      </c>
      <c r="B8155" s="7" t="str">
        <f aca="false">HYPERLINK("https://twitter.com/unlewis","@unlewis")</f>
        <v>@unlewis</v>
      </c>
      <c r="C8155" s="8" t="s">
        <v>3038</v>
      </c>
      <c r="D8155" s="8" t="s">
        <v>18021</v>
      </c>
      <c r="E8155" s="9" t="str">
        <f aca="false">HYPERLINK("https://twitter.com/unlewis/status/922771122822754304","922771122822754304")</f>
        <v>922771122822754304</v>
      </c>
      <c r="F8155" s="10" t="s">
        <v>177</v>
      </c>
      <c r="G8155" s="10" t="n">
        <v>2986</v>
      </c>
      <c r="H8155" s="10" t="n">
        <v>2099</v>
      </c>
      <c r="I8155" s="10" t="n">
        <v>18</v>
      </c>
      <c r="J8155" s="10" t="n">
        <v>0</v>
      </c>
      <c r="K8155" s="10" t="s">
        <v>20</v>
      </c>
      <c r="L8155" s="11" t="n">
        <v>41159.8328356482</v>
      </c>
      <c r="M8155" s="12"/>
      <c r="N8155" s="12" t="s">
        <v>3039</v>
      </c>
      <c r="O8155" s="9" t="str">
        <f aca="false">HYPERLINK("https://pbs.twimg.com/profile_images/862117304196255744/4KSB5b7P_normal.jpg","View")</f>
        <v>View</v>
      </c>
      <c r="P8155" s="10"/>
    </row>
    <row r="8156" customFormat="false" ht="15.75" hidden="false" customHeight="false" outlineLevel="0" collapsed="false">
      <c r="A8156" s="6" t="n">
        <v>43032.1433680556</v>
      </c>
      <c r="B8156" s="7" t="str">
        <f aca="false">HYPERLINK("https://twitter.com/BSAFunds","@BSAFunds")</f>
        <v>@BSAFunds</v>
      </c>
      <c r="C8156" s="8" t="s">
        <v>924</v>
      </c>
      <c r="D8156" s="8" t="s">
        <v>18037</v>
      </c>
      <c r="E8156" s="9" t="str">
        <f aca="false">HYPERLINK("https://twitter.com/BSAFunds/status/922771260706316294","922771260706316294")</f>
        <v>922771260706316294</v>
      </c>
      <c r="F8156" s="10" t="s">
        <v>60</v>
      </c>
      <c r="G8156" s="10" t="n">
        <v>20871</v>
      </c>
      <c r="H8156" s="10" t="n">
        <v>8926</v>
      </c>
      <c r="I8156" s="10" t="n">
        <v>0</v>
      </c>
      <c r="J8156" s="10" t="n">
        <v>0</v>
      </c>
      <c r="K8156" s="10" t="s">
        <v>20</v>
      </c>
      <c r="L8156" s="11" t="n">
        <v>42601.9481828704</v>
      </c>
      <c r="M8156" s="12" t="s">
        <v>312</v>
      </c>
      <c r="N8156" s="12" t="s">
        <v>926</v>
      </c>
      <c r="O8156" s="9" t="str">
        <f aca="false">HYPERLINK("https://pbs.twimg.com/profile_images/912769166960033792/N4LAmrTs_normal.jpg","View")</f>
        <v>View</v>
      </c>
      <c r="P8156" s="10"/>
    </row>
    <row r="8157" customFormat="false" ht="15.75" hidden="false" customHeight="false" outlineLevel="0" collapsed="false">
      <c r="A8157" s="6" t="n">
        <v>43032.1460416667</v>
      </c>
      <c r="B8157" s="7" t="str">
        <f aca="false">HYPERLINK("https://twitter.com/Tekki_VR","@Tekki_VR")</f>
        <v>@Tekki_VR</v>
      </c>
      <c r="C8157" s="8" t="s">
        <v>225</v>
      </c>
      <c r="D8157" s="8" t="s">
        <v>18038</v>
      </c>
      <c r="E8157" s="9" t="str">
        <f aca="false">HYPERLINK("https://twitter.com/Tekki_VR/status/922772229473161216","922772229473161216")</f>
        <v>922772229473161216</v>
      </c>
      <c r="F8157" s="10" t="s">
        <v>60</v>
      </c>
      <c r="G8157" s="10" t="n">
        <v>1895</v>
      </c>
      <c r="H8157" s="10" t="n">
        <v>2479</v>
      </c>
      <c r="I8157" s="10" t="n">
        <v>0</v>
      </c>
      <c r="J8157" s="10" t="n">
        <v>0</v>
      </c>
      <c r="K8157" s="10" t="s">
        <v>20</v>
      </c>
      <c r="L8157" s="11" t="n">
        <v>42263.5455324074</v>
      </c>
      <c r="M8157" s="12" t="s">
        <v>227</v>
      </c>
      <c r="N8157" s="12" t="s">
        <v>228</v>
      </c>
      <c r="O8157" s="9" t="str">
        <f aca="false">HYPERLINK("https://pbs.twimg.com/profile_images/760662770694098944/h1nSBfE8_normal.jpg","View")</f>
        <v>View</v>
      </c>
      <c r="P8157" s="10"/>
    </row>
    <row r="8158" customFormat="false" ht="15.75" hidden="false" customHeight="false" outlineLevel="0" collapsed="false">
      <c r="A8158" s="6" t="n">
        <v>43032.1480902778</v>
      </c>
      <c r="B8158" s="7" t="str">
        <f aca="false">HYPERLINK("https://twitter.com/swissifg","@swissifg")</f>
        <v>@swissifg</v>
      </c>
      <c r="C8158" s="8" t="s">
        <v>247</v>
      </c>
      <c r="D8158" s="8" t="s">
        <v>18039</v>
      </c>
      <c r="E8158" s="9" t="str">
        <f aca="false">HYPERLINK("https://twitter.com/swissifg/status/922772971026042880","922772971026042880")</f>
        <v>922772971026042880</v>
      </c>
      <c r="F8158" s="10" t="s">
        <v>60</v>
      </c>
      <c r="G8158" s="10" t="n">
        <v>1202</v>
      </c>
      <c r="H8158" s="10" t="n">
        <v>670</v>
      </c>
      <c r="I8158" s="10" t="n">
        <v>0</v>
      </c>
      <c r="J8158" s="10" t="n">
        <v>0</v>
      </c>
      <c r="K8158" s="10" t="s">
        <v>20</v>
      </c>
      <c r="L8158" s="11" t="n">
        <v>42499.2341087963</v>
      </c>
      <c r="M8158" s="12" t="s">
        <v>249</v>
      </c>
      <c r="N8158" s="12" t="s">
        <v>250</v>
      </c>
      <c r="O8158" s="9" t="str">
        <f aca="false">HYPERLINK("https://pbs.twimg.com/profile_images/729681805088063489/N4ls5vb8_normal.jpg","View")</f>
        <v>View</v>
      </c>
      <c r="P8158" s="10"/>
    </row>
    <row r="8159" customFormat="false" ht="15.75" hidden="false" customHeight="false" outlineLevel="0" collapsed="false">
      <c r="A8159" s="6" t="n">
        <v>43032.1527777778</v>
      </c>
      <c r="B8159" s="7" t="str">
        <f aca="false">HYPERLINK("https://twitter.com/prospect_uk","@prospect_uk")</f>
        <v>@prospect_uk</v>
      </c>
      <c r="C8159" s="8" t="s">
        <v>18040</v>
      </c>
      <c r="D8159" s="8" t="s">
        <v>18041</v>
      </c>
      <c r="E8159" s="9" t="str">
        <f aca="false">HYPERLINK("https://twitter.com/prospect_uk/status/922774670427922432","922774670427922432")</f>
        <v>922774670427922432</v>
      </c>
      <c r="F8159" s="10" t="s">
        <v>276</v>
      </c>
      <c r="G8159" s="10" t="n">
        <v>41090</v>
      </c>
      <c r="H8159" s="10" t="n">
        <v>4677</v>
      </c>
      <c r="I8159" s="10" t="n">
        <v>1</v>
      </c>
      <c r="J8159" s="10" t="n">
        <v>0</v>
      </c>
      <c r="K8159" s="10" t="s">
        <v>20</v>
      </c>
      <c r="L8159" s="11" t="n">
        <v>39864.418125</v>
      </c>
      <c r="M8159" s="12" t="s">
        <v>893</v>
      </c>
      <c r="N8159" s="12" t="s">
        <v>18042</v>
      </c>
      <c r="O8159" s="9" t="str">
        <f aca="false">HYPERLINK("https://pbs.twimg.com/profile_images/866635745389367296/P04hHW2R_normal.jpg","View")</f>
        <v>View</v>
      </c>
      <c r="P8159" s="10"/>
    </row>
    <row r="8160" customFormat="false" ht="15.75" hidden="false" customHeight="false" outlineLevel="0" collapsed="false">
      <c r="A8160" s="6" t="n">
        <v>43032.152962963</v>
      </c>
      <c r="B8160" s="7" t="str">
        <f aca="false">HYPERLINK("https://twitter.com/Rico05645968","@Rico05645968")</f>
        <v>@Rico05645968</v>
      </c>
      <c r="C8160" s="8" t="s">
        <v>10765</v>
      </c>
      <c r="D8160" s="8" t="s">
        <v>12493</v>
      </c>
      <c r="E8160" s="9" t="str">
        <f aca="false">HYPERLINK("https://twitter.com/Rico05645968/status/922774735879942144","922774735879942144")</f>
        <v>922774735879942144</v>
      </c>
      <c r="F8160" s="10" t="s">
        <v>25</v>
      </c>
      <c r="G8160" s="10" t="n">
        <v>3660</v>
      </c>
      <c r="H8160" s="10" t="n">
        <v>2716</v>
      </c>
      <c r="I8160" s="10" t="n">
        <v>63</v>
      </c>
      <c r="J8160" s="10" t="n">
        <v>0</v>
      </c>
      <c r="K8160" s="10" t="s">
        <v>20</v>
      </c>
      <c r="L8160" s="11" t="n">
        <v>42072.878599537</v>
      </c>
      <c r="M8160" s="13" t="s">
        <v>10766</v>
      </c>
      <c r="N8160" s="13" t="s">
        <v>10767</v>
      </c>
      <c r="O8160" s="9" t="str">
        <f aca="false">HYPERLINK("https://pbs.twimg.com/profile_images/636674406861791232/Ob3mtoKu_normal.jpg","View")</f>
        <v>View</v>
      </c>
      <c r="P8160" s="10"/>
    </row>
    <row r="8161" customFormat="false" ht="15.75" hidden="false" customHeight="false" outlineLevel="0" collapsed="false">
      <c r="A8161" s="6" t="n">
        <v>43032.1559027778</v>
      </c>
      <c r="B8161" s="7" t="str">
        <f aca="false">HYPERLINK("https://twitter.com/BloombergTV","@BloombergTV")</f>
        <v>@BloombergTV</v>
      </c>
      <c r="C8161" s="8" t="s">
        <v>317</v>
      </c>
      <c r="D8161" s="8" t="s">
        <v>18043</v>
      </c>
      <c r="E8161" s="9" t="str">
        <f aca="false">HYPERLINK("https://twitter.com/BloombergTV/status/922775804458819586","922775804458819586")</f>
        <v>922775804458819586</v>
      </c>
      <c r="F8161" s="10" t="s">
        <v>268</v>
      </c>
      <c r="G8161" s="10" t="n">
        <v>452918</v>
      </c>
      <c r="H8161" s="10" t="n">
        <v>458</v>
      </c>
      <c r="I8161" s="10" t="n">
        <v>1</v>
      </c>
      <c r="J8161" s="10" t="n">
        <v>2</v>
      </c>
      <c r="K8161" s="10" t="s">
        <v>20</v>
      </c>
      <c r="L8161" s="11" t="n">
        <v>39927.4899768519</v>
      </c>
      <c r="M8161" s="12" t="s">
        <v>319</v>
      </c>
      <c r="N8161" s="12" t="s">
        <v>320</v>
      </c>
      <c r="O8161" s="9" t="str">
        <f aca="false">HYPERLINK("https://pbs.twimg.com/profile_images/714801760632770560/7My2hMBt_normal.jpg","View")</f>
        <v>View</v>
      </c>
      <c r="P8161" s="10"/>
    </row>
    <row r="8162" customFormat="false" ht="15.75" hidden="false" customHeight="false" outlineLevel="0" collapsed="false">
      <c r="A8162" s="6" t="n">
        <v>43032.156400463</v>
      </c>
      <c r="B8162" s="7" t="str">
        <f aca="false">HYPERLINK("https://twitter.com/asp_lankaze","@asp_lankaze")</f>
        <v>@asp_lankaze</v>
      </c>
      <c r="C8162" s="8" t="s">
        <v>2514</v>
      </c>
      <c r="D8162" s="8" t="s">
        <v>17880</v>
      </c>
      <c r="E8162" s="9" t="str">
        <f aca="false">HYPERLINK("https://twitter.com/asp_lankaze/status/922775982150262784","922775982150262784")</f>
        <v>922775982150262784</v>
      </c>
      <c r="F8162" s="10" t="s">
        <v>51</v>
      </c>
      <c r="G8162" s="10" t="n">
        <v>1143</v>
      </c>
      <c r="H8162" s="10" t="n">
        <v>840</v>
      </c>
      <c r="I8162" s="10" t="n">
        <v>27</v>
      </c>
      <c r="J8162" s="10" t="n">
        <v>0</v>
      </c>
      <c r="K8162" s="10" t="s">
        <v>20</v>
      </c>
      <c r="L8162" s="11" t="n">
        <v>41504.3161458333</v>
      </c>
      <c r="M8162" s="12" t="s">
        <v>2515</v>
      </c>
      <c r="N8162" s="12" t="s">
        <v>2516</v>
      </c>
      <c r="O8162" s="9" t="str">
        <f aca="false">HYPERLINK("https://pbs.twimg.com/profile_images/798886204578013184/yKE-7gNp_normal.jpg","View")</f>
        <v>View</v>
      </c>
      <c r="P8162" s="10"/>
    </row>
    <row r="8163" customFormat="false" ht="15.75" hidden="false" customHeight="false" outlineLevel="0" collapsed="false">
      <c r="A8163" s="6" t="n">
        <v>43032.159525463</v>
      </c>
      <c r="B8163" s="7" t="str">
        <f aca="false">HYPERLINK("https://twitter.com/harish_hubli","@harish_hubli")</f>
        <v>@harish_hubli</v>
      </c>
      <c r="C8163" s="8" t="s">
        <v>18044</v>
      </c>
      <c r="D8163" s="8" t="s">
        <v>8538</v>
      </c>
      <c r="E8163" s="9" t="str">
        <f aca="false">HYPERLINK("https://twitter.com/harish_hubli/status/922777115400876032","922777115400876032")</f>
        <v>922777115400876032</v>
      </c>
      <c r="F8163" s="10" t="s">
        <v>25</v>
      </c>
      <c r="G8163" s="10" t="n">
        <v>222</v>
      </c>
      <c r="H8163" s="10" t="n">
        <v>279</v>
      </c>
      <c r="I8163" s="10" t="n">
        <v>1015</v>
      </c>
      <c r="J8163" s="10" t="n">
        <v>0</v>
      </c>
      <c r="K8163" s="10" t="s">
        <v>20</v>
      </c>
      <c r="L8163" s="11" t="n">
        <v>40302.9898726852</v>
      </c>
      <c r="M8163" s="12" t="s">
        <v>18045</v>
      </c>
      <c r="N8163" s="12" t="s">
        <v>18046</v>
      </c>
      <c r="O8163" s="9" t="str">
        <f aca="false">HYPERLINK("https://pbs.twimg.com/profile_images/600257514517598209/XE5P7I-5_normal.jpg","View")</f>
        <v>View</v>
      </c>
      <c r="P8163" s="10"/>
    </row>
    <row r="8164" customFormat="false" ht="15.75" hidden="false" customHeight="false" outlineLevel="0" collapsed="false">
      <c r="A8164" s="6" t="n">
        <v>43032.1600925926</v>
      </c>
      <c r="B8164" s="7" t="str">
        <f aca="false">HYPERLINK("https://twitter.com/nadeemhaque","@nadeemhaque")</f>
        <v>@nadeemhaque</v>
      </c>
      <c r="C8164" s="8" t="s">
        <v>18047</v>
      </c>
      <c r="D8164" s="8" t="s">
        <v>18048</v>
      </c>
      <c r="E8164" s="9" t="str">
        <f aca="false">HYPERLINK("https://twitter.com/nadeemhaque/status/922777323312738304","922777323312738304")</f>
        <v>922777323312738304</v>
      </c>
      <c r="F8164" s="10" t="s">
        <v>177</v>
      </c>
      <c r="G8164" s="10" t="n">
        <v>19691</v>
      </c>
      <c r="H8164" s="10" t="n">
        <v>2105</v>
      </c>
      <c r="I8164" s="10" t="n">
        <v>1</v>
      </c>
      <c r="J8164" s="10" t="n">
        <v>0</v>
      </c>
      <c r="K8164" s="10" t="s">
        <v>20</v>
      </c>
      <c r="L8164" s="11" t="n">
        <v>39878.5293981481</v>
      </c>
      <c r="M8164" s="12" t="s">
        <v>6370</v>
      </c>
      <c r="N8164" s="12" t="s">
        <v>18049</v>
      </c>
      <c r="O8164" s="9" t="str">
        <f aca="false">HYPERLINK("https://pbs.twimg.com/profile_images/639517744631820288/ulljVZ3A_normal.jpg","View")</f>
        <v>View</v>
      </c>
      <c r="P8164" s="10"/>
    </row>
    <row r="8165" customFormat="false" ht="15.75" hidden="false" customHeight="false" outlineLevel="0" collapsed="false">
      <c r="A8165" s="6" t="n">
        <v>43032.1605324074</v>
      </c>
      <c r="B8165" s="7" t="str">
        <f aca="false">HYPERLINK("https://twitter.com/Purplegarter1","@Purplegarter1")</f>
        <v>@Purplegarter1</v>
      </c>
      <c r="C8165" s="8" t="s">
        <v>17681</v>
      </c>
      <c r="D8165" s="8" t="s">
        <v>16929</v>
      </c>
      <c r="E8165" s="9" t="str">
        <f aca="false">HYPERLINK("https://twitter.com/Purplegarter1/status/922777482872451073","922777482872451073")</f>
        <v>922777482872451073</v>
      </c>
      <c r="F8165" s="10" t="s">
        <v>177</v>
      </c>
      <c r="G8165" s="10" t="n">
        <v>5055</v>
      </c>
      <c r="H8165" s="10" t="n">
        <v>2990</v>
      </c>
      <c r="I8165" s="10" t="n">
        <v>247</v>
      </c>
      <c r="J8165" s="10" t="n">
        <v>0</v>
      </c>
      <c r="K8165" s="10" t="s">
        <v>20</v>
      </c>
      <c r="L8165" s="11" t="n">
        <v>41558.5660185185</v>
      </c>
      <c r="M8165" s="12"/>
      <c r="N8165" s="12"/>
      <c r="O8165" s="9" t="str">
        <f aca="false">HYPERLINK("https://pbs.twimg.com/profile_images/413699302611886080/geQ9MFWE_normal.jpeg","View")</f>
        <v>View</v>
      </c>
      <c r="P8165" s="10"/>
    </row>
    <row r="8166" customFormat="false" ht="15.75" hidden="false" customHeight="false" outlineLevel="0" collapsed="false">
      <c r="A8166" s="6" t="n">
        <v>43032.1625810185</v>
      </c>
      <c r="B8166" s="7" t="str">
        <f aca="false">HYPERLINK("https://twitter.com/notbatmanyet","@notbatmanyet")</f>
        <v>@notbatmanyet</v>
      </c>
      <c r="C8166" s="8" t="s">
        <v>3410</v>
      </c>
      <c r="D8166" s="8" t="s">
        <v>18050</v>
      </c>
      <c r="E8166" s="9" t="str">
        <f aca="false">HYPERLINK("https://twitter.com/notbatmanyet/status/922778221678137344","922778221678137344")</f>
        <v>922778221678137344</v>
      </c>
      <c r="F8166" s="10" t="s">
        <v>51</v>
      </c>
      <c r="G8166" s="10" t="n">
        <v>96116</v>
      </c>
      <c r="H8166" s="10" t="n">
        <v>101923</v>
      </c>
      <c r="I8166" s="10" t="n">
        <v>1</v>
      </c>
      <c r="J8166" s="10" t="n">
        <v>0</v>
      </c>
      <c r="K8166" s="10" t="s">
        <v>20</v>
      </c>
      <c r="L8166" s="11" t="n">
        <v>41555.6115393519</v>
      </c>
      <c r="M8166" s="12" t="s">
        <v>3411</v>
      </c>
      <c r="N8166" s="12" t="s">
        <v>3412</v>
      </c>
      <c r="O8166" s="9" t="str">
        <f aca="false">HYPERLINK("https://pbs.twimg.com/profile_images/921501882174115840/ZeHfi-Tk_normal.jpg","View")</f>
        <v>View</v>
      </c>
      <c r="P8166" s="10"/>
    </row>
    <row r="8167" customFormat="false" ht="15.75" hidden="false" customHeight="false" outlineLevel="0" collapsed="false">
      <c r="A8167" s="6" t="n">
        <v>43032.1641782407</v>
      </c>
      <c r="B8167" s="7" t="str">
        <f aca="false">HYPERLINK("https://twitter.com/IFAMagazine","@IFAMagazine")</f>
        <v>@IFAMagazine</v>
      </c>
      <c r="C8167" s="8" t="s">
        <v>18051</v>
      </c>
      <c r="D8167" s="8" t="s">
        <v>18052</v>
      </c>
      <c r="E8167" s="9" t="str">
        <f aca="false">HYPERLINK("https://twitter.com/IFAMagazine/status/922778801263792129","922778801263792129")</f>
        <v>922778801263792129</v>
      </c>
      <c r="F8167" s="10" t="s">
        <v>39</v>
      </c>
      <c r="G8167" s="10" t="n">
        <v>3925</v>
      </c>
      <c r="H8167" s="10" t="n">
        <v>2309</v>
      </c>
      <c r="I8167" s="10" t="n">
        <v>0</v>
      </c>
      <c r="J8167" s="10" t="n">
        <v>0</v>
      </c>
      <c r="K8167" s="10" t="s">
        <v>20</v>
      </c>
      <c r="L8167" s="11" t="n">
        <v>40441.2965277778</v>
      </c>
      <c r="M8167" s="12"/>
      <c r="N8167" s="12" t="s">
        <v>18053</v>
      </c>
      <c r="O8167" s="9" t="str">
        <f aca="false">HYPERLINK("https://pbs.twimg.com/profile_images/702808635387285504/ZA_0BwTz_normal.jpg","View")</f>
        <v>View</v>
      </c>
      <c r="P8167" s="10"/>
    </row>
    <row r="8168" customFormat="false" ht="15.75" hidden="false" customHeight="false" outlineLevel="0" collapsed="false">
      <c r="A8168" s="6" t="n">
        <v>43032.1643634259</v>
      </c>
      <c r="B8168" s="7" t="str">
        <f aca="false">HYPERLINK("https://twitter.com/ChennaiUngalKai","@ChennaiUngalKai")</f>
        <v>@ChennaiUngalKai</v>
      </c>
      <c r="C8168" s="8" t="s">
        <v>18054</v>
      </c>
      <c r="D8168" s="8" t="s">
        <v>18055</v>
      </c>
      <c r="E8168" s="9" t="str">
        <f aca="false">HYPERLINK("https://twitter.com/ChennaiUngalKai/status/922778870377357314","922778870377357314")</f>
        <v>922778870377357314</v>
      </c>
      <c r="F8168" s="10" t="s">
        <v>39</v>
      </c>
      <c r="G8168" s="10" t="n">
        <v>163</v>
      </c>
      <c r="H8168" s="10" t="n">
        <v>487</v>
      </c>
      <c r="I8168" s="10" t="n">
        <v>0</v>
      </c>
      <c r="J8168" s="10" t="n">
        <v>0</v>
      </c>
      <c r="K8168" s="10" t="s">
        <v>20</v>
      </c>
      <c r="L8168" s="11" t="n">
        <v>41793.4497453704</v>
      </c>
      <c r="M8168" s="12" t="s">
        <v>3588</v>
      </c>
      <c r="N8168" s="12" t="s">
        <v>18056</v>
      </c>
      <c r="O8168" s="9" t="str">
        <f aca="false">HYPERLINK("https://pbs.twimg.com/profile_images/766230043777302529/7H_QjG8u_normal.jpg","View")</f>
        <v>View</v>
      </c>
      <c r="P8168" s="10"/>
    </row>
    <row r="8169" customFormat="false" ht="15.75" hidden="false" customHeight="false" outlineLevel="0" collapsed="false">
      <c r="A8169" s="6" t="n">
        <v>43032.1675694444</v>
      </c>
      <c r="B8169" s="7" t="str">
        <f aca="false">HYPERLINK("https://twitter.com/BloombergTV","@BloombergTV")</f>
        <v>@BloombergTV</v>
      </c>
      <c r="C8169" s="8" t="s">
        <v>317</v>
      </c>
      <c r="D8169" s="8" t="s">
        <v>18057</v>
      </c>
      <c r="E8169" s="9" t="str">
        <f aca="false">HYPERLINK("https://twitter.com/BloombergTV/status/922780031117508609","922780031117508609")</f>
        <v>922780031117508609</v>
      </c>
      <c r="F8169" s="9" t="s">
        <v>198</v>
      </c>
      <c r="G8169" s="10" t="n">
        <v>452918</v>
      </c>
      <c r="H8169" s="10" t="n">
        <v>458</v>
      </c>
      <c r="I8169" s="10" t="n">
        <v>5</v>
      </c>
      <c r="J8169" s="10" t="n">
        <v>4</v>
      </c>
      <c r="K8169" s="10" t="s">
        <v>20</v>
      </c>
      <c r="L8169" s="11" t="n">
        <v>39927.4899768519</v>
      </c>
      <c r="M8169" s="12" t="s">
        <v>319</v>
      </c>
      <c r="N8169" s="12" t="s">
        <v>320</v>
      </c>
      <c r="O8169" s="9" t="str">
        <f aca="false">HYPERLINK("https://pbs.twimg.com/profile_images/714801760632770560/7My2hMBt_normal.jpg","View")</f>
        <v>View</v>
      </c>
      <c r="P8169" s="10"/>
    </row>
    <row r="8170" customFormat="false" ht="15.75" hidden="false" customHeight="false" outlineLevel="0" collapsed="false">
      <c r="A8170" s="6" t="n">
        <v>43032.1687615741</v>
      </c>
      <c r="B8170" s="7" t="str">
        <f aca="false">HYPERLINK("https://twitter.com/MMMagza","@MMMagza")</f>
        <v>@MMMagza</v>
      </c>
      <c r="C8170" s="8" t="s">
        <v>18058</v>
      </c>
      <c r="D8170" s="8" t="s">
        <v>18059</v>
      </c>
      <c r="E8170" s="9" t="str">
        <f aca="false">HYPERLINK("https://twitter.com/MMMagza/status/922780462623412224","922780462623412224")</f>
        <v>922780462623412224</v>
      </c>
      <c r="F8170" s="10" t="s">
        <v>39</v>
      </c>
      <c r="G8170" s="10" t="n">
        <v>953</v>
      </c>
      <c r="H8170" s="10" t="n">
        <v>1240</v>
      </c>
      <c r="I8170" s="10" t="n">
        <v>5</v>
      </c>
      <c r="J8170" s="10" t="n">
        <v>0</v>
      </c>
      <c r="K8170" s="10" t="s">
        <v>20</v>
      </c>
      <c r="L8170" s="11" t="n">
        <v>41726.1437615741</v>
      </c>
      <c r="M8170" s="12"/>
      <c r="N8170" s="12" t="s">
        <v>18060</v>
      </c>
      <c r="O8170" s="9" t="str">
        <f aca="false">HYPERLINK("https://pbs.twimg.com/profile_images/449495929809166337/9r8BfNAK_normal.jpeg","View")</f>
        <v>View</v>
      </c>
      <c r="P8170" s="10"/>
    </row>
    <row r="8171" customFormat="false" ht="15.75" hidden="false" customHeight="false" outlineLevel="0" collapsed="false">
      <c r="A8171" s="6" t="n">
        <v>43032.1688310185</v>
      </c>
      <c r="B8171" s="7" t="str">
        <f aca="false">HYPERLINK("https://twitter.com/tokeyneale","@tokeyneale")</f>
        <v>@tokeyneale</v>
      </c>
      <c r="C8171" s="14" t="s">
        <v>18061</v>
      </c>
      <c r="D8171" s="8" t="s">
        <v>18059</v>
      </c>
      <c r="E8171" s="9" t="str">
        <f aca="false">HYPERLINK("https://twitter.com/tokeyneale/status/922780487466106885","922780487466106885")</f>
        <v>922780487466106885</v>
      </c>
      <c r="F8171" s="10" t="s">
        <v>3219</v>
      </c>
      <c r="G8171" s="10" t="n">
        <v>2935</v>
      </c>
      <c r="H8171" s="10" t="n">
        <v>1045</v>
      </c>
      <c r="I8171" s="10" t="n">
        <v>5</v>
      </c>
      <c r="J8171" s="10" t="n">
        <v>0</v>
      </c>
      <c r="K8171" s="10" t="s">
        <v>20</v>
      </c>
      <c r="L8171" s="11" t="n">
        <v>40195.1124652778</v>
      </c>
      <c r="M8171" s="12" t="s">
        <v>18062</v>
      </c>
      <c r="N8171" s="13" t="s">
        <v>18063</v>
      </c>
      <c r="O8171" s="9" t="str">
        <f aca="false">HYPERLINK("https://pbs.twimg.com/profile_images/1083675039/19296967_1437038289_normal.jpg","View")</f>
        <v>View</v>
      </c>
      <c r="P8171" s="10"/>
    </row>
    <row r="8172" customFormat="false" ht="15.75" hidden="false" customHeight="false" outlineLevel="0" collapsed="false">
      <c r="A8172" s="6" t="n">
        <v>43032.1695601852</v>
      </c>
      <c r="B8172" s="7" t="str">
        <f aca="false">HYPERLINK("https://twitter.com/TopFiveTraders","@TopFiveTraders")</f>
        <v>@TopFiveTraders</v>
      </c>
      <c r="C8172" s="8" t="s">
        <v>321</v>
      </c>
      <c r="D8172" s="8" t="s">
        <v>18064</v>
      </c>
      <c r="E8172" s="9" t="str">
        <f aca="false">HYPERLINK("https://twitter.com/TopFiveTraders/status/922780750474305537","922780750474305537")</f>
        <v>922780750474305537</v>
      </c>
      <c r="F8172" s="10" t="s">
        <v>60</v>
      </c>
      <c r="G8172" s="10" t="n">
        <v>8181</v>
      </c>
      <c r="H8172" s="10" t="n">
        <v>6774</v>
      </c>
      <c r="I8172" s="10" t="n">
        <v>0</v>
      </c>
      <c r="J8172" s="10" t="n">
        <v>0</v>
      </c>
      <c r="K8172" s="10" t="s">
        <v>20</v>
      </c>
      <c r="L8172" s="11" t="n">
        <v>41573.4842013889</v>
      </c>
      <c r="M8172" s="12" t="s">
        <v>323</v>
      </c>
      <c r="N8172" s="12" t="s">
        <v>324</v>
      </c>
      <c r="O8172" s="9" t="str">
        <f aca="false">HYPERLINK("https://pbs.twimg.com/profile_images/729113141444026370/hi202Ffp_normal.jpg","View")</f>
        <v>View</v>
      </c>
      <c r="P8172" s="10"/>
    </row>
    <row r="8173" customFormat="false" ht="15.75" hidden="false" customHeight="false" outlineLevel="0" collapsed="false">
      <c r="A8173" s="6" t="n">
        <v>43032.1695717593</v>
      </c>
      <c r="B8173" s="7" t="str">
        <f aca="false">HYPERLINK("https://twitter.com/jsftennis","@jsftennis")</f>
        <v>@jsftennis</v>
      </c>
      <c r="C8173" s="8" t="s">
        <v>18065</v>
      </c>
      <c r="D8173" s="8" t="s">
        <v>16929</v>
      </c>
      <c r="E8173" s="9" t="str">
        <f aca="false">HYPERLINK("https://twitter.com/jsftennis/status/922780758770581504","922780758770581504")</f>
        <v>922780758770581504</v>
      </c>
      <c r="F8173" s="10" t="s">
        <v>51</v>
      </c>
      <c r="G8173" s="10" t="n">
        <v>1290</v>
      </c>
      <c r="H8173" s="10" t="n">
        <v>2391</v>
      </c>
      <c r="I8173" s="10" t="n">
        <v>247</v>
      </c>
      <c r="J8173" s="10" t="n">
        <v>0</v>
      </c>
      <c r="K8173" s="10" t="s">
        <v>20</v>
      </c>
      <c r="L8173" s="11" t="n">
        <v>42607.8252662037</v>
      </c>
      <c r="M8173" s="12" t="s">
        <v>18066</v>
      </c>
      <c r="N8173" s="12" t="s">
        <v>18067</v>
      </c>
      <c r="O8173" s="9" t="str">
        <f aca="false">HYPERLINK("https://pbs.twimg.com/profile_images/908866111210442753/soGceCrC_normal.jpg","View")</f>
        <v>View</v>
      </c>
      <c r="P8173" s="10"/>
    </row>
    <row r="8174" customFormat="false" ht="15.75" hidden="false" customHeight="false" outlineLevel="0" collapsed="false">
      <c r="A8174" s="6" t="n">
        <v>43032.1700694444</v>
      </c>
      <c r="B8174" s="7" t="str">
        <f aca="false">HYPERLINK("https://twitter.com/TFTCS","@TFTCS")</f>
        <v>@TFTCS</v>
      </c>
      <c r="C8174" s="8" t="s">
        <v>338</v>
      </c>
      <c r="D8174" s="8" t="s">
        <v>18068</v>
      </c>
      <c r="E8174" s="9" t="str">
        <f aca="false">HYPERLINK("https://twitter.com/TFTCS/status/922780935162130432","922780935162130432")</f>
        <v>922780935162130432</v>
      </c>
      <c r="F8174" s="10" t="s">
        <v>60</v>
      </c>
      <c r="G8174" s="10" t="n">
        <v>4435</v>
      </c>
      <c r="H8174" s="10" t="n">
        <v>4613</v>
      </c>
      <c r="I8174" s="10" t="n">
        <v>0</v>
      </c>
      <c r="J8174" s="10" t="n">
        <v>0</v>
      </c>
      <c r="K8174" s="10" t="s">
        <v>20</v>
      </c>
      <c r="L8174" s="11" t="n">
        <v>41868.7681018518</v>
      </c>
      <c r="M8174" s="12" t="s">
        <v>340</v>
      </c>
      <c r="N8174" s="12" t="s">
        <v>341</v>
      </c>
      <c r="O8174" s="9" t="str">
        <f aca="false">HYPERLINK("https://pbs.twimg.com/profile_images/736027772800368640/DdLGgNNU_normal.jpg","View")</f>
        <v>View</v>
      </c>
      <c r="P8174" s="10"/>
    </row>
    <row r="8175" customFormat="false" ht="15.75" hidden="false" customHeight="false" outlineLevel="0" collapsed="false">
      <c r="A8175" s="6" t="n">
        <v>43032.1704398148</v>
      </c>
      <c r="B8175" s="7" t="str">
        <f aca="false">HYPERLINK("https://twitter.com/DavidMcNeill3","@DavidMcNeill3")</f>
        <v>@DavidMcNeill3</v>
      </c>
      <c r="C8175" s="8" t="s">
        <v>18069</v>
      </c>
      <c r="D8175" s="8" t="s">
        <v>18070</v>
      </c>
      <c r="E8175" s="9" t="str">
        <f aca="false">HYPERLINK("https://twitter.com/DavidMcNeill3/status/922781071439151106","922781071439151106")</f>
        <v>922781071439151106</v>
      </c>
      <c r="F8175" s="10" t="s">
        <v>39</v>
      </c>
      <c r="G8175" s="10" t="n">
        <v>3166</v>
      </c>
      <c r="H8175" s="10" t="n">
        <v>314</v>
      </c>
      <c r="I8175" s="10" t="n">
        <v>4</v>
      </c>
      <c r="J8175" s="10" t="n">
        <v>8</v>
      </c>
      <c r="K8175" s="10" t="s">
        <v>20</v>
      </c>
      <c r="L8175" s="11" t="n">
        <v>40702.6114583333</v>
      </c>
      <c r="M8175" s="12" t="s">
        <v>1473</v>
      </c>
      <c r="N8175" s="12" t="s">
        <v>18071</v>
      </c>
      <c r="O8175" s="9" t="str">
        <f aca="false">HYPERLINK("https://pbs.twimg.com/profile_images/689052183220760576/R4oS_7MT_normal.jpg","View")</f>
        <v>View</v>
      </c>
      <c r="P8175" s="10"/>
    </row>
    <row r="8176" customFormat="false" ht="15.75" hidden="false" customHeight="false" outlineLevel="0" collapsed="false">
      <c r="A8176" s="6" t="n">
        <v>43032.1712847222</v>
      </c>
      <c r="B8176" s="7" t="str">
        <f aca="false">HYPERLINK("https://twitter.com/BloombergAsia","@BloombergAsia")</f>
        <v>@BloombergAsia</v>
      </c>
      <c r="C8176" s="8" t="s">
        <v>1399</v>
      </c>
      <c r="D8176" s="8" t="s">
        <v>18072</v>
      </c>
      <c r="E8176" s="9" t="str">
        <f aca="false">HYPERLINK("https://twitter.com/BloombergAsia/status/922781375882760192","922781375882760192")</f>
        <v>922781375882760192</v>
      </c>
      <c r="F8176" s="10" t="s">
        <v>268</v>
      </c>
      <c r="G8176" s="10" t="n">
        <v>28824</v>
      </c>
      <c r="H8176" s="10" t="n">
        <v>97</v>
      </c>
      <c r="I8176" s="10" t="n">
        <v>2</v>
      </c>
      <c r="J8176" s="10" t="n">
        <v>2</v>
      </c>
      <c r="K8176" s="10" t="s">
        <v>20</v>
      </c>
      <c r="L8176" s="11" t="n">
        <v>41052.2384837963</v>
      </c>
      <c r="M8176" s="12"/>
      <c r="N8176" s="12" t="s">
        <v>1401</v>
      </c>
      <c r="O8176" s="9" t="str">
        <f aca="false">HYPERLINK("https://pbs.twimg.com/profile_images/778129630284902401/gXjFkqGM_normal.jpg","View")</f>
        <v>View</v>
      </c>
      <c r="P8176" s="10"/>
    </row>
    <row r="8177" customFormat="false" ht="15.75" hidden="false" customHeight="false" outlineLevel="0" collapsed="false">
      <c r="A8177" s="6" t="n">
        <v>43032.1723726852</v>
      </c>
      <c r="B8177" s="7" t="str">
        <f aca="false">HYPERLINK("https://twitter.com/vrai777","@vrai777")</f>
        <v>@vrai777</v>
      </c>
      <c r="C8177" s="8" t="s">
        <v>335</v>
      </c>
      <c r="D8177" s="8" t="s">
        <v>18073</v>
      </c>
      <c r="E8177" s="9" t="str">
        <f aca="false">HYPERLINK("https://twitter.com/vrai777/status/922781772567531520","922781772567531520")</f>
        <v>922781772567531520</v>
      </c>
      <c r="F8177" s="10" t="s">
        <v>60</v>
      </c>
      <c r="G8177" s="10" t="n">
        <v>7959</v>
      </c>
      <c r="H8177" s="10" t="n">
        <v>71</v>
      </c>
      <c r="I8177" s="10" t="n">
        <v>0</v>
      </c>
      <c r="J8177" s="10" t="n">
        <v>0</v>
      </c>
      <c r="K8177" s="10" t="s">
        <v>20</v>
      </c>
      <c r="L8177" s="11" t="n">
        <v>39878.7593287037</v>
      </c>
      <c r="M8177" s="12" t="s">
        <v>295</v>
      </c>
      <c r="N8177" s="12" t="s">
        <v>337</v>
      </c>
      <c r="O8177" s="9" t="str">
        <f aca="false">HYPERLINK("https://pbs.twimg.com/profile_images/688775800284266496/qhWTo08H_normal.png","View")</f>
        <v>View</v>
      </c>
      <c r="P8177" s="10"/>
    </row>
    <row r="8178" customFormat="false" ht="15.75" hidden="false" customHeight="false" outlineLevel="0" collapsed="false">
      <c r="A8178" s="6" t="n">
        <v>43032.1728125</v>
      </c>
      <c r="B8178" s="7" t="str">
        <f aca="false">HYPERLINK("https://twitter.com/sandi_childs","@sandi_childs")</f>
        <v>@sandi_childs</v>
      </c>
      <c r="C8178" s="8" t="s">
        <v>15553</v>
      </c>
      <c r="D8178" s="8" t="s">
        <v>18021</v>
      </c>
      <c r="E8178" s="9" t="str">
        <f aca="false">HYPERLINK("https://twitter.com/sandi_childs/status/922781932722708480","922781932722708480")</f>
        <v>922781932722708480</v>
      </c>
      <c r="F8178" s="10" t="s">
        <v>51</v>
      </c>
      <c r="G8178" s="10" t="n">
        <v>2457</v>
      </c>
      <c r="H8178" s="10" t="n">
        <v>3824</v>
      </c>
      <c r="I8178" s="10" t="n">
        <v>18</v>
      </c>
      <c r="J8178" s="10" t="n">
        <v>0</v>
      </c>
      <c r="K8178" s="10" t="s">
        <v>20</v>
      </c>
      <c r="L8178" s="11" t="n">
        <v>41594.1618981482</v>
      </c>
      <c r="M8178" s="12" t="s">
        <v>15554</v>
      </c>
      <c r="N8178" s="12" t="s">
        <v>15555</v>
      </c>
      <c r="O8178" s="9" t="str">
        <f aca="false">HYPERLINK("https://pbs.twimg.com/profile_images/810013492480643072/fSC_6Jgm_normal.jpg","View")</f>
        <v>View</v>
      </c>
      <c r="P8178" s="10"/>
    </row>
    <row r="8179" customFormat="false" ht="15.75" hidden="false" customHeight="false" outlineLevel="0" collapsed="false">
      <c r="A8179" s="6" t="n">
        <v>43032.1728240741</v>
      </c>
      <c r="B8179" s="7" t="str">
        <f aca="false">HYPERLINK("https://twitter.com/TopFiveTraders","@TopFiveTraders")</f>
        <v>@TopFiveTraders</v>
      </c>
      <c r="C8179" s="8" t="s">
        <v>321</v>
      </c>
      <c r="D8179" s="8" t="s">
        <v>18074</v>
      </c>
      <c r="E8179" s="9" t="str">
        <f aca="false">HYPERLINK("https://twitter.com/TopFiveTraders/status/922781937181315072","922781937181315072")</f>
        <v>922781937181315072</v>
      </c>
      <c r="F8179" s="10" t="s">
        <v>60</v>
      </c>
      <c r="G8179" s="10" t="n">
        <v>8181</v>
      </c>
      <c r="H8179" s="10" t="n">
        <v>6774</v>
      </c>
      <c r="I8179" s="10" t="n">
        <v>1</v>
      </c>
      <c r="J8179" s="10" t="n">
        <v>0</v>
      </c>
      <c r="K8179" s="10" t="s">
        <v>20</v>
      </c>
      <c r="L8179" s="11" t="n">
        <v>41573.4842013889</v>
      </c>
      <c r="M8179" s="12" t="s">
        <v>323</v>
      </c>
      <c r="N8179" s="12" t="s">
        <v>324</v>
      </c>
      <c r="O8179" s="9" t="str">
        <f aca="false">HYPERLINK("https://pbs.twimg.com/profile_images/729113141444026370/hi202Ffp_normal.jpg","View")</f>
        <v>View</v>
      </c>
      <c r="P8179" s="10"/>
    </row>
    <row r="8180" customFormat="false" ht="15.75" hidden="false" customHeight="false" outlineLevel="0" collapsed="false">
      <c r="A8180" s="6" t="n">
        <v>43032.1730555556</v>
      </c>
      <c r="B8180" s="7" t="str">
        <f aca="false">HYPERLINK("https://twitter.com/jmhamiltonblog","@jmhamiltonblog")</f>
        <v>@jmhamiltonblog</v>
      </c>
      <c r="C8180" s="8" t="s">
        <v>1155</v>
      </c>
      <c r="D8180" s="8" t="s">
        <v>18021</v>
      </c>
      <c r="E8180" s="9" t="str">
        <f aca="false">HYPERLINK("https://twitter.com/jmhamiltonblog/status/922782020689907713","922782020689907713")</f>
        <v>922782020689907713</v>
      </c>
      <c r="F8180" s="10" t="s">
        <v>39</v>
      </c>
      <c r="G8180" s="10" t="n">
        <v>5960</v>
      </c>
      <c r="H8180" s="10" t="n">
        <v>5484</v>
      </c>
      <c r="I8180" s="10" t="n">
        <v>18</v>
      </c>
      <c r="J8180" s="10" t="n">
        <v>0</v>
      </c>
      <c r="K8180" s="10" t="s">
        <v>20</v>
      </c>
      <c r="L8180" s="11" t="n">
        <v>40565.4844675926</v>
      </c>
      <c r="M8180" s="12" t="s">
        <v>1156</v>
      </c>
      <c r="N8180" s="12" t="s">
        <v>1157</v>
      </c>
      <c r="O8180" s="9" t="str">
        <f aca="false">HYPERLINK("https://pbs.twimg.com/profile_images/1261161568/Camera_Phone_009_normal.jpg","View")</f>
        <v>View</v>
      </c>
      <c r="P8180" s="10"/>
    </row>
    <row r="8181" customFormat="false" ht="15.75" hidden="false" customHeight="false" outlineLevel="0" collapsed="false">
      <c r="A8181" s="6" t="n">
        <v>43032.1730671296</v>
      </c>
      <c r="B8181" s="7" t="str">
        <f aca="false">HYPERLINK("https://twitter.com/autoworldmag","@autoworldmag")</f>
        <v>@autoworldmag</v>
      </c>
      <c r="C8181" s="8" t="s">
        <v>18075</v>
      </c>
      <c r="D8181" s="8" t="s">
        <v>18076</v>
      </c>
      <c r="E8181" s="9" t="str">
        <f aca="false">HYPERLINK("https://twitter.com/autoworldmag/status/922782025051922432","922782025051922432")</f>
        <v>922782025051922432</v>
      </c>
      <c r="F8181" s="10" t="s">
        <v>25</v>
      </c>
      <c r="G8181" s="10" t="n">
        <v>705</v>
      </c>
      <c r="H8181" s="10" t="n">
        <v>1390</v>
      </c>
      <c r="I8181" s="10" t="n">
        <v>2</v>
      </c>
      <c r="J8181" s="10" t="n">
        <v>0</v>
      </c>
      <c r="K8181" s="10" t="s">
        <v>20</v>
      </c>
      <c r="L8181" s="11" t="n">
        <v>41210.2905092593</v>
      </c>
      <c r="M8181" s="12" t="s">
        <v>1104</v>
      </c>
      <c r="N8181" s="12" t="s">
        <v>18077</v>
      </c>
      <c r="O8181" s="9" t="str">
        <f aca="false">HYPERLINK("https://pbs.twimg.com/profile_images/697346844641202177/4Pt-MQr2_normal.jpg","View")</f>
        <v>View</v>
      </c>
      <c r="P8181" s="10"/>
    </row>
    <row r="8182" customFormat="false" ht="15.75" hidden="false" customHeight="false" outlineLevel="0" collapsed="false">
      <c r="A8182" s="6" t="n">
        <v>43032.1731365741</v>
      </c>
      <c r="B8182" s="7" t="str">
        <f aca="false">HYPERLINK("https://twitter.com/InfoSharesinsid","@InfoSharesinsid")</f>
        <v>@InfoSharesinsid</v>
      </c>
      <c r="C8182" s="8" t="s">
        <v>18078</v>
      </c>
      <c r="D8182" s="8" t="s">
        <v>18079</v>
      </c>
      <c r="E8182" s="9" t="str">
        <f aca="false">HYPERLINK("https://twitter.com/InfoSharesinsid/status/922782050347896832","922782050347896832")</f>
        <v>922782050347896832</v>
      </c>
      <c r="F8182" s="10" t="s">
        <v>39</v>
      </c>
      <c r="G8182" s="10" t="n">
        <v>1857</v>
      </c>
      <c r="H8182" s="10" t="n">
        <v>4987</v>
      </c>
      <c r="I8182" s="10" t="n">
        <v>1</v>
      </c>
      <c r="J8182" s="10" t="n">
        <v>0</v>
      </c>
      <c r="K8182" s="10" t="s">
        <v>20</v>
      </c>
      <c r="L8182" s="11" t="n">
        <v>42518.0120949074</v>
      </c>
      <c r="M8182" s="12" t="s">
        <v>18080</v>
      </c>
      <c r="N8182" s="12" t="s">
        <v>18081</v>
      </c>
      <c r="O8182" s="9" t="str">
        <f aca="false">HYPERLINK("https://pbs.twimg.com/profile_images/736463198262427648/4JJAFLTk_normal.jpg","View")</f>
        <v>View</v>
      </c>
      <c r="P8182" s="10"/>
    </row>
    <row r="8183" customFormat="false" ht="15.75" hidden="false" customHeight="false" outlineLevel="0" collapsed="false">
      <c r="A8183" s="6" t="n">
        <v>43032.1735185185</v>
      </c>
      <c r="B8183" s="7" t="str">
        <f aca="false">HYPERLINK("https://twitter.com/kevinaudigier","@kevinaudigier")</f>
        <v>@kevinaudigier</v>
      </c>
      <c r="C8183" s="8" t="s">
        <v>18082</v>
      </c>
      <c r="D8183" s="8" t="s">
        <v>18059</v>
      </c>
      <c r="E8183" s="9" t="str">
        <f aca="false">HYPERLINK("https://twitter.com/kevinaudigier/status/922782188671729665","922782188671729665")</f>
        <v>922782188671729665</v>
      </c>
      <c r="F8183" s="10" t="s">
        <v>25</v>
      </c>
      <c r="G8183" s="10" t="n">
        <v>850</v>
      </c>
      <c r="H8183" s="10" t="n">
        <v>568</v>
      </c>
      <c r="I8183" s="10" t="n">
        <v>5</v>
      </c>
      <c r="J8183" s="10" t="n">
        <v>0</v>
      </c>
      <c r="K8183" s="10" t="s">
        <v>20</v>
      </c>
      <c r="L8183" s="11" t="n">
        <v>40925.3922222222</v>
      </c>
      <c r="M8183" s="12"/>
      <c r="N8183" s="12" t="s">
        <v>18083</v>
      </c>
      <c r="O8183" s="9" t="str">
        <f aca="false">HYPERLINK("https://pbs.twimg.com/profile_images/826507173983289347/fYjc1awX_normal.jpg","View")</f>
        <v>View</v>
      </c>
      <c r="P8183" s="10"/>
    </row>
    <row r="8184" customFormat="false" ht="15.75" hidden="false" customHeight="false" outlineLevel="0" collapsed="false">
      <c r="A8184" s="6" t="n">
        <v>43032.1748726852</v>
      </c>
      <c r="B8184" s="7" t="str">
        <f aca="false">HYPERLINK("https://twitter.com/InsdataInter","@InsdataInter")</f>
        <v>@InsdataInter</v>
      </c>
      <c r="C8184" s="8" t="s">
        <v>1860</v>
      </c>
      <c r="D8184" s="8" t="s">
        <v>18021</v>
      </c>
      <c r="E8184" s="9" t="str">
        <f aca="false">HYPERLINK("https://twitter.com/InsdataInter/status/922782679224979457","922782679224979457")</f>
        <v>922782679224979457</v>
      </c>
      <c r="F8184" s="10" t="s">
        <v>51</v>
      </c>
      <c r="G8184" s="10" t="n">
        <v>1729</v>
      </c>
      <c r="H8184" s="10" t="n">
        <v>2947</v>
      </c>
      <c r="I8184" s="10" t="n">
        <v>18</v>
      </c>
      <c r="J8184" s="10" t="n">
        <v>0</v>
      </c>
      <c r="K8184" s="10" t="s">
        <v>20</v>
      </c>
      <c r="L8184" s="11" t="n">
        <v>41533.3899768519</v>
      </c>
      <c r="M8184" s="12" t="s">
        <v>1861</v>
      </c>
      <c r="N8184" s="12"/>
      <c r="O8184" s="9" t="str">
        <f aca="false">HYPERLINK("https://pbs.twimg.com/profile_images/378800000501893520/b4582cd3ce52a7c47133d606b639176e_normal.jpeg","View")</f>
        <v>View</v>
      </c>
      <c r="P8184" s="10"/>
    </row>
    <row r="8185" customFormat="false" ht="15.75" hidden="false" customHeight="false" outlineLevel="0" collapsed="false">
      <c r="A8185" s="6" t="n">
        <v>43032.1753472222</v>
      </c>
      <c r="B8185" s="7" t="str">
        <f aca="false">HYPERLINK("https://twitter.com/CNBCTradersFan","@CNBCTradersFan")</f>
        <v>@CNBCTradersFan</v>
      </c>
      <c r="C8185" s="8" t="s">
        <v>325</v>
      </c>
      <c r="D8185" s="8" t="s">
        <v>18084</v>
      </c>
      <c r="E8185" s="9" t="str">
        <f aca="false">HYPERLINK("https://twitter.com/CNBCTradersFan/status/922782848301625344","922782848301625344")</f>
        <v>922782848301625344</v>
      </c>
      <c r="F8185" s="10" t="s">
        <v>60</v>
      </c>
      <c r="G8185" s="10" t="n">
        <v>17155</v>
      </c>
      <c r="H8185" s="10" t="n">
        <v>11641</v>
      </c>
      <c r="I8185" s="10" t="n">
        <v>0</v>
      </c>
      <c r="J8185" s="10" t="n">
        <v>0</v>
      </c>
      <c r="K8185" s="10" t="s">
        <v>20</v>
      </c>
      <c r="L8185" s="11" t="n">
        <v>40922.5054282407</v>
      </c>
      <c r="M8185" s="12" t="s">
        <v>327</v>
      </c>
      <c r="N8185" s="12" t="s">
        <v>328</v>
      </c>
      <c r="O8185" s="9" t="str">
        <f aca="false">HYPERLINK("https://pbs.twimg.com/profile_images/731870469318684672/Ckf7rDdJ_normal.jpg","View")</f>
        <v>View</v>
      </c>
      <c r="P8185" s="10"/>
    </row>
    <row r="8186" customFormat="false" ht="15.75" hidden="false" customHeight="false" outlineLevel="0" collapsed="false">
      <c r="A8186" s="6" t="n">
        <v>43032.1759259259</v>
      </c>
      <c r="B8186" s="7" t="str">
        <f aca="false">HYPERLINK("https://twitter.com/sitifatimahnet","@sitifatimahnet")</f>
        <v>@sitifatimahnet</v>
      </c>
      <c r="C8186" s="8" t="s">
        <v>11184</v>
      </c>
      <c r="D8186" s="8" t="s">
        <v>18085</v>
      </c>
      <c r="E8186" s="9" t="str">
        <f aca="false">HYPERLINK("https://twitter.com/sitifatimahnet/status/922783061007327232","922783061007327232")</f>
        <v>922783061007327232</v>
      </c>
      <c r="F8186" s="10" t="s">
        <v>60</v>
      </c>
      <c r="G8186" s="10" t="n">
        <v>312</v>
      </c>
      <c r="H8186" s="10" t="n">
        <v>27</v>
      </c>
      <c r="I8186" s="10" t="n">
        <v>0</v>
      </c>
      <c r="J8186" s="10" t="n">
        <v>0</v>
      </c>
      <c r="K8186" s="10" t="s">
        <v>20</v>
      </c>
      <c r="L8186" s="11" t="n">
        <v>42698.4371990741</v>
      </c>
      <c r="M8186" s="12" t="s">
        <v>11186</v>
      </c>
      <c r="N8186" s="12" t="s">
        <v>11187</v>
      </c>
      <c r="O8186" s="9" t="str">
        <f aca="false">HYPERLINK("https://pbs.twimg.com/profile_images/897683241594912769/-rSDzg9T_normal.jpg","View")</f>
        <v>View</v>
      </c>
      <c r="P8186" s="10"/>
    </row>
    <row r="8187" customFormat="false" ht="15.75" hidden="false" customHeight="false" outlineLevel="0" collapsed="false">
      <c r="A8187" s="6" t="n">
        <v>43032.1761458333</v>
      </c>
      <c r="B8187" s="7" t="str">
        <f aca="false">HYPERLINK("https://twitter.com/InsdataInter","@InsdataInter")</f>
        <v>@InsdataInter</v>
      </c>
      <c r="C8187" s="8" t="s">
        <v>1860</v>
      </c>
      <c r="D8187" s="8" t="s">
        <v>17880</v>
      </c>
      <c r="E8187" s="9" t="str">
        <f aca="false">HYPERLINK("https://twitter.com/InsdataInter/status/922783140086779904","922783140086779904")</f>
        <v>922783140086779904</v>
      </c>
      <c r="F8187" s="10" t="s">
        <v>51</v>
      </c>
      <c r="G8187" s="10" t="n">
        <v>1729</v>
      </c>
      <c r="H8187" s="10" t="n">
        <v>2947</v>
      </c>
      <c r="I8187" s="10" t="n">
        <v>27</v>
      </c>
      <c r="J8187" s="10" t="n">
        <v>0</v>
      </c>
      <c r="K8187" s="10" t="s">
        <v>20</v>
      </c>
      <c r="L8187" s="11" t="n">
        <v>41533.3899768519</v>
      </c>
      <c r="M8187" s="12" t="s">
        <v>1861</v>
      </c>
      <c r="N8187" s="12"/>
      <c r="O8187" s="9" t="str">
        <f aca="false">HYPERLINK("https://pbs.twimg.com/profile_images/378800000501893520/b4582cd3ce52a7c47133d606b639176e_normal.jpeg","View")</f>
        <v>View</v>
      </c>
      <c r="P8187" s="10"/>
    </row>
    <row r="8188" customFormat="false" ht="15.75" hidden="false" customHeight="false" outlineLevel="0" collapsed="false">
      <c r="A8188" s="6" t="n">
        <v>43032.1769675926</v>
      </c>
      <c r="B8188" s="7" t="str">
        <f aca="false">HYPERLINK("https://twitter.com/devakikhanna","@devakikhanna")</f>
        <v>@devakikhanna</v>
      </c>
      <c r="C8188" s="8" t="s">
        <v>18086</v>
      </c>
      <c r="D8188" s="8" t="s">
        <v>18087</v>
      </c>
      <c r="E8188" s="9" t="str">
        <f aca="false">HYPERLINK("https://twitter.com/devakikhanna/status/922783436850581504","922783436850581504")</f>
        <v>922783436850581504</v>
      </c>
      <c r="F8188" s="10" t="s">
        <v>1658</v>
      </c>
      <c r="G8188" s="10" t="n">
        <v>1640</v>
      </c>
      <c r="H8188" s="10" t="n">
        <v>2088</v>
      </c>
      <c r="I8188" s="10" t="n">
        <v>0</v>
      </c>
      <c r="J8188" s="10" t="n">
        <v>0</v>
      </c>
      <c r="K8188" s="10" t="s">
        <v>20</v>
      </c>
      <c r="L8188" s="11" t="n">
        <v>39897.1246296296</v>
      </c>
      <c r="M8188" s="12" t="s">
        <v>87</v>
      </c>
      <c r="N8188" s="12" t="s">
        <v>18088</v>
      </c>
      <c r="O8188" s="9" t="str">
        <f aca="false">HYPERLINK("https://pbs.twimg.com/profile_images/857520874475343873/NBabjVN__normal.jpg","View")</f>
        <v>View</v>
      </c>
      <c r="P8188" s="10"/>
    </row>
    <row r="8189" customFormat="false" ht="15.75" hidden="false" customHeight="false" outlineLevel="0" collapsed="false">
      <c r="A8189" s="6" t="n">
        <v>43032.1793981481</v>
      </c>
      <c r="B8189" s="7" t="str">
        <f aca="false">HYPERLINK("https://twitter.com/business","@business")</f>
        <v>@business</v>
      </c>
      <c r="C8189" s="8" t="s">
        <v>196</v>
      </c>
      <c r="D8189" s="8" t="s">
        <v>18089</v>
      </c>
      <c r="E8189" s="9" t="str">
        <f aca="false">HYPERLINK("https://twitter.com/business/status/922784316324581377","922784316324581377")</f>
        <v>922784316324581377</v>
      </c>
      <c r="F8189" s="10" t="s">
        <v>268</v>
      </c>
      <c r="G8189" s="10" t="n">
        <v>4344210</v>
      </c>
      <c r="H8189" s="10" t="n">
        <v>1088</v>
      </c>
      <c r="I8189" s="10" t="n">
        <v>121</v>
      </c>
      <c r="J8189" s="10" t="n">
        <v>27</v>
      </c>
      <c r="K8189" s="10" t="s">
        <v>20</v>
      </c>
      <c r="L8189" s="11" t="n">
        <v>39926.5453356481</v>
      </c>
      <c r="M8189" s="12" t="s">
        <v>199</v>
      </c>
      <c r="N8189" s="12" t="s">
        <v>200</v>
      </c>
      <c r="O8189" s="9" t="str">
        <f aca="false">HYPERLINK("https://pbs.twimg.com/profile_images/714946924105883648/4fgNVF4H_normal.jpg","View")</f>
        <v>View</v>
      </c>
      <c r="P8189" s="10"/>
    </row>
    <row r="8190" customFormat="false" ht="15.75" hidden="false" customHeight="false" outlineLevel="0" collapsed="false">
      <c r="A8190" s="6" t="n">
        <v>43032.1794444444</v>
      </c>
      <c r="B8190" s="7" t="str">
        <f aca="false">HYPERLINK("https://twitter.com/jaimeotero_","@jaimeotero_")</f>
        <v>@jaimeotero_</v>
      </c>
      <c r="C8190" s="8" t="s">
        <v>205</v>
      </c>
      <c r="D8190" s="8" t="s">
        <v>18090</v>
      </c>
      <c r="E8190" s="9" t="str">
        <f aca="false">HYPERLINK("https://twitter.com/jaimeotero_/status/922784335744458752","922784335744458752")</f>
        <v>922784335744458752</v>
      </c>
      <c r="F8190" s="10" t="s">
        <v>60</v>
      </c>
      <c r="G8190" s="10" t="n">
        <v>34492</v>
      </c>
      <c r="H8190" s="10" t="n">
        <v>31252</v>
      </c>
      <c r="I8190" s="10" t="n">
        <v>0</v>
      </c>
      <c r="J8190" s="10" t="n">
        <v>0</v>
      </c>
      <c r="K8190" s="10" t="s">
        <v>20</v>
      </c>
      <c r="L8190" s="11" t="n">
        <v>42531.0121990741</v>
      </c>
      <c r="M8190" s="12" t="s">
        <v>207</v>
      </c>
      <c r="N8190" s="12" t="s">
        <v>208</v>
      </c>
      <c r="O8190" s="9" t="str">
        <f aca="false">HYPERLINK("https://pbs.twimg.com/profile_images/849817561281818626/acAU04SD_normal.jpg","View")</f>
        <v>View</v>
      </c>
      <c r="P8190" s="10"/>
    </row>
    <row r="8191" customFormat="false" ht="15.75" hidden="false" customHeight="false" outlineLevel="0" collapsed="false">
      <c r="A8191" s="6" t="n">
        <v>43032.1795486111</v>
      </c>
      <c r="B8191" s="7" t="str">
        <f aca="false">HYPERLINK("https://twitter.com/ektrit","@ektrit")</f>
        <v>@ektrit</v>
      </c>
      <c r="C8191" s="8" t="s">
        <v>6944</v>
      </c>
      <c r="D8191" s="8" t="s">
        <v>18091</v>
      </c>
      <c r="E8191" s="9" t="str">
        <f aca="false">HYPERLINK("https://twitter.com/ektrit/status/922784373757349889","922784373757349889")</f>
        <v>922784373757349889</v>
      </c>
      <c r="F8191" s="10" t="s">
        <v>276</v>
      </c>
      <c r="G8191" s="10" t="n">
        <v>3178</v>
      </c>
      <c r="H8191" s="10" t="n">
        <v>555</v>
      </c>
      <c r="I8191" s="10" t="n">
        <v>121</v>
      </c>
      <c r="J8191" s="10" t="n">
        <v>0</v>
      </c>
      <c r="K8191" s="10" t="s">
        <v>20</v>
      </c>
      <c r="L8191" s="11" t="n">
        <v>40802.6552893519</v>
      </c>
      <c r="M8191" s="12" t="s">
        <v>6946</v>
      </c>
      <c r="N8191" s="12" t="s">
        <v>6947</v>
      </c>
      <c r="O8191" s="9" t="str">
        <f aca="false">HYPERLINK("https://pbs.twimg.com/profile_images/881453781581541376/vST3rDN1_normal.jpg","View")</f>
        <v>View</v>
      </c>
      <c r="P8191" s="10"/>
    </row>
    <row r="8192" customFormat="false" ht="15.75" hidden="false" customHeight="false" outlineLevel="0" collapsed="false">
      <c r="A8192" s="6" t="n">
        <v>43032.1798842593</v>
      </c>
      <c r="B8192" s="7" t="str">
        <f aca="false">HYPERLINK("https://twitter.com/JaponcaDersi","@JaponcaDersi")</f>
        <v>@JaponcaDersi</v>
      </c>
      <c r="C8192" s="8" t="s">
        <v>18092</v>
      </c>
      <c r="D8192" s="8" t="s">
        <v>18093</v>
      </c>
      <c r="E8192" s="9" t="str">
        <f aca="false">HYPERLINK("https://twitter.com/JaponcaDersi/status/922784495866122240","922784495866122240")</f>
        <v>922784495866122240</v>
      </c>
      <c r="F8192" s="10" t="s">
        <v>25</v>
      </c>
      <c r="G8192" s="10" t="n">
        <v>715</v>
      </c>
      <c r="H8192" s="10" t="n">
        <v>5003</v>
      </c>
      <c r="I8192" s="10" t="n">
        <v>0</v>
      </c>
      <c r="J8192" s="10" t="n">
        <v>0</v>
      </c>
      <c r="K8192" s="10" t="s">
        <v>20</v>
      </c>
      <c r="L8192" s="11" t="n">
        <v>42895.5441203704</v>
      </c>
      <c r="M8192" s="12" t="s">
        <v>18094</v>
      </c>
      <c r="N8192" s="12" t="s">
        <v>18095</v>
      </c>
      <c r="O8192" s="9" t="str">
        <f aca="false">HYPERLINK("https://pbs.twimg.com/profile_images/885771797894975490/zTzML67E_normal.jpg","View")</f>
        <v>View</v>
      </c>
      <c r="P8192" s="10"/>
    </row>
    <row r="8193" customFormat="false" ht="15.75" hidden="false" customHeight="false" outlineLevel="0" collapsed="false">
      <c r="A8193" s="6" t="n">
        <v>43032.1800347222</v>
      </c>
      <c r="B8193" s="7" t="str">
        <f aca="false">HYPERLINK("https://twitter.com/serge_poznanski","@serge_poznanski")</f>
        <v>@serge_poznanski</v>
      </c>
      <c r="C8193" s="8" t="s">
        <v>212</v>
      </c>
      <c r="D8193" s="8" t="s">
        <v>18096</v>
      </c>
      <c r="E8193" s="9" t="str">
        <f aca="false">HYPERLINK("https://twitter.com/serge_poznanski/status/922784546713726976","922784546713726976")</f>
        <v>922784546713726976</v>
      </c>
      <c r="F8193" s="10" t="s">
        <v>60</v>
      </c>
      <c r="G8193" s="10" t="n">
        <v>1424</v>
      </c>
      <c r="H8193" s="10" t="n">
        <v>2136</v>
      </c>
      <c r="I8193" s="10" t="n">
        <v>0</v>
      </c>
      <c r="J8193" s="10" t="n">
        <v>0</v>
      </c>
      <c r="K8193" s="10" t="s">
        <v>20</v>
      </c>
      <c r="L8193" s="11" t="n">
        <v>42271.4744560185</v>
      </c>
      <c r="M8193" s="12"/>
      <c r="N8193" s="12"/>
      <c r="O8193" s="9" t="str">
        <f aca="false">HYPERLINK("https://pbs.twimg.com/profile_images/647277253240291328/3GezjFCJ_normal.jpg","View")</f>
        <v>View</v>
      </c>
      <c r="P8193" s="10"/>
    </row>
    <row r="8194" customFormat="false" ht="15.75" hidden="false" customHeight="false" outlineLevel="0" collapsed="false">
      <c r="A8194" s="6" t="n">
        <v>43032.1803935185</v>
      </c>
      <c r="B8194" s="7" t="str">
        <f aca="false">HYPERLINK("https://twitter.com/mjbohl07","@mjbohl07")</f>
        <v>@mjbohl07</v>
      </c>
      <c r="C8194" s="8" t="s">
        <v>18097</v>
      </c>
      <c r="D8194" s="8" t="s">
        <v>18091</v>
      </c>
      <c r="E8194" s="9" t="str">
        <f aca="false">HYPERLINK("https://twitter.com/mjbohl07/status/922784677722701824","922784677722701824")</f>
        <v>922784677722701824</v>
      </c>
      <c r="F8194" s="10" t="s">
        <v>2620</v>
      </c>
      <c r="G8194" s="10" t="n">
        <v>3567</v>
      </c>
      <c r="H8194" s="10" t="n">
        <v>4992</v>
      </c>
      <c r="I8194" s="10" t="n">
        <v>121</v>
      </c>
      <c r="J8194" s="10" t="n">
        <v>0</v>
      </c>
      <c r="K8194" s="10" t="s">
        <v>20</v>
      </c>
      <c r="L8194" s="11" t="n">
        <v>41842.4789930556</v>
      </c>
      <c r="M8194" s="12" t="s">
        <v>3699</v>
      </c>
      <c r="N8194" s="12" t="s">
        <v>18098</v>
      </c>
      <c r="O8194" s="9" t="str">
        <f aca="false">HYPERLINK("https://pbs.twimg.com/profile_images/892883538403500032/vIXLw2fs_normal.jpg","View")</f>
        <v>View</v>
      </c>
      <c r="P8194" s="10"/>
    </row>
    <row r="8195" customFormat="false" ht="15.75" hidden="false" customHeight="false" outlineLevel="0" collapsed="false">
      <c r="A8195" s="6" t="n">
        <v>43032.1804050926</v>
      </c>
      <c r="B8195" s="7" t="str">
        <f aca="false">HYPERLINK("https://twitter.com/DianaLaneHR","@DianaLaneHR")</f>
        <v>@DianaLaneHR</v>
      </c>
      <c r="C8195" s="8" t="s">
        <v>6964</v>
      </c>
      <c r="D8195" s="8" t="s">
        <v>18091</v>
      </c>
      <c r="E8195" s="9" t="str">
        <f aca="false">HYPERLINK("https://twitter.com/DianaLaneHR/status/922784682168733696","922784682168733696")</f>
        <v>922784682168733696</v>
      </c>
      <c r="F8195" s="10" t="s">
        <v>39</v>
      </c>
      <c r="G8195" s="10" t="n">
        <v>267</v>
      </c>
      <c r="H8195" s="10" t="n">
        <v>223</v>
      </c>
      <c r="I8195" s="10" t="n">
        <v>121</v>
      </c>
      <c r="J8195" s="10" t="n">
        <v>0</v>
      </c>
      <c r="K8195" s="10" t="s">
        <v>20</v>
      </c>
      <c r="L8195" s="11" t="n">
        <v>41029.443912037</v>
      </c>
      <c r="M8195" s="12"/>
      <c r="N8195" s="12" t="s">
        <v>6965</v>
      </c>
      <c r="O8195" s="9" t="str">
        <f aca="false">HYPERLINK("https://pbs.twimg.com/profile_images/2179228206/diana_normal","View")</f>
        <v>View</v>
      </c>
      <c r="P8195" s="10"/>
    </row>
    <row r="8196" customFormat="false" ht="15.75" hidden="false" customHeight="false" outlineLevel="0" collapsed="false">
      <c r="A8196" s="6" t="n">
        <v>43032.1806365741</v>
      </c>
      <c r="B8196" s="7" t="str">
        <f aca="false">HYPERLINK("https://twitter.com/News365247live","@News365247live")</f>
        <v>@News365247live</v>
      </c>
      <c r="C8196" s="8" t="s">
        <v>376</v>
      </c>
      <c r="D8196" s="8" t="s">
        <v>18091</v>
      </c>
      <c r="E8196" s="9" t="str">
        <f aca="false">HYPERLINK("https://twitter.com/News365247live/status/922784768441196544","922784768441196544")</f>
        <v>922784768441196544</v>
      </c>
      <c r="F8196" s="10" t="s">
        <v>377</v>
      </c>
      <c r="G8196" s="10" t="n">
        <v>1536</v>
      </c>
      <c r="H8196" s="10" t="n">
        <v>5001</v>
      </c>
      <c r="I8196" s="10" t="n">
        <v>121</v>
      </c>
      <c r="J8196" s="10" t="n">
        <v>0</v>
      </c>
      <c r="K8196" s="10" t="s">
        <v>20</v>
      </c>
      <c r="L8196" s="11" t="n">
        <v>42728.3420949074</v>
      </c>
      <c r="M8196" s="12" t="s">
        <v>357</v>
      </c>
      <c r="N8196" s="12" t="s">
        <v>378</v>
      </c>
      <c r="O8196" s="9" t="str">
        <f aca="false">HYPERLINK("https://pbs.twimg.com/profile_images/813047771091472384/ZtakiWrG_normal.jpg","View")</f>
        <v>View</v>
      </c>
      <c r="P8196" s="10"/>
    </row>
    <row r="8197" customFormat="false" ht="15.75" hidden="false" customHeight="false" outlineLevel="0" collapsed="false">
      <c r="A8197" s="6" t="n">
        <v>43032.1809837963</v>
      </c>
      <c r="B8197" s="7" t="str">
        <f aca="false">HYPERLINK("https://twitter.com/Bullish","@Bullish")</f>
        <v>@Bullish</v>
      </c>
      <c r="C8197" s="8" t="s">
        <v>223</v>
      </c>
      <c r="D8197" s="8" t="s">
        <v>18099</v>
      </c>
      <c r="E8197" s="9" t="str">
        <f aca="false">HYPERLINK("https://twitter.com/Bullish/status/922784891087020032","922784891087020032")</f>
        <v>922784891087020032</v>
      </c>
      <c r="F8197" s="10" t="s">
        <v>60</v>
      </c>
      <c r="G8197" s="10" t="n">
        <v>184</v>
      </c>
      <c r="H8197" s="10" t="n">
        <v>87</v>
      </c>
      <c r="I8197" s="10" t="n">
        <v>0</v>
      </c>
      <c r="J8197" s="10" t="n">
        <v>0</v>
      </c>
      <c r="K8197" s="10" t="s">
        <v>20</v>
      </c>
      <c r="L8197" s="11" t="n">
        <v>42618.7530439815</v>
      </c>
      <c r="M8197" s="12"/>
      <c r="N8197" s="12"/>
      <c r="O8197" s="9" t="str">
        <f aca="false">HYPERLINK("https://pbs.twimg.com/profile_images/798692093736599552/UikI9dNE_normal.jpg","View")</f>
        <v>View</v>
      </c>
      <c r="P8197" s="10"/>
    </row>
    <row r="8198" customFormat="false" ht="15.75" hidden="false" customHeight="false" outlineLevel="0" collapsed="false">
      <c r="A8198" s="6" t="n">
        <v>43032.181087963</v>
      </c>
      <c r="B8198" s="7" t="str">
        <f aca="false">HYPERLINK("https://twitter.com/Tekki_VR","@Tekki_VR")</f>
        <v>@Tekki_VR</v>
      </c>
      <c r="C8198" s="8" t="s">
        <v>225</v>
      </c>
      <c r="D8198" s="8" t="s">
        <v>18100</v>
      </c>
      <c r="E8198" s="9" t="str">
        <f aca="false">HYPERLINK("https://twitter.com/Tekki_VR/status/922784928089165824","922784928089165824")</f>
        <v>922784928089165824</v>
      </c>
      <c r="F8198" s="10" t="s">
        <v>60</v>
      </c>
      <c r="G8198" s="10" t="n">
        <v>1895</v>
      </c>
      <c r="H8198" s="10" t="n">
        <v>2479</v>
      </c>
      <c r="I8198" s="10" t="n">
        <v>0</v>
      </c>
      <c r="J8198" s="10" t="n">
        <v>0</v>
      </c>
      <c r="K8198" s="10" t="s">
        <v>20</v>
      </c>
      <c r="L8198" s="11" t="n">
        <v>42263.5455324074</v>
      </c>
      <c r="M8198" s="12" t="s">
        <v>227</v>
      </c>
      <c r="N8198" s="12" t="s">
        <v>228</v>
      </c>
      <c r="O8198" s="9" t="str">
        <f aca="false">HYPERLINK("https://pbs.twimg.com/profile_images/760662770694098944/h1nSBfE8_normal.jpg","View")</f>
        <v>View</v>
      </c>
      <c r="P8198" s="10"/>
    </row>
    <row r="8199" customFormat="false" ht="15.75" hidden="false" customHeight="false" outlineLevel="0" collapsed="false">
      <c r="A8199" s="6" t="n">
        <v>43032.1813425926</v>
      </c>
      <c r="B8199" s="7" t="str">
        <f aca="false">HYPERLINK("https://twitter.com/CD_Hyeri","@CD_Hyeri")</f>
        <v>@CD_Hyeri</v>
      </c>
      <c r="C8199" s="8" t="s">
        <v>18101</v>
      </c>
      <c r="D8199" s="8" t="s">
        <v>18091</v>
      </c>
      <c r="E8199" s="9" t="str">
        <f aca="false">HYPERLINK("https://twitter.com/CD_Hyeri/status/922785020904816640","922785020904816640")</f>
        <v>922785020904816640</v>
      </c>
      <c r="F8199" s="10" t="s">
        <v>25</v>
      </c>
      <c r="G8199" s="10" t="n">
        <v>664</v>
      </c>
      <c r="H8199" s="10" t="n">
        <v>512</v>
      </c>
      <c r="I8199" s="10" t="n">
        <v>121</v>
      </c>
      <c r="J8199" s="10" t="n">
        <v>0</v>
      </c>
      <c r="K8199" s="10" t="s">
        <v>20</v>
      </c>
      <c r="L8199" s="11" t="n">
        <v>42081.0084375</v>
      </c>
      <c r="M8199" s="12"/>
      <c r="N8199" s="12"/>
      <c r="O8199" s="9" t="str">
        <f aca="false">HYPERLINK("https://pbs.twimg.com/profile_images/799525633835626496/nhxIgkVH_normal.jpg","View")</f>
        <v>View</v>
      </c>
      <c r="P8199" s="10"/>
    </row>
    <row r="8200" customFormat="false" ht="15.75" hidden="false" customHeight="false" outlineLevel="0" collapsed="false">
      <c r="A8200" s="6" t="n">
        <v>43032.1813541667</v>
      </c>
      <c r="B8200" s="7" t="str">
        <f aca="false">HYPERLINK("https://twitter.com/PatriotFNP","@PatriotFNP")</f>
        <v>@PatriotFNP</v>
      </c>
      <c r="C8200" s="8" t="s">
        <v>18102</v>
      </c>
      <c r="D8200" s="8" t="s">
        <v>8538</v>
      </c>
      <c r="E8200" s="9" t="str">
        <f aca="false">HYPERLINK("https://twitter.com/PatriotFNP/status/922785028148428800","922785028148428800")</f>
        <v>922785028148428800</v>
      </c>
      <c r="F8200" s="10" t="s">
        <v>51</v>
      </c>
      <c r="G8200" s="10" t="n">
        <v>829</v>
      </c>
      <c r="H8200" s="10" t="n">
        <v>830</v>
      </c>
      <c r="I8200" s="10" t="n">
        <v>1015</v>
      </c>
      <c r="J8200" s="10" t="n">
        <v>0</v>
      </c>
      <c r="K8200" s="10" t="s">
        <v>20</v>
      </c>
      <c r="L8200" s="11" t="n">
        <v>42492.3635069444</v>
      </c>
      <c r="M8200" s="12" t="s">
        <v>1961</v>
      </c>
      <c r="N8200" s="12" t="s">
        <v>18103</v>
      </c>
      <c r="O8200" s="9" t="str">
        <f aca="false">HYPERLINK("https://pbs.twimg.com/profile_images/876886571110330368/3EjwILnw_normal.jpg","View")</f>
        <v>View</v>
      </c>
      <c r="P8200" s="10"/>
    </row>
    <row r="8201" customFormat="false" ht="15.75" hidden="false" customHeight="false" outlineLevel="0" collapsed="false">
      <c r="A8201" s="6" t="n">
        <v>43032.1814351852</v>
      </c>
      <c r="B8201" s="7" t="str">
        <f aca="false">HYPERLINK("https://twitter.com/mlnangalama","@mlnangalama")</f>
        <v>@mlnangalama</v>
      </c>
      <c r="C8201" s="8" t="s">
        <v>255</v>
      </c>
      <c r="D8201" s="8" t="s">
        <v>18104</v>
      </c>
      <c r="E8201" s="9" t="str">
        <f aca="false">HYPERLINK("https://twitter.com/mlnangalama/status/922785056896233472","922785056896233472")</f>
        <v>922785056896233472</v>
      </c>
      <c r="F8201" s="10" t="s">
        <v>60</v>
      </c>
      <c r="G8201" s="10" t="n">
        <v>2370</v>
      </c>
      <c r="H8201" s="10" t="n">
        <v>1584</v>
      </c>
      <c r="I8201" s="10" t="n">
        <v>0</v>
      </c>
      <c r="J8201" s="10" t="n">
        <v>0</v>
      </c>
      <c r="K8201" s="10" t="s">
        <v>20</v>
      </c>
      <c r="L8201" s="11" t="n">
        <v>41041.5437847222</v>
      </c>
      <c r="M8201" s="12" t="s">
        <v>257</v>
      </c>
      <c r="N8201" s="12" t="s">
        <v>258</v>
      </c>
      <c r="O8201" s="9" t="str">
        <f aca="false">HYPERLINK("https://pbs.twimg.com/profile_images/900915882444173313/biUHzvpx_normal.jpg","View")</f>
        <v>View</v>
      </c>
      <c r="P8201" s="10"/>
    </row>
    <row r="8202" customFormat="false" ht="15.75" hidden="false" customHeight="false" outlineLevel="0" collapsed="false">
      <c r="A8202" s="6" t="n">
        <v>43032.1815740741</v>
      </c>
      <c r="B8202" s="7" t="str">
        <f aca="false">HYPERLINK("https://twitter.com/shailendra_nair","@shailendra_nair")</f>
        <v>@shailendra_nair</v>
      </c>
      <c r="C8202" s="8" t="s">
        <v>251</v>
      </c>
      <c r="D8202" s="8" t="s">
        <v>18105</v>
      </c>
      <c r="E8202" s="9" t="str">
        <f aca="false">HYPERLINK("https://twitter.com/shailendra_nair/status/922785104480653312","922785104480653312")</f>
        <v>922785104480653312</v>
      </c>
      <c r="F8202" s="10" t="s">
        <v>60</v>
      </c>
      <c r="G8202" s="10" t="n">
        <v>3987</v>
      </c>
      <c r="H8202" s="10" t="n">
        <v>1042</v>
      </c>
      <c r="I8202" s="10" t="n">
        <v>0</v>
      </c>
      <c r="J8202" s="10" t="n">
        <v>0</v>
      </c>
      <c r="K8202" s="10" t="s">
        <v>20</v>
      </c>
      <c r="L8202" s="11" t="n">
        <v>40362.4379861111</v>
      </c>
      <c r="M8202" s="12" t="s">
        <v>253</v>
      </c>
      <c r="N8202" s="12" t="s">
        <v>254</v>
      </c>
      <c r="O8202" s="9" t="str">
        <f aca="false">HYPERLINK("https://pbs.twimg.com/profile_images/884758468879466497/M_w6UjD3_normal.jpg","View")</f>
        <v>View</v>
      </c>
      <c r="P8202" s="10"/>
    </row>
    <row r="8203" customFormat="false" ht="15.75" hidden="false" customHeight="false" outlineLevel="0" collapsed="false">
      <c r="A8203" s="6" t="n">
        <v>43032.1817476852</v>
      </c>
      <c r="B8203" s="7" t="str">
        <f aca="false">HYPERLINK("https://twitter.com/Pelleg1Gabriell","@Pelleg1Gabriell")</f>
        <v>@Pelleg1Gabriell</v>
      </c>
      <c r="C8203" s="8" t="s">
        <v>5824</v>
      </c>
      <c r="D8203" s="8" t="s">
        <v>16929</v>
      </c>
      <c r="E8203" s="9" t="str">
        <f aca="false">HYPERLINK("https://twitter.com/Pelleg1Gabriell/status/922785167294341120","922785167294341120")</f>
        <v>922785167294341120</v>
      </c>
      <c r="F8203" s="10" t="s">
        <v>51</v>
      </c>
      <c r="G8203" s="10" t="n">
        <v>1174</v>
      </c>
      <c r="H8203" s="10" t="n">
        <v>885</v>
      </c>
      <c r="I8203" s="10" t="n">
        <v>247</v>
      </c>
      <c r="J8203" s="10" t="n">
        <v>0</v>
      </c>
      <c r="K8203" s="10" t="s">
        <v>20</v>
      </c>
      <c r="L8203" s="11" t="n">
        <v>42232.2109606482</v>
      </c>
      <c r="M8203" s="12" t="s">
        <v>5825</v>
      </c>
      <c r="N8203" s="12" t="s">
        <v>5826</v>
      </c>
      <c r="O8203" s="9" t="str">
        <f aca="false">HYPERLINK("https://pbs.twimg.com/profile_images/633634811605741569/vvvAX6UL_normal.jpg","View")</f>
        <v>View</v>
      </c>
      <c r="P8203" s="10"/>
    </row>
    <row r="8204" customFormat="false" ht="15.75" hidden="false" customHeight="false" outlineLevel="0" collapsed="false">
      <c r="A8204" s="6" t="n">
        <v>43032.1818518519</v>
      </c>
      <c r="B8204" s="7" t="str">
        <f aca="false">HYPERLINK("https://twitter.com/LudgmyF","@LudgmyF")</f>
        <v>@LudgmyF</v>
      </c>
      <c r="C8204" s="8" t="s">
        <v>18106</v>
      </c>
      <c r="D8204" s="8" t="s">
        <v>18091</v>
      </c>
      <c r="E8204" s="9" t="str">
        <f aca="false">HYPERLINK("https://twitter.com/LudgmyF/status/922785207383724033","922785207383724033")</f>
        <v>922785207383724033</v>
      </c>
      <c r="F8204" s="10" t="s">
        <v>51</v>
      </c>
      <c r="G8204" s="10" t="n">
        <v>358</v>
      </c>
      <c r="H8204" s="10" t="n">
        <v>167</v>
      </c>
      <c r="I8204" s="10" t="n">
        <v>121</v>
      </c>
      <c r="J8204" s="10" t="n">
        <v>0</v>
      </c>
      <c r="K8204" s="10" t="s">
        <v>20</v>
      </c>
      <c r="L8204" s="11" t="n">
        <v>41467.3036574074</v>
      </c>
      <c r="M8204" s="12"/>
      <c r="N8204" s="12"/>
      <c r="O8204" s="9" t="str">
        <f aca="false">HYPERLINK("https://pbs.twimg.com/profile_images/776732685364441089/FHFcSq6G_normal.jpg","View")</f>
        <v>View</v>
      </c>
      <c r="P8204" s="10"/>
    </row>
    <row r="8205" customFormat="false" ht="15.75" hidden="false" customHeight="false" outlineLevel="0" collapsed="false">
      <c r="A8205" s="6" t="n">
        <v>43032.1828935185</v>
      </c>
      <c r="B8205" s="7" t="str">
        <f aca="false">HYPERLINK("https://twitter.com/swissifg","@swissifg")</f>
        <v>@swissifg</v>
      </c>
      <c r="C8205" s="8" t="s">
        <v>247</v>
      </c>
      <c r="D8205" s="8" t="s">
        <v>18107</v>
      </c>
      <c r="E8205" s="9" t="str">
        <f aca="false">HYPERLINK("https://twitter.com/swissifg/status/922785582392193024","922785582392193024")</f>
        <v>922785582392193024</v>
      </c>
      <c r="F8205" s="10" t="s">
        <v>60</v>
      </c>
      <c r="G8205" s="10" t="n">
        <v>1202</v>
      </c>
      <c r="H8205" s="10" t="n">
        <v>670</v>
      </c>
      <c r="I8205" s="10" t="n">
        <v>0</v>
      </c>
      <c r="J8205" s="10" t="n">
        <v>0</v>
      </c>
      <c r="K8205" s="10" t="s">
        <v>20</v>
      </c>
      <c r="L8205" s="11" t="n">
        <v>42499.2341087963</v>
      </c>
      <c r="M8205" s="12" t="s">
        <v>249</v>
      </c>
      <c r="N8205" s="12" t="s">
        <v>250</v>
      </c>
      <c r="O8205" s="9" t="str">
        <f aca="false">HYPERLINK("https://pbs.twimg.com/profile_images/729681805088063489/N4ls5vb8_normal.jpg","View")</f>
        <v>View</v>
      </c>
      <c r="P8205" s="10"/>
    </row>
    <row r="8206" customFormat="false" ht="15.75" hidden="false" customHeight="false" outlineLevel="0" collapsed="false">
      <c r="A8206" s="6" t="n">
        <v>43032.1829166667</v>
      </c>
      <c r="B8206" s="7" t="str">
        <f aca="false">HYPERLINK("https://twitter.com/_DebSchulte","@_DebSchulte")</f>
        <v>@_DebSchulte</v>
      </c>
      <c r="C8206" s="8" t="s">
        <v>18108</v>
      </c>
      <c r="D8206" s="8" t="s">
        <v>15821</v>
      </c>
      <c r="E8206" s="9" t="str">
        <f aca="false">HYPERLINK("https://twitter.com/_DebSchulte/status/922785592756207616","922785592756207616")</f>
        <v>922785592756207616</v>
      </c>
      <c r="F8206" s="10" t="s">
        <v>25</v>
      </c>
      <c r="G8206" s="10" t="n">
        <v>3014</v>
      </c>
      <c r="H8206" s="10" t="n">
        <v>416</v>
      </c>
      <c r="I8206" s="10" t="n">
        <v>41</v>
      </c>
      <c r="J8206" s="10" t="n">
        <v>0</v>
      </c>
      <c r="K8206" s="10" t="s">
        <v>20</v>
      </c>
      <c r="L8206" s="11" t="n">
        <v>40936.7769328704</v>
      </c>
      <c r="M8206" s="12" t="s">
        <v>18109</v>
      </c>
      <c r="N8206" s="12" t="s">
        <v>18110</v>
      </c>
      <c r="O8206" s="9" t="str">
        <f aca="false">HYPERLINK("https://pbs.twimg.com/profile_images/626159773289947136/PH3GQlGa_normal.jpg","View")</f>
        <v>View</v>
      </c>
      <c r="P8206" s="10"/>
    </row>
    <row r="8207" customFormat="false" ht="15.75" hidden="false" customHeight="false" outlineLevel="0" collapsed="false">
      <c r="A8207" s="6" t="n">
        <v>43032.1830324074</v>
      </c>
      <c r="B8207" s="7" t="str">
        <f aca="false">HYPERLINK("https://twitter.com/FallySomboNkhwa","@FallySomboNkhwa")</f>
        <v>@FallySomboNkhwa</v>
      </c>
      <c r="C8207" s="8" t="s">
        <v>260</v>
      </c>
      <c r="D8207" s="8" t="s">
        <v>18111</v>
      </c>
      <c r="E8207" s="9" t="str">
        <f aca="false">HYPERLINK("https://twitter.com/FallySomboNkhwa/status/922785635177549856","922785635177549856")</f>
        <v>922785635177549856</v>
      </c>
      <c r="F8207" s="10" t="s">
        <v>60</v>
      </c>
      <c r="G8207" s="10" t="n">
        <v>421</v>
      </c>
      <c r="H8207" s="10" t="n">
        <v>2195</v>
      </c>
      <c r="I8207" s="10" t="n">
        <v>0</v>
      </c>
      <c r="J8207" s="10" t="n">
        <v>0</v>
      </c>
      <c r="K8207" s="10" t="s">
        <v>20</v>
      </c>
      <c r="L8207" s="11" t="n">
        <v>41551.8204166667</v>
      </c>
      <c r="M8207" s="12" t="s">
        <v>262</v>
      </c>
      <c r="N8207" s="12" t="s">
        <v>263</v>
      </c>
      <c r="O8207" s="9" t="str">
        <f aca="false">HYPERLINK("https://pbs.twimg.com/profile_images/543761133505503235/pKcg8bc2_normal.jpeg","View")</f>
        <v>View</v>
      </c>
      <c r="P8207" s="10"/>
    </row>
    <row r="8208" customFormat="false" ht="15.75" hidden="false" customHeight="false" outlineLevel="0" collapsed="false">
      <c r="A8208" s="6" t="n">
        <v>43032.1838078704</v>
      </c>
      <c r="B8208" s="7" t="str">
        <f aca="false">HYPERLINK("https://twitter.com/NWarind","@NWarind")</f>
        <v>@NWarind</v>
      </c>
      <c r="C8208" s="8" t="s">
        <v>7735</v>
      </c>
      <c r="D8208" s="8" t="s">
        <v>18091</v>
      </c>
      <c r="E8208" s="9" t="str">
        <f aca="false">HYPERLINK("https://twitter.com/NWarind/status/922785913901584384","922785913901584384")</f>
        <v>922785913901584384</v>
      </c>
      <c r="F8208" s="10" t="s">
        <v>51</v>
      </c>
      <c r="G8208" s="10" t="n">
        <v>1588</v>
      </c>
      <c r="H8208" s="10" t="n">
        <v>703</v>
      </c>
      <c r="I8208" s="10" t="n">
        <v>121</v>
      </c>
      <c r="J8208" s="10" t="n">
        <v>0</v>
      </c>
      <c r="K8208" s="10" t="s">
        <v>20</v>
      </c>
      <c r="L8208" s="11" t="n">
        <v>41132.611400463</v>
      </c>
      <c r="M8208" s="12" t="s">
        <v>7737</v>
      </c>
      <c r="N8208" s="12" t="s">
        <v>7738</v>
      </c>
      <c r="O8208" s="9" t="str">
        <f aca="false">HYPERLINK("https://pbs.twimg.com/profile_images/447816450179227648/0XqRD6wu_normal.jpeg","View")</f>
        <v>View</v>
      </c>
      <c r="P8208" s="10"/>
    </row>
    <row r="8209" customFormat="false" ht="15.75" hidden="false" customHeight="false" outlineLevel="0" collapsed="false">
      <c r="A8209" s="6" t="n">
        <v>43032.1838078704</v>
      </c>
      <c r="B8209" s="7" t="str">
        <f aca="false">HYPERLINK("https://twitter.com/sabrinadh","@sabrinadh")</f>
        <v>@sabrinadh</v>
      </c>
      <c r="C8209" s="8" t="s">
        <v>18112</v>
      </c>
      <c r="D8209" s="8" t="s">
        <v>8538</v>
      </c>
      <c r="E8209" s="9" t="str">
        <f aca="false">HYPERLINK("https://twitter.com/sabrinadh/status/922785915143155712","922785915143155712")</f>
        <v>922785915143155712</v>
      </c>
      <c r="F8209" s="10" t="s">
        <v>25</v>
      </c>
      <c r="G8209" s="10" t="n">
        <v>136</v>
      </c>
      <c r="H8209" s="10" t="n">
        <v>65</v>
      </c>
      <c r="I8209" s="10" t="n">
        <v>1015</v>
      </c>
      <c r="J8209" s="10" t="n">
        <v>0</v>
      </c>
      <c r="K8209" s="10" t="s">
        <v>20</v>
      </c>
      <c r="L8209" s="11" t="n">
        <v>40459.615</v>
      </c>
      <c r="M8209" s="12"/>
      <c r="N8209" s="12"/>
      <c r="O8209" s="9" t="str">
        <f aca="false">HYPERLINK("https://pbs.twimg.com/profile_images/530951611422482432/5R3Dn_fD_normal.jpeg","View")</f>
        <v>View</v>
      </c>
      <c r="P8209" s="10"/>
    </row>
    <row r="8210" customFormat="false" ht="15.75" hidden="false" customHeight="false" outlineLevel="0" collapsed="false">
      <c r="A8210" s="6" t="n">
        <v>43032.184224537</v>
      </c>
      <c r="B8210" s="7" t="str">
        <f aca="false">HYPERLINK("https://twitter.com/rcsamayoa","@rcsamayoa")</f>
        <v>@rcsamayoa</v>
      </c>
      <c r="C8210" s="8" t="s">
        <v>7169</v>
      </c>
      <c r="D8210" s="8" t="s">
        <v>18091</v>
      </c>
      <c r="E8210" s="9" t="str">
        <f aca="false">HYPERLINK("https://twitter.com/rcsamayoa/status/922786068491112448","922786068491112448")</f>
        <v>922786068491112448</v>
      </c>
      <c r="F8210" s="10" t="s">
        <v>51</v>
      </c>
      <c r="G8210" s="10" t="n">
        <v>588</v>
      </c>
      <c r="H8210" s="10" t="n">
        <v>1181</v>
      </c>
      <c r="I8210" s="10" t="n">
        <v>121</v>
      </c>
      <c r="J8210" s="10" t="n">
        <v>0</v>
      </c>
      <c r="K8210" s="10" t="s">
        <v>20</v>
      </c>
      <c r="L8210" s="11" t="n">
        <v>39957.5929282407</v>
      </c>
      <c r="M8210" s="12" t="s">
        <v>7170</v>
      </c>
      <c r="N8210" s="12" t="s">
        <v>7171</v>
      </c>
      <c r="O8210" s="9" t="str">
        <f aca="false">HYPERLINK("https://pbs.twimg.com/profile_images/892946815091220480/V9GcHng-_normal.jpg","View")</f>
        <v>View</v>
      </c>
      <c r="P8210" s="10"/>
    </row>
    <row r="8211" customFormat="false" ht="15.75" hidden="false" customHeight="false" outlineLevel="0" collapsed="false">
      <c r="A8211" s="6" t="n">
        <v>43032.186724537</v>
      </c>
      <c r="B8211" s="7" t="str">
        <f aca="false">HYPERLINK("https://twitter.com/NewtiesB","@NewtiesB")</f>
        <v>@NewtiesB</v>
      </c>
      <c r="C8211" s="8" t="s">
        <v>18113</v>
      </c>
      <c r="D8211" s="8" t="s">
        <v>18114</v>
      </c>
      <c r="E8211" s="9" t="str">
        <f aca="false">HYPERLINK("https://twitter.com/NewtiesB/status/922786974024511488","922786974024511488")</f>
        <v>922786974024511488</v>
      </c>
      <c r="F8211" s="10" t="s">
        <v>47</v>
      </c>
      <c r="G8211" s="10" t="n">
        <v>681</v>
      </c>
      <c r="H8211" s="10" t="n">
        <v>1015</v>
      </c>
      <c r="I8211" s="10" t="n">
        <v>0</v>
      </c>
      <c r="J8211" s="10" t="n">
        <v>0</v>
      </c>
      <c r="K8211" s="10" t="s">
        <v>20</v>
      </c>
      <c r="L8211" s="11" t="n">
        <v>41345.5511458333</v>
      </c>
      <c r="M8211" s="12" t="s">
        <v>1028</v>
      </c>
      <c r="N8211" s="12" t="s">
        <v>18115</v>
      </c>
      <c r="O8211" s="9" t="str">
        <f aca="false">HYPERLINK("https://pbs.twimg.com/profile_images/631853944873029632/t6t_MIwM_normal.jpg","View")</f>
        <v>View</v>
      </c>
      <c r="P8211" s="10"/>
    </row>
    <row r="8212" customFormat="false" ht="15.75" hidden="false" customHeight="false" outlineLevel="0" collapsed="false">
      <c r="A8212" s="6" t="n">
        <v>43032.1868518519</v>
      </c>
      <c r="B8212" s="7" t="str">
        <f aca="false">HYPERLINK("https://twitter.com/NewtiesB","@NewtiesB")</f>
        <v>@NewtiesB</v>
      </c>
      <c r="C8212" s="8" t="s">
        <v>18113</v>
      </c>
      <c r="D8212" s="8" t="s">
        <v>18116</v>
      </c>
      <c r="E8212" s="9" t="str">
        <f aca="false">HYPERLINK("https://twitter.com/NewtiesB/status/922787017263632384","922787017263632384")</f>
        <v>922787017263632384</v>
      </c>
      <c r="F8212" s="10" t="s">
        <v>47</v>
      </c>
      <c r="G8212" s="10" t="n">
        <v>681</v>
      </c>
      <c r="H8212" s="10" t="n">
        <v>1015</v>
      </c>
      <c r="I8212" s="10" t="n">
        <v>0</v>
      </c>
      <c r="J8212" s="10" t="n">
        <v>0</v>
      </c>
      <c r="K8212" s="10" t="s">
        <v>20</v>
      </c>
      <c r="L8212" s="11" t="n">
        <v>41345.5511458333</v>
      </c>
      <c r="M8212" s="12" t="s">
        <v>1028</v>
      </c>
      <c r="N8212" s="12" t="s">
        <v>18115</v>
      </c>
      <c r="O8212" s="9" t="str">
        <f aca="false">HYPERLINK("https://pbs.twimg.com/profile_images/631853944873029632/t6t_MIwM_normal.jpg","View")</f>
        <v>View</v>
      </c>
      <c r="P8212" s="10"/>
    </row>
    <row r="8213" customFormat="false" ht="15.75" hidden="false" customHeight="false" outlineLevel="0" collapsed="false">
      <c r="A8213" s="6" t="n">
        <v>43032.1895023148</v>
      </c>
      <c r="B8213" s="7" t="str">
        <f aca="false">HYPERLINK("https://twitter.com/Carlos_Wako","@Carlos_Wako")</f>
        <v>@Carlos_Wako</v>
      </c>
      <c r="C8213" s="14" t="s">
        <v>18117</v>
      </c>
      <c r="D8213" s="8" t="s">
        <v>18091</v>
      </c>
      <c r="E8213" s="9" t="str">
        <f aca="false">HYPERLINK("https://twitter.com/Carlos_Wako/status/922787977499107328","922787977499107328")</f>
        <v>922787977499107328</v>
      </c>
      <c r="F8213" s="10" t="s">
        <v>39</v>
      </c>
      <c r="G8213" s="10" t="n">
        <v>234</v>
      </c>
      <c r="H8213" s="10" t="n">
        <v>139</v>
      </c>
      <c r="I8213" s="10" t="n">
        <v>121</v>
      </c>
      <c r="J8213" s="10" t="n">
        <v>0</v>
      </c>
      <c r="K8213" s="10" t="s">
        <v>20</v>
      </c>
      <c r="L8213" s="11" t="n">
        <v>41928.2396990741</v>
      </c>
      <c r="M8213" s="13" t="s">
        <v>18118</v>
      </c>
      <c r="N8213" s="12" t="s">
        <v>18119</v>
      </c>
      <c r="O8213" s="9" t="str">
        <f aca="false">HYPERLINK("https://pbs.twimg.com/profile_images/523810168400654338/FLycgM90_normal.jpeg","View")</f>
        <v>View</v>
      </c>
      <c r="P8213" s="10"/>
    </row>
    <row r="8214" customFormat="false" ht="15.75" hidden="false" customHeight="false" outlineLevel="0" collapsed="false">
      <c r="A8214" s="6" t="n">
        <v>43032.1898958333</v>
      </c>
      <c r="B8214" s="7" t="str">
        <f aca="false">HYPERLINK("https://twitter.com/mvkgshinya","@mvkgshinya")</f>
        <v>@mvkgshinya</v>
      </c>
      <c r="C8214" s="14" t="s">
        <v>2172</v>
      </c>
      <c r="D8214" s="8" t="s">
        <v>17880</v>
      </c>
      <c r="E8214" s="9" t="str">
        <f aca="false">HYPERLINK("https://twitter.com/mvkgshinya/status/922788121715945477","922788121715945477")</f>
        <v>922788121715945477</v>
      </c>
      <c r="F8214" s="10" t="s">
        <v>25</v>
      </c>
      <c r="G8214" s="10" t="n">
        <v>1010</v>
      </c>
      <c r="H8214" s="10" t="n">
        <v>1107</v>
      </c>
      <c r="I8214" s="10" t="n">
        <v>27</v>
      </c>
      <c r="J8214" s="10" t="n">
        <v>0</v>
      </c>
      <c r="K8214" s="10" t="s">
        <v>20</v>
      </c>
      <c r="L8214" s="11" t="n">
        <v>40941.2619212963</v>
      </c>
      <c r="M8214" s="13" t="s">
        <v>2173</v>
      </c>
      <c r="N8214" s="13" t="s">
        <v>2174</v>
      </c>
      <c r="O8214" s="9" t="str">
        <f aca="false">HYPERLINK("https://pbs.twimg.com/profile_images/727446279802867712/fivaqPog_normal.jpg","View")</f>
        <v>View</v>
      </c>
      <c r="P8214" s="10"/>
    </row>
    <row r="8215" customFormat="false" ht="15.75" hidden="false" customHeight="false" outlineLevel="0" collapsed="false">
      <c r="A8215" s="6" t="n">
        <v>43032.1908217593</v>
      </c>
      <c r="B8215" s="7" t="str">
        <f aca="false">HYPERLINK("https://twitter.com/JKSCN","@JKSCN")</f>
        <v>@JKSCN</v>
      </c>
      <c r="C8215" s="8" t="s">
        <v>5334</v>
      </c>
      <c r="D8215" s="8" t="s">
        <v>16929</v>
      </c>
      <c r="E8215" s="9" t="str">
        <f aca="false">HYPERLINK("https://twitter.com/JKSCN/status/922788457457635329","922788457457635329")</f>
        <v>922788457457635329</v>
      </c>
      <c r="F8215" s="10" t="s">
        <v>51</v>
      </c>
      <c r="G8215" s="10" t="n">
        <v>1444</v>
      </c>
      <c r="H8215" s="10" t="n">
        <v>4466</v>
      </c>
      <c r="I8215" s="10" t="n">
        <v>247</v>
      </c>
      <c r="J8215" s="10" t="n">
        <v>0</v>
      </c>
      <c r="K8215" s="10" t="s">
        <v>20</v>
      </c>
      <c r="L8215" s="11" t="n">
        <v>39773.7291087963</v>
      </c>
      <c r="M8215" s="12" t="s">
        <v>5335</v>
      </c>
      <c r="N8215" s="12" t="s">
        <v>5336</v>
      </c>
      <c r="O8215" s="9" t="str">
        <f aca="false">HYPERLINK("https://pbs.twimg.com/profile_images/477977036905267200/cf71VHxI_normal.jpeg","View")</f>
        <v>View</v>
      </c>
      <c r="P8215" s="10"/>
    </row>
    <row r="8216" customFormat="false" ht="15.75" hidden="false" customHeight="false" outlineLevel="0" collapsed="false">
      <c r="A8216" s="6" t="n">
        <v>43032.1933449074</v>
      </c>
      <c r="B8216" s="7" t="str">
        <f aca="false">HYPERLINK("https://twitter.com/BBmaque","@BBmaque")</f>
        <v>@BBmaque</v>
      </c>
      <c r="C8216" s="8" t="s">
        <v>18120</v>
      </c>
      <c r="D8216" s="8" t="s">
        <v>18121</v>
      </c>
      <c r="E8216" s="9" t="str">
        <f aca="false">HYPERLINK("https://twitter.com/BBmaque/status/922789371031572480","922789371031572480")</f>
        <v>922789371031572480</v>
      </c>
      <c r="F8216" s="10" t="s">
        <v>25</v>
      </c>
      <c r="G8216" s="10" t="n">
        <v>106</v>
      </c>
      <c r="H8216" s="10" t="n">
        <v>509</v>
      </c>
      <c r="I8216" s="10" t="n">
        <v>4</v>
      </c>
      <c r="J8216" s="10" t="n">
        <v>0</v>
      </c>
      <c r="K8216" s="10" t="s">
        <v>20</v>
      </c>
      <c r="L8216" s="11" t="n">
        <v>41829.4373842593</v>
      </c>
      <c r="M8216" s="12"/>
      <c r="N8216" s="12"/>
      <c r="O8216" s="9" t="str">
        <f aca="false">HYPERLINK("https://pbs.twimg.com/profile_images/858983728940449792/raKcS5rU_normal.jpg","View")</f>
        <v>View</v>
      </c>
      <c r="P8216" s="10"/>
    </row>
    <row r="8217" customFormat="false" ht="15.75" hidden="false" customHeight="false" outlineLevel="0" collapsed="false">
      <c r="A8217" s="6" t="n">
        <v>43032.1939236111</v>
      </c>
      <c r="B8217" s="7" t="str">
        <f aca="false">HYPERLINK("https://twitter.com/ZhirnovaVera","@ZhirnovaVera")</f>
        <v>@ZhirnovaVera</v>
      </c>
      <c r="C8217" s="14" t="s">
        <v>18122</v>
      </c>
      <c r="D8217" s="8" t="s">
        <v>17880</v>
      </c>
      <c r="E8217" s="9" t="str">
        <f aca="false">HYPERLINK("https://twitter.com/ZhirnovaVera/status/922789582218735616","922789582218735616")</f>
        <v>922789582218735616</v>
      </c>
      <c r="F8217" s="10" t="s">
        <v>39</v>
      </c>
      <c r="G8217" s="10" t="n">
        <v>11137</v>
      </c>
      <c r="H8217" s="10" t="n">
        <v>68</v>
      </c>
      <c r="I8217" s="10" t="n">
        <v>27</v>
      </c>
      <c r="J8217" s="10" t="n">
        <v>0</v>
      </c>
      <c r="K8217" s="10" t="s">
        <v>20</v>
      </c>
      <c r="L8217" s="11" t="n">
        <v>42994.4015856482</v>
      </c>
      <c r="M8217" s="12"/>
      <c r="N8217" s="12"/>
      <c r="O8217" s="9" t="str">
        <f aca="false">HYPERLINK("https://pbs.twimg.com/profile_images/922764229249187840/-ChWDl4F_normal.jpg","View")</f>
        <v>View</v>
      </c>
      <c r="P8217" s="10"/>
    </row>
    <row r="8218" customFormat="false" ht="15.75" hidden="false" customHeight="false" outlineLevel="0" collapsed="false">
      <c r="A8218" s="6" t="n">
        <v>43032.1974074074</v>
      </c>
      <c r="B8218" s="7" t="str">
        <f aca="false">HYPERLINK("https://twitter.com/JPnewsinEng","@JPnewsinEng")</f>
        <v>@JPnewsinEng</v>
      </c>
      <c r="C8218" s="8" t="s">
        <v>6097</v>
      </c>
      <c r="D8218" s="8" t="s">
        <v>18123</v>
      </c>
      <c r="E8218" s="9" t="str">
        <f aca="false">HYPERLINK("https://twitter.com/JPnewsinEng/status/922790844771553280","922790844771553280")</f>
        <v>922790844771553280</v>
      </c>
      <c r="F8218" s="10" t="s">
        <v>60</v>
      </c>
      <c r="G8218" s="10" t="n">
        <v>95</v>
      </c>
      <c r="H8218" s="10" t="n">
        <v>0</v>
      </c>
      <c r="I8218" s="10" t="n">
        <v>0</v>
      </c>
      <c r="J8218" s="10" t="n">
        <v>0</v>
      </c>
      <c r="K8218" s="10" t="s">
        <v>20</v>
      </c>
      <c r="L8218" s="11" t="n">
        <v>42298.2794907407</v>
      </c>
      <c r="M8218" s="13" t="s">
        <v>152</v>
      </c>
      <c r="N8218" s="13" t="s">
        <v>6099</v>
      </c>
      <c r="O8218" s="9" t="str">
        <f aca="false">HYPERLINK("https://pbs.twimg.com/profile_images/658617776026705920/TPmWzjC0_normal.png","View")</f>
        <v>View</v>
      </c>
      <c r="P8218" s="10"/>
    </row>
    <row r="8219" customFormat="false" ht="15.75" hidden="false" customHeight="false" outlineLevel="0" collapsed="false">
      <c r="A8219" s="6" t="n">
        <v>43032.1974652778</v>
      </c>
      <c r="B8219" s="7" t="str">
        <f aca="false">HYPERLINK("https://twitter.com/sadogashima3210","@sadogashima3210")</f>
        <v>@sadogashima3210</v>
      </c>
      <c r="C8219" s="14" t="s">
        <v>18124</v>
      </c>
      <c r="D8219" s="8" t="s">
        <v>17978</v>
      </c>
      <c r="E8219" s="9" t="str">
        <f aca="false">HYPERLINK("https://twitter.com/sadogashima3210/status/922790865185095680","922790865185095680")</f>
        <v>922790865185095680</v>
      </c>
      <c r="F8219" s="10" t="s">
        <v>51</v>
      </c>
      <c r="G8219" s="10" t="n">
        <v>1923</v>
      </c>
      <c r="H8219" s="10" t="n">
        <v>2713</v>
      </c>
      <c r="I8219" s="10" t="n">
        <v>12</v>
      </c>
      <c r="J8219" s="10" t="n">
        <v>0</v>
      </c>
      <c r="K8219" s="10" t="s">
        <v>20</v>
      </c>
      <c r="L8219" s="11" t="n">
        <v>42479.8594212963</v>
      </c>
      <c r="M8219" s="13" t="s">
        <v>18125</v>
      </c>
      <c r="N8219" s="13" t="s">
        <v>18126</v>
      </c>
      <c r="O8219" s="9" t="str">
        <f aca="false">HYPERLINK("https://pbs.twimg.com/profile_images/724193853356429312/aNY1xIQg_normal.jpg","View")</f>
        <v>View</v>
      </c>
      <c r="P8219" s="10"/>
    </row>
    <row r="8220" customFormat="false" ht="15.75" hidden="false" customHeight="false" outlineLevel="0" collapsed="false">
      <c r="A8220" s="6" t="n">
        <v>43032.1994097222</v>
      </c>
      <c r="B8220" s="7" t="str">
        <f aca="false">HYPERLINK("https://twitter.com/Angela2132","@Angela2132")</f>
        <v>@Angela2132</v>
      </c>
      <c r="C8220" s="8" t="s">
        <v>18127</v>
      </c>
      <c r="D8220" s="8" t="s">
        <v>17569</v>
      </c>
      <c r="E8220" s="9" t="str">
        <f aca="false">HYPERLINK("https://twitter.com/Angela2132/status/922791567768899584","922791567768899584")</f>
        <v>922791567768899584</v>
      </c>
      <c r="F8220" s="10" t="s">
        <v>51</v>
      </c>
      <c r="G8220" s="10" t="n">
        <v>1822</v>
      </c>
      <c r="H8220" s="10" t="n">
        <v>1258</v>
      </c>
      <c r="I8220" s="10" t="n">
        <v>28</v>
      </c>
      <c r="J8220" s="10" t="n">
        <v>0</v>
      </c>
      <c r="K8220" s="10" t="s">
        <v>20</v>
      </c>
      <c r="L8220" s="11" t="n">
        <v>40711.6845023148</v>
      </c>
      <c r="M8220" s="12"/>
      <c r="N8220" s="12" t="s">
        <v>18128</v>
      </c>
      <c r="O8220" s="9" t="str">
        <f aca="false">HYPERLINK("https://pbs.twimg.com/profile_images/795694641584730113/eTntslQR_normal.jpg","View")</f>
        <v>View</v>
      </c>
      <c r="P8220" s="10"/>
    </row>
    <row r="8221" customFormat="false" ht="15.75" hidden="false" customHeight="false" outlineLevel="0" collapsed="false">
      <c r="A8221" s="6" t="n">
        <v>43032.1998611111</v>
      </c>
      <c r="B8221" s="7" t="str">
        <f aca="false">HYPERLINK("https://twitter.com/JuliaSm45799532","@JuliaSm45799532")</f>
        <v>@JuliaSm45799532</v>
      </c>
      <c r="C8221" s="8" t="s">
        <v>18129</v>
      </c>
      <c r="D8221" s="8" t="s">
        <v>16929</v>
      </c>
      <c r="E8221" s="9" t="str">
        <f aca="false">HYPERLINK("https://twitter.com/JuliaSm45799532/status/922791732370079744","922791732370079744")</f>
        <v>922791732370079744</v>
      </c>
      <c r="F8221" s="10" t="s">
        <v>98</v>
      </c>
      <c r="G8221" s="10" t="n">
        <v>69</v>
      </c>
      <c r="H8221" s="10" t="n">
        <v>135</v>
      </c>
      <c r="I8221" s="10" t="n">
        <v>247</v>
      </c>
      <c r="J8221" s="10" t="n">
        <v>0</v>
      </c>
      <c r="K8221" s="10" t="s">
        <v>20</v>
      </c>
      <c r="L8221" s="11" t="n">
        <v>40999.5025925926</v>
      </c>
      <c r="M8221" s="12" t="s">
        <v>1843</v>
      </c>
      <c r="N8221" s="12"/>
      <c r="O8221" s="9" t="str">
        <f aca="false">HYPERLINK("https://pbs.twimg.com/profile_images/745128028989095937/dnWG27Hv_normal.jpg","View")</f>
        <v>View</v>
      </c>
      <c r="P8221" s="10"/>
    </row>
    <row r="8222" customFormat="false" ht="15.75" hidden="false" customHeight="false" outlineLevel="0" collapsed="false">
      <c r="A8222" s="6" t="n">
        <v>43032.2013310185</v>
      </c>
      <c r="B8222" s="7" t="str">
        <f aca="false">HYPERLINK("https://twitter.com/MidoMldosadek","@MidoMldosadek")</f>
        <v>@MidoMldosadek</v>
      </c>
      <c r="C8222" s="8" t="s">
        <v>18130</v>
      </c>
      <c r="D8222" s="8" t="s">
        <v>18091</v>
      </c>
      <c r="E8222" s="9" t="str">
        <f aca="false">HYPERLINK("https://twitter.com/MidoMldosadek/status/922792266808414209","922792266808414209")</f>
        <v>922792266808414209</v>
      </c>
      <c r="F8222" s="10" t="s">
        <v>25</v>
      </c>
      <c r="G8222" s="10" t="n">
        <v>67</v>
      </c>
      <c r="H8222" s="10" t="n">
        <v>2286</v>
      </c>
      <c r="I8222" s="10" t="n">
        <v>121</v>
      </c>
      <c r="J8222" s="10" t="n">
        <v>0</v>
      </c>
      <c r="K8222" s="10" t="s">
        <v>20</v>
      </c>
      <c r="L8222" s="11" t="n">
        <v>40861.108287037</v>
      </c>
      <c r="M8222" s="12"/>
      <c r="N8222" s="12"/>
      <c r="O8222" s="9" t="str">
        <f aca="false">HYPERLINK("https://pbs.twimg.com/profile_images/763010401718177792/kbcs-VEe_normal.jpg","View")</f>
        <v>View</v>
      </c>
      <c r="P8222" s="10"/>
    </row>
    <row r="8223" customFormat="false" ht="15.75" hidden="false" customHeight="false" outlineLevel="0" collapsed="false">
      <c r="A8223" s="6" t="n">
        <v>43032.201412037</v>
      </c>
      <c r="B8223" s="7" t="str">
        <f aca="false">HYPERLINK("https://twitter.com/airforground","@airforground")</f>
        <v>@airforground</v>
      </c>
      <c r="C8223" s="8" t="s">
        <v>18131</v>
      </c>
      <c r="D8223" s="8" t="s">
        <v>18132</v>
      </c>
      <c r="E8223" s="9" t="str">
        <f aca="false">HYPERLINK("https://twitter.com/airforground/status/922792293232402432","922792293232402432")</f>
        <v>922792293232402432</v>
      </c>
      <c r="F8223" s="10" t="s">
        <v>25</v>
      </c>
      <c r="G8223" s="10" t="n">
        <v>313</v>
      </c>
      <c r="H8223" s="10" t="n">
        <v>498</v>
      </c>
      <c r="I8223" s="10" t="n">
        <v>1</v>
      </c>
      <c r="J8223" s="10" t="n">
        <v>0</v>
      </c>
      <c r="K8223" s="10" t="s">
        <v>20</v>
      </c>
      <c r="L8223" s="11" t="n">
        <v>40127.4238541667</v>
      </c>
      <c r="M8223" s="12" t="s">
        <v>5788</v>
      </c>
      <c r="N8223" s="12" t="s">
        <v>18133</v>
      </c>
      <c r="O8223" s="9" t="str">
        <f aca="false">HYPERLINK("https://pbs.twimg.com/profile_images/623914502455623680/XlvWFPHL_normal.jpg","View")</f>
        <v>View</v>
      </c>
      <c r="P8223" s="10"/>
    </row>
    <row r="8224" customFormat="false" ht="15.75" hidden="false" customHeight="false" outlineLevel="0" collapsed="false">
      <c r="A8224" s="6" t="n">
        <v>43032.2017013889</v>
      </c>
      <c r="B8224" s="7" t="str">
        <f aca="false">HYPERLINK("https://twitter.com/smith_kessy","@smith_kessy")</f>
        <v>@smith_kessy</v>
      </c>
      <c r="C8224" s="8" t="s">
        <v>18134</v>
      </c>
      <c r="D8224" s="8" t="s">
        <v>18091</v>
      </c>
      <c r="E8224" s="9" t="str">
        <f aca="false">HYPERLINK("https://twitter.com/smith_kessy/status/922792401051242497","922792401051242497")</f>
        <v>922792401051242497</v>
      </c>
      <c r="F8224" s="10" t="s">
        <v>177</v>
      </c>
      <c r="G8224" s="10" t="n">
        <v>61</v>
      </c>
      <c r="H8224" s="10" t="n">
        <v>760</v>
      </c>
      <c r="I8224" s="10" t="n">
        <v>121</v>
      </c>
      <c r="J8224" s="10" t="n">
        <v>0</v>
      </c>
      <c r="K8224" s="10" t="s">
        <v>20</v>
      </c>
      <c r="L8224" s="11" t="n">
        <v>43029.7214583333</v>
      </c>
      <c r="M8224" s="12"/>
      <c r="N8224" s="12"/>
      <c r="O8224" s="9" t="str">
        <f aca="false">HYPERLINK("https://pbs.twimg.com/profile_images/922450364720402432/RHSPqdl7_normal.jpg","View")</f>
        <v>View</v>
      </c>
      <c r="P8224" s="10"/>
    </row>
    <row r="8225" customFormat="false" ht="15.75" hidden="false" customHeight="false" outlineLevel="0" collapsed="false">
      <c r="A8225" s="6" t="n">
        <v>43032.201712963</v>
      </c>
      <c r="B8225" s="7" t="str">
        <f aca="false">HYPERLINK("https://twitter.com/MansionKey","@MansionKey")</f>
        <v>@MansionKey</v>
      </c>
      <c r="C8225" s="8" t="s">
        <v>18135</v>
      </c>
      <c r="D8225" s="8" t="s">
        <v>18091</v>
      </c>
      <c r="E8225" s="9" t="str">
        <f aca="false">HYPERLINK("https://twitter.com/MansionKey/status/922792403735662592","922792403735662592")</f>
        <v>922792403735662592</v>
      </c>
      <c r="F8225" s="10" t="s">
        <v>17101</v>
      </c>
      <c r="G8225" s="10" t="n">
        <v>93</v>
      </c>
      <c r="H8225" s="10" t="n">
        <v>5001</v>
      </c>
      <c r="I8225" s="10" t="n">
        <v>121</v>
      </c>
      <c r="J8225" s="10" t="n">
        <v>0</v>
      </c>
      <c r="K8225" s="10" t="s">
        <v>20</v>
      </c>
      <c r="L8225" s="11" t="n">
        <v>42819.7847453704</v>
      </c>
      <c r="M8225" s="12" t="s">
        <v>476</v>
      </c>
      <c r="N8225" s="12" t="s">
        <v>18136</v>
      </c>
      <c r="O8225" s="9" t="str">
        <f aca="false">HYPERLINK("https://pbs.twimg.com/profile_images/845826642434019328/kU3gR5lg_normal.jpg","View")</f>
        <v>View</v>
      </c>
      <c r="P8225" s="10"/>
    </row>
    <row r="8226" customFormat="false" ht="15.75" hidden="false" customHeight="false" outlineLevel="0" collapsed="false">
      <c r="A8226" s="6" t="n">
        <v>43032.201712963</v>
      </c>
      <c r="B8226" s="7" t="str">
        <f aca="false">HYPERLINK("https://twitter.com/Mikemikelol1","@Mikemikelol1")</f>
        <v>@Mikemikelol1</v>
      </c>
      <c r="C8226" s="8" t="s">
        <v>18137</v>
      </c>
      <c r="D8226" s="8" t="s">
        <v>18091</v>
      </c>
      <c r="E8226" s="9" t="str">
        <f aca="false">HYPERLINK("https://twitter.com/Mikemikelol1/status/922792403798495232","922792403798495232")</f>
        <v>922792403798495232</v>
      </c>
      <c r="F8226" s="10" t="s">
        <v>17101</v>
      </c>
      <c r="G8226" s="10" t="n">
        <v>53</v>
      </c>
      <c r="H8226" s="10" t="n">
        <v>4327</v>
      </c>
      <c r="I8226" s="10" t="n">
        <v>121</v>
      </c>
      <c r="J8226" s="10" t="n">
        <v>0</v>
      </c>
      <c r="K8226" s="10" t="s">
        <v>20</v>
      </c>
      <c r="L8226" s="11" t="n">
        <v>42836.8727893519</v>
      </c>
      <c r="M8226" s="12"/>
      <c r="N8226" s="12"/>
      <c r="O8226" s="9" t="str">
        <f aca="false">HYPERLINK("https://abs.twimg.com/sticky/default_profile_images/default_profile_normal.png","View")</f>
        <v>View</v>
      </c>
      <c r="P8226" s="10"/>
    </row>
    <row r="8227" customFormat="false" ht="15.75" hidden="false" customHeight="false" outlineLevel="0" collapsed="false">
      <c r="A8227" s="6" t="n">
        <v>43032.201712963</v>
      </c>
      <c r="B8227" s="7" t="str">
        <f aca="false">HYPERLINK("https://twitter.com/Slimslim221","@Slimslim221")</f>
        <v>@Slimslim221</v>
      </c>
      <c r="C8227" s="8" t="s">
        <v>18138</v>
      </c>
      <c r="D8227" s="8" t="s">
        <v>18091</v>
      </c>
      <c r="E8227" s="9" t="str">
        <f aca="false">HYPERLINK("https://twitter.com/Slimslim221/status/922792403894964224","922792403894964224")</f>
        <v>922792403894964224</v>
      </c>
      <c r="F8227" s="10" t="s">
        <v>17101</v>
      </c>
      <c r="G8227" s="10" t="n">
        <v>60</v>
      </c>
      <c r="H8227" s="10" t="n">
        <v>4634</v>
      </c>
      <c r="I8227" s="10" t="n">
        <v>121</v>
      </c>
      <c r="J8227" s="10" t="n">
        <v>0</v>
      </c>
      <c r="K8227" s="10" t="s">
        <v>20</v>
      </c>
      <c r="L8227" s="11" t="n">
        <v>42836.8711111111</v>
      </c>
      <c r="M8227" s="12"/>
      <c r="N8227" s="12"/>
      <c r="O8227" s="9" t="str">
        <f aca="false">HYPERLINK("https://abs.twimg.com/sticky/default_profile_images/default_profile_normal.png","View")</f>
        <v>View</v>
      </c>
      <c r="P8227" s="10"/>
    </row>
    <row r="8228" customFormat="false" ht="15.75" hidden="false" customHeight="false" outlineLevel="0" collapsed="false">
      <c r="A8228" s="6" t="n">
        <v>43032.201712963</v>
      </c>
      <c r="B8228" s="7" t="str">
        <f aca="false">HYPERLINK("https://twitter.com/Slim68507682","@Slim68507682")</f>
        <v>@Slim68507682</v>
      </c>
      <c r="C8228" s="8" t="s">
        <v>18139</v>
      </c>
      <c r="D8228" s="8" t="s">
        <v>18091</v>
      </c>
      <c r="E8228" s="9" t="str">
        <f aca="false">HYPERLINK("https://twitter.com/Slim68507682/status/922792403924406272","922792403924406272")</f>
        <v>922792403924406272</v>
      </c>
      <c r="F8228" s="10" t="s">
        <v>17101</v>
      </c>
      <c r="G8228" s="10" t="n">
        <v>57</v>
      </c>
      <c r="H8228" s="10" t="n">
        <v>4628</v>
      </c>
      <c r="I8228" s="10" t="n">
        <v>121</v>
      </c>
      <c r="J8228" s="10" t="n">
        <v>0</v>
      </c>
      <c r="K8228" s="10" t="s">
        <v>20</v>
      </c>
      <c r="L8228" s="11" t="n">
        <v>42836.8762268519</v>
      </c>
      <c r="M8228" s="12"/>
      <c r="N8228" s="12"/>
      <c r="O8228" s="9" t="str">
        <f aca="false">HYPERLINK("https://abs.twimg.com/sticky/default_profile_images/default_profile_normal.png","View")</f>
        <v>View</v>
      </c>
      <c r="P8228" s="10"/>
    </row>
    <row r="8229" customFormat="false" ht="15.75" hidden="false" customHeight="false" outlineLevel="0" collapsed="false">
      <c r="A8229" s="6" t="n">
        <v>43032.201712963</v>
      </c>
      <c r="B8229" s="7" t="str">
        <f aca="false">HYPERLINK("https://twitter.com/slimslim1223","@slimslim1223")</f>
        <v>@slimslim1223</v>
      </c>
      <c r="C8229" s="8" t="s">
        <v>18140</v>
      </c>
      <c r="D8229" s="8" t="s">
        <v>18091</v>
      </c>
      <c r="E8229" s="9" t="str">
        <f aca="false">HYPERLINK("https://twitter.com/slimslim1223/status/922792403949498368","922792403949498368")</f>
        <v>922792403949498368</v>
      </c>
      <c r="F8229" s="10" t="s">
        <v>17101</v>
      </c>
      <c r="G8229" s="10" t="n">
        <v>53</v>
      </c>
      <c r="H8229" s="10" t="n">
        <v>4313</v>
      </c>
      <c r="I8229" s="10" t="n">
        <v>121</v>
      </c>
      <c r="J8229" s="10" t="n">
        <v>0</v>
      </c>
      <c r="K8229" s="10" t="s">
        <v>20</v>
      </c>
      <c r="L8229" s="11" t="n">
        <v>42836.8749305556</v>
      </c>
      <c r="M8229" s="12"/>
      <c r="N8229" s="12"/>
      <c r="O8229" s="9" t="str">
        <f aca="false">HYPERLINK("https://abs.twimg.com/sticky/default_profile_images/default_profile_normal.png","View")</f>
        <v>View</v>
      </c>
      <c r="P8229" s="10"/>
    </row>
    <row r="8230" customFormat="false" ht="15.75" hidden="false" customHeight="false" outlineLevel="0" collapsed="false">
      <c r="A8230" s="6" t="n">
        <v>43032.201712963</v>
      </c>
      <c r="B8230" s="7" t="str">
        <f aca="false">HYPERLINK("https://twitter.com/Nicopass1","@Nicopass1")</f>
        <v>@Nicopass1</v>
      </c>
      <c r="C8230" s="8" t="s">
        <v>18141</v>
      </c>
      <c r="D8230" s="8" t="s">
        <v>18091</v>
      </c>
      <c r="E8230" s="9" t="str">
        <f aca="false">HYPERLINK("https://twitter.com/Nicopass1/status/922792403974664192","922792403974664192")</f>
        <v>922792403974664192</v>
      </c>
      <c r="F8230" s="10" t="s">
        <v>17101</v>
      </c>
      <c r="G8230" s="10" t="n">
        <v>55</v>
      </c>
      <c r="H8230" s="10" t="n">
        <v>4310</v>
      </c>
      <c r="I8230" s="10" t="n">
        <v>121</v>
      </c>
      <c r="J8230" s="10" t="n">
        <v>0</v>
      </c>
      <c r="K8230" s="10" t="s">
        <v>20</v>
      </c>
      <c r="L8230" s="11" t="n">
        <v>42836.8719097222</v>
      </c>
      <c r="M8230" s="12"/>
      <c r="N8230" s="12"/>
      <c r="O8230" s="9" t="str">
        <f aca="false">HYPERLINK("https://abs.twimg.com/sticky/default_profile_images/default_profile_normal.png","View")</f>
        <v>View</v>
      </c>
      <c r="P8230" s="10"/>
    </row>
    <row r="8231" customFormat="false" ht="15.75" hidden="false" customHeight="false" outlineLevel="0" collapsed="false">
      <c r="A8231" s="6" t="n">
        <v>43032.201712963</v>
      </c>
      <c r="B8231" s="7" t="str">
        <f aca="false">HYPERLINK("https://twitter.com/IDuNtunfoLLoW","@IDuNtunfoLLoW")</f>
        <v>@IDuNtunfoLLoW</v>
      </c>
      <c r="C8231" s="8" t="s">
        <v>3354</v>
      </c>
      <c r="D8231" s="8" t="s">
        <v>18091</v>
      </c>
      <c r="E8231" s="9" t="str">
        <f aca="false">HYPERLINK("https://twitter.com/IDuNtunfoLLoW/status/922792405266501633","922792405266501633")</f>
        <v>922792405266501633</v>
      </c>
      <c r="F8231" s="10" t="s">
        <v>17101</v>
      </c>
      <c r="G8231" s="10" t="n">
        <v>38</v>
      </c>
      <c r="H8231" s="10" t="n">
        <v>0</v>
      </c>
      <c r="I8231" s="10" t="n">
        <v>121</v>
      </c>
      <c r="J8231" s="10" t="n">
        <v>0</v>
      </c>
      <c r="K8231" s="10" t="s">
        <v>20</v>
      </c>
      <c r="L8231" s="11" t="n">
        <v>43004.6240972222</v>
      </c>
      <c r="M8231" s="12"/>
      <c r="N8231" s="12"/>
      <c r="O8231" s="9" t="str">
        <f aca="false">HYPERLINK("https://abs.twimg.com/sticky/default_profile_images/default_profile_normal.png","View")</f>
        <v>View</v>
      </c>
      <c r="P8231" s="10"/>
    </row>
    <row r="8232" customFormat="false" ht="15.75" hidden="false" customHeight="false" outlineLevel="0" collapsed="false">
      <c r="A8232" s="6" t="n">
        <v>43032.201724537</v>
      </c>
      <c r="B8232" s="7" t="str">
        <f aca="false">HYPERLINK("https://twitter.com/comumgay","@comumgay")</f>
        <v>@comumgay</v>
      </c>
      <c r="C8232" s="8" t="s">
        <v>18142</v>
      </c>
      <c r="D8232" s="8" t="s">
        <v>18091</v>
      </c>
      <c r="E8232" s="9" t="str">
        <f aca="false">HYPERLINK("https://twitter.com/comumgay/status/922792407959244801","922792407959244801")</f>
        <v>922792407959244801</v>
      </c>
      <c r="F8232" s="10" t="s">
        <v>177</v>
      </c>
      <c r="G8232" s="10" t="n">
        <v>201</v>
      </c>
      <c r="H8232" s="10" t="n">
        <v>1098</v>
      </c>
      <c r="I8232" s="10" t="n">
        <v>121</v>
      </c>
      <c r="J8232" s="10" t="n">
        <v>0</v>
      </c>
      <c r="K8232" s="10" t="s">
        <v>20</v>
      </c>
      <c r="L8232" s="11" t="n">
        <v>42981.8353472222</v>
      </c>
      <c r="M8232" s="12" t="s">
        <v>4435</v>
      </c>
      <c r="N8232" s="12"/>
      <c r="O8232" s="9" t="str">
        <f aca="false">HYPERLINK("https://pbs.twimg.com/profile_images/922690287922802689/XbOnWK33_normal.jpg","View")</f>
        <v>View</v>
      </c>
      <c r="P8232" s="10"/>
    </row>
    <row r="8233" customFormat="false" ht="15.75" hidden="false" customHeight="false" outlineLevel="0" collapsed="false">
      <c r="A8233" s="6" t="n">
        <v>43032.201724537</v>
      </c>
      <c r="B8233" s="7" t="str">
        <f aca="false">HYPERLINK("https://twitter.com/kona1314","@kona1314")</f>
        <v>@kona1314</v>
      </c>
      <c r="C8233" s="8" t="s">
        <v>18143</v>
      </c>
      <c r="D8233" s="8" t="s">
        <v>18091</v>
      </c>
      <c r="E8233" s="9" t="str">
        <f aca="false">HYPERLINK("https://twitter.com/kona1314/status/922792409406177286","922792409406177286")</f>
        <v>922792409406177286</v>
      </c>
      <c r="F8233" s="10" t="s">
        <v>177</v>
      </c>
      <c r="G8233" s="10" t="n">
        <v>8</v>
      </c>
      <c r="H8233" s="10" t="n">
        <v>922</v>
      </c>
      <c r="I8233" s="10" t="n">
        <v>121</v>
      </c>
      <c r="J8233" s="10" t="n">
        <v>0</v>
      </c>
      <c r="K8233" s="10" t="s">
        <v>20</v>
      </c>
      <c r="L8233" s="11" t="n">
        <v>43031.9996759259</v>
      </c>
      <c r="M8233" s="12"/>
      <c r="N8233" s="12"/>
      <c r="O8233" s="9" t="str">
        <f aca="false">HYPERLINK("https://abs.twimg.com/sticky/default_profile_images/default_profile_normal.png","View")</f>
        <v>View</v>
      </c>
      <c r="P8233" s="10"/>
    </row>
    <row r="8234" customFormat="false" ht="15.75" hidden="false" customHeight="false" outlineLevel="0" collapsed="false">
      <c r="A8234" s="6" t="n">
        <v>43032.201724537</v>
      </c>
      <c r="B8234" s="7" t="str">
        <f aca="false">HYPERLINK("https://twitter.com/bilbo1314","@bilbo1314")</f>
        <v>@bilbo1314</v>
      </c>
      <c r="C8234" s="8" t="s">
        <v>18144</v>
      </c>
      <c r="D8234" s="8" t="s">
        <v>18091</v>
      </c>
      <c r="E8234" s="9" t="str">
        <f aca="false">HYPERLINK("https://twitter.com/bilbo1314/status/922792409406193665","922792409406193665")</f>
        <v>922792409406193665</v>
      </c>
      <c r="F8234" s="10" t="s">
        <v>177</v>
      </c>
      <c r="G8234" s="10" t="n">
        <v>8</v>
      </c>
      <c r="H8234" s="10" t="n">
        <v>909</v>
      </c>
      <c r="I8234" s="10" t="n">
        <v>121</v>
      </c>
      <c r="J8234" s="10" t="n">
        <v>0</v>
      </c>
      <c r="K8234" s="10" t="s">
        <v>20</v>
      </c>
      <c r="L8234" s="11" t="n">
        <v>43031.9942708333</v>
      </c>
      <c r="M8234" s="12"/>
      <c r="N8234" s="12"/>
      <c r="O8234" s="9" t="str">
        <f aca="false">HYPERLINK("https://abs.twimg.com/sticky/default_profile_images/default_profile_normal.png","View")</f>
        <v>View</v>
      </c>
      <c r="P8234" s="10"/>
    </row>
    <row r="8235" customFormat="false" ht="15.75" hidden="false" customHeight="false" outlineLevel="0" collapsed="false">
      <c r="A8235" s="6" t="n">
        <v>43032.201724537</v>
      </c>
      <c r="B8235" s="7" t="str">
        <f aca="false">HYPERLINK("https://twitter.com/kyle_cheever","@kyle_cheever")</f>
        <v>@kyle_cheever</v>
      </c>
      <c r="C8235" s="8" t="s">
        <v>18145</v>
      </c>
      <c r="D8235" s="8" t="s">
        <v>18091</v>
      </c>
      <c r="E8235" s="9" t="str">
        <f aca="false">HYPERLINK("https://twitter.com/kyle_cheever/status/922792409410310144","922792409410310144")</f>
        <v>922792409410310144</v>
      </c>
      <c r="F8235" s="10" t="s">
        <v>177</v>
      </c>
      <c r="G8235" s="10" t="n">
        <v>38</v>
      </c>
      <c r="H8235" s="10" t="n">
        <v>1060</v>
      </c>
      <c r="I8235" s="10" t="n">
        <v>121</v>
      </c>
      <c r="J8235" s="10" t="n">
        <v>0</v>
      </c>
      <c r="K8235" s="10" t="s">
        <v>20</v>
      </c>
      <c r="L8235" s="11" t="n">
        <v>41961.7872800926</v>
      </c>
      <c r="M8235" s="12" t="s">
        <v>18146</v>
      </c>
      <c r="N8235" s="12" t="s">
        <v>18147</v>
      </c>
      <c r="O8235" s="9" t="str">
        <f aca="false">HYPERLINK("https://abs.twimg.com/sticky/default_profile_images/default_profile_normal.png","View")</f>
        <v>View</v>
      </c>
      <c r="P8235" s="10"/>
    </row>
    <row r="8236" customFormat="false" ht="15.75" hidden="false" customHeight="false" outlineLevel="0" collapsed="false">
      <c r="A8236" s="6" t="n">
        <v>43032.201724537</v>
      </c>
      <c r="B8236" s="7" t="str">
        <f aca="false">HYPERLINK("https://twitter.com/jokey1315","@jokey1315")</f>
        <v>@jokey1315</v>
      </c>
      <c r="C8236" s="8" t="s">
        <v>18148</v>
      </c>
      <c r="D8236" s="8" t="s">
        <v>18091</v>
      </c>
      <c r="E8236" s="9" t="str">
        <f aca="false">HYPERLINK("https://twitter.com/jokey1315/status/922792409410318336","922792409410318336")</f>
        <v>922792409410318336</v>
      </c>
      <c r="F8236" s="10" t="s">
        <v>177</v>
      </c>
      <c r="G8236" s="10" t="n">
        <v>5</v>
      </c>
      <c r="H8236" s="10" t="n">
        <v>766</v>
      </c>
      <c r="I8236" s="10" t="n">
        <v>121</v>
      </c>
      <c r="J8236" s="10" t="n">
        <v>0</v>
      </c>
      <c r="K8236" s="10" t="s">
        <v>20</v>
      </c>
      <c r="L8236" s="11" t="n">
        <v>43032.0906712963</v>
      </c>
      <c r="M8236" s="12"/>
      <c r="N8236" s="12"/>
      <c r="O8236" s="9" t="str">
        <f aca="false">HYPERLINK("https://abs.twimg.com/sticky/default_profile_images/default_profile_normal.png","View")</f>
        <v>View</v>
      </c>
      <c r="P8236" s="10"/>
    </row>
    <row r="8237" customFormat="false" ht="15.75" hidden="false" customHeight="false" outlineLevel="0" collapsed="false">
      <c r="A8237" s="6" t="n">
        <v>43032.201724537</v>
      </c>
      <c r="B8237" s="7" t="str">
        <f aca="false">HYPERLINK("https://twitter.com/killy1315","@killy1315")</f>
        <v>@killy1315</v>
      </c>
      <c r="C8237" s="8" t="s">
        <v>18149</v>
      </c>
      <c r="D8237" s="8" t="s">
        <v>18091</v>
      </c>
      <c r="E8237" s="9" t="str">
        <f aca="false">HYPERLINK("https://twitter.com/killy1315/status/922792409414561793","922792409414561793")</f>
        <v>922792409414561793</v>
      </c>
      <c r="F8237" s="10" t="s">
        <v>177</v>
      </c>
      <c r="G8237" s="10" t="n">
        <v>5</v>
      </c>
      <c r="H8237" s="10" t="n">
        <v>764</v>
      </c>
      <c r="I8237" s="10" t="n">
        <v>121</v>
      </c>
      <c r="J8237" s="10" t="n">
        <v>0</v>
      </c>
      <c r="K8237" s="10" t="s">
        <v>20</v>
      </c>
      <c r="L8237" s="11" t="n">
        <v>43032.0924305556</v>
      </c>
      <c r="M8237" s="12"/>
      <c r="N8237" s="12"/>
      <c r="O8237" s="9" t="str">
        <f aca="false">HYPERLINK("https://abs.twimg.com/sticky/default_profile_images/default_profile_normal.png","View")</f>
        <v>View</v>
      </c>
      <c r="P8237" s="10"/>
    </row>
    <row r="8238" customFormat="false" ht="15.75" hidden="false" customHeight="false" outlineLevel="0" collapsed="false">
      <c r="A8238" s="6" t="n">
        <v>43032.201724537</v>
      </c>
      <c r="B8238" s="7" t="str">
        <f aca="false">HYPERLINK("https://twitter.com/kyooolz","@kyooolz")</f>
        <v>@kyooolz</v>
      </c>
      <c r="C8238" s="8" t="s">
        <v>18150</v>
      </c>
      <c r="D8238" s="8" t="s">
        <v>18091</v>
      </c>
      <c r="E8238" s="9" t="str">
        <f aca="false">HYPERLINK("https://twitter.com/kyooolz/status/922792409448177664","922792409448177664")</f>
        <v>922792409448177664</v>
      </c>
      <c r="F8238" s="10" t="s">
        <v>177</v>
      </c>
      <c r="G8238" s="10" t="n">
        <v>44</v>
      </c>
      <c r="H8238" s="10" t="n">
        <v>1077</v>
      </c>
      <c r="I8238" s="10" t="n">
        <v>121</v>
      </c>
      <c r="J8238" s="10" t="n">
        <v>0</v>
      </c>
      <c r="K8238" s="10" t="s">
        <v>20</v>
      </c>
      <c r="L8238" s="11" t="n">
        <v>42051.915462963</v>
      </c>
      <c r="M8238" s="12" t="s">
        <v>4590</v>
      </c>
      <c r="N8238" s="12"/>
      <c r="O8238" s="9" t="str">
        <f aca="false">HYPERLINK("https://pbs.twimg.com/profile_images/845872720931778561/aKHCTxVF_normal.jpg","View")</f>
        <v>View</v>
      </c>
      <c r="P8238" s="10"/>
    </row>
    <row r="8239" customFormat="false" ht="15.75" hidden="false" customHeight="false" outlineLevel="0" collapsed="false">
      <c r="A8239" s="6" t="n">
        <v>43032.201724537</v>
      </c>
      <c r="B8239" s="7" t="str">
        <f aca="false">HYPERLINK("https://twitter.com/boobs1314","@boobs1314")</f>
        <v>@boobs1314</v>
      </c>
      <c r="C8239" s="8" t="s">
        <v>18151</v>
      </c>
      <c r="D8239" s="8" t="s">
        <v>18091</v>
      </c>
      <c r="E8239" s="9" t="str">
        <f aca="false">HYPERLINK("https://twitter.com/boobs1314/status/922792409502597120","922792409502597120")</f>
        <v>922792409502597120</v>
      </c>
      <c r="F8239" s="10" t="s">
        <v>177</v>
      </c>
      <c r="G8239" s="10" t="n">
        <v>9</v>
      </c>
      <c r="H8239" s="10" t="n">
        <v>914</v>
      </c>
      <c r="I8239" s="10" t="n">
        <v>121</v>
      </c>
      <c r="J8239" s="10" t="n">
        <v>0</v>
      </c>
      <c r="K8239" s="10" t="s">
        <v>20</v>
      </c>
      <c r="L8239" s="11" t="n">
        <v>43031.9919328704</v>
      </c>
      <c r="M8239" s="12"/>
      <c r="N8239" s="12"/>
      <c r="O8239" s="9" t="str">
        <f aca="false">HYPERLINK("https://abs.twimg.com/sticky/default_profile_images/default_profile_normal.png","View")</f>
        <v>View</v>
      </c>
      <c r="P8239" s="10"/>
    </row>
    <row r="8240" customFormat="false" ht="15.75" hidden="false" customHeight="false" outlineLevel="0" collapsed="false">
      <c r="A8240" s="6" t="n">
        <v>43032.201724537</v>
      </c>
      <c r="B8240" s="7" t="str">
        <f aca="false">HYPERLINK("https://twitter.com/211Samia","@211Samia")</f>
        <v>@211Samia</v>
      </c>
      <c r="C8240" s="8" t="s">
        <v>18152</v>
      </c>
      <c r="D8240" s="8" t="s">
        <v>18091</v>
      </c>
      <c r="E8240" s="9" t="str">
        <f aca="false">HYPERLINK("https://twitter.com/211Samia/status/922792410522046464","922792410522046464")</f>
        <v>922792410522046464</v>
      </c>
      <c r="F8240" s="10" t="s">
        <v>177</v>
      </c>
      <c r="G8240" s="10" t="n">
        <v>12</v>
      </c>
      <c r="H8240" s="10" t="n">
        <v>871</v>
      </c>
      <c r="I8240" s="10" t="n">
        <v>121</v>
      </c>
      <c r="J8240" s="10" t="n">
        <v>0</v>
      </c>
      <c r="K8240" s="10" t="s">
        <v>20</v>
      </c>
      <c r="L8240" s="11" t="n">
        <v>42964.8349652778</v>
      </c>
      <c r="M8240" s="12" t="s">
        <v>312</v>
      </c>
      <c r="N8240" s="12"/>
      <c r="O8240" s="9" t="str">
        <f aca="false">HYPERLINK("https://pbs.twimg.com/profile_images/898380030631432192/OTlXCkxa_normal.jpg","View")</f>
        <v>View</v>
      </c>
      <c r="P8240" s="10"/>
    </row>
    <row r="8241" customFormat="false" ht="15.75" hidden="false" customHeight="false" outlineLevel="0" collapsed="false">
      <c r="A8241" s="6" t="n">
        <v>43032.201724537</v>
      </c>
      <c r="B8241" s="7" t="str">
        <f aca="false">HYPERLINK("https://twitter.com/18iherb18","@18iherb18")</f>
        <v>@18iherb18</v>
      </c>
      <c r="C8241" s="8" t="s">
        <v>18153</v>
      </c>
      <c r="D8241" s="8" t="s">
        <v>18091</v>
      </c>
      <c r="E8241" s="9" t="str">
        <f aca="false">HYPERLINK("https://twitter.com/18iherb18/status/922792410534510592","922792410534510592")</f>
        <v>922792410534510592</v>
      </c>
      <c r="F8241" s="10" t="s">
        <v>177</v>
      </c>
      <c r="G8241" s="10" t="n">
        <v>51</v>
      </c>
      <c r="H8241" s="10" t="n">
        <v>891</v>
      </c>
      <c r="I8241" s="10" t="n">
        <v>121</v>
      </c>
      <c r="J8241" s="10" t="n">
        <v>0</v>
      </c>
      <c r="K8241" s="10" t="s">
        <v>20</v>
      </c>
      <c r="L8241" s="11" t="n">
        <v>42659.2930439815</v>
      </c>
      <c r="M8241" s="12" t="s">
        <v>230</v>
      </c>
      <c r="N8241" s="12"/>
      <c r="O8241" s="9" t="str">
        <f aca="false">HYPERLINK("https://pbs.twimg.com/profile_images/915730425267572736/JE9P_tiE_normal.jpg","View")</f>
        <v>View</v>
      </c>
      <c r="P8241" s="10"/>
    </row>
    <row r="8242" customFormat="false" ht="15.75" hidden="false" customHeight="false" outlineLevel="0" collapsed="false">
      <c r="A8242" s="6" t="n">
        <v>43032.201724537</v>
      </c>
      <c r="B8242" s="7" t="str">
        <f aca="false">HYPERLINK("https://twitter.com/4000miss","@4000miss")</f>
        <v>@4000miss</v>
      </c>
      <c r="C8242" s="8" t="s">
        <v>18154</v>
      </c>
      <c r="D8242" s="8" t="s">
        <v>18091</v>
      </c>
      <c r="E8242" s="9" t="str">
        <f aca="false">HYPERLINK("https://twitter.com/4000miss/status/922792410534547456","922792410534547456")</f>
        <v>922792410534547456</v>
      </c>
      <c r="F8242" s="10" t="s">
        <v>177</v>
      </c>
      <c r="G8242" s="10" t="n">
        <v>18</v>
      </c>
      <c r="H8242" s="10" t="n">
        <v>1079</v>
      </c>
      <c r="I8242" s="10" t="n">
        <v>121</v>
      </c>
      <c r="J8242" s="10" t="n">
        <v>0</v>
      </c>
      <c r="K8242" s="10" t="s">
        <v>20</v>
      </c>
      <c r="L8242" s="11" t="n">
        <v>42991.1715972222</v>
      </c>
      <c r="M8242" s="12" t="s">
        <v>18155</v>
      </c>
      <c r="N8242" s="12"/>
      <c r="O8242" s="9" t="str">
        <f aca="false">HYPERLINK("https://pbs.twimg.com/profile_images/907923921122594816/EVTt8dVM_normal.jpg","View")</f>
        <v>View</v>
      </c>
      <c r="P8242" s="10"/>
    </row>
    <row r="8243" customFormat="false" ht="15.75" hidden="false" customHeight="false" outlineLevel="0" collapsed="false">
      <c r="A8243" s="6" t="n">
        <v>43032.201724537</v>
      </c>
      <c r="B8243" s="7" t="str">
        <f aca="false">HYPERLINK("https://twitter.com/Yahya7370","@Yahya7370")</f>
        <v>@Yahya7370</v>
      </c>
      <c r="C8243" s="8" t="s">
        <v>18156</v>
      </c>
      <c r="D8243" s="8" t="s">
        <v>18091</v>
      </c>
      <c r="E8243" s="9" t="str">
        <f aca="false">HYPERLINK("https://twitter.com/Yahya7370/status/922792410547212289","922792410547212289")</f>
        <v>922792410547212289</v>
      </c>
      <c r="F8243" s="10" t="s">
        <v>177</v>
      </c>
      <c r="G8243" s="10" t="n">
        <v>10</v>
      </c>
      <c r="H8243" s="10" t="n">
        <v>915</v>
      </c>
      <c r="I8243" s="10" t="n">
        <v>121</v>
      </c>
      <c r="J8243" s="10" t="n">
        <v>0</v>
      </c>
      <c r="K8243" s="10" t="s">
        <v>20</v>
      </c>
      <c r="L8243" s="11" t="n">
        <v>43022.4174305556</v>
      </c>
      <c r="M8243" s="12" t="s">
        <v>18157</v>
      </c>
      <c r="N8243" s="12" t="s">
        <v>18158</v>
      </c>
      <c r="O8243" s="9" t="str">
        <f aca="false">HYPERLINK("https://pbs.twimg.com/profile_images/919247061182304257/to0bnmEv_normal.jpg","View")</f>
        <v>View</v>
      </c>
      <c r="P8243" s="10"/>
    </row>
    <row r="8244" customFormat="false" ht="15.75" hidden="false" customHeight="false" outlineLevel="0" collapsed="false">
      <c r="A8244" s="6" t="n">
        <v>43032.201724537</v>
      </c>
      <c r="B8244" s="7" t="str">
        <f aca="false">HYPERLINK("https://twitter.com/Monte999Hat","@Monte999Hat")</f>
        <v>@Monte999Hat</v>
      </c>
      <c r="C8244" s="8" t="s">
        <v>18159</v>
      </c>
      <c r="D8244" s="8" t="s">
        <v>18091</v>
      </c>
      <c r="E8244" s="9" t="str">
        <f aca="false">HYPERLINK("https://twitter.com/Monte999Hat/status/922792410551345154","922792410551345154")</f>
        <v>922792410551345154</v>
      </c>
      <c r="F8244" s="10" t="s">
        <v>177</v>
      </c>
      <c r="G8244" s="10" t="n">
        <v>17</v>
      </c>
      <c r="H8244" s="10" t="n">
        <v>907</v>
      </c>
      <c r="I8244" s="10" t="n">
        <v>121</v>
      </c>
      <c r="J8244" s="10" t="n">
        <v>0</v>
      </c>
      <c r="K8244" s="10" t="s">
        <v>20</v>
      </c>
      <c r="L8244" s="11" t="n">
        <v>42947.3228703704</v>
      </c>
      <c r="M8244" s="12"/>
      <c r="N8244" s="12"/>
      <c r="O8244" s="9" t="str">
        <f aca="false">HYPERLINK("https://pbs.twimg.com/profile_images/892033677806514176/MemHoynJ_normal.jpg","View")</f>
        <v>View</v>
      </c>
      <c r="P8244" s="10"/>
    </row>
    <row r="8245" customFormat="false" ht="15.75" hidden="false" customHeight="false" outlineLevel="0" collapsed="false">
      <c r="A8245" s="6" t="n">
        <v>43032.201724537</v>
      </c>
      <c r="B8245" s="7" t="str">
        <f aca="false">HYPERLINK("https://twitter.com/200lora","@200lora")</f>
        <v>@200lora</v>
      </c>
      <c r="C8245" s="8" t="s">
        <v>18160</v>
      </c>
      <c r="D8245" s="8" t="s">
        <v>18091</v>
      </c>
      <c r="E8245" s="9" t="str">
        <f aca="false">HYPERLINK("https://twitter.com/200lora/status/922792410551373824","922792410551373824")</f>
        <v>922792410551373824</v>
      </c>
      <c r="F8245" s="10" t="s">
        <v>177</v>
      </c>
      <c r="G8245" s="10" t="n">
        <v>13</v>
      </c>
      <c r="H8245" s="10" t="n">
        <v>958</v>
      </c>
      <c r="I8245" s="10" t="n">
        <v>121</v>
      </c>
      <c r="J8245" s="10" t="n">
        <v>0</v>
      </c>
      <c r="K8245" s="10" t="s">
        <v>20</v>
      </c>
      <c r="L8245" s="11" t="n">
        <v>42958.0486921296</v>
      </c>
      <c r="M8245" s="12" t="s">
        <v>18161</v>
      </c>
      <c r="N8245" s="12"/>
      <c r="O8245" s="9" t="str">
        <f aca="false">HYPERLINK("https://pbs.twimg.com/profile_images/895920891619573761/jS9Wn6CV_normal.jpg","View")</f>
        <v>View</v>
      </c>
      <c r="P8245" s="10"/>
    </row>
    <row r="8246" customFormat="false" ht="15.75" hidden="false" customHeight="false" outlineLevel="0" collapsed="false">
      <c r="A8246" s="6" t="n">
        <v>43032.201724537</v>
      </c>
      <c r="B8246" s="7" t="str">
        <f aca="false">HYPERLINK("https://twitter.com/Iherb18","@Iherb18")</f>
        <v>@Iherb18</v>
      </c>
      <c r="C8246" s="8" t="s">
        <v>730</v>
      </c>
      <c r="D8246" s="8" t="s">
        <v>18091</v>
      </c>
      <c r="E8246" s="9" t="str">
        <f aca="false">HYPERLINK("https://twitter.com/Iherb18/status/922792410555576322","922792410555576322")</f>
        <v>922792410555576322</v>
      </c>
      <c r="F8246" s="10" t="s">
        <v>177</v>
      </c>
      <c r="G8246" s="10" t="n">
        <v>28</v>
      </c>
      <c r="H8246" s="10" t="n">
        <v>921</v>
      </c>
      <c r="I8246" s="10" t="n">
        <v>121</v>
      </c>
      <c r="J8246" s="10" t="n">
        <v>0</v>
      </c>
      <c r="K8246" s="10" t="s">
        <v>20</v>
      </c>
      <c r="L8246" s="11" t="n">
        <v>42659.2365625</v>
      </c>
      <c r="M8246" s="12" t="s">
        <v>312</v>
      </c>
      <c r="N8246" s="12" t="s">
        <v>18162</v>
      </c>
      <c r="O8246" s="9" t="str">
        <f aca="false">HYPERLINK("https://pbs.twimg.com/profile_images/787652159617830912/IIy6FkP7_normal.jpg","View")</f>
        <v>View</v>
      </c>
      <c r="P8246" s="10"/>
    </row>
    <row r="8247" customFormat="false" ht="15.75" hidden="false" customHeight="false" outlineLevel="0" collapsed="false">
      <c r="A8247" s="6" t="n">
        <v>43032.201724537</v>
      </c>
      <c r="B8247" s="7" t="str">
        <f aca="false">HYPERLINK("https://twitter.com/Lamia980o","@Lamia980o")</f>
        <v>@Lamia980o</v>
      </c>
      <c r="C8247" s="8" t="s">
        <v>18163</v>
      </c>
      <c r="D8247" s="8" t="s">
        <v>18091</v>
      </c>
      <c r="E8247" s="9" t="str">
        <f aca="false">HYPERLINK("https://twitter.com/Lamia980o/status/922792410563870720","922792410563870720")</f>
        <v>922792410563870720</v>
      </c>
      <c r="F8247" s="10" t="s">
        <v>177</v>
      </c>
      <c r="G8247" s="10" t="n">
        <v>13</v>
      </c>
      <c r="H8247" s="10" t="n">
        <v>937</v>
      </c>
      <c r="I8247" s="10" t="n">
        <v>121</v>
      </c>
      <c r="J8247" s="10" t="n">
        <v>0</v>
      </c>
      <c r="K8247" s="10" t="s">
        <v>20</v>
      </c>
      <c r="L8247" s="11" t="n">
        <v>42983.1775694445</v>
      </c>
      <c r="M8247" s="12"/>
      <c r="N8247" s="12"/>
      <c r="O8247" s="9" t="str">
        <f aca="false">HYPERLINK("https://pbs.twimg.com/profile_images/905296240702828545/bPELJM-K_normal.jpg","View")</f>
        <v>View</v>
      </c>
      <c r="P8247" s="10"/>
    </row>
    <row r="8248" customFormat="false" ht="15.75" hidden="false" customHeight="false" outlineLevel="0" collapsed="false">
      <c r="A8248" s="6" t="n">
        <v>43032.201724537</v>
      </c>
      <c r="B8248" s="7" t="str">
        <f aca="false">HYPERLINK("https://twitter.com/Bassam9191","@Bassam9191")</f>
        <v>@Bassam9191</v>
      </c>
      <c r="C8248" s="8" t="s">
        <v>18164</v>
      </c>
      <c r="D8248" s="8" t="s">
        <v>18091</v>
      </c>
      <c r="E8248" s="9" t="str">
        <f aca="false">HYPERLINK("https://twitter.com/Bassam9191/status/922792410576556032","922792410576556032")</f>
        <v>922792410576556032</v>
      </c>
      <c r="F8248" s="10" t="s">
        <v>177</v>
      </c>
      <c r="G8248" s="10" t="n">
        <v>8</v>
      </c>
      <c r="H8248" s="10" t="n">
        <v>906</v>
      </c>
      <c r="I8248" s="10" t="n">
        <v>121</v>
      </c>
      <c r="J8248" s="10" t="n">
        <v>0</v>
      </c>
      <c r="K8248" s="10" t="s">
        <v>20</v>
      </c>
      <c r="L8248" s="11" t="n">
        <v>43022.4108333333</v>
      </c>
      <c r="M8248" s="12" t="s">
        <v>14546</v>
      </c>
      <c r="N8248" s="12" t="s">
        <v>18165</v>
      </c>
      <c r="O8248" s="9" t="str">
        <f aca="false">HYPERLINK("https://pbs.twimg.com/profile_images/919244899253399553/iDLkHDTS_normal.jpg","View")</f>
        <v>View</v>
      </c>
      <c r="P8248" s="10"/>
    </row>
    <row r="8249" customFormat="false" ht="15.75" hidden="false" customHeight="false" outlineLevel="0" collapsed="false">
      <c r="A8249" s="6" t="n">
        <v>43032.201724537</v>
      </c>
      <c r="B8249" s="7" t="str">
        <f aca="false">HYPERLINK("https://twitter.com/7711Salem","@7711Salem")</f>
        <v>@7711Salem</v>
      </c>
      <c r="C8249" s="8" t="s">
        <v>18166</v>
      </c>
      <c r="D8249" s="8" t="s">
        <v>18091</v>
      </c>
      <c r="E8249" s="9" t="str">
        <f aca="false">HYPERLINK("https://twitter.com/7711Salem/status/922792410589155328","922792410589155328")</f>
        <v>922792410589155328</v>
      </c>
      <c r="F8249" s="10" t="s">
        <v>177</v>
      </c>
      <c r="G8249" s="10" t="n">
        <v>19</v>
      </c>
      <c r="H8249" s="10" t="n">
        <v>981</v>
      </c>
      <c r="I8249" s="10" t="n">
        <v>121</v>
      </c>
      <c r="J8249" s="10" t="n">
        <v>0</v>
      </c>
      <c r="K8249" s="10" t="s">
        <v>20</v>
      </c>
      <c r="L8249" s="11" t="n">
        <v>42973.6776851852</v>
      </c>
      <c r="M8249" s="12"/>
      <c r="N8249" s="12"/>
      <c r="O8249" s="9" t="str">
        <f aca="false">HYPERLINK("https://pbs.twimg.com/profile_images/901584350923419648/1M_APBJZ_normal.jpg","View")</f>
        <v>View</v>
      </c>
      <c r="P8249" s="10"/>
    </row>
    <row r="8250" customFormat="false" ht="15.75" hidden="false" customHeight="false" outlineLevel="0" collapsed="false">
      <c r="A8250" s="6" t="n">
        <v>43032.2017361111</v>
      </c>
      <c r="B8250" s="7" t="str">
        <f aca="false">HYPERLINK("https://twitter.com/210Majeed","@210Majeed")</f>
        <v>@210Majeed</v>
      </c>
      <c r="C8250" s="8" t="s">
        <v>18167</v>
      </c>
      <c r="D8250" s="8" t="s">
        <v>18091</v>
      </c>
      <c r="E8250" s="9" t="str">
        <f aca="false">HYPERLINK("https://twitter.com/210Majeed/status/922792410622685185","922792410622685185")</f>
        <v>922792410622685185</v>
      </c>
      <c r="F8250" s="10" t="s">
        <v>177</v>
      </c>
      <c r="G8250" s="10" t="n">
        <v>17</v>
      </c>
      <c r="H8250" s="10" t="n">
        <v>0</v>
      </c>
      <c r="I8250" s="10" t="n">
        <v>121</v>
      </c>
      <c r="J8250" s="10" t="n">
        <v>0</v>
      </c>
      <c r="K8250" s="10" t="s">
        <v>20</v>
      </c>
      <c r="L8250" s="11" t="n">
        <v>42964.8384027778</v>
      </c>
      <c r="M8250" s="12" t="s">
        <v>182</v>
      </c>
      <c r="N8250" s="12" t="s">
        <v>18168</v>
      </c>
      <c r="O8250" s="9" t="str">
        <f aca="false">HYPERLINK("https://pbs.twimg.com/profile_images/898381141534814210/rOAo8ymf_normal.jpg","View")</f>
        <v>View</v>
      </c>
      <c r="P8250" s="10"/>
    </row>
    <row r="8251" customFormat="false" ht="15.75" hidden="false" customHeight="false" outlineLevel="0" collapsed="false">
      <c r="A8251" s="6" t="n">
        <v>43032.2017361111</v>
      </c>
      <c r="B8251" s="7" t="str">
        <f aca="false">HYPERLINK("https://twitter.com/3400nowal","@3400nowal")</f>
        <v>@3400nowal</v>
      </c>
      <c r="C8251" s="8" t="s">
        <v>18169</v>
      </c>
      <c r="D8251" s="8" t="s">
        <v>18091</v>
      </c>
      <c r="E8251" s="9" t="str">
        <f aca="false">HYPERLINK("https://twitter.com/3400nowal/status/922792410631102469","922792410631102469")</f>
        <v>922792410631102469</v>
      </c>
      <c r="F8251" s="10" t="s">
        <v>177</v>
      </c>
      <c r="G8251" s="10" t="n">
        <v>21</v>
      </c>
      <c r="H8251" s="10" t="n">
        <v>895</v>
      </c>
      <c r="I8251" s="10" t="n">
        <v>121</v>
      </c>
      <c r="J8251" s="10" t="n">
        <v>0</v>
      </c>
      <c r="K8251" s="10" t="s">
        <v>20</v>
      </c>
      <c r="L8251" s="11" t="n">
        <v>42991.1768171296</v>
      </c>
      <c r="M8251" s="12" t="s">
        <v>18170</v>
      </c>
      <c r="N8251" s="12"/>
      <c r="O8251" s="9" t="str">
        <f aca="false">HYPERLINK("https://pbs.twimg.com/profile_images/907925771993436160/NM9x5Dyk_normal.jpg","View")</f>
        <v>View</v>
      </c>
      <c r="P8251" s="10"/>
    </row>
    <row r="8252" customFormat="false" ht="15.75" hidden="false" customHeight="false" outlineLevel="0" collapsed="false">
      <c r="A8252" s="6" t="n">
        <v>43032.2017361111</v>
      </c>
      <c r="B8252" s="7" t="str">
        <f aca="false">HYPERLINK("https://twitter.com/603Hasan","@603Hasan")</f>
        <v>@603Hasan</v>
      </c>
      <c r="C8252" s="8" t="s">
        <v>18171</v>
      </c>
      <c r="D8252" s="8" t="s">
        <v>18091</v>
      </c>
      <c r="E8252" s="9" t="str">
        <f aca="false">HYPERLINK("https://twitter.com/603Hasan/status/922792410635173888","922792410635173888")</f>
        <v>922792410635173888</v>
      </c>
      <c r="F8252" s="10" t="s">
        <v>177</v>
      </c>
      <c r="G8252" s="10" t="n">
        <v>14</v>
      </c>
      <c r="H8252" s="10" t="n">
        <v>870</v>
      </c>
      <c r="I8252" s="10" t="n">
        <v>121</v>
      </c>
      <c r="J8252" s="10" t="n">
        <v>0</v>
      </c>
      <c r="K8252" s="10" t="s">
        <v>20</v>
      </c>
      <c r="L8252" s="11" t="n">
        <v>42964.8452546296</v>
      </c>
      <c r="M8252" s="12" t="s">
        <v>18170</v>
      </c>
      <c r="N8252" s="12" t="s">
        <v>18172</v>
      </c>
      <c r="O8252" s="9" t="str">
        <f aca="false">HYPERLINK("https://pbs.twimg.com/profile_images/898383826556211205/OAizkxo3_normal.jpg","View")</f>
        <v>View</v>
      </c>
      <c r="P8252" s="10"/>
    </row>
    <row r="8253" customFormat="false" ht="15.75" hidden="false" customHeight="false" outlineLevel="0" collapsed="false">
      <c r="A8253" s="6" t="n">
        <v>43032.2017361111</v>
      </c>
      <c r="B8253" s="7" t="str">
        <f aca="false">HYPERLINK("https://twitter.com/190Liam","@190Liam")</f>
        <v>@190Liam</v>
      </c>
      <c r="C8253" s="8" t="s">
        <v>18173</v>
      </c>
      <c r="D8253" s="8" t="s">
        <v>18091</v>
      </c>
      <c r="E8253" s="9" t="str">
        <f aca="false">HYPERLINK("https://twitter.com/190Liam/status/922792410639462405","922792410639462405")</f>
        <v>922792410639462405</v>
      </c>
      <c r="F8253" s="10" t="s">
        <v>177</v>
      </c>
      <c r="G8253" s="10" t="n">
        <v>15</v>
      </c>
      <c r="H8253" s="10" t="n">
        <v>914</v>
      </c>
      <c r="I8253" s="10" t="n">
        <v>121</v>
      </c>
      <c r="J8253" s="10" t="n">
        <v>0</v>
      </c>
      <c r="K8253" s="10" t="s">
        <v>20</v>
      </c>
      <c r="L8253" s="11" t="n">
        <v>42958.0447569444</v>
      </c>
      <c r="M8253" s="12" t="s">
        <v>312</v>
      </c>
      <c r="N8253" s="12"/>
      <c r="O8253" s="9" t="str">
        <f aca="false">HYPERLINK("https://pbs.twimg.com/profile_images/895919650952929280/aZkxLCCq_normal.jpg","View")</f>
        <v>View</v>
      </c>
      <c r="P8253" s="10"/>
    </row>
    <row r="8254" customFormat="false" ht="15.75" hidden="false" customHeight="false" outlineLevel="0" collapsed="false">
      <c r="A8254" s="6" t="n">
        <v>43032.2017361111</v>
      </c>
      <c r="B8254" s="7" t="str">
        <f aca="false">HYPERLINK("https://twitter.com/3421kalid","@3421kalid")</f>
        <v>@3421kalid</v>
      </c>
      <c r="C8254" s="8" t="s">
        <v>18174</v>
      </c>
      <c r="D8254" s="8" t="s">
        <v>18091</v>
      </c>
      <c r="E8254" s="9" t="str">
        <f aca="false">HYPERLINK("https://twitter.com/3421kalid/status/922792410651987968","922792410651987968")</f>
        <v>922792410651987968</v>
      </c>
      <c r="F8254" s="10" t="s">
        <v>177</v>
      </c>
      <c r="G8254" s="10" t="n">
        <v>21</v>
      </c>
      <c r="H8254" s="10" t="n">
        <v>998</v>
      </c>
      <c r="I8254" s="10" t="n">
        <v>121</v>
      </c>
      <c r="J8254" s="10" t="n">
        <v>0</v>
      </c>
      <c r="K8254" s="10" t="s">
        <v>20</v>
      </c>
      <c r="L8254" s="11" t="n">
        <v>42983.1763194444</v>
      </c>
      <c r="M8254" s="12"/>
      <c r="N8254" s="12"/>
      <c r="O8254" s="9" t="str">
        <f aca="false">HYPERLINK("https://abs.twimg.com/sticky/default_profile_images/default_profile_normal.png","View")</f>
        <v>View</v>
      </c>
      <c r="P8254" s="10"/>
    </row>
    <row r="8255" customFormat="false" ht="15.75" hidden="false" customHeight="false" outlineLevel="0" collapsed="false">
      <c r="A8255" s="6" t="n">
        <v>43032.2017361111</v>
      </c>
      <c r="B8255" s="7" t="str">
        <f aca="false">HYPERLINK("https://twitter.com/Salma5115","@Salma5115")</f>
        <v>@Salma5115</v>
      </c>
      <c r="C8255" s="8" t="s">
        <v>18175</v>
      </c>
      <c r="D8255" s="8" t="s">
        <v>18091</v>
      </c>
      <c r="E8255" s="9" t="str">
        <f aca="false">HYPERLINK("https://twitter.com/Salma5115/status/922792410660433921","922792410660433921")</f>
        <v>922792410660433921</v>
      </c>
      <c r="F8255" s="10" t="s">
        <v>177</v>
      </c>
      <c r="G8255" s="10" t="n">
        <v>13</v>
      </c>
      <c r="H8255" s="10" t="n">
        <v>959</v>
      </c>
      <c r="I8255" s="10" t="n">
        <v>121</v>
      </c>
      <c r="J8255" s="10" t="n">
        <v>0</v>
      </c>
      <c r="K8255" s="10" t="s">
        <v>20</v>
      </c>
      <c r="L8255" s="11" t="n">
        <v>43022.4158564815</v>
      </c>
      <c r="M8255" s="12" t="s">
        <v>18176</v>
      </c>
      <c r="N8255" s="12" t="s">
        <v>18177</v>
      </c>
      <c r="O8255" s="9" t="str">
        <f aca="false">HYPERLINK("https://pbs.twimg.com/profile_images/919246496448614400/XvSfiInk_normal.jpg","View")</f>
        <v>View</v>
      </c>
      <c r="P8255" s="10"/>
    </row>
    <row r="8256" customFormat="false" ht="15.75" hidden="false" customHeight="false" outlineLevel="0" collapsed="false">
      <c r="A8256" s="6" t="n">
        <v>43032.2017361111</v>
      </c>
      <c r="B8256" s="7" t="str">
        <f aca="false">HYPERLINK("https://twitter.com/192Nora","@192Nora")</f>
        <v>@192Nora</v>
      </c>
      <c r="C8256" s="8" t="s">
        <v>18178</v>
      </c>
      <c r="D8256" s="8" t="s">
        <v>18091</v>
      </c>
      <c r="E8256" s="9" t="str">
        <f aca="false">HYPERLINK("https://twitter.com/192Nora/status/922792410660442112","922792410660442112")</f>
        <v>922792410660442112</v>
      </c>
      <c r="F8256" s="10" t="s">
        <v>177</v>
      </c>
      <c r="G8256" s="10" t="n">
        <v>15</v>
      </c>
      <c r="H8256" s="10" t="n">
        <v>0</v>
      </c>
      <c r="I8256" s="10" t="n">
        <v>121</v>
      </c>
      <c r="J8256" s="10" t="n">
        <v>0</v>
      </c>
      <c r="K8256" s="10" t="s">
        <v>20</v>
      </c>
      <c r="L8256" s="11" t="n">
        <v>42958.0668287037</v>
      </c>
      <c r="M8256" s="12" t="s">
        <v>18179</v>
      </c>
      <c r="N8256" s="12"/>
      <c r="O8256" s="9" t="str">
        <f aca="false">HYPERLINK("https://pbs.twimg.com/profile_images/895927265774768128/zNgYj3Cb_normal.jpg","View")</f>
        <v>View</v>
      </c>
      <c r="P8256" s="10"/>
    </row>
    <row r="8257" customFormat="false" ht="15.75" hidden="false" customHeight="false" outlineLevel="0" collapsed="false">
      <c r="A8257" s="6" t="n">
        <v>43032.2017361111</v>
      </c>
      <c r="B8257" s="7" t="str">
        <f aca="false">HYPERLINK("https://twitter.com/3400moon","@3400moon")</f>
        <v>@3400moon</v>
      </c>
      <c r="C8257" s="8" t="s">
        <v>18180</v>
      </c>
      <c r="D8257" s="8" t="s">
        <v>18091</v>
      </c>
      <c r="E8257" s="9" t="str">
        <f aca="false">HYPERLINK("https://twitter.com/3400moon/status/922792410668814336","922792410668814336")</f>
        <v>922792410668814336</v>
      </c>
      <c r="F8257" s="10" t="s">
        <v>177</v>
      </c>
      <c r="G8257" s="10" t="n">
        <v>15</v>
      </c>
      <c r="H8257" s="10" t="n">
        <v>892</v>
      </c>
      <c r="I8257" s="10" t="n">
        <v>121</v>
      </c>
      <c r="J8257" s="10" t="n">
        <v>0</v>
      </c>
      <c r="K8257" s="10" t="s">
        <v>20</v>
      </c>
      <c r="L8257" s="11" t="n">
        <v>42991.1739351852</v>
      </c>
      <c r="M8257" s="12" t="s">
        <v>18181</v>
      </c>
      <c r="N8257" s="12"/>
      <c r="O8257" s="9" t="str">
        <f aca="false">HYPERLINK("https://pbs.twimg.com/profile_images/907924820037435392/q9fhIoeZ_normal.jpg","View")</f>
        <v>View</v>
      </c>
      <c r="P8257" s="10"/>
    </row>
    <row r="8258" customFormat="false" ht="15.75" hidden="false" customHeight="false" outlineLevel="0" collapsed="false">
      <c r="A8258" s="6" t="n">
        <v>43032.2017361111</v>
      </c>
      <c r="B8258" s="7" t="str">
        <f aca="false">HYPERLINK("https://twitter.com/sambobbobsam","@sambobbobsam")</f>
        <v>@sambobbobsam</v>
      </c>
      <c r="C8258" s="8" t="n">
        <v>9</v>
      </c>
      <c r="D8258" s="8" t="s">
        <v>18091</v>
      </c>
      <c r="E8258" s="9" t="str">
        <f aca="false">HYPERLINK("https://twitter.com/sambobbobsam/status/922792410672975876","922792410672975876")</f>
        <v>922792410672975876</v>
      </c>
      <c r="F8258" s="10" t="s">
        <v>177</v>
      </c>
      <c r="G8258" s="10" t="n">
        <v>21</v>
      </c>
      <c r="H8258" s="10" t="n">
        <v>877</v>
      </c>
      <c r="I8258" s="10" t="n">
        <v>121</v>
      </c>
      <c r="J8258" s="10" t="n">
        <v>0</v>
      </c>
      <c r="K8258" s="10" t="s">
        <v>20</v>
      </c>
      <c r="L8258" s="11" t="n">
        <v>42947.3145138889</v>
      </c>
      <c r="M8258" s="12"/>
      <c r="N8258" s="12" t="s">
        <v>18182</v>
      </c>
      <c r="O8258" s="9" t="str">
        <f aca="false">HYPERLINK("https://pbs.twimg.com/profile_images/892031515600838656/wEdhiOt8_normal.jpg","View")</f>
        <v>View</v>
      </c>
      <c r="P8258" s="10"/>
    </row>
    <row r="8259" customFormat="false" ht="15.75" hidden="false" customHeight="false" outlineLevel="0" collapsed="false">
      <c r="A8259" s="6" t="n">
        <v>43032.2017361111</v>
      </c>
      <c r="B8259" s="7" t="str">
        <f aca="false">HYPERLINK("https://twitter.com/203Nasir","@203Nasir")</f>
        <v>@203Nasir</v>
      </c>
      <c r="C8259" s="8" t="s">
        <v>18183</v>
      </c>
      <c r="D8259" s="8" t="s">
        <v>18091</v>
      </c>
      <c r="E8259" s="9" t="str">
        <f aca="false">HYPERLINK("https://twitter.com/203Nasir/status/922792410672979969","922792410672979969")</f>
        <v>922792410672979969</v>
      </c>
      <c r="F8259" s="10" t="s">
        <v>177</v>
      </c>
      <c r="G8259" s="10" t="n">
        <v>15</v>
      </c>
      <c r="H8259" s="10" t="n">
        <v>950</v>
      </c>
      <c r="I8259" s="10" t="n">
        <v>121</v>
      </c>
      <c r="J8259" s="10" t="n">
        <v>0</v>
      </c>
      <c r="K8259" s="10" t="s">
        <v>20</v>
      </c>
      <c r="L8259" s="11" t="n">
        <v>42958.079224537</v>
      </c>
      <c r="M8259" s="12" t="s">
        <v>588</v>
      </c>
      <c r="N8259" s="12"/>
      <c r="O8259" s="9" t="str">
        <f aca="false">HYPERLINK("https://pbs.twimg.com/profile_images/895931610163314689/vcoam8th_normal.jpg","View")</f>
        <v>View</v>
      </c>
      <c r="P8259" s="10"/>
    </row>
    <row r="8260" customFormat="false" ht="15.75" hidden="false" customHeight="false" outlineLevel="0" collapsed="false">
      <c r="A8260" s="6" t="n">
        <v>43032.2017361111</v>
      </c>
      <c r="B8260" s="7" t="str">
        <f aca="false">HYPERLINK("https://twitter.com/604salh","@604salh")</f>
        <v>@604salh</v>
      </c>
      <c r="C8260" s="8" t="s">
        <v>18184</v>
      </c>
      <c r="D8260" s="8" t="s">
        <v>18091</v>
      </c>
      <c r="E8260" s="9" t="str">
        <f aca="false">HYPERLINK("https://twitter.com/604salh/status/922792410710724608","922792410710724608")</f>
        <v>922792410710724608</v>
      </c>
      <c r="F8260" s="10" t="s">
        <v>177</v>
      </c>
      <c r="G8260" s="10" t="n">
        <v>16</v>
      </c>
      <c r="H8260" s="10" t="n">
        <v>871</v>
      </c>
      <c r="I8260" s="10" t="n">
        <v>121</v>
      </c>
      <c r="J8260" s="10" t="n">
        <v>0</v>
      </c>
      <c r="K8260" s="10" t="s">
        <v>20</v>
      </c>
      <c r="L8260" s="11" t="n">
        <v>42964.8493055556</v>
      </c>
      <c r="M8260" s="12" t="s">
        <v>18176</v>
      </c>
      <c r="N8260" s="12" t="s">
        <v>18185</v>
      </c>
      <c r="O8260" s="9" t="str">
        <f aca="false">HYPERLINK("https://pbs.twimg.com/profile_images/898385310794600449/4AYP9UmE_normal.jpg","View")</f>
        <v>View</v>
      </c>
      <c r="P8260" s="10"/>
    </row>
    <row r="8261" customFormat="false" ht="15.75" hidden="false" customHeight="false" outlineLevel="0" collapsed="false">
      <c r="A8261" s="6" t="n">
        <v>43032.2017361111</v>
      </c>
      <c r="B8261" s="7" t="str">
        <f aca="false">HYPERLINK("https://twitter.com/bbuuboi","@bbuuboi")</f>
        <v>@bbuuboi</v>
      </c>
      <c r="C8261" s="8" t="s">
        <v>18186</v>
      </c>
      <c r="D8261" s="8" t="s">
        <v>18091</v>
      </c>
      <c r="E8261" s="9" t="str">
        <f aca="false">HYPERLINK("https://twitter.com/bbuuboi/status/922792410714984453","922792410714984453")</f>
        <v>922792410714984453</v>
      </c>
      <c r="F8261" s="10" t="s">
        <v>177</v>
      </c>
      <c r="G8261" s="10" t="n">
        <v>26</v>
      </c>
      <c r="H8261" s="10" t="n">
        <v>889</v>
      </c>
      <c r="I8261" s="10" t="n">
        <v>121</v>
      </c>
      <c r="J8261" s="10" t="n">
        <v>0</v>
      </c>
      <c r="K8261" s="10" t="s">
        <v>20</v>
      </c>
      <c r="L8261" s="11" t="n">
        <v>42845.3176041667</v>
      </c>
      <c r="M8261" s="12"/>
      <c r="N8261" s="12"/>
      <c r="O8261" s="9" t="str">
        <f aca="false">HYPERLINK("https://pbs.twimg.com/profile_images/869281487593627652/9R98RMk4_normal.jpg","View")</f>
        <v>View</v>
      </c>
      <c r="P8261" s="10"/>
    </row>
    <row r="8262" customFormat="false" ht="15.75" hidden="false" customHeight="false" outlineLevel="0" collapsed="false">
      <c r="A8262" s="6" t="n">
        <v>43032.2017361111</v>
      </c>
      <c r="B8262" s="7" t="str">
        <f aca="false">HYPERLINK("https://twitter.com/193Palma","@193Palma")</f>
        <v>@193Palma</v>
      </c>
      <c r="C8262" s="8" t="s">
        <v>18187</v>
      </c>
      <c r="D8262" s="8" t="s">
        <v>18091</v>
      </c>
      <c r="E8262" s="9" t="str">
        <f aca="false">HYPERLINK("https://twitter.com/193Palma/status/922792410802982913","922792410802982913")</f>
        <v>922792410802982913</v>
      </c>
      <c r="F8262" s="10" t="s">
        <v>177</v>
      </c>
      <c r="G8262" s="10" t="n">
        <v>15</v>
      </c>
      <c r="H8262" s="10" t="n">
        <v>876</v>
      </c>
      <c r="I8262" s="10" t="n">
        <v>121</v>
      </c>
      <c r="J8262" s="10" t="n">
        <v>0</v>
      </c>
      <c r="K8262" s="10" t="s">
        <v>20</v>
      </c>
      <c r="L8262" s="11" t="n">
        <v>42958.0695833333</v>
      </c>
      <c r="M8262" s="12" t="s">
        <v>18188</v>
      </c>
      <c r="N8262" s="12"/>
      <c r="O8262" s="9" t="str">
        <f aca="false">HYPERLINK("https://pbs.twimg.com/profile_images/895928149078396932/7ozT0BfB_normal.jpg","View")</f>
        <v>View</v>
      </c>
      <c r="P8262" s="10"/>
    </row>
    <row r="8263" customFormat="false" ht="15.75" hidden="false" customHeight="false" outlineLevel="0" collapsed="false">
      <c r="A8263" s="6" t="n">
        <v>43032.2017361111</v>
      </c>
      <c r="B8263" s="7" t="str">
        <f aca="false">HYPERLINK("https://twitter.com/2030saemi","@2030saemi")</f>
        <v>@2030saemi</v>
      </c>
      <c r="C8263" s="8" t="s">
        <v>18189</v>
      </c>
      <c r="D8263" s="8" t="s">
        <v>18091</v>
      </c>
      <c r="E8263" s="9" t="str">
        <f aca="false">HYPERLINK("https://twitter.com/2030saemi/status/922792410836619264","922792410836619264")</f>
        <v>922792410836619264</v>
      </c>
      <c r="F8263" s="10" t="s">
        <v>177</v>
      </c>
      <c r="G8263" s="10" t="n">
        <v>23</v>
      </c>
      <c r="H8263" s="10" t="n">
        <v>1078</v>
      </c>
      <c r="I8263" s="10" t="n">
        <v>121</v>
      </c>
      <c r="J8263" s="10" t="n">
        <v>0</v>
      </c>
      <c r="K8263" s="10" t="s">
        <v>20</v>
      </c>
      <c r="L8263" s="11" t="n">
        <v>42983.1731944445</v>
      </c>
      <c r="M8263" s="12"/>
      <c r="N8263" s="12"/>
      <c r="O8263" s="9" t="str">
        <f aca="false">HYPERLINK("https://pbs.twimg.com/profile_images/906089223664652290/s8Y9TQO6_normal.jpg","View")</f>
        <v>View</v>
      </c>
      <c r="P8263" s="10"/>
    </row>
    <row r="8264" customFormat="false" ht="15.75" hidden="false" customHeight="false" outlineLevel="0" collapsed="false">
      <c r="A8264" s="6" t="n">
        <v>43032.2017361111</v>
      </c>
      <c r="B8264" s="7" t="str">
        <f aca="false">HYPERLINK("https://twitter.com/204khaled","@204khaled")</f>
        <v>@204khaled</v>
      </c>
      <c r="C8264" s="8" t="s">
        <v>18190</v>
      </c>
      <c r="D8264" s="8" t="s">
        <v>18091</v>
      </c>
      <c r="E8264" s="9" t="str">
        <f aca="false">HYPERLINK("https://twitter.com/204khaled/status/922792410844925953","922792410844925953")</f>
        <v>922792410844925953</v>
      </c>
      <c r="F8264" s="10" t="s">
        <v>177</v>
      </c>
      <c r="G8264" s="10" t="n">
        <v>16</v>
      </c>
      <c r="H8264" s="10" t="n">
        <v>942</v>
      </c>
      <c r="I8264" s="10" t="n">
        <v>121</v>
      </c>
      <c r="J8264" s="10" t="n">
        <v>0</v>
      </c>
      <c r="K8264" s="10" t="s">
        <v>20</v>
      </c>
      <c r="L8264" s="11" t="n">
        <v>42958.076724537</v>
      </c>
      <c r="M8264" s="12" t="s">
        <v>295</v>
      </c>
      <c r="N8264" s="12"/>
      <c r="O8264" s="9" t="str">
        <f aca="false">HYPERLINK("https://pbs.twimg.com/profile_images/895930917549559808/R_8XGci1_normal.jpg","View")</f>
        <v>View</v>
      </c>
      <c r="P8264" s="10"/>
    </row>
    <row r="8265" customFormat="false" ht="15.75" hidden="false" customHeight="false" outlineLevel="0" collapsed="false">
      <c r="A8265" s="6" t="n">
        <v>43032.2017361111</v>
      </c>
      <c r="B8265" s="7" t="str">
        <f aca="false">HYPERLINK("https://twitter.com/jacobtaylir","@jacobtaylir")</f>
        <v>@jacobtaylir</v>
      </c>
      <c r="C8265" s="8" t="s">
        <v>18191</v>
      </c>
      <c r="D8265" s="8" t="s">
        <v>18091</v>
      </c>
      <c r="E8265" s="9" t="str">
        <f aca="false">HYPERLINK("https://twitter.com/jacobtaylir/status/922792412165967872","922792412165967872")</f>
        <v>922792412165967872</v>
      </c>
      <c r="F8265" s="10" t="s">
        <v>17101</v>
      </c>
      <c r="G8265" s="10" t="n">
        <v>145</v>
      </c>
      <c r="H8265" s="10" t="n">
        <v>5003</v>
      </c>
      <c r="I8265" s="10" t="n">
        <v>121</v>
      </c>
      <c r="J8265" s="10" t="n">
        <v>0</v>
      </c>
      <c r="K8265" s="10" t="s">
        <v>20</v>
      </c>
      <c r="L8265" s="11" t="n">
        <v>42744.5846759259</v>
      </c>
      <c r="M8265" s="12"/>
      <c r="N8265" s="12"/>
      <c r="O8265" s="9" t="str">
        <f aca="false">HYPERLINK("https://pbs.twimg.com/profile_images/880917165448151040/lhWc5wdB_normal.jpg","View")</f>
        <v>View</v>
      </c>
      <c r="P8265" s="10"/>
    </row>
    <row r="8266" customFormat="false" ht="15.75" hidden="false" customHeight="false" outlineLevel="0" collapsed="false">
      <c r="A8266" s="6" t="n">
        <v>43032.2017361111</v>
      </c>
      <c r="B8266" s="7" t="str">
        <f aca="false">HYPERLINK("https://twitter.com/JohnCenaa141","@JohnCenaa141")</f>
        <v>@JohnCenaa141</v>
      </c>
      <c r="C8266" s="8" t="s">
        <v>18192</v>
      </c>
      <c r="D8266" s="8" t="s">
        <v>18091</v>
      </c>
      <c r="E8266" s="9" t="str">
        <f aca="false">HYPERLINK("https://twitter.com/JohnCenaa141/status/922792412333748226","922792412333748226")</f>
        <v>922792412333748226</v>
      </c>
      <c r="F8266" s="10" t="s">
        <v>17101</v>
      </c>
      <c r="G8266" s="10" t="n">
        <v>231</v>
      </c>
      <c r="H8266" s="10" t="n">
        <v>0</v>
      </c>
      <c r="I8266" s="10" t="n">
        <v>121</v>
      </c>
      <c r="J8266" s="10" t="n">
        <v>0</v>
      </c>
      <c r="K8266" s="10" t="s">
        <v>20</v>
      </c>
      <c r="L8266" s="11" t="n">
        <v>42565.8109722222</v>
      </c>
      <c r="M8266" s="12"/>
      <c r="N8266" s="12"/>
      <c r="O8266" s="9" t="str">
        <f aca="false">HYPERLINK("https://abs.twimg.com/sticky/default_profile_images/default_profile_normal.png","View")</f>
        <v>View</v>
      </c>
      <c r="P8266" s="10"/>
    </row>
    <row r="8267" customFormat="false" ht="15.75" hidden="false" customHeight="false" outlineLevel="0" collapsed="false">
      <c r="A8267" s="6" t="n">
        <v>43032.2017361111</v>
      </c>
      <c r="B8267" s="7" t="str">
        <f aca="false">HYPERLINK("https://twitter.com/NCorraay","@NCorraay")</f>
        <v>@NCorraay</v>
      </c>
      <c r="C8267" s="8" t="s">
        <v>18193</v>
      </c>
      <c r="D8267" s="8" t="s">
        <v>18091</v>
      </c>
      <c r="E8267" s="9" t="str">
        <f aca="false">HYPERLINK("https://twitter.com/NCorraay/status/922792412862332929","922792412862332929")</f>
        <v>922792412862332929</v>
      </c>
      <c r="F8267" s="10" t="s">
        <v>17101</v>
      </c>
      <c r="G8267" s="10" t="n">
        <v>63</v>
      </c>
      <c r="H8267" s="10" t="n">
        <v>0</v>
      </c>
      <c r="I8267" s="10" t="n">
        <v>121</v>
      </c>
      <c r="J8267" s="10" t="n">
        <v>0</v>
      </c>
      <c r="K8267" s="10" t="s">
        <v>20</v>
      </c>
      <c r="L8267" s="11" t="n">
        <v>43001.5551388889</v>
      </c>
      <c r="M8267" s="12"/>
      <c r="N8267" s="12"/>
      <c r="O8267" s="9" t="str">
        <f aca="false">HYPERLINK("https://abs.twimg.com/sticky/default_profile_images/default_profile_normal.png","View")</f>
        <v>View</v>
      </c>
      <c r="P8267" s="10"/>
    </row>
    <row r="8268" customFormat="false" ht="15.75" hidden="false" customHeight="false" outlineLevel="0" collapsed="false">
      <c r="A8268" s="6" t="n">
        <v>43032.2017361111</v>
      </c>
      <c r="B8268" s="7" t="str">
        <f aca="false">HYPERLINK("https://twitter.com/SBKorganization","@SBKorganization")</f>
        <v>@SBKorganization</v>
      </c>
      <c r="C8268" s="8" t="s">
        <v>18194</v>
      </c>
      <c r="D8268" s="8" t="s">
        <v>18091</v>
      </c>
      <c r="E8268" s="9" t="str">
        <f aca="false">HYPERLINK("https://twitter.com/SBKorganization/status/922792413063606272","922792413063606272")</f>
        <v>922792413063606272</v>
      </c>
      <c r="F8268" s="10" t="s">
        <v>17101</v>
      </c>
      <c r="G8268" s="10" t="n">
        <v>65</v>
      </c>
      <c r="H8268" s="10" t="n">
        <v>4959</v>
      </c>
      <c r="I8268" s="10" t="n">
        <v>121</v>
      </c>
      <c r="J8268" s="10" t="n">
        <v>0</v>
      </c>
      <c r="K8268" s="10" t="s">
        <v>20</v>
      </c>
      <c r="L8268" s="11" t="n">
        <v>42849.018587963</v>
      </c>
      <c r="M8268" s="12"/>
      <c r="N8268" s="12"/>
      <c r="O8268" s="9" t="str">
        <f aca="false">HYPERLINK("https://abs.twimg.com/sticky/default_profile_images/default_profile_normal.png","View")</f>
        <v>View</v>
      </c>
      <c r="P8268" s="10"/>
    </row>
    <row r="8269" customFormat="false" ht="15.75" hidden="false" customHeight="false" outlineLevel="0" collapsed="false">
      <c r="A8269" s="6" t="n">
        <v>43032.2017361111</v>
      </c>
      <c r="B8269" s="7" t="str">
        <f aca="false">HYPERLINK("https://twitter.com/HSeinfeild","@HSeinfeild")</f>
        <v>@HSeinfeild</v>
      </c>
      <c r="C8269" s="8" t="s">
        <v>18195</v>
      </c>
      <c r="D8269" s="8" t="s">
        <v>18091</v>
      </c>
      <c r="E8269" s="9" t="str">
        <f aca="false">HYPERLINK("https://twitter.com/HSeinfeild/status/922792413139050496","922792413139050496")</f>
        <v>922792413139050496</v>
      </c>
      <c r="F8269" s="10" t="s">
        <v>17101</v>
      </c>
      <c r="G8269" s="10" t="n">
        <v>75</v>
      </c>
      <c r="H8269" s="10" t="n">
        <v>5000</v>
      </c>
      <c r="I8269" s="10" t="n">
        <v>121</v>
      </c>
      <c r="J8269" s="10" t="n">
        <v>0</v>
      </c>
      <c r="K8269" s="10" t="s">
        <v>20</v>
      </c>
      <c r="L8269" s="11" t="n">
        <v>43001.5531828704</v>
      </c>
      <c r="M8269" s="12"/>
      <c r="N8269" s="12"/>
      <c r="O8269" s="9" t="str">
        <f aca="false">HYPERLINK("https://abs.twimg.com/sticky/default_profile_images/default_profile_normal.png","View")</f>
        <v>View</v>
      </c>
      <c r="P8269" s="10"/>
    </row>
    <row r="8270" customFormat="false" ht="15.75" hidden="false" customHeight="false" outlineLevel="0" collapsed="false">
      <c r="A8270" s="6" t="n">
        <v>43032.2017361111</v>
      </c>
      <c r="B8270" s="7" t="str">
        <f aca="false">HYPERLINK("https://twitter.com/DixiePOKS","@DixiePOKS")</f>
        <v>@DixiePOKS</v>
      </c>
      <c r="C8270" s="8" t="s">
        <v>18196</v>
      </c>
      <c r="D8270" s="8" t="s">
        <v>18091</v>
      </c>
      <c r="E8270" s="9" t="str">
        <f aca="false">HYPERLINK("https://twitter.com/DixiePOKS/status/922792413420183553","922792413420183553")</f>
        <v>922792413420183553</v>
      </c>
      <c r="F8270" s="10" t="s">
        <v>17101</v>
      </c>
      <c r="G8270" s="10" t="n">
        <v>228</v>
      </c>
      <c r="H8270" s="10" t="n">
        <v>5001</v>
      </c>
      <c r="I8270" s="10" t="n">
        <v>121</v>
      </c>
      <c r="J8270" s="10" t="n">
        <v>0</v>
      </c>
      <c r="K8270" s="10" t="s">
        <v>20</v>
      </c>
      <c r="L8270" s="11" t="n">
        <v>42781.5778819444</v>
      </c>
      <c r="M8270" s="12" t="s">
        <v>18197</v>
      </c>
      <c r="N8270" s="12"/>
      <c r="O8270" s="9" t="str">
        <f aca="false">HYPERLINK("https://pbs.twimg.com/profile_images/880915023043772416/2FLvkAqD_normal.jpg","View")</f>
        <v>View</v>
      </c>
      <c r="P8270" s="10"/>
    </row>
    <row r="8271" customFormat="false" ht="15.75" hidden="false" customHeight="false" outlineLevel="0" collapsed="false">
      <c r="A8271" s="6" t="n">
        <v>43032.2017476852</v>
      </c>
      <c r="B8271" s="7" t="str">
        <f aca="false">HYPERLINK("https://twitter.com/RanagkigaltiG","@RanagkigaltiG")</f>
        <v>@RanagkigaltiG</v>
      </c>
      <c r="C8271" s="8" t="s">
        <v>18198</v>
      </c>
      <c r="D8271" s="8" t="s">
        <v>18091</v>
      </c>
      <c r="E8271" s="9" t="str">
        <f aca="false">HYPERLINK("https://twitter.com/RanagkigaltiG/status/922792417799147522","922792417799147522")</f>
        <v>922792417799147522</v>
      </c>
      <c r="F8271" s="10" t="s">
        <v>17101</v>
      </c>
      <c r="G8271" s="10" t="n">
        <v>33</v>
      </c>
      <c r="H8271" s="10" t="n">
        <v>157</v>
      </c>
      <c r="I8271" s="10" t="n">
        <v>121</v>
      </c>
      <c r="J8271" s="10" t="n">
        <v>0</v>
      </c>
      <c r="K8271" s="10" t="s">
        <v>20</v>
      </c>
      <c r="L8271" s="11" t="n">
        <v>42615.4002546296</v>
      </c>
      <c r="M8271" s="12" t="s">
        <v>7114</v>
      </c>
      <c r="N8271" s="12" t="s">
        <v>18199</v>
      </c>
      <c r="O8271" s="9" t="str">
        <f aca="false">HYPERLINK("https://pbs.twimg.com/profile_images/771748939917828097/GZiv5Bcc_normal.jpg","View")</f>
        <v>View</v>
      </c>
      <c r="P8271" s="10"/>
    </row>
    <row r="8272" customFormat="false" ht="15.75" hidden="false" customHeight="false" outlineLevel="0" collapsed="false">
      <c r="A8272" s="6" t="n">
        <v>43032.2017476852</v>
      </c>
      <c r="B8272" s="7" t="str">
        <f aca="false">HYPERLINK("https://twitter.com/GirlSinnergirl1","@GirlSinnergirl1")</f>
        <v>@GirlSinnergirl1</v>
      </c>
      <c r="C8272" s="8" t="s">
        <v>18200</v>
      </c>
      <c r="D8272" s="8" t="s">
        <v>18091</v>
      </c>
      <c r="E8272" s="9" t="str">
        <f aca="false">HYPERLINK("https://twitter.com/GirlSinnergirl1/status/922792418013077505","922792418013077505")</f>
        <v>922792418013077505</v>
      </c>
      <c r="F8272" s="10" t="s">
        <v>17101</v>
      </c>
      <c r="G8272" s="10" t="n">
        <v>31</v>
      </c>
      <c r="H8272" s="10" t="n">
        <v>155</v>
      </c>
      <c r="I8272" s="10" t="n">
        <v>121</v>
      </c>
      <c r="J8272" s="10" t="n">
        <v>0</v>
      </c>
      <c r="K8272" s="10" t="s">
        <v>20</v>
      </c>
      <c r="L8272" s="11" t="n">
        <v>42614.7155555556</v>
      </c>
      <c r="M8272" s="12" t="s">
        <v>18201</v>
      </c>
      <c r="N8272" s="12" t="s">
        <v>18202</v>
      </c>
      <c r="O8272" s="9" t="str">
        <f aca="false">HYPERLINK("https://pbs.twimg.com/profile_images/916086257171816448/SEHg88-3_normal.jpg","View")</f>
        <v>View</v>
      </c>
      <c r="P8272" s="10"/>
    </row>
    <row r="8273" customFormat="false" ht="15.75" hidden="false" customHeight="false" outlineLevel="0" collapsed="false">
      <c r="A8273" s="6" t="n">
        <v>43032.2017476852</v>
      </c>
      <c r="B8273" s="7" t="str">
        <f aca="false">HYPERLINK("https://twitter.com/Sanam_bk","@Sanam_bk")</f>
        <v>@Sanam_bk</v>
      </c>
      <c r="C8273" s="8" t="s">
        <v>18203</v>
      </c>
      <c r="D8273" s="8" t="s">
        <v>18091</v>
      </c>
      <c r="E8273" s="9" t="str">
        <f aca="false">HYPERLINK("https://twitter.com/Sanam_bk/status/922792418491191297","922792418491191297")</f>
        <v>922792418491191297</v>
      </c>
      <c r="F8273" s="10" t="s">
        <v>17101</v>
      </c>
      <c r="G8273" s="10" t="n">
        <v>89</v>
      </c>
      <c r="H8273" s="10" t="n">
        <v>94</v>
      </c>
      <c r="I8273" s="10" t="n">
        <v>121</v>
      </c>
      <c r="J8273" s="10" t="n">
        <v>0</v>
      </c>
      <c r="K8273" s="10" t="s">
        <v>20</v>
      </c>
      <c r="L8273" s="11" t="n">
        <v>42780.2850578704</v>
      </c>
      <c r="M8273" s="12" t="s">
        <v>18204</v>
      </c>
      <c r="N8273" s="12" t="s">
        <v>18205</v>
      </c>
      <c r="O8273" s="9" t="str">
        <f aca="false">HYPERLINK("https://pbs.twimg.com/profile_images/913458309755269120/7rPWdcpO_normal.jpg","View")</f>
        <v>View</v>
      </c>
      <c r="P8273" s="10"/>
    </row>
    <row r="8274" customFormat="false" ht="15.75" hidden="false" customHeight="false" outlineLevel="0" collapsed="false">
      <c r="A8274" s="6" t="n">
        <v>43032.2017476852</v>
      </c>
      <c r="B8274" s="7" t="str">
        <f aca="false">HYPERLINK("https://twitter.com/girldontlie69","@girldontlie69")</f>
        <v>@girldontlie69</v>
      </c>
      <c r="C8274" s="8" t="s">
        <v>18206</v>
      </c>
      <c r="D8274" s="8" t="s">
        <v>18091</v>
      </c>
      <c r="E8274" s="9" t="str">
        <f aca="false">HYPERLINK("https://twitter.com/girldontlie69/status/922792418612858882","922792418612858882")</f>
        <v>922792418612858882</v>
      </c>
      <c r="F8274" s="10" t="s">
        <v>17101</v>
      </c>
      <c r="G8274" s="10" t="n">
        <v>222</v>
      </c>
      <c r="H8274" s="10" t="n">
        <v>141</v>
      </c>
      <c r="I8274" s="10" t="n">
        <v>121</v>
      </c>
      <c r="J8274" s="10" t="n">
        <v>0</v>
      </c>
      <c r="K8274" s="10" t="s">
        <v>20</v>
      </c>
      <c r="L8274" s="11" t="n">
        <v>42896.648900463</v>
      </c>
      <c r="M8274" s="12" t="s">
        <v>18207</v>
      </c>
      <c r="N8274" s="12" t="s">
        <v>18208</v>
      </c>
      <c r="O8274" s="9" t="str">
        <f aca="false">HYPERLINK("https://pbs.twimg.com/profile_images/873671165751029760/UyjAwjQu_normal.jpg","View")</f>
        <v>View</v>
      </c>
      <c r="P8274" s="10"/>
    </row>
    <row r="8275" customFormat="false" ht="15.75" hidden="false" customHeight="false" outlineLevel="0" collapsed="false">
      <c r="A8275" s="6" t="n">
        <v>43032.2017476852</v>
      </c>
      <c r="B8275" s="7" t="str">
        <f aca="false">HYPERLINK("https://twitter.com/girldontlie97","@girldontlie97")</f>
        <v>@girldontlie97</v>
      </c>
      <c r="C8275" s="8" t="s">
        <v>18209</v>
      </c>
      <c r="D8275" s="8" t="s">
        <v>18091</v>
      </c>
      <c r="E8275" s="9" t="str">
        <f aca="false">HYPERLINK("https://twitter.com/girldontlie97/status/922792418617020416","922792418617020416")</f>
        <v>922792418617020416</v>
      </c>
      <c r="F8275" s="10" t="s">
        <v>17101</v>
      </c>
      <c r="G8275" s="10" t="n">
        <v>204</v>
      </c>
      <c r="H8275" s="10" t="n">
        <v>159</v>
      </c>
      <c r="I8275" s="10" t="n">
        <v>121</v>
      </c>
      <c r="J8275" s="10" t="n">
        <v>0</v>
      </c>
      <c r="K8275" s="10" t="s">
        <v>20</v>
      </c>
      <c r="L8275" s="11" t="n">
        <v>42896.7231712963</v>
      </c>
      <c r="M8275" s="12" t="s">
        <v>18210</v>
      </c>
      <c r="N8275" s="12" t="s">
        <v>18211</v>
      </c>
      <c r="O8275" s="9" t="str">
        <f aca="false">HYPERLINK("https://pbs.twimg.com/profile_images/873699129976868864/Rs1GgHBU_normal.jpg","View")</f>
        <v>View</v>
      </c>
      <c r="P8275" s="10"/>
    </row>
    <row r="8276" customFormat="false" ht="15.75" hidden="false" customHeight="false" outlineLevel="0" collapsed="false">
      <c r="A8276" s="6" t="n">
        <v>43032.2017476852</v>
      </c>
      <c r="B8276" s="7" t="str">
        <f aca="false">HYPERLINK("https://twitter.com/khanzadi7860","@khanzadi7860")</f>
        <v>@khanzadi7860</v>
      </c>
      <c r="C8276" s="8" t="s">
        <v>18212</v>
      </c>
      <c r="D8276" s="8" t="s">
        <v>18091</v>
      </c>
      <c r="E8276" s="9" t="str">
        <f aca="false">HYPERLINK("https://twitter.com/khanzadi7860/status/922792418621165568","922792418621165568")</f>
        <v>922792418621165568</v>
      </c>
      <c r="F8276" s="10" t="s">
        <v>17101</v>
      </c>
      <c r="G8276" s="10" t="n">
        <v>849</v>
      </c>
      <c r="H8276" s="10" t="n">
        <v>457</v>
      </c>
      <c r="I8276" s="10" t="n">
        <v>121</v>
      </c>
      <c r="J8276" s="10" t="n">
        <v>0</v>
      </c>
      <c r="K8276" s="10" t="s">
        <v>20</v>
      </c>
      <c r="L8276" s="11" t="n">
        <v>42210.7782175926</v>
      </c>
      <c r="M8276" s="12" t="s">
        <v>18213</v>
      </c>
      <c r="N8276" s="12" t="s">
        <v>18214</v>
      </c>
      <c r="O8276" s="9" t="str">
        <f aca="false">HYPERLINK("https://pbs.twimg.com/profile_images/793865143436410880/bAenEgiK_normal.jpg","View")</f>
        <v>View</v>
      </c>
      <c r="P8276" s="10"/>
    </row>
    <row r="8277" customFormat="false" ht="15.75" hidden="false" customHeight="false" outlineLevel="0" collapsed="false">
      <c r="A8277" s="6" t="n">
        <v>43032.2017476852</v>
      </c>
      <c r="B8277" s="7" t="str">
        <f aca="false">HYPERLINK("https://twitter.com/shamaesui","@shamaesui")</f>
        <v>@shamaesui</v>
      </c>
      <c r="C8277" s="8" t="s">
        <v>18215</v>
      </c>
      <c r="D8277" s="8" t="s">
        <v>18091</v>
      </c>
      <c r="E8277" s="9" t="str">
        <f aca="false">HYPERLINK("https://twitter.com/shamaesui/status/922792418633748480","922792418633748480")</f>
        <v>922792418633748480</v>
      </c>
      <c r="F8277" s="10" t="s">
        <v>17101</v>
      </c>
      <c r="G8277" s="10" t="n">
        <v>90</v>
      </c>
      <c r="H8277" s="10" t="n">
        <v>112</v>
      </c>
      <c r="I8277" s="10" t="n">
        <v>121</v>
      </c>
      <c r="J8277" s="10" t="n">
        <v>0</v>
      </c>
      <c r="K8277" s="10" t="s">
        <v>20</v>
      </c>
      <c r="L8277" s="11" t="n">
        <v>42340.1604976852</v>
      </c>
      <c r="M8277" s="12" t="s">
        <v>516</v>
      </c>
      <c r="N8277" s="12" t="s">
        <v>18216</v>
      </c>
      <c r="O8277" s="9" t="str">
        <f aca="false">HYPERLINK("https://pbs.twimg.com/profile_images/672021258104651777/cxG3zCyv_normal.jpg","View")</f>
        <v>View</v>
      </c>
      <c r="P8277" s="10"/>
    </row>
    <row r="8278" customFormat="false" ht="15.75" hidden="false" customHeight="false" outlineLevel="0" collapsed="false">
      <c r="A8278" s="6" t="n">
        <v>43032.2017476852</v>
      </c>
      <c r="B8278" s="7" t="str">
        <f aca="false">HYPERLINK("https://twitter.com/sheza_naaz","@sheza_naaz")</f>
        <v>@sheza_naaz</v>
      </c>
      <c r="C8278" s="8" t="s">
        <v>18217</v>
      </c>
      <c r="D8278" s="8" t="s">
        <v>18091</v>
      </c>
      <c r="E8278" s="9" t="str">
        <f aca="false">HYPERLINK("https://twitter.com/sheza_naaz/status/922792418654801920","922792418654801920")</f>
        <v>922792418654801920</v>
      </c>
      <c r="F8278" s="10" t="s">
        <v>17101</v>
      </c>
      <c r="G8278" s="10" t="n">
        <v>84</v>
      </c>
      <c r="H8278" s="10" t="n">
        <v>201</v>
      </c>
      <c r="I8278" s="10" t="n">
        <v>121</v>
      </c>
      <c r="J8278" s="10" t="n">
        <v>0</v>
      </c>
      <c r="K8278" s="10" t="s">
        <v>20</v>
      </c>
      <c r="L8278" s="11" t="n">
        <v>42404.5788773148</v>
      </c>
      <c r="M8278" s="12" t="s">
        <v>18218</v>
      </c>
      <c r="N8278" s="12" t="s">
        <v>18219</v>
      </c>
      <c r="O8278" s="9" t="str">
        <f aca="false">HYPERLINK("https://pbs.twimg.com/profile_images/695365557361618948/rueJH35p_normal.jpg","View")</f>
        <v>View</v>
      </c>
      <c r="P8278" s="10"/>
    </row>
    <row r="8279" customFormat="false" ht="15.75" hidden="false" customHeight="false" outlineLevel="0" collapsed="false">
      <c r="A8279" s="6" t="n">
        <v>43032.2017476852</v>
      </c>
      <c r="B8279" s="7" t="str">
        <f aca="false">HYPERLINK("https://twitter.com/nanamama42069","@nanamama42069")</f>
        <v>@nanamama42069</v>
      </c>
      <c r="C8279" s="8" t="s">
        <v>18220</v>
      </c>
      <c r="D8279" s="8" t="s">
        <v>18091</v>
      </c>
      <c r="E8279" s="9" t="str">
        <f aca="false">HYPERLINK("https://twitter.com/nanamama42069/status/922792418667388929","922792418667388929")</f>
        <v>922792418667388929</v>
      </c>
      <c r="F8279" s="10" t="s">
        <v>17101</v>
      </c>
      <c r="G8279" s="10" t="n">
        <v>323</v>
      </c>
      <c r="H8279" s="10" t="n">
        <v>3009</v>
      </c>
      <c r="I8279" s="10" t="n">
        <v>121</v>
      </c>
      <c r="J8279" s="10" t="n">
        <v>0</v>
      </c>
      <c r="K8279" s="10" t="s">
        <v>20</v>
      </c>
      <c r="L8279" s="11" t="n">
        <v>42826.4175231482</v>
      </c>
      <c r="M8279" s="12" t="s">
        <v>18221</v>
      </c>
      <c r="N8279" s="12" t="s">
        <v>18222</v>
      </c>
      <c r="O8279" s="9" t="str">
        <f aca="false">HYPERLINK("https://pbs.twimg.com/profile_images/848220145214525443/765ChILo_normal.jpg","View")</f>
        <v>View</v>
      </c>
      <c r="P8279" s="10"/>
    </row>
    <row r="8280" customFormat="false" ht="15.75" hidden="false" customHeight="false" outlineLevel="0" collapsed="false">
      <c r="A8280" s="6" t="n">
        <v>43032.2017476852</v>
      </c>
      <c r="B8280" s="7" t="str">
        <f aca="false">HYPERLINK("https://twitter.com/lw_pa","@lw_pa")</f>
        <v>@lw_pa</v>
      </c>
      <c r="C8280" s="8" t="s">
        <v>18223</v>
      </c>
      <c r="D8280" s="8" t="s">
        <v>18091</v>
      </c>
      <c r="E8280" s="9" t="str">
        <f aca="false">HYPERLINK("https://twitter.com/lw_pa/status/922792418684080129","922792418684080129")</f>
        <v>922792418684080129</v>
      </c>
      <c r="F8280" s="10" t="s">
        <v>17101</v>
      </c>
      <c r="G8280" s="10" t="n">
        <v>102</v>
      </c>
      <c r="H8280" s="10" t="n">
        <v>147</v>
      </c>
      <c r="I8280" s="10" t="n">
        <v>121</v>
      </c>
      <c r="J8280" s="10" t="n">
        <v>0</v>
      </c>
      <c r="K8280" s="10" t="s">
        <v>20</v>
      </c>
      <c r="L8280" s="11" t="n">
        <v>42333.4682523148</v>
      </c>
      <c r="M8280" s="12"/>
      <c r="N8280" s="12"/>
      <c r="O8280" s="9" t="str">
        <f aca="false">HYPERLINK("https://pbs.twimg.com/profile_images/669595267935682565/58ZcN70f_normal.jpg","View")</f>
        <v>View</v>
      </c>
      <c r="P8280" s="10"/>
    </row>
    <row r="8281" customFormat="false" ht="15.75" hidden="false" customHeight="false" outlineLevel="0" collapsed="false">
      <c r="A8281" s="6" t="n">
        <v>43032.2017476852</v>
      </c>
      <c r="B8281" s="7" t="str">
        <f aca="false">HYPERLINK("https://twitter.com/khan_ssar","@khan_ssar")</f>
        <v>@khan_ssar</v>
      </c>
      <c r="C8281" s="8" t="s">
        <v>18224</v>
      </c>
      <c r="D8281" s="8" t="s">
        <v>18091</v>
      </c>
      <c r="E8281" s="9" t="str">
        <f aca="false">HYPERLINK("https://twitter.com/khan_ssar/status/922792418684137472","922792418684137472")</f>
        <v>922792418684137472</v>
      </c>
      <c r="F8281" s="10" t="s">
        <v>17101</v>
      </c>
      <c r="G8281" s="10" t="n">
        <v>28</v>
      </c>
      <c r="H8281" s="10" t="n">
        <v>155</v>
      </c>
      <c r="I8281" s="10" t="n">
        <v>121</v>
      </c>
      <c r="J8281" s="10" t="n">
        <v>0</v>
      </c>
      <c r="K8281" s="10" t="s">
        <v>20</v>
      </c>
      <c r="L8281" s="11" t="n">
        <v>42628.460787037</v>
      </c>
      <c r="M8281" s="12" t="s">
        <v>18225</v>
      </c>
      <c r="N8281" s="12" t="s">
        <v>18226</v>
      </c>
      <c r="O8281" s="9" t="str">
        <f aca="false">HYPERLINK("https://pbs.twimg.com/profile_images/916086498172309505/XD2-8AC2_normal.jpg","View")</f>
        <v>View</v>
      </c>
      <c r="P8281" s="10"/>
    </row>
    <row r="8282" customFormat="false" ht="15.75" hidden="false" customHeight="false" outlineLevel="0" collapsed="false">
      <c r="A8282" s="6" t="n">
        <v>43032.2017476852</v>
      </c>
      <c r="B8282" s="7" t="str">
        <f aca="false">HYPERLINK("https://twitter.com/iceymelty","@iceymelty")</f>
        <v>@iceymelty</v>
      </c>
      <c r="C8282" s="8" t="s">
        <v>18227</v>
      </c>
      <c r="D8282" s="8" t="s">
        <v>18091</v>
      </c>
      <c r="E8282" s="9" t="str">
        <f aca="false">HYPERLINK("https://twitter.com/iceymelty/status/922792418822500353","922792418822500353")</f>
        <v>922792418822500353</v>
      </c>
      <c r="F8282" s="10" t="s">
        <v>17101</v>
      </c>
      <c r="G8282" s="10" t="n">
        <v>246</v>
      </c>
      <c r="H8282" s="10" t="n">
        <v>3014</v>
      </c>
      <c r="I8282" s="10" t="n">
        <v>121</v>
      </c>
      <c r="J8282" s="10" t="n">
        <v>0</v>
      </c>
      <c r="K8282" s="10" t="s">
        <v>20</v>
      </c>
      <c r="L8282" s="11" t="n">
        <v>42826.5297106482</v>
      </c>
      <c r="M8282" s="12"/>
      <c r="N8282" s="12" t="s">
        <v>18228</v>
      </c>
      <c r="O8282" s="9" t="str">
        <f aca="false">HYPERLINK("https://pbs.twimg.com/profile_images/848261860013072384/O2CLOooJ_normal.jpg","View")</f>
        <v>View</v>
      </c>
      <c r="P8282" s="10"/>
    </row>
    <row r="8283" customFormat="false" ht="15.75" hidden="false" customHeight="false" outlineLevel="0" collapsed="false">
      <c r="A8283" s="6" t="n">
        <v>43032.2017476852</v>
      </c>
      <c r="B8283" s="7" t="str">
        <f aca="false">HYPERLINK("https://twitter.com/fidashahb","@fidashahb")</f>
        <v>@fidashahb</v>
      </c>
      <c r="C8283" s="8" t="s">
        <v>18229</v>
      </c>
      <c r="D8283" s="8" t="s">
        <v>18091</v>
      </c>
      <c r="E8283" s="9" t="str">
        <f aca="false">HYPERLINK("https://twitter.com/fidashahb/status/922792418835075072","922792418835075072")</f>
        <v>922792418835075072</v>
      </c>
      <c r="F8283" s="10" t="s">
        <v>17101</v>
      </c>
      <c r="G8283" s="10" t="n">
        <v>34</v>
      </c>
      <c r="H8283" s="10" t="n">
        <v>23</v>
      </c>
      <c r="I8283" s="10" t="n">
        <v>121</v>
      </c>
      <c r="J8283" s="10" t="n">
        <v>0</v>
      </c>
      <c r="K8283" s="10" t="s">
        <v>20</v>
      </c>
      <c r="L8283" s="11" t="n">
        <v>42404.5845023148</v>
      </c>
      <c r="M8283" s="12" t="s">
        <v>18230</v>
      </c>
      <c r="N8283" s="12" t="s">
        <v>18231</v>
      </c>
      <c r="O8283" s="9" t="str">
        <f aca="false">HYPERLINK("https://pbs.twimg.com/profile_images/695367266028769281/nnqxu3vi_normal.jpg","View")</f>
        <v>View</v>
      </c>
      <c r="P8283" s="10"/>
    </row>
    <row r="8284" customFormat="false" ht="15.75" hidden="false" customHeight="false" outlineLevel="0" collapsed="false">
      <c r="A8284" s="6" t="n">
        <v>43032.2017476852</v>
      </c>
      <c r="B8284" s="7" t="str">
        <f aca="false">HYPERLINK("https://twitter.com/nicegirlooo","@nicegirlooo")</f>
        <v>@nicegirlooo</v>
      </c>
      <c r="C8284" s="8" t="s">
        <v>18232</v>
      </c>
      <c r="D8284" s="8" t="s">
        <v>18091</v>
      </c>
      <c r="E8284" s="9" t="str">
        <f aca="false">HYPERLINK("https://twitter.com/nicegirlooo/status/922792418855960576","922792418855960576")</f>
        <v>922792418855960576</v>
      </c>
      <c r="F8284" s="10" t="s">
        <v>17101</v>
      </c>
      <c r="G8284" s="10" t="n">
        <v>207</v>
      </c>
      <c r="H8284" s="10" t="n">
        <v>152</v>
      </c>
      <c r="I8284" s="10" t="n">
        <v>121</v>
      </c>
      <c r="J8284" s="10" t="n">
        <v>0</v>
      </c>
      <c r="K8284" s="10" t="s">
        <v>20</v>
      </c>
      <c r="L8284" s="11" t="n">
        <v>42314.3256712963</v>
      </c>
      <c r="M8284" s="12" t="s">
        <v>18233</v>
      </c>
      <c r="N8284" s="12" t="s">
        <v>18234</v>
      </c>
      <c r="O8284" s="9" t="str">
        <f aca="false">HYPERLINK("https://pbs.twimg.com/profile_images/662672642143555584/_bqnGva6_normal.jpg","View")</f>
        <v>View</v>
      </c>
      <c r="P8284" s="10"/>
    </row>
    <row r="8285" customFormat="false" ht="15.75" hidden="false" customHeight="false" outlineLevel="0" collapsed="false">
      <c r="A8285" s="6" t="n">
        <v>43032.2017476852</v>
      </c>
      <c r="B8285" s="7" t="str">
        <f aca="false">HYPERLINK("https://twitter.com/lovelyass11","@lovelyass11")</f>
        <v>@lovelyass11</v>
      </c>
      <c r="C8285" s="8" t="s">
        <v>18235</v>
      </c>
      <c r="D8285" s="8" t="s">
        <v>18091</v>
      </c>
      <c r="E8285" s="9" t="str">
        <f aca="false">HYPERLINK("https://twitter.com/lovelyass11/status/922792418898006016","922792418898006016")</f>
        <v>922792418898006016</v>
      </c>
      <c r="F8285" s="10" t="s">
        <v>17101</v>
      </c>
      <c r="G8285" s="10" t="n">
        <v>289</v>
      </c>
      <c r="H8285" s="10" t="n">
        <v>187</v>
      </c>
      <c r="I8285" s="10" t="n">
        <v>121</v>
      </c>
      <c r="J8285" s="10" t="n">
        <v>0</v>
      </c>
      <c r="K8285" s="10" t="s">
        <v>20</v>
      </c>
      <c r="L8285" s="11" t="n">
        <v>42647.7225578704</v>
      </c>
      <c r="M8285" s="12" t="s">
        <v>18236</v>
      </c>
      <c r="N8285" s="12" t="s">
        <v>18237</v>
      </c>
      <c r="O8285" s="9" t="str">
        <f aca="false">HYPERLINK("https://pbs.twimg.com/profile_images/876572717339865088/NnSDuiMF_normal.jpg","View")</f>
        <v>View</v>
      </c>
      <c r="P8285" s="10"/>
    </row>
    <row r="8286" customFormat="false" ht="15.75" hidden="false" customHeight="false" outlineLevel="0" collapsed="false">
      <c r="A8286" s="6" t="n">
        <v>43032.2017476852</v>
      </c>
      <c r="B8286" s="7" t="str">
        <f aca="false">HYPERLINK("https://twitter.com/Girldontlie01","@Girldontlie01")</f>
        <v>@Girldontlie01</v>
      </c>
      <c r="C8286" s="8" t="s">
        <v>18238</v>
      </c>
      <c r="D8286" s="8" t="s">
        <v>18091</v>
      </c>
      <c r="E8286" s="9" t="str">
        <f aca="false">HYPERLINK("https://twitter.com/Girldontlie01/status/922792418906443777","922792418906443777")</f>
        <v>922792418906443777</v>
      </c>
      <c r="F8286" s="10" t="s">
        <v>17101</v>
      </c>
      <c r="G8286" s="10" t="n">
        <v>261</v>
      </c>
      <c r="H8286" s="10" t="n">
        <v>164</v>
      </c>
      <c r="I8286" s="10" t="n">
        <v>121</v>
      </c>
      <c r="J8286" s="10" t="n">
        <v>0</v>
      </c>
      <c r="K8286" s="10" t="s">
        <v>20</v>
      </c>
      <c r="L8286" s="11" t="n">
        <v>42896.6259490741</v>
      </c>
      <c r="M8286" s="12" t="s">
        <v>8008</v>
      </c>
      <c r="N8286" s="12" t="s">
        <v>18239</v>
      </c>
      <c r="O8286" s="9" t="str">
        <f aca="false">HYPERLINK("https://pbs.twimg.com/profile_images/873662937596129280/ZPqq5FU-_normal.jpg","View")</f>
        <v>View</v>
      </c>
      <c r="P8286" s="10"/>
    </row>
    <row r="8287" customFormat="false" ht="15.75" hidden="false" customHeight="false" outlineLevel="0" collapsed="false">
      <c r="A8287" s="6" t="n">
        <v>43032.2017476852</v>
      </c>
      <c r="B8287" s="7" t="str">
        <f aca="false">HYPERLINK("https://twitter.com/paki_real","@paki_real")</f>
        <v>@paki_real</v>
      </c>
      <c r="C8287" s="8" t="s">
        <v>18240</v>
      </c>
      <c r="D8287" s="8" t="s">
        <v>18091</v>
      </c>
      <c r="E8287" s="9" t="str">
        <f aca="false">HYPERLINK("https://twitter.com/paki_real/status/922792418914787330","922792418914787330")</f>
        <v>922792418914787330</v>
      </c>
      <c r="F8287" s="10" t="s">
        <v>17101</v>
      </c>
      <c r="G8287" s="10" t="n">
        <v>154</v>
      </c>
      <c r="H8287" s="10" t="n">
        <v>190</v>
      </c>
      <c r="I8287" s="10" t="n">
        <v>121</v>
      </c>
      <c r="J8287" s="10" t="n">
        <v>0</v>
      </c>
      <c r="K8287" s="10" t="s">
        <v>20</v>
      </c>
      <c r="L8287" s="11" t="n">
        <v>42260.4091203704</v>
      </c>
      <c r="M8287" s="12" t="s">
        <v>516</v>
      </c>
      <c r="N8287" s="12"/>
      <c r="O8287" s="9" t="str">
        <f aca="false">HYPERLINK("https://pbs.twimg.com/profile_images/643104575105306624/kkTFtHyH_normal.jpg","View")</f>
        <v>View</v>
      </c>
      <c r="P8287" s="10"/>
    </row>
    <row r="8288" customFormat="false" ht="15.75" hidden="false" customHeight="false" outlineLevel="0" collapsed="false">
      <c r="A8288" s="6" t="n">
        <v>43032.2017592593</v>
      </c>
      <c r="B8288" s="7" t="str">
        <f aca="false">HYPERLINK("https://twitter.com/nonamjustinform","@nonamjustinform")</f>
        <v>@nonamjustinform</v>
      </c>
      <c r="C8288" s="8" t="s">
        <v>18241</v>
      </c>
      <c r="D8288" s="8" t="s">
        <v>18091</v>
      </c>
      <c r="E8288" s="9" t="str">
        <f aca="false">HYPERLINK("https://twitter.com/nonamjustinform/status/922792419074113536","922792419074113536")</f>
        <v>922792419074113536</v>
      </c>
      <c r="F8288" s="10" t="s">
        <v>17101</v>
      </c>
      <c r="G8288" s="10" t="n">
        <v>563</v>
      </c>
      <c r="H8288" s="10" t="n">
        <v>859</v>
      </c>
      <c r="I8288" s="10" t="n">
        <v>121</v>
      </c>
      <c r="J8288" s="10" t="n">
        <v>0</v>
      </c>
      <c r="K8288" s="10" t="s">
        <v>20</v>
      </c>
      <c r="L8288" s="11" t="n">
        <v>42238.3088541667</v>
      </c>
      <c r="M8288" s="12" t="s">
        <v>12607</v>
      </c>
      <c r="N8288" s="12"/>
      <c r="O8288" s="9" t="str">
        <f aca="false">HYPERLINK("https://pbs.twimg.com/profile_images/682105111901003776/YYodBIDu_normal.jpg","View")</f>
        <v>View</v>
      </c>
      <c r="P8288" s="10"/>
    </row>
    <row r="8289" customFormat="false" ht="15.75" hidden="false" customHeight="false" outlineLevel="0" collapsed="false">
      <c r="A8289" s="6" t="n">
        <v>43032.2017592593</v>
      </c>
      <c r="B8289" s="7" t="str">
        <f aca="false">HYPERLINK("https://twitter.com/SheikhZenat","@SheikhZenat")</f>
        <v>@SheikhZenat</v>
      </c>
      <c r="C8289" s="8" t="s">
        <v>18242</v>
      </c>
      <c r="D8289" s="8" t="s">
        <v>18091</v>
      </c>
      <c r="E8289" s="9" t="str">
        <f aca="false">HYPERLINK("https://twitter.com/SheikhZenat/status/922792419300487168","922792419300487168")</f>
        <v>922792419300487168</v>
      </c>
      <c r="F8289" s="10" t="s">
        <v>17101</v>
      </c>
      <c r="G8289" s="10" t="n">
        <v>66</v>
      </c>
      <c r="H8289" s="10" t="n">
        <v>94</v>
      </c>
      <c r="I8289" s="10" t="n">
        <v>121</v>
      </c>
      <c r="J8289" s="10" t="n">
        <v>0</v>
      </c>
      <c r="K8289" s="10" t="s">
        <v>20</v>
      </c>
      <c r="L8289" s="11" t="n">
        <v>42862.0156018518</v>
      </c>
      <c r="M8289" s="12"/>
      <c r="N8289" s="12" t="s">
        <v>18243</v>
      </c>
      <c r="O8289" s="9" t="str">
        <f aca="false">HYPERLINK("https://pbs.twimg.com/profile_images/913458714392301568/PtW1sKK-_normal.jpg","View")</f>
        <v>View</v>
      </c>
      <c r="P8289" s="10"/>
    </row>
    <row r="8290" customFormat="false" ht="15.75" hidden="false" customHeight="false" outlineLevel="0" collapsed="false">
      <c r="A8290" s="6" t="n">
        <v>43032.2017824074</v>
      </c>
      <c r="B8290" s="7" t="str">
        <f aca="false">HYPERLINK("https://twitter.com/Photography1O1","@Photography1O1")</f>
        <v>@Photography1O1</v>
      </c>
      <c r="C8290" s="8" t="s">
        <v>18244</v>
      </c>
      <c r="D8290" s="8" t="s">
        <v>18091</v>
      </c>
      <c r="E8290" s="9" t="str">
        <f aca="false">HYPERLINK("https://twitter.com/Photography1O1/status/922792427878060032","922792427878060032")</f>
        <v>922792427878060032</v>
      </c>
      <c r="F8290" s="10" t="s">
        <v>17101</v>
      </c>
      <c r="G8290" s="10" t="n">
        <v>4511</v>
      </c>
      <c r="H8290" s="10" t="n">
        <v>4996</v>
      </c>
      <c r="I8290" s="10" t="n">
        <v>121</v>
      </c>
      <c r="J8290" s="10" t="n">
        <v>0</v>
      </c>
      <c r="K8290" s="10" t="s">
        <v>20</v>
      </c>
      <c r="L8290" s="11" t="n">
        <v>40780.8396759259</v>
      </c>
      <c r="M8290" s="12"/>
      <c r="N8290" s="12" t="s">
        <v>18245</v>
      </c>
      <c r="O8290" s="9" t="str">
        <f aca="false">HYPERLINK("https://pbs.twimg.com/profile_images/870386507177226240/hNiD0cXs_normal.jpg","View")</f>
        <v>View</v>
      </c>
      <c r="P8290" s="10"/>
    </row>
    <row r="8291" customFormat="false" ht="15.75" hidden="false" customHeight="false" outlineLevel="0" collapsed="false">
      <c r="A8291" s="6" t="n">
        <v>43032.2019444444</v>
      </c>
      <c r="B8291" s="7" t="str">
        <f aca="false">HYPERLINK("https://twitter.com/Eddyy14","@Eddyy14")</f>
        <v>@Eddyy14</v>
      </c>
      <c r="C8291" s="8" t="s">
        <v>18246</v>
      </c>
      <c r="D8291" s="8" t="s">
        <v>18091</v>
      </c>
      <c r="E8291" s="9" t="str">
        <f aca="false">HYPERLINK("https://twitter.com/Eddyy14/status/922792486698999808","922792486698999808")</f>
        <v>922792486698999808</v>
      </c>
      <c r="F8291" s="10" t="s">
        <v>17101</v>
      </c>
      <c r="G8291" s="10" t="n">
        <v>84</v>
      </c>
      <c r="H8291" s="10" t="n">
        <v>2302</v>
      </c>
      <c r="I8291" s="10" t="n">
        <v>121</v>
      </c>
      <c r="J8291" s="10" t="n">
        <v>0</v>
      </c>
      <c r="K8291" s="10" t="s">
        <v>20</v>
      </c>
      <c r="L8291" s="11" t="n">
        <v>42960.4631597222</v>
      </c>
      <c r="M8291" s="12"/>
      <c r="N8291" s="12"/>
      <c r="O8291" s="9" t="str">
        <f aca="false">HYPERLINK("https://pbs.twimg.com/profile_images/913820253385363456/HMJmYmg5_normal.jpg","View")</f>
        <v>View</v>
      </c>
      <c r="P8291" s="10"/>
    </row>
    <row r="8292" customFormat="false" ht="15.75" hidden="false" customHeight="false" outlineLevel="0" collapsed="false">
      <c r="A8292" s="6" t="n">
        <v>43032.2019444444</v>
      </c>
      <c r="B8292" s="7" t="str">
        <f aca="false">HYPERLINK("https://twitter.com/Rupesh193","@Rupesh193")</f>
        <v>@Rupesh193</v>
      </c>
      <c r="C8292" s="8" t="s">
        <v>18247</v>
      </c>
      <c r="D8292" s="8" t="s">
        <v>18091</v>
      </c>
      <c r="E8292" s="9" t="str">
        <f aca="false">HYPERLINK("https://twitter.com/Rupesh193/status/922792486740819968","922792486740819968")</f>
        <v>922792486740819968</v>
      </c>
      <c r="F8292" s="10" t="s">
        <v>17101</v>
      </c>
      <c r="G8292" s="10" t="n">
        <v>20</v>
      </c>
      <c r="H8292" s="10" t="n">
        <v>2295</v>
      </c>
      <c r="I8292" s="10" t="n">
        <v>121</v>
      </c>
      <c r="J8292" s="10" t="n">
        <v>0</v>
      </c>
      <c r="K8292" s="10" t="s">
        <v>20</v>
      </c>
      <c r="L8292" s="11" t="n">
        <v>42960.4654050926</v>
      </c>
      <c r="M8292" s="12"/>
      <c r="N8292" s="12"/>
      <c r="O8292" s="9" t="str">
        <f aca="false">HYPERLINK("https://abs.twimg.com/sticky/default_profile_images/default_profile_normal.png","View")</f>
        <v>View</v>
      </c>
      <c r="P8292" s="10"/>
    </row>
    <row r="8293" customFormat="false" ht="15.75" hidden="false" customHeight="false" outlineLevel="0" collapsed="false">
      <c r="A8293" s="6" t="n">
        <v>43032.2019444444</v>
      </c>
      <c r="B8293" s="7" t="str">
        <f aca="false">HYPERLINK("https://twitter.com/Suraj87055806","@Suraj87055806")</f>
        <v>@Suraj87055806</v>
      </c>
      <c r="C8293" s="8" t="s">
        <v>7390</v>
      </c>
      <c r="D8293" s="8" t="s">
        <v>18091</v>
      </c>
      <c r="E8293" s="9" t="str">
        <f aca="false">HYPERLINK("https://twitter.com/Suraj87055806/status/922792486766043137","922792486766043137")</f>
        <v>922792486766043137</v>
      </c>
      <c r="F8293" s="10" t="s">
        <v>17101</v>
      </c>
      <c r="G8293" s="10" t="n">
        <v>14</v>
      </c>
      <c r="H8293" s="10" t="n">
        <v>2295</v>
      </c>
      <c r="I8293" s="10" t="n">
        <v>121</v>
      </c>
      <c r="J8293" s="10" t="n">
        <v>0</v>
      </c>
      <c r="K8293" s="10" t="s">
        <v>20</v>
      </c>
      <c r="L8293" s="11" t="n">
        <v>42960.469212963</v>
      </c>
      <c r="M8293" s="12"/>
      <c r="N8293" s="12"/>
      <c r="O8293" s="9" t="str">
        <f aca="false">HYPERLINK("https://abs.twimg.com/sticky/default_profile_images/default_profile_normal.png","View")</f>
        <v>View</v>
      </c>
      <c r="P8293" s="10"/>
    </row>
    <row r="8294" customFormat="false" ht="15.75" hidden="false" customHeight="false" outlineLevel="0" collapsed="false">
      <c r="A8294" s="6" t="n">
        <v>43032.2019444444</v>
      </c>
      <c r="B8294" s="7" t="str">
        <f aca="false">HYPERLINK("https://twitter.com/Dipesh833","@Dipesh833")</f>
        <v>@Dipesh833</v>
      </c>
      <c r="C8294" s="8" t="s">
        <v>18248</v>
      </c>
      <c r="D8294" s="8" t="s">
        <v>18091</v>
      </c>
      <c r="E8294" s="9" t="str">
        <f aca="false">HYPERLINK("https://twitter.com/Dipesh833/status/922792487063883777","922792487063883777")</f>
        <v>922792487063883777</v>
      </c>
      <c r="F8294" s="10" t="s">
        <v>17101</v>
      </c>
      <c r="G8294" s="10" t="n">
        <v>15</v>
      </c>
      <c r="H8294" s="10" t="n">
        <v>2259</v>
      </c>
      <c r="I8294" s="10" t="n">
        <v>121</v>
      </c>
      <c r="J8294" s="10" t="n">
        <v>0</v>
      </c>
      <c r="K8294" s="10" t="s">
        <v>20</v>
      </c>
      <c r="L8294" s="11" t="n">
        <v>42960.4669560185</v>
      </c>
      <c r="M8294" s="12"/>
      <c r="N8294" s="12"/>
      <c r="O8294" s="9" t="str">
        <f aca="false">HYPERLINK("https://abs.twimg.com/sticky/default_profile_images/default_profile_normal.png","View")</f>
        <v>View</v>
      </c>
      <c r="P8294" s="10"/>
    </row>
    <row r="8295" customFormat="false" ht="15.75" hidden="false" customHeight="false" outlineLevel="0" collapsed="false">
      <c r="A8295" s="6" t="n">
        <v>43032.2019444444</v>
      </c>
      <c r="B8295" s="7" t="str">
        <f aca="false">HYPERLINK("https://twitter.com/Dheeraj90009","@Dheeraj90009")</f>
        <v>@Dheeraj90009</v>
      </c>
      <c r="C8295" s="8" t="s">
        <v>18249</v>
      </c>
      <c r="D8295" s="8" t="s">
        <v>18091</v>
      </c>
      <c r="E8295" s="9" t="str">
        <f aca="false">HYPERLINK("https://twitter.com/Dheeraj90009/status/922792487072206848","922792487072206848")</f>
        <v>922792487072206848</v>
      </c>
      <c r="F8295" s="10" t="s">
        <v>17101</v>
      </c>
      <c r="G8295" s="10" t="n">
        <v>17</v>
      </c>
      <c r="H8295" s="10" t="n">
        <v>2223</v>
      </c>
      <c r="I8295" s="10" t="n">
        <v>121</v>
      </c>
      <c r="J8295" s="10" t="n">
        <v>0</v>
      </c>
      <c r="K8295" s="10" t="s">
        <v>20</v>
      </c>
      <c r="L8295" s="11" t="n">
        <v>42960.4681597222</v>
      </c>
      <c r="M8295" s="12"/>
      <c r="N8295" s="12"/>
      <c r="O8295" s="9" t="str">
        <f aca="false">HYPERLINK("https://abs.twimg.com/sticky/default_profile_images/default_profile_normal.png","View")</f>
        <v>View</v>
      </c>
      <c r="P8295" s="10"/>
    </row>
    <row r="8296" customFormat="false" ht="15.75" hidden="false" customHeight="false" outlineLevel="0" collapsed="false">
      <c r="A8296" s="6" t="n">
        <v>43032.2019675926</v>
      </c>
      <c r="B8296" s="7" t="str">
        <f aca="false">HYPERLINK("https://twitter.com/Retweet34355183","@Retweet34355183")</f>
        <v>@Retweet34355183</v>
      </c>
      <c r="C8296" s="8" t="s">
        <v>18250</v>
      </c>
      <c r="D8296" s="8" t="s">
        <v>18091</v>
      </c>
      <c r="E8296" s="9" t="str">
        <f aca="false">HYPERLINK("https://twitter.com/Retweet34355183/status/922792497264259072","922792497264259072")</f>
        <v>922792497264259072</v>
      </c>
      <c r="F8296" s="10" t="s">
        <v>177</v>
      </c>
      <c r="G8296" s="10" t="n">
        <v>18</v>
      </c>
      <c r="H8296" s="10" t="n">
        <v>1989</v>
      </c>
      <c r="I8296" s="10" t="n">
        <v>121</v>
      </c>
      <c r="J8296" s="10" t="n">
        <v>0</v>
      </c>
      <c r="K8296" s="10" t="s">
        <v>20</v>
      </c>
      <c r="L8296" s="11" t="n">
        <v>42998.4916087963</v>
      </c>
      <c r="M8296" s="12"/>
      <c r="N8296" s="12"/>
      <c r="O8296" s="9" t="str">
        <f aca="false">HYPERLINK("https://abs.twimg.com/sticky/default_profile_images/default_profile_normal.png","View")</f>
        <v>View</v>
      </c>
      <c r="P8296" s="10"/>
    </row>
    <row r="8297" customFormat="false" ht="15.75" hidden="false" customHeight="false" outlineLevel="0" collapsed="false">
      <c r="A8297" s="6" t="n">
        <v>43032.2019675926</v>
      </c>
      <c r="B8297" s="7" t="str">
        <f aca="false">HYPERLINK("https://twitter.com/Retwetet11","@Retwetet11")</f>
        <v>@Retwetet11</v>
      </c>
      <c r="C8297" s="8" t="s">
        <v>18251</v>
      </c>
      <c r="D8297" s="8" t="s">
        <v>18091</v>
      </c>
      <c r="E8297" s="9" t="str">
        <f aca="false">HYPERLINK("https://twitter.com/Retwetet11/status/922792497322930176","922792497322930176")</f>
        <v>922792497322930176</v>
      </c>
      <c r="F8297" s="10" t="s">
        <v>177</v>
      </c>
      <c r="G8297" s="10" t="n">
        <v>23</v>
      </c>
      <c r="H8297" s="10" t="n">
        <v>3426</v>
      </c>
      <c r="I8297" s="10" t="n">
        <v>121</v>
      </c>
      <c r="J8297" s="10" t="n">
        <v>0</v>
      </c>
      <c r="K8297" s="10" t="s">
        <v>20</v>
      </c>
      <c r="L8297" s="11" t="n">
        <v>42995.9369212963</v>
      </c>
      <c r="M8297" s="12"/>
      <c r="N8297" s="12"/>
      <c r="O8297" s="9" t="str">
        <f aca="false">HYPERLINK("https://abs.twimg.com/sticky/default_profile_images/default_profile_normal.png","View")</f>
        <v>View</v>
      </c>
      <c r="P8297" s="10"/>
    </row>
    <row r="8298" customFormat="false" ht="15.75" hidden="false" customHeight="false" outlineLevel="0" collapsed="false">
      <c r="A8298" s="6" t="n">
        <v>43032.2019675926</v>
      </c>
      <c r="B8298" s="7" t="str">
        <f aca="false">HYPERLINK("https://twitter.com/Retweet49823070","@Retweet49823070")</f>
        <v>@Retweet49823070</v>
      </c>
      <c r="C8298" s="8" t="s">
        <v>18252</v>
      </c>
      <c r="D8298" s="8" t="s">
        <v>18091</v>
      </c>
      <c r="E8298" s="9" t="str">
        <f aca="false">HYPERLINK("https://twitter.com/Retweet49823070/status/922792497339699200","922792497339699200")</f>
        <v>922792497339699200</v>
      </c>
      <c r="F8298" s="10" t="s">
        <v>177</v>
      </c>
      <c r="G8298" s="10" t="n">
        <v>17</v>
      </c>
      <c r="H8298" s="10" t="n">
        <v>1705</v>
      </c>
      <c r="I8298" s="10" t="n">
        <v>121</v>
      </c>
      <c r="J8298" s="10" t="n">
        <v>0</v>
      </c>
      <c r="K8298" s="10" t="s">
        <v>20</v>
      </c>
      <c r="L8298" s="11" t="n">
        <v>43016.8836458333</v>
      </c>
      <c r="M8298" s="12"/>
      <c r="N8298" s="12"/>
      <c r="O8298" s="9" t="str">
        <f aca="false">HYPERLINK("https://abs.twimg.com/sticky/default_profile_images/default_profile_normal.png","View")</f>
        <v>View</v>
      </c>
      <c r="P8298" s="10"/>
    </row>
    <row r="8299" customFormat="false" ht="15.75" hidden="false" customHeight="false" outlineLevel="0" collapsed="false">
      <c r="A8299" s="6" t="n">
        <v>43032.2019675926</v>
      </c>
      <c r="B8299" s="7" t="str">
        <f aca="false">HYPERLINK("https://twitter.com/Retweeter21","@Retweeter21")</f>
        <v>@Retweeter21</v>
      </c>
      <c r="C8299" s="8" t="s">
        <v>18253</v>
      </c>
      <c r="D8299" s="8" t="s">
        <v>18091</v>
      </c>
      <c r="E8299" s="9" t="str">
        <f aca="false">HYPERLINK("https://twitter.com/Retweeter21/status/922792497377505280","922792497377505280")</f>
        <v>922792497377505280</v>
      </c>
      <c r="F8299" s="10" t="s">
        <v>177</v>
      </c>
      <c r="G8299" s="10" t="n">
        <v>68</v>
      </c>
      <c r="H8299" s="10" t="n">
        <v>2875</v>
      </c>
      <c r="I8299" s="10" t="n">
        <v>121</v>
      </c>
      <c r="J8299" s="10" t="n">
        <v>0</v>
      </c>
      <c r="K8299" s="10" t="s">
        <v>20</v>
      </c>
      <c r="L8299" s="11" t="n">
        <v>42996.6305555556</v>
      </c>
      <c r="M8299" s="12"/>
      <c r="N8299" s="12"/>
      <c r="O8299" s="9" t="str">
        <f aca="false">HYPERLINK("https://pbs.twimg.com/profile_images/912401203698401280/xK_AsM_t_normal.jpg","View")</f>
        <v>View</v>
      </c>
      <c r="P8299" s="10"/>
    </row>
    <row r="8300" customFormat="false" ht="15.75" hidden="false" customHeight="false" outlineLevel="0" collapsed="false">
      <c r="A8300" s="6" t="n">
        <v>43032.2024884259</v>
      </c>
      <c r="B8300" s="7" t="str">
        <f aca="false">HYPERLINK("https://twitter.com/EF51j1","@EF51j1")</f>
        <v>@EF51j1</v>
      </c>
      <c r="C8300" s="8" t="s">
        <v>18254</v>
      </c>
      <c r="D8300" s="8" t="s">
        <v>18091</v>
      </c>
      <c r="E8300" s="9" t="str">
        <f aca="false">HYPERLINK("https://twitter.com/EF51j1/status/922792686112923649","922792686112923649")</f>
        <v>922792686112923649</v>
      </c>
      <c r="F8300" s="10" t="s">
        <v>17101</v>
      </c>
      <c r="G8300" s="10" t="n">
        <v>38</v>
      </c>
      <c r="H8300" s="10" t="n">
        <v>1227</v>
      </c>
      <c r="I8300" s="10" t="n">
        <v>121</v>
      </c>
      <c r="J8300" s="10" t="n">
        <v>0</v>
      </c>
      <c r="K8300" s="10" t="s">
        <v>20</v>
      </c>
      <c r="L8300" s="11" t="n">
        <v>42634.4623726852</v>
      </c>
      <c r="M8300" s="12" t="s">
        <v>14546</v>
      </c>
      <c r="N8300" s="12"/>
      <c r="O8300" s="9" t="str">
        <f aca="false">HYPERLINK("https://pbs.twimg.com/profile_images/880250452394246144/FX7z7eez_normal.jpg","View")</f>
        <v>View</v>
      </c>
      <c r="P8300" s="10"/>
    </row>
    <row r="8301" customFormat="false" ht="15.75" hidden="false" customHeight="false" outlineLevel="0" collapsed="false">
      <c r="A8301" s="6" t="n">
        <v>43032.2024884259</v>
      </c>
      <c r="B8301" s="7" t="str">
        <f aca="false">HYPERLINK("https://twitter.com/u_wjp","@u_wjp")</f>
        <v>@u_wjp</v>
      </c>
      <c r="C8301" s="8" t="s">
        <v>18255</v>
      </c>
      <c r="D8301" s="8" t="s">
        <v>18091</v>
      </c>
      <c r="E8301" s="9" t="str">
        <f aca="false">HYPERLINK("https://twitter.com/u_wjp/status/922792686293340162","922792686293340162")</f>
        <v>922792686293340162</v>
      </c>
      <c r="F8301" s="10" t="s">
        <v>17101</v>
      </c>
      <c r="G8301" s="10" t="n">
        <v>42</v>
      </c>
      <c r="H8301" s="10" t="n">
        <v>1275</v>
      </c>
      <c r="I8301" s="10" t="n">
        <v>121</v>
      </c>
      <c r="J8301" s="10" t="n">
        <v>0</v>
      </c>
      <c r="K8301" s="10" t="s">
        <v>20</v>
      </c>
      <c r="L8301" s="11" t="n">
        <v>42636.3404513889</v>
      </c>
      <c r="M8301" s="12" t="s">
        <v>18256</v>
      </c>
      <c r="N8301" s="12"/>
      <c r="O8301" s="9" t="str">
        <f aca="false">HYPERLINK("https://pbs.twimg.com/profile_images/779337673743953920/YN-zXa5o_normal.jpg","View")</f>
        <v>View</v>
      </c>
      <c r="P8301" s="10"/>
    </row>
    <row r="8302" customFormat="false" ht="15.75" hidden="false" customHeight="false" outlineLevel="0" collapsed="false">
      <c r="A8302" s="6" t="n">
        <v>43032.2024884259</v>
      </c>
      <c r="B8302" s="7" t="str">
        <f aca="false">HYPERLINK("https://twitter.com/rdzh_n3f","@rdzh_n3f")</f>
        <v>@rdzh_n3f</v>
      </c>
      <c r="C8302" s="8" t="s">
        <v>18257</v>
      </c>
      <c r="D8302" s="8" t="s">
        <v>18091</v>
      </c>
      <c r="E8302" s="9" t="str">
        <f aca="false">HYPERLINK("https://twitter.com/rdzh_n3f/status/922792686398201857","922792686398201857")</f>
        <v>922792686398201857</v>
      </c>
      <c r="F8302" s="10" t="s">
        <v>17101</v>
      </c>
      <c r="G8302" s="10" t="n">
        <v>40</v>
      </c>
      <c r="H8302" s="10" t="n">
        <v>1120</v>
      </c>
      <c r="I8302" s="10" t="n">
        <v>121</v>
      </c>
      <c r="J8302" s="10" t="n">
        <v>0</v>
      </c>
      <c r="K8302" s="10" t="s">
        <v>20</v>
      </c>
      <c r="L8302" s="11" t="n">
        <v>42652.3268402778</v>
      </c>
      <c r="M8302" s="12"/>
      <c r="N8302" s="12" t="s">
        <v>18258</v>
      </c>
      <c r="O8302" s="9" t="str">
        <f aca="false">HYPERLINK("https://pbs.twimg.com/profile_images/785131005082468352/e-V_Izic_normal.jpg","View")</f>
        <v>View</v>
      </c>
      <c r="P8302" s="10"/>
    </row>
    <row r="8303" customFormat="false" ht="15.75" hidden="false" customHeight="false" outlineLevel="0" collapsed="false">
      <c r="A8303" s="6" t="n">
        <v>43032.2024884259</v>
      </c>
      <c r="B8303" s="7" t="str">
        <f aca="false">HYPERLINK("https://twitter.com/QwcNs8","@QwcNs8")</f>
        <v>@QwcNs8</v>
      </c>
      <c r="C8303" s="8" t="s">
        <v>18259</v>
      </c>
      <c r="D8303" s="8" t="s">
        <v>18091</v>
      </c>
      <c r="E8303" s="9" t="str">
        <f aca="false">HYPERLINK("https://twitter.com/QwcNs8/status/922792686784073728","922792686784073728")</f>
        <v>922792686784073728</v>
      </c>
      <c r="F8303" s="10" t="s">
        <v>17101</v>
      </c>
      <c r="G8303" s="10" t="n">
        <v>42</v>
      </c>
      <c r="H8303" s="10" t="n">
        <v>1188</v>
      </c>
      <c r="I8303" s="10" t="n">
        <v>121</v>
      </c>
      <c r="J8303" s="10" t="n">
        <v>0</v>
      </c>
      <c r="K8303" s="10" t="s">
        <v>20</v>
      </c>
      <c r="L8303" s="11" t="n">
        <v>42648.3901157407</v>
      </c>
      <c r="M8303" s="12" t="s">
        <v>18260</v>
      </c>
      <c r="N8303" s="12"/>
      <c r="O8303" s="9" t="str">
        <f aca="false">HYPERLINK("https://pbs.twimg.com/profile_images/783704332311166980/wM2mXXfL_normal.jpg","View")</f>
        <v>View</v>
      </c>
      <c r="P8303" s="10"/>
    </row>
    <row r="8304" customFormat="false" ht="15.75" hidden="false" customHeight="false" outlineLevel="0" collapsed="false">
      <c r="A8304" s="6" t="n">
        <v>43032.2025</v>
      </c>
      <c r="B8304" s="7" t="str">
        <f aca="false">HYPERLINK("https://twitter.com/pvuh_zr","@pvuh_zr")</f>
        <v>@pvuh_zr</v>
      </c>
      <c r="C8304" s="8" t="s">
        <v>18261</v>
      </c>
      <c r="D8304" s="8" t="s">
        <v>18091</v>
      </c>
      <c r="E8304" s="9" t="str">
        <f aca="false">HYPERLINK("https://twitter.com/pvuh_zr/status/922792687698370561","922792687698370561")</f>
        <v>922792687698370561</v>
      </c>
      <c r="F8304" s="10" t="s">
        <v>17101</v>
      </c>
      <c r="G8304" s="10" t="n">
        <v>62</v>
      </c>
      <c r="H8304" s="10" t="n">
        <v>1088</v>
      </c>
      <c r="I8304" s="10" t="n">
        <v>121</v>
      </c>
      <c r="J8304" s="10" t="n">
        <v>0</v>
      </c>
      <c r="K8304" s="10" t="s">
        <v>20</v>
      </c>
      <c r="L8304" s="11" t="n">
        <v>42759.6411805556</v>
      </c>
      <c r="M8304" s="12" t="s">
        <v>14546</v>
      </c>
      <c r="N8304" s="12" t="s">
        <v>18262</v>
      </c>
      <c r="O8304" s="9" t="str">
        <f aca="false">HYPERLINK("https://pbs.twimg.com/profile_images/911265720301948928/XyN6j9Lb_normal.jpg","View")</f>
        <v>View</v>
      </c>
      <c r="P8304" s="10"/>
    </row>
    <row r="8305" customFormat="false" ht="15.75" hidden="false" customHeight="false" outlineLevel="0" collapsed="false">
      <c r="A8305" s="6" t="n">
        <v>43032.2025</v>
      </c>
      <c r="B8305" s="7" t="str">
        <f aca="false">HYPERLINK("https://twitter.com/mwb1_n","@mwb1_n")</f>
        <v>@mwb1_n</v>
      </c>
      <c r="C8305" s="8" t="s">
        <v>18263</v>
      </c>
      <c r="D8305" s="8" t="s">
        <v>18091</v>
      </c>
      <c r="E8305" s="9" t="str">
        <f aca="false">HYPERLINK("https://twitter.com/mwb1_n/status/922792687723597824","922792687723597824")</f>
        <v>922792687723597824</v>
      </c>
      <c r="F8305" s="10" t="s">
        <v>17101</v>
      </c>
      <c r="G8305" s="10" t="n">
        <v>59</v>
      </c>
      <c r="H8305" s="10" t="n">
        <v>1126</v>
      </c>
      <c r="I8305" s="10" t="n">
        <v>121</v>
      </c>
      <c r="J8305" s="10" t="n">
        <v>0</v>
      </c>
      <c r="K8305" s="10" t="s">
        <v>20</v>
      </c>
      <c r="L8305" s="11" t="n">
        <v>42638.4455324074</v>
      </c>
      <c r="M8305" s="12" t="s">
        <v>18176</v>
      </c>
      <c r="N8305" s="12"/>
      <c r="O8305" s="9" t="str">
        <f aca="false">HYPERLINK("https://pbs.twimg.com/profile_images/780100365857554432/Cqawa_dP_normal.jpg","View")</f>
        <v>View</v>
      </c>
      <c r="P8305" s="10"/>
    </row>
    <row r="8306" customFormat="false" ht="15.75" hidden="false" customHeight="false" outlineLevel="0" collapsed="false">
      <c r="A8306" s="6" t="n">
        <v>43032.2025</v>
      </c>
      <c r="B8306" s="7" t="str">
        <f aca="false">HYPERLINK("https://twitter.com/dn_nbs","@dn_nbs")</f>
        <v>@dn_nbs</v>
      </c>
      <c r="C8306" s="8" t="s">
        <v>18264</v>
      </c>
      <c r="D8306" s="8" t="s">
        <v>18091</v>
      </c>
      <c r="E8306" s="9" t="str">
        <f aca="false">HYPERLINK("https://twitter.com/dn_nbs/status/922792688138838016","922792688138838016")</f>
        <v>922792688138838016</v>
      </c>
      <c r="F8306" s="10" t="s">
        <v>17101</v>
      </c>
      <c r="G8306" s="10" t="n">
        <v>32</v>
      </c>
      <c r="H8306" s="10" t="n">
        <v>1030</v>
      </c>
      <c r="I8306" s="10" t="n">
        <v>121</v>
      </c>
      <c r="J8306" s="10" t="n">
        <v>0</v>
      </c>
      <c r="K8306" s="10" t="s">
        <v>20</v>
      </c>
      <c r="L8306" s="11" t="n">
        <v>42656.178287037</v>
      </c>
      <c r="M8306" s="12" t="s">
        <v>18265</v>
      </c>
      <c r="N8306" s="12" t="s">
        <v>18266</v>
      </c>
      <c r="O8306" s="9" t="str">
        <f aca="false">HYPERLINK("https://pbs.twimg.com/profile_images/786526386353741824/sNXdB5zx_normal.jpg","View")</f>
        <v>View</v>
      </c>
      <c r="P8306" s="10"/>
    </row>
    <row r="8307" customFormat="false" ht="15.75" hidden="false" customHeight="false" outlineLevel="0" collapsed="false">
      <c r="A8307" s="6" t="n">
        <v>43032.2025</v>
      </c>
      <c r="B8307" s="7" t="str">
        <f aca="false">HYPERLINK("https://twitter.com/qc_pt","@qc_pt")</f>
        <v>@qc_pt</v>
      </c>
      <c r="C8307" s="8" t="s">
        <v>18267</v>
      </c>
      <c r="D8307" s="8" t="s">
        <v>18091</v>
      </c>
      <c r="E8307" s="9" t="str">
        <f aca="false">HYPERLINK("https://twitter.com/qc_pt/status/922792688226918400","922792688226918400")</f>
        <v>922792688226918400</v>
      </c>
      <c r="F8307" s="10" t="s">
        <v>17101</v>
      </c>
      <c r="G8307" s="10" t="n">
        <v>35</v>
      </c>
      <c r="H8307" s="10" t="n">
        <v>1194</v>
      </c>
      <c r="I8307" s="10" t="n">
        <v>121</v>
      </c>
      <c r="J8307" s="10" t="n">
        <v>0</v>
      </c>
      <c r="K8307" s="10" t="s">
        <v>20</v>
      </c>
      <c r="L8307" s="11" t="n">
        <v>42634.5609722222</v>
      </c>
      <c r="M8307" s="12" t="s">
        <v>18268</v>
      </c>
      <c r="N8307" s="12" t="s">
        <v>18269</v>
      </c>
      <c r="O8307" s="9" t="str">
        <f aca="false">HYPERLINK("https://pbs.twimg.com/profile_images/846580760085774336/3ubDMRQm_normal.jpg","View")</f>
        <v>View</v>
      </c>
      <c r="P8307" s="10"/>
    </row>
    <row r="8308" customFormat="false" ht="15.75" hidden="false" customHeight="false" outlineLevel="0" collapsed="false">
      <c r="A8308" s="6" t="n">
        <v>43032.2025</v>
      </c>
      <c r="B8308" s="7" t="str">
        <f aca="false">HYPERLINK("https://twitter.com/UVobf","@UVobf")</f>
        <v>@UVobf</v>
      </c>
      <c r="C8308" s="8" t="s">
        <v>18270</v>
      </c>
      <c r="D8308" s="8" t="s">
        <v>18091</v>
      </c>
      <c r="E8308" s="9" t="str">
        <f aca="false">HYPERLINK("https://twitter.com/UVobf/status/922792688658862085","922792688658862085")</f>
        <v>922792688658862085</v>
      </c>
      <c r="F8308" s="10" t="s">
        <v>17101</v>
      </c>
      <c r="G8308" s="10" t="n">
        <v>53</v>
      </c>
      <c r="H8308" s="10" t="n">
        <v>1212</v>
      </c>
      <c r="I8308" s="10" t="n">
        <v>121</v>
      </c>
      <c r="J8308" s="10" t="n">
        <v>0</v>
      </c>
      <c r="K8308" s="10" t="s">
        <v>20</v>
      </c>
      <c r="L8308" s="11" t="n">
        <v>42636.3531944444</v>
      </c>
      <c r="M8308" s="12" t="s">
        <v>18271</v>
      </c>
      <c r="N8308" s="12"/>
      <c r="O8308" s="9" t="str">
        <f aca="false">HYPERLINK("https://pbs.twimg.com/profile_images/779342065587093505/a-d0wMfh_normal.jpg","View")</f>
        <v>View</v>
      </c>
      <c r="P8308" s="10"/>
    </row>
    <row r="8309" customFormat="false" ht="15.75" hidden="false" customHeight="false" outlineLevel="0" collapsed="false">
      <c r="A8309" s="6" t="n">
        <v>43032.2025</v>
      </c>
      <c r="B8309" s="7" t="str">
        <f aca="false">HYPERLINK("https://twitter.com/x_8355","@x_8355")</f>
        <v>@x_8355</v>
      </c>
      <c r="C8309" s="8" t="s">
        <v>18272</v>
      </c>
      <c r="D8309" s="8" t="s">
        <v>18091</v>
      </c>
      <c r="E8309" s="9" t="str">
        <f aca="false">HYPERLINK("https://twitter.com/x_8355/status/922792689850114048","922792689850114048")</f>
        <v>922792689850114048</v>
      </c>
      <c r="F8309" s="10" t="s">
        <v>17101</v>
      </c>
      <c r="G8309" s="10" t="n">
        <v>74</v>
      </c>
      <c r="H8309" s="10" t="n">
        <v>1066</v>
      </c>
      <c r="I8309" s="10" t="n">
        <v>121</v>
      </c>
      <c r="J8309" s="10" t="n">
        <v>0</v>
      </c>
      <c r="K8309" s="10" t="s">
        <v>20</v>
      </c>
      <c r="L8309" s="11" t="n">
        <v>42786.806724537</v>
      </c>
      <c r="M8309" s="12" t="s">
        <v>14546</v>
      </c>
      <c r="N8309" s="12" t="s">
        <v>18273</v>
      </c>
      <c r="O8309" s="9" t="str">
        <f aca="false">HYPERLINK("https://pbs.twimg.com/profile_images/833890461009973248/nZJcgn1-_normal.jpg","View")</f>
        <v>View</v>
      </c>
      <c r="P8309" s="10"/>
    </row>
    <row r="8310" customFormat="false" ht="15.75" hidden="false" customHeight="false" outlineLevel="0" collapsed="false">
      <c r="A8310" s="6" t="n">
        <v>43032.2030555556</v>
      </c>
      <c r="B8310" s="7" t="str">
        <f aca="false">HYPERLINK("https://twitter.com/HareshMirchand6","@HareshMirchand6")</f>
        <v>@HareshMirchand6</v>
      </c>
      <c r="C8310" s="8" t="s">
        <v>18274</v>
      </c>
      <c r="D8310" s="8" t="s">
        <v>18091</v>
      </c>
      <c r="E8310" s="9" t="str">
        <f aca="false">HYPERLINK("https://twitter.com/HareshMirchand6/status/922792890341892096","922792890341892096")</f>
        <v>922792890341892096</v>
      </c>
      <c r="F8310" s="10" t="s">
        <v>25</v>
      </c>
      <c r="G8310" s="10" t="n">
        <v>2</v>
      </c>
      <c r="H8310" s="10" t="n">
        <v>32</v>
      </c>
      <c r="I8310" s="10" t="n">
        <v>121</v>
      </c>
      <c r="J8310" s="10" t="n">
        <v>0</v>
      </c>
      <c r="K8310" s="10" t="s">
        <v>20</v>
      </c>
      <c r="L8310" s="11" t="n">
        <v>43010.0886805556</v>
      </c>
      <c r="M8310" s="12"/>
      <c r="N8310" s="12"/>
      <c r="O8310" s="9" t="str">
        <f aca="false">HYPERLINK("https://abs.twimg.com/sticky/default_profile_images/default_profile_normal.png","View")</f>
        <v>View</v>
      </c>
      <c r="P8310" s="10"/>
    </row>
    <row r="8311" customFormat="false" ht="15.75" hidden="false" customHeight="false" outlineLevel="0" collapsed="false">
      <c r="A8311" s="6" t="n">
        <v>43032.2036458333</v>
      </c>
      <c r="B8311" s="7" t="str">
        <f aca="false">HYPERLINK("https://twitter.com/cmgutierrezjr","@cmgutierrezjr")</f>
        <v>@cmgutierrezjr</v>
      </c>
      <c r="C8311" s="8" t="s">
        <v>18275</v>
      </c>
      <c r="D8311" s="8" t="s">
        <v>18021</v>
      </c>
      <c r="E8311" s="9" t="str">
        <f aca="false">HYPERLINK("https://twitter.com/cmgutierrezjr/status/922793105266561025","922793105266561025")</f>
        <v>922793105266561025</v>
      </c>
      <c r="F8311" s="10" t="s">
        <v>51</v>
      </c>
      <c r="G8311" s="10" t="n">
        <v>20192</v>
      </c>
      <c r="H8311" s="10" t="n">
        <v>6829</v>
      </c>
      <c r="I8311" s="10" t="n">
        <v>18</v>
      </c>
      <c r="J8311" s="10" t="n">
        <v>0</v>
      </c>
      <c r="K8311" s="10" t="s">
        <v>20</v>
      </c>
      <c r="L8311" s="11" t="n">
        <v>40246.5727430556</v>
      </c>
      <c r="M8311" s="12"/>
      <c r="N8311" s="12" t="s">
        <v>18276</v>
      </c>
      <c r="O8311" s="9" t="str">
        <f aca="false">HYPERLINK("https://pbs.twimg.com/profile_images/921050150080040960/6SCy-d-h_normal.jpg","View")</f>
        <v>View</v>
      </c>
      <c r="P8311" s="10"/>
    </row>
    <row r="8312" customFormat="false" ht="15.75" hidden="false" customHeight="false" outlineLevel="0" collapsed="false">
      <c r="A8312" s="6" t="n">
        <v>43032.2038541667</v>
      </c>
      <c r="B8312" s="7" t="str">
        <f aca="false">HYPERLINK("https://twitter.com/Sadogashima123","@Sadogashima123")</f>
        <v>@Sadogashima123</v>
      </c>
      <c r="C8312" s="14" t="s">
        <v>18277</v>
      </c>
      <c r="D8312" s="8" t="s">
        <v>17978</v>
      </c>
      <c r="E8312" s="9" t="str">
        <f aca="false">HYPERLINK("https://twitter.com/Sadogashima123/status/922793178616311808","922793178616311808")</f>
        <v>922793178616311808</v>
      </c>
      <c r="F8312" s="10" t="s">
        <v>51</v>
      </c>
      <c r="G8312" s="10" t="n">
        <v>3897</v>
      </c>
      <c r="H8312" s="10" t="n">
        <v>3788</v>
      </c>
      <c r="I8312" s="10" t="n">
        <v>12</v>
      </c>
      <c r="J8312" s="10" t="n">
        <v>0</v>
      </c>
      <c r="K8312" s="10" t="s">
        <v>20</v>
      </c>
      <c r="L8312" s="11" t="n">
        <v>40539.3586574074</v>
      </c>
      <c r="M8312" s="13" t="s">
        <v>18278</v>
      </c>
      <c r="N8312" s="13" t="s">
        <v>18279</v>
      </c>
      <c r="O8312" s="9" t="str">
        <f aca="false">HYPERLINK("https://pbs.twimg.com/profile_images/1200081548/270606____________normal.jpg","View")</f>
        <v>View</v>
      </c>
      <c r="P8312" s="10"/>
    </row>
    <row r="8313" customFormat="false" ht="15.75" hidden="false" customHeight="false" outlineLevel="0" collapsed="false">
      <c r="A8313" s="6" t="n">
        <v>43032.2068865741</v>
      </c>
      <c r="B8313" s="7" t="str">
        <f aca="false">HYPERLINK("https://twitter.com/AmwalAlGhad_EN","@AmwalAlGhad_EN")</f>
        <v>@AmwalAlGhad_EN</v>
      </c>
      <c r="C8313" s="8" t="s">
        <v>18280</v>
      </c>
      <c r="D8313" s="8" t="s">
        <v>18281</v>
      </c>
      <c r="E8313" s="9" t="str">
        <f aca="false">HYPERLINK("https://twitter.com/AmwalAlGhad_EN/status/922794278270701568","922794278270701568")</f>
        <v>922794278270701568</v>
      </c>
      <c r="F8313" s="10" t="s">
        <v>110</v>
      </c>
      <c r="G8313" s="10" t="n">
        <v>868</v>
      </c>
      <c r="H8313" s="10" t="n">
        <v>362</v>
      </c>
      <c r="I8313" s="10" t="n">
        <v>0</v>
      </c>
      <c r="J8313" s="10" t="n">
        <v>0</v>
      </c>
      <c r="K8313" s="10" t="s">
        <v>20</v>
      </c>
      <c r="L8313" s="11" t="n">
        <v>40973.1925347222</v>
      </c>
      <c r="M8313" s="12" t="s">
        <v>18282</v>
      </c>
      <c r="N8313" s="12" t="s">
        <v>18283</v>
      </c>
      <c r="O8313" s="9" t="str">
        <f aca="false">HYPERLINK("https://pbs.twimg.com/profile_images/1874504895/amwal1_normal.jpg","View")</f>
        <v>View</v>
      </c>
      <c r="P8313" s="10"/>
    </row>
    <row r="8314" customFormat="false" ht="15.75" hidden="false" customHeight="false" outlineLevel="0" collapsed="false">
      <c r="A8314" s="6" t="n">
        <v>43032.2069675926</v>
      </c>
      <c r="B8314" s="7" t="str">
        <f aca="false">HYPERLINK("https://twitter.com/COMOLOVEOYO","@COMOLOVEOYO")</f>
        <v>@COMOLOVEOYO</v>
      </c>
      <c r="C8314" s="8" t="s">
        <v>18284</v>
      </c>
      <c r="D8314" s="8" t="s">
        <v>16929</v>
      </c>
      <c r="E8314" s="9" t="str">
        <f aca="false">HYPERLINK("https://twitter.com/COMOLOVEOYO/status/922794310277500928","922794310277500928")</f>
        <v>922794310277500928</v>
      </c>
      <c r="F8314" s="10" t="s">
        <v>25</v>
      </c>
      <c r="G8314" s="10" t="n">
        <v>2153</v>
      </c>
      <c r="H8314" s="10" t="n">
        <v>4004</v>
      </c>
      <c r="I8314" s="10" t="n">
        <v>247</v>
      </c>
      <c r="J8314" s="10" t="n">
        <v>0</v>
      </c>
      <c r="K8314" s="10" t="s">
        <v>20</v>
      </c>
      <c r="L8314" s="11" t="n">
        <v>40514.5685300926</v>
      </c>
      <c r="M8314" s="12" t="s">
        <v>18285</v>
      </c>
      <c r="N8314" s="12" t="s">
        <v>18286</v>
      </c>
      <c r="O8314" s="9" t="str">
        <f aca="false">HYPERLINK("https://pbs.twimg.com/profile_images/863156489338355712/I5qlOWVC_normal.jpg","View")</f>
        <v>View</v>
      </c>
      <c r="P8314" s="10"/>
    </row>
    <row r="8315" customFormat="false" ht="15.75" hidden="false" customHeight="false" outlineLevel="0" collapsed="false">
      <c r="A8315" s="6" t="n">
        <v>43032.2091435185</v>
      </c>
      <c r="B8315" s="7" t="str">
        <f aca="false">HYPERLINK("https://twitter.com/Robs_News","@Robs_News")</f>
        <v>@Robs_News</v>
      </c>
      <c r="C8315" s="8" t="s">
        <v>17301</v>
      </c>
      <c r="D8315" s="8" t="s">
        <v>16413</v>
      </c>
      <c r="E8315" s="9" t="str">
        <f aca="false">HYPERLINK("https://twitter.com/Robs_News/status/922795096545820674","922795096545820674")</f>
        <v>922795096545820674</v>
      </c>
      <c r="F8315" s="10" t="s">
        <v>51</v>
      </c>
      <c r="G8315" s="10" t="n">
        <v>24</v>
      </c>
      <c r="H8315" s="10" t="n">
        <v>31</v>
      </c>
      <c r="I8315" s="10" t="n">
        <v>46</v>
      </c>
      <c r="J8315" s="10" t="n">
        <v>0</v>
      </c>
      <c r="K8315" s="10" t="s">
        <v>20</v>
      </c>
      <c r="L8315" s="11" t="n">
        <v>43000.2714699074</v>
      </c>
      <c r="M8315" s="12"/>
      <c r="N8315" s="12" t="s">
        <v>17302</v>
      </c>
      <c r="O8315" s="9" t="str">
        <f aca="false">HYPERLINK("https://pbs.twimg.com/profile_images/911223639386796032/xo79RmLw_normal.jpg","View")</f>
        <v>View</v>
      </c>
      <c r="P8315" s="10"/>
    </row>
    <row r="8316" customFormat="false" ht="15.75" hidden="false" customHeight="false" outlineLevel="0" collapsed="false">
      <c r="A8316" s="6" t="n">
        <v>43032.2102777778</v>
      </c>
      <c r="B8316" s="7" t="str">
        <f aca="false">HYPERLINK("https://twitter.com/PaulReveal1","@PaulReveal1")</f>
        <v>@PaulReveal1</v>
      </c>
      <c r="C8316" s="8" t="s">
        <v>18287</v>
      </c>
      <c r="D8316" s="8" t="s">
        <v>16929</v>
      </c>
      <c r="E8316" s="9" t="str">
        <f aca="false">HYPERLINK("https://twitter.com/PaulReveal1/status/922795506476167168","922795506476167168")</f>
        <v>922795506476167168</v>
      </c>
      <c r="F8316" s="10" t="s">
        <v>25</v>
      </c>
      <c r="G8316" s="10" t="n">
        <v>43</v>
      </c>
      <c r="H8316" s="10" t="n">
        <v>161</v>
      </c>
      <c r="I8316" s="10" t="n">
        <v>247</v>
      </c>
      <c r="J8316" s="10" t="n">
        <v>0</v>
      </c>
      <c r="K8316" s="10" t="s">
        <v>20</v>
      </c>
      <c r="L8316" s="11" t="n">
        <v>42842.7302430556</v>
      </c>
      <c r="M8316" s="12"/>
      <c r="N8316" s="12"/>
      <c r="O8316" s="9" t="str">
        <f aca="false">HYPERLINK("https://abs.twimg.com/sticky/default_profile_images/default_profile_normal.png","View")</f>
        <v>View</v>
      </c>
      <c r="P8316" s="10"/>
    </row>
    <row r="8317" customFormat="false" ht="15.75" hidden="false" customHeight="false" outlineLevel="0" collapsed="false">
      <c r="A8317" s="6" t="n">
        <v>43032.2104166667</v>
      </c>
      <c r="B8317" s="7" t="str">
        <f aca="false">HYPERLINK("https://twitter.com/RUSSELLCALKINS","@RUSSELLCALKINS")</f>
        <v>@RUSSELLCALKINS</v>
      </c>
      <c r="C8317" s="8" t="s">
        <v>18288</v>
      </c>
      <c r="D8317" s="8" t="s">
        <v>18289</v>
      </c>
      <c r="E8317" s="9" t="str">
        <f aca="false">HYPERLINK("https://twitter.com/RUSSELLCALKINS/status/922795556690210817","922795556690210817")</f>
        <v>922795556690210817</v>
      </c>
      <c r="F8317" s="10" t="s">
        <v>47</v>
      </c>
      <c r="G8317" s="10" t="n">
        <v>89</v>
      </c>
      <c r="H8317" s="10" t="n">
        <v>374</v>
      </c>
      <c r="I8317" s="10" t="n">
        <v>0</v>
      </c>
      <c r="J8317" s="10" t="n">
        <v>0</v>
      </c>
      <c r="K8317" s="10" t="s">
        <v>20</v>
      </c>
      <c r="L8317" s="11" t="n">
        <v>39912.822974537</v>
      </c>
      <c r="M8317" s="12" t="s">
        <v>5580</v>
      </c>
      <c r="N8317" s="12" t="s">
        <v>18290</v>
      </c>
      <c r="O8317" s="9" t="str">
        <f aca="false">HYPERLINK("https://pbs.twimg.com/profile_images/535566010732912640/3UoZ9kDS_normal.jpeg","View")</f>
        <v>View</v>
      </c>
      <c r="P8317" s="10"/>
    </row>
    <row r="8318" customFormat="false" ht="15.75" hidden="false" customHeight="false" outlineLevel="0" collapsed="false">
      <c r="A8318" s="6" t="n">
        <v>43032.2117939815</v>
      </c>
      <c r="B8318" s="7" t="str">
        <f aca="false">HYPERLINK("https://twitter.com/Saisrinath12","@Saisrinath12")</f>
        <v>@Saisrinath12</v>
      </c>
      <c r="C8318" s="8" t="s">
        <v>18291</v>
      </c>
      <c r="D8318" s="8" t="s">
        <v>18076</v>
      </c>
      <c r="E8318" s="9" t="str">
        <f aca="false">HYPERLINK("https://twitter.com/Saisrinath12/status/922796056177496064","922796056177496064")</f>
        <v>922796056177496064</v>
      </c>
      <c r="F8318" s="10" t="s">
        <v>8280</v>
      </c>
      <c r="G8318" s="10" t="n">
        <v>112</v>
      </c>
      <c r="H8318" s="10" t="n">
        <v>209</v>
      </c>
      <c r="I8318" s="10" t="n">
        <v>2</v>
      </c>
      <c r="J8318" s="10" t="n">
        <v>0</v>
      </c>
      <c r="K8318" s="10" t="s">
        <v>20</v>
      </c>
      <c r="L8318" s="11" t="n">
        <v>40255.1780555556</v>
      </c>
      <c r="M8318" s="12" t="s">
        <v>9385</v>
      </c>
      <c r="N8318" s="12" t="s">
        <v>18292</v>
      </c>
      <c r="O8318" s="9" t="str">
        <f aca="false">HYPERLINK("https://pbs.twimg.com/profile_images/843474466197782528/gs9nJMJR_normal.jpg","View")</f>
        <v>View</v>
      </c>
      <c r="P8318" s="10"/>
    </row>
    <row r="8319" customFormat="false" ht="15.75" hidden="false" customHeight="false" outlineLevel="0" collapsed="false">
      <c r="A8319" s="6" t="n">
        <v>43032.2124884259</v>
      </c>
      <c r="B8319" s="7" t="str">
        <f aca="false">HYPERLINK("https://twitter.com/BooLee7","@BooLee7")</f>
        <v>@BooLee7</v>
      </c>
      <c r="C8319" s="14" t="s">
        <v>18293</v>
      </c>
      <c r="D8319" s="8" t="s">
        <v>16008</v>
      </c>
      <c r="E8319" s="9" t="str">
        <f aca="false">HYPERLINK("https://twitter.com/BooLee7/status/922796309655859200","922796309655859200")</f>
        <v>922796309655859200</v>
      </c>
      <c r="F8319" s="10" t="s">
        <v>39</v>
      </c>
      <c r="G8319" s="10" t="n">
        <v>564</v>
      </c>
      <c r="H8319" s="10" t="n">
        <v>570</v>
      </c>
      <c r="I8319" s="10" t="n">
        <v>32</v>
      </c>
      <c r="J8319" s="10" t="n">
        <v>0</v>
      </c>
      <c r="K8319" s="10" t="s">
        <v>20</v>
      </c>
      <c r="L8319" s="11" t="n">
        <v>40256.0025694445</v>
      </c>
      <c r="M8319" s="13" t="s">
        <v>18294</v>
      </c>
      <c r="N8319" s="13" t="s">
        <v>18295</v>
      </c>
      <c r="O8319" s="9" t="str">
        <f aca="false">HYPERLINK("https://pbs.twimg.com/profile_images/1158990241/DVC00032_505_normal.jpg","View")</f>
        <v>View</v>
      </c>
      <c r="P8319" s="10"/>
    </row>
    <row r="8320" customFormat="false" ht="15.75" hidden="false" customHeight="false" outlineLevel="0" collapsed="false">
      <c r="A8320" s="6" t="n">
        <v>43032.2130555556</v>
      </c>
      <c r="B8320" s="7" t="str">
        <f aca="false">HYPERLINK("https://twitter.com/pedecine","@pedecine")</f>
        <v>@pedecine</v>
      </c>
      <c r="C8320" s="8" t="s">
        <v>18296</v>
      </c>
      <c r="D8320" s="8" t="s">
        <v>18121</v>
      </c>
      <c r="E8320" s="9" t="str">
        <f aca="false">HYPERLINK("https://twitter.com/pedecine/status/922796515491422208","922796515491422208")</f>
        <v>922796515491422208</v>
      </c>
      <c r="F8320" s="10" t="s">
        <v>51</v>
      </c>
      <c r="G8320" s="10" t="n">
        <v>497</v>
      </c>
      <c r="H8320" s="10" t="n">
        <v>1328</v>
      </c>
      <c r="I8320" s="10" t="n">
        <v>4</v>
      </c>
      <c r="J8320" s="10" t="n">
        <v>0</v>
      </c>
      <c r="K8320" s="10" t="s">
        <v>20</v>
      </c>
      <c r="L8320" s="11" t="n">
        <v>40238.2419212963</v>
      </c>
      <c r="M8320" s="12" t="s">
        <v>574</v>
      </c>
      <c r="N8320" s="12" t="s">
        <v>18297</v>
      </c>
      <c r="O8320" s="9" t="str">
        <f aca="false">HYPERLINK("https://pbs.twimg.com/profile_images/731902428/06-12-18_gontablue_normal.jpg","View")</f>
        <v>View</v>
      </c>
      <c r="P8320" s="10"/>
    </row>
    <row r="8321" customFormat="false" ht="15.75" hidden="false" customHeight="false" outlineLevel="0" collapsed="false">
      <c r="A8321" s="6" t="n">
        <v>43032.2159259259</v>
      </c>
      <c r="B8321" s="7" t="str">
        <f aca="false">HYPERLINK("https://twitter.com/josegoz","@josegoz")</f>
        <v>@josegoz</v>
      </c>
      <c r="C8321" s="8" t="s">
        <v>18298</v>
      </c>
      <c r="D8321" s="8" t="s">
        <v>18091</v>
      </c>
      <c r="E8321" s="9" t="str">
        <f aca="false">HYPERLINK("https://twitter.com/josegoz/status/922797554676445184","922797554676445184")</f>
        <v>922797554676445184</v>
      </c>
      <c r="F8321" s="10" t="s">
        <v>1017</v>
      </c>
      <c r="G8321" s="10" t="n">
        <v>932</v>
      </c>
      <c r="H8321" s="10" t="n">
        <v>802</v>
      </c>
      <c r="I8321" s="10" t="n">
        <v>121</v>
      </c>
      <c r="J8321" s="10" t="n">
        <v>0</v>
      </c>
      <c r="K8321" s="10" t="s">
        <v>20</v>
      </c>
      <c r="L8321" s="11" t="n">
        <v>40079.5786342593</v>
      </c>
      <c r="M8321" s="12"/>
      <c r="N8321" s="12" t="s">
        <v>18299</v>
      </c>
      <c r="O8321" s="9" t="str">
        <f aca="false">HYPERLINK("https://pbs.twimg.com/profile_images/917107229135986690/Q4AdRUah_normal.jpg","View")</f>
        <v>View</v>
      </c>
      <c r="P8321" s="10"/>
    </row>
    <row r="8322" customFormat="false" ht="15.75" hidden="false" customHeight="false" outlineLevel="0" collapsed="false">
      <c r="A8322" s="6" t="n">
        <v>43032.2209490741</v>
      </c>
      <c r="B8322" s="7" t="str">
        <f aca="false">HYPERLINK("https://twitter.com/Saisrinath12","@Saisrinath12")</f>
        <v>@Saisrinath12</v>
      </c>
      <c r="C8322" s="8" t="s">
        <v>18291</v>
      </c>
      <c r="D8322" s="8" t="s">
        <v>18300</v>
      </c>
      <c r="E8322" s="9" t="str">
        <f aca="false">HYPERLINK("https://twitter.com/Saisrinath12/status/922799376094978049","922799376094978049")</f>
        <v>922799376094978049</v>
      </c>
      <c r="F8322" s="10" t="s">
        <v>8280</v>
      </c>
      <c r="G8322" s="10" t="n">
        <v>112</v>
      </c>
      <c r="H8322" s="10" t="n">
        <v>209</v>
      </c>
      <c r="I8322" s="10" t="n">
        <v>2</v>
      </c>
      <c r="J8322" s="10" t="n">
        <v>0</v>
      </c>
      <c r="K8322" s="10" t="s">
        <v>20</v>
      </c>
      <c r="L8322" s="11" t="n">
        <v>40255.1780555556</v>
      </c>
      <c r="M8322" s="12" t="s">
        <v>9385</v>
      </c>
      <c r="N8322" s="12" t="s">
        <v>18292</v>
      </c>
      <c r="O8322" s="9" t="str">
        <f aca="false">HYPERLINK("https://pbs.twimg.com/profile_images/843474466197782528/gs9nJMJR_normal.jpg","View")</f>
        <v>View</v>
      </c>
      <c r="P8322" s="10"/>
    </row>
    <row r="8323" customFormat="false" ht="15.75" hidden="false" customHeight="false" outlineLevel="0" collapsed="false">
      <c r="A8323" s="6" t="n">
        <v>43032.2209953704</v>
      </c>
      <c r="B8323" s="7" t="str">
        <f aca="false">HYPERLINK("https://twitter.com/asutoshbaba","@asutoshbaba")</f>
        <v>@asutoshbaba</v>
      </c>
      <c r="C8323" s="8" t="s">
        <v>18301</v>
      </c>
      <c r="D8323" s="8" t="s">
        <v>18302</v>
      </c>
      <c r="E8323" s="9" t="str">
        <f aca="false">HYPERLINK("https://twitter.com/asutoshbaba/status/922799393907937282","922799393907937282")</f>
        <v>922799393907937282</v>
      </c>
      <c r="F8323" s="10" t="s">
        <v>47</v>
      </c>
      <c r="G8323" s="10" t="n">
        <v>182</v>
      </c>
      <c r="H8323" s="10" t="n">
        <v>2261</v>
      </c>
      <c r="I8323" s="10" t="n">
        <v>0</v>
      </c>
      <c r="J8323" s="10" t="n">
        <v>0</v>
      </c>
      <c r="K8323" s="10" t="s">
        <v>20</v>
      </c>
      <c r="L8323" s="11" t="n">
        <v>40848.150150463</v>
      </c>
      <c r="M8323" s="12" t="s">
        <v>18303</v>
      </c>
      <c r="N8323" s="12" t="s">
        <v>18304</v>
      </c>
      <c r="O8323" s="9" t="str">
        <f aca="false">HYPERLINK("https://pbs.twimg.com/profile_images/2995173501/6665c49202b292b02ba53d317a156d4d_normal.jpeg","View")</f>
        <v>View</v>
      </c>
      <c r="P8323" s="10"/>
    </row>
    <row r="8324" customFormat="false" ht="15.75" hidden="false" customHeight="false" outlineLevel="0" collapsed="false">
      <c r="A8324" s="6" t="n">
        <v>43032.2222222222</v>
      </c>
      <c r="B8324" s="7" t="str">
        <f aca="false">HYPERLINK("https://twitter.com/prospect_uk","@prospect_uk")</f>
        <v>@prospect_uk</v>
      </c>
      <c r="C8324" s="8" t="s">
        <v>18040</v>
      </c>
      <c r="D8324" s="8" t="s">
        <v>18305</v>
      </c>
      <c r="E8324" s="9" t="str">
        <f aca="false">HYPERLINK("https://twitter.com/prospect_uk/status/922799837430599685","922799837430599685")</f>
        <v>922799837430599685</v>
      </c>
      <c r="F8324" s="10" t="s">
        <v>276</v>
      </c>
      <c r="G8324" s="10" t="n">
        <v>41089</v>
      </c>
      <c r="H8324" s="10" t="n">
        <v>4677</v>
      </c>
      <c r="I8324" s="10" t="n">
        <v>2</v>
      </c>
      <c r="J8324" s="10" t="n">
        <v>0</v>
      </c>
      <c r="K8324" s="10" t="s">
        <v>20</v>
      </c>
      <c r="L8324" s="11" t="n">
        <v>39864.418125</v>
      </c>
      <c r="M8324" s="12" t="s">
        <v>893</v>
      </c>
      <c r="N8324" s="12" t="s">
        <v>18042</v>
      </c>
      <c r="O8324" s="9" t="str">
        <f aca="false">HYPERLINK("https://pbs.twimg.com/profile_images/866635745389367296/P04hHW2R_normal.jpg","View")</f>
        <v>View</v>
      </c>
      <c r="P8324" s="10"/>
    </row>
    <row r="8325" customFormat="false" ht="15.75" hidden="false" customHeight="false" outlineLevel="0" collapsed="false">
      <c r="A8325" s="6" t="n">
        <v>43032.2263773148</v>
      </c>
      <c r="B8325" s="7" t="str">
        <f aca="false">HYPERLINK("https://twitter.com/IWPR","@IWPR")</f>
        <v>@IWPR</v>
      </c>
      <c r="C8325" s="8" t="s">
        <v>18306</v>
      </c>
      <c r="D8325" s="8" t="s">
        <v>18307</v>
      </c>
      <c r="E8325" s="9" t="str">
        <f aca="false">HYPERLINK("https://twitter.com/IWPR/status/922801343852527616","922801343852527616")</f>
        <v>922801343852527616</v>
      </c>
      <c r="F8325" s="10" t="s">
        <v>276</v>
      </c>
      <c r="G8325" s="10" t="n">
        <v>11529</v>
      </c>
      <c r="H8325" s="10" t="n">
        <v>8174</v>
      </c>
      <c r="I8325" s="10" t="n">
        <v>2</v>
      </c>
      <c r="J8325" s="10" t="n">
        <v>0</v>
      </c>
      <c r="K8325" s="10" t="s">
        <v>20</v>
      </c>
      <c r="L8325" s="11" t="n">
        <v>39645.1531712963</v>
      </c>
      <c r="M8325" s="12" t="s">
        <v>182</v>
      </c>
      <c r="N8325" s="12" t="s">
        <v>18308</v>
      </c>
      <c r="O8325" s="9" t="str">
        <f aca="false">HYPERLINK("https://pbs.twimg.com/profile_images/882262313566429184/Nxf-aS9k_normal.jpg","View")</f>
        <v>View</v>
      </c>
      <c r="P8325" s="10"/>
    </row>
    <row r="8326" customFormat="false" ht="15.75" hidden="false" customHeight="false" outlineLevel="0" collapsed="false">
      <c r="A8326" s="6" t="n">
        <v>43032.2265856482</v>
      </c>
      <c r="B8326" s="7" t="str">
        <f aca="false">HYPERLINK("https://twitter.com/berard_mike","@berard_mike")</f>
        <v>@berard_mike</v>
      </c>
      <c r="C8326" s="8" t="s">
        <v>18309</v>
      </c>
      <c r="D8326" s="8" t="s">
        <v>18307</v>
      </c>
      <c r="E8326" s="9" t="str">
        <f aca="false">HYPERLINK("https://twitter.com/berard_mike/status/922801419060686853","922801419060686853")</f>
        <v>922801419060686853</v>
      </c>
      <c r="F8326" s="10" t="s">
        <v>51</v>
      </c>
      <c r="G8326" s="10" t="n">
        <v>1483</v>
      </c>
      <c r="H8326" s="10" t="n">
        <v>2514</v>
      </c>
      <c r="I8326" s="10" t="n">
        <v>2</v>
      </c>
      <c r="J8326" s="10" t="n">
        <v>0</v>
      </c>
      <c r="K8326" s="10" t="s">
        <v>20</v>
      </c>
      <c r="L8326" s="11" t="n">
        <v>40727.2649189815</v>
      </c>
      <c r="M8326" s="12" t="s">
        <v>1754</v>
      </c>
      <c r="N8326" s="12" t="s">
        <v>18310</v>
      </c>
      <c r="O8326" s="9" t="str">
        <f aca="false">HYPERLINK("https://pbs.twimg.com/profile_images/842078561016131587/AN9pYiPO_normal.jpg","View")</f>
        <v>View</v>
      </c>
      <c r="P8326" s="10"/>
    </row>
    <row r="8327" customFormat="false" ht="15.75" hidden="false" customHeight="false" outlineLevel="0" collapsed="false">
      <c r="A8327" s="6" t="n">
        <v>43032.2316666667</v>
      </c>
      <c r="B8327" s="7" t="str">
        <f aca="false">HYPERLINK("https://twitter.com/greta829","@greta829")</f>
        <v>@greta829</v>
      </c>
      <c r="C8327" s="8" t="s">
        <v>1310</v>
      </c>
      <c r="D8327" s="8" t="s">
        <v>18121</v>
      </c>
      <c r="E8327" s="9" t="str">
        <f aca="false">HYPERLINK("https://twitter.com/greta829/status/922803260888461312","922803260888461312")</f>
        <v>922803260888461312</v>
      </c>
      <c r="F8327" s="10" t="s">
        <v>39</v>
      </c>
      <c r="G8327" s="10" t="n">
        <v>139</v>
      </c>
      <c r="H8327" s="10" t="n">
        <v>205</v>
      </c>
      <c r="I8327" s="10" t="n">
        <v>4</v>
      </c>
      <c r="J8327" s="10" t="n">
        <v>0</v>
      </c>
      <c r="K8327" s="10" t="s">
        <v>20</v>
      </c>
      <c r="L8327" s="11" t="n">
        <v>40158.2910532407</v>
      </c>
      <c r="M8327" s="12"/>
      <c r="N8327" s="12"/>
      <c r="O8327" s="9" t="str">
        <f aca="false">HYPERLINK("https://pbs.twimg.com/profile_images/639548929/P1000008_normal.JPG","View")</f>
        <v>View</v>
      </c>
      <c r="P8327" s="10"/>
    </row>
    <row r="8328" customFormat="false" ht="15.75" hidden="false" customHeight="false" outlineLevel="0" collapsed="false">
      <c r="A8328" s="6" t="n">
        <v>43032.2318518519</v>
      </c>
      <c r="B8328" s="7" t="str">
        <f aca="false">HYPERLINK("https://twitter.com/HAZUMA_JPN","@HAZUMA_JPN")</f>
        <v>@HAZUMA_JPN</v>
      </c>
      <c r="C8328" s="8" t="s">
        <v>1462</v>
      </c>
      <c r="D8328" s="8" t="s">
        <v>11356</v>
      </c>
      <c r="E8328" s="9" t="str">
        <f aca="false">HYPERLINK("https://twitter.com/HAZUMA_JPN/status/922803324214300674","922803324214300674")</f>
        <v>922803324214300674</v>
      </c>
      <c r="F8328" s="10" t="s">
        <v>51</v>
      </c>
      <c r="G8328" s="10" t="n">
        <v>470</v>
      </c>
      <c r="H8328" s="10" t="n">
        <v>3162</v>
      </c>
      <c r="I8328" s="10" t="n">
        <v>8</v>
      </c>
      <c r="J8328" s="10" t="n">
        <v>0</v>
      </c>
      <c r="K8328" s="10" t="s">
        <v>20</v>
      </c>
      <c r="L8328" s="11" t="n">
        <v>41559.639212963</v>
      </c>
      <c r="M8328" s="12" t="s">
        <v>723</v>
      </c>
      <c r="N8328" s="12" t="s">
        <v>1464</v>
      </c>
      <c r="O8328" s="9" t="str">
        <f aca="false">HYPERLINK("https://pbs.twimg.com/profile_images/770376087977230336/zeh0Ktrm_normal.jpg","View")</f>
        <v>View</v>
      </c>
      <c r="P8328" s="10"/>
    </row>
    <row r="8329" customFormat="false" ht="15.75" hidden="false" customHeight="false" outlineLevel="0" collapsed="false">
      <c r="A8329" s="6" t="n">
        <v>43032.2335416667</v>
      </c>
      <c r="B8329" s="7" t="str">
        <f aca="false">HYPERLINK("https://twitter.com/hassan31377","@hassan31377")</f>
        <v>@hassan31377</v>
      </c>
      <c r="C8329" s="8" t="s">
        <v>18311</v>
      </c>
      <c r="D8329" s="8" t="s">
        <v>14676</v>
      </c>
      <c r="E8329" s="9" t="str">
        <f aca="false">HYPERLINK("https://twitter.com/hassan31377/status/922803937002115072","922803937002115072")</f>
        <v>922803937002115072</v>
      </c>
      <c r="F8329" s="10" t="s">
        <v>25</v>
      </c>
      <c r="G8329" s="10" t="n">
        <v>139</v>
      </c>
      <c r="H8329" s="10" t="n">
        <v>152</v>
      </c>
      <c r="I8329" s="10" t="n">
        <v>6</v>
      </c>
      <c r="J8329" s="10" t="n">
        <v>0</v>
      </c>
      <c r="K8329" s="10" t="s">
        <v>20</v>
      </c>
      <c r="L8329" s="11" t="n">
        <v>41587.2254861111</v>
      </c>
      <c r="M8329" s="12" t="s">
        <v>18230</v>
      </c>
      <c r="N8329" s="12" t="s">
        <v>18312</v>
      </c>
      <c r="O8329" s="9" t="str">
        <f aca="false">HYPERLINK("https://pbs.twimg.com/profile_images/677891351879503873/BTJPCa1k_normal.jpg","View")</f>
        <v>View</v>
      </c>
      <c r="P8329" s="10"/>
    </row>
    <row r="8330" customFormat="false" ht="15.75" hidden="false" customHeight="false" outlineLevel="0" collapsed="false">
      <c r="A8330" s="6" t="n">
        <v>43032.2373263889</v>
      </c>
      <c r="B8330" s="7" t="str">
        <f aca="false">HYPERLINK("https://twitter.com/JDBBC_","@JDBBC_")</f>
        <v>@JDBBC_</v>
      </c>
      <c r="C8330" s="8" t="s">
        <v>18313</v>
      </c>
      <c r="D8330" s="8" t="s">
        <v>10525</v>
      </c>
      <c r="E8330" s="9" t="str">
        <f aca="false">HYPERLINK("https://twitter.com/JDBBC_/status/922805308690501633","922805308690501633")</f>
        <v>922805308690501633</v>
      </c>
      <c r="F8330" s="10" t="s">
        <v>25</v>
      </c>
      <c r="G8330" s="10" t="n">
        <v>160</v>
      </c>
      <c r="H8330" s="10" t="n">
        <v>694</v>
      </c>
      <c r="I8330" s="10" t="n">
        <v>16</v>
      </c>
      <c r="J8330" s="10" t="n">
        <v>0</v>
      </c>
      <c r="K8330" s="10" t="s">
        <v>20</v>
      </c>
      <c r="L8330" s="11" t="n">
        <v>42740.7041898148</v>
      </c>
      <c r="M8330" s="12" t="s">
        <v>18314</v>
      </c>
      <c r="N8330" s="12" t="s">
        <v>18315</v>
      </c>
      <c r="O8330" s="9" t="str">
        <f aca="false">HYPERLINK("https://pbs.twimg.com/profile_images/907102486263103488/pAT5cr9Z_normal.jpg","View")</f>
        <v>View</v>
      </c>
      <c r="P8330" s="10"/>
    </row>
    <row r="8331" customFormat="false" ht="15.75" hidden="false" customHeight="false" outlineLevel="0" collapsed="false">
      <c r="A8331" s="6" t="n">
        <v>43032.2439814815</v>
      </c>
      <c r="B8331" s="7" t="str">
        <f aca="false">HYPERLINK("https://twitter.com/Ankitaashu19","@Ankitaashu19")</f>
        <v>@Ankitaashu19</v>
      </c>
      <c r="C8331" s="8" t="s">
        <v>18316</v>
      </c>
      <c r="D8331" s="8" t="s">
        <v>17962</v>
      </c>
      <c r="E8331" s="9" t="str">
        <f aca="false">HYPERLINK("https://twitter.com/Ankitaashu19/status/922807721652494337","922807721652494337")</f>
        <v>922807721652494337</v>
      </c>
      <c r="F8331" s="10" t="s">
        <v>51</v>
      </c>
      <c r="G8331" s="10" t="n">
        <v>4</v>
      </c>
      <c r="H8331" s="10" t="n">
        <v>142</v>
      </c>
      <c r="I8331" s="10" t="n">
        <v>2</v>
      </c>
      <c r="J8331" s="10" t="n">
        <v>0</v>
      </c>
      <c r="K8331" s="10" t="s">
        <v>20</v>
      </c>
      <c r="L8331" s="11" t="n">
        <v>40941.3157523148</v>
      </c>
      <c r="M8331" s="12"/>
      <c r="N8331" s="12"/>
      <c r="O8331" s="9" t="str">
        <f aca="false">HYPERLINK("https://abs.twimg.com/sticky/default_profile_images/default_profile_normal.png","View")</f>
        <v>View</v>
      </c>
      <c r="P8331" s="10"/>
    </row>
    <row r="8332" customFormat="false" ht="15.75" hidden="false" customHeight="false" outlineLevel="0" collapsed="false">
      <c r="A8332" s="6" t="n">
        <v>43032.2443402778</v>
      </c>
      <c r="B8332" s="7" t="str">
        <f aca="false">HYPERLINK("https://twitter.com/DemForce","@DemForce")</f>
        <v>@DemForce</v>
      </c>
      <c r="C8332" s="8" t="s">
        <v>18317</v>
      </c>
      <c r="D8332" s="8" t="s">
        <v>16929</v>
      </c>
      <c r="E8332" s="9" t="str">
        <f aca="false">HYPERLINK("https://twitter.com/DemForce/status/922807850300256257","922807850300256257")</f>
        <v>922807850300256257</v>
      </c>
      <c r="F8332" s="10" t="s">
        <v>51</v>
      </c>
      <c r="G8332" s="10" t="n">
        <v>1931</v>
      </c>
      <c r="H8332" s="10" t="n">
        <v>2475</v>
      </c>
      <c r="I8332" s="10" t="n">
        <v>247</v>
      </c>
      <c r="J8332" s="10" t="n">
        <v>0</v>
      </c>
      <c r="K8332" s="10" t="s">
        <v>20</v>
      </c>
      <c r="L8332" s="11" t="n">
        <v>42582.6784375</v>
      </c>
      <c r="M8332" s="12" t="s">
        <v>18318</v>
      </c>
      <c r="N8332" s="12" t="s">
        <v>18319</v>
      </c>
      <c r="O8332" s="9" t="str">
        <f aca="false">HYPERLINK("https://pbs.twimg.com/profile_images/922207488140865536/JltFeo6t_normal.jpg","View")</f>
        <v>View</v>
      </c>
      <c r="P8332" s="10"/>
    </row>
    <row r="8333" customFormat="false" ht="15.75" hidden="false" customHeight="false" outlineLevel="0" collapsed="false">
      <c r="A8333" s="6" t="n">
        <v>43032.2459143519</v>
      </c>
      <c r="B8333" s="7" t="str">
        <f aca="false">HYPERLINK("https://twitter.com/casausjosep","@casausjosep")</f>
        <v>@casausjosep</v>
      </c>
      <c r="C8333" s="8" t="s">
        <v>18320</v>
      </c>
      <c r="D8333" s="8" t="s">
        <v>16785</v>
      </c>
      <c r="E8333" s="9" t="str">
        <f aca="false">HYPERLINK("https://twitter.com/casausjosep/status/922808421962960898","922808421962960898")</f>
        <v>922808421962960898</v>
      </c>
      <c r="F8333" s="10" t="s">
        <v>25</v>
      </c>
      <c r="G8333" s="10" t="n">
        <v>602</v>
      </c>
      <c r="H8333" s="10" t="n">
        <v>494</v>
      </c>
      <c r="I8333" s="10" t="n">
        <v>41</v>
      </c>
      <c r="J8333" s="10" t="n">
        <v>0</v>
      </c>
      <c r="K8333" s="10" t="s">
        <v>20</v>
      </c>
      <c r="L8333" s="11" t="n">
        <v>40179.1862962963</v>
      </c>
      <c r="M8333" s="12" t="s">
        <v>3907</v>
      </c>
      <c r="N8333" s="12" t="s">
        <v>18321</v>
      </c>
      <c r="O8333" s="9" t="str">
        <f aca="false">HYPERLINK("https://pbs.twimg.com/profile_images/420161185061695488/MJcIkPLm_normal.jpeg","View")</f>
        <v>View</v>
      </c>
      <c r="P8333" s="10"/>
    </row>
    <row r="8334" customFormat="false" ht="15.75" hidden="false" customHeight="false" outlineLevel="0" collapsed="false">
      <c r="A8334" s="6" t="n">
        <v>43032.2460532407</v>
      </c>
      <c r="B8334" s="7" t="str">
        <f aca="false">HYPERLINK("https://twitter.com/NLakshey","@NLakshey")</f>
        <v>@NLakshey</v>
      </c>
      <c r="C8334" s="8" t="s">
        <v>14267</v>
      </c>
      <c r="D8334" s="8" t="s">
        <v>15547</v>
      </c>
      <c r="E8334" s="9" t="str">
        <f aca="false">HYPERLINK("https://twitter.com/NLakshey/status/922808471774359553","922808471774359553")</f>
        <v>922808471774359553</v>
      </c>
      <c r="F8334" s="10" t="s">
        <v>25</v>
      </c>
      <c r="G8334" s="10" t="n">
        <v>312</v>
      </c>
      <c r="H8334" s="10" t="n">
        <v>1032</v>
      </c>
      <c r="I8334" s="10" t="n">
        <v>6</v>
      </c>
      <c r="J8334" s="10" t="n">
        <v>0</v>
      </c>
      <c r="K8334" s="10" t="s">
        <v>20</v>
      </c>
      <c r="L8334" s="11" t="n">
        <v>41658.9728935185</v>
      </c>
      <c r="M8334" s="12" t="s">
        <v>8737</v>
      </c>
      <c r="N8334" s="12" t="s">
        <v>14268</v>
      </c>
      <c r="O8334" s="9" t="str">
        <f aca="false">HYPERLINK("https://pbs.twimg.com/profile_images/911173726997143552/5HzTBWrG_normal.jpg","View")</f>
        <v>View</v>
      </c>
      <c r="P8334" s="10"/>
    </row>
    <row r="8335" customFormat="false" ht="15.75" hidden="false" customHeight="false" outlineLevel="0" collapsed="false">
      <c r="A8335" s="6" t="n">
        <v>43032.2461805556</v>
      </c>
      <c r="B8335" s="7" t="str">
        <f aca="false">HYPERLINK("https://twitter.com/vivek1purohitg1","@vivek1purohitg1")</f>
        <v>@vivek1purohitg1</v>
      </c>
      <c r="C8335" s="8" t="s">
        <v>18322</v>
      </c>
      <c r="D8335" s="8" t="s">
        <v>8538</v>
      </c>
      <c r="E8335" s="9" t="str">
        <f aca="false">HYPERLINK("https://twitter.com/vivek1purohitg1/status/922808520679948288","922808520679948288")</f>
        <v>922808520679948288</v>
      </c>
      <c r="F8335" s="10" t="s">
        <v>25</v>
      </c>
      <c r="G8335" s="10" t="n">
        <v>974</v>
      </c>
      <c r="H8335" s="10" t="n">
        <v>4992</v>
      </c>
      <c r="I8335" s="10" t="n">
        <v>1015</v>
      </c>
      <c r="J8335" s="10" t="n">
        <v>0</v>
      </c>
      <c r="K8335" s="10" t="s">
        <v>20</v>
      </c>
      <c r="L8335" s="11" t="n">
        <v>41033.6363194444</v>
      </c>
      <c r="M8335" s="12" t="s">
        <v>18323</v>
      </c>
      <c r="N8335" s="12" t="s">
        <v>18324</v>
      </c>
      <c r="O8335" s="9" t="str">
        <f aca="false">HYPERLINK("https://pbs.twimg.com/profile_images/787573884778270720/uvVQocUJ_normal.jpg","View")</f>
        <v>View</v>
      </c>
      <c r="P8335" s="10"/>
    </row>
    <row r="8336" customFormat="false" ht="15.75" hidden="false" customHeight="false" outlineLevel="0" collapsed="false">
      <c r="A8336" s="6" t="n">
        <v>43032.2477199074</v>
      </c>
      <c r="B8336" s="7" t="str">
        <f aca="false">HYPERLINK("https://twitter.com/abuTWra","@abuTWra")</f>
        <v>@abuTWra</v>
      </c>
      <c r="C8336" s="8" t="s">
        <v>18325</v>
      </c>
      <c r="D8336" s="8" t="s">
        <v>8538</v>
      </c>
      <c r="E8336" s="9" t="str">
        <f aca="false">HYPERLINK("https://twitter.com/abuTWra/status/922809078191079424","922809078191079424")</f>
        <v>922809078191079424</v>
      </c>
      <c r="F8336" s="10" t="s">
        <v>51</v>
      </c>
      <c r="G8336" s="10" t="n">
        <v>1520</v>
      </c>
      <c r="H8336" s="10" t="n">
        <v>2138</v>
      </c>
      <c r="I8336" s="10" t="n">
        <v>1015</v>
      </c>
      <c r="J8336" s="10" t="n">
        <v>0</v>
      </c>
      <c r="K8336" s="10" t="s">
        <v>20</v>
      </c>
      <c r="L8336" s="11" t="n">
        <v>40579.043287037</v>
      </c>
      <c r="M8336" s="13" t="s">
        <v>18326</v>
      </c>
      <c r="N8336" s="13" t="s">
        <v>18327</v>
      </c>
      <c r="O8336" s="9" t="str">
        <f aca="false">HYPERLINK("https://abs.twimg.com/sticky/default_profile_images/default_profile_normal.png","View")</f>
        <v>View</v>
      </c>
      <c r="P8336" s="10"/>
    </row>
    <row r="8337" customFormat="false" ht="15.75" hidden="false" customHeight="false" outlineLevel="0" collapsed="false">
      <c r="A8337" s="6" t="n">
        <v>43032.2500231482</v>
      </c>
      <c r="B8337" s="7" t="str">
        <f aca="false">HYPERLINK("https://twitter.com/ka_ashe","@ka_ashe")</f>
        <v>@ka_ashe</v>
      </c>
      <c r="C8337" s="8" t="s">
        <v>18328</v>
      </c>
      <c r="D8337" s="8" t="s">
        <v>18329</v>
      </c>
      <c r="E8337" s="9" t="str">
        <f aca="false">HYPERLINK("https://twitter.com/ka_ashe/status/922809913038065664","922809913038065664")</f>
        <v>922809913038065664</v>
      </c>
      <c r="F8337" s="10" t="s">
        <v>18330</v>
      </c>
      <c r="G8337" s="10" t="n">
        <v>2084</v>
      </c>
      <c r="H8337" s="10" t="n">
        <v>5001</v>
      </c>
      <c r="I8337" s="10" t="n">
        <v>0</v>
      </c>
      <c r="J8337" s="10" t="n">
        <v>0</v>
      </c>
      <c r="K8337" s="10" t="s">
        <v>20</v>
      </c>
      <c r="L8337" s="11" t="n">
        <v>41039.194212963</v>
      </c>
      <c r="M8337" s="12" t="s">
        <v>723</v>
      </c>
      <c r="N8337" s="12" t="s">
        <v>18331</v>
      </c>
      <c r="O8337" s="9" t="str">
        <f aca="false">HYPERLINK("https://pbs.twimg.com/profile_images/872524883716186112/ZwWUqqE5_normal.jpg","View")</f>
        <v>View</v>
      </c>
      <c r="P8337" s="10"/>
    </row>
    <row r="8338" customFormat="false" ht="15.75" hidden="false" customHeight="false" outlineLevel="0" collapsed="false">
      <c r="A8338" s="6" t="n">
        <v>43032.2541319444</v>
      </c>
      <c r="B8338" s="7" t="str">
        <f aca="false">HYPERLINK("https://twitter.com/progenyzero","@progenyzero")</f>
        <v>@progenyzero</v>
      </c>
      <c r="C8338" s="8" t="s">
        <v>18332</v>
      </c>
      <c r="D8338" s="8" t="s">
        <v>18333</v>
      </c>
      <c r="E8338" s="9" t="str">
        <f aca="false">HYPERLINK("https://twitter.com/progenyzero/status/922811400992542720","922811400992542720")</f>
        <v>922811400992542720</v>
      </c>
      <c r="F8338" s="10" t="s">
        <v>39</v>
      </c>
      <c r="G8338" s="10" t="n">
        <v>10536</v>
      </c>
      <c r="H8338" s="10" t="n">
        <v>9076</v>
      </c>
      <c r="I8338" s="10" t="n">
        <v>3</v>
      </c>
      <c r="J8338" s="10" t="n">
        <v>0</v>
      </c>
      <c r="K8338" s="10" t="s">
        <v>20</v>
      </c>
      <c r="L8338" s="11" t="n">
        <v>42801.7926736111</v>
      </c>
      <c r="M8338" s="12" t="s">
        <v>7740</v>
      </c>
      <c r="N8338" s="12" t="s">
        <v>18334</v>
      </c>
      <c r="O8338" s="9" t="str">
        <f aca="false">HYPERLINK("https://pbs.twimg.com/profile_images/905991846467297280/XlOQjDZw_normal.jpg","View")</f>
        <v>View</v>
      </c>
      <c r="P8338" s="10"/>
    </row>
    <row r="8339" customFormat="false" ht="15.75" hidden="false" customHeight="false" outlineLevel="0" collapsed="false">
      <c r="A8339" s="6" t="n">
        <v>43032.2551967593</v>
      </c>
      <c r="B8339" s="7" t="str">
        <f aca="false">HYPERLINK("https://twitter.com/MaryMhc1988","@MaryMhc1988")</f>
        <v>@MaryMhc1988</v>
      </c>
      <c r="C8339" s="8" t="s">
        <v>18335</v>
      </c>
      <c r="D8339" s="8" t="s">
        <v>16929</v>
      </c>
      <c r="E8339" s="9" t="str">
        <f aca="false">HYPERLINK("https://twitter.com/MaryMhc1988/status/922811784658018305","922811784658018305")</f>
        <v>922811784658018305</v>
      </c>
      <c r="F8339" s="10" t="s">
        <v>51</v>
      </c>
      <c r="G8339" s="10" t="n">
        <v>622</v>
      </c>
      <c r="H8339" s="10" t="n">
        <v>1186</v>
      </c>
      <c r="I8339" s="10" t="n">
        <v>247</v>
      </c>
      <c r="J8339" s="10" t="n">
        <v>0</v>
      </c>
      <c r="K8339" s="10" t="s">
        <v>20</v>
      </c>
      <c r="L8339" s="11" t="n">
        <v>41993.9300347222</v>
      </c>
      <c r="M8339" s="12" t="s">
        <v>230</v>
      </c>
      <c r="N8339" s="12" t="s">
        <v>18336</v>
      </c>
      <c r="O8339" s="9" t="str">
        <f aca="false">HYPERLINK("https://pbs.twimg.com/profile_images/914250264902635520/xeFCa2mX_normal.jpg","View")</f>
        <v>View</v>
      </c>
      <c r="P8339" s="10"/>
    </row>
    <row r="8340" customFormat="false" ht="15.75" hidden="false" customHeight="false" outlineLevel="0" collapsed="false">
      <c r="A8340" s="6" t="n">
        <v>43032.256087963</v>
      </c>
      <c r="B8340" s="7" t="str">
        <f aca="false">HYPERLINK("https://twitter.com/nyagonyago1","@nyagonyago1")</f>
        <v>@nyagonyago1</v>
      </c>
      <c r="C8340" s="8" t="s">
        <v>18337</v>
      </c>
      <c r="D8340" s="8" t="s">
        <v>16929</v>
      </c>
      <c r="E8340" s="9" t="str">
        <f aca="false">HYPERLINK("https://twitter.com/nyagonyago1/status/922812107585863680","922812107585863680")</f>
        <v>922812107585863680</v>
      </c>
      <c r="F8340" s="10" t="s">
        <v>39</v>
      </c>
      <c r="G8340" s="10" t="n">
        <v>1086</v>
      </c>
      <c r="H8340" s="10" t="n">
        <v>649</v>
      </c>
      <c r="I8340" s="10" t="n">
        <v>247</v>
      </c>
      <c r="J8340" s="10" t="n">
        <v>0</v>
      </c>
      <c r="K8340" s="10" t="s">
        <v>20</v>
      </c>
      <c r="L8340" s="11" t="n">
        <v>40710.2626967593</v>
      </c>
      <c r="M8340" s="13" t="s">
        <v>18338</v>
      </c>
      <c r="N8340" s="13" t="s">
        <v>18339</v>
      </c>
      <c r="O8340" s="9" t="str">
        <f aca="false">HYPERLINK("https://pbs.twimg.com/profile_images/474103732695621633/vO5YmZC5_normal.png","View")</f>
        <v>View</v>
      </c>
      <c r="P8340" s="10"/>
    </row>
    <row r="8341" customFormat="false" ht="15.75" hidden="false" customHeight="false" outlineLevel="0" collapsed="false">
      <c r="A8341" s="6" t="n">
        <v>43032.2561574074</v>
      </c>
      <c r="B8341" s="7" t="str">
        <f aca="false">HYPERLINK("https://twitter.com/mariustavi","@mariustavi")</f>
        <v>@mariustavi</v>
      </c>
      <c r="C8341" s="8" t="s">
        <v>18340</v>
      </c>
      <c r="D8341" s="8" t="s">
        <v>18059</v>
      </c>
      <c r="E8341" s="9" t="str">
        <f aca="false">HYPERLINK("https://twitter.com/mariustavi/status/922812134525997056","922812134525997056")</f>
        <v>922812134525997056</v>
      </c>
      <c r="F8341" s="10" t="s">
        <v>39</v>
      </c>
      <c r="G8341" s="10" t="n">
        <v>53</v>
      </c>
      <c r="H8341" s="10" t="n">
        <v>0</v>
      </c>
      <c r="I8341" s="10" t="n">
        <v>5</v>
      </c>
      <c r="J8341" s="10" t="n">
        <v>0</v>
      </c>
      <c r="K8341" s="10" t="s">
        <v>20</v>
      </c>
      <c r="L8341" s="11" t="n">
        <v>40973.0055439815</v>
      </c>
      <c r="M8341" s="12" t="s">
        <v>18341</v>
      </c>
      <c r="N8341" s="12" t="s">
        <v>18342</v>
      </c>
      <c r="O8341" s="9" t="str">
        <f aca="false">HYPERLINK("https://pbs.twimg.com/profile_images/423125567831945216/64ZQt7p1_normal.jpeg","View")</f>
        <v>View</v>
      </c>
      <c r="P8341" s="10"/>
    </row>
    <row r="8342" customFormat="false" ht="15.75" hidden="false" customHeight="false" outlineLevel="0" collapsed="false">
      <c r="A8342" s="6" t="n">
        <v>43032.2565162037</v>
      </c>
      <c r="B8342" s="7" t="str">
        <f aca="false">HYPERLINK("https://twitter.com/BrltKhaos","@BrltKhaos")</f>
        <v>@BrltKhaos</v>
      </c>
      <c r="C8342" s="8" t="s">
        <v>18343</v>
      </c>
      <c r="D8342" s="8" t="s">
        <v>18344</v>
      </c>
      <c r="E8342" s="9" t="str">
        <f aca="false">HYPERLINK("https://twitter.com/BrltKhaos/status/922812262691278849","922812262691278849")</f>
        <v>922812262691278849</v>
      </c>
      <c r="F8342" s="10" t="s">
        <v>25</v>
      </c>
      <c r="G8342" s="10" t="n">
        <v>121</v>
      </c>
      <c r="H8342" s="10" t="n">
        <v>5003</v>
      </c>
      <c r="I8342" s="10" t="n">
        <v>3</v>
      </c>
      <c r="J8342" s="10" t="n">
        <v>0</v>
      </c>
      <c r="K8342" s="10" t="s">
        <v>20</v>
      </c>
      <c r="L8342" s="11" t="n">
        <v>40656.5258564815</v>
      </c>
      <c r="M8342" s="12" t="s">
        <v>18345</v>
      </c>
      <c r="N8342" s="12" t="s">
        <v>18346</v>
      </c>
      <c r="O8342" s="9" t="str">
        <f aca="false">HYPERLINK("https://pbs.twimg.com/profile_images/743335018789888000/v3_C5tJH_normal.jpg","View")</f>
        <v>View</v>
      </c>
      <c r="P8342" s="10"/>
    </row>
    <row r="8343" customFormat="false" ht="15.75" hidden="false" customHeight="false" outlineLevel="0" collapsed="false">
      <c r="A8343" s="6" t="n">
        <v>43032.2570717593</v>
      </c>
      <c r="B8343" s="7" t="str">
        <f aca="false">HYPERLINK("https://twitter.com/prospect_uk","@prospect_uk")</f>
        <v>@prospect_uk</v>
      </c>
      <c r="C8343" s="8" t="s">
        <v>18040</v>
      </c>
      <c r="D8343" s="8" t="s">
        <v>18347</v>
      </c>
      <c r="E8343" s="9" t="str">
        <f aca="false">HYPERLINK("https://twitter.com/prospect_uk/status/922812464500236288","922812464500236288")</f>
        <v>922812464500236288</v>
      </c>
      <c r="F8343" s="10" t="s">
        <v>276</v>
      </c>
      <c r="G8343" s="10" t="n">
        <v>41089</v>
      </c>
      <c r="H8343" s="10" t="n">
        <v>4677</v>
      </c>
      <c r="I8343" s="10" t="n">
        <v>3</v>
      </c>
      <c r="J8343" s="10" t="n">
        <v>0</v>
      </c>
      <c r="K8343" s="10" t="s">
        <v>20</v>
      </c>
      <c r="L8343" s="11" t="n">
        <v>39864.418125</v>
      </c>
      <c r="M8343" s="12" t="s">
        <v>893</v>
      </c>
      <c r="N8343" s="12" t="s">
        <v>18042</v>
      </c>
      <c r="O8343" s="9" t="str">
        <f aca="false">HYPERLINK("https://pbs.twimg.com/profile_images/866635745389367296/P04hHW2R_normal.jpg","View")</f>
        <v>View</v>
      </c>
      <c r="P8343" s="10"/>
    </row>
    <row r="8344" customFormat="false" ht="15.75" hidden="false" customHeight="false" outlineLevel="0" collapsed="false">
      <c r="A8344" s="6" t="n">
        <v>43032.2578587963</v>
      </c>
      <c r="B8344" s="7" t="str">
        <f aca="false">HYPERLINK("https://twitter.com/hisangel4_93","@hisangel4_93")</f>
        <v>@hisangel4_93</v>
      </c>
      <c r="C8344" s="8" t="s">
        <v>18348</v>
      </c>
      <c r="D8344" s="8" t="s">
        <v>18344</v>
      </c>
      <c r="E8344" s="9" t="str">
        <f aca="false">HYPERLINK("https://twitter.com/hisangel4_93/status/922812751289962498","922812751289962498")</f>
        <v>922812751289962498</v>
      </c>
      <c r="F8344" s="10" t="s">
        <v>25</v>
      </c>
      <c r="G8344" s="10" t="n">
        <v>69</v>
      </c>
      <c r="H8344" s="10" t="n">
        <v>5001</v>
      </c>
      <c r="I8344" s="10" t="n">
        <v>3</v>
      </c>
      <c r="J8344" s="10" t="n">
        <v>0</v>
      </c>
      <c r="K8344" s="10" t="s">
        <v>20</v>
      </c>
      <c r="L8344" s="11" t="n">
        <v>40921.7025347222</v>
      </c>
      <c r="M8344" s="12" t="s">
        <v>18349</v>
      </c>
      <c r="N8344" s="12" t="s">
        <v>18350</v>
      </c>
      <c r="O8344" s="9" t="str">
        <f aca="false">HYPERLINK("https://pbs.twimg.com/profile_images/743377379607863296/G6kBP01k_normal.jpg","View")</f>
        <v>View</v>
      </c>
      <c r="P8344" s="10"/>
    </row>
    <row r="8345" customFormat="false" ht="15.75" hidden="false" customHeight="false" outlineLevel="0" collapsed="false">
      <c r="A8345" s="6" t="n">
        <v>43032.2585069445</v>
      </c>
      <c r="B8345" s="7" t="str">
        <f aca="false">HYPERLINK("https://twitter.com/Asso1176","@Asso1176")</f>
        <v>@Asso1176</v>
      </c>
      <c r="C8345" s="8" t="s">
        <v>18351</v>
      </c>
      <c r="D8345" s="8" t="s">
        <v>18344</v>
      </c>
      <c r="E8345" s="9" t="str">
        <f aca="false">HYPERLINK("https://twitter.com/Asso1176/status/922812986045157377","922812986045157377")</f>
        <v>922812986045157377</v>
      </c>
      <c r="F8345" s="10" t="s">
        <v>25</v>
      </c>
      <c r="G8345" s="10" t="n">
        <v>87</v>
      </c>
      <c r="H8345" s="10" t="n">
        <v>4262</v>
      </c>
      <c r="I8345" s="10" t="n">
        <v>3</v>
      </c>
      <c r="J8345" s="10" t="n">
        <v>0</v>
      </c>
      <c r="K8345" s="10" t="s">
        <v>20</v>
      </c>
      <c r="L8345" s="11" t="n">
        <v>41740.0859490741</v>
      </c>
      <c r="M8345" s="12"/>
      <c r="N8345" s="12" t="s">
        <v>18352</v>
      </c>
      <c r="O8345" s="9" t="str">
        <f aca="false">HYPERLINK("https://pbs.twimg.com/profile_images/749331627415920641/NZgYd6_0_normal.jpg","View")</f>
        <v>View</v>
      </c>
      <c r="P8345" s="10"/>
    </row>
    <row r="8346" customFormat="false" ht="15.75" hidden="false" customHeight="false" outlineLevel="0" collapsed="false">
      <c r="A8346" s="6" t="n">
        <v>43032.2608564815</v>
      </c>
      <c r="B8346" s="7" t="str">
        <f aca="false">HYPERLINK("https://twitter.com/Dagixle","@Dagixle")</f>
        <v>@Dagixle</v>
      </c>
      <c r="C8346" s="8" t="s">
        <v>12301</v>
      </c>
      <c r="D8346" s="8" t="s">
        <v>18091</v>
      </c>
      <c r="E8346" s="9" t="str">
        <f aca="false">HYPERLINK("https://twitter.com/Dagixle/status/922813836008329216","922813836008329216")</f>
        <v>922813836008329216</v>
      </c>
      <c r="F8346" s="10" t="s">
        <v>25</v>
      </c>
      <c r="G8346" s="10" t="n">
        <v>186</v>
      </c>
      <c r="H8346" s="10" t="n">
        <v>165</v>
      </c>
      <c r="I8346" s="10" t="n">
        <v>121</v>
      </c>
      <c r="J8346" s="10" t="n">
        <v>0</v>
      </c>
      <c r="K8346" s="10" t="s">
        <v>20</v>
      </c>
      <c r="L8346" s="11" t="n">
        <v>40317.109849537</v>
      </c>
      <c r="M8346" s="12" t="s">
        <v>12302</v>
      </c>
      <c r="N8346" s="12"/>
      <c r="O8346" s="9" t="str">
        <f aca="false">HYPERLINK("https://pbs.twimg.com/profile_images/378800000190235608/627092d09dceec8c7c82011a4e83720c_normal.png","View")</f>
        <v>View</v>
      </c>
      <c r="P8346" s="10"/>
    </row>
    <row r="8347" customFormat="false" ht="15.75" hidden="false" customHeight="false" outlineLevel="0" collapsed="false">
      <c r="A8347" s="6" t="n">
        <v>43032.2615625</v>
      </c>
      <c r="B8347" s="7" t="str">
        <f aca="false">HYPERLINK("https://twitter.com/akinisakura","@akinisakura")</f>
        <v>@akinisakura</v>
      </c>
      <c r="C8347" s="14" t="s">
        <v>18353</v>
      </c>
      <c r="D8347" s="8" t="s">
        <v>17614</v>
      </c>
      <c r="E8347" s="9" t="str">
        <f aca="false">HYPERLINK("https://twitter.com/akinisakura/status/922814091177074689","922814091177074689")</f>
        <v>922814091177074689</v>
      </c>
      <c r="F8347" s="10" t="s">
        <v>51</v>
      </c>
      <c r="G8347" s="10" t="n">
        <v>2144</v>
      </c>
      <c r="H8347" s="10" t="n">
        <v>3865</v>
      </c>
      <c r="I8347" s="10" t="n">
        <v>9</v>
      </c>
      <c r="J8347" s="10" t="n">
        <v>0</v>
      </c>
      <c r="K8347" s="10" t="s">
        <v>20</v>
      </c>
      <c r="L8347" s="11" t="n">
        <v>40209.2915046296</v>
      </c>
      <c r="M8347" s="13" t="s">
        <v>3128</v>
      </c>
      <c r="N8347" s="13" t="s">
        <v>18354</v>
      </c>
      <c r="O8347" s="9" t="str">
        <f aca="false">HYPERLINK("https://pbs.twimg.com/profile_images/827674207353860098/UKydyXs-_normal.jpg","View")</f>
        <v>View</v>
      </c>
      <c r="P8347" s="10"/>
    </row>
    <row r="8348" customFormat="false" ht="15.75" hidden="false" customHeight="false" outlineLevel="0" collapsed="false">
      <c r="A8348" s="6" t="n">
        <v>43032.2652893519</v>
      </c>
      <c r="B8348" s="7" t="str">
        <f aca="false">HYPERLINK("https://twitter.com/anmelos","@anmelos")</f>
        <v>@anmelos</v>
      </c>
      <c r="C8348" s="8" t="s">
        <v>18355</v>
      </c>
      <c r="D8348" s="8" t="s">
        <v>11418</v>
      </c>
      <c r="E8348" s="9" t="str">
        <f aca="false">HYPERLINK("https://twitter.com/anmelos/status/922815444104257536","922815444104257536")</f>
        <v>922815444104257536</v>
      </c>
      <c r="F8348" s="10" t="s">
        <v>51</v>
      </c>
      <c r="G8348" s="10" t="n">
        <v>29503</v>
      </c>
      <c r="H8348" s="10" t="n">
        <v>32531</v>
      </c>
      <c r="I8348" s="10" t="n">
        <v>38</v>
      </c>
      <c r="J8348" s="10" t="n">
        <v>0</v>
      </c>
      <c r="K8348" s="10" t="s">
        <v>20</v>
      </c>
      <c r="L8348" s="11" t="n">
        <v>40260.399537037</v>
      </c>
      <c r="M8348" s="12" t="s">
        <v>18356</v>
      </c>
      <c r="N8348" s="12" t="s">
        <v>18357</v>
      </c>
      <c r="O8348" s="9" t="str">
        <f aca="false">HYPERLINK("https://pbs.twimg.com/profile_images/895938503187365888/p7PegHqN_normal.jpg","View")</f>
        <v>View</v>
      </c>
      <c r="P8348" s="10"/>
    </row>
    <row r="8349" customFormat="false" ht="15.75" hidden="false" customHeight="false" outlineLevel="0" collapsed="false">
      <c r="A8349" s="6" t="n">
        <v>43032.2684953704</v>
      </c>
      <c r="B8349" s="7" t="str">
        <f aca="false">HYPERLINK("https://twitter.com/fredr1234","@fredr1234")</f>
        <v>@fredr1234</v>
      </c>
      <c r="C8349" s="8" t="s">
        <v>18358</v>
      </c>
      <c r="D8349" s="8" t="s">
        <v>16929</v>
      </c>
      <c r="E8349" s="9" t="str">
        <f aca="false">HYPERLINK("https://twitter.com/fredr1234/status/922816605997985795","922816605997985795")</f>
        <v>922816605997985795</v>
      </c>
      <c r="F8349" s="10" t="s">
        <v>51</v>
      </c>
      <c r="G8349" s="10" t="n">
        <v>26</v>
      </c>
      <c r="H8349" s="10" t="n">
        <v>129</v>
      </c>
      <c r="I8349" s="10" t="n">
        <v>247</v>
      </c>
      <c r="J8349" s="10" t="n">
        <v>0</v>
      </c>
      <c r="K8349" s="10" t="s">
        <v>20</v>
      </c>
      <c r="L8349" s="11" t="n">
        <v>39919.4064583333</v>
      </c>
      <c r="M8349" s="12"/>
      <c r="N8349" s="12"/>
      <c r="O8349" s="9" t="str">
        <f aca="false">HYPERLINK("https://abs.twimg.com/sticky/default_profile_images/default_profile_normal.png","View")</f>
        <v>View</v>
      </c>
      <c r="P8349" s="10"/>
    </row>
    <row r="8350" customFormat="false" ht="15.75" hidden="false" customHeight="false" outlineLevel="0" collapsed="false">
      <c r="A8350" s="6" t="n">
        <v>43032.2772800926</v>
      </c>
      <c r="B8350" s="7" t="str">
        <f aca="false">HYPERLINK("https://twitter.com/grammieo","@grammieo")</f>
        <v>@grammieo</v>
      </c>
      <c r="C8350" s="8" t="s">
        <v>18359</v>
      </c>
      <c r="D8350" s="8" t="s">
        <v>10525</v>
      </c>
      <c r="E8350" s="9" t="str">
        <f aca="false">HYPERLINK("https://twitter.com/grammieo/status/922819789185277953","922819789185277953")</f>
        <v>922819789185277953</v>
      </c>
      <c r="F8350" s="10" t="s">
        <v>51</v>
      </c>
      <c r="G8350" s="10" t="n">
        <v>2694</v>
      </c>
      <c r="H8350" s="10" t="n">
        <v>3329</v>
      </c>
      <c r="I8350" s="10" t="n">
        <v>9</v>
      </c>
      <c r="J8350" s="10" t="n">
        <v>0</v>
      </c>
      <c r="K8350" s="10" t="s">
        <v>20</v>
      </c>
      <c r="L8350" s="11" t="n">
        <v>39998.376099537</v>
      </c>
      <c r="M8350" s="12"/>
      <c r="N8350" s="12" t="s">
        <v>18360</v>
      </c>
      <c r="O8350" s="9" t="str">
        <f aca="false">HYPERLINK("https://pbs.twimg.com/profile_images/463719695309209600/jvtQacIM_normal.jpeg","View")</f>
        <v>View</v>
      </c>
      <c r="P8350" s="10"/>
    </row>
    <row r="8351" customFormat="false" ht="15.75" hidden="false" customHeight="false" outlineLevel="0" collapsed="false">
      <c r="A8351" s="6" t="n">
        <v>43032.2827893519</v>
      </c>
      <c r="B8351" s="7" t="str">
        <f aca="false">HYPERLINK("https://twitter.com/AttackOnLunatic","@AttackOnLunatic")</f>
        <v>@AttackOnLunatic</v>
      </c>
      <c r="C8351" s="14" t="s">
        <v>18361</v>
      </c>
      <c r="D8351" s="8" t="s">
        <v>15547</v>
      </c>
      <c r="E8351" s="9" t="str">
        <f aca="false">HYPERLINK("https://twitter.com/AttackOnLunatic/status/922821784214241280","922821784214241280")</f>
        <v>922821784214241280</v>
      </c>
      <c r="F8351" s="10" t="s">
        <v>39</v>
      </c>
      <c r="G8351" s="10" t="n">
        <v>465</v>
      </c>
      <c r="H8351" s="10" t="n">
        <v>479</v>
      </c>
      <c r="I8351" s="10" t="n">
        <v>6</v>
      </c>
      <c r="J8351" s="10" t="n">
        <v>0</v>
      </c>
      <c r="K8351" s="10" t="s">
        <v>20</v>
      </c>
      <c r="L8351" s="11" t="n">
        <v>41888.2639351852</v>
      </c>
      <c r="M8351" s="12" t="s">
        <v>574</v>
      </c>
      <c r="N8351" s="13" t="s">
        <v>18362</v>
      </c>
      <c r="O8351" s="9" t="str">
        <f aca="false">HYPERLINK("https://pbs.twimg.com/profile_images/561757510885838849/igwGieeC_normal.jpeg","View")</f>
        <v>View</v>
      </c>
      <c r="P8351" s="10"/>
    </row>
    <row r="8352" customFormat="false" ht="15.75" hidden="false" customHeight="false" outlineLevel="0" collapsed="false">
      <c r="A8352" s="6" t="n">
        <v>43032.2860069444</v>
      </c>
      <c r="B8352" s="7" t="str">
        <f aca="false">HYPERLINK("https://twitter.com/turatsinze_p","@turatsinze_p")</f>
        <v>@turatsinze_p</v>
      </c>
      <c r="C8352" s="8" t="s">
        <v>18363</v>
      </c>
      <c r="D8352" s="8" t="s">
        <v>17978</v>
      </c>
      <c r="E8352" s="9" t="str">
        <f aca="false">HYPERLINK("https://twitter.com/turatsinze_p/status/922822951342292994","922822951342292994")</f>
        <v>922822951342292994</v>
      </c>
      <c r="F8352" s="10" t="s">
        <v>51</v>
      </c>
      <c r="G8352" s="10" t="n">
        <v>272</v>
      </c>
      <c r="H8352" s="10" t="n">
        <v>987</v>
      </c>
      <c r="I8352" s="10" t="n">
        <v>12</v>
      </c>
      <c r="J8352" s="10" t="n">
        <v>0</v>
      </c>
      <c r="K8352" s="10" t="s">
        <v>20</v>
      </c>
      <c r="L8352" s="11" t="n">
        <v>40618.1383217593</v>
      </c>
      <c r="M8352" s="12" t="s">
        <v>18364</v>
      </c>
      <c r="N8352" s="12" t="s">
        <v>18365</v>
      </c>
      <c r="O8352" s="9" t="str">
        <f aca="false">HYPERLINK("https://pbs.twimg.com/profile_images/865168738437406720/kwJxcwhM_normal.jpg","View")</f>
        <v>View</v>
      </c>
      <c r="P8352" s="10"/>
    </row>
    <row r="8353" customFormat="false" ht="15.75" hidden="false" customHeight="false" outlineLevel="0" collapsed="false">
      <c r="A8353" s="6" t="n">
        <v>43032.2866319444</v>
      </c>
      <c r="B8353" s="7" t="str">
        <f aca="false">HYPERLINK("https://twitter.com/DrMarkPBarry","@DrMarkPBarry")</f>
        <v>@DrMarkPBarry</v>
      </c>
      <c r="C8353" s="8" t="s">
        <v>9985</v>
      </c>
      <c r="D8353" s="8" t="s">
        <v>18366</v>
      </c>
      <c r="E8353" s="9" t="str">
        <f aca="false">HYPERLINK("https://twitter.com/DrMarkPBarry/status/922823175934824448","922823175934824448")</f>
        <v>922823175934824448</v>
      </c>
      <c r="F8353" s="10" t="s">
        <v>9853</v>
      </c>
      <c r="G8353" s="10" t="n">
        <v>1306</v>
      </c>
      <c r="H8353" s="10" t="n">
        <v>90</v>
      </c>
      <c r="I8353" s="10" t="n">
        <v>1</v>
      </c>
      <c r="J8353" s="10" t="n">
        <v>1</v>
      </c>
      <c r="K8353" s="10" t="s">
        <v>20</v>
      </c>
      <c r="L8353" s="11" t="n">
        <v>40123.5622569445</v>
      </c>
      <c r="M8353" s="12" t="s">
        <v>9987</v>
      </c>
      <c r="N8353" s="12" t="s">
        <v>9988</v>
      </c>
      <c r="O8353" s="9" t="str">
        <f aca="false">HYPERLINK("https://pbs.twimg.com/profile_images/870119932348030976/hfZcyeqs_normal.jpg","View")</f>
        <v>View</v>
      </c>
      <c r="P8353" s="10"/>
    </row>
    <row r="8354" customFormat="false" ht="15.75" hidden="false" customHeight="false" outlineLevel="0" collapsed="false">
      <c r="A8354" s="6" t="n">
        <v>43032.2883333333</v>
      </c>
      <c r="B8354" s="7" t="str">
        <f aca="false">HYPERLINK("https://twitter.com/Google_MyStyle","@Google_MyStyle")</f>
        <v>@Google_MyStyle</v>
      </c>
      <c r="C8354" s="7" t="s">
        <v>18367</v>
      </c>
      <c r="D8354" s="8" t="s">
        <v>13595</v>
      </c>
      <c r="E8354" s="9" t="str">
        <f aca="false">HYPERLINK("https://twitter.com/Google_MyStyle/status/922823792442748928","922823792442748928")</f>
        <v>922823792442748928</v>
      </c>
      <c r="F8354" s="10" t="s">
        <v>39</v>
      </c>
      <c r="G8354" s="10" t="n">
        <v>3385</v>
      </c>
      <c r="H8354" s="10" t="n">
        <v>4992</v>
      </c>
      <c r="I8354" s="10" t="n">
        <v>88</v>
      </c>
      <c r="J8354" s="10" t="n">
        <v>0</v>
      </c>
      <c r="K8354" s="10" t="s">
        <v>20</v>
      </c>
      <c r="L8354" s="11" t="n">
        <v>39884.8030902778</v>
      </c>
      <c r="M8354" s="12" t="s">
        <v>18368</v>
      </c>
      <c r="N8354" s="12" t="s">
        <v>18369</v>
      </c>
      <c r="O8354" s="9" t="str">
        <f aca="false">HYPERLINK("https://pbs.twimg.com/profile_images/918564992672083968/1TCWEPNd_normal.jpg","View")</f>
        <v>View</v>
      </c>
      <c r="P8354" s="10"/>
    </row>
    <row r="8355" customFormat="false" ht="15.75" hidden="false" customHeight="false" outlineLevel="0" collapsed="false">
      <c r="A8355" s="6" t="n">
        <v>43032.2891435185</v>
      </c>
      <c r="B8355" s="7" t="str">
        <f aca="false">HYPERLINK("https://twitter.com/Viatcheslavsos3","@Viatcheslavsos3")</f>
        <v>@Viatcheslavsos3</v>
      </c>
      <c r="C8355" s="8" t="s">
        <v>15688</v>
      </c>
      <c r="D8355" s="8" t="s">
        <v>18370</v>
      </c>
      <c r="E8355" s="9" t="str">
        <f aca="false">HYPERLINK("https://twitter.com/Viatcheslavsos3/status/922824088107622400","922824088107622400")</f>
        <v>922824088107622400</v>
      </c>
      <c r="F8355" s="10" t="s">
        <v>51</v>
      </c>
      <c r="G8355" s="10" t="n">
        <v>1479</v>
      </c>
      <c r="H8355" s="10" t="n">
        <v>1167</v>
      </c>
      <c r="I8355" s="10" t="n">
        <v>1</v>
      </c>
      <c r="J8355" s="10" t="n">
        <v>0</v>
      </c>
      <c r="K8355" s="10" t="s">
        <v>20</v>
      </c>
      <c r="L8355" s="11" t="n">
        <v>42455.3084837963</v>
      </c>
      <c r="M8355" s="12" t="s">
        <v>15690</v>
      </c>
      <c r="N8355" s="12" t="s">
        <v>15691</v>
      </c>
      <c r="O8355" s="9" t="str">
        <f aca="false">HYPERLINK("https://pbs.twimg.com/profile_images/767114057715515392/Oyj2TTGL_normal.jpg","View")</f>
        <v>View</v>
      </c>
      <c r="P8355" s="10"/>
    </row>
    <row r="8356" customFormat="false" ht="15.75" hidden="false" customHeight="false" outlineLevel="0" collapsed="false">
      <c r="A8356" s="6" t="n">
        <v>43032.2930671296</v>
      </c>
      <c r="B8356" s="7" t="str">
        <f aca="false">HYPERLINK("https://twitter.com/mabooali","@mabooali")</f>
        <v>@mabooali</v>
      </c>
      <c r="C8356" s="8" t="s">
        <v>18371</v>
      </c>
      <c r="D8356" s="8" t="s">
        <v>16929</v>
      </c>
      <c r="E8356" s="9" t="str">
        <f aca="false">HYPERLINK("https://twitter.com/mabooali/status/922825509003780096","922825509003780096")</f>
        <v>922825509003780096</v>
      </c>
      <c r="F8356" s="10" t="s">
        <v>39</v>
      </c>
      <c r="G8356" s="10" t="n">
        <v>110</v>
      </c>
      <c r="H8356" s="10" t="n">
        <v>291</v>
      </c>
      <c r="I8356" s="10" t="n">
        <v>247</v>
      </c>
      <c r="J8356" s="10" t="n">
        <v>0</v>
      </c>
      <c r="K8356" s="10" t="s">
        <v>20</v>
      </c>
      <c r="L8356" s="11" t="n">
        <v>39980.4942013889</v>
      </c>
      <c r="M8356" s="12" t="s">
        <v>18372</v>
      </c>
      <c r="N8356" s="12" t="s">
        <v>18373</v>
      </c>
      <c r="O8356" s="9" t="str">
        <f aca="false">HYPERLINK("https://pbs.twimg.com/profile_images/427646716494364672/W5VeeC7U_normal.jpeg","View")</f>
        <v>View</v>
      </c>
      <c r="P8356" s="10"/>
    </row>
    <row r="8357" customFormat="false" ht="15.75" hidden="false" customHeight="false" outlineLevel="0" collapsed="false">
      <c r="A8357" s="6" t="n">
        <v>43032.2946412037</v>
      </c>
      <c r="B8357" s="7" t="str">
        <f aca="false">HYPERLINK("https://twitter.com/WeLuvYouMcCain","@WeLuvYouMcCain")</f>
        <v>@WeLuvYouMcCain</v>
      </c>
      <c r="C8357" s="8" t="s">
        <v>16924</v>
      </c>
      <c r="D8357" s="8" t="s">
        <v>16929</v>
      </c>
      <c r="E8357" s="9" t="str">
        <f aca="false">HYPERLINK("https://twitter.com/WeLuvYouMcCain/status/922826081492758528","922826081492758528")</f>
        <v>922826081492758528</v>
      </c>
      <c r="F8357" s="10" t="s">
        <v>39</v>
      </c>
      <c r="G8357" s="10" t="n">
        <v>20</v>
      </c>
      <c r="H8357" s="10" t="n">
        <v>146</v>
      </c>
      <c r="I8357" s="10" t="n">
        <v>247</v>
      </c>
      <c r="J8357" s="10" t="n">
        <v>0</v>
      </c>
      <c r="K8357" s="10" t="s">
        <v>20</v>
      </c>
      <c r="L8357" s="11" t="n">
        <v>42939.6834837963</v>
      </c>
      <c r="M8357" s="12"/>
      <c r="N8357" s="12" t="s">
        <v>18374</v>
      </c>
      <c r="O8357" s="9" t="str">
        <f aca="false">HYPERLINK("https://pbs.twimg.com/profile_images/894651615411666948/jFkVM2Sc_normal.jpg","View")</f>
        <v>View</v>
      </c>
      <c r="P8357" s="10"/>
    </row>
    <row r="8358" customFormat="false" ht="15.75" hidden="false" customHeight="false" outlineLevel="0" collapsed="false">
      <c r="A8358" s="6" t="n">
        <v>43032.2947222222</v>
      </c>
      <c r="B8358" s="7" t="str">
        <f aca="false">HYPERLINK("https://twitter.com/holly_hodkinson","@holly_hodkinson")</f>
        <v>@holly_hodkinson</v>
      </c>
      <c r="C8358" s="8" t="s">
        <v>18375</v>
      </c>
      <c r="D8358" s="8" t="s">
        <v>16929</v>
      </c>
      <c r="E8358" s="9" t="str">
        <f aca="false">HYPERLINK("https://twitter.com/holly_hodkinson/status/922826109682700288","922826109682700288")</f>
        <v>922826109682700288</v>
      </c>
      <c r="F8358" s="10" t="s">
        <v>51</v>
      </c>
      <c r="G8358" s="10" t="n">
        <v>98</v>
      </c>
      <c r="H8358" s="10" t="n">
        <v>390</v>
      </c>
      <c r="I8358" s="10" t="n">
        <v>247</v>
      </c>
      <c r="J8358" s="10" t="n">
        <v>0</v>
      </c>
      <c r="K8358" s="10" t="s">
        <v>20</v>
      </c>
      <c r="L8358" s="11" t="n">
        <v>42918.5925810185</v>
      </c>
      <c r="M8358" s="12" t="s">
        <v>9034</v>
      </c>
      <c r="N8358" s="12" t="s">
        <v>18376</v>
      </c>
      <c r="O8358" s="9" t="str">
        <f aca="false">HYPERLINK("https://pbs.twimg.com/profile_images/922651538040016898/g053NFaG_normal.jpg","View")</f>
        <v>View</v>
      </c>
      <c r="P8358" s="10"/>
    </row>
    <row r="8359" customFormat="false" ht="15.75" hidden="false" customHeight="false" outlineLevel="0" collapsed="false">
      <c r="A8359" s="6" t="n">
        <v>43032.2968518519</v>
      </c>
      <c r="B8359" s="7" t="str">
        <f aca="false">HYPERLINK("https://twitter.com/YourAnonRevolt","@YourAnonRevolt")</f>
        <v>@YourAnonRevolt</v>
      </c>
      <c r="C8359" s="8" t="s">
        <v>2284</v>
      </c>
      <c r="D8359" s="8" t="s">
        <v>17880</v>
      </c>
      <c r="E8359" s="9" t="str">
        <f aca="false">HYPERLINK("https://twitter.com/YourAnonRevolt/status/922826879945412609","922826879945412609")</f>
        <v>922826879945412609</v>
      </c>
      <c r="F8359" s="10" t="s">
        <v>39</v>
      </c>
      <c r="G8359" s="10" t="n">
        <v>11181</v>
      </c>
      <c r="H8359" s="10" t="n">
        <v>4106</v>
      </c>
      <c r="I8359" s="10" t="n">
        <v>27</v>
      </c>
      <c r="J8359" s="10" t="n">
        <v>0</v>
      </c>
      <c r="K8359" s="10" t="s">
        <v>20</v>
      </c>
      <c r="L8359" s="11" t="n">
        <v>42478.1002199074</v>
      </c>
      <c r="M8359" s="12" t="s">
        <v>2285</v>
      </c>
      <c r="N8359" s="12" t="s">
        <v>2286</v>
      </c>
      <c r="O8359" s="9" t="str">
        <f aca="false">HYPERLINK("https://pbs.twimg.com/profile_images/881398153030713344/FN9uhI_M_normal.jpg","View")</f>
        <v>View</v>
      </c>
      <c r="P8359" s="10"/>
    </row>
    <row r="8360" customFormat="false" ht="15.75" hidden="false" customHeight="false" outlineLevel="0" collapsed="false">
      <c r="A8360" s="6" t="n">
        <v>43032.3059722222</v>
      </c>
      <c r="B8360" s="7" t="str">
        <f aca="false">HYPERLINK("https://twitter.com/The_Oilholic","@The_Oilholic")</f>
        <v>@The_Oilholic</v>
      </c>
      <c r="C8360" s="8" t="s">
        <v>3238</v>
      </c>
      <c r="D8360" s="8" t="s">
        <v>18377</v>
      </c>
      <c r="E8360" s="9" t="str">
        <f aca="false">HYPERLINK("https://twitter.com/The_Oilholic/status/922830186659192832","922830186659192832")</f>
        <v>922830186659192832</v>
      </c>
      <c r="F8360" s="10" t="s">
        <v>39</v>
      </c>
      <c r="G8360" s="10" t="n">
        <v>1441</v>
      </c>
      <c r="H8360" s="10" t="n">
        <v>397</v>
      </c>
      <c r="I8360" s="10" t="n">
        <v>1</v>
      </c>
      <c r="J8360" s="10" t="n">
        <v>1</v>
      </c>
      <c r="K8360" s="10" t="s">
        <v>20</v>
      </c>
      <c r="L8360" s="11" t="n">
        <v>41294.2786921296</v>
      </c>
      <c r="M8360" s="12" t="s">
        <v>1319</v>
      </c>
      <c r="N8360" s="12" t="s">
        <v>3240</v>
      </c>
      <c r="O8360" s="9" t="str">
        <f aca="false">HYPERLINK("https://pbs.twimg.com/profile_images/3134162476/fb23f37c3859e1adc0e8bd5b8961908e_normal.jpeg","View")</f>
        <v>View</v>
      </c>
      <c r="P8360" s="10"/>
    </row>
    <row r="8361" customFormat="false" ht="15.75" hidden="false" customHeight="false" outlineLevel="0" collapsed="false">
      <c r="A8361" s="6" t="n">
        <v>43032.307974537</v>
      </c>
      <c r="B8361" s="7" t="str">
        <f aca="false">HYPERLINK("https://twitter.com/IBTimesUKBiz","@IBTimesUKBiz")</f>
        <v>@IBTimesUKBiz</v>
      </c>
      <c r="C8361" s="8" t="s">
        <v>3463</v>
      </c>
      <c r="D8361" s="8" t="s">
        <v>18378</v>
      </c>
      <c r="E8361" s="9" t="str">
        <f aca="false">HYPERLINK("https://twitter.com/IBTimesUKBiz/status/922830910843580416","922830910843580416")</f>
        <v>922830910843580416</v>
      </c>
      <c r="F8361" s="10" t="s">
        <v>39</v>
      </c>
      <c r="G8361" s="10" t="n">
        <v>1667</v>
      </c>
      <c r="H8361" s="10" t="n">
        <v>228</v>
      </c>
      <c r="I8361" s="10" t="n">
        <v>1</v>
      </c>
      <c r="J8361" s="10" t="n">
        <v>0</v>
      </c>
      <c r="K8361" s="10" t="s">
        <v>20</v>
      </c>
      <c r="L8361" s="11" t="n">
        <v>41032.2300462963</v>
      </c>
      <c r="M8361" s="12" t="s">
        <v>893</v>
      </c>
      <c r="N8361" s="12" t="s">
        <v>3465</v>
      </c>
      <c r="O8361" s="9" t="str">
        <f aca="false">HYPERLINK("https://pbs.twimg.com/profile_images/696672865291259904/fRobKsFo_normal.jpg","View")</f>
        <v>View</v>
      </c>
      <c r="P8361" s="10"/>
    </row>
    <row r="8362" customFormat="false" ht="15.75" hidden="false" customHeight="false" outlineLevel="0" collapsed="false">
      <c r="A8362" s="6" t="n">
        <v>43032.3096990741</v>
      </c>
      <c r="B8362" s="7" t="str">
        <f aca="false">HYPERLINK("https://twitter.com/IBTimesUKBiz","@IBTimesUKBiz")</f>
        <v>@IBTimesUKBiz</v>
      </c>
      <c r="C8362" s="8" t="s">
        <v>3463</v>
      </c>
      <c r="D8362" s="8" t="s">
        <v>18379</v>
      </c>
      <c r="E8362" s="9" t="str">
        <f aca="false">HYPERLINK("https://twitter.com/IBTimesUKBiz/status/922831535228665857","922831535228665857")</f>
        <v>922831535228665857</v>
      </c>
      <c r="F8362" s="10" t="s">
        <v>39</v>
      </c>
      <c r="G8362" s="10" t="n">
        <v>1667</v>
      </c>
      <c r="H8362" s="10" t="n">
        <v>228</v>
      </c>
      <c r="I8362" s="10" t="n">
        <v>0</v>
      </c>
      <c r="J8362" s="10" t="n">
        <v>0</v>
      </c>
      <c r="K8362" s="10" t="s">
        <v>20</v>
      </c>
      <c r="L8362" s="11" t="n">
        <v>41032.2300462963</v>
      </c>
      <c r="M8362" s="12" t="s">
        <v>893</v>
      </c>
      <c r="N8362" s="12" t="s">
        <v>3465</v>
      </c>
      <c r="O8362" s="9" t="str">
        <f aca="false">HYPERLINK("https://pbs.twimg.com/profile_images/696672865291259904/fRobKsFo_normal.jpg","View")</f>
        <v>View</v>
      </c>
      <c r="P8362" s="10"/>
    </row>
    <row r="8363" customFormat="false" ht="15.75" hidden="false" customHeight="false" outlineLevel="0" collapsed="false">
      <c r="A8363" s="6" t="n">
        <v>43032.31625</v>
      </c>
      <c r="B8363" s="7" t="str">
        <f aca="false">HYPERLINK("https://twitter.com/vikas28feb","@vikas28feb")</f>
        <v>@vikas28feb</v>
      </c>
      <c r="C8363" s="8" t="s">
        <v>18380</v>
      </c>
      <c r="D8363" s="8" t="s">
        <v>8538</v>
      </c>
      <c r="E8363" s="9" t="str">
        <f aca="false">HYPERLINK("https://twitter.com/vikas28feb/status/922833911922741250","922833911922741250")</f>
        <v>922833911922741250</v>
      </c>
      <c r="F8363" s="10" t="s">
        <v>25</v>
      </c>
      <c r="G8363" s="10" t="n">
        <v>42</v>
      </c>
      <c r="H8363" s="10" t="n">
        <v>61</v>
      </c>
      <c r="I8363" s="10" t="n">
        <v>1015</v>
      </c>
      <c r="J8363" s="10" t="n">
        <v>0</v>
      </c>
      <c r="K8363" s="10" t="s">
        <v>20</v>
      </c>
      <c r="L8363" s="11" t="n">
        <v>41436.3368287037</v>
      </c>
      <c r="M8363" s="12"/>
      <c r="N8363" s="12" t="s">
        <v>18381</v>
      </c>
      <c r="O8363" s="9" t="str">
        <f aca="false">HYPERLINK("https://pbs.twimg.com/profile_images/378800000045249063/58faa9f538713110e4d8c68cb30a49d1_normal.jpeg","View")</f>
        <v>View</v>
      </c>
      <c r="P8363" s="10"/>
    </row>
    <row r="8364" customFormat="false" ht="15.75" hidden="false" customHeight="false" outlineLevel="0" collapsed="false">
      <c r="A8364" s="6" t="n">
        <v>43032.3166666667</v>
      </c>
      <c r="B8364" s="7" t="str">
        <f aca="false">HYPERLINK("https://twitter.com/HRS_Chirashi","@HRS_Chirashi")</f>
        <v>@HRS_Chirashi</v>
      </c>
      <c r="C8364" s="8" t="s">
        <v>15693</v>
      </c>
      <c r="D8364" s="8" t="s">
        <v>15821</v>
      </c>
      <c r="E8364" s="9" t="str">
        <f aca="false">HYPERLINK("https://twitter.com/HRS_Chirashi/status/922834062531731456","922834062531731456")</f>
        <v>922834062531731456</v>
      </c>
      <c r="F8364" s="10" t="s">
        <v>25</v>
      </c>
      <c r="G8364" s="10" t="n">
        <v>1222</v>
      </c>
      <c r="H8364" s="10" t="n">
        <v>1244</v>
      </c>
      <c r="I8364" s="10" t="n">
        <v>41</v>
      </c>
      <c r="J8364" s="10" t="n">
        <v>0</v>
      </c>
      <c r="K8364" s="10" t="s">
        <v>20</v>
      </c>
      <c r="L8364" s="11" t="n">
        <v>40029.3420486111</v>
      </c>
      <c r="M8364" s="12" t="s">
        <v>15695</v>
      </c>
      <c r="N8364" s="13" t="s">
        <v>15696</v>
      </c>
      <c r="O8364" s="9" t="str">
        <f aca="false">HYPERLINK("https://pbs.twimg.com/profile_images/378800000272187364/67bb2b8fd54e743b3f0f5a1d0ff03ea6_normal.jpeg","View")</f>
        <v>View</v>
      </c>
      <c r="P8364" s="10"/>
    </row>
    <row r="8365" customFormat="false" ht="15.75" hidden="false" customHeight="false" outlineLevel="0" collapsed="false">
      <c r="A8365" s="6" t="n">
        <v>43032.3193865741</v>
      </c>
      <c r="B8365" s="7" t="str">
        <f aca="false">HYPERLINK("https://twitter.com/NewswithRachel","@NewswithRachel")</f>
        <v>@NewswithRachel</v>
      </c>
      <c r="C8365" s="8" t="s">
        <v>9373</v>
      </c>
      <c r="D8365" s="8" t="s">
        <v>18382</v>
      </c>
      <c r="E8365" s="9" t="str">
        <f aca="false">HYPERLINK("https://twitter.com/NewswithRachel/status/922835049107648512","922835049107648512")</f>
        <v>922835049107648512</v>
      </c>
      <c r="F8365" s="10" t="s">
        <v>39</v>
      </c>
      <c r="G8365" s="10" t="n">
        <v>452</v>
      </c>
      <c r="H8365" s="10" t="n">
        <v>590</v>
      </c>
      <c r="I8365" s="10" t="n">
        <v>0</v>
      </c>
      <c r="J8365" s="10" t="n">
        <v>0</v>
      </c>
      <c r="K8365" s="10" t="s">
        <v>20</v>
      </c>
      <c r="L8365" s="11" t="n">
        <v>42227.7586458333</v>
      </c>
      <c r="M8365" s="12" t="s">
        <v>9375</v>
      </c>
      <c r="N8365" s="12" t="s">
        <v>9376</v>
      </c>
      <c r="O8365" s="9" t="str">
        <f aca="false">HYPERLINK("https://pbs.twimg.com/profile_images/727693302301077504/3C-r_XGm_normal.jpg","View")</f>
        <v>View</v>
      </c>
      <c r="P8365" s="10"/>
    </row>
    <row r="8366" customFormat="false" ht="15.75" hidden="false" customHeight="false" outlineLevel="0" collapsed="false">
      <c r="A8366" s="6" t="n">
        <v>43032.3195601852</v>
      </c>
      <c r="B8366" s="7" t="str">
        <f aca="false">HYPERLINK("https://twitter.com/prasannavishy","@prasannavishy")</f>
        <v>@prasannavishy</v>
      </c>
      <c r="C8366" s="8" t="s">
        <v>18383</v>
      </c>
      <c r="D8366" s="8" t="s">
        <v>8538</v>
      </c>
      <c r="E8366" s="9" t="str">
        <f aca="false">HYPERLINK("https://twitter.com/prasannavishy/status/922835110717677568","922835110717677568")</f>
        <v>922835110717677568</v>
      </c>
      <c r="F8366" s="10" t="s">
        <v>51</v>
      </c>
      <c r="G8366" s="10" t="n">
        <v>67909</v>
      </c>
      <c r="H8366" s="10" t="n">
        <v>3567</v>
      </c>
      <c r="I8366" s="10" t="n">
        <v>1015</v>
      </c>
      <c r="J8366" s="10" t="n">
        <v>0</v>
      </c>
      <c r="K8366" s="10" t="s">
        <v>20</v>
      </c>
      <c r="L8366" s="11" t="n">
        <v>39909.9755555556</v>
      </c>
      <c r="M8366" s="12" t="s">
        <v>18384</v>
      </c>
      <c r="N8366" s="12" t="s">
        <v>18385</v>
      </c>
      <c r="O8366" s="9" t="str">
        <f aca="false">HYPERLINK("https://pbs.twimg.com/profile_images/693270265623506944/rl_ql9-7_normal.jpg","View")</f>
        <v>View</v>
      </c>
      <c r="P8366" s="10"/>
    </row>
    <row r="8367" customFormat="false" ht="15.75" hidden="false" customHeight="false" outlineLevel="0" collapsed="false">
      <c r="A8367" s="6" t="n">
        <v>43032.3200115741</v>
      </c>
      <c r="B8367" s="7" t="str">
        <f aca="false">HYPERLINK("https://twitter.com/ChweeneyTodd","@ChweeneyTodd")</f>
        <v>@ChweeneyTodd</v>
      </c>
      <c r="C8367" s="8" t="s">
        <v>7043</v>
      </c>
      <c r="D8367" s="8" t="s">
        <v>8538</v>
      </c>
      <c r="E8367" s="9" t="str">
        <f aca="false">HYPERLINK("https://twitter.com/ChweeneyTodd/status/922835274031284225","922835274031284225")</f>
        <v>922835274031284225</v>
      </c>
      <c r="F8367" s="10" t="s">
        <v>1017</v>
      </c>
      <c r="G8367" s="10" t="n">
        <v>306</v>
      </c>
      <c r="H8367" s="10" t="n">
        <v>55</v>
      </c>
      <c r="I8367" s="10" t="n">
        <v>1015</v>
      </c>
      <c r="J8367" s="10" t="n">
        <v>0</v>
      </c>
      <c r="K8367" s="10" t="s">
        <v>20</v>
      </c>
      <c r="L8367" s="11" t="n">
        <v>41910.9682060185</v>
      </c>
      <c r="M8367" s="12" t="s">
        <v>72</v>
      </c>
      <c r="N8367" s="12" t="s">
        <v>7044</v>
      </c>
      <c r="O8367" s="9" t="str">
        <f aca="false">HYPERLINK("https://pbs.twimg.com/profile_images/857184496453550080/jD0-MW2T_normal.jpg","View")</f>
        <v>View</v>
      </c>
      <c r="P8367" s="10"/>
    </row>
    <row r="8368" customFormat="false" ht="15.75" hidden="false" customHeight="false" outlineLevel="0" collapsed="false">
      <c r="A8368" s="6" t="n">
        <v>43032.3200810185</v>
      </c>
      <c r="B8368" s="7" t="str">
        <f aca="false">HYPERLINK("https://twitter.com/vidya_05","@vidya_05")</f>
        <v>@vidya_05</v>
      </c>
      <c r="C8368" s="8" t="s">
        <v>18386</v>
      </c>
      <c r="D8368" s="8" t="s">
        <v>8538</v>
      </c>
      <c r="E8368" s="9" t="str">
        <f aca="false">HYPERLINK("https://twitter.com/vidya_05/status/922835298110676992","922835298110676992")</f>
        <v>922835298110676992</v>
      </c>
      <c r="F8368" s="10" t="s">
        <v>25</v>
      </c>
      <c r="G8368" s="10" t="n">
        <v>23469</v>
      </c>
      <c r="H8368" s="10" t="n">
        <v>2142</v>
      </c>
      <c r="I8368" s="10" t="n">
        <v>1015</v>
      </c>
      <c r="J8368" s="10" t="n">
        <v>0</v>
      </c>
      <c r="K8368" s="10" t="s">
        <v>20</v>
      </c>
      <c r="L8368" s="11" t="n">
        <v>41411.9778819445</v>
      </c>
      <c r="M8368" s="12" t="s">
        <v>18387</v>
      </c>
      <c r="N8368" s="12" t="s">
        <v>18388</v>
      </c>
      <c r="O8368" s="9" t="str">
        <f aca="false">HYPERLINK("https://pbs.twimg.com/profile_images/859125901619081216/Y_X5HJi5_normal.jpg","View")</f>
        <v>View</v>
      </c>
      <c r="P8368" s="10"/>
    </row>
    <row r="8369" customFormat="false" ht="15.75" hidden="false" customHeight="false" outlineLevel="0" collapsed="false">
      <c r="A8369" s="6" t="n">
        <v>43032.3205439815</v>
      </c>
      <c r="B8369" s="7" t="str">
        <f aca="false">HYPERLINK("https://twitter.com/neu_erde","@neu_erde")</f>
        <v>@neu_erde</v>
      </c>
      <c r="C8369" s="8" t="s">
        <v>7611</v>
      </c>
      <c r="D8369" s="8" t="s">
        <v>17569</v>
      </c>
      <c r="E8369" s="9" t="str">
        <f aca="false">HYPERLINK("https://twitter.com/neu_erde/status/922835466751275015","922835466751275015")</f>
        <v>922835466751275015</v>
      </c>
      <c r="F8369" s="10" t="s">
        <v>51</v>
      </c>
      <c r="G8369" s="10" t="n">
        <v>93</v>
      </c>
      <c r="H8369" s="10" t="n">
        <v>203</v>
      </c>
      <c r="I8369" s="10" t="n">
        <v>28</v>
      </c>
      <c r="J8369" s="10" t="n">
        <v>0</v>
      </c>
      <c r="K8369" s="10" t="s">
        <v>20</v>
      </c>
      <c r="L8369" s="11" t="n">
        <v>42492.0949652778</v>
      </c>
      <c r="M8369" s="12"/>
      <c r="N8369" s="12" t="s">
        <v>7612</v>
      </c>
      <c r="O8369" s="9" t="str">
        <f aca="false">HYPERLINK("https://pbs.twimg.com/profile_images/727229176529444864/mOkbZkUu_normal.jpg","View")</f>
        <v>View</v>
      </c>
      <c r="P8369" s="10"/>
    </row>
    <row r="8370" customFormat="false" ht="15.75" hidden="false" customHeight="false" outlineLevel="0" collapsed="false">
      <c r="A8370" s="6" t="n">
        <v>43032.3209490741</v>
      </c>
      <c r="B8370" s="7" t="str">
        <f aca="false">HYPERLINK("https://twitter.com/prasannavsn92","@prasannavsn92")</f>
        <v>@prasannavsn92</v>
      </c>
      <c r="C8370" s="8" t="s">
        <v>18389</v>
      </c>
      <c r="D8370" s="8" t="s">
        <v>8538</v>
      </c>
      <c r="E8370" s="9" t="str">
        <f aca="false">HYPERLINK("https://twitter.com/prasannavsn92/status/922835615367954433","922835615367954433")</f>
        <v>922835615367954433</v>
      </c>
      <c r="F8370" s="10" t="s">
        <v>25</v>
      </c>
      <c r="G8370" s="10" t="n">
        <v>1654</v>
      </c>
      <c r="H8370" s="10" t="n">
        <v>5001</v>
      </c>
      <c r="I8370" s="10" t="n">
        <v>1015</v>
      </c>
      <c r="J8370" s="10" t="n">
        <v>0</v>
      </c>
      <c r="K8370" s="10" t="s">
        <v>20</v>
      </c>
      <c r="L8370" s="11" t="n">
        <v>41216.3035300926</v>
      </c>
      <c r="M8370" s="12" t="s">
        <v>7908</v>
      </c>
      <c r="N8370" s="12" t="s">
        <v>18390</v>
      </c>
      <c r="O8370" s="9" t="str">
        <f aca="false">HYPERLINK("https://pbs.twimg.com/profile_images/906820101097250816/Tg2Tzgld_normal.jpg","View")</f>
        <v>View</v>
      </c>
      <c r="P8370" s="10"/>
    </row>
    <row r="8371" customFormat="false" ht="15.75" hidden="false" customHeight="false" outlineLevel="0" collapsed="false">
      <c r="A8371" s="6" t="n">
        <v>43032.3213078704</v>
      </c>
      <c r="B8371" s="7" t="str">
        <f aca="false">HYPERLINK("https://twitter.com/_Namrataa","@_Namrataa")</f>
        <v>@_Namrataa</v>
      </c>
      <c r="C8371" s="8" t="s">
        <v>18391</v>
      </c>
      <c r="D8371" s="8" t="s">
        <v>8538</v>
      </c>
      <c r="E8371" s="9" t="str">
        <f aca="false">HYPERLINK("https://twitter.com/_Namrataa/status/922835744707706881","922835744707706881")</f>
        <v>922835744707706881</v>
      </c>
      <c r="F8371" s="10" t="s">
        <v>51</v>
      </c>
      <c r="G8371" s="10" t="n">
        <v>8273</v>
      </c>
      <c r="H8371" s="10" t="n">
        <v>157</v>
      </c>
      <c r="I8371" s="10" t="n">
        <v>1015</v>
      </c>
      <c r="J8371" s="10" t="n">
        <v>0</v>
      </c>
      <c r="K8371" s="10" t="s">
        <v>20</v>
      </c>
      <c r="L8371" s="11" t="n">
        <v>40234.4096180556</v>
      </c>
      <c r="M8371" s="12" t="s">
        <v>18392</v>
      </c>
      <c r="N8371" s="12" t="s">
        <v>18393</v>
      </c>
      <c r="O8371" s="9" t="str">
        <f aca="false">HYPERLINK("https://pbs.twimg.com/profile_images/827538430947115014/irQgdb5__normal.jpg","View")</f>
        <v>View</v>
      </c>
      <c r="P8371" s="10"/>
    </row>
    <row r="8372" customFormat="false" ht="15.75" hidden="false" customHeight="false" outlineLevel="0" collapsed="false">
      <c r="A8372" s="6" t="n">
        <v>43032.3215972222</v>
      </c>
      <c r="B8372" s="7" t="str">
        <f aca="false">HYPERLINK("https://twitter.com/lousybug","@lousybug")</f>
        <v>@lousybug</v>
      </c>
      <c r="C8372" s="8" t="s">
        <v>18394</v>
      </c>
      <c r="D8372" s="8" t="s">
        <v>8538</v>
      </c>
      <c r="E8372" s="9" t="str">
        <f aca="false">HYPERLINK("https://twitter.com/lousybug/status/922835848915075072","922835848915075072")</f>
        <v>922835848915075072</v>
      </c>
      <c r="F8372" s="10" t="s">
        <v>25</v>
      </c>
      <c r="G8372" s="10" t="n">
        <v>100</v>
      </c>
      <c r="H8372" s="10" t="n">
        <v>558</v>
      </c>
      <c r="I8372" s="10" t="n">
        <v>1015</v>
      </c>
      <c r="J8372" s="10" t="n">
        <v>0</v>
      </c>
      <c r="K8372" s="10" t="s">
        <v>20</v>
      </c>
      <c r="L8372" s="11" t="n">
        <v>40213.3050231481</v>
      </c>
      <c r="M8372" s="12"/>
      <c r="N8372" s="12"/>
      <c r="O8372" s="9" t="str">
        <f aca="false">HYPERLINK("https://pbs.twimg.com/profile_images/795660760072339456/VpZvhMgB_normal.jpg","View")</f>
        <v>View</v>
      </c>
      <c r="P8372" s="10"/>
    </row>
    <row r="8373" customFormat="false" ht="15.75" hidden="false" customHeight="false" outlineLevel="0" collapsed="false">
      <c r="A8373" s="6" t="n">
        <v>43032.323912037</v>
      </c>
      <c r="B8373" s="7" t="str">
        <f aca="false">HYPERLINK("https://twitter.com/Neera_26","@Neera_26")</f>
        <v>@Neera_26</v>
      </c>
      <c r="C8373" s="8" t="s">
        <v>18395</v>
      </c>
      <c r="D8373" s="8" t="s">
        <v>8538</v>
      </c>
      <c r="E8373" s="9" t="str">
        <f aca="false">HYPERLINK("https://twitter.com/Neera_26/status/922836687859859456","922836687859859456")</f>
        <v>922836687859859456</v>
      </c>
      <c r="F8373" s="10" t="s">
        <v>51</v>
      </c>
      <c r="G8373" s="10" t="n">
        <v>9949</v>
      </c>
      <c r="H8373" s="10" t="n">
        <v>1222</v>
      </c>
      <c r="I8373" s="10" t="n">
        <v>1015</v>
      </c>
      <c r="J8373" s="10" t="n">
        <v>0</v>
      </c>
      <c r="K8373" s="10" t="s">
        <v>20</v>
      </c>
      <c r="L8373" s="11" t="n">
        <v>40162.2863310185</v>
      </c>
      <c r="M8373" s="12" t="s">
        <v>7908</v>
      </c>
      <c r="N8373" s="12" t="s">
        <v>18396</v>
      </c>
      <c r="O8373" s="9" t="str">
        <f aca="false">HYPERLINK("https://pbs.twimg.com/profile_images/908215463649329152/qdXrXLa9_normal.jpg","View")</f>
        <v>View</v>
      </c>
      <c r="P8373" s="10"/>
    </row>
    <row r="8374" customFormat="false" ht="15.75" hidden="false" customHeight="false" outlineLevel="0" collapsed="false">
      <c r="A8374" s="6" t="n">
        <v>43032.3240509259</v>
      </c>
      <c r="B8374" s="7" t="str">
        <f aca="false">HYPERLINK("https://twitter.com/vglitter","@vglitter")</f>
        <v>@vglitter</v>
      </c>
      <c r="C8374" s="8" t="s">
        <v>18397</v>
      </c>
      <c r="D8374" s="8" t="s">
        <v>8538</v>
      </c>
      <c r="E8374" s="9" t="str">
        <f aca="false">HYPERLINK("https://twitter.com/vglitter/status/922836737084203008","922836737084203008")</f>
        <v>922836737084203008</v>
      </c>
      <c r="F8374" s="10" t="s">
        <v>25</v>
      </c>
      <c r="G8374" s="10" t="n">
        <v>450</v>
      </c>
      <c r="H8374" s="10" t="n">
        <v>425</v>
      </c>
      <c r="I8374" s="10" t="n">
        <v>1015</v>
      </c>
      <c r="J8374" s="10" t="n">
        <v>0</v>
      </c>
      <c r="K8374" s="10" t="s">
        <v>20</v>
      </c>
      <c r="L8374" s="11" t="n">
        <v>40070.4363541667</v>
      </c>
      <c r="M8374" s="12"/>
      <c r="N8374" s="12"/>
      <c r="O8374" s="9" t="str">
        <f aca="false">HYPERLINK("https://pbs.twimg.com/profile_images/703648453029564416/ux9Ds1nf_normal.jpg","View")</f>
        <v>View</v>
      </c>
      <c r="P8374" s="10"/>
    </row>
    <row r="8375" customFormat="false" ht="15.75" hidden="false" customHeight="false" outlineLevel="0" collapsed="false">
      <c r="A8375" s="6" t="n">
        <v>43032.3240972222</v>
      </c>
      <c r="B8375" s="7" t="str">
        <f aca="false">HYPERLINK("https://twitter.com/BrahaspatiSutra","@BrahaspatiSutra")</f>
        <v>@BrahaspatiSutra</v>
      </c>
      <c r="C8375" s="8" t="s">
        <v>18398</v>
      </c>
      <c r="D8375" s="8" t="s">
        <v>8538</v>
      </c>
      <c r="E8375" s="9" t="str">
        <f aca="false">HYPERLINK("https://twitter.com/BrahaspatiSutra/status/922836756000522240","922836756000522240")</f>
        <v>922836756000522240</v>
      </c>
      <c r="F8375" s="10" t="s">
        <v>39</v>
      </c>
      <c r="G8375" s="10" t="n">
        <v>99</v>
      </c>
      <c r="H8375" s="10" t="n">
        <v>441</v>
      </c>
      <c r="I8375" s="10" t="n">
        <v>1015</v>
      </c>
      <c r="J8375" s="10" t="n">
        <v>0</v>
      </c>
      <c r="K8375" s="10" t="s">
        <v>20</v>
      </c>
      <c r="L8375" s="11" t="n">
        <v>41038.1085300926</v>
      </c>
      <c r="M8375" s="12"/>
      <c r="N8375" s="12"/>
      <c r="O8375" s="9" t="str">
        <f aca="false">HYPERLINK("https://pbs.twimg.com/profile_images/786971496551813123/8pSAEoM3_normal.jpg","View")</f>
        <v>View</v>
      </c>
      <c r="P8375" s="10"/>
    </row>
    <row r="8376" customFormat="false" ht="15.75" hidden="false" customHeight="false" outlineLevel="0" collapsed="false">
      <c r="A8376" s="6" t="n">
        <v>43032.3244444444</v>
      </c>
      <c r="B8376" s="7" t="str">
        <f aca="false">HYPERLINK("https://twitter.com/ravipatil15167","@ravipatil15167")</f>
        <v>@ravipatil15167</v>
      </c>
      <c r="C8376" s="8" t="s">
        <v>18399</v>
      </c>
      <c r="D8376" s="8" t="s">
        <v>8538</v>
      </c>
      <c r="E8376" s="9" t="str">
        <f aca="false">HYPERLINK("https://twitter.com/ravipatil15167/status/922836882349703168","922836882349703168")</f>
        <v>922836882349703168</v>
      </c>
      <c r="F8376" s="10" t="s">
        <v>177</v>
      </c>
      <c r="G8376" s="10" t="n">
        <v>111</v>
      </c>
      <c r="H8376" s="10" t="n">
        <v>194</v>
      </c>
      <c r="I8376" s="10" t="n">
        <v>1015</v>
      </c>
      <c r="J8376" s="10" t="n">
        <v>0</v>
      </c>
      <c r="K8376" s="10" t="s">
        <v>20</v>
      </c>
      <c r="L8376" s="11" t="n">
        <v>41926.6828587963</v>
      </c>
      <c r="M8376" s="12"/>
      <c r="N8376" s="12"/>
      <c r="O8376" s="9" t="str">
        <f aca="false">HYPERLINK("https://abs.twimg.com/sticky/default_profile_images/default_profile_normal.png","View")</f>
        <v>View</v>
      </c>
      <c r="P8376" s="10"/>
    </row>
    <row r="8377" customFormat="false" ht="15.75" hidden="false" customHeight="false" outlineLevel="0" collapsed="false">
      <c r="A8377" s="6" t="n">
        <v>43032.3261342593</v>
      </c>
      <c r="B8377" s="7" t="str">
        <f aca="false">HYPERLINK("https://twitter.com/RodDavis","@RodDavis")</f>
        <v>@RodDavis</v>
      </c>
      <c r="C8377" s="8" t="s">
        <v>18400</v>
      </c>
      <c r="D8377" s="8" t="s">
        <v>16929</v>
      </c>
      <c r="E8377" s="9" t="str">
        <f aca="false">HYPERLINK("https://twitter.com/RodDavis/status/922837492738478080","922837492738478080")</f>
        <v>922837492738478080</v>
      </c>
      <c r="F8377" s="10" t="s">
        <v>25</v>
      </c>
      <c r="G8377" s="10" t="n">
        <v>7366</v>
      </c>
      <c r="H8377" s="10" t="n">
        <v>7647</v>
      </c>
      <c r="I8377" s="10" t="n">
        <v>247</v>
      </c>
      <c r="J8377" s="10" t="n">
        <v>0</v>
      </c>
      <c r="K8377" s="10" t="s">
        <v>20</v>
      </c>
      <c r="L8377" s="11" t="n">
        <v>39707.5005208333</v>
      </c>
      <c r="M8377" s="12" t="s">
        <v>18401</v>
      </c>
      <c r="N8377" s="12" t="s">
        <v>18402</v>
      </c>
      <c r="O8377" s="9" t="str">
        <f aca="false">HYPERLINK("https://pbs.twimg.com/profile_images/577400744367628289/anpdpw7Q_normal.jpeg","View")</f>
        <v>View</v>
      </c>
      <c r="P8377" s="10"/>
    </row>
    <row r="8378" customFormat="false" ht="15.75" hidden="false" customHeight="false" outlineLevel="0" collapsed="false">
      <c r="A8378" s="6" t="n">
        <v>43032.326875</v>
      </c>
      <c r="B8378" s="7" t="str">
        <f aca="false">HYPERLINK("https://twitter.com/rajkumarshaw","@rajkumarshaw")</f>
        <v>@rajkumarshaw</v>
      </c>
      <c r="C8378" s="8" t="s">
        <v>18403</v>
      </c>
      <c r="D8378" s="8" t="s">
        <v>8538</v>
      </c>
      <c r="E8378" s="9" t="str">
        <f aca="false">HYPERLINK("https://twitter.com/rajkumarshaw/status/922837762851536898","922837762851536898")</f>
        <v>922837762851536898</v>
      </c>
      <c r="F8378" s="10" t="s">
        <v>25</v>
      </c>
      <c r="G8378" s="10" t="n">
        <v>339</v>
      </c>
      <c r="H8378" s="10" t="n">
        <v>1389</v>
      </c>
      <c r="I8378" s="10" t="n">
        <v>1015</v>
      </c>
      <c r="J8378" s="10" t="n">
        <v>0</v>
      </c>
      <c r="K8378" s="10" t="s">
        <v>20</v>
      </c>
      <c r="L8378" s="11" t="n">
        <v>39841.3818402778</v>
      </c>
      <c r="M8378" s="12" t="s">
        <v>860</v>
      </c>
      <c r="N8378" s="12" t="s">
        <v>18404</v>
      </c>
      <c r="O8378" s="9" t="str">
        <f aca="false">HYPERLINK("https://abs.twimg.com/sticky/default_profile_images/default_profile_normal.png","View")</f>
        <v>View</v>
      </c>
      <c r="P8378" s="10"/>
    </row>
    <row r="8379" customFormat="false" ht="15.75" hidden="false" customHeight="false" outlineLevel="0" collapsed="false">
      <c r="A8379" s="6" t="n">
        <v>43032.3277893519</v>
      </c>
      <c r="B8379" s="7" t="str">
        <f aca="false">HYPERLINK("https://twitter.com/Bhikshuu","@Bhikshuu")</f>
        <v>@Bhikshuu</v>
      </c>
      <c r="C8379" s="8" t="s">
        <v>18405</v>
      </c>
      <c r="D8379" s="8" t="s">
        <v>8538</v>
      </c>
      <c r="E8379" s="9" t="str">
        <f aca="false">HYPERLINK("https://twitter.com/Bhikshuu/status/922838092603641856","922838092603641856")</f>
        <v>922838092603641856</v>
      </c>
      <c r="F8379" s="10" t="s">
        <v>25</v>
      </c>
      <c r="G8379" s="10" t="n">
        <v>110</v>
      </c>
      <c r="H8379" s="10" t="n">
        <v>231</v>
      </c>
      <c r="I8379" s="10" t="n">
        <v>1015</v>
      </c>
      <c r="J8379" s="10" t="n">
        <v>0</v>
      </c>
      <c r="K8379" s="10" t="s">
        <v>20</v>
      </c>
      <c r="L8379" s="11" t="n">
        <v>40069.0512152778</v>
      </c>
      <c r="M8379" s="12" t="s">
        <v>18406</v>
      </c>
      <c r="N8379" s="12" t="s">
        <v>18407</v>
      </c>
      <c r="O8379" s="9" t="str">
        <f aca="false">HYPERLINK("https://pbs.twimg.com/profile_images/918876025118969856/Sfn75QT4_normal.jpg","View")</f>
        <v>View</v>
      </c>
      <c r="P8379" s="10"/>
    </row>
    <row r="8380" customFormat="false" ht="15.75" hidden="false" customHeight="false" outlineLevel="0" collapsed="false">
      <c r="A8380" s="6" t="n">
        <v>43032.3280671296</v>
      </c>
      <c r="B8380" s="7" t="str">
        <f aca="false">HYPERLINK("https://twitter.com/Masa64bits","@Masa64bits")</f>
        <v>@Masa64bits</v>
      </c>
      <c r="C8380" s="14" t="s">
        <v>7834</v>
      </c>
      <c r="D8380" s="8" t="s">
        <v>15821</v>
      </c>
      <c r="E8380" s="9" t="str">
        <f aca="false">HYPERLINK("https://twitter.com/Masa64bits/status/922838192637620224","922838192637620224")</f>
        <v>922838192637620224</v>
      </c>
      <c r="F8380" s="16" t="s">
        <v>7835</v>
      </c>
      <c r="G8380" s="10" t="n">
        <v>899</v>
      </c>
      <c r="H8380" s="10" t="n">
        <v>259</v>
      </c>
      <c r="I8380" s="10" t="n">
        <v>41</v>
      </c>
      <c r="J8380" s="10" t="n">
        <v>0</v>
      </c>
      <c r="K8380" s="10" t="s">
        <v>20</v>
      </c>
      <c r="L8380" s="11" t="n">
        <v>40925.273125</v>
      </c>
      <c r="M8380" s="13" t="s">
        <v>7836</v>
      </c>
      <c r="N8380" s="13" t="s">
        <v>7837</v>
      </c>
      <c r="O8380" s="9" t="str">
        <f aca="false">HYPERLINK("https://pbs.twimg.com/profile_images/462979464872218624/usTIiK34_normal.jpeg","View")</f>
        <v>View</v>
      </c>
      <c r="P8380" s="10"/>
    </row>
    <row r="8381" customFormat="false" ht="15.75" hidden="false" customHeight="false" outlineLevel="0" collapsed="false">
      <c r="A8381" s="6" t="n">
        <v>43032.3329513889</v>
      </c>
      <c r="B8381" s="7" t="str">
        <f aca="false">HYPERLINK("https://twitter.com/anandlunia","@anandlunia")</f>
        <v>@anandlunia</v>
      </c>
      <c r="C8381" s="8" t="s">
        <v>18408</v>
      </c>
      <c r="D8381" s="8" t="s">
        <v>8538</v>
      </c>
      <c r="E8381" s="9" t="str">
        <f aca="false">HYPERLINK("https://twitter.com/anandlunia/status/922839961514098688","922839961514098688")</f>
        <v>922839961514098688</v>
      </c>
      <c r="F8381" s="10" t="s">
        <v>25</v>
      </c>
      <c r="G8381" s="10" t="n">
        <v>16230</v>
      </c>
      <c r="H8381" s="10" t="n">
        <v>498</v>
      </c>
      <c r="I8381" s="10" t="n">
        <v>1015</v>
      </c>
      <c r="J8381" s="10" t="n">
        <v>0</v>
      </c>
      <c r="K8381" s="10" t="s">
        <v>20</v>
      </c>
      <c r="L8381" s="11" t="n">
        <v>40027.9061921296</v>
      </c>
      <c r="M8381" s="12" t="s">
        <v>18409</v>
      </c>
      <c r="N8381" s="12" t="s">
        <v>18410</v>
      </c>
      <c r="O8381" s="9" t="str">
        <f aca="false">HYPERLINK("https://pbs.twimg.com/profile_images/3271662514/076287e7788d629eefb913940c5b2307_normal.jpeg","View")</f>
        <v>View</v>
      </c>
      <c r="P8381" s="10"/>
    </row>
    <row r="8382" customFormat="false" ht="15.75" hidden="false" customHeight="false" outlineLevel="0" collapsed="false">
      <c r="A8382" s="6" t="n">
        <v>43032.3354976852</v>
      </c>
      <c r="B8382" s="7" t="str">
        <f aca="false">HYPERLINK("https://twitter.com/nytimesworld","@nytimesworld")</f>
        <v>@nytimesworld</v>
      </c>
      <c r="C8382" s="8" t="s">
        <v>621</v>
      </c>
      <c r="D8382" s="8" t="s">
        <v>18411</v>
      </c>
      <c r="E8382" s="9" t="str">
        <f aca="false">HYPERLINK("https://twitter.com/nytimesworld/status/922840887838814209","922840887838814209")</f>
        <v>922840887838814209</v>
      </c>
      <c r="F8382" s="10" t="s">
        <v>268</v>
      </c>
      <c r="G8382" s="10" t="n">
        <v>1873868</v>
      </c>
      <c r="H8382" s="10" t="n">
        <v>465</v>
      </c>
      <c r="I8382" s="10" t="n">
        <v>5</v>
      </c>
      <c r="J8382" s="10" t="n">
        <v>7</v>
      </c>
      <c r="K8382" s="10" t="s">
        <v>20</v>
      </c>
      <c r="L8382" s="11" t="n">
        <v>39163.2915393518</v>
      </c>
      <c r="M8382" s="12" t="s">
        <v>491</v>
      </c>
      <c r="N8382" s="12" t="s">
        <v>623</v>
      </c>
      <c r="O8382" s="9" t="str">
        <f aca="false">HYPERLINK("https://pbs.twimg.com/profile_images/2045337639/NYT_Twitter_world_normal.png","View")</f>
        <v>View</v>
      </c>
      <c r="P8382" s="10"/>
    </row>
    <row r="8383" customFormat="false" ht="15.75" hidden="false" customHeight="false" outlineLevel="0" collapsed="false">
      <c r="A8383" s="6" t="n">
        <v>43032.3359375</v>
      </c>
      <c r="B8383" s="7" t="str">
        <f aca="false">HYPERLINK("https://twitter.com/KaushikiChatte1","@KaushikiChatte1")</f>
        <v>@KaushikiChatte1</v>
      </c>
      <c r="C8383" s="8" t="s">
        <v>18412</v>
      </c>
      <c r="D8383" s="8" t="s">
        <v>18413</v>
      </c>
      <c r="E8383" s="9" t="str">
        <f aca="false">HYPERLINK("https://twitter.com/KaushikiChatte1/status/922841047201222657","922841047201222657")</f>
        <v>922841047201222657</v>
      </c>
      <c r="F8383" s="10" t="s">
        <v>25</v>
      </c>
      <c r="G8383" s="10" t="n">
        <v>465</v>
      </c>
      <c r="H8383" s="10" t="n">
        <v>1270</v>
      </c>
      <c r="I8383" s="10" t="n">
        <v>5</v>
      </c>
      <c r="J8383" s="10" t="n">
        <v>0</v>
      </c>
      <c r="K8383" s="10" t="s">
        <v>20</v>
      </c>
      <c r="L8383" s="11" t="n">
        <v>42607.0624768518</v>
      </c>
      <c r="M8383" s="12" t="s">
        <v>8994</v>
      </c>
      <c r="N8383" s="12" t="s">
        <v>18414</v>
      </c>
      <c r="O8383" s="9" t="str">
        <f aca="false">HYPERLINK("https://pbs.twimg.com/profile_images/920262117948768256/WYuTLmN5_normal.jpg","View")</f>
        <v>View</v>
      </c>
      <c r="P8383" s="10"/>
    </row>
    <row r="8384" customFormat="false" ht="15.75" hidden="false" customHeight="false" outlineLevel="0" collapsed="false">
      <c r="A8384" s="6" t="n">
        <v>43032.3365277778</v>
      </c>
      <c r="B8384" s="7" t="str">
        <f aca="false">HYPERLINK("https://twitter.com/Sage07086808","@Sage07086808")</f>
        <v>@Sage07086808</v>
      </c>
      <c r="C8384" s="8" t="s">
        <v>18415</v>
      </c>
      <c r="D8384" s="8" t="s">
        <v>16929</v>
      </c>
      <c r="E8384" s="9" t="str">
        <f aca="false">HYPERLINK("https://twitter.com/Sage07086808/status/922841261161160704","922841261161160704")</f>
        <v>922841261161160704</v>
      </c>
      <c r="F8384" s="10" t="s">
        <v>51</v>
      </c>
      <c r="G8384" s="10" t="n">
        <v>112</v>
      </c>
      <c r="H8384" s="10" t="n">
        <v>81</v>
      </c>
      <c r="I8384" s="10" t="n">
        <v>247</v>
      </c>
      <c r="J8384" s="10" t="n">
        <v>0</v>
      </c>
      <c r="K8384" s="10" t="s">
        <v>20</v>
      </c>
      <c r="L8384" s="11" t="n">
        <v>42875.4938425926</v>
      </c>
      <c r="M8384" s="12" t="s">
        <v>230</v>
      </c>
      <c r="N8384" s="12" t="s">
        <v>18416</v>
      </c>
      <c r="O8384" s="9" t="str">
        <f aca="false">HYPERLINK("https://pbs.twimg.com/profile_images/866006967055036421/Uu9cCSs5_normal.jpg","View")</f>
        <v>View</v>
      </c>
      <c r="P8384" s="10"/>
    </row>
    <row r="8385" customFormat="false" ht="15.75" hidden="false" customHeight="false" outlineLevel="0" collapsed="false">
      <c r="A8385" s="6" t="n">
        <v>43032.3381365741</v>
      </c>
      <c r="B8385" s="7" t="str">
        <f aca="false">HYPERLINK("https://twitter.com/guts_ya","@guts_ya")</f>
        <v>@guts_ya</v>
      </c>
      <c r="C8385" s="14" t="s">
        <v>18417</v>
      </c>
      <c r="D8385" s="8" t="s">
        <v>12493</v>
      </c>
      <c r="E8385" s="9" t="str">
        <f aca="false">HYPERLINK("https://twitter.com/guts_ya/status/922841844546859008","922841844546859008")</f>
        <v>922841844546859008</v>
      </c>
      <c r="F8385" s="10" t="s">
        <v>39</v>
      </c>
      <c r="G8385" s="10" t="n">
        <v>271</v>
      </c>
      <c r="H8385" s="10" t="n">
        <v>559</v>
      </c>
      <c r="I8385" s="10" t="n">
        <v>63</v>
      </c>
      <c r="J8385" s="10" t="n">
        <v>0</v>
      </c>
      <c r="K8385" s="10" t="s">
        <v>20</v>
      </c>
      <c r="L8385" s="11" t="n">
        <v>40302.1890972222</v>
      </c>
      <c r="M8385" s="12"/>
      <c r="N8385" s="12"/>
      <c r="O8385" s="9" t="str">
        <f aca="false">HYPERLINK("https://pbs.twimg.com/profile_images/1153561783/P1050056_normal.JPG","View")</f>
        <v>View</v>
      </c>
      <c r="P8385" s="10"/>
    </row>
    <row r="8386" customFormat="false" ht="15.75" hidden="false" customHeight="false" outlineLevel="0" collapsed="false">
      <c r="A8386" s="6" t="n">
        <v>43032.3383680556</v>
      </c>
      <c r="B8386" s="7" t="str">
        <f aca="false">HYPERLINK("https://twitter.com/arrobin0077","@arrobin0077")</f>
        <v>@arrobin0077</v>
      </c>
      <c r="C8386" s="8" t="s">
        <v>631</v>
      </c>
      <c r="D8386" s="8" t="s">
        <v>18418</v>
      </c>
      <c r="E8386" s="9" t="str">
        <f aca="false">HYPERLINK("https://twitter.com/arrobin0077/status/922841928122667008","922841928122667008")</f>
        <v>922841928122667008</v>
      </c>
      <c r="F8386" s="10" t="s">
        <v>60</v>
      </c>
      <c r="G8386" s="10" t="n">
        <v>7479</v>
      </c>
      <c r="H8386" s="10" t="n">
        <v>7442</v>
      </c>
      <c r="I8386" s="10" t="n">
        <v>0</v>
      </c>
      <c r="J8386" s="10" t="n">
        <v>0</v>
      </c>
      <c r="K8386" s="10" t="s">
        <v>20</v>
      </c>
      <c r="L8386" s="11" t="n">
        <v>42218.4780671296</v>
      </c>
      <c r="M8386" s="12" t="s">
        <v>230</v>
      </c>
      <c r="N8386" s="12" t="s">
        <v>633</v>
      </c>
      <c r="O8386" s="9" t="str">
        <f aca="false">HYPERLINK("https://pbs.twimg.com/profile_images/627909948698050560/Lz1QBK8N_normal.jpg","View")</f>
        <v>View</v>
      </c>
      <c r="P8386" s="10"/>
    </row>
    <row r="8387" customFormat="false" ht="15.75" hidden="false" customHeight="false" outlineLevel="0" collapsed="false">
      <c r="A8387" s="6" t="n">
        <v>43032.3408333333</v>
      </c>
      <c r="B8387" s="7" t="str">
        <f aca="false">HYPERLINK("https://twitter.com/BloombergAsia","@BloombergAsia")</f>
        <v>@BloombergAsia</v>
      </c>
      <c r="C8387" s="8" t="s">
        <v>1399</v>
      </c>
      <c r="D8387" s="8" t="s">
        <v>18419</v>
      </c>
      <c r="E8387" s="9" t="str">
        <f aca="false">HYPERLINK("https://twitter.com/BloombergAsia/status/922842821085794304","922842821085794304")</f>
        <v>922842821085794304</v>
      </c>
      <c r="F8387" s="10" t="s">
        <v>268</v>
      </c>
      <c r="G8387" s="10" t="n">
        <v>28824</v>
      </c>
      <c r="H8387" s="10" t="n">
        <v>97</v>
      </c>
      <c r="I8387" s="10" t="n">
        <v>1</v>
      </c>
      <c r="J8387" s="10" t="n">
        <v>49</v>
      </c>
      <c r="K8387" s="10" t="s">
        <v>20</v>
      </c>
      <c r="L8387" s="11" t="n">
        <v>41052.2384837963</v>
      </c>
      <c r="M8387" s="12"/>
      <c r="N8387" s="12" t="s">
        <v>1401</v>
      </c>
      <c r="O8387" s="9" t="str">
        <f aca="false">HYPERLINK("https://pbs.twimg.com/profile_images/778129630284902401/gXjFkqGM_normal.jpg","View")</f>
        <v>View</v>
      </c>
      <c r="P8387" s="10"/>
    </row>
    <row r="8388" customFormat="false" ht="15.75" hidden="false" customHeight="false" outlineLevel="0" collapsed="false">
      <c r="A8388" s="6" t="n">
        <v>43032.3426273148</v>
      </c>
      <c r="B8388" s="7" t="str">
        <f aca="false">HYPERLINK("https://twitter.com/b1e56df9ce6549f","@b1e56df9ce6549f")</f>
        <v>@b1e56df9ce6549f</v>
      </c>
      <c r="C8388" s="8" t="s">
        <v>9838</v>
      </c>
      <c r="D8388" s="8" t="s">
        <v>18413</v>
      </c>
      <c r="E8388" s="9" t="str">
        <f aca="false">HYPERLINK("https://twitter.com/b1e56df9ce6549f/status/922843470125027330","922843470125027330")</f>
        <v>922843470125027330</v>
      </c>
      <c r="F8388" s="10" t="s">
        <v>25</v>
      </c>
      <c r="G8388" s="10" t="n">
        <v>2390</v>
      </c>
      <c r="H8388" s="10" t="n">
        <v>2800</v>
      </c>
      <c r="I8388" s="10" t="n">
        <v>5</v>
      </c>
      <c r="J8388" s="10" t="n">
        <v>0</v>
      </c>
      <c r="K8388" s="10" t="s">
        <v>20</v>
      </c>
      <c r="L8388" s="11" t="n">
        <v>42188.5443981482</v>
      </c>
      <c r="M8388" s="12"/>
      <c r="N8388" s="12" t="s">
        <v>9839</v>
      </c>
      <c r="O8388" s="9" t="str">
        <f aca="false">HYPERLINK("https://pbs.twimg.com/profile_images/661404634246987776/gpMI4thm_normal.jpg","View")</f>
        <v>View</v>
      </c>
      <c r="P8388" s="10"/>
    </row>
    <row r="8389" customFormat="false" ht="15.75" hidden="false" customHeight="false" outlineLevel="0" collapsed="false">
      <c r="A8389" s="6" t="n">
        <v>43032.3433217593</v>
      </c>
      <c r="B8389" s="7" t="str">
        <f aca="false">HYPERLINK("https://twitter.com/JapanWorldCam","@JapanWorldCam")</f>
        <v>@JapanWorldCam</v>
      </c>
      <c r="C8389" s="8" t="s">
        <v>18420</v>
      </c>
      <c r="D8389" s="8" t="s">
        <v>18347</v>
      </c>
      <c r="E8389" s="9" t="str">
        <f aca="false">HYPERLINK("https://twitter.com/JapanWorldCam/status/922843720986308608","922843720986308608")</f>
        <v>922843720986308608</v>
      </c>
      <c r="F8389" s="10" t="s">
        <v>39</v>
      </c>
      <c r="G8389" s="10" t="n">
        <v>101</v>
      </c>
      <c r="H8389" s="10" t="n">
        <v>24</v>
      </c>
      <c r="I8389" s="10" t="n">
        <v>3</v>
      </c>
      <c r="J8389" s="10" t="n">
        <v>0</v>
      </c>
      <c r="K8389" s="10" t="s">
        <v>20</v>
      </c>
      <c r="L8389" s="11" t="n">
        <v>42025.4022916667</v>
      </c>
      <c r="M8389" s="12" t="s">
        <v>18421</v>
      </c>
      <c r="N8389" s="12" t="s">
        <v>18422</v>
      </c>
      <c r="O8389" s="9" t="str">
        <f aca="false">HYPERLINK("https://pbs.twimg.com/profile_images/806985894699876356/HJIix53e_normal.jpg","View")</f>
        <v>View</v>
      </c>
      <c r="P8389" s="10"/>
    </row>
    <row r="8390" customFormat="false" ht="15.75" hidden="false" customHeight="false" outlineLevel="0" collapsed="false">
      <c r="A8390" s="6" t="n">
        <v>43032.3438657407</v>
      </c>
      <c r="B8390" s="7" t="str">
        <f aca="false">HYPERLINK("https://twitter.com/sitifatimahnet","@sitifatimahnet")</f>
        <v>@sitifatimahnet</v>
      </c>
      <c r="C8390" s="8" t="s">
        <v>11184</v>
      </c>
      <c r="D8390" s="8" t="s">
        <v>18423</v>
      </c>
      <c r="E8390" s="9" t="str">
        <f aca="false">HYPERLINK("https://twitter.com/sitifatimahnet/status/922843919012040704","922843919012040704")</f>
        <v>922843919012040704</v>
      </c>
      <c r="F8390" s="10" t="s">
        <v>60</v>
      </c>
      <c r="G8390" s="10" t="n">
        <v>312</v>
      </c>
      <c r="H8390" s="10" t="n">
        <v>27</v>
      </c>
      <c r="I8390" s="10" t="n">
        <v>0</v>
      </c>
      <c r="J8390" s="10" t="n">
        <v>0</v>
      </c>
      <c r="K8390" s="10" t="s">
        <v>20</v>
      </c>
      <c r="L8390" s="11" t="n">
        <v>42698.4371990741</v>
      </c>
      <c r="M8390" s="12" t="s">
        <v>11186</v>
      </c>
      <c r="N8390" s="12" t="s">
        <v>11187</v>
      </c>
      <c r="O8390" s="9" t="str">
        <f aca="false">HYPERLINK("https://pbs.twimg.com/profile_images/897683241594912769/-rSDzg9T_normal.jpg","View")</f>
        <v>View</v>
      </c>
      <c r="P8390" s="10"/>
    </row>
    <row r="8391" customFormat="false" ht="15.75" hidden="false" customHeight="false" outlineLevel="0" collapsed="false">
      <c r="A8391" s="6" t="n">
        <v>43032.3445717593</v>
      </c>
      <c r="B8391" s="7" t="str">
        <f aca="false">HYPERLINK("https://twitter.com/notiven","@notiven")</f>
        <v>@notiven</v>
      </c>
      <c r="C8391" s="8" t="s">
        <v>699</v>
      </c>
      <c r="D8391" s="8" t="s">
        <v>18424</v>
      </c>
      <c r="E8391" s="9" t="str">
        <f aca="false">HYPERLINK("https://twitter.com/notiven/status/922844173228756992","922844173228756992")</f>
        <v>922844173228756992</v>
      </c>
      <c r="F8391" s="10" t="s">
        <v>701</v>
      </c>
      <c r="G8391" s="10" t="n">
        <v>51347</v>
      </c>
      <c r="H8391" s="10" t="n">
        <v>193</v>
      </c>
      <c r="I8391" s="10" t="n">
        <v>0</v>
      </c>
      <c r="J8391" s="10" t="n">
        <v>0</v>
      </c>
      <c r="K8391" s="10" t="s">
        <v>20</v>
      </c>
      <c r="L8391" s="11" t="n">
        <v>39235.5805787037</v>
      </c>
      <c r="M8391" s="12" t="s">
        <v>702</v>
      </c>
      <c r="N8391" s="12" t="s">
        <v>703</v>
      </c>
      <c r="O8391" s="9" t="str">
        <f aca="false">HYPERLINK("https://pbs.twimg.com/profile_images/799317731648606208/vbXQCdts_normal.jpg","View")</f>
        <v>View</v>
      </c>
      <c r="P8391" s="10"/>
    </row>
    <row r="8392" customFormat="false" ht="15.75" hidden="false" customHeight="false" outlineLevel="0" collapsed="false">
      <c r="A8392" s="6" t="n">
        <v>43032.3452546296</v>
      </c>
      <c r="B8392" s="7" t="str">
        <f aca="false">HYPERLINK("https://twitter.com/mequemequeJ","@mequemequeJ")</f>
        <v>@mequemequeJ</v>
      </c>
      <c r="C8392" s="14" t="s">
        <v>18425</v>
      </c>
      <c r="D8392" s="8" t="s">
        <v>18413</v>
      </c>
      <c r="E8392" s="9" t="str">
        <f aca="false">HYPERLINK("https://twitter.com/mequemequeJ/status/922844423729369088","922844423729369088")</f>
        <v>922844423729369088</v>
      </c>
      <c r="F8392" s="10" t="s">
        <v>25</v>
      </c>
      <c r="G8392" s="10" t="n">
        <v>949</v>
      </c>
      <c r="H8392" s="10" t="n">
        <v>1166</v>
      </c>
      <c r="I8392" s="10" t="n">
        <v>5</v>
      </c>
      <c r="J8392" s="10" t="n">
        <v>0</v>
      </c>
      <c r="K8392" s="10" t="s">
        <v>20</v>
      </c>
      <c r="L8392" s="11" t="n">
        <v>40233.1196643519</v>
      </c>
      <c r="M8392" s="13" t="s">
        <v>242</v>
      </c>
      <c r="N8392" s="13" t="s">
        <v>18426</v>
      </c>
      <c r="O8392" s="9" t="str">
        <f aca="false">HYPERLINK("https://pbs.twimg.com/profile_images/1203036850/IMG_3637_normal.JPG","View")</f>
        <v>View</v>
      </c>
      <c r="P8392" s="10"/>
    </row>
    <row r="8393" customFormat="false" ht="15.75" hidden="false" customHeight="false" outlineLevel="0" collapsed="false">
      <c r="A8393" s="6" t="n">
        <v>43032.3458564815</v>
      </c>
      <c r="B8393" s="7" t="str">
        <f aca="false">HYPERLINK("https://twitter.com/ArrheniGH1","@ArrheniGH1")</f>
        <v>@ArrheniGH1</v>
      </c>
      <c r="C8393" s="8" t="s">
        <v>18427</v>
      </c>
      <c r="D8393" s="8" t="s">
        <v>18091</v>
      </c>
      <c r="E8393" s="9" t="str">
        <f aca="false">HYPERLINK("https://twitter.com/ArrheniGH1/status/922844641803816960","922844641803816960")</f>
        <v>922844641803816960</v>
      </c>
      <c r="F8393" s="10" t="s">
        <v>25</v>
      </c>
      <c r="G8393" s="10" t="n">
        <v>2334</v>
      </c>
      <c r="H8393" s="10" t="n">
        <v>94</v>
      </c>
      <c r="I8393" s="10" t="n">
        <v>121</v>
      </c>
      <c r="J8393" s="10" t="n">
        <v>0</v>
      </c>
      <c r="K8393" s="10" t="s">
        <v>20</v>
      </c>
      <c r="L8393" s="11" t="n">
        <v>41841.1175578704</v>
      </c>
      <c r="M8393" s="12"/>
      <c r="N8393" s="12" t="s">
        <v>18428</v>
      </c>
      <c r="O8393" s="9" t="str">
        <f aca="false">HYPERLINK("https://pbs.twimg.com/profile_images/908822023039832065/SCOSjzUL_normal.jpg","View")</f>
        <v>View</v>
      </c>
      <c r="P8393" s="10"/>
    </row>
    <row r="8394" customFormat="false" ht="15.75" hidden="false" customHeight="false" outlineLevel="0" collapsed="false">
      <c r="A8394" s="6" t="n">
        <v>43032.347974537</v>
      </c>
      <c r="B8394" s="7" t="str">
        <f aca="false">HYPERLINK("https://twitter.com/CamArtsHums","@CamArtsHums")</f>
        <v>@CamArtsHums</v>
      </c>
      <c r="C8394" s="8" t="s">
        <v>18429</v>
      </c>
      <c r="D8394" s="8" t="s">
        <v>18430</v>
      </c>
      <c r="E8394" s="9" t="str">
        <f aca="false">HYPERLINK("https://twitter.com/CamArtsHums/status/922845408640094208","922845408640094208")</f>
        <v>922845408640094208</v>
      </c>
      <c r="F8394" s="10" t="s">
        <v>39</v>
      </c>
      <c r="G8394" s="10" t="n">
        <v>1524</v>
      </c>
      <c r="H8394" s="10" t="n">
        <v>1671</v>
      </c>
      <c r="I8394" s="10" t="n">
        <v>0</v>
      </c>
      <c r="J8394" s="10" t="n">
        <v>1</v>
      </c>
      <c r="K8394" s="10" t="s">
        <v>20</v>
      </c>
      <c r="L8394" s="11" t="n">
        <v>42290.1031712963</v>
      </c>
      <c r="M8394" s="12" t="s">
        <v>18431</v>
      </c>
      <c r="N8394" s="12" t="s">
        <v>18432</v>
      </c>
      <c r="O8394" s="9" t="str">
        <f aca="false">HYPERLINK("https://pbs.twimg.com/profile_images/661510331244666880/TzwYzQIl_normal.jpg","View")</f>
        <v>View</v>
      </c>
      <c r="P8394" s="10"/>
    </row>
    <row r="8395" customFormat="false" ht="15.75" hidden="false" customHeight="false" outlineLevel="0" collapsed="false">
      <c r="A8395" s="6" t="n">
        <v>43032.3482291667</v>
      </c>
      <c r="B8395" s="7" t="str">
        <f aca="false">HYPERLINK("https://twitter.com/playdoegold","@playdoegold")</f>
        <v>@playdoegold</v>
      </c>
      <c r="C8395" s="8" t="s">
        <v>18433</v>
      </c>
      <c r="D8395" s="8" t="s">
        <v>18434</v>
      </c>
      <c r="E8395" s="9" t="str">
        <f aca="false">HYPERLINK("https://twitter.com/playdoegold/status/922845499585060865","922845499585060865")</f>
        <v>922845499585060865</v>
      </c>
      <c r="F8395" s="10" t="s">
        <v>39</v>
      </c>
      <c r="G8395" s="10" t="n">
        <v>271</v>
      </c>
      <c r="H8395" s="10" t="n">
        <v>196</v>
      </c>
      <c r="I8395" s="10" t="n">
        <v>0</v>
      </c>
      <c r="J8395" s="10" t="n">
        <v>0</v>
      </c>
      <c r="K8395" s="10" t="s">
        <v>20</v>
      </c>
      <c r="L8395" s="11" t="n">
        <v>41160.5156597222</v>
      </c>
      <c r="M8395" s="12" t="s">
        <v>18435</v>
      </c>
      <c r="N8395" s="12" t="s">
        <v>18436</v>
      </c>
      <c r="O8395" s="9" t="str">
        <f aca="false">HYPERLINK("https://pbs.twimg.com/profile_images/840297025874849793/IDEl5vkg_normal.jpg","View")</f>
        <v>View</v>
      </c>
      <c r="P8395" s="10"/>
    </row>
    <row r="8396" customFormat="false" ht="15.75" hidden="false" customHeight="false" outlineLevel="0" collapsed="false">
      <c r="A8396" s="6" t="n">
        <v>43032.3490393519</v>
      </c>
      <c r="B8396" s="7" t="str">
        <f aca="false">HYPERLINK("https://twitter.com/Korn_Ferry","@Korn_Ferry")</f>
        <v>@Korn_Ferry</v>
      </c>
      <c r="C8396" s="8" t="s">
        <v>18437</v>
      </c>
      <c r="D8396" s="8" t="s">
        <v>18438</v>
      </c>
      <c r="E8396" s="9" t="str">
        <f aca="false">HYPERLINK("https://twitter.com/Korn_Ferry/status/922845793186435078","922845793186435078")</f>
        <v>922845793186435078</v>
      </c>
      <c r="F8396" s="10" t="s">
        <v>110</v>
      </c>
      <c r="G8396" s="10" t="n">
        <v>18237</v>
      </c>
      <c r="H8396" s="10" t="n">
        <v>153</v>
      </c>
      <c r="I8396" s="10" t="n">
        <v>0</v>
      </c>
      <c r="J8396" s="10" t="n">
        <v>0</v>
      </c>
      <c r="K8396" s="10" t="s">
        <v>20</v>
      </c>
      <c r="L8396" s="11" t="n">
        <v>39910.4160532407</v>
      </c>
      <c r="M8396" s="12" t="s">
        <v>1143</v>
      </c>
      <c r="N8396" s="12" t="s">
        <v>18439</v>
      </c>
      <c r="O8396" s="9" t="str">
        <f aca="false">HYPERLINK("https://pbs.twimg.com/profile_images/459013597373288449/SSobYiV8_normal.jpeg","View")</f>
        <v>View</v>
      </c>
      <c r="P8396" s="10"/>
    </row>
    <row r="8397" customFormat="false" ht="15.75" hidden="false" customHeight="false" outlineLevel="0" collapsed="false">
      <c r="A8397" s="6" t="n">
        <v>43032.3590625</v>
      </c>
      <c r="B8397" s="7" t="str">
        <f aca="false">HYPERLINK("https://twitter.com/syuinsen2017","@syuinsen2017")</f>
        <v>@syuinsen2017</v>
      </c>
      <c r="C8397" s="14" t="s">
        <v>18440</v>
      </c>
      <c r="D8397" s="8" t="s">
        <v>18021</v>
      </c>
      <c r="E8397" s="9" t="str">
        <f aca="false">HYPERLINK("https://twitter.com/syuinsen2017/status/922849425805815809","922849425805815809")</f>
        <v>922849425805815809</v>
      </c>
      <c r="F8397" s="10" t="s">
        <v>51</v>
      </c>
      <c r="G8397" s="10" t="n">
        <v>94</v>
      </c>
      <c r="H8397" s="10" t="n">
        <v>821</v>
      </c>
      <c r="I8397" s="10" t="n">
        <v>18</v>
      </c>
      <c r="J8397" s="10" t="n">
        <v>0</v>
      </c>
      <c r="K8397" s="10" t="s">
        <v>20</v>
      </c>
      <c r="L8397" s="11" t="n">
        <v>43013.1005208333</v>
      </c>
      <c r="M8397" s="12"/>
      <c r="N8397" s="12"/>
      <c r="O8397" s="9" t="str">
        <f aca="false">HYPERLINK("https://pbs.twimg.com/profile_images/915879308274442240/QytGr1v4_normal.jpg","View")</f>
        <v>View</v>
      </c>
      <c r="P8397" s="10"/>
    </row>
    <row r="8398" customFormat="false" ht="15.75" hidden="false" customHeight="false" outlineLevel="0" collapsed="false">
      <c r="A8398" s="6" t="n">
        <v>43032.3612731482</v>
      </c>
      <c r="B8398" s="7" t="str">
        <f aca="false">HYPERLINK("https://twitter.com/business","@business")</f>
        <v>@business</v>
      </c>
      <c r="C8398" s="8" t="s">
        <v>196</v>
      </c>
      <c r="D8398" s="8" t="s">
        <v>18441</v>
      </c>
      <c r="E8398" s="9" t="str">
        <f aca="false">HYPERLINK("https://twitter.com/business/status/922850226620239873","922850226620239873")</f>
        <v>922850226620239873</v>
      </c>
      <c r="F8398" s="10" t="s">
        <v>268</v>
      </c>
      <c r="G8398" s="10" t="n">
        <v>4344209</v>
      </c>
      <c r="H8398" s="10" t="n">
        <v>1088</v>
      </c>
      <c r="I8398" s="10" t="n">
        <v>13</v>
      </c>
      <c r="J8398" s="10" t="n">
        <v>68</v>
      </c>
      <c r="K8398" s="10" t="s">
        <v>20</v>
      </c>
      <c r="L8398" s="11" t="n">
        <v>39926.5453356481</v>
      </c>
      <c r="M8398" s="12" t="s">
        <v>199</v>
      </c>
      <c r="N8398" s="12" t="s">
        <v>200</v>
      </c>
      <c r="O8398" s="9" t="str">
        <f aca="false">HYPERLINK("https://pbs.twimg.com/profile_images/714946924105883648/4fgNVF4H_normal.jpg","View")</f>
        <v>View</v>
      </c>
      <c r="P8398" s="10"/>
    </row>
    <row r="8399" customFormat="false" ht="15.75" hidden="false" customHeight="false" outlineLevel="0" collapsed="false">
      <c r="A8399" s="6" t="n">
        <v>43032.3616435185</v>
      </c>
      <c r="B8399" s="7" t="str">
        <f aca="false">HYPERLINK("https://twitter.com/syuinsen2017","@syuinsen2017")</f>
        <v>@syuinsen2017</v>
      </c>
      <c r="C8399" s="14" t="s">
        <v>18440</v>
      </c>
      <c r="D8399" s="8" t="s">
        <v>18442</v>
      </c>
      <c r="E8399" s="9" t="str">
        <f aca="false">HYPERLINK("https://twitter.com/syuinsen2017/status/922850360527503361","922850360527503361")</f>
        <v>922850360527503361</v>
      </c>
      <c r="F8399" s="10" t="s">
        <v>51</v>
      </c>
      <c r="G8399" s="10" t="n">
        <v>94</v>
      </c>
      <c r="H8399" s="10" t="n">
        <v>821</v>
      </c>
      <c r="I8399" s="10" t="n">
        <v>1</v>
      </c>
      <c r="J8399" s="10" t="n">
        <v>0</v>
      </c>
      <c r="K8399" s="10" t="s">
        <v>20</v>
      </c>
      <c r="L8399" s="11" t="n">
        <v>43013.1005208333</v>
      </c>
      <c r="M8399" s="12"/>
      <c r="N8399" s="12"/>
      <c r="O8399" s="9" t="str">
        <f aca="false">HYPERLINK("https://pbs.twimg.com/profile_images/915879308274442240/QytGr1v4_normal.jpg","View")</f>
        <v>View</v>
      </c>
      <c r="P8399" s="10"/>
    </row>
    <row r="8400" customFormat="false" ht="15.75" hidden="false" customHeight="false" outlineLevel="0" collapsed="false">
      <c r="A8400" s="6" t="n">
        <v>43032.361724537</v>
      </c>
      <c r="B8400" s="7" t="str">
        <f aca="false">HYPERLINK("https://twitter.com/Bullish","@Bullish")</f>
        <v>@Bullish</v>
      </c>
      <c r="C8400" s="8" t="s">
        <v>223</v>
      </c>
      <c r="D8400" s="8" t="s">
        <v>18443</v>
      </c>
      <c r="E8400" s="9" t="str">
        <f aca="false">HYPERLINK("https://twitter.com/Bullish/status/922850389950697473","922850389950697473")</f>
        <v>922850389950697473</v>
      </c>
      <c r="F8400" s="10" t="s">
        <v>60</v>
      </c>
      <c r="G8400" s="10" t="n">
        <v>184</v>
      </c>
      <c r="H8400" s="10" t="n">
        <v>87</v>
      </c>
      <c r="I8400" s="10" t="n">
        <v>0</v>
      </c>
      <c r="J8400" s="10" t="n">
        <v>0</v>
      </c>
      <c r="K8400" s="10" t="s">
        <v>20</v>
      </c>
      <c r="L8400" s="11" t="n">
        <v>42618.7530439815</v>
      </c>
      <c r="M8400" s="12"/>
      <c r="N8400" s="12"/>
      <c r="O8400" s="9" t="str">
        <f aca="false">HYPERLINK("https://pbs.twimg.com/profile_images/798692093736599552/UikI9dNE_normal.jpg","View")</f>
        <v>View</v>
      </c>
      <c r="P8400" s="10"/>
    </row>
    <row r="8401" customFormat="false" ht="15.75" hidden="false" customHeight="false" outlineLevel="0" collapsed="false">
      <c r="A8401" s="6" t="n">
        <v>43032.3618055556</v>
      </c>
      <c r="B8401" s="7" t="str">
        <f aca="false">HYPERLINK("https://twitter.com/KKagasheki","@KKagasheki")</f>
        <v>@KKagasheki</v>
      </c>
      <c r="C8401" s="8" t="s">
        <v>4359</v>
      </c>
      <c r="D8401" s="8" t="s">
        <v>18444</v>
      </c>
      <c r="E8401" s="9" t="str">
        <f aca="false">HYPERLINK("https://twitter.com/KKagasheki/status/922850421793845248","922850421793845248")</f>
        <v>922850421793845248</v>
      </c>
      <c r="F8401" s="10" t="s">
        <v>51</v>
      </c>
      <c r="G8401" s="10" t="n">
        <v>24115</v>
      </c>
      <c r="H8401" s="10" t="n">
        <v>1366</v>
      </c>
      <c r="I8401" s="10" t="n">
        <v>13</v>
      </c>
      <c r="J8401" s="10" t="n">
        <v>0</v>
      </c>
      <c r="K8401" s="10" t="s">
        <v>20</v>
      </c>
      <c r="L8401" s="11" t="n">
        <v>39903.5177893519</v>
      </c>
      <c r="M8401" s="12" t="s">
        <v>4360</v>
      </c>
      <c r="N8401" s="12" t="s">
        <v>4361</v>
      </c>
      <c r="O8401" s="9" t="str">
        <f aca="false">HYPERLINK("https://pbs.twimg.com/profile_images/851303769669341184/GPBwX6ur_normal.jpg","View")</f>
        <v>View</v>
      </c>
      <c r="P8401" s="10"/>
    </row>
    <row r="8402" customFormat="false" ht="15.75" hidden="false" customHeight="false" outlineLevel="0" collapsed="false">
      <c r="A8402" s="6" t="n">
        <v>43032.361875</v>
      </c>
      <c r="B8402" s="7" t="str">
        <f aca="false">HYPERLINK("https://twitter.com/azidamidej","@azidamidej")</f>
        <v>@azidamidej</v>
      </c>
      <c r="C8402" s="8" t="s">
        <v>7438</v>
      </c>
      <c r="D8402" s="8" t="s">
        <v>18444</v>
      </c>
      <c r="E8402" s="9" t="str">
        <f aca="false">HYPERLINK("https://twitter.com/azidamidej/status/922850445067894785","922850445067894785")</f>
        <v>922850445067894785</v>
      </c>
      <c r="F8402" s="10" t="s">
        <v>51</v>
      </c>
      <c r="G8402" s="10" t="n">
        <v>1503</v>
      </c>
      <c r="H8402" s="10" t="n">
        <v>2327</v>
      </c>
      <c r="I8402" s="10" t="n">
        <v>13</v>
      </c>
      <c r="J8402" s="10" t="n">
        <v>0</v>
      </c>
      <c r="K8402" s="10" t="s">
        <v>20</v>
      </c>
      <c r="L8402" s="11" t="n">
        <v>41151.9316435185</v>
      </c>
      <c r="M8402" s="12" t="s">
        <v>7439</v>
      </c>
      <c r="N8402" s="12" t="s">
        <v>7440</v>
      </c>
      <c r="O8402" s="9" t="str">
        <f aca="false">HYPERLINK("https://pbs.twimg.com/profile_images/877960443683262464/3jnX3i4r_normal.jpg","View")</f>
        <v>View</v>
      </c>
      <c r="P8402" s="10"/>
    </row>
    <row r="8403" customFormat="false" ht="15.75" hidden="false" customHeight="false" outlineLevel="0" collapsed="false">
      <c r="A8403" s="6" t="n">
        <v>43032.3620023148</v>
      </c>
      <c r="B8403" s="7" t="str">
        <f aca="false">HYPERLINK("https://twitter.com/batt1972","@batt1972")</f>
        <v>@batt1972</v>
      </c>
      <c r="C8403" s="8" t="s">
        <v>18445</v>
      </c>
      <c r="D8403" s="8" t="s">
        <v>18444</v>
      </c>
      <c r="E8403" s="9" t="str">
        <f aca="false">HYPERLINK("https://twitter.com/batt1972/status/922850492681617408","922850492681617408")</f>
        <v>922850492681617408</v>
      </c>
      <c r="F8403" s="10" t="s">
        <v>51</v>
      </c>
      <c r="G8403" s="10" t="n">
        <v>11072</v>
      </c>
      <c r="H8403" s="10" t="n">
        <v>270</v>
      </c>
      <c r="I8403" s="10" t="n">
        <v>13</v>
      </c>
      <c r="J8403" s="10" t="n">
        <v>0</v>
      </c>
      <c r="K8403" s="10" t="s">
        <v>20</v>
      </c>
      <c r="L8403" s="11" t="n">
        <v>41296.7126851852</v>
      </c>
      <c r="M8403" s="12" t="s">
        <v>2296</v>
      </c>
      <c r="N8403" s="12" t="s">
        <v>18446</v>
      </c>
      <c r="O8403" s="9" t="str">
        <f aca="false">HYPERLINK("https://pbs.twimg.com/profile_images/912977788424011776/vDE1yxVm_normal.jpg","View")</f>
        <v>View</v>
      </c>
      <c r="P8403" s="10"/>
    </row>
    <row r="8404" customFormat="false" ht="15.75" hidden="false" customHeight="false" outlineLevel="0" collapsed="false">
      <c r="A8404" s="6" t="n">
        <v>43032.362025463</v>
      </c>
      <c r="B8404" s="7" t="str">
        <f aca="false">HYPERLINK("https://twitter.com/lillys_news","@lillys_news")</f>
        <v>@lillys_news</v>
      </c>
      <c r="C8404" s="8" t="s">
        <v>18447</v>
      </c>
      <c r="D8404" s="8" t="s">
        <v>18448</v>
      </c>
      <c r="E8404" s="9" t="str">
        <f aca="false">HYPERLINK("https://twitter.com/lillys_news/status/922850499455537152","922850499455537152")</f>
        <v>922850499455537152</v>
      </c>
      <c r="F8404" s="10" t="s">
        <v>51</v>
      </c>
      <c r="G8404" s="10" t="n">
        <v>3378</v>
      </c>
      <c r="H8404" s="10" t="n">
        <v>2694</v>
      </c>
      <c r="I8404" s="10" t="n">
        <v>0</v>
      </c>
      <c r="J8404" s="10" t="n">
        <v>0</v>
      </c>
      <c r="K8404" s="10" t="s">
        <v>20</v>
      </c>
      <c r="L8404" s="11" t="n">
        <v>41917.0369560185</v>
      </c>
      <c r="M8404" s="12" t="s">
        <v>502</v>
      </c>
      <c r="N8404" s="12" t="s">
        <v>18449</v>
      </c>
      <c r="O8404" s="9" t="str">
        <f aca="false">HYPERLINK("https://pbs.twimg.com/profile_images/892057468460773378/K1qWSkvB_normal.jpg","View")</f>
        <v>View</v>
      </c>
      <c r="P8404" s="10"/>
    </row>
    <row r="8405" customFormat="false" ht="15.75" hidden="false" customHeight="false" outlineLevel="0" collapsed="false">
      <c r="A8405" s="6" t="n">
        <v>43032.3621064815</v>
      </c>
      <c r="B8405" s="7" t="str">
        <f aca="false">HYPERLINK("https://twitter.com/shailendra_nair","@shailendra_nair")</f>
        <v>@shailendra_nair</v>
      </c>
      <c r="C8405" s="8" t="s">
        <v>251</v>
      </c>
      <c r="D8405" s="8" t="s">
        <v>18450</v>
      </c>
      <c r="E8405" s="9" t="str">
        <f aca="false">HYPERLINK("https://twitter.com/shailendra_nair/status/922850527641083906","922850527641083906")</f>
        <v>922850527641083906</v>
      </c>
      <c r="F8405" s="10" t="s">
        <v>60</v>
      </c>
      <c r="G8405" s="10" t="n">
        <v>3987</v>
      </c>
      <c r="H8405" s="10" t="n">
        <v>1042</v>
      </c>
      <c r="I8405" s="10" t="n">
        <v>0</v>
      </c>
      <c r="J8405" s="10" t="n">
        <v>0</v>
      </c>
      <c r="K8405" s="10" t="s">
        <v>20</v>
      </c>
      <c r="L8405" s="11" t="n">
        <v>40362.4379861111</v>
      </c>
      <c r="M8405" s="12" t="s">
        <v>253</v>
      </c>
      <c r="N8405" s="12" t="s">
        <v>254</v>
      </c>
      <c r="O8405" s="9" t="str">
        <f aca="false">HYPERLINK("https://pbs.twimg.com/profile_images/884758468879466497/M_w6UjD3_normal.jpg","View")</f>
        <v>View</v>
      </c>
      <c r="P8405" s="10"/>
    </row>
    <row r="8406" customFormat="false" ht="15.75" hidden="false" customHeight="false" outlineLevel="0" collapsed="false">
      <c r="A8406" s="6" t="n">
        <v>43032.3625347222</v>
      </c>
      <c r="B8406" s="7" t="str">
        <f aca="false">HYPERLINK("https://twitter.com/gelenyarilez","@gelenyarilez")</f>
        <v>@gelenyarilez</v>
      </c>
      <c r="C8406" s="8" t="s">
        <v>18451</v>
      </c>
      <c r="D8406" s="8" t="s">
        <v>16929</v>
      </c>
      <c r="E8406" s="9" t="str">
        <f aca="false">HYPERLINK("https://twitter.com/gelenyarilez/status/922850686144049152","922850686144049152")</f>
        <v>922850686144049152</v>
      </c>
      <c r="F8406" s="10" t="s">
        <v>25</v>
      </c>
      <c r="G8406" s="10" t="n">
        <v>641</v>
      </c>
      <c r="H8406" s="10" t="n">
        <v>286</v>
      </c>
      <c r="I8406" s="10" t="n">
        <v>247</v>
      </c>
      <c r="J8406" s="10" t="n">
        <v>0</v>
      </c>
      <c r="K8406" s="10" t="s">
        <v>20</v>
      </c>
      <c r="L8406" s="11" t="n">
        <v>42084.1534143519</v>
      </c>
      <c r="M8406" s="12" t="s">
        <v>312</v>
      </c>
      <c r="N8406" s="12" t="s">
        <v>18452</v>
      </c>
      <c r="O8406" s="9" t="str">
        <f aca="false">HYPERLINK("https://pbs.twimg.com/profile_images/922936954957778944/cPPHUcA8_normal.jpg","View")</f>
        <v>View</v>
      </c>
      <c r="P8406" s="10"/>
    </row>
    <row r="8407" customFormat="false" ht="15.75" hidden="false" customHeight="false" outlineLevel="0" collapsed="false">
      <c r="A8407" s="6" t="n">
        <v>43032.3626851852</v>
      </c>
      <c r="B8407" s="7" t="str">
        <f aca="false">HYPERLINK("https://twitter.com/goodtillclose","@goodtillclose")</f>
        <v>@goodtillclose</v>
      </c>
      <c r="C8407" s="8" t="s">
        <v>2883</v>
      </c>
      <c r="D8407" s="8" t="s">
        <v>18444</v>
      </c>
      <c r="E8407" s="9" t="str">
        <f aca="false">HYPERLINK("https://twitter.com/goodtillclose/status/922850738962710528","922850738962710528")</f>
        <v>922850738962710528</v>
      </c>
      <c r="F8407" s="10" t="s">
        <v>276</v>
      </c>
      <c r="G8407" s="10" t="n">
        <v>357</v>
      </c>
      <c r="H8407" s="10" t="n">
        <v>74</v>
      </c>
      <c r="I8407" s="10" t="n">
        <v>13</v>
      </c>
      <c r="J8407" s="10" t="n">
        <v>0</v>
      </c>
      <c r="K8407" s="10" t="s">
        <v>20</v>
      </c>
      <c r="L8407" s="11" t="n">
        <v>41623.3322106482</v>
      </c>
      <c r="M8407" s="12"/>
      <c r="N8407" s="12" t="s">
        <v>18453</v>
      </c>
      <c r="O8407" s="9" t="str">
        <f aca="false">HYPERLINK("https://pbs.twimg.com/profile_images/910670345555689473/7FD19cQo_normal.jpg","View")</f>
        <v>View</v>
      </c>
      <c r="P8407" s="10"/>
    </row>
    <row r="8408" customFormat="false" ht="15.75" hidden="false" customHeight="false" outlineLevel="0" collapsed="false">
      <c r="A8408" s="6" t="n">
        <v>43032.3627662037</v>
      </c>
      <c r="B8408" s="7" t="str">
        <f aca="false">HYPERLINK("https://twitter.com/singhash","@singhash")</f>
        <v>@singhash</v>
      </c>
      <c r="C8408" s="8" t="s">
        <v>18454</v>
      </c>
      <c r="D8408" s="8" t="s">
        <v>8538</v>
      </c>
      <c r="E8408" s="9" t="str">
        <f aca="false">HYPERLINK("https://twitter.com/singhash/status/922850768113356805","922850768113356805")</f>
        <v>922850768113356805</v>
      </c>
      <c r="F8408" s="10" t="s">
        <v>51</v>
      </c>
      <c r="G8408" s="10" t="n">
        <v>94</v>
      </c>
      <c r="H8408" s="10" t="n">
        <v>24</v>
      </c>
      <c r="I8408" s="10" t="n">
        <v>1015</v>
      </c>
      <c r="J8408" s="10" t="n">
        <v>0</v>
      </c>
      <c r="K8408" s="10" t="s">
        <v>20</v>
      </c>
      <c r="L8408" s="11" t="n">
        <v>39973.2484027778</v>
      </c>
      <c r="M8408" s="12" t="s">
        <v>6859</v>
      </c>
      <c r="N8408" s="12" t="s">
        <v>18455</v>
      </c>
      <c r="O8408" s="9" t="str">
        <f aca="false">HYPERLINK("https://pbs.twimg.com/profile_images/843987960009805824/-DNzI2M-_normal.jpg","View")</f>
        <v>View</v>
      </c>
      <c r="P8408" s="10"/>
    </row>
    <row r="8409" customFormat="false" ht="15.75" hidden="false" customHeight="false" outlineLevel="0" collapsed="false">
      <c r="A8409" s="6" t="n">
        <v>43032.3628703704</v>
      </c>
      <c r="B8409" s="7" t="str">
        <f aca="false">HYPERLINK("https://twitter.com/AnandTi94042935","@AnandTi94042935")</f>
        <v>@AnandTi94042935</v>
      </c>
      <c r="C8409" s="8" t="s">
        <v>18456</v>
      </c>
      <c r="D8409" s="8" t="s">
        <v>8538</v>
      </c>
      <c r="E8409" s="9" t="str">
        <f aca="false">HYPERLINK("https://twitter.com/AnandTi94042935/status/922850806423891968","922850806423891968")</f>
        <v>922850806423891968</v>
      </c>
      <c r="F8409" s="10" t="s">
        <v>25</v>
      </c>
      <c r="G8409" s="10" t="n">
        <v>82</v>
      </c>
      <c r="H8409" s="10" t="n">
        <v>270</v>
      </c>
      <c r="I8409" s="10" t="n">
        <v>1015</v>
      </c>
      <c r="J8409" s="10" t="n">
        <v>0</v>
      </c>
      <c r="K8409" s="10" t="s">
        <v>20</v>
      </c>
      <c r="L8409" s="11" t="n">
        <v>42976.0561689815</v>
      </c>
      <c r="M8409" s="12"/>
      <c r="N8409" s="12"/>
      <c r="O8409" s="9" t="str">
        <f aca="false">HYPERLINK("https://abs.twimg.com/sticky/default_profile_images/default_profile_normal.png","View")</f>
        <v>View</v>
      </c>
      <c r="P8409" s="10"/>
    </row>
    <row r="8410" customFormat="false" ht="15.75" hidden="false" customHeight="false" outlineLevel="0" collapsed="false">
      <c r="A8410" s="6" t="n">
        <v>43032.3640625</v>
      </c>
      <c r="B8410" s="7" t="str">
        <f aca="false">HYPERLINK("https://twitter.com/FallySomboNkhwa","@FallySomboNkhwa")</f>
        <v>@FallySomboNkhwa</v>
      </c>
      <c r="C8410" s="8" t="s">
        <v>260</v>
      </c>
      <c r="D8410" s="8" t="s">
        <v>18457</v>
      </c>
      <c r="E8410" s="9" t="str">
        <f aca="false">HYPERLINK("https://twitter.com/FallySomboNkhwa/status/922851236885483520","922851236885483520")</f>
        <v>922851236885483520</v>
      </c>
      <c r="F8410" s="10" t="s">
        <v>60</v>
      </c>
      <c r="G8410" s="10" t="n">
        <v>421</v>
      </c>
      <c r="H8410" s="10" t="n">
        <v>2195</v>
      </c>
      <c r="I8410" s="10" t="n">
        <v>0</v>
      </c>
      <c r="J8410" s="10" t="n">
        <v>0</v>
      </c>
      <c r="K8410" s="10" t="s">
        <v>20</v>
      </c>
      <c r="L8410" s="11" t="n">
        <v>41551.8204166667</v>
      </c>
      <c r="M8410" s="12" t="s">
        <v>262</v>
      </c>
      <c r="N8410" s="12" t="s">
        <v>263</v>
      </c>
      <c r="O8410" s="9" t="str">
        <f aca="false">HYPERLINK("https://pbs.twimg.com/profile_images/543761133505503235/pKcg8bc2_normal.jpeg","View")</f>
        <v>View</v>
      </c>
      <c r="P8410" s="10"/>
    </row>
    <row r="8411" customFormat="false" ht="15.75" hidden="false" customHeight="false" outlineLevel="0" collapsed="false">
      <c r="A8411" s="6" t="n">
        <v>43032.3642939815</v>
      </c>
      <c r="B8411" s="7" t="str">
        <f aca="false">HYPERLINK("https://twitter.com/Phylayria","@Phylayria")</f>
        <v>@Phylayria</v>
      </c>
      <c r="C8411" s="14" t="s">
        <v>241</v>
      </c>
      <c r="D8411" s="8" t="s">
        <v>18444</v>
      </c>
      <c r="E8411" s="9" t="str">
        <f aca="false">HYPERLINK("https://twitter.com/Phylayria/status/922851323204206592","922851323204206592")</f>
        <v>922851323204206592</v>
      </c>
      <c r="F8411" s="10" t="s">
        <v>51</v>
      </c>
      <c r="G8411" s="10" t="n">
        <v>31</v>
      </c>
      <c r="H8411" s="10" t="n">
        <v>270</v>
      </c>
      <c r="I8411" s="10" t="n">
        <v>13</v>
      </c>
      <c r="J8411" s="10" t="n">
        <v>0</v>
      </c>
      <c r="K8411" s="10" t="s">
        <v>20</v>
      </c>
      <c r="L8411" s="11" t="n">
        <v>42046.785787037</v>
      </c>
      <c r="M8411" s="13" t="s">
        <v>242</v>
      </c>
      <c r="N8411" s="13" t="s">
        <v>243</v>
      </c>
      <c r="O8411" s="9" t="str">
        <f aca="false">HYPERLINK("https://pbs.twimg.com/profile_images/870487641250308096/oYAhrZA4_normal.jpg","View")</f>
        <v>View</v>
      </c>
      <c r="P8411" s="10"/>
    </row>
    <row r="8412" customFormat="false" ht="15.75" hidden="false" customHeight="false" outlineLevel="0" collapsed="false">
      <c r="A8412" s="6" t="n">
        <v>43032.3644328704</v>
      </c>
      <c r="B8412" s="7" t="str">
        <f aca="false">HYPERLINK("https://twitter.com/serge_poznanski","@serge_poznanski")</f>
        <v>@serge_poznanski</v>
      </c>
      <c r="C8412" s="8" t="s">
        <v>212</v>
      </c>
      <c r="D8412" s="8" t="s">
        <v>18458</v>
      </c>
      <c r="E8412" s="9" t="str">
        <f aca="false">HYPERLINK("https://twitter.com/serge_poznanski/status/922851374005669888","922851374005669888")</f>
        <v>922851374005669888</v>
      </c>
      <c r="F8412" s="10" t="s">
        <v>60</v>
      </c>
      <c r="G8412" s="10" t="n">
        <v>1424</v>
      </c>
      <c r="H8412" s="10" t="n">
        <v>2136</v>
      </c>
      <c r="I8412" s="10" t="n">
        <v>0</v>
      </c>
      <c r="J8412" s="10" t="n">
        <v>0</v>
      </c>
      <c r="K8412" s="10" t="s">
        <v>20</v>
      </c>
      <c r="L8412" s="11" t="n">
        <v>42271.4744560185</v>
      </c>
      <c r="M8412" s="12"/>
      <c r="N8412" s="12"/>
      <c r="O8412" s="9" t="str">
        <f aca="false">HYPERLINK("https://pbs.twimg.com/profile_images/647277253240291328/3GezjFCJ_normal.jpg","View")</f>
        <v>View</v>
      </c>
      <c r="P8412" s="10"/>
    </row>
    <row r="8413" customFormat="false" ht="15.75" hidden="false" customHeight="false" outlineLevel="0" collapsed="false">
      <c r="A8413" s="6" t="n">
        <v>43032.3653472222</v>
      </c>
      <c r="B8413" s="7" t="str">
        <f aca="false">HYPERLINK("https://twitter.com/brettsmorris","@brettsmorris")</f>
        <v>@brettsmorris</v>
      </c>
      <c r="C8413" s="8" t="s">
        <v>18459</v>
      </c>
      <c r="D8413" s="8" t="s">
        <v>18460</v>
      </c>
      <c r="E8413" s="9" t="str">
        <f aca="false">HYPERLINK("https://twitter.com/brettsmorris/status/922851701601615872","922851701601615872")</f>
        <v>922851701601615872</v>
      </c>
      <c r="F8413" s="10" t="s">
        <v>39</v>
      </c>
      <c r="G8413" s="10" t="n">
        <v>117</v>
      </c>
      <c r="H8413" s="10" t="n">
        <v>47</v>
      </c>
      <c r="I8413" s="10" t="n">
        <v>0</v>
      </c>
      <c r="J8413" s="10" t="n">
        <v>0</v>
      </c>
      <c r="K8413" s="10" t="s">
        <v>20</v>
      </c>
      <c r="L8413" s="11" t="n">
        <v>42447.4045717593</v>
      </c>
      <c r="M8413" s="12"/>
      <c r="N8413" s="12" t="s">
        <v>18461</v>
      </c>
      <c r="O8413" s="9" t="str">
        <f aca="false">HYPERLINK("https://pbs.twimg.com/profile_images/808054688444600320/VdMDoaLr_normal.jpg","View")</f>
        <v>View</v>
      </c>
      <c r="P8413" s="10"/>
    </row>
    <row r="8414" customFormat="false" ht="15.75" hidden="false" customHeight="false" outlineLevel="0" collapsed="false">
      <c r="A8414" s="6" t="n">
        <v>43032.3658217593</v>
      </c>
      <c r="B8414" s="7" t="str">
        <f aca="false">HYPERLINK("https://twitter.com/mlnangalama","@mlnangalama")</f>
        <v>@mlnangalama</v>
      </c>
      <c r="C8414" s="8" t="s">
        <v>255</v>
      </c>
      <c r="D8414" s="8" t="s">
        <v>18462</v>
      </c>
      <c r="E8414" s="9" t="str">
        <f aca="false">HYPERLINK("https://twitter.com/mlnangalama/status/922851873715052550","922851873715052550")</f>
        <v>922851873715052550</v>
      </c>
      <c r="F8414" s="10" t="s">
        <v>60</v>
      </c>
      <c r="G8414" s="10" t="n">
        <v>2370</v>
      </c>
      <c r="H8414" s="10" t="n">
        <v>1584</v>
      </c>
      <c r="I8414" s="10" t="n">
        <v>0</v>
      </c>
      <c r="J8414" s="10" t="n">
        <v>0</v>
      </c>
      <c r="K8414" s="10" t="s">
        <v>20</v>
      </c>
      <c r="L8414" s="11" t="n">
        <v>41041.5437847222</v>
      </c>
      <c r="M8414" s="12" t="s">
        <v>257</v>
      </c>
      <c r="N8414" s="12" t="s">
        <v>258</v>
      </c>
      <c r="O8414" s="9" t="str">
        <f aca="false">HYPERLINK("https://pbs.twimg.com/profile_images/900915882444173313/biUHzvpx_normal.jpg","View")</f>
        <v>View</v>
      </c>
      <c r="P8414" s="10"/>
    </row>
    <row r="8415" customFormat="false" ht="15.75" hidden="false" customHeight="false" outlineLevel="0" collapsed="false">
      <c r="A8415" s="6" t="n">
        <v>43032.3663425926</v>
      </c>
      <c r="B8415" s="7" t="str">
        <f aca="false">HYPERLINK("https://twitter.com/arichatt","@arichatt")</f>
        <v>@arichatt</v>
      </c>
      <c r="C8415" s="8" t="s">
        <v>18463</v>
      </c>
      <c r="D8415" s="8" t="s">
        <v>18444</v>
      </c>
      <c r="E8415" s="9" t="str">
        <f aca="false">HYPERLINK("https://twitter.com/arichatt/status/922852062395736064","922852062395736064")</f>
        <v>922852062395736064</v>
      </c>
      <c r="F8415" s="10" t="s">
        <v>25</v>
      </c>
      <c r="G8415" s="10" t="n">
        <v>797</v>
      </c>
      <c r="H8415" s="10" t="n">
        <v>1134</v>
      </c>
      <c r="I8415" s="10" t="n">
        <v>13</v>
      </c>
      <c r="J8415" s="10" t="n">
        <v>0</v>
      </c>
      <c r="K8415" s="10" t="s">
        <v>20</v>
      </c>
      <c r="L8415" s="11" t="n">
        <v>40299.1948611111</v>
      </c>
      <c r="M8415" s="12" t="s">
        <v>18464</v>
      </c>
      <c r="N8415" s="12" t="s">
        <v>18465</v>
      </c>
      <c r="O8415" s="9" t="str">
        <f aca="false">HYPERLINK("https://pbs.twimg.com/profile_images/877004849367326721/sSimp6ll_normal.jpg","View")</f>
        <v>View</v>
      </c>
      <c r="P8415" s="10"/>
    </row>
    <row r="8416" customFormat="false" ht="15.75" hidden="false" customHeight="false" outlineLevel="0" collapsed="false">
      <c r="A8416" s="6" t="n">
        <v>43032.366875</v>
      </c>
      <c r="B8416" s="7" t="str">
        <f aca="false">HYPERLINK("https://twitter.com/swissifg","@swissifg")</f>
        <v>@swissifg</v>
      </c>
      <c r="C8416" s="8" t="s">
        <v>247</v>
      </c>
      <c r="D8416" s="8" t="s">
        <v>18466</v>
      </c>
      <c r="E8416" s="9" t="str">
        <f aca="false">HYPERLINK("https://twitter.com/swissifg/status/922852257527484421","922852257527484421")</f>
        <v>922852257527484421</v>
      </c>
      <c r="F8416" s="10" t="s">
        <v>60</v>
      </c>
      <c r="G8416" s="10" t="n">
        <v>1202</v>
      </c>
      <c r="H8416" s="10" t="n">
        <v>670</v>
      </c>
      <c r="I8416" s="10" t="n">
        <v>0</v>
      </c>
      <c r="J8416" s="10" t="n">
        <v>0</v>
      </c>
      <c r="K8416" s="10" t="s">
        <v>20</v>
      </c>
      <c r="L8416" s="11" t="n">
        <v>42499.2341087963</v>
      </c>
      <c r="M8416" s="12" t="s">
        <v>249</v>
      </c>
      <c r="N8416" s="12" t="s">
        <v>250</v>
      </c>
      <c r="O8416" s="9" t="str">
        <f aca="false">HYPERLINK("https://pbs.twimg.com/profile_images/729681805088063489/N4ls5vb8_normal.jpg","View")</f>
        <v>View</v>
      </c>
      <c r="P8416" s="10"/>
    </row>
    <row r="8417" customFormat="false" ht="15.75" hidden="false" customHeight="false" outlineLevel="0" collapsed="false">
      <c r="A8417" s="6" t="n">
        <v>43032.3670023148</v>
      </c>
      <c r="B8417" s="7" t="str">
        <f aca="false">HYPERLINK("https://twitter.com/jaimeotero_","@jaimeotero_")</f>
        <v>@jaimeotero_</v>
      </c>
      <c r="C8417" s="8" t="s">
        <v>205</v>
      </c>
      <c r="D8417" s="8" t="s">
        <v>18467</v>
      </c>
      <c r="E8417" s="9" t="str">
        <f aca="false">HYPERLINK("https://twitter.com/jaimeotero_/status/922852305166315520","922852305166315520")</f>
        <v>922852305166315520</v>
      </c>
      <c r="F8417" s="10" t="s">
        <v>60</v>
      </c>
      <c r="G8417" s="10" t="n">
        <v>34492</v>
      </c>
      <c r="H8417" s="10" t="n">
        <v>31252</v>
      </c>
      <c r="I8417" s="10" t="n">
        <v>0</v>
      </c>
      <c r="J8417" s="10" t="n">
        <v>1</v>
      </c>
      <c r="K8417" s="10" t="s">
        <v>20</v>
      </c>
      <c r="L8417" s="11" t="n">
        <v>42531.0121990741</v>
      </c>
      <c r="M8417" s="12" t="s">
        <v>207</v>
      </c>
      <c r="N8417" s="12" t="s">
        <v>208</v>
      </c>
      <c r="O8417" s="9" t="str">
        <f aca="false">HYPERLINK("https://pbs.twimg.com/profile_images/849817561281818626/acAU04SD_normal.jpg","View")</f>
        <v>View</v>
      </c>
      <c r="P8417" s="10"/>
    </row>
    <row r="8418" customFormat="false" ht="15.75" hidden="false" customHeight="false" outlineLevel="0" collapsed="false">
      <c r="A8418" s="6" t="n">
        <v>43032.3675578704</v>
      </c>
      <c r="B8418" s="7" t="str">
        <f aca="false">HYPERLINK("https://twitter.com/IBTimesUKBiz","@IBTimesUKBiz")</f>
        <v>@IBTimesUKBiz</v>
      </c>
      <c r="C8418" s="8" t="s">
        <v>3463</v>
      </c>
      <c r="D8418" s="8" t="s">
        <v>18468</v>
      </c>
      <c r="E8418" s="9" t="str">
        <f aca="false">HYPERLINK("https://twitter.com/IBTimesUKBiz/status/922852503544311811","922852503544311811")</f>
        <v>922852503544311811</v>
      </c>
      <c r="F8418" s="10" t="s">
        <v>276</v>
      </c>
      <c r="G8418" s="10" t="n">
        <v>1667</v>
      </c>
      <c r="H8418" s="10" t="n">
        <v>228</v>
      </c>
      <c r="I8418" s="10" t="n">
        <v>0</v>
      </c>
      <c r="J8418" s="10" t="n">
        <v>0</v>
      </c>
      <c r="K8418" s="10" t="s">
        <v>20</v>
      </c>
      <c r="L8418" s="11" t="n">
        <v>41032.2300462963</v>
      </c>
      <c r="M8418" s="12" t="s">
        <v>893</v>
      </c>
      <c r="N8418" s="12" t="s">
        <v>3465</v>
      </c>
      <c r="O8418" s="9" t="str">
        <f aca="false">HYPERLINK("https://pbs.twimg.com/profile_images/696672865291259904/fRobKsFo_normal.jpg","View")</f>
        <v>View</v>
      </c>
      <c r="P8418" s="10"/>
    </row>
    <row r="8419" customFormat="false" ht="15.75" hidden="false" customHeight="false" outlineLevel="0" collapsed="false">
      <c r="A8419" s="6" t="n">
        <v>43032.3681944444</v>
      </c>
      <c r="B8419" s="7" t="str">
        <f aca="false">HYPERLINK("https://twitter.com/Tekki_VR","@Tekki_VR")</f>
        <v>@Tekki_VR</v>
      </c>
      <c r="C8419" s="8" t="s">
        <v>225</v>
      </c>
      <c r="D8419" s="8" t="s">
        <v>18469</v>
      </c>
      <c r="E8419" s="9" t="str">
        <f aca="false">HYPERLINK("https://twitter.com/Tekki_VR/status/922852734377787392","922852734377787392")</f>
        <v>922852734377787392</v>
      </c>
      <c r="F8419" s="10" t="s">
        <v>60</v>
      </c>
      <c r="G8419" s="10" t="n">
        <v>1895</v>
      </c>
      <c r="H8419" s="10" t="n">
        <v>2479</v>
      </c>
      <c r="I8419" s="10" t="n">
        <v>0</v>
      </c>
      <c r="J8419" s="10" t="n">
        <v>0</v>
      </c>
      <c r="K8419" s="10" t="s">
        <v>20</v>
      </c>
      <c r="L8419" s="11" t="n">
        <v>42263.5455324074</v>
      </c>
      <c r="M8419" s="12" t="s">
        <v>227</v>
      </c>
      <c r="N8419" s="12" t="s">
        <v>228</v>
      </c>
      <c r="O8419" s="9" t="str">
        <f aca="false">HYPERLINK("https://pbs.twimg.com/profile_images/760662770694098944/h1nSBfE8_normal.jpg","View")</f>
        <v>View</v>
      </c>
      <c r="P8419" s="10"/>
    </row>
    <row r="8420" customFormat="false" ht="15.75" hidden="false" customHeight="false" outlineLevel="0" collapsed="false">
      <c r="A8420" s="6" t="n">
        <v>43032.3684953704</v>
      </c>
      <c r="B8420" s="7" t="str">
        <f aca="false">HYPERLINK("https://twitter.com/joshua__jen","@joshua__jen")</f>
        <v>@joshua__jen</v>
      </c>
      <c r="C8420" s="8" t="s">
        <v>18470</v>
      </c>
      <c r="D8420" s="8" t="s">
        <v>18444</v>
      </c>
      <c r="E8420" s="9" t="str">
        <f aca="false">HYPERLINK("https://twitter.com/joshua__jen/status/922852842943082497","922852842943082497")</f>
        <v>922852842943082497</v>
      </c>
      <c r="F8420" s="10" t="s">
        <v>25</v>
      </c>
      <c r="G8420" s="10" t="n">
        <v>55</v>
      </c>
      <c r="H8420" s="10" t="n">
        <v>2274</v>
      </c>
      <c r="I8420" s="10" t="n">
        <v>13</v>
      </c>
      <c r="J8420" s="10" t="n">
        <v>0</v>
      </c>
      <c r="K8420" s="10" t="s">
        <v>20</v>
      </c>
      <c r="L8420" s="11" t="n">
        <v>40884.4403819444</v>
      </c>
      <c r="M8420" s="12"/>
      <c r="N8420" s="12" t="s">
        <v>18471</v>
      </c>
      <c r="O8420" s="9" t="str">
        <f aca="false">HYPERLINK("https://pbs.twimg.com/profile_images/763012729875685377/QEfs56P2_normal.jpg","View")</f>
        <v>View</v>
      </c>
      <c r="P8420" s="10"/>
    </row>
    <row r="8421" customFormat="false" ht="15.75" hidden="false" customHeight="false" outlineLevel="0" collapsed="false">
      <c r="A8421" s="6" t="n">
        <v>43032.368912037</v>
      </c>
      <c r="B8421" s="7" t="str">
        <f aca="false">HYPERLINK("https://twitter.com/dfutoryan","@dfutoryan")</f>
        <v>@dfutoryan</v>
      </c>
      <c r="C8421" s="8" t="s">
        <v>16658</v>
      </c>
      <c r="D8421" s="8" t="s">
        <v>18472</v>
      </c>
      <c r="E8421" s="9" t="str">
        <f aca="false">HYPERLINK("https://twitter.com/dfutoryan/status/922852995523588097","922852995523588097")</f>
        <v>922852995523588097</v>
      </c>
      <c r="F8421" s="10" t="s">
        <v>47</v>
      </c>
      <c r="G8421" s="10" t="n">
        <v>461</v>
      </c>
      <c r="H8421" s="10" t="n">
        <v>1002</v>
      </c>
      <c r="I8421" s="10" t="n">
        <v>0</v>
      </c>
      <c r="J8421" s="10" t="n">
        <v>0</v>
      </c>
      <c r="K8421" s="10" t="s">
        <v>20</v>
      </c>
      <c r="L8421" s="11" t="n">
        <v>39650.7520717593</v>
      </c>
      <c r="M8421" s="12" t="s">
        <v>319</v>
      </c>
      <c r="N8421" s="12" t="s">
        <v>16660</v>
      </c>
      <c r="O8421" s="9" t="str">
        <f aca="false">HYPERLINK("https://pbs.twimg.com/profile_images/538820424680079361/kh3x5wv9_normal.jpeg","View")</f>
        <v>View</v>
      </c>
      <c r="P8421" s="10"/>
    </row>
    <row r="8422" customFormat="false" ht="15.75" hidden="false" customHeight="false" outlineLevel="0" collapsed="false">
      <c r="A8422" s="6" t="n">
        <v>43032.3709490741</v>
      </c>
      <c r="B8422" s="7" t="str">
        <f aca="false">HYPERLINK("https://twitter.com/LSUJEFF","@LSUJEFF")</f>
        <v>@LSUJEFF</v>
      </c>
      <c r="C8422" s="8" t="s">
        <v>18473</v>
      </c>
      <c r="D8422" s="8" t="s">
        <v>18474</v>
      </c>
      <c r="E8422" s="9" t="str">
        <f aca="false">HYPERLINK("https://twitter.com/LSUJEFF/status/922853731556786176","922853731556786176")</f>
        <v>922853731556786176</v>
      </c>
      <c r="F8422" s="10" t="s">
        <v>39</v>
      </c>
      <c r="G8422" s="10" t="n">
        <v>25709</v>
      </c>
      <c r="H8422" s="10" t="n">
        <v>25483</v>
      </c>
      <c r="I8422" s="10" t="n">
        <v>1</v>
      </c>
      <c r="J8422" s="10" t="n">
        <v>0</v>
      </c>
      <c r="K8422" s="10" t="s">
        <v>20</v>
      </c>
      <c r="L8422" s="11" t="n">
        <v>39832.8187962963</v>
      </c>
      <c r="M8422" s="12"/>
      <c r="N8422" s="12" t="s">
        <v>18475</v>
      </c>
      <c r="O8422" s="9" t="str">
        <f aca="false">HYPERLINK("https://pbs.twimg.com/profile_images/882445048503074816/to9HRTYk_normal.jpg","View")</f>
        <v>View</v>
      </c>
      <c r="P8422" s="10"/>
    </row>
    <row r="8423" customFormat="false" ht="15.75" hidden="false" customHeight="false" outlineLevel="0" collapsed="false">
      <c r="A8423" s="6" t="n">
        <v>43032.374212963</v>
      </c>
      <c r="B8423" s="7" t="str">
        <f aca="false">HYPERLINK("https://twitter.com/Miguel12345","@Miguel12345")</f>
        <v>@Miguel12345</v>
      </c>
      <c r="C8423" s="8" t="s">
        <v>18476</v>
      </c>
      <c r="D8423" s="8" t="s">
        <v>11356</v>
      </c>
      <c r="E8423" s="9" t="str">
        <f aca="false">HYPERLINK("https://twitter.com/Miguel12345/status/922854916309377025","922854916309377025")</f>
        <v>922854916309377025</v>
      </c>
      <c r="F8423" s="10" t="s">
        <v>1017</v>
      </c>
      <c r="G8423" s="10" t="n">
        <v>3067</v>
      </c>
      <c r="H8423" s="10" t="n">
        <v>4999</v>
      </c>
      <c r="I8423" s="10" t="n">
        <v>8</v>
      </c>
      <c r="J8423" s="10" t="n">
        <v>0</v>
      </c>
      <c r="K8423" s="10" t="s">
        <v>20</v>
      </c>
      <c r="L8423" s="11" t="n">
        <v>39818.7387847222</v>
      </c>
      <c r="M8423" s="12" t="s">
        <v>18477</v>
      </c>
      <c r="N8423" s="12" t="s">
        <v>18478</v>
      </c>
      <c r="O8423" s="9" t="str">
        <f aca="false">HYPERLINK("https://pbs.twimg.com/profile_images/830843973543489536/dxTQ0Q3X_normal.jpg","View")</f>
        <v>View</v>
      </c>
      <c r="P8423" s="10"/>
    </row>
    <row r="8424" customFormat="false" ht="15.75" hidden="false" customHeight="false" outlineLevel="0" collapsed="false">
      <c r="A8424" s="6" t="n">
        <v>43032.3839930556</v>
      </c>
      <c r="B8424" s="7" t="str">
        <f aca="false">HYPERLINK("https://twitter.com/Rashikasomani1","@Rashikasomani1")</f>
        <v>@Rashikasomani1</v>
      </c>
      <c r="C8424" s="8" t="s">
        <v>8279</v>
      </c>
      <c r="D8424" s="8" t="s">
        <v>18479</v>
      </c>
      <c r="E8424" s="9" t="str">
        <f aca="false">HYPERLINK("https://twitter.com/Rashikasomani1/status/922858460580139008","922858460580139008")</f>
        <v>922858460580139008</v>
      </c>
      <c r="F8424" s="10" t="s">
        <v>8280</v>
      </c>
      <c r="G8424" s="10" t="n">
        <v>2</v>
      </c>
      <c r="H8424" s="10" t="n">
        <v>100</v>
      </c>
      <c r="I8424" s="10" t="n">
        <v>1</v>
      </c>
      <c r="J8424" s="10" t="n">
        <v>0</v>
      </c>
      <c r="K8424" s="10" t="s">
        <v>20</v>
      </c>
      <c r="L8424" s="11" t="n">
        <v>43028.2541666667</v>
      </c>
      <c r="M8424" s="12"/>
      <c r="N8424" s="12"/>
      <c r="O8424" s="9" t="str">
        <f aca="false">HYPERLINK("https://abs.twimg.com/sticky/default_profile_images/default_profile_normal.png","View")</f>
        <v>View</v>
      </c>
      <c r="P8424" s="10"/>
    </row>
    <row r="8425" customFormat="false" ht="15.75" hidden="false" customHeight="false" outlineLevel="0" collapsed="false">
      <c r="A8425" s="6" t="n">
        <v>43032.3868518519</v>
      </c>
      <c r="B8425" s="7" t="str">
        <f aca="false">HYPERLINK("https://twitter.com/JiveCambridge","@JiveCambridge")</f>
        <v>@JiveCambridge</v>
      </c>
      <c r="C8425" s="8" t="s">
        <v>18480</v>
      </c>
      <c r="D8425" s="8" t="s">
        <v>18481</v>
      </c>
      <c r="E8425" s="9" t="str">
        <f aca="false">HYPERLINK("https://twitter.com/JiveCambridge/status/922859495826644994","922859495826644994")</f>
        <v>922859495826644994</v>
      </c>
      <c r="F8425" s="10" t="s">
        <v>18482</v>
      </c>
      <c r="G8425" s="10" t="n">
        <v>7145</v>
      </c>
      <c r="H8425" s="10" t="n">
        <v>1072</v>
      </c>
      <c r="I8425" s="10" t="n">
        <v>0</v>
      </c>
      <c r="J8425" s="10" t="n">
        <v>0</v>
      </c>
      <c r="K8425" s="10" t="s">
        <v>20</v>
      </c>
      <c r="L8425" s="11" t="n">
        <v>42676.5700462963</v>
      </c>
      <c r="M8425" s="12" t="s">
        <v>18431</v>
      </c>
      <c r="N8425" s="12" t="s">
        <v>18483</v>
      </c>
      <c r="O8425" s="9" t="str">
        <f aca="false">HYPERLINK("https://pbs.twimg.com/profile_images/793916330378457089/pmZiByss_normal.jpg","View")</f>
        <v>View</v>
      </c>
      <c r="P8425" s="10"/>
    </row>
    <row r="8426" customFormat="false" ht="15.75" hidden="false" customHeight="false" outlineLevel="0" collapsed="false">
      <c r="A8426" s="6" t="n">
        <v>43032.3930902778</v>
      </c>
      <c r="B8426" s="7" t="str">
        <f aca="false">HYPERLINK("https://twitter.com/LeftyGallegos","@LeftyGallegos")</f>
        <v>@LeftyGallegos</v>
      </c>
      <c r="C8426" s="8" t="s">
        <v>18484</v>
      </c>
      <c r="D8426" s="8" t="s">
        <v>4124</v>
      </c>
      <c r="E8426" s="9" t="str">
        <f aca="false">HYPERLINK("https://twitter.com/LeftyGallegos/status/922861758934478848","922861758934478848")</f>
        <v>922861758934478848</v>
      </c>
      <c r="F8426" s="10" t="s">
        <v>51</v>
      </c>
      <c r="G8426" s="10" t="n">
        <v>954</v>
      </c>
      <c r="H8426" s="10" t="n">
        <v>1053</v>
      </c>
      <c r="I8426" s="10" t="n">
        <v>111</v>
      </c>
      <c r="J8426" s="10" t="n">
        <v>0</v>
      </c>
      <c r="K8426" s="10" t="s">
        <v>20</v>
      </c>
      <c r="L8426" s="11" t="n">
        <v>42903.7880555556</v>
      </c>
      <c r="M8426" s="12" t="s">
        <v>4797</v>
      </c>
      <c r="N8426" s="12" t="s">
        <v>18485</v>
      </c>
      <c r="O8426" s="9" t="str">
        <f aca="false">HYPERLINK("https://pbs.twimg.com/profile_images/923217686145802241/LYwgzSf0_normal.jpg","View")</f>
        <v>View</v>
      </c>
      <c r="P8426" s="10"/>
    </row>
    <row r="8427" customFormat="false" ht="15.75" hidden="false" customHeight="false" outlineLevel="0" collapsed="false">
      <c r="A8427" s="6" t="n">
        <v>43032.3968402778</v>
      </c>
      <c r="B8427" s="7" t="str">
        <f aca="false">HYPERLINK("https://twitter.com/IBTimesUK","@IBTimesUK")</f>
        <v>@IBTimesUK</v>
      </c>
      <c r="C8427" s="8" t="s">
        <v>3202</v>
      </c>
      <c r="D8427" s="8" t="s">
        <v>18486</v>
      </c>
      <c r="E8427" s="9" t="str">
        <f aca="false">HYPERLINK("https://twitter.com/IBTimesUK/status/922863115888480257","922863115888480257")</f>
        <v>922863115888480257</v>
      </c>
      <c r="F8427" s="10" t="s">
        <v>268</v>
      </c>
      <c r="G8427" s="10" t="n">
        <v>32277</v>
      </c>
      <c r="H8427" s="10" t="n">
        <v>1068</v>
      </c>
      <c r="I8427" s="10" t="n">
        <v>0</v>
      </c>
      <c r="J8427" s="10" t="n">
        <v>0</v>
      </c>
      <c r="K8427" s="10" t="s">
        <v>20</v>
      </c>
      <c r="L8427" s="11" t="n">
        <v>39981.1365740741</v>
      </c>
      <c r="M8427" s="12" t="s">
        <v>893</v>
      </c>
      <c r="N8427" s="12" t="s">
        <v>3204</v>
      </c>
      <c r="O8427" s="9" t="str">
        <f aca="false">HYPERLINK("https://pbs.twimg.com/profile_images/856922877018468362/O1xt2dpN_normal.jpg","View")</f>
        <v>View</v>
      </c>
      <c r="P8427" s="10"/>
    </row>
    <row r="8428" customFormat="false" ht="15.75" hidden="false" customHeight="false" outlineLevel="0" collapsed="false">
      <c r="A8428" s="6" t="n">
        <v>43032.4012152778</v>
      </c>
      <c r="B8428" s="7" t="str">
        <f aca="false">HYPERLINK("https://twitter.com/9NewsAUS","@9NewsAUS")</f>
        <v>@9NewsAUS</v>
      </c>
      <c r="C8428" s="8" t="s">
        <v>18487</v>
      </c>
      <c r="D8428" s="8" t="s">
        <v>18488</v>
      </c>
      <c r="E8428" s="9" t="str">
        <f aca="false">HYPERLINK("https://twitter.com/9NewsAUS/status/922864703629660160","922864703629660160")</f>
        <v>922864703629660160</v>
      </c>
      <c r="F8428" s="10" t="s">
        <v>110</v>
      </c>
      <c r="G8428" s="10" t="n">
        <v>491260</v>
      </c>
      <c r="H8428" s="10" t="n">
        <v>193</v>
      </c>
      <c r="I8428" s="10" t="n">
        <v>6</v>
      </c>
      <c r="J8428" s="10" t="n">
        <v>5</v>
      </c>
      <c r="K8428" s="10" t="s">
        <v>20</v>
      </c>
      <c r="L8428" s="11" t="n">
        <v>39877.6187731481</v>
      </c>
      <c r="M8428" s="12" t="s">
        <v>1199</v>
      </c>
      <c r="N8428" s="12" t="s">
        <v>18489</v>
      </c>
      <c r="O8428" s="9" t="str">
        <f aca="false">HYPERLINK("https://pbs.twimg.com/profile_images/905698959787560960/iRyj2tU-_normal.jpg","View")</f>
        <v>View</v>
      </c>
      <c r="P8428" s="10"/>
    </row>
    <row r="8429" customFormat="false" ht="15.75" hidden="false" customHeight="false" outlineLevel="0" collapsed="false">
      <c r="A8429" s="6" t="n">
        <v>43032.4016435185</v>
      </c>
      <c r="B8429" s="7" t="str">
        <f aca="false">HYPERLINK("https://twitter.com/AOZDU","@AOZDU")</f>
        <v>@AOZDU</v>
      </c>
      <c r="C8429" s="8" t="s">
        <v>18490</v>
      </c>
      <c r="D8429" s="8" t="s">
        <v>18491</v>
      </c>
      <c r="E8429" s="9" t="str">
        <f aca="false">HYPERLINK("https://twitter.com/AOZDU/status/922864856872701952","922864856872701952")</f>
        <v>922864856872701952</v>
      </c>
      <c r="F8429" s="10" t="s">
        <v>60</v>
      </c>
      <c r="G8429" s="10" t="n">
        <v>241</v>
      </c>
      <c r="H8429" s="10" t="n">
        <v>583</v>
      </c>
      <c r="I8429" s="10" t="n">
        <v>0</v>
      </c>
      <c r="J8429" s="10" t="n">
        <v>0</v>
      </c>
      <c r="K8429" s="10" t="s">
        <v>20</v>
      </c>
      <c r="L8429" s="11" t="n">
        <v>42812.108587963</v>
      </c>
      <c r="M8429" s="12" t="s">
        <v>1039</v>
      </c>
      <c r="N8429" s="12" t="s">
        <v>18492</v>
      </c>
      <c r="O8429" s="9" t="str">
        <f aca="false">HYPERLINK("https://pbs.twimg.com/profile_images/845561588182605826/D0a7AYat_normal.jpg","View")</f>
        <v>View</v>
      </c>
      <c r="P8429" s="10"/>
    </row>
    <row r="8430" customFormat="false" ht="15.75" hidden="false" customHeight="false" outlineLevel="0" collapsed="false">
      <c r="A8430" s="6" t="n">
        <v>43032.4030324074</v>
      </c>
      <c r="B8430" s="7" t="str">
        <f aca="false">HYPERLINK("https://twitter.com/9NewsAdel","@9NewsAdel")</f>
        <v>@9NewsAdel</v>
      </c>
      <c r="C8430" s="8" t="s">
        <v>18493</v>
      </c>
      <c r="D8430" s="8" t="s">
        <v>18494</v>
      </c>
      <c r="E8430" s="9" t="str">
        <f aca="false">HYPERLINK("https://twitter.com/9NewsAdel/status/922865359958564864","922865359958564864")</f>
        <v>922865359958564864</v>
      </c>
      <c r="F8430" s="10" t="s">
        <v>110</v>
      </c>
      <c r="G8430" s="10" t="n">
        <v>63937</v>
      </c>
      <c r="H8430" s="10" t="n">
        <v>1257</v>
      </c>
      <c r="I8430" s="10" t="n">
        <v>6</v>
      </c>
      <c r="J8430" s="10" t="n">
        <v>0</v>
      </c>
      <c r="K8430" s="10" t="s">
        <v>20</v>
      </c>
      <c r="L8430" s="11" t="n">
        <v>40603.7358449074</v>
      </c>
      <c r="M8430" s="12" t="s">
        <v>18495</v>
      </c>
      <c r="N8430" s="12" t="s">
        <v>18496</v>
      </c>
      <c r="O8430" s="9" t="str">
        <f aca="false">HYPERLINK("https://pbs.twimg.com/profile_images/877746000869302273/3O37Gvrv_normal.jpg","View")</f>
        <v>View</v>
      </c>
      <c r="P8430" s="10"/>
    </row>
    <row r="8431" customFormat="false" ht="15.75" hidden="false" customHeight="false" outlineLevel="0" collapsed="false">
      <c r="A8431" s="6" t="n">
        <v>43032.4030902778</v>
      </c>
      <c r="B8431" s="7" t="str">
        <f aca="false">HYPERLINK("https://twitter.com/9NewsGoldCoast","@9NewsGoldCoast")</f>
        <v>@9NewsGoldCoast</v>
      </c>
      <c r="C8431" s="8" t="s">
        <v>18497</v>
      </c>
      <c r="D8431" s="8" t="s">
        <v>18494</v>
      </c>
      <c r="E8431" s="9" t="str">
        <f aca="false">HYPERLINK("https://twitter.com/9NewsGoldCoast/status/922865382599294977","922865382599294977")</f>
        <v>922865382599294977</v>
      </c>
      <c r="F8431" s="10" t="s">
        <v>110</v>
      </c>
      <c r="G8431" s="10" t="n">
        <v>32814</v>
      </c>
      <c r="H8431" s="10" t="n">
        <v>417</v>
      </c>
      <c r="I8431" s="10" t="n">
        <v>6</v>
      </c>
      <c r="J8431" s="10" t="n">
        <v>0</v>
      </c>
      <c r="K8431" s="10" t="s">
        <v>20</v>
      </c>
      <c r="L8431" s="11" t="n">
        <v>39926.7863773148</v>
      </c>
      <c r="M8431" s="12" t="s">
        <v>18498</v>
      </c>
      <c r="N8431" s="12" t="s">
        <v>18499</v>
      </c>
      <c r="O8431" s="9" t="str">
        <f aca="false">HYPERLINK("https://pbs.twimg.com/profile_images/885748850949931008/HDWtBHqA_normal.jpg","View")</f>
        <v>View</v>
      </c>
      <c r="P8431" s="10"/>
    </row>
    <row r="8432" customFormat="false" ht="15.75" hidden="false" customHeight="false" outlineLevel="0" collapsed="false">
      <c r="A8432" s="6" t="n">
        <v>43032.4031365741</v>
      </c>
      <c r="B8432" s="7" t="str">
        <f aca="false">HYPERLINK("https://twitter.com/9NewsMelb","@9NewsMelb")</f>
        <v>@9NewsMelb</v>
      </c>
      <c r="C8432" s="8" t="s">
        <v>18500</v>
      </c>
      <c r="D8432" s="8" t="s">
        <v>18494</v>
      </c>
      <c r="E8432" s="9" t="str">
        <f aca="false">HYPERLINK("https://twitter.com/9NewsMelb/status/922865398797815809","922865398797815809")</f>
        <v>922865398797815809</v>
      </c>
      <c r="F8432" s="10" t="s">
        <v>110</v>
      </c>
      <c r="G8432" s="10" t="n">
        <v>109688</v>
      </c>
      <c r="H8432" s="10" t="n">
        <v>2396</v>
      </c>
      <c r="I8432" s="10" t="n">
        <v>6</v>
      </c>
      <c r="J8432" s="10" t="n">
        <v>0</v>
      </c>
      <c r="K8432" s="10" t="s">
        <v>20</v>
      </c>
      <c r="L8432" s="11" t="n">
        <v>40415.731412037</v>
      </c>
      <c r="M8432" s="12" t="s">
        <v>3535</v>
      </c>
      <c r="N8432" s="12" t="s">
        <v>18501</v>
      </c>
      <c r="O8432" s="9" t="str">
        <f aca="false">HYPERLINK("https://pbs.twimg.com/profile_images/877785910724526080/sYvXIhVN_normal.jpg","View")</f>
        <v>View</v>
      </c>
      <c r="P8432" s="10"/>
    </row>
    <row r="8433" customFormat="false" ht="15.75" hidden="false" customHeight="false" outlineLevel="0" collapsed="false">
      <c r="A8433" s="6" t="n">
        <v>43032.4031828704</v>
      </c>
      <c r="B8433" s="7" t="str">
        <f aca="false">HYPERLINK("https://twitter.com/9NewsQueensland","@9NewsQueensland")</f>
        <v>@9NewsQueensland</v>
      </c>
      <c r="C8433" s="8" t="s">
        <v>18502</v>
      </c>
      <c r="D8433" s="8" t="s">
        <v>18494</v>
      </c>
      <c r="E8433" s="9" t="str">
        <f aca="false">HYPERLINK("https://twitter.com/9NewsQueensland/status/922865416166432768","922865416166432768")</f>
        <v>922865416166432768</v>
      </c>
      <c r="F8433" s="10" t="s">
        <v>110</v>
      </c>
      <c r="G8433" s="10" t="n">
        <v>123073</v>
      </c>
      <c r="H8433" s="10" t="n">
        <v>9848</v>
      </c>
      <c r="I8433" s="10" t="n">
        <v>6</v>
      </c>
      <c r="J8433" s="10" t="n">
        <v>0</v>
      </c>
      <c r="K8433" s="10" t="s">
        <v>20</v>
      </c>
      <c r="L8433" s="11" t="n">
        <v>39931.8014467593</v>
      </c>
      <c r="M8433" s="12" t="s">
        <v>18503</v>
      </c>
      <c r="N8433" s="12" t="s">
        <v>18504</v>
      </c>
      <c r="O8433" s="9" t="str">
        <f aca="false">HYPERLINK("https://pbs.twimg.com/profile_images/885748332525535232/wYlhX41t_normal.jpg","View")</f>
        <v>View</v>
      </c>
      <c r="P8433" s="10"/>
    </row>
    <row r="8434" customFormat="false" ht="15.75" hidden="false" customHeight="false" outlineLevel="0" collapsed="false">
      <c r="A8434" s="6" t="n">
        <v>43032.4032291667</v>
      </c>
      <c r="B8434" s="7" t="str">
        <f aca="false">HYPERLINK("https://twitter.com/9NewsSyd","@9NewsSyd")</f>
        <v>@9NewsSyd</v>
      </c>
      <c r="C8434" s="8" t="s">
        <v>18505</v>
      </c>
      <c r="D8434" s="8" t="s">
        <v>18494</v>
      </c>
      <c r="E8434" s="9" t="str">
        <f aca="false">HYPERLINK("https://twitter.com/9NewsSyd/status/922865433354620928","922865433354620928")</f>
        <v>922865433354620928</v>
      </c>
      <c r="F8434" s="10" t="s">
        <v>110</v>
      </c>
      <c r="G8434" s="10" t="n">
        <v>84728</v>
      </c>
      <c r="H8434" s="10" t="n">
        <v>194</v>
      </c>
      <c r="I8434" s="10" t="n">
        <v>6</v>
      </c>
      <c r="J8434" s="10" t="n">
        <v>0</v>
      </c>
      <c r="K8434" s="10" t="s">
        <v>20</v>
      </c>
      <c r="L8434" s="11" t="n">
        <v>40386.950150463</v>
      </c>
      <c r="M8434" s="12" t="s">
        <v>2806</v>
      </c>
      <c r="N8434" s="12" t="s">
        <v>18506</v>
      </c>
      <c r="O8434" s="9" t="str">
        <f aca="false">HYPERLINK("https://pbs.twimg.com/profile_images/907488269503307777/8mFEvP-2_normal.jpg","View")</f>
        <v>View</v>
      </c>
      <c r="P8434" s="10"/>
    </row>
    <row r="8435" customFormat="false" ht="15.75" hidden="false" customHeight="false" outlineLevel="0" collapsed="false">
      <c r="A8435" s="6" t="n">
        <v>43032.4054398148</v>
      </c>
      <c r="B8435" s="7" t="str">
        <f aca="false">HYPERLINK("https://twitter.com/MichaelMichelno","@MichaelMichelno")</f>
        <v>@MichaelMichelno</v>
      </c>
      <c r="C8435" s="8" t="s">
        <v>13607</v>
      </c>
      <c r="D8435" s="8" t="s">
        <v>18444</v>
      </c>
      <c r="E8435" s="9" t="str">
        <f aca="false">HYPERLINK("https://twitter.com/MichaelMichelno/status/922866232688340992","922866232688340992")</f>
        <v>922866232688340992</v>
      </c>
      <c r="F8435" s="10" t="s">
        <v>25</v>
      </c>
      <c r="G8435" s="10" t="n">
        <v>170</v>
      </c>
      <c r="H8435" s="10" t="n">
        <v>214</v>
      </c>
      <c r="I8435" s="10" t="n">
        <v>13</v>
      </c>
      <c r="J8435" s="10" t="n">
        <v>0</v>
      </c>
      <c r="K8435" s="10" t="s">
        <v>20</v>
      </c>
      <c r="L8435" s="11" t="n">
        <v>42978.417650463</v>
      </c>
      <c r="M8435" s="12"/>
      <c r="N8435" s="12"/>
      <c r="O8435" s="9" t="str">
        <f aca="false">HYPERLINK("https://abs.twimg.com/sticky/default_profile_images/default_profile_normal.png","View")</f>
        <v>View</v>
      </c>
      <c r="P8435" s="10"/>
    </row>
    <row r="8436" customFormat="false" ht="15.75" hidden="false" customHeight="false" outlineLevel="0" collapsed="false">
      <c r="A8436" s="6" t="n">
        <v>43032.4070486111</v>
      </c>
      <c r="B8436" s="7" t="str">
        <f aca="false">HYPERLINK("https://twitter.com/RGAME2","@RGAME2")</f>
        <v>@RGAME2</v>
      </c>
      <c r="C8436" s="8" t="s">
        <v>18507</v>
      </c>
      <c r="D8436" s="8" t="s">
        <v>18508</v>
      </c>
      <c r="E8436" s="9" t="str">
        <f aca="false">HYPERLINK("https://twitter.com/RGAME2/status/922866815830712320","922866815830712320")</f>
        <v>922866815830712320</v>
      </c>
      <c r="F8436" s="10" t="s">
        <v>25</v>
      </c>
      <c r="G8436" s="10" t="n">
        <v>581</v>
      </c>
      <c r="H8436" s="10" t="n">
        <v>1776</v>
      </c>
      <c r="I8436" s="10" t="n">
        <v>1</v>
      </c>
      <c r="J8436" s="10" t="n">
        <v>0</v>
      </c>
      <c r="K8436" s="10" t="s">
        <v>20</v>
      </c>
      <c r="L8436" s="11" t="n">
        <v>40213.4849652778</v>
      </c>
      <c r="M8436" s="12" t="s">
        <v>18509</v>
      </c>
      <c r="N8436" s="12" t="s">
        <v>18510</v>
      </c>
      <c r="O8436" s="9" t="str">
        <f aca="false">HYPERLINK("https://pbs.twimg.com/profile_images/922817613998067712/c2Dr9Dgy_normal.jpg","View")</f>
        <v>View</v>
      </c>
      <c r="P8436" s="10"/>
    </row>
    <row r="8437" customFormat="false" ht="15.75" hidden="false" customHeight="false" outlineLevel="0" collapsed="false">
      <c r="A8437" s="6" t="n">
        <v>43032.4087152778</v>
      </c>
      <c r="B8437" s="7" t="str">
        <f aca="false">HYPERLINK("https://twitter.com/VeroniqueJEROME","@VeroniqueJEROME")</f>
        <v>@VeroniqueJEROME</v>
      </c>
      <c r="C8437" s="8" t="s">
        <v>18511</v>
      </c>
      <c r="D8437" s="8" t="s">
        <v>17933</v>
      </c>
      <c r="E8437" s="9" t="str">
        <f aca="false">HYPERLINK("https://twitter.com/VeroniqueJEROME/status/922867421056262149","922867421056262149")</f>
        <v>922867421056262149</v>
      </c>
      <c r="F8437" s="10" t="s">
        <v>177</v>
      </c>
      <c r="G8437" s="10" t="n">
        <v>430</v>
      </c>
      <c r="H8437" s="10" t="n">
        <v>1023</v>
      </c>
      <c r="I8437" s="10" t="n">
        <v>6</v>
      </c>
      <c r="J8437" s="10" t="n">
        <v>0</v>
      </c>
      <c r="K8437" s="10" t="s">
        <v>20</v>
      </c>
      <c r="L8437" s="11" t="n">
        <v>41151.2987615741</v>
      </c>
      <c r="M8437" s="12"/>
      <c r="N8437" s="12" t="s">
        <v>18512</v>
      </c>
      <c r="O8437" s="9" t="str">
        <f aca="false">HYPERLINK("https://pbs.twimg.com/profile_images/914398492822507520/xOtmvG9S_normal.jpg","View")</f>
        <v>View</v>
      </c>
      <c r="P8437" s="10"/>
    </row>
    <row r="8438" customFormat="false" ht="15.75" hidden="false" customHeight="false" outlineLevel="0" collapsed="false">
      <c r="A8438" s="6" t="n">
        <v>43032.4090972222</v>
      </c>
      <c r="B8438" s="7" t="str">
        <f aca="false">HYPERLINK("https://twitter.com/aki_pwd7","@aki_pwd7")</f>
        <v>@aki_pwd7</v>
      </c>
      <c r="C8438" s="8" t="s">
        <v>18513</v>
      </c>
      <c r="D8438" s="8" t="s">
        <v>18514</v>
      </c>
      <c r="E8438" s="9" t="str">
        <f aca="false">HYPERLINK("https://twitter.com/aki_pwd7/status/922867557219962880","922867557219962880")</f>
        <v>922867557219962880</v>
      </c>
      <c r="F8438" s="10" t="s">
        <v>51</v>
      </c>
      <c r="G8438" s="10" t="n">
        <v>144</v>
      </c>
      <c r="H8438" s="10" t="n">
        <v>147</v>
      </c>
      <c r="I8438" s="10" t="n">
        <v>0</v>
      </c>
      <c r="J8438" s="10" t="n">
        <v>0</v>
      </c>
      <c r="K8438" s="10" t="s">
        <v>20</v>
      </c>
      <c r="L8438" s="11" t="n">
        <v>40117.2125115741</v>
      </c>
      <c r="M8438" s="12" t="s">
        <v>18515</v>
      </c>
      <c r="N8438" s="12" t="s">
        <v>18516</v>
      </c>
      <c r="O8438" s="9" t="str">
        <f aca="false">HYPERLINK("https://pbs.twimg.com/profile_images/746832974616760320/DX-8xJLw_normal.jpg","View")</f>
        <v>View</v>
      </c>
      <c r="P8438" s="10"/>
    </row>
    <row r="8439" customFormat="false" ht="15.75" hidden="false" customHeight="false" outlineLevel="0" collapsed="false">
      <c r="A8439" s="6" t="n">
        <v>43032.4104398148</v>
      </c>
      <c r="B8439" s="7" t="str">
        <f aca="false">HYPERLINK("https://twitter.com/DanielB74377581","@DanielB74377581")</f>
        <v>@DanielB74377581</v>
      </c>
      <c r="C8439" s="8" t="s">
        <v>18517</v>
      </c>
      <c r="D8439" s="8" t="s">
        <v>16929</v>
      </c>
      <c r="E8439" s="9" t="str">
        <f aca="false">HYPERLINK("https://twitter.com/DanielB74377581/status/922868042828341250","922868042828341250")</f>
        <v>922868042828341250</v>
      </c>
      <c r="F8439" s="10" t="s">
        <v>25</v>
      </c>
      <c r="G8439" s="10" t="n">
        <v>16</v>
      </c>
      <c r="H8439" s="10" t="n">
        <v>92</v>
      </c>
      <c r="I8439" s="10" t="n">
        <v>247</v>
      </c>
      <c r="J8439" s="10" t="n">
        <v>0</v>
      </c>
      <c r="K8439" s="10" t="s">
        <v>20</v>
      </c>
      <c r="L8439" s="11" t="n">
        <v>42683.5083101852</v>
      </c>
      <c r="M8439" s="12"/>
      <c r="N8439" s="12"/>
      <c r="O8439" s="9" t="str">
        <f aca="false">HYPERLINK("https://abs.twimg.com/sticky/default_profile_images/default_profile_normal.png","View")</f>
        <v>View</v>
      </c>
      <c r="P8439" s="10"/>
    </row>
    <row r="8440" customFormat="false" ht="15.75" hidden="false" customHeight="false" outlineLevel="0" collapsed="false">
      <c r="A8440" s="6" t="n">
        <v>43032.4115162037</v>
      </c>
      <c r="B8440" s="7" t="str">
        <f aca="false">HYPERLINK("https://twitter.com/Kthom4Thompson","@Kthom4Thompson")</f>
        <v>@Kthom4Thompson</v>
      </c>
      <c r="C8440" s="8" t="s">
        <v>18518</v>
      </c>
      <c r="D8440" s="8" t="s">
        <v>16929</v>
      </c>
      <c r="E8440" s="9" t="str">
        <f aca="false">HYPERLINK("https://twitter.com/Kthom4Thompson/status/922868433112485888","922868433112485888")</f>
        <v>922868433112485888</v>
      </c>
      <c r="F8440" s="10" t="s">
        <v>177</v>
      </c>
      <c r="G8440" s="10" t="n">
        <v>48</v>
      </c>
      <c r="H8440" s="10" t="n">
        <v>348</v>
      </c>
      <c r="I8440" s="10" t="n">
        <v>247</v>
      </c>
      <c r="J8440" s="10" t="n">
        <v>0</v>
      </c>
      <c r="K8440" s="10" t="s">
        <v>20</v>
      </c>
      <c r="L8440" s="11" t="n">
        <v>41991.7028472222</v>
      </c>
      <c r="M8440" s="12" t="s">
        <v>18519</v>
      </c>
      <c r="N8440" s="12"/>
      <c r="O8440" s="9" t="str">
        <f aca="false">HYPERLINK("https://abs.twimg.com/sticky/default_profile_images/default_profile_normal.png","View")</f>
        <v>View</v>
      </c>
      <c r="P8440" s="10"/>
    </row>
    <row r="8441" customFormat="false" ht="15.75" hidden="false" customHeight="false" outlineLevel="0" collapsed="false">
      <c r="A8441" s="6" t="n">
        <v>43032.4155324074</v>
      </c>
      <c r="B8441" s="7" t="str">
        <f aca="false">HYPERLINK("https://twitter.com/LucaTentoni1","@LucaTentoni1")</f>
        <v>@LucaTentoni1</v>
      </c>
      <c r="C8441" s="8" t="s">
        <v>18520</v>
      </c>
      <c r="D8441" s="8" t="s">
        <v>17933</v>
      </c>
      <c r="E8441" s="9" t="str">
        <f aca="false">HYPERLINK("https://twitter.com/LucaTentoni1/status/922869888242388993","922869888242388993")</f>
        <v>922869888242388993</v>
      </c>
      <c r="F8441" s="10" t="s">
        <v>39</v>
      </c>
      <c r="G8441" s="10" t="n">
        <v>8779</v>
      </c>
      <c r="H8441" s="10" t="n">
        <v>3000</v>
      </c>
      <c r="I8441" s="10" t="n">
        <v>6</v>
      </c>
      <c r="J8441" s="10" t="n">
        <v>0</v>
      </c>
      <c r="K8441" s="10" t="s">
        <v>20</v>
      </c>
      <c r="L8441" s="11" t="n">
        <v>41647.3260763889</v>
      </c>
      <c r="M8441" s="12"/>
      <c r="N8441" s="12" t="s">
        <v>18521</v>
      </c>
      <c r="O8441" s="9" t="str">
        <f aca="false">HYPERLINK("https://pbs.twimg.com/profile_images/420946673511059456/aW7M5Qqd_normal.jpeg","View")</f>
        <v>View</v>
      </c>
      <c r="P8441" s="10"/>
    </row>
    <row r="8442" customFormat="false" ht="15.75" hidden="false" customHeight="false" outlineLevel="0" collapsed="false">
      <c r="A8442" s="6" t="n">
        <v>43032.4197916667</v>
      </c>
      <c r="B8442" s="7" t="str">
        <f aca="false">HYPERLINK("https://twitter.com/EmilioEsteban06","@EmilioEsteban06")</f>
        <v>@EmilioEsteban06</v>
      </c>
      <c r="C8442" s="8" t="s">
        <v>8380</v>
      </c>
      <c r="D8442" s="8" t="s">
        <v>18522</v>
      </c>
      <c r="E8442" s="9" t="str">
        <f aca="false">HYPERLINK("https://twitter.com/EmilioEsteban06/status/922871434308878337","922871434308878337")</f>
        <v>922871434308878337</v>
      </c>
      <c r="F8442" s="10" t="s">
        <v>331</v>
      </c>
      <c r="G8442" s="10" t="n">
        <v>490</v>
      </c>
      <c r="H8442" s="10" t="n">
        <v>686</v>
      </c>
      <c r="I8442" s="10" t="n">
        <v>0</v>
      </c>
      <c r="J8442" s="10" t="n">
        <v>0</v>
      </c>
      <c r="K8442" s="10" t="s">
        <v>20</v>
      </c>
      <c r="L8442" s="11" t="n">
        <v>40922.8612847222</v>
      </c>
      <c r="M8442" s="12" t="s">
        <v>8382</v>
      </c>
      <c r="N8442" s="12" t="s">
        <v>8383</v>
      </c>
      <c r="O8442" s="9" t="str">
        <f aca="false">HYPERLINK("https://pbs.twimg.com/profile_images/732304310319632384/IxzodeDZ_normal.jpg","View")</f>
        <v>View</v>
      </c>
      <c r="P8442" s="10"/>
    </row>
    <row r="8443" customFormat="false" ht="15.75" hidden="false" customHeight="false" outlineLevel="0" collapsed="false">
      <c r="A8443" s="6" t="n">
        <v>43032.4201157407</v>
      </c>
      <c r="B8443" s="7" t="str">
        <f aca="false">HYPERLINK("https://twitter.com/TabberAnn","@TabberAnn")</f>
        <v>@TabberAnn</v>
      </c>
      <c r="C8443" s="8" t="s">
        <v>18523</v>
      </c>
      <c r="D8443" s="8" t="s">
        <v>16929</v>
      </c>
      <c r="E8443" s="9" t="str">
        <f aca="false">HYPERLINK("https://twitter.com/TabberAnn/status/922871550956785665","922871550956785665")</f>
        <v>922871550956785665</v>
      </c>
      <c r="F8443" s="10" t="s">
        <v>25</v>
      </c>
      <c r="G8443" s="10" t="n">
        <v>2418</v>
      </c>
      <c r="H8443" s="10" t="n">
        <v>5001</v>
      </c>
      <c r="I8443" s="10" t="n">
        <v>247</v>
      </c>
      <c r="J8443" s="10" t="n">
        <v>0</v>
      </c>
      <c r="K8443" s="10" t="s">
        <v>20</v>
      </c>
      <c r="L8443" s="11" t="n">
        <v>41176.7101967593</v>
      </c>
      <c r="M8443" s="12" t="s">
        <v>601</v>
      </c>
      <c r="N8443" s="12" t="s">
        <v>18524</v>
      </c>
      <c r="O8443" s="9" t="str">
        <f aca="false">HYPERLINK("https://pbs.twimg.com/profile_images/847053647347437568/d5isFBLL_normal.jpg","View")</f>
        <v>View</v>
      </c>
      <c r="P8443" s="10"/>
    </row>
    <row r="8444" customFormat="false" ht="15.75" hidden="false" customHeight="false" outlineLevel="0" collapsed="false">
      <c r="A8444" s="6" t="n">
        <v>43032.4204976852</v>
      </c>
      <c r="B8444" s="7" t="str">
        <f aca="false">HYPERLINK("https://twitter.com/lingeshgdvg","@lingeshgdvg")</f>
        <v>@lingeshgdvg</v>
      </c>
      <c r="C8444" s="8" t="s">
        <v>18525</v>
      </c>
      <c r="D8444" s="8" t="s">
        <v>8538</v>
      </c>
      <c r="E8444" s="9" t="str">
        <f aca="false">HYPERLINK("https://twitter.com/lingeshgdvg/status/922871691323125760","922871691323125760")</f>
        <v>922871691323125760</v>
      </c>
      <c r="F8444" s="10" t="s">
        <v>25</v>
      </c>
      <c r="G8444" s="10" t="n">
        <v>128</v>
      </c>
      <c r="H8444" s="10" t="n">
        <v>56</v>
      </c>
      <c r="I8444" s="10" t="n">
        <v>1015</v>
      </c>
      <c r="J8444" s="10" t="n">
        <v>0</v>
      </c>
      <c r="K8444" s="10" t="s">
        <v>20</v>
      </c>
      <c r="L8444" s="11" t="n">
        <v>40905.2533449074</v>
      </c>
      <c r="M8444" s="12" t="s">
        <v>18526</v>
      </c>
      <c r="N8444" s="12"/>
      <c r="O8444" s="9" t="str">
        <f aca="false">HYPERLINK("https://pbs.twimg.com/profile_images/847666858060685312/Fd9UlxPZ_normal.jpg","View")</f>
        <v>View</v>
      </c>
      <c r="P8444" s="10"/>
    </row>
    <row r="8445" customFormat="false" ht="15.75" hidden="false" customHeight="false" outlineLevel="0" collapsed="false">
      <c r="A8445" s="6" t="n">
        <v>43032.4220601852</v>
      </c>
      <c r="B8445" s="7" t="str">
        <f aca="false">HYPERLINK("https://twitter.com/CMDemClub","@CMDemClub")</f>
        <v>@CMDemClub</v>
      </c>
      <c r="C8445" s="8" t="s">
        <v>18527</v>
      </c>
      <c r="D8445" s="8" t="s">
        <v>18528</v>
      </c>
      <c r="E8445" s="9" t="str">
        <f aca="false">HYPERLINK("https://twitter.com/CMDemClub/status/922872254957891584","922872254957891584")</f>
        <v>922872254957891584</v>
      </c>
      <c r="F8445" s="10" t="s">
        <v>51</v>
      </c>
      <c r="G8445" s="10" t="n">
        <v>149</v>
      </c>
      <c r="H8445" s="10" t="n">
        <v>499</v>
      </c>
      <c r="I8445" s="10" t="n">
        <v>0</v>
      </c>
      <c r="J8445" s="10" t="n">
        <v>0</v>
      </c>
      <c r="K8445" s="10" t="s">
        <v>20</v>
      </c>
      <c r="L8445" s="11" t="n">
        <v>41450.4515972222</v>
      </c>
      <c r="M8445" s="12" t="s">
        <v>18529</v>
      </c>
      <c r="N8445" s="12" t="s">
        <v>18530</v>
      </c>
      <c r="O8445" s="9" t="str">
        <f aca="false">HYPERLINK("https://pbs.twimg.com/profile_images/378800000045062374/18f95e6f094c532d286c8d030c5411b7_normal.jpeg","View")</f>
        <v>View</v>
      </c>
      <c r="P8445" s="10"/>
    </row>
    <row r="8446" customFormat="false" ht="15.75" hidden="false" customHeight="false" outlineLevel="0" collapsed="false">
      <c r="A8446" s="6" t="n">
        <v>43032.4228587963</v>
      </c>
      <c r="B8446" s="7" t="str">
        <f aca="false">HYPERLINK("https://twitter.com/HRCoclbps","@HRCoclbps")</f>
        <v>@HRCoclbps</v>
      </c>
      <c r="C8446" s="8" t="s">
        <v>18531</v>
      </c>
      <c r="D8446" s="8" t="s">
        <v>18532</v>
      </c>
      <c r="E8446" s="9" t="str">
        <f aca="false">HYPERLINK("https://twitter.com/HRCoclbps/status/922872543731621893","922872543731621893")</f>
        <v>922872543731621893</v>
      </c>
      <c r="F8446" s="10" t="s">
        <v>51</v>
      </c>
      <c r="G8446" s="10" t="n">
        <v>1034</v>
      </c>
      <c r="H8446" s="10" t="n">
        <v>877</v>
      </c>
      <c r="I8446" s="10" t="n">
        <v>0</v>
      </c>
      <c r="J8446" s="10" t="n">
        <v>0</v>
      </c>
      <c r="K8446" s="10" t="s">
        <v>20</v>
      </c>
      <c r="L8446" s="11" t="n">
        <v>39909.6764583333</v>
      </c>
      <c r="M8446" s="12" t="s">
        <v>18533</v>
      </c>
      <c r="N8446" s="12" t="s">
        <v>18534</v>
      </c>
      <c r="O8446" s="9" t="str">
        <f aca="false">HYPERLINK("https://pbs.twimg.com/profile_images/879578276489867264/2IYOYZKF_normal.jpg","View")</f>
        <v>View</v>
      </c>
      <c r="P8446" s="10"/>
    </row>
    <row r="8447" customFormat="false" ht="15.75" hidden="false" customHeight="false" outlineLevel="0" collapsed="false">
      <c r="A8447" s="6" t="n">
        <v>43032.4261921296</v>
      </c>
      <c r="B8447" s="7" t="str">
        <f aca="false">HYPERLINK("https://twitter.com/EggmanOrWalrus","@EggmanOrWalrus")</f>
        <v>@EggmanOrWalrus</v>
      </c>
      <c r="C8447" s="8" t="s">
        <v>16773</v>
      </c>
      <c r="D8447" s="8" t="s">
        <v>18535</v>
      </c>
      <c r="E8447" s="9" t="str">
        <f aca="false">HYPERLINK("https://twitter.com/EggmanOrWalrus/status/922873754388238343","922873754388238343")</f>
        <v>922873754388238343</v>
      </c>
      <c r="F8447" s="10" t="s">
        <v>16775</v>
      </c>
      <c r="G8447" s="10" t="n">
        <v>149</v>
      </c>
      <c r="H8447" s="10" t="n">
        <v>35</v>
      </c>
      <c r="I8447" s="10" t="n">
        <v>0</v>
      </c>
      <c r="J8447" s="10" t="n">
        <v>0</v>
      </c>
      <c r="K8447" s="10" t="s">
        <v>20</v>
      </c>
      <c r="L8447" s="11" t="n">
        <v>39883.6917476852</v>
      </c>
      <c r="M8447" s="12" t="s">
        <v>588</v>
      </c>
      <c r="N8447" s="12" t="s">
        <v>16776</v>
      </c>
      <c r="O8447" s="9" t="str">
        <f aca="false">HYPERLINK("https://pbs.twimg.com/profile_images/805175433767567360/yLKWytM0_normal.jpg","View")</f>
        <v>View</v>
      </c>
      <c r="P8447" s="10"/>
    </row>
    <row r="8448" customFormat="false" ht="15.75" hidden="false" customHeight="false" outlineLevel="0" collapsed="false">
      <c r="A8448" s="6" t="n">
        <v>43032.4264930556</v>
      </c>
      <c r="B8448" s="7" t="str">
        <f aca="false">HYPERLINK("https://twitter.com/YMysowers","@YMysowers")</f>
        <v>@YMysowers</v>
      </c>
      <c r="C8448" s="8" t="s">
        <v>18536</v>
      </c>
      <c r="D8448" s="8" t="s">
        <v>16929</v>
      </c>
      <c r="E8448" s="9" t="str">
        <f aca="false">HYPERLINK("https://twitter.com/YMysowers/status/922873860101492736","922873860101492736")</f>
        <v>922873860101492736</v>
      </c>
      <c r="F8448" s="10" t="s">
        <v>51</v>
      </c>
      <c r="G8448" s="10" t="n">
        <v>27</v>
      </c>
      <c r="H8448" s="10" t="n">
        <v>74</v>
      </c>
      <c r="I8448" s="10" t="n">
        <v>247</v>
      </c>
      <c r="J8448" s="10" t="n">
        <v>0</v>
      </c>
      <c r="K8448" s="10" t="s">
        <v>20</v>
      </c>
      <c r="L8448" s="11" t="n">
        <v>41350.7065046296</v>
      </c>
      <c r="M8448" s="12"/>
      <c r="N8448" s="12"/>
      <c r="O8448" s="9" t="str">
        <f aca="false">HYPERLINK("https://pbs.twimg.com/profile_images/3427848272/d400fcabe5a6f673c9bfa1f0782406f8_normal.jpeg","View")</f>
        <v>View</v>
      </c>
      <c r="P8448" s="10"/>
    </row>
    <row r="8449" customFormat="false" ht="15.75" hidden="false" customHeight="false" outlineLevel="0" collapsed="false">
      <c r="A8449" s="6" t="n">
        <v>43032.4317939815</v>
      </c>
      <c r="B8449" s="7" t="str">
        <f aca="false">HYPERLINK("https://twitter.com/jaras808","@jaras808")</f>
        <v>@jaras808</v>
      </c>
      <c r="C8449" s="8" t="s">
        <v>17671</v>
      </c>
      <c r="D8449" s="8" t="s">
        <v>16413</v>
      </c>
      <c r="E8449" s="9" t="str">
        <f aca="false">HYPERLINK("https://twitter.com/jaras808/status/922875782120304640","922875782120304640")</f>
        <v>922875782120304640</v>
      </c>
      <c r="F8449" s="10" t="s">
        <v>25</v>
      </c>
      <c r="G8449" s="10" t="n">
        <v>560</v>
      </c>
      <c r="H8449" s="10" t="n">
        <v>487</v>
      </c>
      <c r="I8449" s="10" t="n">
        <v>46</v>
      </c>
      <c r="J8449" s="10" t="n">
        <v>0</v>
      </c>
      <c r="K8449" s="10" t="s">
        <v>20</v>
      </c>
      <c r="L8449" s="11" t="n">
        <v>42050.5067361111</v>
      </c>
      <c r="M8449" s="12"/>
      <c r="N8449" s="12"/>
      <c r="O8449" s="9" t="str">
        <f aca="false">HYPERLINK("https://pbs.twimg.com/profile_images/666005670328713216/ETJnWJFa_normal.jpg","View")</f>
        <v>View</v>
      </c>
      <c r="P8449" s="10"/>
    </row>
    <row r="8450" customFormat="false" ht="15.75" hidden="false" customHeight="false" outlineLevel="0" collapsed="false">
      <c r="A8450" s="6" t="n">
        <v>43032.4342476852</v>
      </c>
      <c r="B8450" s="7" t="str">
        <f aca="false">HYPERLINK("https://twitter.com/Alessan39702046","@Alessan39702046")</f>
        <v>@Alessan39702046</v>
      </c>
      <c r="C8450" s="8" t="s">
        <v>18537</v>
      </c>
      <c r="D8450" s="8" t="s">
        <v>18538</v>
      </c>
      <c r="E8450" s="9" t="str">
        <f aca="false">HYPERLINK("https://twitter.com/Alessan39702046/status/922876673648877569","922876673648877569")</f>
        <v>922876673648877569</v>
      </c>
      <c r="F8450" s="10" t="s">
        <v>25</v>
      </c>
      <c r="G8450" s="10" t="n">
        <v>14</v>
      </c>
      <c r="H8450" s="10" t="n">
        <v>76</v>
      </c>
      <c r="I8450" s="10" t="n">
        <v>1</v>
      </c>
      <c r="J8450" s="10" t="n">
        <v>0</v>
      </c>
      <c r="K8450" s="10" t="s">
        <v>20</v>
      </c>
      <c r="L8450" s="11" t="n">
        <v>43020.1929166667</v>
      </c>
      <c r="M8450" s="12" t="s">
        <v>18539</v>
      </c>
      <c r="N8450" s="12" t="s">
        <v>18540</v>
      </c>
      <c r="O8450" s="9" t="str">
        <f aca="false">HYPERLINK("https://pbs.twimg.com/profile_images/918793496605097984/Akl78Gda_normal.jpg","View")</f>
        <v>View</v>
      </c>
      <c r="P8450" s="10"/>
    </row>
    <row r="8451" customFormat="false" ht="15.75" hidden="false" customHeight="false" outlineLevel="0" collapsed="false">
      <c r="A8451" s="6" t="n">
        <v>43032.4416319444</v>
      </c>
      <c r="B8451" s="7" t="str">
        <f aca="false">HYPERLINK("https://twitter.com/FSIStanford","@FSIStanford")</f>
        <v>@FSIStanford</v>
      </c>
      <c r="C8451" s="8" t="s">
        <v>18541</v>
      </c>
      <c r="D8451" s="8" t="s">
        <v>17614</v>
      </c>
      <c r="E8451" s="9" t="str">
        <f aca="false">HYPERLINK("https://twitter.com/FSIStanford/status/922879345961529347","922879345961529347")</f>
        <v>922879345961529347</v>
      </c>
      <c r="F8451" s="10" t="s">
        <v>39</v>
      </c>
      <c r="G8451" s="10" t="n">
        <v>7838</v>
      </c>
      <c r="H8451" s="10" t="n">
        <v>430</v>
      </c>
      <c r="I8451" s="10" t="n">
        <v>9</v>
      </c>
      <c r="J8451" s="10" t="n">
        <v>0</v>
      </c>
      <c r="K8451" s="10" t="s">
        <v>20</v>
      </c>
      <c r="L8451" s="11" t="n">
        <v>40513.5170486111</v>
      </c>
      <c r="M8451" s="12" t="s">
        <v>18542</v>
      </c>
      <c r="N8451" s="12" t="s">
        <v>18543</v>
      </c>
      <c r="O8451" s="9" t="str">
        <f aca="false">HYPERLINK("https://pbs.twimg.com/profile_images/923673026767372288/wXuQeXjs_normal.jpg","View")</f>
        <v>View</v>
      </c>
      <c r="P8451" s="10"/>
    </row>
    <row r="8452" customFormat="false" ht="15.75" hidden="false" customHeight="false" outlineLevel="0" collapsed="false">
      <c r="A8452" s="6" t="n">
        <v>43032.4491898148</v>
      </c>
      <c r="B8452" s="7" t="str">
        <f aca="false">HYPERLINK("https://twitter.com/itinittu","@itinittu")</f>
        <v>@itinittu</v>
      </c>
      <c r="C8452" s="14" t="s">
        <v>16348</v>
      </c>
      <c r="D8452" s="8" t="s">
        <v>17626</v>
      </c>
      <c r="E8452" s="9" t="str">
        <f aca="false">HYPERLINK("https://twitter.com/itinittu/status/922882085756555270","922882085756555270")</f>
        <v>922882085756555270</v>
      </c>
      <c r="F8452" s="10" t="s">
        <v>39</v>
      </c>
      <c r="G8452" s="10" t="n">
        <v>497</v>
      </c>
      <c r="H8452" s="10" t="n">
        <v>1354</v>
      </c>
      <c r="I8452" s="10" t="n">
        <v>51</v>
      </c>
      <c r="J8452" s="10" t="n">
        <v>0</v>
      </c>
      <c r="K8452" s="10" t="s">
        <v>20</v>
      </c>
      <c r="L8452" s="11" t="n">
        <v>40565.8453703704</v>
      </c>
      <c r="M8452" s="12"/>
      <c r="N8452" s="13" t="s">
        <v>16349</v>
      </c>
      <c r="O8452" s="9" t="str">
        <f aca="false">HYPERLINK("https://pbs.twimg.com/profile_images/1255277964/___086_normal.jpg","View")</f>
        <v>View</v>
      </c>
      <c r="P8452" s="10"/>
    </row>
    <row r="8453" customFormat="false" ht="15.75" hidden="false" customHeight="false" outlineLevel="0" collapsed="false">
      <c r="A8453" s="6" t="n">
        <v>43032.4505787037</v>
      </c>
      <c r="B8453" s="7" t="str">
        <f aca="false">HYPERLINK("https://twitter.com/CynthiaCozzo","@CynthiaCozzo")</f>
        <v>@CynthiaCozzo</v>
      </c>
      <c r="C8453" s="8" t="s">
        <v>18544</v>
      </c>
      <c r="D8453" s="8" t="s">
        <v>16929</v>
      </c>
      <c r="E8453" s="9" t="str">
        <f aca="false">HYPERLINK("https://twitter.com/CynthiaCozzo/status/922882589874061313","922882589874061313")</f>
        <v>922882589874061313</v>
      </c>
      <c r="F8453" s="10" t="s">
        <v>25</v>
      </c>
      <c r="G8453" s="10" t="n">
        <v>558</v>
      </c>
      <c r="H8453" s="10" t="n">
        <v>765</v>
      </c>
      <c r="I8453" s="10" t="n">
        <v>247</v>
      </c>
      <c r="J8453" s="10" t="n">
        <v>0</v>
      </c>
      <c r="K8453" s="10" t="s">
        <v>20</v>
      </c>
      <c r="L8453" s="11" t="n">
        <v>41615.6212268518</v>
      </c>
      <c r="M8453" s="12" t="s">
        <v>18545</v>
      </c>
      <c r="N8453" s="12" t="s">
        <v>18546</v>
      </c>
      <c r="O8453" s="9" t="str">
        <f aca="false">HYPERLINK("https://pbs.twimg.com/profile_images/838137617501704192/fuCtSAQG_normal.jpg","View")</f>
        <v>View</v>
      </c>
      <c r="P8453" s="10"/>
    </row>
    <row r="8454" customFormat="false" ht="15.75" hidden="false" customHeight="false" outlineLevel="0" collapsed="false">
      <c r="A8454" s="6" t="n">
        <v>43032.4622800926</v>
      </c>
      <c r="B8454" s="7" t="str">
        <f aca="false">HYPERLINK("https://twitter.com/pongodhall","@pongodhall")</f>
        <v>@pongodhall</v>
      </c>
      <c r="C8454" s="8" t="s">
        <v>18547</v>
      </c>
      <c r="D8454" s="8" t="s">
        <v>18548</v>
      </c>
      <c r="E8454" s="9" t="str">
        <f aca="false">HYPERLINK("https://twitter.com/pongodhall/status/922886829011062786","922886829011062786")</f>
        <v>922886829011062786</v>
      </c>
      <c r="F8454" s="10" t="s">
        <v>177</v>
      </c>
      <c r="G8454" s="10" t="n">
        <v>1135</v>
      </c>
      <c r="H8454" s="10" t="n">
        <v>2007</v>
      </c>
      <c r="I8454" s="10" t="n">
        <v>1</v>
      </c>
      <c r="J8454" s="10" t="n">
        <v>0</v>
      </c>
      <c r="K8454" s="10" t="s">
        <v>20</v>
      </c>
      <c r="L8454" s="11" t="n">
        <v>41139.1491435185</v>
      </c>
      <c r="M8454" s="12" t="s">
        <v>18549</v>
      </c>
      <c r="N8454" s="12" t="s">
        <v>18550</v>
      </c>
      <c r="O8454" s="9" t="str">
        <f aca="false">HYPERLINK("https://abs.twimg.com/sticky/default_profile_images/default_profile_normal.png","View")</f>
        <v>View</v>
      </c>
      <c r="P8454" s="10"/>
    </row>
    <row r="8455" customFormat="false" ht="15.75" hidden="false" customHeight="false" outlineLevel="0" collapsed="false">
      <c r="A8455" s="6" t="n">
        <v>43032.4685648148</v>
      </c>
      <c r="B8455" s="7" t="str">
        <f aca="false">HYPERLINK("https://twitter.com/Imagine_666666","@Imagine_666666")</f>
        <v>@Imagine_666666</v>
      </c>
      <c r="C8455" s="8" t="s">
        <v>18551</v>
      </c>
      <c r="D8455" s="8" t="s">
        <v>18552</v>
      </c>
      <c r="E8455" s="9" t="str">
        <f aca="false">HYPERLINK("https://twitter.com/Imagine_666666/status/922889107763642368","922889107763642368")</f>
        <v>922889107763642368</v>
      </c>
      <c r="F8455" s="10" t="s">
        <v>51</v>
      </c>
      <c r="G8455" s="10" t="n">
        <v>358</v>
      </c>
      <c r="H8455" s="10" t="n">
        <v>418</v>
      </c>
      <c r="I8455" s="10" t="n">
        <v>0</v>
      </c>
      <c r="J8455" s="10" t="n">
        <v>0</v>
      </c>
      <c r="K8455" s="10" t="s">
        <v>20</v>
      </c>
      <c r="L8455" s="11" t="n">
        <v>40787.3899768519</v>
      </c>
      <c r="M8455" s="12"/>
      <c r="N8455" s="12"/>
      <c r="O8455" s="9" t="str">
        <f aca="false">HYPERLINK("https://pbs.twimg.com/profile_images/427125707638972416/sRvbl7Y5_normal.jpeg","View")</f>
        <v>View</v>
      </c>
      <c r="P8455" s="10"/>
    </row>
    <row r="8456" customFormat="false" ht="15.75" hidden="false" customHeight="false" outlineLevel="0" collapsed="false">
      <c r="A8456" s="6" t="n">
        <v>43032.4717013889</v>
      </c>
      <c r="B8456" s="7" t="str">
        <f aca="false">HYPERLINK("https://twitter.com/paoloigna1","@paoloigna1")</f>
        <v>@paoloigna1</v>
      </c>
      <c r="C8456" s="8" t="s">
        <v>6298</v>
      </c>
      <c r="D8456" s="8" t="s">
        <v>17933</v>
      </c>
      <c r="E8456" s="9" t="str">
        <f aca="false">HYPERLINK("https://twitter.com/paoloigna1/status/922890245758177281","922890245758177281")</f>
        <v>922890245758177281</v>
      </c>
      <c r="F8456" s="10" t="s">
        <v>39</v>
      </c>
      <c r="G8456" s="10" t="n">
        <v>79251</v>
      </c>
      <c r="H8456" s="10" t="n">
        <v>87042</v>
      </c>
      <c r="I8456" s="10" t="n">
        <v>6</v>
      </c>
      <c r="J8456" s="10" t="n">
        <v>0</v>
      </c>
      <c r="K8456" s="10" t="s">
        <v>20</v>
      </c>
      <c r="L8456" s="11" t="n">
        <v>41374.1037615741</v>
      </c>
      <c r="M8456" s="12"/>
      <c r="N8456" s="12" t="s">
        <v>6300</v>
      </c>
      <c r="O8456" s="9" t="str">
        <f aca="false">HYPERLINK("https://pbs.twimg.com/profile_images/418795472472383488/YQgyHWog_normal.jpeg","View")</f>
        <v>View</v>
      </c>
      <c r="P8456" s="10"/>
    </row>
    <row r="8457" customFormat="false" ht="15.75" hidden="false" customHeight="false" outlineLevel="0" collapsed="false">
      <c r="A8457" s="6" t="n">
        <v>43032.4755902778</v>
      </c>
      <c r="B8457" s="7" t="str">
        <f aca="false">HYPERLINK("https://twitter.com/Clive_A_Boyce","@Clive_A_Boyce")</f>
        <v>@Clive_A_Boyce</v>
      </c>
      <c r="C8457" s="8" t="s">
        <v>18553</v>
      </c>
      <c r="D8457" s="8" t="s">
        <v>18554</v>
      </c>
      <c r="E8457" s="9" t="str">
        <f aca="false">HYPERLINK("https://twitter.com/Clive_A_Boyce/status/922891653068869633","922891653068869633")</f>
        <v>922891653068869633</v>
      </c>
      <c r="F8457" s="10" t="s">
        <v>39</v>
      </c>
      <c r="G8457" s="10" t="n">
        <v>2750</v>
      </c>
      <c r="H8457" s="10" t="n">
        <v>4997</v>
      </c>
      <c r="I8457" s="10" t="n">
        <v>1</v>
      </c>
      <c r="J8457" s="10" t="n">
        <v>0</v>
      </c>
      <c r="K8457" s="10" t="s">
        <v>20</v>
      </c>
      <c r="L8457" s="11" t="n">
        <v>41230.2779398148</v>
      </c>
      <c r="M8457" s="12" t="s">
        <v>18555</v>
      </c>
      <c r="N8457" s="12" t="s">
        <v>18556</v>
      </c>
      <c r="O8457" s="9" t="str">
        <f aca="false">HYPERLINK("https://pbs.twimg.com/profile_images/627462017113292800/DQxbEGSS_normal.jpg","View")</f>
        <v>View</v>
      </c>
      <c r="P8457" s="10"/>
    </row>
    <row r="8458" customFormat="false" ht="15.75" hidden="false" customHeight="false" outlineLevel="0" collapsed="false">
      <c r="A8458" s="6" t="n">
        <v>43032.4828587963</v>
      </c>
      <c r="B8458" s="7" t="str">
        <f aca="false">HYPERLINK("https://twitter.com/1TN_18","@1TN_18")</f>
        <v>@1TN_18</v>
      </c>
      <c r="C8458" s="8" t="s">
        <v>8242</v>
      </c>
      <c r="D8458" s="8" t="s">
        <v>16929</v>
      </c>
      <c r="E8458" s="9" t="str">
        <f aca="false">HYPERLINK("https://twitter.com/1TN_18/status/922894288480014338","922894288480014338")</f>
        <v>922894288480014338</v>
      </c>
      <c r="F8458" s="10" t="s">
        <v>25</v>
      </c>
      <c r="G8458" s="10" t="n">
        <v>383</v>
      </c>
      <c r="H8458" s="10" t="n">
        <v>2409</v>
      </c>
      <c r="I8458" s="10" t="n">
        <v>247</v>
      </c>
      <c r="J8458" s="10" t="n">
        <v>0</v>
      </c>
      <c r="K8458" s="10" t="s">
        <v>20</v>
      </c>
      <c r="L8458" s="11" t="n">
        <v>42895.4465277778</v>
      </c>
      <c r="M8458" s="12"/>
      <c r="N8458" s="12" t="s">
        <v>8243</v>
      </c>
      <c r="O8458" s="9" t="str">
        <f aca="false">HYPERLINK("https://pbs.twimg.com/profile_images/913850401044221953/jU8dLgY2_normal.jpg","View")</f>
        <v>View</v>
      </c>
      <c r="P8458" s="10"/>
    </row>
    <row r="8459" customFormat="false" ht="15.75" hidden="false" customHeight="false" outlineLevel="0" collapsed="false">
      <c r="A8459" s="6" t="n">
        <v>43032.4848842593</v>
      </c>
      <c r="B8459" s="7" t="str">
        <f aca="false">HYPERLINK("https://twitter.com/btamez890","@btamez890")</f>
        <v>@btamez890</v>
      </c>
      <c r="C8459" s="8" t="s">
        <v>18557</v>
      </c>
      <c r="D8459" s="8" t="s">
        <v>16929</v>
      </c>
      <c r="E8459" s="9" t="str">
        <f aca="false">HYPERLINK("https://twitter.com/btamez890/status/922895020981702657","922895020981702657")</f>
        <v>922895020981702657</v>
      </c>
      <c r="F8459" s="10" t="s">
        <v>51</v>
      </c>
      <c r="G8459" s="10" t="n">
        <v>5</v>
      </c>
      <c r="H8459" s="10" t="n">
        <v>30</v>
      </c>
      <c r="I8459" s="10" t="n">
        <v>247</v>
      </c>
      <c r="J8459" s="10" t="n">
        <v>0</v>
      </c>
      <c r="K8459" s="10" t="s">
        <v>20</v>
      </c>
      <c r="L8459" s="11" t="n">
        <v>41968.7486458333</v>
      </c>
      <c r="M8459" s="12"/>
      <c r="N8459" s="12"/>
      <c r="O8459" s="9" t="str">
        <f aca="false">HYPERLINK("https://abs.twimg.com/sticky/default_profile_images/default_profile_normal.png","View")</f>
        <v>View</v>
      </c>
      <c r="P8459" s="10"/>
    </row>
    <row r="8460" customFormat="false" ht="15.75" hidden="false" customHeight="false" outlineLevel="0" collapsed="false">
      <c r="A8460" s="6" t="n">
        <v>43032.4895949074</v>
      </c>
      <c r="B8460" s="7" t="str">
        <f aca="false">HYPERLINK("https://twitter.com/IBTimesUKBiz","@IBTimesUKBiz")</f>
        <v>@IBTimesUKBiz</v>
      </c>
      <c r="C8460" s="8" t="s">
        <v>3463</v>
      </c>
      <c r="D8460" s="8" t="s">
        <v>18558</v>
      </c>
      <c r="E8460" s="9" t="str">
        <f aca="false">HYPERLINK("https://twitter.com/IBTimesUKBiz/status/922896729195929600","922896729195929600")</f>
        <v>922896729195929600</v>
      </c>
      <c r="F8460" s="10" t="s">
        <v>276</v>
      </c>
      <c r="G8460" s="10" t="n">
        <v>1666</v>
      </c>
      <c r="H8460" s="10" t="n">
        <v>228</v>
      </c>
      <c r="I8460" s="10" t="n">
        <v>0</v>
      </c>
      <c r="J8460" s="10" t="n">
        <v>0</v>
      </c>
      <c r="K8460" s="10" t="s">
        <v>20</v>
      </c>
      <c r="L8460" s="11" t="n">
        <v>41032.2300462963</v>
      </c>
      <c r="M8460" s="12" t="s">
        <v>893</v>
      </c>
      <c r="N8460" s="12" t="s">
        <v>3465</v>
      </c>
      <c r="O8460" s="9" t="str">
        <f aca="false">HYPERLINK("https://pbs.twimg.com/profile_images/696672865291259904/fRobKsFo_normal.jpg","View")</f>
        <v>View</v>
      </c>
      <c r="P8460" s="10"/>
    </row>
    <row r="8461" customFormat="false" ht="15.75" hidden="false" customHeight="false" outlineLevel="0" collapsed="false">
      <c r="A8461" s="6" t="n">
        <v>43032.4931597222</v>
      </c>
      <c r="B8461" s="7" t="str">
        <f aca="false">HYPERLINK("https://twitter.com/KazimotoBaraka3","@KazimotoBaraka3")</f>
        <v>@KazimotoBaraka3</v>
      </c>
      <c r="C8461" s="8" t="s">
        <v>6059</v>
      </c>
      <c r="D8461" s="8" t="s">
        <v>18444</v>
      </c>
      <c r="E8461" s="9" t="str">
        <f aca="false">HYPERLINK("https://twitter.com/KazimotoBaraka3/status/922898019581923329","922898019581923329")</f>
        <v>922898019581923329</v>
      </c>
      <c r="F8461" s="10" t="s">
        <v>25</v>
      </c>
      <c r="G8461" s="10" t="n">
        <v>481</v>
      </c>
      <c r="H8461" s="10" t="n">
        <v>5000</v>
      </c>
      <c r="I8461" s="10" t="n">
        <v>13</v>
      </c>
      <c r="J8461" s="10" t="n">
        <v>0</v>
      </c>
      <c r="K8461" s="10" t="s">
        <v>20</v>
      </c>
      <c r="L8461" s="11" t="n">
        <v>42834.0741319445</v>
      </c>
      <c r="M8461" s="12" t="s">
        <v>5398</v>
      </c>
      <c r="N8461" s="12" t="s">
        <v>6060</v>
      </c>
      <c r="O8461" s="9" t="str">
        <f aca="false">HYPERLINK("https://pbs.twimg.com/profile_images/912565184815882240/RnjIyacP_normal.jpg","View")</f>
        <v>View</v>
      </c>
      <c r="P8461" s="10"/>
    </row>
    <row r="8462" customFormat="false" ht="15.75" hidden="false" customHeight="false" outlineLevel="0" collapsed="false">
      <c r="A8462" s="6" t="n">
        <v>43032.5110069445</v>
      </c>
      <c r="B8462" s="7" t="str">
        <f aca="false">HYPERLINK("https://twitter.com/XPoseMushRSS","@XPoseMushRSS")</f>
        <v>@XPoseMushRSS</v>
      </c>
      <c r="C8462" s="8" t="s">
        <v>18559</v>
      </c>
      <c r="D8462" s="8" t="s">
        <v>8538</v>
      </c>
      <c r="E8462" s="9" t="str">
        <f aca="false">HYPERLINK("https://twitter.com/XPoseMushRSS/status/922904486984552449","922904486984552449")</f>
        <v>922904486984552449</v>
      </c>
      <c r="F8462" s="10" t="s">
        <v>25</v>
      </c>
      <c r="G8462" s="10" t="n">
        <v>3212</v>
      </c>
      <c r="H8462" s="10" t="n">
        <v>5000</v>
      </c>
      <c r="I8462" s="10" t="n">
        <v>1015</v>
      </c>
      <c r="J8462" s="10" t="n">
        <v>0</v>
      </c>
      <c r="K8462" s="10" t="s">
        <v>20</v>
      </c>
      <c r="L8462" s="11" t="n">
        <v>40605.0559375</v>
      </c>
      <c r="M8462" s="12" t="s">
        <v>8711</v>
      </c>
      <c r="N8462" s="12" t="s">
        <v>18560</v>
      </c>
      <c r="O8462" s="9" t="str">
        <f aca="false">HYPERLINK("https://pbs.twimg.com/profile_images/765440250936078337/FEf7MolX_normal.jpg","View")</f>
        <v>View</v>
      </c>
      <c r="P8462" s="10"/>
    </row>
    <row r="8463" customFormat="false" ht="15.75" hidden="false" customHeight="false" outlineLevel="0" collapsed="false">
      <c r="A8463" s="6" t="n">
        <v>43032.5210416667</v>
      </c>
      <c r="B8463" s="7" t="str">
        <f aca="false">HYPERLINK("https://twitter.com/KnightzCode","@KnightzCode")</f>
        <v>@KnightzCode</v>
      </c>
      <c r="C8463" s="8" t="s">
        <v>15618</v>
      </c>
      <c r="D8463" s="8" t="s">
        <v>10525</v>
      </c>
      <c r="E8463" s="9" t="str">
        <f aca="false">HYPERLINK("https://twitter.com/KnightzCode/status/922908125413462016","922908125413462016")</f>
        <v>922908125413462016</v>
      </c>
      <c r="F8463" s="10" t="s">
        <v>25</v>
      </c>
      <c r="G8463" s="10" t="n">
        <v>624</v>
      </c>
      <c r="H8463" s="10" t="n">
        <v>958</v>
      </c>
      <c r="I8463" s="10" t="n">
        <v>16</v>
      </c>
      <c r="J8463" s="10" t="n">
        <v>0</v>
      </c>
      <c r="K8463" s="10" t="s">
        <v>20</v>
      </c>
      <c r="L8463" s="11" t="n">
        <v>39935.3618981481</v>
      </c>
      <c r="M8463" s="12" t="s">
        <v>15619</v>
      </c>
      <c r="N8463" s="12" t="s">
        <v>15620</v>
      </c>
      <c r="O8463" s="9" t="str">
        <f aca="false">HYPERLINK("https://pbs.twimg.com/profile_images/751426173331054592/W80kmclA_normal.jpg","View")</f>
        <v>View</v>
      </c>
      <c r="P8463" s="10"/>
    </row>
    <row r="8464" customFormat="false" ht="15.75" hidden="false" customHeight="false" outlineLevel="0" collapsed="false">
      <c r="A8464" s="6" t="n">
        <v>43032.5315277778</v>
      </c>
      <c r="B8464" s="7" t="str">
        <f aca="false">HYPERLINK("https://twitter.com/asia_active","@asia_active")</f>
        <v>@asia_active</v>
      </c>
      <c r="C8464" s="8" t="s">
        <v>18561</v>
      </c>
      <c r="D8464" s="8" t="s">
        <v>16929</v>
      </c>
      <c r="E8464" s="9" t="str">
        <f aca="false">HYPERLINK("https://twitter.com/asia_active/status/922911924500795392","922911924500795392")</f>
        <v>922911924500795392</v>
      </c>
      <c r="F8464" s="10" t="s">
        <v>18562</v>
      </c>
      <c r="G8464" s="10" t="n">
        <v>180</v>
      </c>
      <c r="H8464" s="10" t="n">
        <v>86</v>
      </c>
      <c r="I8464" s="10" t="n">
        <v>247</v>
      </c>
      <c r="J8464" s="10" t="n">
        <v>0</v>
      </c>
      <c r="K8464" s="10" t="s">
        <v>20</v>
      </c>
      <c r="L8464" s="11" t="n">
        <v>42987.9607175926</v>
      </c>
      <c r="M8464" s="12" t="s">
        <v>1143</v>
      </c>
      <c r="N8464" s="12" t="s">
        <v>18563</v>
      </c>
      <c r="O8464" s="9" t="str">
        <f aca="false">HYPERLINK("https://pbs.twimg.com/profile_images/906761632788779009/b5vfZXE0_normal.jpg","View")</f>
        <v>View</v>
      </c>
      <c r="P8464" s="10"/>
    </row>
    <row r="8465" customFormat="false" ht="15.75" hidden="false" customHeight="false" outlineLevel="0" collapsed="false">
      <c r="A8465" s="6" t="n">
        <v>43032.5317708333</v>
      </c>
      <c r="B8465" s="7" t="str">
        <f aca="false">HYPERLINK("https://twitter.com/WSJopinion","@WSJopinion")</f>
        <v>@WSJopinion</v>
      </c>
      <c r="C8465" s="8" t="s">
        <v>18564</v>
      </c>
      <c r="D8465" s="8" t="s">
        <v>18565</v>
      </c>
      <c r="E8465" s="9" t="str">
        <f aca="false">HYPERLINK("https://twitter.com/WSJopinion/status/922912014103654401","922912014103654401")</f>
        <v>922912014103654401</v>
      </c>
      <c r="F8465" s="10" t="s">
        <v>268</v>
      </c>
      <c r="G8465" s="10" t="n">
        <v>77136</v>
      </c>
      <c r="H8465" s="10" t="n">
        <v>146</v>
      </c>
      <c r="I8465" s="10" t="n">
        <v>8</v>
      </c>
      <c r="J8465" s="10" t="n">
        <v>13</v>
      </c>
      <c r="K8465" s="10" t="s">
        <v>20</v>
      </c>
      <c r="L8465" s="11" t="n">
        <v>39266.2771759259</v>
      </c>
      <c r="M8465" s="12" t="s">
        <v>319</v>
      </c>
      <c r="N8465" s="12" t="s">
        <v>18566</v>
      </c>
      <c r="O8465" s="9" t="str">
        <f aca="false">HYPERLINK("https://pbs.twimg.com/profile_images/461999062913261568/ObF8uSOx_normal.jpeg","View")</f>
        <v>View</v>
      </c>
      <c r="P8465" s="10"/>
    </row>
    <row r="8466" customFormat="false" ht="15.75" hidden="false" customHeight="false" outlineLevel="0" collapsed="false">
      <c r="A8466" s="6" t="n">
        <v>43032.5345486111</v>
      </c>
      <c r="B8466" s="7" t="str">
        <f aca="false">HYPERLINK("https://twitter.com/Crowntiptoe","@Crowntiptoe")</f>
        <v>@Crowntiptoe</v>
      </c>
      <c r="C8466" s="8" t="s">
        <v>18567</v>
      </c>
      <c r="D8466" s="8" t="s">
        <v>18568</v>
      </c>
      <c r="E8466" s="9" t="str">
        <f aca="false">HYPERLINK("https://twitter.com/Crowntiptoe/status/922913020845723649","922913020845723649")</f>
        <v>922913020845723649</v>
      </c>
      <c r="F8466" s="10" t="s">
        <v>51</v>
      </c>
      <c r="G8466" s="10" t="n">
        <v>337</v>
      </c>
      <c r="H8466" s="10" t="n">
        <v>618</v>
      </c>
      <c r="I8466" s="10" t="n">
        <v>8</v>
      </c>
      <c r="J8466" s="10" t="n">
        <v>0</v>
      </c>
      <c r="K8466" s="10" t="s">
        <v>20</v>
      </c>
      <c r="L8466" s="11" t="n">
        <v>42808.4078935185</v>
      </c>
      <c r="M8466" s="12" t="s">
        <v>601</v>
      </c>
      <c r="N8466" s="12" t="s">
        <v>18569</v>
      </c>
      <c r="O8466" s="9" t="str">
        <f aca="false">HYPERLINK("https://pbs.twimg.com/profile_images/848586174558081025/byluFYyY_normal.jpg","View")</f>
        <v>View</v>
      </c>
      <c r="P8466" s="10"/>
    </row>
    <row r="8467" customFormat="false" ht="15.75" hidden="false" customHeight="false" outlineLevel="0" collapsed="false">
      <c r="A8467" s="6" t="n">
        <v>43032.5374652778</v>
      </c>
      <c r="B8467" s="7" t="str">
        <f aca="false">HYPERLINK("https://twitter.com/kvslatt","@kvslatt")</f>
        <v>@kvslatt</v>
      </c>
      <c r="C8467" s="8" t="s">
        <v>18570</v>
      </c>
      <c r="D8467" s="8" t="s">
        <v>18568</v>
      </c>
      <c r="E8467" s="9" t="str">
        <f aca="false">HYPERLINK("https://twitter.com/kvslatt/status/922914076270850048","922914076270850048")</f>
        <v>922914076270850048</v>
      </c>
      <c r="F8467" s="10" t="s">
        <v>51</v>
      </c>
      <c r="G8467" s="10" t="n">
        <v>68</v>
      </c>
      <c r="H8467" s="10" t="n">
        <v>150</v>
      </c>
      <c r="I8467" s="10" t="n">
        <v>8</v>
      </c>
      <c r="J8467" s="10" t="n">
        <v>0</v>
      </c>
      <c r="K8467" s="10" t="s">
        <v>20</v>
      </c>
      <c r="L8467" s="11" t="n">
        <v>42264.6526851852</v>
      </c>
      <c r="M8467" s="12"/>
      <c r="N8467" s="12" t="s">
        <v>18571</v>
      </c>
      <c r="O8467" s="9" t="str">
        <f aca="false">HYPERLINK("https://pbs.twimg.com/profile_images/904129057150918656/_-SXNLdU_normal.jpg","View")</f>
        <v>View</v>
      </c>
      <c r="P8467" s="10"/>
    </row>
    <row r="8468" customFormat="false" ht="15.75" hidden="false" customHeight="false" outlineLevel="0" collapsed="false">
      <c r="A8468" s="6" t="n">
        <v>43032.5411921296</v>
      </c>
      <c r="B8468" s="7" t="str">
        <f aca="false">HYPERLINK("https://twitter.com/MsOCHubbard","@MsOCHubbard")</f>
        <v>@MsOCHubbard</v>
      </c>
      <c r="C8468" s="8" t="s">
        <v>18572</v>
      </c>
      <c r="D8468" s="8" t="s">
        <v>16929</v>
      </c>
      <c r="E8468" s="9" t="str">
        <f aca="false">HYPERLINK("https://twitter.com/MsOCHubbard/status/922915428850065408","922915428850065408")</f>
        <v>922915428850065408</v>
      </c>
      <c r="F8468" s="10" t="s">
        <v>25</v>
      </c>
      <c r="G8468" s="10" t="n">
        <v>3195</v>
      </c>
      <c r="H8468" s="10" t="n">
        <v>4143</v>
      </c>
      <c r="I8468" s="10" t="n">
        <v>247</v>
      </c>
      <c r="J8468" s="10" t="n">
        <v>0</v>
      </c>
      <c r="K8468" s="10" t="s">
        <v>20</v>
      </c>
      <c r="L8468" s="11" t="n">
        <v>40951.5824884259</v>
      </c>
      <c r="M8468" s="12" t="s">
        <v>1359</v>
      </c>
      <c r="N8468" s="12"/>
      <c r="O8468" s="9" t="str">
        <f aca="false">HYPERLINK("https://pbs.twimg.com/profile_images/3684148511/ad6fea8a92c13f33c943d8fc760aaa0e_normal.jpeg","View")</f>
        <v>View</v>
      </c>
      <c r="P8468" s="10"/>
    </row>
    <row r="8469" customFormat="false" ht="15.75" hidden="false" customHeight="false" outlineLevel="0" collapsed="false">
      <c r="A8469" s="6" t="n">
        <v>43032.5443287037</v>
      </c>
      <c r="B8469" s="7" t="str">
        <f aca="false">HYPERLINK("https://twitter.com/yoshiefuruhashi","@yoshiefuruhashi")</f>
        <v>@yoshiefuruhashi</v>
      </c>
      <c r="C8469" s="8" t="s">
        <v>18573</v>
      </c>
      <c r="D8469" s="8" t="s">
        <v>17593</v>
      </c>
      <c r="E8469" s="9" t="str">
        <f aca="false">HYPERLINK("https://twitter.com/yoshiefuruhashi/status/922916564613062656","922916564613062656")</f>
        <v>922916564613062656</v>
      </c>
      <c r="F8469" s="10" t="s">
        <v>39</v>
      </c>
      <c r="G8469" s="10" t="n">
        <v>3994</v>
      </c>
      <c r="H8469" s="10" t="n">
        <v>2903</v>
      </c>
      <c r="I8469" s="10" t="n">
        <v>3</v>
      </c>
      <c r="J8469" s="10" t="n">
        <v>0</v>
      </c>
      <c r="K8469" s="10" t="s">
        <v>20</v>
      </c>
      <c r="L8469" s="11" t="n">
        <v>40776.4731365741</v>
      </c>
      <c r="M8469" s="12"/>
      <c r="N8469" s="12" t="s">
        <v>18574</v>
      </c>
      <c r="O8469" s="9" t="str">
        <f aca="false">HYPERLINK("https://pbs.twimg.com/profile_images/2155547987/kinoeye_normal.jpg","View")</f>
        <v>View</v>
      </c>
      <c r="P8469" s="10"/>
    </row>
    <row r="8470" customFormat="false" ht="15.75" hidden="false" customHeight="false" outlineLevel="0" collapsed="false">
      <c r="A8470" s="6" t="n">
        <v>43032.5655671296</v>
      </c>
      <c r="B8470" s="7" t="str">
        <f aca="false">HYPERLINK("https://twitter.com/CharlottePol120","@CharlottePol120")</f>
        <v>@CharlottePol120</v>
      </c>
      <c r="C8470" s="8" t="s">
        <v>18575</v>
      </c>
      <c r="D8470" s="8" t="s">
        <v>18576</v>
      </c>
      <c r="E8470" s="9" t="str">
        <f aca="false">HYPERLINK("https://twitter.com/CharlottePol120/status/922924259520921600","922924259520921600")</f>
        <v>922924259520921600</v>
      </c>
      <c r="F8470" s="10" t="s">
        <v>39</v>
      </c>
      <c r="G8470" s="10" t="n">
        <v>0</v>
      </c>
      <c r="H8470" s="10" t="n">
        <v>6</v>
      </c>
      <c r="I8470" s="10" t="n">
        <v>0</v>
      </c>
      <c r="J8470" s="10" t="n">
        <v>0</v>
      </c>
      <c r="K8470" s="10" t="s">
        <v>20</v>
      </c>
      <c r="L8470" s="11" t="n">
        <v>42970.3763078704</v>
      </c>
      <c r="M8470" s="12"/>
      <c r="N8470" s="12"/>
      <c r="O8470" s="9" t="str">
        <f aca="false">HYPERLINK("https://abs.twimg.com/sticky/default_profile_images/default_profile_normal.png","View")</f>
        <v>View</v>
      </c>
      <c r="P8470" s="10"/>
    </row>
    <row r="8471" customFormat="false" ht="15.75" hidden="false" customHeight="false" outlineLevel="0" collapsed="false">
      <c r="A8471" s="6" t="n">
        <v>43032.5759722222</v>
      </c>
      <c r="B8471" s="7" t="str">
        <f aca="false">HYPERLINK("https://twitter.com/husainhaqqani","@husainhaqqani")</f>
        <v>@husainhaqqani</v>
      </c>
      <c r="C8471" s="8" t="s">
        <v>18577</v>
      </c>
      <c r="D8471" s="8" t="s">
        <v>18568</v>
      </c>
      <c r="E8471" s="9" t="str">
        <f aca="false">HYPERLINK("https://twitter.com/husainhaqqani/status/922928030238076928","922928030238076928")</f>
        <v>922928030238076928</v>
      </c>
      <c r="F8471" s="10" t="s">
        <v>51</v>
      </c>
      <c r="G8471" s="10" t="n">
        <v>273531</v>
      </c>
      <c r="H8471" s="10" t="n">
        <v>1522</v>
      </c>
      <c r="I8471" s="10" t="n">
        <v>8</v>
      </c>
      <c r="J8471" s="10" t="n">
        <v>0</v>
      </c>
      <c r="K8471" s="10" t="s">
        <v>20</v>
      </c>
      <c r="L8471" s="11" t="n">
        <v>40092.3591319445</v>
      </c>
      <c r="M8471" s="12" t="s">
        <v>723</v>
      </c>
      <c r="N8471" s="12" t="s">
        <v>18578</v>
      </c>
      <c r="O8471" s="9" t="str">
        <f aca="false">HYPERLINK("https://pbs.twimg.com/profile_images/921809751977222144/_tGI1tBi_normal.jpg","View")</f>
        <v>View</v>
      </c>
      <c r="P8471" s="10"/>
    </row>
    <row r="8472" customFormat="false" ht="15.75" hidden="false" customHeight="false" outlineLevel="0" collapsed="false">
      <c r="A8472" s="6" t="n">
        <v>43032.576099537</v>
      </c>
      <c r="B8472" s="7" t="str">
        <f aca="false">HYPERLINK("https://twitter.com/fuaadalawi","@fuaadalawi")</f>
        <v>@fuaadalawi</v>
      </c>
      <c r="C8472" s="8" t="s">
        <v>18579</v>
      </c>
      <c r="D8472" s="8" t="s">
        <v>18568</v>
      </c>
      <c r="E8472" s="9" t="str">
        <f aca="false">HYPERLINK("https://twitter.com/fuaadalawi/status/922928077344264192","922928077344264192")</f>
        <v>922928077344264192</v>
      </c>
      <c r="F8472" s="10" t="s">
        <v>51</v>
      </c>
      <c r="G8472" s="10" t="n">
        <v>1462</v>
      </c>
      <c r="H8472" s="10" t="n">
        <v>4978</v>
      </c>
      <c r="I8472" s="10" t="n">
        <v>8</v>
      </c>
      <c r="J8472" s="10" t="n">
        <v>0</v>
      </c>
      <c r="K8472" s="10" t="s">
        <v>20</v>
      </c>
      <c r="L8472" s="11" t="n">
        <v>39948.5188888889</v>
      </c>
      <c r="M8472" s="12" t="s">
        <v>18580</v>
      </c>
      <c r="N8472" s="12" t="s">
        <v>18581</v>
      </c>
      <c r="O8472" s="9" t="str">
        <f aca="false">HYPERLINK("https://pbs.twimg.com/profile_images/862078201937498113/C2Du2Yqk_normal.jpg","View")</f>
        <v>View</v>
      </c>
      <c r="P8472" s="10"/>
    </row>
    <row r="8473" customFormat="false" ht="15.75" hidden="false" customHeight="false" outlineLevel="0" collapsed="false">
      <c r="A8473" s="6" t="n">
        <v>43032.5768171296</v>
      </c>
      <c r="B8473" s="7" t="str">
        <f aca="false">HYPERLINK("https://twitter.com/RishwatulEbad","@RishwatulEbad")</f>
        <v>@RishwatulEbad</v>
      </c>
      <c r="C8473" s="8" t="s">
        <v>18582</v>
      </c>
      <c r="D8473" s="8" t="s">
        <v>18583</v>
      </c>
      <c r="E8473" s="9" t="str">
        <f aca="false">HYPERLINK("https://twitter.com/RishwatulEbad/status/922928339299553280","922928339299553280")</f>
        <v>922928339299553280</v>
      </c>
      <c r="F8473" s="10" t="s">
        <v>60</v>
      </c>
      <c r="G8473" s="10" t="n">
        <v>7</v>
      </c>
      <c r="H8473" s="10" t="n">
        <v>183</v>
      </c>
      <c r="I8473" s="10" t="n">
        <v>0</v>
      </c>
      <c r="J8473" s="10" t="n">
        <v>0</v>
      </c>
      <c r="K8473" s="10" t="s">
        <v>20</v>
      </c>
      <c r="L8473" s="11" t="n">
        <v>42660.9854513889</v>
      </c>
      <c r="M8473" s="12" t="s">
        <v>7114</v>
      </c>
      <c r="N8473" s="12" t="s">
        <v>18584</v>
      </c>
      <c r="O8473" s="9" t="str">
        <f aca="false">HYPERLINK("https://pbs.twimg.com/profile_images/911293227969531905/XIeRI0jC_normal.jpg","View")</f>
        <v>View</v>
      </c>
      <c r="P8473" s="10"/>
    </row>
    <row r="8474" customFormat="false" ht="15.75" hidden="false" customHeight="false" outlineLevel="0" collapsed="false">
      <c r="A8474" s="6" t="n">
        <v>43032.5875810185</v>
      </c>
      <c r="B8474" s="7" t="str">
        <f aca="false">HYPERLINK("https://twitter.com/nneusj","@nneusj")</f>
        <v>@nneusj</v>
      </c>
      <c r="C8474" s="8" t="s">
        <v>834</v>
      </c>
      <c r="D8474" s="8" t="s">
        <v>18413</v>
      </c>
      <c r="E8474" s="9" t="str">
        <f aca="false">HYPERLINK("https://twitter.com/nneusj/status/922932236663558146","922932236663558146")</f>
        <v>922932236663558146</v>
      </c>
      <c r="F8474" s="10" t="s">
        <v>25</v>
      </c>
      <c r="G8474" s="10" t="n">
        <v>240</v>
      </c>
      <c r="H8474" s="10" t="n">
        <v>1887</v>
      </c>
      <c r="I8474" s="10" t="n">
        <v>5</v>
      </c>
      <c r="J8474" s="10" t="n">
        <v>0</v>
      </c>
      <c r="K8474" s="10" t="s">
        <v>20</v>
      </c>
      <c r="L8474" s="11" t="n">
        <v>42310.5218981481</v>
      </c>
      <c r="M8474" s="12"/>
      <c r="N8474" s="12"/>
      <c r="O8474" s="9" t="str">
        <f aca="false">HYPERLINK("https://pbs.twimg.com/profile_images/661281424570454016/IY6X6O9R_normal.jpg","View")</f>
        <v>View</v>
      </c>
      <c r="P8474" s="10"/>
    </row>
    <row r="8475" customFormat="false" ht="15.75" hidden="false" customHeight="false" outlineLevel="0" collapsed="false">
      <c r="A8475" s="6" t="n">
        <v>43032.5935763889</v>
      </c>
      <c r="B8475" s="7" t="str">
        <f aca="false">HYPERLINK("https://twitter.com/JenniferJJacobs","@JenniferJJacobs")</f>
        <v>@JenniferJJacobs</v>
      </c>
      <c r="C8475" s="8" t="s">
        <v>18585</v>
      </c>
      <c r="D8475" s="8" t="s">
        <v>18586</v>
      </c>
      <c r="E8475" s="9" t="str">
        <f aca="false">HYPERLINK("https://twitter.com/JenniferJJacobs/status/922934411938684928","922934411938684928")</f>
        <v>922934411938684928</v>
      </c>
      <c r="F8475" s="10" t="s">
        <v>39</v>
      </c>
      <c r="G8475" s="10" t="n">
        <v>90415</v>
      </c>
      <c r="H8475" s="10" t="n">
        <v>24601</v>
      </c>
      <c r="I8475" s="10" t="n">
        <v>12</v>
      </c>
      <c r="J8475" s="10" t="n">
        <v>9</v>
      </c>
      <c r="K8475" s="10" t="s">
        <v>20</v>
      </c>
      <c r="L8475" s="11" t="n">
        <v>39643.6559490741</v>
      </c>
      <c r="M8475" s="12" t="s">
        <v>723</v>
      </c>
      <c r="N8475" s="12" t="s">
        <v>18587</v>
      </c>
      <c r="O8475" s="9" t="str">
        <f aca="false">HYPERLINK("https://pbs.twimg.com/profile_images/739446068589563904/nEs68qdk_normal.jpg","View")</f>
        <v>View</v>
      </c>
      <c r="P8475" s="10"/>
    </row>
    <row r="8476" customFormat="false" ht="15.75" hidden="false" customHeight="false" outlineLevel="0" collapsed="false">
      <c r="A8476" s="6" t="n">
        <v>43032.5937037037</v>
      </c>
      <c r="B8476" s="7" t="str">
        <f aca="false">HYPERLINK("https://twitter.com/fj_newman","@fj_newman")</f>
        <v>@fj_newman</v>
      </c>
      <c r="C8476" s="8" t="s">
        <v>18588</v>
      </c>
      <c r="D8476" s="8" t="s">
        <v>18589</v>
      </c>
      <c r="E8476" s="9" t="str">
        <f aca="false">HYPERLINK("https://twitter.com/fj_newman/status/922934454934540288","922934454934540288")</f>
        <v>922934454934540288</v>
      </c>
      <c r="F8476" s="10" t="s">
        <v>1643</v>
      </c>
      <c r="G8476" s="10" t="n">
        <v>716</v>
      </c>
      <c r="H8476" s="10" t="n">
        <v>549</v>
      </c>
      <c r="I8476" s="10" t="n">
        <v>12</v>
      </c>
      <c r="J8476" s="10" t="n">
        <v>0</v>
      </c>
      <c r="K8476" s="10" t="s">
        <v>20</v>
      </c>
      <c r="L8476" s="11" t="n">
        <v>40094.6558333333</v>
      </c>
      <c r="M8476" s="12" t="s">
        <v>18590</v>
      </c>
      <c r="N8476" s="12" t="s">
        <v>18591</v>
      </c>
      <c r="O8476" s="9" t="str">
        <f aca="false">HYPERLINK("https://pbs.twimg.com/profile_images/2807858608/c5e5265efb1f2aae8456ee9253e0abaa_normal.jpeg","View")</f>
        <v>View</v>
      </c>
      <c r="P8476" s="10"/>
    </row>
    <row r="8477" customFormat="false" ht="15.75" hidden="false" customHeight="false" outlineLevel="0" collapsed="false">
      <c r="A8477" s="6" t="n">
        <v>43032.5953472222</v>
      </c>
      <c r="B8477" s="7" t="str">
        <f aca="false">HYPERLINK("https://twitter.com/morvjn","@morvjn")</f>
        <v>@morvjn</v>
      </c>
      <c r="C8477" s="8" t="s">
        <v>18592</v>
      </c>
      <c r="D8477" s="8" t="s">
        <v>18589</v>
      </c>
      <c r="E8477" s="9" t="str">
        <f aca="false">HYPERLINK("https://twitter.com/morvjn/status/922935051049930752","922935051049930752")</f>
        <v>922935051049930752</v>
      </c>
      <c r="F8477" s="10" t="s">
        <v>39</v>
      </c>
      <c r="G8477" s="10" t="n">
        <v>1281</v>
      </c>
      <c r="H8477" s="10" t="n">
        <v>4456</v>
      </c>
      <c r="I8477" s="10" t="n">
        <v>12</v>
      </c>
      <c r="J8477" s="10" t="n">
        <v>0</v>
      </c>
      <c r="K8477" s="10" t="s">
        <v>20</v>
      </c>
      <c r="L8477" s="11" t="n">
        <v>40252.2102083333</v>
      </c>
      <c r="M8477" s="12"/>
      <c r="N8477" s="12" t="s">
        <v>18593</v>
      </c>
      <c r="O8477" s="9" t="str">
        <f aca="false">HYPERLINK("https://pbs.twimg.com/profile_images/785585375/marvin-the-paranoid-android_normal.jpg","View")</f>
        <v>View</v>
      </c>
      <c r="P8477" s="10"/>
    </row>
    <row r="8478" customFormat="false" ht="15.75" hidden="false" customHeight="false" outlineLevel="0" collapsed="false">
      <c r="A8478" s="6" t="n">
        <v>43032.5958564815</v>
      </c>
      <c r="B8478" s="7" t="str">
        <f aca="false">HYPERLINK("https://twitter.com/billpostmus","@billpostmus")</f>
        <v>@billpostmus</v>
      </c>
      <c r="C8478" s="8" t="s">
        <v>18594</v>
      </c>
      <c r="D8478" s="8" t="s">
        <v>18589</v>
      </c>
      <c r="E8478" s="9" t="str">
        <f aca="false">HYPERLINK("https://twitter.com/billpostmus/status/922935237205639168","922935237205639168")</f>
        <v>922935237205639168</v>
      </c>
      <c r="F8478" s="10" t="s">
        <v>51</v>
      </c>
      <c r="G8478" s="10" t="n">
        <v>177595</v>
      </c>
      <c r="H8478" s="10" t="n">
        <v>192166</v>
      </c>
      <c r="I8478" s="10" t="n">
        <v>12</v>
      </c>
      <c r="J8478" s="10" t="n">
        <v>0</v>
      </c>
      <c r="K8478" s="10" t="s">
        <v>20</v>
      </c>
      <c r="L8478" s="11" t="n">
        <v>40811.5876736111</v>
      </c>
      <c r="M8478" s="12" t="s">
        <v>18595</v>
      </c>
      <c r="N8478" s="12" t="s">
        <v>18596</v>
      </c>
      <c r="O8478" s="9" t="str">
        <f aca="false">HYPERLINK("https://pbs.twimg.com/profile_images/650936222248898560/YjAKrhFP_normal.jpg","View")</f>
        <v>View</v>
      </c>
      <c r="P8478" s="10"/>
    </row>
    <row r="8479" customFormat="false" ht="15.75" hidden="false" customHeight="false" outlineLevel="0" collapsed="false">
      <c r="A8479" s="6" t="n">
        <v>43032.5959953704</v>
      </c>
      <c r="B8479" s="7" t="str">
        <f aca="false">HYPERLINK("https://twitter.com/ConnorDaleyVT","@ConnorDaleyVT")</f>
        <v>@ConnorDaleyVT</v>
      </c>
      <c r="C8479" s="8" t="s">
        <v>18597</v>
      </c>
      <c r="D8479" s="8" t="s">
        <v>18589</v>
      </c>
      <c r="E8479" s="9" t="str">
        <f aca="false">HYPERLINK("https://twitter.com/ConnorDaleyVT/status/922935286220410880","922935286220410880")</f>
        <v>922935286220410880</v>
      </c>
      <c r="F8479" s="10" t="s">
        <v>39</v>
      </c>
      <c r="G8479" s="10" t="n">
        <v>324</v>
      </c>
      <c r="H8479" s="10" t="n">
        <v>1818</v>
      </c>
      <c r="I8479" s="10" t="n">
        <v>12</v>
      </c>
      <c r="J8479" s="10" t="n">
        <v>0</v>
      </c>
      <c r="K8479" s="10" t="s">
        <v>20</v>
      </c>
      <c r="L8479" s="11" t="n">
        <v>41036.5350925926</v>
      </c>
      <c r="M8479" s="12"/>
      <c r="N8479" s="12" t="s">
        <v>18598</v>
      </c>
      <c r="O8479" s="9" t="str">
        <f aca="false">HYPERLINK("https://pbs.twimg.com/profile_images/870758355698167808/l9otbGLf_normal.jpg","View")</f>
        <v>View</v>
      </c>
      <c r="P8479" s="10"/>
    </row>
    <row r="8480" customFormat="false" ht="15.75" hidden="false" customHeight="false" outlineLevel="0" collapsed="false">
      <c r="A8480" s="6" t="n">
        <v>43032.5971527778</v>
      </c>
      <c r="B8480" s="7" t="str">
        <f aca="false">HYPERLINK("https://twitter.com/elite99thc","@elite99thc")</f>
        <v>@elite99thc</v>
      </c>
      <c r="C8480" s="8" t="s">
        <v>18599</v>
      </c>
      <c r="D8480" s="8" t="s">
        <v>18589</v>
      </c>
      <c r="E8480" s="9" t="str">
        <f aca="false">HYPERLINK("https://twitter.com/elite99thc/status/922935705734705152","922935705734705152")</f>
        <v>922935705734705152</v>
      </c>
      <c r="F8480" s="10" t="s">
        <v>25</v>
      </c>
      <c r="G8480" s="10" t="n">
        <v>1355</v>
      </c>
      <c r="H8480" s="10" t="n">
        <v>2966</v>
      </c>
      <c r="I8480" s="10" t="n">
        <v>12</v>
      </c>
      <c r="J8480" s="10" t="n">
        <v>0</v>
      </c>
      <c r="K8480" s="10" t="s">
        <v>20</v>
      </c>
      <c r="L8480" s="11" t="n">
        <v>41484.4258449074</v>
      </c>
      <c r="M8480" s="12" t="s">
        <v>9086</v>
      </c>
      <c r="N8480" s="12" t="s">
        <v>18600</v>
      </c>
      <c r="O8480" s="9" t="str">
        <f aca="false">HYPERLINK("https://pbs.twimg.com/profile_images/572122031405326337/uwD2-Bx1_normal.jpeg","View")</f>
        <v>View</v>
      </c>
      <c r="P8480" s="10"/>
    </row>
    <row r="8481" customFormat="false" ht="15.75" hidden="false" customHeight="false" outlineLevel="0" collapsed="false">
      <c r="A8481" s="6" t="n">
        <v>43032.5987615741</v>
      </c>
      <c r="B8481" s="7" t="str">
        <f aca="false">HYPERLINK("https://twitter.com/Vixen35x1000","@Vixen35x1000")</f>
        <v>@Vixen35x1000</v>
      </c>
      <c r="C8481" s="8" t="s">
        <v>18601</v>
      </c>
      <c r="D8481" s="8" t="s">
        <v>18589</v>
      </c>
      <c r="E8481" s="9" t="str">
        <f aca="false">HYPERLINK("https://twitter.com/Vixen35x1000/status/922936288314998784","922936288314998784")</f>
        <v>922936288314998784</v>
      </c>
      <c r="F8481" s="10" t="s">
        <v>51</v>
      </c>
      <c r="G8481" s="10" t="n">
        <v>787</v>
      </c>
      <c r="H8481" s="10" t="n">
        <v>1138</v>
      </c>
      <c r="I8481" s="10" t="n">
        <v>12</v>
      </c>
      <c r="J8481" s="10" t="n">
        <v>0</v>
      </c>
      <c r="K8481" s="10" t="s">
        <v>20</v>
      </c>
      <c r="L8481" s="11" t="n">
        <v>40441.4046875</v>
      </c>
      <c r="M8481" s="12"/>
      <c r="N8481" s="12"/>
      <c r="O8481" s="9" t="str">
        <f aca="false">HYPERLINK("https://pbs.twimg.com/profile_images/919571661627670530/tqbgAlI7_normal.jpg","View")</f>
        <v>View</v>
      </c>
      <c r="P8481" s="10"/>
    </row>
    <row r="8482" customFormat="false" ht="15.75" hidden="false" customHeight="false" outlineLevel="0" collapsed="false">
      <c r="A8482" s="6" t="n">
        <v>43032.6006365741</v>
      </c>
      <c r="B8482" s="7" t="str">
        <f aca="false">HYPERLINK("https://twitter.com/lyssamcdonald","@lyssamcdonald")</f>
        <v>@lyssamcdonald</v>
      </c>
      <c r="C8482" s="8" t="s">
        <v>18602</v>
      </c>
      <c r="D8482" s="8" t="s">
        <v>18444</v>
      </c>
      <c r="E8482" s="9" t="str">
        <f aca="false">HYPERLINK("https://twitter.com/lyssamcdonald/status/922936967565787136","922936967565787136")</f>
        <v>922936967565787136</v>
      </c>
      <c r="F8482" s="10" t="s">
        <v>39</v>
      </c>
      <c r="G8482" s="10" t="n">
        <v>1295</v>
      </c>
      <c r="H8482" s="10" t="n">
        <v>880</v>
      </c>
      <c r="I8482" s="10" t="n">
        <v>13</v>
      </c>
      <c r="J8482" s="10" t="n">
        <v>0</v>
      </c>
      <c r="K8482" s="10" t="s">
        <v>20</v>
      </c>
      <c r="L8482" s="11" t="n">
        <v>39720.5196759259</v>
      </c>
      <c r="M8482" s="12" t="s">
        <v>1039</v>
      </c>
      <c r="N8482" s="12" t="s">
        <v>18603</v>
      </c>
      <c r="O8482" s="9" t="str">
        <f aca="false">HYPERLINK("https://pbs.twimg.com/profile_images/472990361111912448/qw20a4M9_normal.jpeg","View")</f>
        <v>View</v>
      </c>
      <c r="P8482" s="10"/>
    </row>
    <row r="8483" customFormat="false" ht="15.75" hidden="false" customHeight="false" outlineLevel="0" collapsed="false">
      <c r="A8483" s="6" t="n">
        <v>43032.6008333333</v>
      </c>
      <c r="B8483" s="7" t="str">
        <f aca="false">HYPERLINK("https://twitter.com/denissetwin95","@denissetwin95")</f>
        <v>@denissetwin95</v>
      </c>
      <c r="C8483" s="8" t="s">
        <v>11017</v>
      </c>
      <c r="D8483" s="8" t="s">
        <v>18589</v>
      </c>
      <c r="E8483" s="9" t="str">
        <f aca="false">HYPERLINK("https://twitter.com/denissetwin95/status/922937041834401793","922937041834401793")</f>
        <v>922937041834401793</v>
      </c>
      <c r="F8483" s="10" t="s">
        <v>25</v>
      </c>
      <c r="G8483" s="10" t="n">
        <v>82</v>
      </c>
      <c r="H8483" s="10" t="n">
        <v>441</v>
      </c>
      <c r="I8483" s="10" t="n">
        <v>12</v>
      </c>
      <c r="J8483" s="10" t="n">
        <v>0</v>
      </c>
      <c r="K8483" s="10" t="s">
        <v>20</v>
      </c>
      <c r="L8483" s="11" t="n">
        <v>42727.4572685185</v>
      </c>
      <c r="M8483" s="12" t="s">
        <v>4218</v>
      </c>
      <c r="N8483" s="12"/>
      <c r="O8483" s="9" t="str">
        <f aca="false">HYPERLINK("https://pbs.twimg.com/profile_images/812374071862300672/KWMGHdA__normal.jpg","View")</f>
        <v>View</v>
      </c>
      <c r="P8483" s="10"/>
    </row>
    <row r="8484" customFormat="false" ht="15.75" hidden="false" customHeight="false" outlineLevel="0" collapsed="false">
      <c r="A8484" s="6" t="n">
        <v>43032.6052083333</v>
      </c>
      <c r="B8484" s="7" t="str">
        <f aca="false">HYPERLINK("https://twitter.com/KevinQBrady","@KevinQBrady")</f>
        <v>@KevinQBrady</v>
      </c>
      <c r="C8484" s="8" t="s">
        <v>18604</v>
      </c>
      <c r="D8484" s="8" t="s">
        <v>18589</v>
      </c>
      <c r="E8484" s="9" t="str">
        <f aca="false">HYPERLINK("https://twitter.com/KevinQBrady/status/922938628006993920","922938628006993920")</f>
        <v>922938628006993920</v>
      </c>
      <c r="F8484" s="10" t="s">
        <v>51</v>
      </c>
      <c r="G8484" s="10" t="n">
        <v>1111</v>
      </c>
      <c r="H8484" s="10" t="n">
        <v>4692</v>
      </c>
      <c r="I8484" s="10" t="n">
        <v>12</v>
      </c>
      <c r="J8484" s="10" t="n">
        <v>0</v>
      </c>
      <c r="K8484" s="10" t="s">
        <v>20</v>
      </c>
      <c r="L8484" s="11" t="n">
        <v>40840.9174074074</v>
      </c>
      <c r="M8484" s="12" t="s">
        <v>18605</v>
      </c>
      <c r="N8484" s="12" t="s">
        <v>18606</v>
      </c>
      <c r="O8484" s="9" t="str">
        <f aca="false">HYPERLINK("https://pbs.twimg.com/profile_images/888389087606042624/DSU2Sun-_normal.jpg","View")</f>
        <v>View</v>
      </c>
      <c r="P8484" s="10"/>
    </row>
    <row r="8485" customFormat="false" ht="15.75" hidden="false" customHeight="false" outlineLevel="0" collapsed="false">
      <c r="A8485" s="6" t="n">
        <v>43032.6071296296</v>
      </c>
      <c r="B8485" s="7" t="str">
        <f aca="false">HYPERLINK("https://twitter.com/jmwaymack","@jmwaymack")</f>
        <v>@jmwaymack</v>
      </c>
      <c r="C8485" s="8" t="s">
        <v>18607</v>
      </c>
      <c r="D8485" s="8" t="s">
        <v>18589</v>
      </c>
      <c r="E8485" s="9" t="str">
        <f aca="false">HYPERLINK("https://twitter.com/jmwaymack/status/922939322881294336","922939322881294336")</f>
        <v>922939322881294336</v>
      </c>
      <c r="F8485" s="10" t="s">
        <v>51</v>
      </c>
      <c r="G8485" s="10" t="n">
        <v>212</v>
      </c>
      <c r="H8485" s="10" t="n">
        <v>51</v>
      </c>
      <c r="I8485" s="10" t="n">
        <v>12</v>
      </c>
      <c r="J8485" s="10" t="n">
        <v>0</v>
      </c>
      <c r="K8485" s="10" t="s">
        <v>20</v>
      </c>
      <c r="L8485" s="11" t="n">
        <v>39942.8375231481</v>
      </c>
      <c r="M8485" s="12" t="s">
        <v>18608</v>
      </c>
      <c r="N8485" s="12" t="s">
        <v>18609</v>
      </c>
      <c r="O8485" s="9" t="str">
        <f aca="false">HYPERLINK("https://pbs.twimg.com/profile_images/817546512309907461/cUWZhbQ-_normal.jpg","View")</f>
        <v>View</v>
      </c>
      <c r="P8485" s="10"/>
    </row>
    <row r="8486" customFormat="false" ht="15.75" hidden="false" customHeight="false" outlineLevel="0" collapsed="false">
      <c r="A8486" s="6" t="n">
        <v>43032.6079976852</v>
      </c>
      <c r="B8486" s="7" t="str">
        <f aca="false">HYPERLINK("https://twitter.com/BackerLarry","@BackerLarry")</f>
        <v>@BackerLarry</v>
      </c>
      <c r="C8486" s="8" t="s">
        <v>18610</v>
      </c>
      <c r="D8486" s="8" t="s">
        <v>15569</v>
      </c>
      <c r="E8486" s="9" t="str">
        <f aca="false">HYPERLINK("https://twitter.com/BackerLarry/status/922939638356029440","922939638356029440")</f>
        <v>922939638356029440</v>
      </c>
      <c r="F8486" s="10" t="s">
        <v>39</v>
      </c>
      <c r="G8486" s="10" t="n">
        <v>285</v>
      </c>
      <c r="H8486" s="10" t="n">
        <v>358</v>
      </c>
      <c r="I8486" s="10" t="n">
        <v>3</v>
      </c>
      <c r="J8486" s="10" t="n">
        <v>0</v>
      </c>
      <c r="K8486" s="10" t="s">
        <v>20</v>
      </c>
      <c r="L8486" s="11" t="n">
        <v>42113.5106018519</v>
      </c>
      <c r="M8486" s="12" t="s">
        <v>3032</v>
      </c>
      <c r="N8486" s="12"/>
      <c r="O8486" s="9" t="str">
        <f aca="false">HYPERLINK("https://pbs.twimg.com/profile_images/589870636522156032/BYMHmp1y_normal.jpg","View")</f>
        <v>View</v>
      </c>
      <c r="P8486" s="10"/>
    </row>
    <row r="8487" customFormat="false" ht="15.75" hidden="false" customHeight="false" outlineLevel="0" collapsed="false">
      <c r="A8487" s="6" t="n">
        <v>43032.6169097222</v>
      </c>
      <c r="B8487" s="7" t="str">
        <f aca="false">HYPERLINK("https://twitter.com/Cold_Peace_","@Cold_Peace_")</f>
        <v>@Cold_Peace_</v>
      </c>
      <c r="C8487" s="8" t="s">
        <v>18611</v>
      </c>
      <c r="D8487" s="8" t="s">
        <v>18568</v>
      </c>
      <c r="E8487" s="9" t="str">
        <f aca="false">HYPERLINK("https://twitter.com/Cold_Peace_/status/922942867479416832","922942867479416832")</f>
        <v>922942867479416832</v>
      </c>
      <c r="F8487" s="10" t="s">
        <v>39</v>
      </c>
      <c r="G8487" s="10" t="n">
        <v>5090</v>
      </c>
      <c r="H8487" s="10" t="n">
        <v>849</v>
      </c>
      <c r="I8487" s="10" t="n">
        <v>8</v>
      </c>
      <c r="J8487" s="10" t="n">
        <v>0</v>
      </c>
      <c r="K8487" s="10" t="s">
        <v>20</v>
      </c>
      <c r="L8487" s="11" t="n">
        <v>40658.3631134259</v>
      </c>
      <c r="M8487" s="12" t="s">
        <v>723</v>
      </c>
      <c r="N8487" s="12" t="s">
        <v>18612</v>
      </c>
      <c r="O8487" s="9" t="str">
        <f aca="false">HYPERLINK("https://pbs.twimg.com/profile_images/751891637526200320/vW-6nYaZ_normal.jpg","View")</f>
        <v>View</v>
      </c>
      <c r="P8487" s="10"/>
    </row>
    <row r="8488" customFormat="false" ht="15.75" hidden="false" customHeight="false" outlineLevel="0" collapsed="false">
      <c r="A8488" s="6" t="n">
        <v>43032.6177430556</v>
      </c>
      <c r="B8488" s="7" t="str">
        <f aca="false">HYPERLINK("https://twitter.com/Aparna_Pande","@Aparna_Pande")</f>
        <v>@Aparna_Pande</v>
      </c>
      <c r="C8488" s="8" t="s">
        <v>18613</v>
      </c>
      <c r="D8488" s="8" t="s">
        <v>18568</v>
      </c>
      <c r="E8488" s="9" t="str">
        <f aca="false">HYPERLINK("https://twitter.com/Aparna_Pande/status/922943167653142528","922943167653142528")</f>
        <v>922943167653142528</v>
      </c>
      <c r="F8488" s="10" t="s">
        <v>51</v>
      </c>
      <c r="G8488" s="10" t="n">
        <v>4429</v>
      </c>
      <c r="H8488" s="10" t="n">
        <v>577</v>
      </c>
      <c r="I8488" s="10" t="n">
        <v>8</v>
      </c>
      <c r="J8488" s="10" t="n">
        <v>0</v>
      </c>
      <c r="K8488" s="10" t="s">
        <v>20</v>
      </c>
      <c r="L8488" s="11" t="n">
        <v>39985.3239351852</v>
      </c>
      <c r="M8488" s="12" t="s">
        <v>723</v>
      </c>
      <c r="N8488" s="12" t="s">
        <v>18614</v>
      </c>
      <c r="O8488" s="9" t="str">
        <f aca="false">HYPERLINK("https://pbs.twimg.com/profile_images/758486278249644032/0_xeeIWj_normal.jpg","View")</f>
        <v>View</v>
      </c>
      <c r="P8488" s="10"/>
    </row>
    <row r="8489" customFormat="false" ht="15.75" hidden="false" customHeight="false" outlineLevel="0" collapsed="false">
      <c r="A8489" s="6" t="n">
        <v>43032.6396064815</v>
      </c>
      <c r="B8489" s="7" t="str">
        <f aca="false">HYPERLINK("https://twitter.com/WSJ","@WSJ")</f>
        <v>@WSJ</v>
      </c>
      <c r="C8489" s="8" t="s">
        <v>2335</v>
      </c>
      <c r="D8489" s="8" t="s">
        <v>18615</v>
      </c>
      <c r="E8489" s="9" t="str">
        <f aca="false">HYPERLINK("https://twitter.com/WSJ/status/922951090139750405","922951090139750405")</f>
        <v>922951090139750405</v>
      </c>
      <c r="F8489" s="10" t="s">
        <v>268</v>
      </c>
      <c r="G8489" s="10" t="n">
        <v>15032676</v>
      </c>
      <c r="H8489" s="10" t="n">
        <v>1094</v>
      </c>
      <c r="I8489" s="10" t="n">
        <v>47</v>
      </c>
      <c r="J8489" s="10" t="n">
        <v>72</v>
      </c>
      <c r="K8489" s="10" t="s">
        <v>20</v>
      </c>
      <c r="L8489" s="11" t="n">
        <v>39172.9737615741</v>
      </c>
      <c r="M8489" s="12" t="s">
        <v>491</v>
      </c>
      <c r="N8489" s="12" t="s">
        <v>2337</v>
      </c>
      <c r="O8489" s="9" t="str">
        <f aca="false">HYPERLINK("https://pbs.twimg.com/profile_images/685113343204585473/jV72Zljq_normal.jpg","View")</f>
        <v>View</v>
      </c>
      <c r="P8489" s="10"/>
    </row>
    <row r="8490" customFormat="false" ht="15.75" hidden="false" customHeight="false" outlineLevel="0" collapsed="false">
      <c r="A8490" s="6" t="n">
        <v>43032.6399652778</v>
      </c>
      <c r="B8490" s="7" t="str">
        <f aca="false">HYPERLINK("https://twitter.com/AlorsHe","@AlorsHe")</f>
        <v>@AlorsHe</v>
      </c>
      <c r="C8490" s="8" t="s">
        <v>18616</v>
      </c>
      <c r="D8490" s="8" t="s">
        <v>18617</v>
      </c>
      <c r="E8490" s="9" t="str">
        <f aca="false">HYPERLINK("https://twitter.com/AlorsHe/status/922951221589274624","922951221589274624")</f>
        <v>922951221589274624</v>
      </c>
      <c r="F8490" s="10" t="s">
        <v>39</v>
      </c>
      <c r="G8490" s="10" t="n">
        <v>80</v>
      </c>
      <c r="H8490" s="10" t="n">
        <v>262</v>
      </c>
      <c r="I8490" s="10" t="n">
        <v>47</v>
      </c>
      <c r="J8490" s="10" t="n">
        <v>0</v>
      </c>
      <c r="K8490" s="10" t="s">
        <v>20</v>
      </c>
      <c r="L8490" s="11" t="n">
        <v>42958.2434375</v>
      </c>
      <c r="M8490" s="12"/>
      <c r="N8490" s="12"/>
      <c r="O8490" s="9" t="str">
        <f aca="false">HYPERLINK("https://pbs.twimg.com/profile_images/916929164619501569/UR6C8B4r_normal.jpg","View")</f>
        <v>View</v>
      </c>
      <c r="P8490" s="10"/>
    </row>
    <row r="8491" customFormat="false" ht="15.75" hidden="false" customHeight="false" outlineLevel="0" collapsed="false">
      <c r="A8491" s="6" t="n">
        <v>43032.6400231482</v>
      </c>
      <c r="B8491" s="7" t="str">
        <f aca="false">HYPERLINK("https://twitter.com/Bullish","@Bullish")</f>
        <v>@Bullish</v>
      </c>
      <c r="C8491" s="8" t="s">
        <v>223</v>
      </c>
      <c r="D8491" s="8" t="s">
        <v>18618</v>
      </c>
      <c r="E8491" s="9" t="str">
        <f aca="false">HYPERLINK("https://twitter.com/Bullish/status/922951241516441602","922951241516441602")</f>
        <v>922951241516441602</v>
      </c>
      <c r="F8491" s="10" t="s">
        <v>60</v>
      </c>
      <c r="G8491" s="10" t="n">
        <v>184</v>
      </c>
      <c r="H8491" s="10" t="n">
        <v>87</v>
      </c>
      <c r="I8491" s="10" t="n">
        <v>0</v>
      </c>
      <c r="J8491" s="10" t="n">
        <v>0</v>
      </c>
      <c r="K8491" s="10" t="s">
        <v>20</v>
      </c>
      <c r="L8491" s="11" t="n">
        <v>42618.7530439815</v>
      </c>
      <c r="M8491" s="12"/>
      <c r="N8491" s="12"/>
      <c r="O8491" s="9" t="str">
        <f aca="false">HYPERLINK("https://pbs.twimg.com/profile_images/798692093736599552/UikI9dNE_normal.jpg","View")</f>
        <v>View</v>
      </c>
      <c r="P8491" s="10"/>
    </row>
    <row r="8492" customFormat="false" ht="15.75" hidden="false" customHeight="false" outlineLevel="0" collapsed="false">
      <c r="A8492" s="6" t="n">
        <v>43032.6400231482</v>
      </c>
      <c r="B8492" s="7" t="str">
        <f aca="false">HYPERLINK("https://twitter.com/ChitownNSession","@ChitownNSession")</f>
        <v>@ChitownNSession</v>
      </c>
      <c r="C8492" s="8" t="s">
        <v>18619</v>
      </c>
      <c r="D8492" s="8" t="s">
        <v>18617</v>
      </c>
      <c r="E8492" s="9" t="str">
        <f aca="false">HYPERLINK("https://twitter.com/ChitownNSession/status/922951242107768833","922951242107768833")</f>
        <v>922951242107768833</v>
      </c>
      <c r="F8492" s="10" t="s">
        <v>25</v>
      </c>
      <c r="G8492" s="10" t="n">
        <v>1082</v>
      </c>
      <c r="H8492" s="10" t="n">
        <v>783</v>
      </c>
      <c r="I8492" s="10" t="n">
        <v>47</v>
      </c>
      <c r="J8492" s="10" t="n">
        <v>0</v>
      </c>
      <c r="K8492" s="10" t="s">
        <v>20</v>
      </c>
      <c r="L8492" s="11" t="n">
        <v>41279.7073842593</v>
      </c>
      <c r="M8492" s="12" t="s">
        <v>798</v>
      </c>
      <c r="N8492" s="12" t="s">
        <v>18620</v>
      </c>
      <c r="O8492" s="9" t="str">
        <f aca="false">HYPERLINK("https://pbs.twimg.com/profile_images/881328034476953602/pJMT9Z51_normal.jpg","View")</f>
        <v>View</v>
      </c>
      <c r="P8492" s="10"/>
    </row>
    <row r="8493" customFormat="false" ht="15.75" hidden="false" customHeight="false" outlineLevel="0" collapsed="false">
      <c r="A8493" s="6" t="n">
        <v>43032.6404050926</v>
      </c>
      <c r="B8493" s="7" t="str">
        <f aca="false">HYPERLINK("https://twitter.com/livechannelfeed","@livechannelfeed")</f>
        <v>@livechannelfeed</v>
      </c>
      <c r="C8493" s="8" t="s">
        <v>2384</v>
      </c>
      <c r="D8493" s="8" t="s">
        <v>18621</v>
      </c>
      <c r="E8493" s="9" t="str">
        <f aca="false">HYPERLINK("https://twitter.com/livechannelfeed/status/922951380922445824","922951380922445824")</f>
        <v>922951380922445824</v>
      </c>
      <c r="F8493" s="10" t="s">
        <v>60</v>
      </c>
      <c r="G8493" s="10" t="n">
        <v>3923</v>
      </c>
      <c r="H8493" s="10" t="n">
        <v>3266</v>
      </c>
      <c r="I8493" s="10" t="n">
        <v>0</v>
      </c>
      <c r="J8493" s="10" t="n">
        <v>0</v>
      </c>
      <c r="K8493" s="10" t="s">
        <v>20</v>
      </c>
      <c r="L8493" s="11" t="n">
        <v>42710.8456365741</v>
      </c>
      <c r="M8493" s="12" t="s">
        <v>312</v>
      </c>
      <c r="N8493" s="12" t="s">
        <v>2386</v>
      </c>
      <c r="O8493" s="9" t="str">
        <f aca="false">HYPERLINK("https://pbs.twimg.com/profile_images/806606820504731649/rCR1WeBs_normal.jpg","View")</f>
        <v>View</v>
      </c>
      <c r="P8493" s="10"/>
    </row>
    <row r="8494" customFormat="false" ht="15.75" hidden="false" customHeight="false" outlineLevel="0" collapsed="false">
      <c r="A8494" s="6" t="n">
        <v>43032.6405439815</v>
      </c>
      <c r="B8494" s="7" t="str">
        <f aca="false">HYPERLINK("https://twitter.com/MicheleTarroni","@MicheleTarroni")</f>
        <v>@MicheleTarroni</v>
      </c>
      <c r="C8494" s="8" t="s">
        <v>18622</v>
      </c>
      <c r="D8494" s="8" t="s">
        <v>18617</v>
      </c>
      <c r="E8494" s="9" t="str">
        <f aca="false">HYPERLINK("https://twitter.com/MicheleTarroni/status/922951432323641344","922951432323641344")</f>
        <v>922951432323641344</v>
      </c>
      <c r="F8494" s="10" t="s">
        <v>2620</v>
      </c>
      <c r="G8494" s="10" t="n">
        <v>81</v>
      </c>
      <c r="H8494" s="10" t="n">
        <v>153</v>
      </c>
      <c r="I8494" s="10" t="n">
        <v>47</v>
      </c>
      <c r="J8494" s="10" t="n">
        <v>0</v>
      </c>
      <c r="K8494" s="10" t="s">
        <v>20</v>
      </c>
      <c r="L8494" s="11" t="n">
        <v>42589.1426967593</v>
      </c>
      <c r="M8494" s="12" t="s">
        <v>18623</v>
      </c>
      <c r="N8494" s="12" t="s">
        <v>18624</v>
      </c>
      <c r="O8494" s="9" t="str">
        <f aca="false">HYPERLINK("https://pbs.twimg.com/profile_images/922632835508441089/rzNbOTs9_normal.jpg","View")</f>
        <v>View</v>
      </c>
      <c r="P8494" s="10"/>
    </row>
    <row r="8495" customFormat="false" ht="15.75" hidden="false" customHeight="false" outlineLevel="0" collapsed="false">
      <c r="A8495" s="6" t="n">
        <v>43032.640775463</v>
      </c>
      <c r="B8495" s="7" t="str">
        <f aca="false">HYPERLINK("https://twitter.com/AboutThWorldNow","@AboutThWorldNow")</f>
        <v>@AboutThWorldNow</v>
      </c>
      <c r="C8495" s="8" t="s">
        <v>18625</v>
      </c>
      <c r="D8495" s="8" t="s">
        <v>18617</v>
      </c>
      <c r="E8495" s="9" t="str">
        <f aca="false">HYPERLINK("https://twitter.com/AboutThWorldNow/status/922951514984976386","922951514984976386")</f>
        <v>922951514984976386</v>
      </c>
      <c r="F8495" s="10" t="s">
        <v>25</v>
      </c>
      <c r="G8495" s="10" t="n">
        <v>1651</v>
      </c>
      <c r="H8495" s="10" t="n">
        <v>2025</v>
      </c>
      <c r="I8495" s="10" t="n">
        <v>47</v>
      </c>
      <c r="J8495" s="10" t="n">
        <v>0</v>
      </c>
      <c r="K8495" s="10" t="s">
        <v>20</v>
      </c>
      <c r="L8495" s="11" t="n">
        <v>40960.8156712963</v>
      </c>
      <c r="M8495" s="12" t="s">
        <v>18626</v>
      </c>
      <c r="N8495" s="12" t="s">
        <v>18627</v>
      </c>
      <c r="O8495" s="9" t="str">
        <f aca="false">HYPERLINK("https://pbs.twimg.com/profile_images/474739354732990464/OFmeLS4H_normal.jpeg","View")</f>
        <v>View</v>
      </c>
      <c r="P8495" s="10"/>
    </row>
    <row r="8496" customFormat="false" ht="15.75" hidden="false" customHeight="false" outlineLevel="0" collapsed="false">
      <c r="A8496" s="6" t="n">
        <v>43032.6410648148</v>
      </c>
      <c r="B8496" s="7" t="str">
        <f aca="false">HYPERLINK("https://twitter.com/misssastra","@misssastra")</f>
        <v>@misssastra</v>
      </c>
      <c r="C8496" s="8" t="s">
        <v>18628</v>
      </c>
      <c r="D8496" s="8" t="s">
        <v>18617</v>
      </c>
      <c r="E8496" s="9" t="str">
        <f aca="false">HYPERLINK("https://twitter.com/misssastra/status/922951618751897600","922951618751897600")</f>
        <v>922951618751897600</v>
      </c>
      <c r="F8496" s="10" t="s">
        <v>51</v>
      </c>
      <c r="G8496" s="10" t="n">
        <v>30</v>
      </c>
      <c r="H8496" s="10" t="n">
        <v>288</v>
      </c>
      <c r="I8496" s="10" t="n">
        <v>47</v>
      </c>
      <c r="J8496" s="10" t="n">
        <v>0</v>
      </c>
      <c r="K8496" s="10" t="s">
        <v>20</v>
      </c>
      <c r="L8496" s="11" t="n">
        <v>40023.9126388889</v>
      </c>
      <c r="M8496" s="12"/>
      <c r="N8496" s="12"/>
      <c r="O8496" s="9" t="str">
        <f aca="false">HYPERLINK("https://pbs.twimg.com/profile_images/861810672149028864/PkpSUkVy_normal.jpg","View")</f>
        <v>View</v>
      </c>
      <c r="P8496" s="10"/>
    </row>
    <row r="8497" customFormat="false" ht="15.75" hidden="false" customHeight="false" outlineLevel="0" collapsed="false">
      <c r="A8497" s="6" t="n">
        <v>43032.641099537</v>
      </c>
      <c r="B8497" s="7" t="str">
        <f aca="false">HYPERLINK("https://twitter.com/AhmetYavuz2037","@AhmetYavuz2037")</f>
        <v>@AhmetYavuz2037</v>
      </c>
      <c r="C8497" s="8" t="s">
        <v>18629</v>
      </c>
      <c r="D8497" s="8" t="s">
        <v>18617</v>
      </c>
      <c r="E8497" s="9" t="str">
        <f aca="false">HYPERLINK("https://twitter.com/AhmetYavuz2037/status/922951634526842880","922951634526842880")</f>
        <v>922951634526842880</v>
      </c>
      <c r="F8497" s="10" t="s">
        <v>25</v>
      </c>
      <c r="G8497" s="10" t="n">
        <v>274</v>
      </c>
      <c r="H8497" s="10" t="n">
        <v>812</v>
      </c>
      <c r="I8497" s="10" t="n">
        <v>47</v>
      </c>
      <c r="J8497" s="10" t="n">
        <v>0</v>
      </c>
      <c r="K8497" s="10" t="s">
        <v>20</v>
      </c>
      <c r="L8497" s="11" t="n">
        <v>41271.0984606482</v>
      </c>
      <c r="M8497" s="12" t="s">
        <v>18630</v>
      </c>
      <c r="N8497" s="12" t="s">
        <v>18631</v>
      </c>
      <c r="O8497" s="9" t="str">
        <f aca="false">HYPERLINK("https://pbs.twimg.com/profile_images/922974455990833153/C3nb8GLH_normal.jpg","View")</f>
        <v>View</v>
      </c>
      <c r="P8497" s="10"/>
    </row>
    <row r="8498" customFormat="false" ht="15.75" hidden="false" customHeight="false" outlineLevel="0" collapsed="false">
      <c r="A8498" s="6" t="n">
        <v>43032.6411111111</v>
      </c>
      <c r="B8498" s="7" t="str">
        <f aca="false">HYPERLINK("https://twitter.com/serge_poznanski","@serge_poznanski")</f>
        <v>@serge_poznanski</v>
      </c>
      <c r="C8498" s="8" t="s">
        <v>212</v>
      </c>
      <c r="D8498" s="8" t="s">
        <v>18632</v>
      </c>
      <c r="E8498" s="9" t="str">
        <f aca="false">HYPERLINK("https://twitter.com/serge_poznanski/status/922951635659296772","922951635659296772")</f>
        <v>922951635659296772</v>
      </c>
      <c r="F8498" s="10" t="s">
        <v>60</v>
      </c>
      <c r="G8498" s="10" t="n">
        <v>1424</v>
      </c>
      <c r="H8498" s="10" t="n">
        <v>2136</v>
      </c>
      <c r="I8498" s="10" t="n">
        <v>0</v>
      </c>
      <c r="J8498" s="10" t="n">
        <v>0</v>
      </c>
      <c r="K8498" s="10" t="s">
        <v>20</v>
      </c>
      <c r="L8498" s="11" t="n">
        <v>42271.4744560185</v>
      </c>
      <c r="M8498" s="12"/>
      <c r="N8498" s="12"/>
      <c r="O8498" s="9" t="str">
        <f aca="false">HYPERLINK("https://pbs.twimg.com/profile_images/647277253240291328/3GezjFCJ_normal.jpg","View")</f>
        <v>View</v>
      </c>
      <c r="P8498" s="10"/>
    </row>
    <row r="8499" customFormat="false" ht="15.75" hidden="false" customHeight="false" outlineLevel="0" collapsed="false">
      <c r="A8499" s="6" t="n">
        <v>43032.6421296296</v>
      </c>
      <c r="B8499" s="7" t="str">
        <f aca="false">HYPERLINK("https://twitter.com/wsj_once","@wsj_once")</f>
        <v>@wsj_once</v>
      </c>
      <c r="C8499" s="8" t="s">
        <v>2375</v>
      </c>
      <c r="D8499" s="8" t="s">
        <v>18617</v>
      </c>
      <c r="E8499" s="9" t="str">
        <f aca="false">HYPERLINK("https://twitter.com/wsj_once/status/922952007459229696","922952007459229696")</f>
        <v>922952007459229696</v>
      </c>
      <c r="F8499" s="10" t="s">
        <v>737</v>
      </c>
      <c r="G8499" s="10" t="n">
        <v>68</v>
      </c>
      <c r="H8499" s="10" t="n">
        <v>0</v>
      </c>
      <c r="I8499" s="10" t="n">
        <v>47</v>
      </c>
      <c r="J8499" s="10" t="n">
        <v>0</v>
      </c>
      <c r="K8499" s="10" t="s">
        <v>20</v>
      </c>
      <c r="L8499" s="11" t="n">
        <v>42758.8956018519</v>
      </c>
      <c r="M8499" s="12"/>
      <c r="N8499" s="12" t="s">
        <v>2376</v>
      </c>
      <c r="O8499" s="9" t="str">
        <f aca="false">HYPERLINK("https://pbs.twimg.com/profile_images/823940129786134528/unGg-KRZ_normal.jpg","View")</f>
        <v>View</v>
      </c>
      <c r="P8499" s="10"/>
    </row>
    <row r="8500" customFormat="false" ht="15.75" hidden="false" customHeight="false" outlineLevel="0" collapsed="false">
      <c r="A8500" s="6" t="n">
        <v>43032.6422569444</v>
      </c>
      <c r="B8500" s="7" t="str">
        <f aca="false">HYPERLINK("https://twitter.com/InvestingLatest","@InvestingLatest")</f>
        <v>@InvestingLatest</v>
      </c>
      <c r="C8500" s="8" t="s">
        <v>934</v>
      </c>
      <c r="D8500" s="8" t="s">
        <v>18633</v>
      </c>
      <c r="E8500" s="9" t="str">
        <f aca="false">HYPERLINK("https://twitter.com/InvestingLatest/status/922952050991910912","922952050991910912")</f>
        <v>922952050991910912</v>
      </c>
      <c r="F8500" s="10" t="s">
        <v>60</v>
      </c>
      <c r="G8500" s="10" t="n">
        <v>1538</v>
      </c>
      <c r="H8500" s="10" t="n">
        <v>33</v>
      </c>
      <c r="I8500" s="10" t="n">
        <v>0</v>
      </c>
      <c r="J8500" s="10" t="n">
        <v>0</v>
      </c>
      <c r="K8500" s="10" t="s">
        <v>20</v>
      </c>
      <c r="L8500" s="11" t="n">
        <v>41946.3308912037</v>
      </c>
      <c r="M8500" s="12"/>
      <c r="N8500" s="12" t="s">
        <v>936</v>
      </c>
      <c r="O8500" s="9" t="str">
        <f aca="false">HYPERLINK("https://pbs.twimg.com/profile_images/529461684297945089/uscUz0UO_normal.jpeg","View")</f>
        <v>View</v>
      </c>
      <c r="P8500" s="10"/>
    </row>
    <row r="8501" customFormat="false" ht="15.75" hidden="false" customHeight="false" outlineLevel="0" collapsed="false">
      <c r="A8501" s="6" t="n">
        <v>43032.6424768519</v>
      </c>
      <c r="B8501" s="7" t="str">
        <f aca="false">HYPERLINK("https://twitter.com/TheBFRoom","@TheBFRoom")</f>
        <v>@TheBFRoom</v>
      </c>
      <c r="C8501" s="8" t="s">
        <v>674</v>
      </c>
      <c r="D8501" s="8" t="s">
        <v>18634</v>
      </c>
      <c r="E8501" s="9" t="str">
        <f aca="false">HYPERLINK("https://twitter.com/TheBFRoom/status/922952130603945984","922952130603945984")</f>
        <v>922952130603945984</v>
      </c>
      <c r="F8501" s="10" t="s">
        <v>60</v>
      </c>
      <c r="G8501" s="10" t="n">
        <v>3260</v>
      </c>
      <c r="H8501" s="10" t="n">
        <v>3958</v>
      </c>
      <c r="I8501" s="10" t="n">
        <v>0</v>
      </c>
      <c r="J8501" s="10" t="n">
        <v>0</v>
      </c>
      <c r="K8501" s="10" t="s">
        <v>20</v>
      </c>
      <c r="L8501" s="11" t="n">
        <v>42761.325162037</v>
      </c>
      <c r="M8501" s="12" t="s">
        <v>230</v>
      </c>
      <c r="N8501" s="12" t="s">
        <v>676</v>
      </c>
      <c r="O8501" s="9" t="str">
        <f aca="false">HYPERLINK("https://pbs.twimg.com/profile_images/898379268778020864/0u1zlj_B_normal.jpg","View")</f>
        <v>View</v>
      </c>
      <c r="P8501" s="10"/>
    </row>
    <row r="8502" customFormat="false" ht="15.75" hidden="false" customHeight="false" outlineLevel="0" collapsed="false">
      <c r="A8502" s="6" t="n">
        <v>43032.6425115741</v>
      </c>
      <c r="B8502" s="7" t="str">
        <f aca="false">HYPERLINK("https://twitter.com/bdnews24","@bdnews24")</f>
        <v>@bdnews24</v>
      </c>
      <c r="C8502" s="8" t="s">
        <v>216</v>
      </c>
      <c r="D8502" s="8" t="s">
        <v>18635</v>
      </c>
      <c r="E8502" s="9" t="str">
        <f aca="false">HYPERLINK("https://twitter.com/bdnews24/status/922952143472128001","922952143472128001")</f>
        <v>922952143472128001</v>
      </c>
      <c r="F8502" s="10" t="s">
        <v>60</v>
      </c>
      <c r="G8502" s="10" t="n">
        <v>215597</v>
      </c>
      <c r="H8502" s="10" t="n">
        <v>67887</v>
      </c>
      <c r="I8502" s="10" t="n">
        <v>0</v>
      </c>
      <c r="J8502" s="10" t="n">
        <v>0</v>
      </c>
      <c r="K8502" s="10" t="s">
        <v>20</v>
      </c>
      <c r="L8502" s="11" t="n">
        <v>39844.4680439815</v>
      </c>
      <c r="M8502" s="12" t="s">
        <v>218</v>
      </c>
      <c r="N8502" s="12" t="s">
        <v>219</v>
      </c>
      <c r="O8502" s="9" t="str">
        <f aca="false">HYPERLINK("https://pbs.twimg.com/profile_images/718433521509994497/4iW9RC_r_normal.jpg","View")</f>
        <v>View</v>
      </c>
      <c r="P8502" s="10"/>
    </row>
    <row r="8503" customFormat="false" ht="15.75" hidden="false" customHeight="false" outlineLevel="0" collapsed="false">
      <c r="A8503" s="6" t="n">
        <v>43032.6425462963</v>
      </c>
      <c r="B8503" s="7" t="str">
        <f aca="false">HYPERLINK("https://twitter.com/mercilesscults","@mercilesscults")</f>
        <v>@mercilesscults</v>
      </c>
      <c r="C8503" s="14" t="s">
        <v>10475</v>
      </c>
      <c r="D8503" s="8" t="s">
        <v>18617</v>
      </c>
      <c r="E8503" s="9" t="str">
        <f aca="false">HYPERLINK("https://twitter.com/mercilesscults/status/922952157061570560","922952157061570560")</f>
        <v>922952157061570560</v>
      </c>
      <c r="F8503" s="10" t="s">
        <v>25</v>
      </c>
      <c r="G8503" s="10" t="n">
        <v>376</v>
      </c>
      <c r="H8503" s="10" t="n">
        <v>1832</v>
      </c>
      <c r="I8503" s="10" t="n">
        <v>47</v>
      </c>
      <c r="J8503" s="10" t="n">
        <v>0</v>
      </c>
      <c r="K8503" s="10" t="s">
        <v>20</v>
      </c>
      <c r="L8503" s="11" t="n">
        <v>41274.8678935185</v>
      </c>
      <c r="M8503" s="12"/>
      <c r="N8503" s="13" t="s">
        <v>10476</v>
      </c>
      <c r="O8503" s="9" t="str">
        <f aca="false">HYPERLINK("https://pbs.twimg.com/profile_images/911789159987134464/S-gg8WOU_normal.jpg","View")</f>
        <v>View</v>
      </c>
      <c r="P8503" s="10"/>
    </row>
    <row r="8504" customFormat="false" ht="15.75" hidden="false" customHeight="false" outlineLevel="0" collapsed="false">
      <c r="A8504" s="6" t="n">
        <v>43032.6425925926</v>
      </c>
      <c r="B8504" s="7" t="str">
        <f aca="false">HYPERLINK("https://twitter.com/TirtaNews","@TirtaNews")</f>
        <v>@TirtaNews</v>
      </c>
      <c r="C8504" s="8" t="s">
        <v>2387</v>
      </c>
      <c r="D8504" s="8" t="s">
        <v>18636</v>
      </c>
      <c r="E8504" s="9" t="str">
        <f aca="false">HYPERLINK("https://twitter.com/TirtaNews/status/922952175785005061","922952175785005061")</f>
        <v>922952175785005061</v>
      </c>
      <c r="F8504" s="10" t="s">
        <v>60</v>
      </c>
      <c r="G8504" s="10" t="n">
        <v>185</v>
      </c>
      <c r="H8504" s="10" t="n">
        <v>66</v>
      </c>
      <c r="I8504" s="10" t="n">
        <v>0</v>
      </c>
      <c r="J8504" s="10" t="n">
        <v>0</v>
      </c>
      <c r="K8504" s="10" t="s">
        <v>20</v>
      </c>
      <c r="L8504" s="11" t="n">
        <v>41894.3403009259</v>
      </c>
      <c r="M8504" s="12"/>
      <c r="N8504" s="12"/>
      <c r="O8504" s="9" t="str">
        <f aca="false">HYPERLINK("https://pbs.twimg.com/profile_images/510469173214846976/ZLGHsEM0_normal.png","View")</f>
        <v>View</v>
      </c>
      <c r="P8504" s="10"/>
    </row>
    <row r="8505" customFormat="false" ht="15.75" hidden="false" customHeight="false" outlineLevel="0" collapsed="false">
      <c r="A8505" s="6" t="n">
        <v>43032.6428125</v>
      </c>
      <c r="B8505" s="7" t="str">
        <f aca="false">HYPERLINK("https://twitter.com/360BizInfo","@360BizInfo")</f>
        <v>@360BizInfo</v>
      </c>
      <c r="C8505" s="8" t="s">
        <v>2470</v>
      </c>
      <c r="D8505" s="8" t="s">
        <v>18637</v>
      </c>
      <c r="E8505" s="9" t="str">
        <f aca="false">HYPERLINK("https://twitter.com/360BizInfo/status/922952255216783360","922952255216783360")</f>
        <v>922952255216783360</v>
      </c>
      <c r="F8505" s="10" t="s">
        <v>60</v>
      </c>
      <c r="G8505" s="10" t="n">
        <v>412</v>
      </c>
      <c r="H8505" s="10" t="n">
        <v>368</v>
      </c>
      <c r="I8505" s="10" t="n">
        <v>0</v>
      </c>
      <c r="J8505" s="10" t="n">
        <v>0</v>
      </c>
      <c r="K8505" s="10" t="s">
        <v>20</v>
      </c>
      <c r="L8505" s="11" t="n">
        <v>42378.7195486111</v>
      </c>
      <c r="M8505" s="12"/>
      <c r="N8505" s="12" t="s">
        <v>2472</v>
      </c>
      <c r="O8505" s="9" t="str">
        <f aca="false">HYPERLINK("https://pbs.twimg.com/profile_images/867458762877095936/iANdaTlX_normal.jpg","View")</f>
        <v>View</v>
      </c>
      <c r="P8505" s="10"/>
    </row>
    <row r="8506" customFormat="false" ht="15.75" hidden="false" customHeight="false" outlineLevel="0" collapsed="false">
      <c r="A8506" s="6" t="n">
        <v>43032.6428472222</v>
      </c>
      <c r="B8506" s="7" t="str">
        <f aca="false">HYPERLINK("https://twitter.com/rabonaldi","@rabonaldi")</f>
        <v>@rabonaldi</v>
      </c>
      <c r="C8506" s="8" t="s">
        <v>18638</v>
      </c>
      <c r="D8506" s="8" t="s">
        <v>18617</v>
      </c>
      <c r="E8506" s="9" t="str">
        <f aca="false">HYPERLINK("https://twitter.com/rabonaldi/status/922952266570764288","922952266570764288")</f>
        <v>922952266570764288</v>
      </c>
      <c r="F8506" s="10" t="s">
        <v>25</v>
      </c>
      <c r="G8506" s="10" t="n">
        <v>465</v>
      </c>
      <c r="H8506" s="10" t="n">
        <v>843</v>
      </c>
      <c r="I8506" s="10" t="n">
        <v>47</v>
      </c>
      <c r="J8506" s="10" t="n">
        <v>0</v>
      </c>
      <c r="K8506" s="10" t="s">
        <v>20</v>
      </c>
      <c r="L8506" s="11" t="n">
        <v>42005.5071643519</v>
      </c>
      <c r="M8506" s="12"/>
      <c r="N8506" s="12"/>
      <c r="O8506" s="9" t="str">
        <f aca="false">HYPERLINK("https://pbs.twimg.com/profile_images/825169563729948672/VWnxPhzl_normal.jpg","View")</f>
        <v>View</v>
      </c>
      <c r="P8506" s="10"/>
    </row>
    <row r="8507" customFormat="false" ht="15.75" hidden="false" customHeight="false" outlineLevel="0" collapsed="false">
      <c r="A8507" s="6" t="n">
        <v>43032.6429861111</v>
      </c>
      <c r="B8507" s="7" t="str">
        <f aca="false">HYPERLINK("https://twitter.com/mlnangalama","@mlnangalama")</f>
        <v>@mlnangalama</v>
      </c>
      <c r="C8507" s="8" t="s">
        <v>255</v>
      </c>
      <c r="D8507" s="8" t="s">
        <v>18639</v>
      </c>
      <c r="E8507" s="9" t="str">
        <f aca="false">HYPERLINK("https://twitter.com/mlnangalama/status/922952316571045888","922952316571045888")</f>
        <v>922952316571045888</v>
      </c>
      <c r="F8507" s="10" t="s">
        <v>60</v>
      </c>
      <c r="G8507" s="10" t="n">
        <v>2370</v>
      </c>
      <c r="H8507" s="10" t="n">
        <v>1585</v>
      </c>
      <c r="I8507" s="10" t="n">
        <v>0</v>
      </c>
      <c r="J8507" s="10" t="n">
        <v>0</v>
      </c>
      <c r="K8507" s="10" t="s">
        <v>20</v>
      </c>
      <c r="L8507" s="11" t="n">
        <v>41041.5437847222</v>
      </c>
      <c r="M8507" s="12" t="s">
        <v>257</v>
      </c>
      <c r="N8507" s="12" t="s">
        <v>258</v>
      </c>
      <c r="O8507" s="9" t="str">
        <f aca="false">HYPERLINK("https://pbs.twimg.com/profile_images/900915882444173313/biUHzvpx_normal.jpg","View")</f>
        <v>View</v>
      </c>
      <c r="P8507" s="10"/>
    </row>
    <row r="8508" customFormat="false" ht="15.75" hidden="false" customHeight="false" outlineLevel="0" collapsed="false">
      <c r="A8508" s="6" t="n">
        <v>43032.6431828704</v>
      </c>
      <c r="B8508" s="7" t="str">
        <f aca="false">HYPERLINK("https://twitter.com/obregonraqueln1","@obregonraqueln1")</f>
        <v>@obregonraqueln1</v>
      </c>
      <c r="C8508" s="8" t="s">
        <v>7785</v>
      </c>
      <c r="D8508" s="8" t="s">
        <v>18617</v>
      </c>
      <c r="E8508" s="9" t="str">
        <f aca="false">HYPERLINK("https://twitter.com/obregonraqueln1/status/922952385567363073","922952385567363073")</f>
        <v>922952385567363073</v>
      </c>
      <c r="F8508" s="10" t="s">
        <v>25</v>
      </c>
      <c r="G8508" s="10" t="n">
        <v>800</v>
      </c>
      <c r="H8508" s="10" t="n">
        <v>295</v>
      </c>
      <c r="I8508" s="10" t="n">
        <v>47</v>
      </c>
      <c r="J8508" s="10" t="n">
        <v>0</v>
      </c>
      <c r="K8508" s="10" t="s">
        <v>20</v>
      </c>
      <c r="L8508" s="11" t="n">
        <v>42811.307662037</v>
      </c>
      <c r="M8508" s="12" t="s">
        <v>7786</v>
      </c>
      <c r="N8508" s="12"/>
      <c r="O8508" s="9" t="str">
        <f aca="false">HYPERLINK("https://pbs.twimg.com/profile_images/842745393150681090/heMvwt2G_normal.jpg","View")</f>
        <v>View</v>
      </c>
      <c r="P8508" s="10"/>
    </row>
    <row r="8509" customFormat="false" ht="15.75" hidden="false" customHeight="false" outlineLevel="0" collapsed="false">
      <c r="A8509" s="6" t="n">
        <v>43032.6437847222</v>
      </c>
      <c r="B8509" s="7" t="str">
        <f aca="false">HYPERLINK("https://twitter.com/SajidAh56391722","@SajidAh56391722")</f>
        <v>@SajidAh56391722</v>
      </c>
      <c r="C8509" s="8" t="s">
        <v>18640</v>
      </c>
      <c r="D8509" s="8" t="s">
        <v>18617</v>
      </c>
      <c r="E8509" s="9" t="str">
        <f aca="false">HYPERLINK("https://twitter.com/SajidAh56391722/status/922952604560142336","922952604560142336")</f>
        <v>922952604560142336</v>
      </c>
      <c r="F8509" s="10" t="s">
        <v>177</v>
      </c>
      <c r="G8509" s="10" t="n">
        <v>1806</v>
      </c>
      <c r="H8509" s="10" t="n">
        <v>3070</v>
      </c>
      <c r="I8509" s="10" t="n">
        <v>47</v>
      </c>
      <c r="J8509" s="10" t="n">
        <v>0</v>
      </c>
      <c r="K8509" s="10" t="s">
        <v>20</v>
      </c>
      <c r="L8509" s="11" t="n">
        <v>41388.8669560185</v>
      </c>
      <c r="M8509" s="12" t="s">
        <v>18641</v>
      </c>
      <c r="N8509" s="12" t="s">
        <v>18642</v>
      </c>
      <c r="O8509" s="9" t="str">
        <f aca="false">HYPERLINK("https://pbs.twimg.com/profile_images/880650184358850563/CioaAAP__normal.jpg","View")</f>
        <v>View</v>
      </c>
      <c r="P8509" s="10"/>
    </row>
    <row r="8510" customFormat="false" ht="15.75" hidden="false" customHeight="false" outlineLevel="0" collapsed="false">
      <c r="A8510" s="6" t="n">
        <v>43032.6437847222</v>
      </c>
      <c r="B8510" s="7" t="str">
        <f aca="false">HYPERLINK("https://twitter.com/collette_brown","@collette_brown")</f>
        <v>@collette_brown</v>
      </c>
      <c r="C8510" s="8" t="s">
        <v>18643</v>
      </c>
      <c r="D8510" s="8" t="s">
        <v>18617</v>
      </c>
      <c r="E8510" s="9" t="str">
        <f aca="false">HYPERLINK("https://twitter.com/collette_brown/status/922952605340332032","922952605340332032")</f>
        <v>922952605340332032</v>
      </c>
      <c r="F8510" s="10" t="s">
        <v>51</v>
      </c>
      <c r="G8510" s="10" t="n">
        <v>567</v>
      </c>
      <c r="H8510" s="10" t="n">
        <v>1286</v>
      </c>
      <c r="I8510" s="10" t="n">
        <v>47</v>
      </c>
      <c r="J8510" s="10" t="n">
        <v>0</v>
      </c>
      <c r="K8510" s="10" t="s">
        <v>20</v>
      </c>
      <c r="L8510" s="11" t="n">
        <v>39908.4192361111</v>
      </c>
      <c r="M8510" s="12" t="s">
        <v>21</v>
      </c>
      <c r="N8510" s="12" t="s">
        <v>18644</v>
      </c>
      <c r="O8510" s="9" t="str">
        <f aca="false">HYPERLINK("https://pbs.twimg.com/profile_images/148486524/Collette_s_brown_jacket_normal.jpg","View")</f>
        <v>View</v>
      </c>
      <c r="P8510" s="10"/>
    </row>
    <row r="8511" customFormat="false" ht="15.75" hidden="false" customHeight="false" outlineLevel="0" collapsed="false">
      <c r="A8511" s="6" t="n">
        <v>43032.6458333333</v>
      </c>
      <c r="B8511" s="7" t="str">
        <f aca="false">HYPERLINK("https://twitter.com/jimmyhoshi","@jimmyhoshi")</f>
        <v>@jimmyhoshi</v>
      </c>
      <c r="C8511" s="8" t="s">
        <v>1651</v>
      </c>
      <c r="D8511" s="8" t="s">
        <v>18645</v>
      </c>
      <c r="E8511" s="9" t="str">
        <f aca="false">HYPERLINK("https://twitter.com/jimmyhoshi/status/922953347878961158","922953347878961158")</f>
        <v>922953347878961158</v>
      </c>
      <c r="F8511" s="10" t="s">
        <v>1653</v>
      </c>
      <c r="G8511" s="10" t="n">
        <v>8715</v>
      </c>
      <c r="H8511" s="10" t="n">
        <v>8482</v>
      </c>
      <c r="I8511" s="10" t="n">
        <v>0</v>
      </c>
      <c r="J8511" s="10" t="n">
        <v>0</v>
      </c>
      <c r="K8511" s="10" t="s">
        <v>20</v>
      </c>
      <c r="L8511" s="11" t="n">
        <v>41922.7041087963</v>
      </c>
      <c r="M8511" s="12" t="s">
        <v>1654</v>
      </c>
      <c r="N8511" s="12" t="s">
        <v>1655</v>
      </c>
      <c r="O8511" s="9" t="str">
        <f aca="false">HYPERLINK("https://pbs.twimg.com/profile_images/525551979565555712/q1hl0v2W_normal.png","View")</f>
        <v>View</v>
      </c>
      <c r="P8511" s="10"/>
    </row>
    <row r="8512" customFormat="false" ht="15.75" hidden="false" customHeight="false" outlineLevel="0" collapsed="false">
      <c r="A8512" s="6" t="n">
        <v>43032.6461689815</v>
      </c>
      <c r="B8512" s="7" t="str">
        <f aca="false">HYPERLINK("https://twitter.com/globnewsen","@globnewsen")</f>
        <v>@globnewsen</v>
      </c>
      <c r="C8512" s="8" t="s">
        <v>1793</v>
      </c>
      <c r="D8512" s="8" t="s">
        <v>18646</v>
      </c>
      <c r="E8512" s="9" t="str">
        <f aca="false">HYPERLINK("https://twitter.com/globnewsen/status/922953469992071168","922953469992071168")</f>
        <v>922953469992071168</v>
      </c>
      <c r="F8512" s="10" t="s">
        <v>60</v>
      </c>
      <c r="G8512" s="10" t="n">
        <v>538</v>
      </c>
      <c r="H8512" s="10" t="n">
        <v>0</v>
      </c>
      <c r="I8512" s="10" t="n">
        <v>0</v>
      </c>
      <c r="J8512" s="10" t="n">
        <v>0</v>
      </c>
      <c r="K8512" s="10" t="s">
        <v>20</v>
      </c>
      <c r="L8512" s="11" t="n">
        <v>41790.5255902778</v>
      </c>
      <c r="M8512" s="12"/>
      <c r="N8512" s="12"/>
      <c r="O8512" s="9" t="str">
        <f aca="false">HYPERLINK("https://abs.twimg.com/sticky/default_profile_images/default_profile_normal.png","View")</f>
        <v>View</v>
      </c>
      <c r="P8512" s="10"/>
    </row>
    <row r="8513" customFormat="false" ht="15.75" hidden="false" customHeight="false" outlineLevel="0" collapsed="false">
      <c r="A8513" s="6" t="n">
        <v>43032.6475925926</v>
      </c>
      <c r="B8513" s="7" t="str">
        <f aca="false">HYPERLINK("https://twitter.com/ugirej","@ugirej")</f>
        <v>@ugirej</v>
      </c>
      <c r="C8513" s="8" t="s">
        <v>18647</v>
      </c>
      <c r="D8513" s="8" t="s">
        <v>18617</v>
      </c>
      <c r="E8513" s="9" t="str">
        <f aca="false">HYPERLINK("https://twitter.com/ugirej/status/922953984008101888","922953984008101888")</f>
        <v>922953984008101888</v>
      </c>
      <c r="F8513" s="10" t="s">
        <v>25</v>
      </c>
      <c r="G8513" s="10" t="n">
        <v>199</v>
      </c>
      <c r="H8513" s="10" t="n">
        <v>987</v>
      </c>
      <c r="I8513" s="10" t="n">
        <v>47</v>
      </c>
      <c r="J8513" s="10" t="n">
        <v>0</v>
      </c>
      <c r="K8513" s="10" t="s">
        <v>20</v>
      </c>
      <c r="L8513" s="11" t="n">
        <v>40320.3001041667</v>
      </c>
      <c r="M8513" s="12"/>
      <c r="N8513" s="12" t="s">
        <v>15188</v>
      </c>
      <c r="O8513" s="9" t="str">
        <f aca="false">HYPERLINK("https://pbs.twimg.com/profile_images/1267054819/R0012470-tiltshift_normal.jpg","View")</f>
        <v>View</v>
      </c>
      <c r="P8513" s="10"/>
    </row>
    <row r="8514" customFormat="false" ht="15.75" hidden="false" customHeight="false" outlineLevel="0" collapsed="false">
      <c r="A8514" s="6" t="n">
        <v>43032.6488078704</v>
      </c>
      <c r="B8514" s="7" t="str">
        <f aca="false">HYPERLINK("https://twitter.com/unchained400","@unchained400")</f>
        <v>@unchained400</v>
      </c>
      <c r="C8514" s="8" t="s">
        <v>18648</v>
      </c>
      <c r="D8514" s="8" t="s">
        <v>18617</v>
      </c>
      <c r="E8514" s="9" t="str">
        <f aca="false">HYPERLINK("https://twitter.com/unchained400/status/922954425265786881","922954425265786881")</f>
        <v>922954425265786881</v>
      </c>
      <c r="F8514" s="10" t="s">
        <v>25</v>
      </c>
      <c r="G8514" s="10" t="n">
        <v>191</v>
      </c>
      <c r="H8514" s="10" t="n">
        <v>254</v>
      </c>
      <c r="I8514" s="10" t="n">
        <v>47</v>
      </c>
      <c r="J8514" s="10" t="n">
        <v>0</v>
      </c>
      <c r="K8514" s="10" t="s">
        <v>20</v>
      </c>
      <c r="L8514" s="11" t="n">
        <v>41308.2912962963</v>
      </c>
      <c r="M8514" s="12" t="s">
        <v>18649</v>
      </c>
      <c r="N8514" s="12"/>
      <c r="O8514" s="9" t="str">
        <f aca="false">HYPERLINK("https://pbs.twimg.com/profile_images/886881027821629441/xiWbOtKg_normal.jpg","View")</f>
        <v>View</v>
      </c>
      <c r="P8514" s="10"/>
    </row>
    <row r="8515" customFormat="false" ht="15.75" hidden="false" customHeight="false" outlineLevel="0" collapsed="false">
      <c r="A8515" s="6" t="n">
        <v>43032.649212963</v>
      </c>
      <c r="B8515" s="7" t="str">
        <f aca="false">HYPERLINK("https://twitter.com/RemarkableRita","@RemarkableRita")</f>
        <v>@RemarkableRita</v>
      </c>
      <c r="C8515" s="8" t="s">
        <v>8226</v>
      </c>
      <c r="D8515" s="8" t="s">
        <v>18617</v>
      </c>
      <c r="E8515" s="9" t="str">
        <f aca="false">HYPERLINK("https://twitter.com/RemarkableRita/status/922954574045966338","922954574045966338")</f>
        <v>922954574045966338</v>
      </c>
      <c r="F8515" s="10" t="s">
        <v>25</v>
      </c>
      <c r="G8515" s="10" t="n">
        <v>21</v>
      </c>
      <c r="H8515" s="10" t="n">
        <v>191</v>
      </c>
      <c r="I8515" s="10" t="n">
        <v>47</v>
      </c>
      <c r="J8515" s="10" t="n">
        <v>0</v>
      </c>
      <c r="K8515" s="10" t="s">
        <v>20</v>
      </c>
      <c r="L8515" s="11" t="n">
        <v>42851.3175347222</v>
      </c>
      <c r="M8515" s="12"/>
      <c r="N8515" s="12"/>
      <c r="O8515" s="9" t="str">
        <f aca="false">HYPERLINK("https://abs.twimg.com/sticky/default_profile_images/default_profile_normal.png","View")</f>
        <v>View</v>
      </c>
      <c r="P8515" s="10"/>
    </row>
    <row r="8516" customFormat="false" ht="15.75" hidden="false" customHeight="false" outlineLevel="0" collapsed="false">
      <c r="A8516" s="6" t="n">
        <v>43032.6502314815</v>
      </c>
      <c r="B8516" s="7" t="str">
        <f aca="false">HYPERLINK("https://twitter.com/iKamalSilva","@iKamalSilva")</f>
        <v>@iKamalSilva</v>
      </c>
      <c r="C8516" s="8" t="s">
        <v>18650</v>
      </c>
      <c r="D8516" s="8" t="s">
        <v>18617</v>
      </c>
      <c r="E8516" s="9" t="str">
        <f aca="false">HYPERLINK("https://twitter.com/iKamalSilva/status/922954943027384320","922954943027384320")</f>
        <v>922954943027384320</v>
      </c>
      <c r="F8516" s="10" t="s">
        <v>25</v>
      </c>
      <c r="G8516" s="10" t="n">
        <v>1623</v>
      </c>
      <c r="H8516" s="10" t="n">
        <v>1225</v>
      </c>
      <c r="I8516" s="10" t="n">
        <v>47</v>
      </c>
      <c r="J8516" s="10" t="n">
        <v>0</v>
      </c>
      <c r="K8516" s="10" t="s">
        <v>20</v>
      </c>
      <c r="L8516" s="11" t="n">
        <v>40849.8530555556</v>
      </c>
      <c r="M8516" s="12" t="s">
        <v>18651</v>
      </c>
      <c r="N8516" s="12" t="s">
        <v>18652</v>
      </c>
      <c r="O8516" s="9" t="str">
        <f aca="false">HYPERLINK("https://pbs.twimg.com/profile_images/923660108910997504/FcXmUFj-_normal.jpg","View")</f>
        <v>View</v>
      </c>
      <c r="P8516" s="10"/>
    </row>
    <row r="8517" customFormat="false" ht="15.75" hidden="false" customHeight="false" outlineLevel="0" collapsed="false">
      <c r="A8517" s="6" t="n">
        <v>43032.6503240741</v>
      </c>
      <c r="B8517" s="7" t="str">
        <f aca="false">HYPERLINK("https://twitter.com/jackfpaylor","@jackfpaylor")</f>
        <v>@jackfpaylor</v>
      </c>
      <c r="C8517" s="8" t="s">
        <v>2354</v>
      </c>
      <c r="D8517" s="8" t="s">
        <v>18653</v>
      </c>
      <c r="E8517" s="9" t="str">
        <f aca="false">HYPERLINK("https://twitter.com/jackfpaylor/status/922954973809446915","922954973809446915")</f>
        <v>922954973809446915</v>
      </c>
      <c r="F8517" s="10" t="s">
        <v>60</v>
      </c>
      <c r="G8517" s="10" t="n">
        <v>4574</v>
      </c>
      <c r="H8517" s="10" t="n">
        <v>4996</v>
      </c>
      <c r="I8517" s="10" t="n">
        <v>0</v>
      </c>
      <c r="J8517" s="10" t="n">
        <v>0</v>
      </c>
      <c r="K8517" s="10" t="s">
        <v>20</v>
      </c>
      <c r="L8517" s="11" t="n">
        <v>42880.7746180556</v>
      </c>
      <c r="M8517" s="12" t="s">
        <v>2356</v>
      </c>
      <c r="N8517" s="12" t="s">
        <v>2357</v>
      </c>
      <c r="O8517" s="9" t="str">
        <f aca="false">HYPERLINK("https://pbs.twimg.com/profile_images/911761399902334976/emBMaAAb_normal.jpg","View")</f>
        <v>View</v>
      </c>
      <c r="P8517" s="10"/>
    </row>
    <row r="8518" customFormat="false" ht="15.75" hidden="false" customHeight="false" outlineLevel="0" collapsed="false">
      <c r="A8518" s="6" t="n">
        <v>43032.6514351852</v>
      </c>
      <c r="B8518" s="7" t="str">
        <f aca="false">HYPERLINK("https://twitter.com/affumicator","@affumicator")</f>
        <v>@affumicator</v>
      </c>
      <c r="C8518" s="8" t="s">
        <v>18654</v>
      </c>
      <c r="D8518" s="8" t="s">
        <v>18655</v>
      </c>
      <c r="E8518" s="9" t="str">
        <f aca="false">HYPERLINK("https://twitter.com/affumicator/status/922955378920390656","922955378920390656")</f>
        <v>922955378920390656</v>
      </c>
      <c r="F8518" s="10" t="s">
        <v>18656</v>
      </c>
      <c r="G8518" s="10" t="n">
        <v>42</v>
      </c>
      <c r="H8518" s="10" t="n">
        <v>49</v>
      </c>
      <c r="I8518" s="10" t="n">
        <v>0</v>
      </c>
      <c r="J8518" s="10" t="n">
        <v>0</v>
      </c>
      <c r="K8518" s="10" t="s">
        <v>20</v>
      </c>
      <c r="L8518" s="11" t="n">
        <v>41542.8006481482</v>
      </c>
      <c r="M8518" s="12" t="s">
        <v>18657</v>
      </c>
      <c r="N8518" s="12" t="s">
        <v>18658</v>
      </c>
      <c r="O8518" s="9" t="str">
        <f aca="false">HYPERLINK("https://pbs.twimg.com/profile_images/697494509266079744/TNQGh1gP_normal.jpg","View")</f>
        <v>View</v>
      </c>
      <c r="P8518" s="10"/>
    </row>
    <row r="8519" customFormat="false" ht="15.75" hidden="false" customHeight="false" outlineLevel="0" collapsed="false">
      <c r="A8519" s="6" t="n">
        <v>43032.6522106482</v>
      </c>
      <c r="B8519" s="7" t="str">
        <f aca="false">HYPERLINK("https://twitter.com/screwccp","@screwccp")</f>
        <v>@screwccp</v>
      </c>
      <c r="C8519" s="14" t="s">
        <v>18659</v>
      </c>
      <c r="D8519" s="8" t="s">
        <v>18617</v>
      </c>
      <c r="E8519" s="9" t="str">
        <f aca="false">HYPERLINK("https://twitter.com/screwccp/status/922955657128525824","922955657128525824")</f>
        <v>922955657128525824</v>
      </c>
      <c r="F8519" s="10" t="s">
        <v>39</v>
      </c>
      <c r="G8519" s="10" t="n">
        <v>1900</v>
      </c>
      <c r="H8519" s="10" t="n">
        <v>641</v>
      </c>
      <c r="I8519" s="10" t="n">
        <v>47</v>
      </c>
      <c r="J8519" s="10" t="n">
        <v>0</v>
      </c>
      <c r="K8519" s="10" t="s">
        <v>20</v>
      </c>
      <c r="L8519" s="11" t="n">
        <v>41010.9175462963</v>
      </c>
      <c r="M8519" s="12"/>
      <c r="N8519" s="12" t="s">
        <v>18660</v>
      </c>
      <c r="O8519" s="9" t="str">
        <f aca="false">HYPERLINK("https://pbs.twimg.com/profile_images/461337581444022272/wHPN6T71_normal.jpeg","View")</f>
        <v>View</v>
      </c>
      <c r="P8519" s="10"/>
    </row>
    <row r="8520" customFormat="false" ht="15.75" hidden="false" customHeight="false" outlineLevel="0" collapsed="false">
      <c r="A8520" s="6" t="n">
        <v>43032.6523263889</v>
      </c>
      <c r="B8520" s="7" t="str">
        <f aca="false">HYPERLINK("https://twitter.com/NormanCMarvel","@NormanCMarvel")</f>
        <v>@NormanCMarvel</v>
      </c>
      <c r="C8520" s="8" t="s">
        <v>18661</v>
      </c>
      <c r="D8520" s="8" t="s">
        <v>18617</v>
      </c>
      <c r="E8520" s="9" t="str">
        <f aca="false">HYPERLINK("https://twitter.com/NormanCMarvel/status/922955700522881024","922955700522881024")</f>
        <v>922955700522881024</v>
      </c>
      <c r="F8520" s="10" t="s">
        <v>25</v>
      </c>
      <c r="G8520" s="10" t="n">
        <v>74</v>
      </c>
      <c r="H8520" s="10" t="n">
        <v>185</v>
      </c>
      <c r="I8520" s="10" t="n">
        <v>47</v>
      </c>
      <c r="J8520" s="10" t="n">
        <v>0</v>
      </c>
      <c r="K8520" s="10" t="s">
        <v>20</v>
      </c>
      <c r="L8520" s="11" t="n">
        <v>41200.5801157407</v>
      </c>
      <c r="M8520" s="12" t="s">
        <v>18662</v>
      </c>
      <c r="N8520" s="12"/>
      <c r="O8520" s="9" t="str">
        <f aca="false">HYPERLINK("https://pbs.twimg.com/profile_images/3481774111/f2eb06d9117877bdefa02bf467036e22_normal.jpeg","View")</f>
        <v>View</v>
      </c>
      <c r="P8520" s="10"/>
    </row>
    <row r="8521" customFormat="false" ht="15.75" hidden="false" customHeight="false" outlineLevel="0" collapsed="false">
      <c r="A8521" s="6" t="n">
        <v>43032.6524189815</v>
      </c>
      <c r="B8521" s="7" t="str">
        <f aca="false">HYPERLINK("https://twitter.com/Sakhi__Baloch","@Sakhi__Baloch")</f>
        <v>@Sakhi__Baloch</v>
      </c>
      <c r="C8521" s="8" t="s">
        <v>18663</v>
      </c>
      <c r="D8521" s="8" t="s">
        <v>18617</v>
      </c>
      <c r="E8521" s="9" t="str">
        <f aca="false">HYPERLINK("https://twitter.com/Sakhi__Baloch/status/922955734375194625","922955734375194625")</f>
        <v>922955734375194625</v>
      </c>
      <c r="F8521" s="10" t="s">
        <v>51</v>
      </c>
      <c r="G8521" s="10" t="n">
        <v>1445</v>
      </c>
      <c r="H8521" s="10" t="n">
        <v>694</v>
      </c>
      <c r="I8521" s="10" t="n">
        <v>47</v>
      </c>
      <c r="J8521" s="10" t="n">
        <v>0</v>
      </c>
      <c r="K8521" s="10" t="s">
        <v>20</v>
      </c>
      <c r="L8521" s="11" t="n">
        <v>42068.0453587963</v>
      </c>
      <c r="M8521" s="12" t="s">
        <v>18664</v>
      </c>
      <c r="N8521" s="12" t="s">
        <v>18665</v>
      </c>
      <c r="O8521" s="9" t="str">
        <f aca="false">HYPERLINK("https://pbs.twimg.com/profile_images/786553812672741380/lqseoBUO_normal.jpg","View")</f>
        <v>View</v>
      </c>
      <c r="P8521" s="10"/>
    </row>
    <row r="8522" customFormat="false" ht="15.75" hidden="false" customHeight="false" outlineLevel="0" collapsed="false">
      <c r="A8522" s="6" t="n">
        <v>43032.6527199074</v>
      </c>
      <c r="B8522" s="7" t="str">
        <f aca="false">HYPERLINK("https://twitter.com/dgtlresistance","@dgtlresistance")</f>
        <v>@dgtlresistance</v>
      </c>
      <c r="C8522" s="8" t="s">
        <v>18666</v>
      </c>
      <c r="D8522" s="8" t="s">
        <v>18667</v>
      </c>
      <c r="E8522" s="9" t="str">
        <f aca="false">HYPERLINK("https://twitter.com/dgtlresistance/status/922955842294550528","922955842294550528")</f>
        <v>922955842294550528</v>
      </c>
      <c r="F8522" s="10" t="s">
        <v>60</v>
      </c>
      <c r="G8522" s="10" t="n">
        <v>5380</v>
      </c>
      <c r="H8522" s="10" t="n">
        <v>45</v>
      </c>
      <c r="I8522" s="10" t="n">
        <v>0</v>
      </c>
      <c r="J8522" s="10" t="n">
        <v>0</v>
      </c>
      <c r="K8522" s="10" t="s">
        <v>20</v>
      </c>
      <c r="L8522" s="11" t="n">
        <v>40876.6581134259</v>
      </c>
      <c r="M8522" s="12" t="s">
        <v>18668</v>
      </c>
      <c r="N8522" s="12" t="s">
        <v>18669</v>
      </c>
      <c r="O8522" s="9" t="str">
        <f aca="false">HYPERLINK("https://pbs.twimg.com/profile_images/378800000411169156/14501a2d69ed35562590ea8c4ae57c57_normal.png","View")</f>
        <v>View</v>
      </c>
      <c r="P8522" s="10"/>
    </row>
    <row r="8523" customFormat="false" ht="15.75" hidden="false" customHeight="false" outlineLevel="0" collapsed="false">
      <c r="A8523" s="6" t="n">
        <v>43032.656712963</v>
      </c>
      <c r="B8523" s="7" t="str">
        <f aca="false">HYPERLINK("https://twitter.com/AmehArome","@AmehArome")</f>
        <v>@AmehArome</v>
      </c>
      <c r="C8523" s="8" t="s">
        <v>18670</v>
      </c>
      <c r="D8523" s="8" t="s">
        <v>18617</v>
      </c>
      <c r="E8523" s="9" t="str">
        <f aca="false">HYPERLINK("https://twitter.com/AmehArome/status/922957291158110209","922957291158110209")</f>
        <v>922957291158110209</v>
      </c>
      <c r="F8523" s="10" t="s">
        <v>39</v>
      </c>
      <c r="G8523" s="10" t="n">
        <v>87</v>
      </c>
      <c r="H8523" s="10" t="n">
        <v>367</v>
      </c>
      <c r="I8523" s="10" t="n">
        <v>47</v>
      </c>
      <c r="J8523" s="10" t="n">
        <v>0</v>
      </c>
      <c r="K8523" s="10" t="s">
        <v>20</v>
      </c>
      <c r="L8523" s="11" t="n">
        <v>40725.2574421296</v>
      </c>
      <c r="M8523" s="12" t="s">
        <v>12302</v>
      </c>
      <c r="N8523" s="12" t="s">
        <v>18671</v>
      </c>
      <c r="O8523" s="9" t="str">
        <f aca="false">HYPERLINK("https://pbs.twimg.com/profile_images/425003606207508480/Wy-YvU4l_normal.jpeg","View")</f>
        <v>View</v>
      </c>
      <c r="P8523" s="10"/>
    </row>
    <row r="8524" customFormat="false" ht="15.75" hidden="false" customHeight="false" outlineLevel="0" collapsed="false">
      <c r="A8524" s="6" t="n">
        <v>43032.6595949074</v>
      </c>
      <c r="B8524" s="7" t="str">
        <f aca="false">HYPERLINK("https://twitter.com/OfeliyaDD","@OfeliyaDD")</f>
        <v>@OfeliyaDD</v>
      </c>
      <c r="C8524" s="8" t="s">
        <v>9542</v>
      </c>
      <c r="D8524" s="8" t="s">
        <v>18617</v>
      </c>
      <c r="E8524" s="9" t="str">
        <f aca="false">HYPERLINK("https://twitter.com/OfeliyaDD/status/922958333492916224","922958333492916224")</f>
        <v>922958333492916224</v>
      </c>
      <c r="F8524" s="10" t="s">
        <v>39</v>
      </c>
      <c r="G8524" s="10" t="n">
        <v>2845</v>
      </c>
      <c r="H8524" s="10" t="n">
        <v>2161</v>
      </c>
      <c r="I8524" s="10" t="n">
        <v>47</v>
      </c>
      <c r="J8524" s="10" t="n">
        <v>0</v>
      </c>
      <c r="K8524" s="10" t="s">
        <v>20</v>
      </c>
      <c r="L8524" s="11" t="n">
        <v>40610.3692939815</v>
      </c>
      <c r="M8524" s="12" t="s">
        <v>9543</v>
      </c>
      <c r="N8524" s="12" t="s">
        <v>9544</v>
      </c>
      <c r="O8524" s="9" t="str">
        <f aca="false">HYPERLINK("https://pbs.twimg.com/profile_images/1265890279/158_4c9d04d759498_normal.jpg","View")</f>
        <v>View</v>
      </c>
      <c r="P8524" s="10"/>
    </row>
    <row r="8525" customFormat="false" ht="15.75" hidden="false" customHeight="false" outlineLevel="0" collapsed="false">
      <c r="A8525" s="6" t="n">
        <v>43032.6642824074</v>
      </c>
      <c r="B8525" s="7" t="str">
        <f aca="false">HYPERLINK("https://twitter.com/SonnyCaf","@SonnyCaf")</f>
        <v>@SonnyCaf</v>
      </c>
      <c r="C8525" s="8" t="s">
        <v>18672</v>
      </c>
      <c r="D8525" s="8" t="s">
        <v>18617</v>
      </c>
      <c r="E8525" s="9" t="str">
        <f aca="false">HYPERLINK("https://twitter.com/SonnyCaf/status/922960032408403968","922960032408403968")</f>
        <v>922960032408403968</v>
      </c>
      <c r="F8525" s="10" t="s">
        <v>39</v>
      </c>
      <c r="G8525" s="10" t="n">
        <v>56</v>
      </c>
      <c r="H8525" s="10" t="n">
        <v>75</v>
      </c>
      <c r="I8525" s="10" t="n">
        <v>47</v>
      </c>
      <c r="J8525" s="10" t="n">
        <v>0</v>
      </c>
      <c r="K8525" s="10" t="s">
        <v>20</v>
      </c>
      <c r="L8525" s="11" t="n">
        <v>40538.7659953704</v>
      </c>
      <c r="M8525" s="12"/>
      <c r="N8525" s="12"/>
      <c r="O8525" s="9" t="str">
        <f aca="false">HYPERLINK("https://pbs.twimg.com/profile_images/768918204471279617/Hfu8Nqq5_normal.jpg","View")</f>
        <v>View</v>
      </c>
      <c r="P8525" s="10"/>
    </row>
    <row r="8526" customFormat="false" ht="15.75" hidden="false" customHeight="false" outlineLevel="0" collapsed="false">
      <c r="A8526" s="6" t="n">
        <v>43032.6705787037</v>
      </c>
      <c r="B8526" s="7" t="str">
        <f aca="false">HYPERLINK("https://twitter.com/MarcoNavarroLor","@MarcoNavarroLor")</f>
        <v>@MarcoNavarroLor</v>
      </c>
      <c r="C8526" s="8" t="s">
        <v>16463</v>
      </c>
      <c r="D8526" s="8" t="s">
        <v>18617</v>
      </c>
      <c r="E8526" s="9" t="str">
        <f aca="false">HYPERLINK("https://twitter.com/MarcoNavarroLor/status/922962313895956483","922962313895956483")</f>
        <v>922962313895956483</v>
      </c>
      <c r="F8526" s="10" t="s">
        <v>51</v>
      </c>
      <c r="G8526" s="10" t="n">
        <v>684</v>
      </c>
      <c r="H8526" s="10" t="n">
        <v>100</v>
      </c>
      <c r="I8526" s="10" t="n">
        <v>47</v>
      </c>
      <c r="J8526" s="10" t="n">
        <v>0</v>
      </c>
      <c r="K8526" s="10" t="s">
        <v>20</v>
      </c>
      <c r="L8526" s="11" t="n">
        <v>42314.4551041667</v>
      </c>
      <c r="M8526" s="12" t="s">
        <v>16464</v>
      </c>
      <c r="N8526" s="12" t="s">
        <v>16465</v>
      </c>
      <c r="O8526" s="9" t="str">
        <f aca="false">HYPERLINK("https://pbs.twimg.com/profile_images/913887688268402688/p4NueOZE_normal.jpg","View")</f>
        <v>View</v>
      </c>
      <c r="P8526" s="10"/>
    </row>
    <row r="8527" customFormat="false" ht="15.75" hidden="false" customHeight="false" outlineLevel="0" collapsed="false">
      <c r="A8527" s="6" t="n">
        <v>43032.6747337963</v>
      </c>
      <c r="B8527" s="7" t="str">
        <f aca="false">HYPERLINK("https://twitter.com/KevinYu9623","@KevinYu9623")</f>
        <v>@KevinYu9623</v>
      </c>
      <c r="C8527" s="8" t="s">
        <v>18673</v>
      </c>
      <c r="D8527" s="8" t="s">
        <v>18617</v>
      </c>
      <c r="E8527" s="9" t="str">
        <f aca="false">HYPERLINK("https://twitter.com/KevinYu9623/status/922963820124844034","922963820124844034")</f>
        <v>922963820124844034</v>
      </c>
      <c r="F8527" s="10" t="s">
        <v>51</v>
      </c>
      <c r="G8527" s="10" t="n">
        <v>75</v>
      </c>
      <c r="H8527" s="10" t="n">
        <v>46</v>
      </c>
      <c r="I8527" s="10" t="n">
        <v>47</v>
      </c>
      <c r="J8527" s="10" t="n">
        <v>0</v>
      </c>
      <c r="K8527" s="10" t="s">
        <v>20</v>
      </c>
      <c r="L8527" s="11" t="n">
        <v>41620.1324189815</v>
      </c>
      <c r="M8527" s="13" t="s">
        <v>18674</v>
      </c>
      <c r="N8527" s="12"/>
      <c r="O8527" s="9" t="str">
        <f aca="false">HYPERLINK("https://abs.twimg.com/sticky/default_profile_images/default_profile_normal.png","View")</f>
        <v>View</v>
      </c>
      <c r="P8527" s="10"/>
    </row>
    <row r="8528" customFormat="false" ht="15.75" hidden="false" customHeight="false" outlineLevel="0" collapsed="false">
      <c r="A8528" s="6" t="n">
        <v>43032.6946527778</v>
      </c>
      <c r="B8528" s="7" t="str">
        <f aca="false">HYPERLINK("https://twitter.com/BloombergAsia","@BloombergAsia")</f>
        <v>@BloombergAsia</v>
      </c>
      <c r="C8528" s="8" t="s">
        <v>1399</v>
      </c>
      <c r="D8528" s="8" t="s">
        <v>18675</v>
      </c>
      <c r="E8528" s="9" t="str">
        <f aca="false">HYPERLINK("https://twitter.com/BloombergAsia/status/922971038459355138","922971038459355138")</f>
        <v>922971038459355138</v>
      </c>
      <c r="F8528" s="10" t="s">
        <v>268</v>
      </c>
      <c r="G8528" s="10" t="n">
        <v>28823</v>
      </c>
      <c r="H8528" s="10" t="n">
        <v>97</v>
      </c>
      <c r="I8528" s="10" t="n">
        <v>2</v>
      </c>
      <c r="J8528" s="10" t="n">
        <v>2</v>
      </c>
      <c r="K8528" s="10" t="s">
        <v>20</v>
      </c>
      <c r="L8528" s="11" t="n">
        <v>41052.2384837963</v>
      </c>
      <c r="M8528" s="12"/>
      <c r="N8528" s="12" t="s">
        <v>1401</v>
      </c>
      <c r="O8528" s="9" t="str">
        <f aca="false">HYPERLINK("https://pbs.twimg.com/profile_images/778129630284902401/gXjFkqGM_normal.jpg","View")</f>
        <v>View</v>
      </c>
      <c r="P8528" s="10"/>
    </row>
    <row r="8529" customFormat="false" ht="15.75" hidden="false" customHeight="false" outlineLevel="0" collapsed="false">
      <c r="A8529" s="6" t="n">
        <v>43032.6986574074</v>
      </c>
      <c r="B8529" s="7" t="str">
        <f aca="false">HYPERLINK("https://twitter.com/business","@business")</f>
        <v>@business</v>
      </c>
      <c r="C8529" s="8" t="s">
        <v>196</v>
      </c>
      <c r="D8529" s="8" t="s">
        <v>18676</v>
      </c>
      <c r="E8529" s="9" t="str">
        <f aca="false">HYPERLINK("https://twitter.com/business/status/922972489780744192","922972489780744192")</f>
        <v>922972489780744192</v>
      </c>
      <c r="F8529" s="10" t="s">
        <v>268</v>
      </c>
      <c r="G8529" s="10" t="n">
        <v>4344107</v>
      </c>
      <c r="H8529" s="10" t="n">
        <v>1088</v>
      </c>
      <c r="I8529" s="10" t="n">
        <v>11</v>
      </c>
      <c r="J8529" s="10" t="n">
        <v>22</v>
      </c>
      <c r="K8529" s="10" t="s">
        <v>20</v>
      </c>
      <c r="L8529" s="11" t="n">
        <v>39926.5453356481</v>
      </c>
      <c r="M8529" s="12" t="s">
        <v>199</v>
      </c>
      <c r="N8529" s="12" t="s">
        <v>200</v>
      </c>
      <c r="O8529" s="9" t="str">
        <f aca="false">HYPERLINK("https://pbs.twimg.com/profile_images/714946924105883648/4fgNVF4H_normal.jpg","View")</f>
        <v>View</v>
      </c>
      <c r="P8529" s="10"/>
    </row>
    <row r="8530" customFormat="false" ht="15.75" hidden="false" customHeight="false" outlineLevel="0" collapsed="false">
      <c r="A8530" s="6" t="n">
        <v>43032.698900463</v>
      </c>
      <c r="B8530" s="7" t="str">
        <f aca="false">HYPERLINK("https://twitter.com/shailendra_nair","@shailendra_nair")</f>
        <v>@shailendra_nair</v>
      </c>
      <c r="C8530" s="8" t="s">
        <v>251</v>
      </c>
      <c r="D8530" s="8" t="s">
        <v>18677</v>
      </c>
      <c r="E8530" s="9" t="str">
        <f aca="false">HYPERLINK("https://twitter.com/shailendra_nair/status/922972578477756416","922972578477756416")</f>
        <v>922972578477756416</v>
      </c>
      <c r="F8530" s="10" t="s">
        <v>60</v>
      </c>
      <c r="G8530" s="10" t="n">
        <v>3986</v>
      </c>
      <c r="H8530" s="10" t="n">
        <v>1042</v>
      </c>
      <c r="I8530" s="10" t="n">
        <v>0</v>
      </c>
      <c r="J8530" s="10" t="n">
        <v>0</v>
      </c>
      <c r="K8530" s="10" t="s">
        <v>20</v>
      </c>
      <c r="L8530" s="11" t="n">
        <v>40362.4379861111</v>
      </c>
      <c r="M8530" s="12" t="s">
        <v>253</v>
      </c>
      <c r="N8530" s="12" t="s">
        <v>254</v>
      </c>
      <c r="O8530" s="9" t="str">
        <f aca="false">HYPERLINK("https://pbs.twimg.com/profile_images/884758468879466497/M_w6UjD3_normal.jpg","View")</f>
        <v>View</v>
      </c>
      <c r="P8530" s="10"/>
    </row>
    <row r="8531" customFormat="false" ht="15.75" hidden="false" customHeight="false" outlineLevel="0" collapsed="false">
      <c r="A8531" s="6" t="n">
        <v>43032.6994907408</v>
      </c>
      <c r="B8531" s="7" t="str">
        <f aca="false">HYPERLINK("https://twitter.com/mlnangalama","@mlnangalama")</f>
        <v>@mlnangalama</v>
      </c>
      <c r="C8531" s="8" t="s">
        <v>255</v>
      </c>
      <c r="D8531" s="8" t="s">
        <v>18678</v>
      </c>
      <c r="E8531" s="9" t="str">
        <f aca="false">HYPERLINK("https://twitter.com/mlnangalama/status/922972791858696193","922972791858696193")</f>
        <v>922972791858696193</v>
      </c>
      <c r="F8531" s="10" t="s">
        <v>60</v>
      </c>
      <c r="G8531" s="10" t="n">
        <v>2370</v>
      </c>
      <c r="H8531" s="10" t="n">
        <v>1585</v>
      </c>
      <c r="I8531" s="10" t="n">
        <v>0</v>
      </c>
      <c r="J8531" s="10" t="n">
        <v>0</v>
      </c>
      <c r="K8531" s="10" t="s">
        <v>20</v>
      </c>
      <c r="L8531" s="11" t="n">
        <v>41041.5437847222</v>
      </c>
      <c r="M8531" s="12" t="s">
        <v>257</v>
      </c>
      <c r="N8531" s="12" t="s">
        <v>258</v>
      </c>
      <c r="O8531" s="9" t="str">
        <f aca="false">HYPERLINK("https://pbs.twimg.com/profile_images/900915882444173313/biUHzvpx_normal.jpg","View")</f>
        <v>View</v>
      </c>
      <c r="P8531" s="10"/>
    </row>
    <row r="8532" customFormat="false" ht="15.75" hidden="false" customHeight="false" outlineLevel="0" collapsed="false">
      <c r="A8532" s="6" t="n">
        <v>43032.7005787037</v>
      </c>
      <c r="B8532" s="7" t="str">
        <f aca="false">HYPERLINK("https://twitter.com/AhmadAlmaa","@AhmadAlmaa")</f>
        <v>@AhmadAlmaa</v>
      </c>
      <c r="C8532" s="8" t="s">
        <v>18679</v>
      </c>
      <c r="D8532" s="8" t="s">
        <v>18680</v>
      </c>
      <c r="E8532" s="9" t="str">
        <f aca="false">HYPERLINK("https://twitter.com/AhmadAlmaa/status/922973188669272064","922973188669272064")</f>
        <v>922973188669272064</v>
      </c>
      <c r="F8532" s="10" t="s">
        <v>51</v>
      </c>
      <c r="G8532" s="10" t="n">
        <v>2243</v>
      </c>
      <c r="H8532" s="10" t="n">
        <v>2486</v>
      </c>
      <c r="I8532" s="10" t="n">
        <v>11</v>
      </c>
      <c r="J8532" s="10" t="n">
        <v>0</v>
      </c>
      <c r="K8532" s="10" t="s">
        <v>20</v>
      </c>
      <c r="L8532" s="11" t="n">
        <v>40015.565162037</v>
      </c>
      <c r="M8532" s="12" t="s">
        <v>798</v>
      </c>
      <c r="N8532" s="12" t="s">
        <v>18681</v>
      </c>
      <c r="O8532" s="9" t="str">
        <f aca="false">HYPERLINK("https://pbs.twimg.com/profile_images/495198750898675713/yJ2io_as_normal.jpeg","View")</f>
        <v>View</v>
      </c>
      <c r="P8532" s="10"/>
    </row>
    <row r="8533" customFormat="false" ht="15.75" hidden="false" customHeight="false" outlineLevel="0" collapsed="false">
      <c r="A8533" s="6" t="n">
        <v>43032.7008680556</v>
      </c>
      <c r="B8533" s="7" t="str">
        <f aca="false">HYPERLINK("https://twitter.com/AYWOLau","@AYWOLau")</f>
        <v>@AYWOLau</v>
      </c>
      <c r="C8533" s="8" t="s">
        <v>4423</v>
      </c>
      <c r="D8533" s="8" t="s">
        <v>18680</v>
      </c>
      <c r="E8533" s="9" t="str">
        <f aca="false">HYPERLINK("https://twitter.com/AYWOLau/status/922973290985013248","922973290985013248")</f>
        <v>922973290985013248</v>
      </c>
      <c r="F8533" s="10" t="s">
        <v>25</v>
      </c>
      <c r="G8533" s="10" t="n">
        <v>61</v>
      </c>
      <c r="H8533" s="10" t="n">
        <v>357</v>
      </c>
      <c r="I8533" s="10" t="n">
        <v>11</v>
      </c>
      <c r="J8533" s="10" t="n">
        <v>0</v>
      </c>
      <c r="K8533" s="10" t="s">
        <v>20</v>
      </c>
      <c r="L8533" s="11" t="n">
        <v>41535.3882175926</v>
      </c>
      <c r="M8533" s="12" t="s">
        <v>18682</v>
      </c>
      <c r="N8533" s="12" t="s">
        <v>18683</v>
      </c>
      <c r="O8533" s="9" t="str">
        <f aca="false">HYPERLINK("https://pbs.twimg.com/profile_images/923192304134844416/0g34eiKE_normal.jpg","View")</f>
        <v>View</v>
      </c>
      <c r="P8533" s="10"/>
    </row>
    <row r="8534" customFormat="false" ht="15.75" hidden="false" customHeight="false" outlineLevel="0" collapsed="false">
      <c r="A8534" s="6" t="n">
        <v>43032.7009490741</v>
      </c>
      <c r="B8534" s="7" t="str">
        <f aca="false">HYPERLINK("https://twitter.com/serge_poznanski","@serge_poznanski")</f>
        <v>@serge_poznanski</v>
      </c>
      <c r="C8534" s="8" t="s">
        <v>212</v>
      </c>
      <c r="D8534" s="8" t="s">
        <v>18684</v>
      </c>
      <c r="E8534" s="9" t="str">
        <f aca="false">HYPERLINK("https://twitter.com/serge_poznanski/status/922973322140442624","922973322140442624")</f>
        <v>922973322140442624</v>
      </c>
      <c r="F8534" s="10" t="s">
        <v>60</v>
      </c>
      <c r="G8534" s="10" t="n">
        <v>1424</v>
      </c>
      <c r="H8534" s="10" t="n">
        <v>2136</v>
      </c>
      <c r="I8534" s="10" t="n">
        <v>0</v>
      </c>
      <c r="J8534" s="10" t="n">
        <v>0</v>
      </c>
      <c r="K8534" s="10" t="s">
        <v>20</v>
      </c>
      <c r="L8534" s="11" t="n">
        <v>42271.4744560185</v>
      </c>
      <c r="M8534" s="12"/>
      <c r="N8534" s="12"/>
      <c r="O8534" s="9" t="str">
        <f aca="false">HYPERLINK("https://pbs.twimg.com/profile_images/647277253240291328/3GezjFCJ_normal.jpg","View")</f>
        <v>View</v>
      </c>
      <c r="P8534" s="10"/>
    </row>
    <row r="8535" customFormat="false" ht="15.75" hidden="false" customHeight="false" outlineLevel="0" collapsed="false">
      <c r="A8535" s="6" t="n">
        <v>43032.7010185185</v>
      </c>
      <c r="B8535" s="7" t="str">
        <f aca="false">HYPERLINK("https://twitter.com/anansi1191","@anansi1191")</f>
        <v>@anansi1191</v>
      </c>
      <c r="C8535" s="8" t="s">
        <v>18685</v>
      </c>
      <c r="D8535" s="8" t="s">
        <v>18680</v>
      </c>
      <c r="E8535" s="9" t="str">
        <f aca="false">HYPERLINK("https://twitter.com/anansi1191/status/922973347167612928","922973347167612928")</f>
        <v>922973347167612928</v>
      </c>
      <c r="F8535" s="16" t="s">
        <v>18686</v>
      </c>
      <c r="G8535" s="10" t="n">
        <v>191</v>
      </c>
      <c r="H8535" s="10" t="n">
        <v>527</v>
      </c>
      <c r="I8535" s="10" t="n">
        <v>11</v>
      </c>
      <c r="J8535" s="10" t="n">
        <v>0</v>
      </c>
      <c r="K8535" s="10" t="s">
        <v>20</v>
      </c>
      <c r="L8535" s="11" t="n">
        <v>40495.792337963</v>
      </c>
      <c r="M8535" s="12" t="s">
        <v>18687</v>
      </c>
      <c r="N8535" s="12" t="s">
        <v>18688</v>
      </c>
      <c r="O8535" s="9" t="str">
        <f aca="false">HYPERLINK("https://pbs.twimg.com/profile_images/922610915698130944/hIb7XatK_normal.jpg","View")</f>
        <v>View</v>
      </c>
      <c r="P8535" s="10"/>
    </row>
    <row r="8536" customFormat="false" ht="15.75" hidden="false" customHeight="false" outlineLevel="0" collapsed="false">
      <c r="A8536" s="6" t="n">
        <v>43032.7015162037</v>
      </c>
      <c r="B8536" s="7" t="str">
        <f aca="false">HYPERLINK("https://twitter.com/jaimeotero_","@jaimeotero_")</f>
        <v>@jaimeotero_</v>
      </c>
      <c r="C8536" s="8" t="s">
        <v>205</v>
      </c>
      <c r="D8536" s="8" t="s">
        <v>18689</v>
      </c>
      <c r="E8536" s="9" t="str">
        <f aca="false">HYPERLINK("https://twitter.com/jaimeotero_/status/922973527900327936","922973527900327936")</f>
        <v>922973527900327936</v>
      </c>
      <c r="F8536" s="10" t="s">
        <v>60</v>
      </c>
      <c r="G8536" s="10" t="n">
        <v>34488</v>
      </c>
      <c r="H8536" s="10" t="n">
        <v>31251</v>
      </c>
      <c r="I8536" s="10" t="n">
        <v>0</v>
      </c>
      <c r="J8536" s="10" t="n">
        <v>1</v>
      </c>
      <c r="K8536" s="10" t="s">
        <v>20</v>
      </c>
      <c r="L8536" s="11" t="n">
        <v>42531.0121990741</v>
      </c>
      <c r="M8536" s="12" t="s">
        <v>207</v>
      </c>
      <c r="N8536" s="12" t="s">
        <v>208</v>
      </c>
      <c r="O8536" s="9" t="str">
        <f aca="false">HYPERLINK("https://pbs.twimg.com/profile_images/849817561281818626/acAU04SD_normal.jpg","View")</f>
        <v>View</v>
      </c>
      <c r="P8536" s="10"/>
    </row>
    <row r="8537" customFormat="false" ht="15.75" hidden="false" customHeight="false" outlineLevel="0" collapsed="false">
      <c r="A8537" s="6" t="n">
        <v>43032.702037037</v>
      </c>
      <c r="B8537" s="7" t="str">
        <f aca="false">HYPERLINK("https://twitter.com/joetrader6","@joetrader6")</f>
        <v>@joetrader6</v>
      </c>
      <c r="C8537" s="8" t="s">
        <v>1415</v>
      </c>
      <c r="D8537" s="8" t="s">
        <v>18680</v>
      </c>
      <c r="E8537" s="9" t="str">
        <f aca="false">HYPERLINK("https://twitter.com/joetrader6/status/922973714085564417","922973714085564417")</f>
        <v>922973714085564417</v>
      </c>
      <c r="F8537" s="10" t="s">
        <v>39</v>
      </c>
      <c r="G8537" s="10" t="n">
        <v>265</v>
      </c>
      <c r="H8537" s="10" t="n">
        <v>450</v>
      </c>
      <c r="I8537" s="10" t="n">
        <v>11</v>
      </c>
      <c r="J8537" s="10" t="n">
        <v>0</v>
      </c>
      <c r="K8537" s="10" t="s">
        <v>20</v>
      </c>
      <c r="L8537" s="11" t="n">
        <v>41226.4339930556</v>
      </c>
      <c r="M8537" s="12"/>
      <c r="N8537" s="12" t="s">
        <v>1416</v>
      </c>
      <c r="O8537" s="9" t="str">
        <f aca="false">HYPERLINK("https://pbs.twimg.com/profile_images/2849377721/080037e8101380451d04cb0e7f6c9621_normal.jpeg","View")</f>
        <v>View</v>
      </c>
      <c r="P8537" s="10"/>
    </row>
    <row r="8538" customFormat="false" ht="15.75" hidden="false" customHeight="false" outlineLevel="0" collapsed="false">
      <c r="A8538" s="6" t="n">
        <v>43032.7021875</v>
      </c>
      <c r="B8538" s="7" t="str">
        <f aca="false">HYPERLINK("https://twitter.com/Tekki_VR","@Tekki_VR")</f>
        <v>@Tekki_VR</v>
      </c>
      <c r="C8538" s="8" t="s">
        <v>225</v>
      </c>
      <c r="D8538" s="8" t="s">
        <v>18690</v>
      </c>
      <c r="E8538" s="9" t="str">
        <f aca="false">HYPERLINK("https://twitter.com/Tekki_VR/status/922973769848770561","922973769848770561")</f>
        <v>922973769848770561</v>
      </c>
      <c r="F8538" s="10" t="s">
        <v>60</v>
      </c>
      <c r="G8538" s="10" t="n">
        <v>1895</v>
      </c>
      <c r="H8538" s="10" t="n">
        <v>2479</v>
      </c>
      <c r="I8538" s="10" t="n">
        <v>0</v>
      </c>
      <c r="J8538" s="10" t="n">
        <v>0</v>
      </c>
      <c r="K8538" s="10" t="s">
        <v>20</v>
      </c>
      <c r="L8538" s="11" t="n">
        <v>42263.5455324074</v>
      </c>
      <c r="M8538" s="12" t="s">
        <v>227</v>
      </c>
      <c r="N8538" s="12" t="s">
        <v>228</v>
      </c>
      <c r="O8538" s="9" t="str">
        <f aca="false">HYPERLINK("https://pbs.twimg.com/profile_images/760662770694098944/h1nSBfE8_normal.jpg","View")</f>
        <v>View</v>
      </c>
      <c r="P8538" s="10"/>
    </row>
    <row r="8539" customFormat="false" ht="15.75" hidden="false" customHeight="false" outlineLevel="0" collapsed="false">
      <c r="A8539" s="6" t="n">
        <v>43032.7023726852</v>
      </c>
      <c r="B8539" s="7" t="str">
        <f aca="false">HYPERLINK("https://twitter.com/rechykc","@rechykc")</f>
        <v>@rechykc</v>
      </c>
      <c r="C8539" s="8" t="s">
        <v>18691</v>
      </c>
      <c r="D8539" s="8" t="s">
        <v>18617</v>
      </c>
      <c r="E8539" s="9" t="str">
        <f aca="false">HYPERLINK("https://twitter.com/rechykc/status/922973839054835712","922973839054835712")</f>
        <v>922973839054835712</v>
      </c>
      <c r="F8539" s="10" t="s">
        <v>39</v>
      </c>
      <c r="G8539" s="10" t="n">
        <v>44</v>
      </c>
      <c r="H8539" s="10" t="n">
        <v>279</v>
      </c>
      <c r="I8539" s="10" t="n">
        <v>47</v>
      </c>
      <c r="J8539" s="10" t="n">
        <v>0</v>
      </c>
      <c r="K8539" s="10" t="s">
        <v>20</v>
      </c>
      <c r="L8539" s="11" t="n">
        <v>41662.7770601852</v>
      </c>
      <c r="M8539" s="12" t="s">
        <v>4050</v>
      </c>
      <c r="N8539" s="12" t="s">
        <v>18692</v>
      </c>
      <c r="O8539" s="9" t="str">
        <f aca="false">HYPERLINK("https://pbs.twimg.com/profile_images/460495040410685440/TsBa8Cbv_normal.jpeg","View")</f>
        <v>View</v>
      </c>
      <c r="P8539" s="10"/>
    </row>
    <row r="8540" customFormat="false" ht="15.75" hidden="false" customHeight="false" outlineLevel="0" collapsed="false">
      <c r="A8540" s="6" t="n">
        <v>43032.7026273148</v>
      </c>
      <c r="B8540" s="7" t="str">
        <f aca="false">HYPERLINK("https://twitter.com/MicheleTarroni","@MicheleTarroni")</f>
        <v>@MicheleTarroni</v>
      </c>
      <c r="C8540" s="8" t="s">
        <v>18622</v>
      </c>
      <c r="D8540" s="8" t="s">
        <v>18680</v>
      </c>
      <c r="E8540" s="9" t="str">
        <f aca="false">HYPERLINK("https://twitter.com/MicheleTarroni/status/922973930033483777","922973930033483777")</f>
        <v>922973930033483777</v>
      </c>
      <c r="F8540" s="10" t="s">
        <v>2620</v>
      </c>
      <c r="G8540" s="10" t="n">
        <v>81</v>
      </c>
      <c r="H8540" s="10" t="n">
        <v>153</v>
      </c>
      <c r="I8540" s="10" t="n">
        <v>11</v>
      </c>
      <c r="J8540" s="10" t="n">
        <v>0</v>
      </c>
      <c r="K8540" s="10" t="s">
        <v>20</v>
      </c>
      <c r="L8540" s="11" t="n">
        <v>42589.1426967593</v>
      </c>
      <c r="M8540" s="12" t="s">
        <v>18623</v>
      </c>
      <c r="N8540" s="12" t="s">
        <v>18624</v>
      </c>
      <c r="O8540" s="9" t="str">
        <f aca="false">HYPERLINK("https://pbs.twimg.com/profile_images/922632835508441089/rzNbOTs9_normal.jpg","View")</f>
        <v>View</v>
      </c>
      <c r="P8540" s="10"/>
    </row>
    <row r="8541" customFormat="false" ht="15.75" hidden="false" customHeight="false" outlineLevel="0" collapsed="false">
      <c r="A8541" s="6" t="n">
        <v>43032.7039467593</v>
      </c>
      <c r="B8541" s="7" t="str">
        <f aca="false">HYPERLINK("https://twitter.com/swissifg","@swissifg")</f>
        <v>@swissifg</v>
      </c>
      <c r="C8541" s="8" t="s">
        <v>247</v>
      </c>
      <c r="D8541" s="8" t="s">
        <v>18693</v>
      </c>
      <c r="E8541" s="9" t="str">
        <f aca="false">HYPERLINK("https://twitter.com/swissifg/status/922974408477691904","922974408477691904")</f>
        <v>922974408477691904</v>
      </c>
      <c r="F8541" s="10" t="s">
        <v>60</v>
      </c>
      <c r="G8541" s="10" t="n">
        <v>1202</v>
      </c>
      <c r="H8541" s="10" t="n">
        <v>670</v>
      </c>
      <c r="I8541" s="10" t="n">
        <v>0</v>
      </c>
      <c r="J8541" s="10" t="n">
        <v>0</v>
      </c>
      <c r="K8541" s="10" t="s">
        <v>20</v>
      </c>
      <c r="L8541" s="11" t="n">
        <v>42499.2341087963</v>
      </c>
      <c r="M8541" s="12" t="s">
        <v>249</v>
      </c>
      <c r="N8541" s="12" t="s">
        <v>250</v>
      </c>
      <c r="O8541" s="9" t="str">
        <f aca="false">HYPERLINK("https://pbs.twimg.com/profile_images/729681805088063489/N4ls5vb8_normal.jpg","View")</f>
        <v>View</v>
      </c>
      <c r="P8541" s="10"/>
    </row>
    <row r="8542" customFormat="false" ht="15.75" hidden="false" customHeight="false" outlineLevel="0" collapsed="false">
      <c r="A8542" s="6" t="n">
        <v>43032.7051736111</v>
      </c>
      <c r="B8542" s="7" t="str">
        <f aca="false">HYPERLINK("https://twitter.com/Bullish","@Bullish")</f>
        <v>@Bullish</v>
      </c>
      <c r="C8542" s="8" t="s">
        <v>223</v>
      </c>
      <c r="D8542" s="8" t="s">
        <v>18694</v>
      </c>
      <c r="E8542" s="9" t="str">
        <f aca="false">HYPERLINK("https://twitter.com/Bullish/status/922974850829967361","922974850829967361")</f>
        <v>922974850829967361</v>
      </c>
      <c r="F8542" s="10" t="s">
        <v>60</v>
      </c>
      <c r="G8542" s="10" t="n">
        <v>184</v>
      </c>
      <c r="H8542" s="10" t="n">
        <v>87</v>
      </c>
      <c r="I8542" s="10" t="n">
        <v>0</v>
      </c>
      <c r="J8542" s="10" t="n">
        <v>0</v>
      </c>
      <c r="K8542" s="10" t="s">
        <v>20</v>
      </c>
      <c r="L8542" s="11" t="n">
        <v>42618.7530439815</v>
      </c>
      <c r="M8542" s="12"/>
      <c r="N8542" s="12"/>
      <c r="O8542" s="9" t="str">
        <f aca="false">HYPERLINK("https://pbs.twimg.com/profile_images/798692093736599552/UikI9dNE_normal.jpg","View")</f>
        <v>View</v>
      </c>
      <c r="P8542" s="10"/>
    </row>
    <row r="8543" customFormat="false" ht="15.75" hidden="false" customHeight="false" outlineLevel="0" collapsed="false">
      <c r="A8543" s="6" t="n">
        <v>43032.7056365741</v>
      </c>
      <c r="B8543" s="7" t="str">
        <f aca="false">HYPERLINK("https://twitter.com/alternative200","@alternative200")</f>
        <v>@alternative200</v>
      </c>
      <c r="C8543" s="8" t="s">
        <v>11079</v>
      </c>
      <c r="D8543" s="8" t="s">
        <v>18680</v>
      </c>
      <c r="E8543" s="9" t="str">
        <f aca="false">HYPERLINK("https://twitter.com/alternative200/status/922975019277398016","922975019277398016")</f>
        <v>922975019277398016</v>
      </c>
      <c r="F8543" s="10" t="s">
        <v>39</v>
      </c>
      <c r="G8543" s="10" t="n">
        <v>147</v>
      </c>
      <c r="H8543" s="10" t="n">
        <v>224</v>
      </c>
      <c r="I8543" s="10" t="n">
        <v>11</v>
      </c>
      <c r="J8543" s="10" t="n">
        <v>0</v>
      </c>
      <c r="K8543" s="10" t="s">
        <v>20</v>
      </c>
      <c r="L8543" s="11" t="n">
        <v>42924.4834259259</v>
      </c>
      <c r="M8543" s="12" t="s">
        <v>11080</v>
      </c>
      <c r="N8543" s="12" t="s">
        <v>11081</v>
      </c>
      <c r="O8543" s="9" t="str">
        <f aca="false">HYPERLINK("https://pbs.twimg.com/profile_images/903434851570855940/HD_ouAB4_normal.jpg","View")</f>
        <v>View</v>
      </c>
      <c r="P8543" s="10"/>
    </row>
    <row r="8544" customFormat="false" ht="15.75" hidden="false" customHeight="false" outlineLevel="0" collapsed="false">
      <c r="A8544" s="6" t="n">
        <v>43032.7077662037</v>
      </c>
      <c r="B8544" s="7" t="str">
        <f aca="false">HYPERLINK("https://twitter.com/BloombergTV","@BloombergTV")</f>
        <v>@BloombergTV</v>
      </c>
      <c r="C8544" s="8" t="s">
        <v>317</v>
      </c>
      <c r="D8544" s="8" t="s">
        <v>18695</v>
      </c>
      <c r="E8544" s="9" t="str">
        <f aca="false">HYPERLINK("https://twitter.com/BloombergTV/status/922975793915056129","922975793915056129")</f>
        <v>922975793915056129</v>
      </c>
      <c r="F8544" s="10" t="s">
        <v>268</v>
      </c>
      <c r="G8544" s="10" t="n">
        <v>452899</v>
      </c>
      <c r="H8544" s="10" t="n">
        <v>458</v>
      </c>
      <c r="I8544" s="10" t="n">
        <v>1</v>
      </c>
      <c r="J8544" s="10" t="n">
        <v>0</v>
      </c>
      <c r="K8544" s="10" t="s">
        <v>20</v>
      </c>
      <c r="L8544" s="11" t="n">
        <v>39927.4899768519</v>
      </c>
      <c r="M8544" s="12" t="s">
        <v>319</v>
      </c>
      <c r="N8544" s="12" t="s">
        <v>320</v>
      </c>
      <c r="O8544" s="9" t="str">
        <f aca="false">HYPERLINK("https://pbs.twimg.com/profile_images/714801760632770560/7My2hMBt_normal.jpg","View")</f>
        <v>View</v>
      </c>
      <c r="P8544" s="10"/>
    </row>
    <row r="8545" customFormat="false" ht="15.75" hidden="false" customHeight="false" outlineLevel="0" collapsed="false">
      <c r="A8545" s="6" t="n">
        <v>43032.7081365741</v>
      </c>
      <c r="B8545" s="7" t="str">
        <f aca="false">HYPERLINK("https://twitter.com/AgentandFather","@AgentandFather")</f>
        <v>@AgentandFather</v>
      </c>
      <c r="C8545" s="8" t="s">
        <v>18696</v>
      </c>
      <c r="D8545" s="8" t="s">
        <v>18697</v>
      </c>
      <c r="E8545" s="9" t="str">
        <f aca="false">HYPERLINK("https://twitter.com/AgentandFather/status/922975924013867008","922975924013867008")</f>
        <v>922975924013867008</v>
      </c>
      <c r="F8545" s="10" t="s">
        <v>39</v>
      </c>
      <c r="G8545" s="10" t="n">
        <v>272</v>
      </c>
      <c r="H8545" s="10" t="n">
        <v>958</v>
      </c>
      <c r="I8545" s="10" t="n">
        <v>1</v>
      </c>
      <c r="J8545" s="10" t="n">
        <v>0</v>
      </c>
      <c r="K8545" s="10" t="s">
        <v>20</v>
      </c>
      <c r="L8545" s="11" t="n">
        <v>41222.0848842593</v>
      </c>
      <c r="M8545" s="12"/>
      <c r="N8545" s="12" t="s">
        <v>18698</v>
      </c>
      <c r="O8545" s="9" t="str">
        <f aca="false">HYPERLINK("https://pbs.twimg.com/profile_images/2826442037/93818b5062de6014fe4b96896402efa0_normal.jpeg","View")</f>
        <v>View</v>
      </c>
      <c r="P8545" s="10"/>
    </row>
    <row r="8546" customFormat="false" ht="15.75" hidden="false" customHeight="false" outlineLevel="0" collapsed="false">
      <c r="A8546" s="6" t="n">
        <v>43032.7097916667</v>
      </c>
      <c r="B8546" s="7" t="str">
        <f aca="false">HYPERLINK("https://twitter.com/LHBrok","@LHBrok")</f>
        <v>@LHBrok</v>
      </c>
      <c r="C8546" s="8" t="s">
        <v>18699</v>
      </c>
      <c r="D8546" s="8" t="s">
        <v>18700</v>
      </c>
      <c r="E8546" s="9" t="str">
        <f aca="false">HYPERLINK("https://twitter.com/LHBrok/status/922976526555140097","922976526555140097")</f>
        <v>922976526555140097</v>
      </c>
      <c r="F8546" s="10" t="s">
        <v>39</v>
      </c>
      <c r="G8546" s="10" t="n">
        <v>780</v>
      </c>
      <c r="H8546" s="10" t="n">
        <v>718</v>
      </c>
      <c r="I8546" s="10" t="n">
        <v>0</v>
      </c>
      <c r="J8546" s="10" t="n">
        <v>0</v>
      </c>
      <c r="K8546" s="10" t="s">
        <v>20</v>
      </c>
      <c r="L8546" s="11" t="n">
        <v>41713.727337963</v>
      </c>
      <c r="M8546" s="12"/>
      <c r="N8546" s="12" t="s">
        <v>18701</v>
      </c>
      <c r="O8546" s="9" t="str">
        <f aca="false">HYPERLINK("https://pbs.twimg.com/profile_images/473595630573481984/q3xke95-_normal.jpeg","View")</f>
        <v>View</v>
      </c>
      <c r="P8546" s="10"/>
    </row>
    <row r="8547" customFormat="false" ht="15.75" hidden="false" customHeight="false" outlineLevel="0" collapsed="false">
      <c r="A8547" s="6" t="n">
        <v>43032.7121527778</v>
      </c>
      <c r="B8547" s="7" t="str">
        <f aca="false">HYPERLINK("https://twitter.com/VictorRey63","@VictorRey63")</f>
        <v>@VictorRey63</v>
      </c>
      <c r="C8547" s="8" t="s">
        <v>18702</v>
      </c>
      <c r="D8547" s="8" t="s">
        <v>18680</v>
      </c>
      <c r="E8547" s="9" t="str">
        <f aca="false">HYPERLINK("https://twitter.com/VictorRey63/status/922977382629347333","922977382629347333")</f>
        <v>922977382629347333</v>
      </c>
      <c r="F8547" s="10" t="s">
        <v>51</v>
      </c>
      <c r="G8547" s="10" t="n">
        <v>91</v>
      </c>
      <c r="H8547" s="10" t="n">
        <v>225</v>
      </c>
      <c r="I8547" s="10" t="n">
        <v>11</v>
      </c>
      <c r="J8547" s="10" t="n">
        <v>0</v>
      </c>
      <c r="K8547" s="10" t="s">
        <v>20</v>
      </c>
      <c r="L8547" s="11" t="n">
        <v>41377.8397916667</v>
      </c>
      <c r="M8547" s="12" t="s">
        <v>1961</v>
      </c>
      <c r="N8547" s="12"/>
      <c r="O8547" s="9" t="str">
        <f aca="false">HYPERLINK("https://pbs.twimg.com/profile_images/920084299461857280/U4hlNq1k_normal.jpg","View")</f>
        <v>View</v>
      </c>
      <c r="P8547" s="10"/>
    </row>
    <row r="8548" customFormat="false" ht="15.75" hidden="false" customHeight="false" outlineLevel="0" collapsed="false">
      <c r="A8548" s="6" t="n">
        <v>43032.7146643519</v>
      </c>
      <c r="B8548" s="7" t="str">
        <f aca="false">HYPERLINK("https://twitter.com/sleep_sheep2010","@sleep_sheep2010")</f>
        <v>@sleep_sheep2010</v>
      </c>
      <c r="C8548" s="14" t="s">
        <v>18703</v>
      </c>
      <c r="D8548" s="8" t="s">
        <v>15821</v>
      </c>
      <c r="E8548" s="9" t="str">
        <f aca="false">HYPERLINK("https://twitter.com/sleep_sheep2010/status/922978290654093312","922978290654093312")</f>
        <v>922978290654093312</v>
      </c>
      <c r="F8548" s="10" t="s">
        <v>13017</v>
      </c>
      <c r="G8548" s="10" t="n">
        <v>1877</v>
      </c>
      <c r="H8548" s="10" t="n">
        <v>222</v>
      </c>
      <c r="I8548" s="10" t="n">
        <v>41</v>
      </c>
      <c r="J8548" s="10" t="n">
        <v>0</v>
      </c>
      <c r="K8548" s="10" t="s">
        <v>20</v>
      </c>
      <c r="L8548" s="11" t="n">
        <v>40031.7186574074</v>
      </c>
      <c r="M8548" s="13" t="s">
        <v>18704</v>
      </c>
      <c r="N8548" s="13" t="s">
        <v>18705</v>
      </c>
      <c r="O8548" s="9" t="str">
        <f aca="false">HYPERLINK("https://pbs.twimg.com/profile_images/1587610371/__normal.png","View")</f>
        <v>View</v>
      </c>
      <c r="P8548" s="10"/>
    </row>
    <row r="8549" customFormat="false" ht="15.75" hidden="false" customHeight="false" outlineLevel="0" collapsed="false">
      <c r="A8549" s="6" t="n">
        <v>43032.7174884259</v>
      </c>
      <c r="B8549" s="7" t="str">
        <f aca="false">HYPERLINK("https://twitter.com/leonlaiming","@leonlaiming")</f>
        <v>@leonlaiming</v>
      </c>
      <c r="C8549" s="14" t="s">
        <v>18706</v>
      </c>
      <c r="D8549" s="8" t="s">
        <v>16929</v>
      </c>
      <c r="E8549" s="9" t="str">
        <f aca="false">HYPERLINK("https://twitter.com/leonlaiming/status/922979314374664192","922979314374664192")</f>
        <v>922979314374664192</v>
      </c>
      <c r="F8549" s="10" t="s">
        <v>177</v>
      </c>
      <c r="G8549" s="10" t="n">
        <v>1574</v>
      </c>
      <c r="H8549" s="10" t="n">
        <v>1673</v>
      </c>
      <c r="I8549" s="10" t="n">
        <v>247</v>
      </c>
      <c r="J8549" s="10" t="n">
        <v>0</v>
      </c>
      <c r="K8549" s="10" t="s">
        <v>20</v>
      </c>
      <c r="L8549" s="11" t="n">
        <v>41912.9319675926</v>
      </c>
      <c r="M8549" s="12"/>
      <c r="N8549" s="12" t="s">
        <v>18707</v>
      </c>
      <c r="O8549" s="9" t="str">
        <f aca="false">HYPERLINK("https://pbs.twimg.com/profile_images/713002362856562688/T85bM_hi_normal.jpg","View")</f>
        <v>View</v>
      </c>
      <c r="P8549" s="10"/>
    </row>
    <row r="8550" customFormat="false" ht="15.75" hidden="false" customHeight="false" outlineLevel="0" collapsed="false">
      <c r="A8550" s="6" t="n">
        <v>43032.7240046296</v>
      </c>
      <c r="B8550" s="7" t="str">
        <f aca="false">HYPERLINK("https://twitter.com/michel_kabongo","@michel_kabongo")</f>
        <v>@michel_kabongo</v>
      </c>
      <c r="C8550" s="8" t="s">
        <v>18708</v>
      </c>
      <c r="D8550" s="8" t="s">
        <v>18680</v>
      </c>
      <c r="E8550" s="9" t="str">
        <f aca="false">HYPERLINK("https://twitter.com/michel_kabongo/status/922981676145356800","922981676145356800")</f>
        <v>922981676145356800</v>
      </c>
      <c r="F8550" s="10" t="s">
        <v>25</v>
      </c>
      <c r="G8550" s="10" t="n">
        <v>117</v>
      </c>
      <c r="H8550" s="10" t="n">
        <v>606</v>
      </c>
      <c r="I8550" s="10" t="n">
        <v>11</v>
      </c>
      <c r="J8550" s="10" t="n">
        <v>0</v>
      </c>
      <c r="K8550" s="10" t="s">
        <v>20</v>
      </c>
      <c r="L8550" s="11" t="n">
        <v>41485.7914930556</v>
      </c>
      <c r="M8550" s="12" t="s">
        <v>87</v>
      </c>
      <c r="N8550" s="12" t="s">
        <v>18709</v>
      </c>
      <c r="O8550" s="9" t="str">
        <f aca="false">HYPERLINK("https://pbs.twimg.com/profile_images/647697143109554176/yb1A9Byq_normal.jpg","View")</f>
        <v>View</v>
      </c>
      <c r="P8550" s="10"/>
    </row>
    <row r="8551" customFormat="false" ht="15.75" hidden="false" customHeight="false" outlineLevel="0" collapsed="false">
      <c r="A8551" s="6" t="n">
        <v>43032.7368518519</v>
      </c>
      <c r="B8551" s="7" t="str">
        <f aca="false">HYPERLINK("https://twitter.com/davidvolodzko","@davidvolodzko")</f>
        <v>@davidvolodzko</v>
      </c>
      <c r="C8551" s="8" t="s">
        <v>18710</v>
      </c>
      <c r="D8551" s="8" t="s">
        <v>18091</v>
      </c>
      <c r="E8551" s="9" t="str">
        <f aca="false">HYPERLINK("https://twitter.com/davidvolodzko/status/922986334045683712","922986334045683712")</f>
        <v>922986334045683712</v>
      </c>
      <c r="F8551" s="10" t="s">
        <v>25</v>
      </c>
      <c r="G8551" s="10" t="n">
        <v>12456</v>
      </c>
      <c r="H8551" s="10" t="n">
        <v>1035</v>
      </c>
      <c r="I8551" s="10" t="n">
        <v>121</v>
      </c>
      <c r="J8551" s="10" t="n">
        <v>0</v>
      </c>
      <c r="K8551" s="10" t="s">
        <v>20</v>
      </c>
      <c r="L8551" s="11" t="n">
        <v>41816.8194444444</v>
      </c>
      <c r="M8551" s="12" t="s">
        <v>13446</v>
      </c>
      <c r="N8551" s="12" t="s">
        <v>18711</v>
      </c>
      <c r="O8551" s="9" t="str">
        <f aca="false">HYPERLINK("https://pbs.twimg.com/profile_images/599415510590095360/ys8QEURh_normal.jpg","View")</f>
        <v>View</v>
      </c>
      <c r="P8551" s="10"/>
    </row>
    <row r="8552" customFormat="false" ht="15.75" hidden="false" customHeight="false" outlineLevel="0" collapsed="false">
      <c r="A8552" s="6" t="n">
        <v>43032.7394212963</v>
      </c>
      <c r="B8552" s="7" t="str">
        <f aca="false">HYPERLINK("https://twitter.com/Akinmeto","@Akinmeto")</f>
        <v>@Akinmeto</v>
      </c>
      <c r="C8552" s="8" t="s">
        <v>18712</v>
      </c>
      <c r="D8552" s="8" t="s">
        <v>16929</v>
      </c>
      <c r="E8552" s="9" t="str">
        <f aca="false">HYPERLINK("https://twitter.com/Akinmeto/status/922987262534606848","922987262534606848")</f>
        <v>922987262534606848</v>
      </c>
      <c r="F8552" s="10" t="s">
        <v>25</v>
      </c>
      <c r="G8552" s="10" t="n">
        <v>44</v>
      </c>
      <c r="H8552" s="10" t="n">
        <v>235</v>
      </c>
      <c r="I8552" s="10" t="n">
        <v>247</v>
      </c>
      <c r="J8552" s="10" t="n">
        <v>0</v>
      </c>
      <c r="K8552" s="10" t="s">
        <v>20</v>
      </c>
      <c r="L8552" s="11" t="n">
        <v>42968.1667824074</v>
      </c>
      <c r="M8552" s="12"/>
      <c r="N8552" s="12"/>
      <c r="O8552" s="9" t="str">
        <f aca="false">HYPERLINK("https://pbs.twimg.com/profile_images/899591536370831360/hnisTFcn_normal.jpg","View")</f>
        <v>View</v>
      </c>
      <c r="P8552" s="10"/>
    </row>
    <row r="8553" customFormat="false" ht="15.75" hidden="false" customHeight="false" outlineLevel="0" collapsed="false">
      <c r="A8553" s="6" t="n">
        <v>43032.7394907407</v>
      </c>
      <c r="B8553" s="7" t="str">
        <f aca="false">HYPERLINK("https://twitter.com/GreenToneEnviro","@GreenToneEnviro")</f>
        <v>@GreenToneEnviro</v>
      </c>
      <c r="C8553" s="8" t="s">
        <v>18713</v>
      </c>
      <c r="D8553" s="8" t="s">
        <v>18091</v>
      </c>
      <c r="E8553" s="9" t="str">
        <f aca="false">HYPERLINK("https://twitter.com/GreenToneEnviro/status/922987290120675328","922987290120675328")</f>
        <v>922987290120675328</v>
      </c>
      <c r="F8553" s="10" t="s">
        <v>25</v>
      </c>
      <c r="G8553" s="10" t="n">
        <v>2758</v>
      </c>
      <c r="H8553" s="10" t="n">
        <v>4547</v>
      </c>
      <c r="I8553" s="10" t="n">
        <v>121</v>
      </c>
      <c r="J8553" s="10" t="n">
        <v>0</v>
      </c>
      <c r="K8553" s="10" t="s">
        <v>20</v>
      </c>
      <c r="L8553" s="11" t="n">
        <v>40282.4209027778</v>
      </c>
      <c r="M8553" s="12" t="s">
        <v>18714</v>
      </c>
      <c r="N8553" s="12" t="s">
        <v>18715</v>
      </c>
      <c r="O8553" s="9" t="str">
        <f aca="false">HYPERLINK("https://pbs.twimg.com/profile_images/923218232626044929/PJKe1Ynp_normal.jpg","View")</f>
        <v>View</v>
      </c>
      <c r="P8553" s="10"/>
    </row>
    <row r="8554" customFormat="false" ht="15.75" hidden="false" customHeight="false" outlineLevel="0" collapsed="false">
      <c r="A8554" s="6" t="n">
        <v>43032.7406481482</v>
      </c>
      <c r="B8554" s="7" t="str">
        <f aca="false">HYPERLINK("https://twitter.com/Lucy736694411","@Lucy736694411")</f>
        <v>@Lucy736694411</v>
      </c>
      <c r="C8554" s="8" t="s">
        <v>18716</v>
      </c>
      <c r="D8554" s="8" t="s">
        <v>18617</v>
      </c>
      <c r="E8554" s="9" t="str">
        <f aca="false">HYPERLINK("https://twitter.com/Lucy736694411/status/922987708376641536","922987708376641536")</f>
        <v>922987708376641536</v>
      </c>
      <c r="F8554" s="10" t="s">
        <v>51</v>
      </c>
      <c r="G8554" s="10" t="n">
        <v>171</v>
      </c>
      <c r="H8554" s="10" t="n">
        <v>81</v>
      </c>
      <c r="I8554" s="10" t="n">
        <v>47</v>
      </c>
      <c r="J8554" s="10" t="n">
        <v>0</v>
      </c>
      <c r="K8554" s="10" t="s">
        <v>20</v>
      </c>
      <c r="L8554" s="11" t="n">
        <v>42321.6366898148</v>
      </c>
      <c r="M8554" s="12"/>
      <c r="N8554" s="12"/>
      <c r="O8554" s="9" t="str">
        <f aca="false">HYPERLINK("https://pbs.twimg.com/profile_images/665311260557250563/BLe_yDiV_normal.jpg","View")</f>
        <v>View</v>
      </c>
      <c r="P8554" s="10"/>
    </row>
    <row r="8555" customFormat="false" ht="15.75" hidden="false" customHeight="false" outlineLevel="0" collapsed="false">
      <c r="A8555" s="6" t="n">
        <v>43032.7421064815</v>
      </c>
      <c r="B8555" s="7" t="str">
        <f aca="false">HYPERLINK("https://twitter.com/Rosamexican01","@Rosamexican01")</f>
        <v>@Rosamexican01</v>
      </c>
      <c r="C8555" s="8" t="s">
        <v>1329</v>
      </c>
      <c r="D8555" s="8" t="s">
        <v>18717</v>
      </c>
      <c r="E8555" s="9" t="str">
        <f aca="false">HYPERLINK("https://twitter.com/Rosamexican01/status/922988236624072705","922988236624072705")</f>
        <v>922988236624072705</v>
      </c>
      <c r="F8555" s="10" t="s">
        <v>39</v>
      </c>
      <c r="G8555" s="10" t="n">
        <v>3327</v>
      </c>
      <c r="H8555" s="10" t="n">
        <v>2445</v>
      </c>
      <c r="I8555" s="10" t="n">
        <v>0</v>
      </c>
      <c r="J8555" s="10" t="n">
        <v>0</v>
      </c>
      <c r="K8555" s="10" t="s">
        <v>20</v>
      </c>
      <c r="L8555" s="11" t="n">
        <v>40305.5168634259</v>
      </c>
      <c r="M8555" s="12" t="s">
        <v>1331</v>
      </c>
      <c r="N8555" s="12" t="s">
        <v>1332</v>
      </c>
      <c r="O8555" s="9" t="str">
        <f aca="false">HYPERLINK("https://pbs.twimg.com/profile_images/881508681/Juergen100-4_normal.jpg","View")</f>
        <v>View</v>
      </c>
      <c r="P8555" s="10"/>
    </row>
    <row r="8556" customFormat="false" ht="15.75" hidden="false" customHeight="false" outlineLevel="0" collapsed="false">
      <c r="A8556" s="6" t="n">
        <v>43032.7450115741</v>
      </c>
      <c r="B8556" s="7" t="str">
        <f aca="false">HYPERLINK("https://twitter.com/krishvarad14","@krishvarad14")</f>
        <v>@krishvarad14</v>
      </c>
      <c r="C8556" s="8" t="s">
        <v>18718</v>
      </c>
      <c r="D8556" s="8" t="s">
        <v>8538</v>
      </c>
      <c r="E8556" s="9" t="str">
        <f aca="false">HYPERLINK("https://twitter.com/krishvarad14/status/922989290446974976","922989290446974976")</f>
        <v>922989290446974976</v>
      </c>
      <c r="F8556" s="10" t="s">
        <v>25</v>
      </c>
      <c r="G8556" s="10" t="n">
        <v>25</v>
      </c>
      <c r="H8556" s="10" t="n">
        <v>170</v>
      </c>
      <c r="I8556" s="10" t="n">
        <v>1015</v>
      </c>
      <c r="J8556" s="10" t="n">
        <v>0</v>
      </c>
      <c r="K8556" s="10" t="s">
        <v>20</v>
      </c>
      <c r="L8556" s="11" t="n">
        <v>41843.1234143519</v>
      </c>
      <c r="M8556" s="12"/>
      <c r="N8556" s="12"/>
      <c r="O8556" s="9" t="str">
        <f aca="false">HYPERLINK("https://abs.twimg.com/sticky/default_profile_images/default_profile_normal.png","View")</f>
        <v>View</v>
      </c>
      <c r="P8556" s="10"/>
    </row>
    <row r="8557" customFormat="false" ht="15.75" hidden="false" customHeight="false" outlineLevel="0" collapsed="false">
      <c r="A8557" s="6" t="n">
        <v>43032.7508912037</v>
      </c>
      <c r="B8557" s="7" t="str">
        <f aca="false">HYPERLINK("https://twitter.com/kittysummer07","@kittysummer07")</f>
        <v>@kittysummer07</v>
      </c>
      <c r="C8557" s="8" t="s">
        <v>18719</v>
      </c>
      <c r="D8557" s="8" t="s">
        <v>18617</v>
      </c>
      <c r="E8557" s="9" t="str">
        <f aca="false">HYPERLINK("https://twitter.com/kittysummer07/status/922991420314607616","922991420314607616")</f>
        <v>922991420314607616</v>
      </c>
      <c r="F8557" s="10" t="s">
        <v>51</v>
      </c>
      <c r="G8557" s="10" t="n">
        <v>131</v>
      </c>
      <c r="H8557" s="10" t="n">
        <v>455</v>
      </c>
      <c r="I8557" s="10" t="n">
        <v>47</v>
      </c>
      <c r="J8557" s="10" t="n">
        <v>0</v>
      </c>
      <c r="K8557" s="10" t="s">
        <v>20</v>
      </c>
      <c r="L8557" s="11" t="n">
        <v>42156.4017361111</v>
      </c>
      <c r="M8557" s="12"/>
      <c r="N8557" s="13" t="s">
        <v>18720</v>
      </c>
      <c r="O8557" s="9" t="str">
        <f aca="false">HYPERLINK("https://pbs.twimg.com/profile_images/887606638697263104/BoZrwNx0_normal.jpg","View")</f>
        <v>View</v>
      </c>
      <c r="P8557" s="10"/>
    </row>
    <row r="8558" customFormat="false" ht="15.75" hidden="false" customHeight="false" outlineLevel="0" collapsed="false">
      <c r="A8558" s="6" t="n">
        <v>43032.7515972222</v>
      </c>
      <c r="B8558" s="7" t="str">
        <f aca="false">HYPERLINK("https://twitter.com/BloombergAsia","@BloombergAsia")</f>
        <v>@BloombergAsia</v>
      </c>
      <c r="C8558" s="8" t="s">
        <v>1399</v>
      </c>
      <c r="D8558" s="8" t="s">
        <v>18721</v>
      </c>
      <c r="E8558" s="9" t="str">
        <f aca="false">HYPERLINK("https://twitter.com/BloombergAsia/status/922991675831672832","922991675831672832")</f>
        <v>922991675831672832</v>
      </c>
      <c r="F8558" s="10" t="s">
        <v>268</v>
      </c>
      <c r="G8558" s="10" t="n">
        <v>28824</v>
      </c>
      <c r="H8558" s="10" t="n">
        <v>97</v>
      </c>
      <c r="I8558" s="10" t="n">
        <v>1</v>
      </c>
      <c r="J8558" s="10" t="n">
        <v>1</v>
      </c>
      <c r="K8558" s="10" t="s">
        <v>20</v>
      </c>
      <c r="L8558" s="11" t="n">
        <v>41052.2384837963</v>
      </c>
      <c r="M8558" s="12"/>
      <c r="N8558" s="12" t="s">
        <v>1401</v>
      </c>
      <c r="O8558" s="9" t="str">
        <f aca="false">HYPERLINK("https://pbs.twimg.com/profile_images/778129630284902401/gXjFkqGM_normal.jpg","View")</f>
        <v>View</v>
      </c>
      <c r="P8558" s="10"/>
    </row>
    <row r="8559" customFormat="false" ht="15.75" hidden="false" customHeight="false" outlineLevel="0" collapsed="false">
      <c r="A8559" s="6" t="n">
        <v>43032.7535416667</v>
      </c>
      <c r="B8559" s="7" t="str">
        <f aca="false">HYPERLINK("https://twitter.com/sitifatimahnet","@sitifatimahnet")</f>
        <v>@sitifatimahnet</v>
      </c>
      <c r="C8559" s="8" t="s">
        <v>11184</v>
      </c>
      <c r="D8559" s="8" t="s">
        <v>18722</v>
      </c>
      <c r="E8559" s="9" t="str">
        <f aca="false">HYPERLINK("https://twitter.com/sitifatimahnet/status/922992382139879430","922992382139879430")</f>
        <v>922992382139879430</v>
      </c>
      <c r="F8559" s="10" t="s">
        <v>60</v>
      </c>
      <c r="G8559" s="10" t="n">
        <v>312</v>
      </c>
      <c r="H8559" s="10" t="n">
        <v>27</v>
      </c>
      <c r="I8559" s="10" t="n">
        <v>0</v>
      </c>
      <c r="J8559" s="10" t="n">
        <v>0</v>
      </c>
      <c r="K8559" s="10" t="s">
        <v>20</v>
      </c>
      <c r="L8559" s="11" t="n">
        <v>42698.4371990741</v>
      </c>
      <c r="M8559" s="12" t="s">
        <v>11186</v>
      </c>
      <c r="N8559" s="12" t="s">
        <v>11187</v>
      </c>
      <c r="O8559" s="9" t="str">
        <f aca="false">HYPERLINK("https://pbs.twimg.com/profile_images/897683241594912769/-rSDzg9T_normal.jpg","View")</f>
        <v>View</v>
      </c>
      <c r="P8559" s="10"/>
    </row>
    <row r="8560" customFormat="false" ht="15.75" hidden="false" customHeight="false" outlineLevel="0" collapsed="false">
      <c r="A8560" s="6" t="n">
        <v>43032.7656712963</v>
      </c>
      <c r="B8560" s="7" t="str">
        <f aca="false">HYPERLINK("https://twitter.com/PSaharov2","@PSaharov2")</f>
        <v>@PSaharov2</v>
      </c>
      <c r="C8560" s="8" t="s">
        <v>18723</v>
      </c>
      <c r="D8560" s="8" t="s">
        <v>18494</v>
      </c>
      <c r="E8560" s="9" t="str">
        <f aca="false">HYPERLINK("https://twitter.com/PSaharov2/status/922996773995528193","922996773995528193")</f>
        <v>922996773995528193</v>
      </c>
      <c r="F8560" s="10" t="s">
        <v>51</v>
      </c>
      <c r="G8560" s="10" t="n">
        <v>798</v>
      </c>
      <c r="H8560" s="10" t="n">
        <v>1831</v>
      </c>
      <c r="I8560" s="10" t="n">
        <v>6</v>
      </c>
      <c r="J8560" s="10" t="n">
        <v>0</v>
      </c>
      <c r="K8560" s="10" t="s">
        <v>20</v>
      </c>
      <c r="L8560" s="11" t="n">
        <v>42877.2494212963</v>
      </c>
      <c r="M8560" s="12" t="s">
        <v>1199</v>
      </c>
      <c r="N8560" s="12"/>
      <c r="O8560" s="9" t="str">
        <f aca="false">HYPERLINK("https://pbs.twimg.com/profile_images/914049575056400384/AOsm_xgA_normal.jpg","View")</f>
        <v>View</v>
      </c>
      <c r="P8560" s="10"/>
    </row>
    <row r="8561" customFormat="false" ht="15.75" hidden="false" customHeight="false" outlineLevel="0" collapsed="false">
      <c r="A8561" s="6" t="n">
        <v>43032.7667013889</v>
      </c>
      <c r="B8561" s="7" t="str">
        <f aca="false">HYPERLINK("https://twitter.com/arrgelegipcio","@arrgelegipcio")</f>
        <v>@arrgelegipcio</v>
      </c>
      <c r="C8561" s="8" t="s">
        <v>18724</v>
      </c>
      <c r="D8561" s="8" t="s">
        <v>18725</v>
      </c>
      <c r="E8561" s="9" t="str">
        <f aca="false">HYPERLINK("https://twitter.com/arrgelegipcio/status/922997149536681984","922997149536681984")</f>
        <v>922997149536681984</v>
      </c>
      <c r="F8561" s="10" t="s">
        <v>25</v>
      </c>
      <c r="G8561" s="10" t="n">
        <v>475</v>
      </c>
      <c r="H8561" s="10" t="n">
        <v>493</v>
      </c>
      <c r="I8561" s="10" t="n">
        <v>1</v>
      </c>
      <c r="J8561" s="10" t="n">
        <v>0</v>
      </c>
      <c r="K8561" s="10" t="s">
        <v>20</v>
      </c>
      <c r="L8561" s="11" t="n">
        <v>40325.9230439815</v>
      </c>
      <c r="M8561" s="12" t="s">
        <v>18726</v>
      </c>
      <c r="N8561" s="12" t="s">
        <v>18727</v>
      </c>
      <c r="O8561" s="9" t="str">
        <f aca="false">HYPERLINK("https://pbs.twimg.com/profile_images/831518368482066435/8Mf3VMFM_normal.jpg","View")</f>
        <v>View</v>
      </c>
      <c r="P8561" s="10"/>
    </row>
    <row r="8562" customFormat="false" ht="15.75" hidden="false" customHeight="false" outlineLevel="0" collapsed="false">
      <c r="A8562" s="6" t="n">
        <v>43032.772037037</v>
      </c>
      <c r="B8562" s="7" t="str">
        <f aca="false">HYPERLINK("https://twitter.com/kanazawakyoko","@kanazawakyoko")</f>
        <v>@kanazawakyoko</v>
      </c>
      <c r="C8562" s="14" t="s">
        <v>18728</v>
      </c>
      <c r="D8562" s="8" t="s">
        <v>18413</v>
      </c>
      <c r="E8562" s="9" t="str">
        <f aca="false">HYPERLINK("https://twitter.com/kanazawakyoko/status/922999081219235840","922999081219235840")</f>
        <v>922999081219235840</v>
      </c>
      <c r="F8562" s="10" t="s">
        <v>39</v>
      </c>
      <c r="G8562" s="10" t="n">
        <v>4953</v>
      </c>
      <c r="H8562" s="10" t="n">
        <v>5175</v>
      </c>
      <c r="I8562" s="10" t="n">
        <v>5</v>
      </c>
      <c r="J8562" s="10" t="n">
        <v>0</v>
      </c>
      <c r="K8562" s="10" t="s">
        <v>20</v>
      </c>
      <c r="L8562" s="11" t="n">
        <v>40743.8238888889</v>
      </c>
      <c r="M8562" s="13" t="s">
        <v>18729</v>
      </c>
      <c r="N8562" s="13" t="s">
        <v>18730</v>
      </c>
      <c r="O8562" s="9" t="str">
        <f aca="false">HYPERLINK("https://pbs.twimg.com/profile_images/922345590519762944/OIoxCx_h_normal.jpg","View")</f>
        <v>View</v>
      </c>
      <c r="P8562" s="10"/>
    </row>
    <row r="8563" customFormat="false" ht="15.75" hidden="false" customHeight="false" outlineLevel="0" collapsed="false">
      <c r="A8563" s="6" t="n">
        <v>43032.7726736111</v>
      </c>
      <c r="B8563" s="7" t="str">
        <f aca="false">HYPERLINK("https://twitter.com/business","@business")</f>
        <v>@business</v>
      </c>
      <c r="C8563" s="8" t="s">
        <v>196</v>
      </c>
      <c r="D8563" s="8" t="s">
        <v>18731</v>
      </c>
      <c r="E8563" s="9" t="str">
        <f aca="false">HYPERLINK("https://twitter.com/business/status/922999315240325121","922999315240325121")</f>
        <v>922999315240325121</v>
      </c>
      <c r="F8563" s="10" t="s">
        <v>268</v>
      </c>
      <c r="G8563" s="10" t="n">
        <v>4344209</v>
      </c>
      <c r="H8563" s="10" t="n">
        <v>1088</v>
      </c>
      <c r="I8563" s="10" t="n">
        <v>28</v>
      </c>
      <c r="J8563" s="10" t="n">
        <v>37</v>
      </c>
      <c r="K8563" s="10" t="s">
        <v>20</v>
      </c>
      <c r="L8563" s="11" t="n">
        <v>39926.5453356481</v>
      </c>
      <c r="M8563" s="12" t="s">
        <v>199</v>
      </c>
      <c r="N8563" s="12" t="s">
        <v>200</v>
      </c>
      <c r="O8563" s="9" t="str">
        <f aca="false">HYPERLINK("https://pbs.twimg.com/profile_images/714946924105883648/4fgNVF4H_normal.jpg","View")</f>
        <v>View</v>
      </c>
      <c r="P8563" s="10"/>
    </row>
    <row r="8564" customFormat="false" ht="15.75" hidden="false" customHeight="false" outlineLevel="0" collapsed="false">
      <c r="A8564" s="6" t="n">
        <v>43032.772962963</v>
      </c>
      <c r="B8564" s="7" t="str">
        <f aca="false">HYPERLINK("https://twitter.com/Kose4by4","@Kose4by4")</f>
        <v>@Kose4by4</v>
      </c>
      <c r="C8564" s="8" t="s">
        <v>18732</v>
      </c>
      <c r="D8564" s="8" t="s">
        <v>18733</v>
      </c>
      <c r="E8564" s="9" t="str">
        <f aca="false">HYPERLINK("https://twitter.com/Kose4by4/status/922999418801946624","922999418801946624")</f>
        <v>922999418801946624</v>
      </c>
      <c r="F8564" s="10" t="s">
        <v>25</v>
      </c>
      <c r="G8564" s="10" t="n">
        <v>516</v>
      </c>
      <c r="H8564" s="10" t="n">
        <v>531</v>
      </c>
      <c r="I8564" s="10" t="n">
        <v>28</v>
      </c>
      <c r="J8564" s="10" t="n">
        <v>0</v>
      </c>
      <c r="K8564" s="10" t="s">
        <v>20</v>
      </c>
      <c r="L8564" s="11" t="n">
        <v>39861.7194212963</v>
      </c>
      <c r="M8564" s="12"/>
      <c r="N8564" s="12" t="s">
        <v>18734</v>
      </c>
      <c r="O8564" s="9" t="str">
        <f aca="false">HYPERLINK("https://pbs.twimg.com/profile_images/1842919047/image_normal.jpg","View")</f>
        <v>View</v>
      </c>
      <c r="P8564" s="10"/>
    </row>
    <row r="8565" customFormat="false" ht="15.75" hidden="false" customHeight="false" outlineLevel="0" collapsed="false">
      <c r="A8565" s="6" t="n">
        <v>43032.7730439815</v>
      </c>
      <c r="B8565" s="7" t="str">
        <f aca="false">HYPERLINK("https://twitter.com/jucheismo","@jucheismo")</f>
        <v>@jucheismo</v>
      </c>
      <c r="C8565" s="8" t="s">
        <v>18735</v>
      </c>
      <c r="D8565" s="8" t="s">
        <v>18733</v>
      </c>
      <c r="E8565" s="9" t="str">
        <f aca="false">HYPERLINK("https://twitter.com/jucheismo/status/922999449088962560","922999449088962560")</f>
        <v>922999449088962560</v>
      </c>
      <c r="F8565" s="10" t="s">
        <v>39</v>
      </c>
      <c r="G8565" s="10" t="n">
        <v>1190</v>
      </c>
      <c r="H8565" s="10" t="n">
        <v>2406</v>
      </c>
      <c r="I8565" s="10" t="n">
        <v>28</v>
      </c>
      <c r="J8565" s="10" t="n">
        <v>0</v>
      </c>
      <c r="K8565" s="10" t="s">
        <v>20</v>
      </c>
      <c r="L8565" s="11" t="n">
        <v>40724.7953240741</v>
      </c>
      <c r="M8565" s="12" t="s">
        <v>18736</v>
      </c>
      <c r="N8565" s="12" t="s">
        <v>18737</v>
      </c>
      <c r="O8565" s="9" t="str">
        <f aca="false">HYPERLINK("https://pbs.twimg.com/profile_images/834758263690387456/NaRE1kPX_normal.jpg","View")</f>
        <v>View</v>
      </c>
      <c r="P8565" s="10"/>
    </row>
    <row r="8566" customFormat="false" ht="15.75" hidden="false" customHeight="false" outlineLevel="0" collapsed="false">
      <c r="A8566" s="6" t="n">
        <v>43032.7730902778</v>
      </c>
      <c r="B8566" s="7" t="str">
        <f aca="false">HYPERLINK("https://twitter.com/HAYAtomoyuki","@HAYAtomoyuki")</f>
        <v>@HAYAtomoyuki</v>
      </c>
      <c r="C8566" s="14" t="s">
        <v>18738</v>
      </c>
      <c r="D8566" s="8" t="s">
        <v>18733</v>
      </c>
      <c r="E8566" s="9" t="str">
        <f aca="false">HYPERLINK("https://twitter.com/HAYAtomoyuki/status/922999462686998528","922999462686998528")</f>
        <v>922999462686998528</v>
      </c>
      <c r="F8566" s="10" t="s">
        <v>51</v>
      </c>
      <c r="G8566" s="10" t="n">
        <v>228</v>
      </c>
      <c r="H8566" s="10" t="n">
        <v>800</v>
      </c>
      <c r="I8566" s="10" t="n">
        <v>28</v>
      </c>
      <c r="J8566" s="10" t="n">
        <v>0</v>
      </c>
      <c r="K8566" s="10" t="s">
        <v>20</v>
      </c>
      <c r="L8566" s="11" t="n">
        <v>40980.341099537</v>
      </c>
      <c r="M8566" s="13" t="s">
        <v>18739</v>
      </c>
      <c r="N8566" s="12" t="s">
        <v>18740</v>
      </c>
      <c r="O8566" s="9" t="str">
        <f aca="false">HYPERLINK("https://pbs.twimg.com/profile_images/2493827993/63ppfi7y0b5pw5a8jjbz_normal.jpeg","View")</f>
        <v>View</v>
      </c>
      <c r="P8566" s="10"/>
    </row>
    <row r="8567" customFormat="false" ht="15.75" hidden="false" customHeight="false" outlineLevel="0" collapsed="false">
      <c r="A8567" s="6" t="n">
        <v>43032.7731365741</v>
      </c>
      <c r="B8567" s="7" t="str">
        <f aca="false">HYPERLINK("https://twitter.com/swissifg","@swissifg")</f>
        <v>@swissifg</v>
      </c>
      <c r="C8567" s="8" t="s">
        <v>247</v>
      </c>
      <c r="D8567" s="8" t="s">
        <v>18741</v>
      </c>
      <c r="E8567" s="9" t="str">
        <f aca="false">HYPERLINK("https://twitter.com/swissifg/status/922999482605645824","922999482605645824")</f>
        <v>922999482605645824</v>
      </c>
      <c r="F8567" s="10" t="s">
        <v>60</v>
      </c>
      <c r="G8567" s="10" t="n">
        <v>1202</v>
      </c>
      <c r="H8567" s="10" t="n">
        <v>670</v>
      </c>
      <c r="I8567" s="10" t="n">
        <v>0</v>
      </c>
      <c r="J8567" s="10" t="n">
        <v>0</v>
      </c>
      <c r="K8567" s="10" t="s">
        <v>20</v>
      </c>
      <c r="L8567" s="11" t="n">
        <v>42499.2341087963</v>
      </c>
      <c r="M8567" s="12" t="s">
        <v>249</v>
      </c>
      <c r="N8567" s="12" t="s">
        <v>250</v>
      </c>
      <c r="O8567" s="9" t="str">
        <f aca="false">HYPERLINK("https://pbs.twimg.com/profile_images/729681805088063489/N4ls5vb8_normal.jpg","View")</f>
        <v>View</v>
      </c>
      <c r="P8567" s="10"/>
    </row>
    <row r="8568" customFormat="false" ht="15.75" hidden="false" customHeight="false" outlineLevel="0" collapsed="false">
      <c r="A8568" s="6" t="n">
        <v>43032.7732060185</v>
      </c>
      <c r="B8568" s="7" t="str">
        <f aca="false">HYPERLINK("https://twitter.com/kanazawakyoko","@kanazawakyoko")</f>
        <v>@kanazawakyoko</v>
      </c>
      <c r="C8568" s="14" t="s">
        <v>18728</v>
      </c>
      <c r="D8568" s="8" t="s">
        <v>18742</v>
      </c>
      <c r="E8568" s="9" t="str">
        <f aca="false">HYPERLINK("https://twitter.com/kanazawakyoko/status/922999506827853824","922999506827853824")</f>
        <v>922999506827853824</v>
      </c>
      <c r="F8568" s="10" t="s">
        <v>39</v>
      </c>
      <c r="G8568" s="10" t="n">
        <v>4953</v>
      </c>
      <c r="H8568" s="10" t="n">
        <v>5175</v>
      </c>
      <c r="I8568" s="10" t="n">
        <v>0</v>
      </c>
      <c r="J8568" s="10" t="n">
        <v>0</v>
      </c>
      <c r="K8568" s="10" t="s">
        <v>20</v>
      </c>
      <c r="L8568" s="11" t="n">
        <v>40743.8238888889</v>
      </c>
      <c r="M8568" s="13" t="s">
        <v>18729</v>
      </c>
      <c r="N8568" s="13" t="s">
        <v>18730</v>
      </c>
      <c r="O8568" s="9" t="str">
        <f aca="false">HYPERLINK("https://pbs.twimg.com/profile_images/922345590519762944/OIoxCx_h_normal.jpg","View")</f>
        <v>View</v>
      </c>
      <c r="P8568" s="10"/>
    </row>
    <row r="8569" customFormat="false" ht="15.75" hidden="false" customHeight="false" outlineLevel="0" collapsed="false">
      <c r="A8569" s="6" t="n">
        <v>43032.7733796296</v>
      </c>
      <c r="B8569" s="7" t="str">
        <f aca="false">HYPERLINK("https://twitter.com/KarrenEricson","@KarrenEricson")</f>
        <v>@KarrenEricson</v>
      </c>
      <c r="C8569" s="8" t="s">
        <v>18743</v>
      </c>
      <c r="D8569" s="8" t="s">
        <v>18733</v>
      </c>
      <c r="E8569" s="9" t="str">
        <f aca="false">HYPERLINK("https://twitter.com/KarrenEricson/status/922999568953892864","922999568953892864")</f>
        <v>922999568953892864</v>
      </c>
      <c r="F8569" s="10" t="s">
        <v>51</v>
      </c>
      <c r="G8569" s="10" t="n">
        <v>87</v>
      </c>
      <c r="H8569" s="10" t="n">
        <v>107</v>
      </c>
      <c r="I8569" s="10" t="n">
        <v>28</v>
      </c>
      <c r="J8569" s="10" t="n">
        <v>0</v>
      </c>
      <c r="K8569" s="10" t="s">
        <v>20</v>
      </c>
      <c r="L8569" s="11" t="n">
        <v>41320.5418981481</v>
      </c>
      <c r="M8569" s="12" t="s">
        <v>4839</v>
      </c>
      <c r="N8569" s="12" t="s">
        <v>18744</v>
      </c>
      <c r="O8569" s="9" t="str">
        <f aca="false">HYPERLINK("https://pbs.twimg.com/profile_images/378800000700646625/89486383562871c73d632803670c74d1_normal.jpeg","View")</f>
        <v>View</v>
      </c>
      <c r="P8569" s="10"/>
    </row>
    <row r="8570" customFormat="false" ht="15.75" hidden="false" customHeight="false" outlineLevel="0" collapsed="false">
      <c r="A8570" s="6" t="n">
        <v>43032.7734375</v>
      </c>
      <c r="B8570" s="7" t="str">
        <f aca="false">HYPERLINK("https://twitter.com/ameenusnasidi1","@ameenusnasidi1")</f>
        <v>@ameenusnasidi1</v>
      </c>
      <c r="C8570" s="8" t="s">
        <v>18745</v>
      </c>
      <c r="D8570" s="8" t="s">
        <v>18733</v>
      </c>
      <c r="E8570" s="9" t="str">
        <f aca="false">HYPERLINK("https://twitter.com/ameenusnasidi1/status/922999589359173632","922999589359173632")</f>
        <v>922999589359173632</v>
      </c>
      <c r="F8570" s="10" t="s">
        <v>51</v>
      </c>
      <c r="G8570" s="10" t="n">
        <v>75</v>
      </c>
      <c r="H8570" s="10" t="n">
        <v>313</v>
      </c>
      <c r="I8570" s="10" t="n">
        <v>28</v>
      </c>
      <c r="J8570" s="10" t="n">
        <v>0</v>
      </c>
      <c r="K8570" s="10" t="s">
        <v>20</v>
      </c>
      <c r="L8570" s="11" t="n">
        <v>42655.7519907407</v>
      </c>
      <c r="M8570" s="12"/>
      <c r="N8570" s="12"/>
      <c r="O8570" s="9" t="str">
        <f aca="false">HYPERLINK("https://pbs.twimg.com/profile_images/893632936645406720/hZqBAkC0_normal.jpg","View")</f>
        <v>View</v>
      </c>
      <c r="P8570" s="10"/>
    </row>
    <row r="8571" customFormat="false" ht="15.75" hidden="false" customHeight="false" outlineLevel="0" collapsed="false">
      <c r="A8571" s="6" t="n">
        <v>43032.77375</v>
      </c>
      <c r="B8571" s="7" t="str">
        <f aca="false">HYPERLINK("https://twitter.com/bdnews24","@bdnews24")</f>
        <v>@bdnews24</v>
      </c>
      <c r="C8571" s="8" t="s">
        <v>216</v>
      </c>
      <c r="D8571" s="8" t="s">
        <v>18746</v>
      </c>
      <c r="E8571" s="9" t="str">
        <f aca="false">HYPERLINK("https://twitter.com/bdnews24/status/922999701997158400","922999701997158400")</f>
        <v>922999701997158400</v>
      </c>
      <c r="F8571" s="10" t="s">
        <v>60</v>
      </c>
      <c r="G8571" s="10" t="n">
        <v>215604</v>
      </c>
      <c r="H8571" s="10" t="n">
        <v>67887</v>
      </c>
      <c r="I8571" s="10" t="n">
        <v>0</v>
      </c>
      <c r="J8571" s="10" t="n">
        <v>0</v>
      </c>
      <c r="K8571" s="10" t="s">
        <v>20</v>
      </c>
      <c r="L8571" s="11" t="n">
        <v>39844.4680439815</v>
      </c>
      <c r="M8571" s="12" t="s">
        <v>218</v>
      </c>
      <c r="N8571" s="12" t="s">
        <v>219</v>
      </c>
      <c r="O8571" s="9" t="str">
        <f aca="false">HYPERLINK("https://pbs.twimg.com/profile_images/718433521509994497/4iW9RC_r_normal.jpg","View")</f>
        <v>View</v>
      </c>
      <c r="P8571" s="10"/>
    </row>
    <row r="8572" customFormat="false" ht="15.75" hidden="false" customHeight="false" outlineLevel="0" collapsed="false">
      <c r="A8572" s="6" t="n">
        <v>43032.7740046296</v>
      </c>
      <c r="B8572" s="7" t="str">
        <f aca="false">HYPERLINK("https://twitter.com/prepzilla","@prepzilla")</f>
        <v>@prepzilla</v>
      </c>
      <c r="C8572" s="8" t="s">
        <v>235</v>
      </c>
      <c r="D8572" s="8" t="s">
        <v>18747</v>
      </c>
      <c r="E8572" s="9" t="str">
        <f aca="false">HYPERLINK("https://twitter.com/prepzilla/status/922999794569580544","922999794569580544")</f>
        <v>922999794569580544</v>
      </c>
      <c r="F8572" s="10" t="s">
        <v>60</v>
      </c>
      <c r="G8572" s="10" t="n">
        <v>7686</v>
      </c>
      <c r="H8572" s="10" t="n">
        <v>477</v>
      </c>
      <c r="I8572" s="10" t="n">
        <v>0</v>
      </c>
      <c r="J8572" s="10" t="n">
        <v>0</v>
      </c>
      <c r="K8572" s="10" t="s">
        <v>20</v>
      </c>
      <c r="L8572" s="11" t="n">
        <v>41299.7417361111</v>
      </c>
      <c r="M8572" s="12" t="s">
        <v>237</v>
      </c>
      <c r="N8572" s="12" t="s">
        <v>238</v>
      </c>
      <c r="O8572" s="9" t="str">
        <f aca="false">HYPERLINK("https://pbs.twimg.com/profile_images/900797880516005888/1bWN5qbC_normal.jpg","View")</f>
        <v>View</v>
      </c>
      <c r="P8572" s="10"/>
    </row>
    <row r="8573" customFormat="false" ht="15.75" hidden="false" customHeight="false" outlineLevel="0" collapsed="false">
      <c r="A8573" s="6" t="n">
        <v>43032.7740046296</v>
      </c>
      <c r="B8573" s="7" t="str">
        <f aca="false">HYPERLINK("https://twitter.com/FallySomboNkhwa","@FallySomboNkhwa")</f>
        <v>@FallySomboNkhwa</v>
      </c>
      <c r="C8573" s="8" t="s">
        <v>260</v>
      </c>
      <c r="D8573" s="8" t="s">
        <v>18748</v>
      </c>
      <c r="E8573" s="9" t="str">
        <f aca="false">HYPERLINK("https://twitter.com/FallySomboNkhwa/status/922999796834582528","922999796834582528")</f>
        <v>922999796834582528</v>
      </c>
      <c r="F8573" s="10" t="s">
        <v>60</v>
      </c>
      <c r="G8573" s="10" t="n">
        <v>421</v>
      </c>
      <c r="H8573" s="10" t="n">
        <v>2195</v>
      </c>
      <c r="I8573" s="10" t="n">
        <v>0</v>
      </c>
      <c r="J8573" s="10" t="n">
        <v>0</v>
      </c>
      <c r="K8573" s="10" t="s">
        <v>20</v>
      </c>
      <c r="L8573" s="11" t="n">
        <v>41551.8204166667</v>
      </c>
      <c r="M8573" s="12" t="s">
        <v>262</v>
      </c>
      <c r="N8573" s="12" t="s">
        <v>263</v>
      </c>
      <c r="O8573" s="9" t="str">
        <f aca="false">HYPERLINK("https://pbs.twimg.com/profile_images/543761133505503235/pKcg8bc2_normal.jpeg","View")</f>
        <v>View</v>
      </c>
      <c r="P8573" s="10"/>
    </row>
    <row r="8574" customFormat="false" ht="15.75" hidden="false" customHeight="false" outlineLevel="0" collapsed="false">
      <c r="A8574" s="6" t="n">
        <v>43032.7747337963</v>
      </c>
      <c r="B8574" s="7" t="str">
        <f aca="false">HYPERLINK("https://twitter.com/jaimeotero_","@jaimeotero_")</f>
        <v>@jaimeotero_</v>
      </c>
      <c r="C8574" s="8" t="s">
        <v>205</v>
      </c>
      <c r="D8574" s="8" t="s">
        <v>18749</v>
      </c>
      <c r="E8574" s="9" t="str">
        <f aca="false">HYPERLINK("https://twitter.com/jaimeotero_/status/923000059473543168","923000059473543168")</f>
        <v>923000059473543168</v>
      </c>
      <c r="F8574" s="10" t="s">
        <v>60</v>
      </c>
      <c r="G8574" s="10" t="n">
        <v>34492</v>
      </c>
      <c r="H8574" s="10" t="n">
        <v>31252</v>
      </c>
      <c r="I8574" s="10" t="n">
        <v>0</v>
      </c>
      <c r="J8574" s="10" t="n">
        <v>0</v>
      </c>
      <c r="K8574" s="10" t="s">
        <v>20</v>
      </c>
      <c r="L8574" s="11" t="n">
        <v>42531.0121990741</v>
      </c>
      <c r="M8574" s="12" t="s">
        <v>207</v>
      </c>
      <c r="N8574" s="12" t="s">
        <v>208</v>
      </c>
      <c r="O8574" s="9" t="str">
        <f aca="false">HYPERLINK("https://pbs.twimg.com/profile_images/849817561281818626/acAU04SD_normal.jpg","View")</f>
        <v>View</v>
      </c>
      <c r="P8574" s="10"/>
    </row>
    <row r="8575" customFormat="false" ht="15.75" hidden="false" customHeight="false" outlineLevel="0" collapsed="false">
      <c r="A8575" s="6" t="n">
        <v>43032.7751736111</v>
      </c>
      <c r="B8575" s="7" t="str">
        <f aca="false">HYPERLINK("https://twitter.com/shailendra_nair","@shailendra_nair")</f>
        <v>@shailendra_nair</v>
      </c>
      <c r="C8575" s="8" t="s">
        <v>251</v>
      </c>
      <c r="D8575" s="8" t="s">
        <v>18750</v>
      </c>
      <c r="E8575" s="9" t="str">
        <f aca="false">HYPERLINK("https://twitter.com/shailendra_nair/status/923000221377888256","923000221377888256")</f>
        <v>923000221377888256</v>
      </c>
      <c r="F8575" s="10" t="s">
        <v>60</v>
      </c>
      <c r="G8575" s="10" t="n">
        <v>3987</v>
      </c>
      <c r="H8575" s="10" t="n">
        <v>1042</v>
      </c>
      <c r="I8575" s="10" t="n">
        <v>0</v>
      </c>
      <c r="J8575" s="10" t="n">
        <v>0</v>
      </c>
      <c r="K8575" s="10" t="s">
        <v>20</v>
      </c>
      <c r="L8575" s="11" t="n">
        <v>40362.4379861111</v>
      </c>
      <c r="M8575" s="12" t="s">
        <v>253</v>
      </c>
      <c r="N8575" s="12" t="s">
        <v>254</v>
      </c>
      <c r="O8575" s="9" t="str">
        <f aca="false">HYPERLINK("https://pbs.twimg.com/profile_images/884758468879466497/M_w6UjD3_normal.jpg","View")</f>
        <v>View</v>
      </c>
      <c r="P8575" s="10"/>
    </row>
    <row r="8576" customFormat="false" ht="15.75" hidden="false" customHeight="false" outlineLevel="0" collapsed="false">
      <c r="A8576" s="6" t="n">
        <v>43032.7751851852</v>
      </c>
      <c r="B8576" s="7" t="str">
        <f aca="false">HYPERLINK("https://twitter.com/gianlucagdc","@gianlucagdc")</f>
        <v>@gianlucagdc</v>
      </c>
      <c r="C8576" s="8" t="s">
        <v>18751</v>
      </c>
      <c r="D8576" s="8" t="s">
        <v>18733</v>
      </c>
      <c r="E8576" s="9" t="str">
        <f aca="false">HYPERLINK("https://twitter.com/gianlucagdc/status/923000222984306688","923000222984306688")</f>
        <v>923000222984306688</v>
      </c>
      <c r="F8576" s="10" t="s">
        <v>51</v>
      </c>
      <c r="G8576" s="10" t="n">
        <v>956</v>
      </c>
      <c r="H8576" s="10" t="n">
        <v>222</v>
      </c>
      <c r="I8576" s="10" t="n">
        <v>28</v>
      </c>
      <c r="J8576" s="10" t="n">
        <v>0</v>
      </c>
      <c r="K8576" s="10" t="s">
        <v>20</v>
      </c>
      <c r="L8576" s="11" t="n">
        <v>40831.367650463</v>
      </c>
      <c r="M8576" s="12" t="s">
        <v>18752</v>
      </c>
      <c r="N8576" s="12" t="s">
        <v>18753</v>
      </c>
      <c r="O8576" s="9" t="str">
        <f aca="false">HYPERLINK("https://pbs.twimg.com/profile_images/791353203933741057/qGDlZjB4_normal.jpg","View")</f>
        <v>View</v>
      </c>
      <c r="P8576" s="10"/>
    </row>
    <row r="8577" customFormat="false" ht="15.75" hidden="false" customHeight="false" outlineLevel="0" collapsed="false">
      <c r="A8577" s="6" t="n">
        <v>43032.7758912037</v>
      </c>
      <c r="B8577" s="7" t="str">
        <f aca="false">HYPERLINK("https://twitter.com/mlnangalama","@mlnangalama")</f>
        <v>@mlnangalama</v>
      </c>
      <c r="C8577" s="8" t="s">
        <v>255</v>
      </c>
      <c r="D8577" s="8" t="s">
        <v>18754</v>
      </c>
      <c r="E8577" s="9" t="str">
        <f aca="false">HYPERLINK("https://twitter.com/mlnangalama/status/923000479256231936","923000479256231936")</f>
        <v>923000479256231936</v>
      </c>
      <c r="F8577" s="10" t="s">
        <v>60</v>
      </c>
      <c r="G8577" s="10" t="n">
        <v>2370</v>
      </c>
      <c r="H8577" s="10" t="n">
        <v>1584</v>
      </c>
      <c r="I8577" s="10" t="n">
        <v>0</v>
      </c>
      <c r="J8577" s="10" t="n">
        <v>0</v>
      </c>
      <c r="K8577" s="10" t="s">
        <v>20</v>
      </c>
      <c r="L8577" s="11" t="n">
        <v>41041.5437847222</v>
      </c>
      <c r="M8577" s="12" t="s">
        <v>257</v>
      </c>
      <c r="N8577" s="12" t="s">
        <v>258</v>
      </c>
      <c r="O8577" s="9" t="str">
        <f aca="false">HYPERLINK("https://pbs.twimg.com/profile_images/900915882444173313/biUHzvpx_normal.jpg","View")</f>
        <v>View</v>
      </c>
      <c r="P8577" s="10"/>
    </row>
    <row r="8578" customFormat="false" ht="15.75" hidden="false" customHeight="false" outlineLevel="0" collapsed="false">
      <c r="A8578" s="6" t="n">
        <v>43032.7780439815</v>
      </c>
      <c r="B8578" s="7" t="str">
        <f aca="false">HYPERLINK("https://twitter.com/Tekki_VR","@Tekki_VR")</f>
        <v>@Tekki_VR</v>
      </c>
      <c r="C8578" s="8" t="s">
        <v>225</v>
      </c>
      <c r="D8578" s="8" t="s">
        <v>18755</v>
      </c>
      <c r="E8578" s="9" t="str">
        <f aca="false">HYPERLINK("https://twitter.com/Tekki_VR/status/923001258859827200","923001258859827200")</f>
        <v>923001258859827200</v>
      </c>
      <c r="F8578" s="10" t="s">
        <v>60</v>
      </c>
      <c r="G8578" s="10" t="n">
        <v>1895</v>
      </c>
      <c r="H8578" s="10" t="n">
        <v>2479</v>
      </c>
      <c r="I8578" s="10" t="n">
        <v>0</v>
      </c>
      <c r="J8578" s="10" t="n">
        <v>0</v>
      </c>
      <c r="K8578" s="10" t="s">
        <v>20</v>
      </c>
      <c r="L8578" s="11" t="n">
        <v>42263.5455324074</v>
      </c>
      <c r="M8578" s="12" t="s">
        <v>227</v>
      </c>
      <c r="N8578" s="12" t="s">
        <v>228</v>
      </c>
      <c r="O8578" s="9" t="str">
        <f aca="false">HYPERLINK("https://pbs.twimg.com/profile_images/760662770694098944/h1nSBfE8_normal.jpg","View")</f>
        <v>View</v>
      </c>
      <c r="P8578" s="10"/>
    </row>
    <row r="8579" customFormat="false" ht="15.75" hidden="false" customHeight="false" outlineLevel="0" collapsed="false">
      <c r="A8579" s="6" t="n">
        <v>43032.7781828704</v>
      </c>
      <c r="B8579" s="7" t="str">
        <f aca="false">HYPERLINK("https://twitter.com/Bullish","@Bullish")</f>
        <v>@Bullish</v>
      </c>
      <c r="C8579" s="8" t="s">
        <v>223</v>
      </c>
      <c r="D8579" s="8" t="s">
        <v>18756</v>
      </c>
      <c r="E8579" s="9" t="str">
        <f aca="false">HYPERLINK("https://twitter.com/Bullish/status/923001308293996544","923001308293996544")</f>
        <v>923001308293996544</v>
      </c>
      <c r="F8579" s="10" t="s">
        <v>60</v>
      </c>
      <c r="G8579" s="10" t="n">
        <v>184</v>
      </c>
      <c r="H8579" s="10" t="n">
        <v>87</v>
      </c>
      <c r="I8579" s="10" t="n">
        <v>0</v>
      </c>
      <c r="J8579" s="10" t="n">
        <v>0</v>
      </c>
      <c r="K8579" s="10" t="s">
        <v>20</v>
      </c>
      <c r="L8579" s="11" t="n">
        <v>42618.7530439815</v>
      </c>
      <c r="M8579" s="12"/>
      <c r="N8579" s="12"/>
      <c r="O8579" s="9" t="str">
        <f aca="false">HYPERLINK("https://pbs.twimg.com/profile_images/798692093736599552/UikI9dNE_normal.jpg","View")</f>
        <v>View</v>
      </c>
      <c r="P8579" s="10"/>
    </row>
    <row r="8580" customFormat="false" ht="15.75" hidden="false" customHeight="false" outlineLevel="0" collapsed="false">
      <c r="A8580" s="6" t="n">
        <v>43032.7803935185</v>
      </c>
      <c r="B8580" s="7" t="str">
        <f aca="false">HYPERLINK("https://twitter.com/AnneKMcCurdy","@AnneKMcCurdy")</f>
        <v>@AnneKMcCurdy</v>
      </c>
      <c r="C8580" s="8" t="s">
        <v>18757</v>
      </c>
      <c r="D8580" s="8" t="s">
        <v>18733</v>
      </c>
      <c r="E8580" s="9" t="str">
        <f aca="false">HYPERLINK("https://twitter.com/AnneKMcCurdy/status/923002109871529984","923002109871529984")</f>
        <v>923002109871529984</v>
      </c>
      <c r="F8580" s="10" t="s">
        <v>2620</v>
      </c>
      <c r="G8580" s="10" t="n">
        <v>88</v>
      </c>
      <c r="H8580" s="10" t="n">
        <v>117</v>
      </c>
      <c r="I8580" s="10" t="n">
        <v>28</v>
      </c>
      <c r="J8580" s="10" t="n">
        <v>0</v>
      </c>
      <c r="K8580" s="10" t="s">
        <v>20</v>
      </c>
      <c r="L8580" s="11" t="n">
        <v>41430.276099537</v>
      </c>
      <c r="M8580" s="12" t="s">
        <v>18758</v>
      </c>
      <c r="N8580" s="12" t="s">
        <v>18759</v>
      </c>
      <c r="O8580" s="9" t="str">
        <f aca="false">HYPERLINK("https://pbs.twimg.com/profile_images/856220332688101376/XPwGF1vE_normal.jpg","View")</f>
        <v>View</v>
      </c>
      <c r="P8580" s="10"/>
    </row>
    <row r="8581" customFormat="false" ht="15.75" hidden="false" customHeight="false" outlineLevel="0" collapsed="false">
      <c r="A8581" s="6" t="n">
        <v>43032.7808101852</v>
      </c>
      <c r="B8581" s="7" t="str">
        <f aca="false">HYPERLINK("https://twitter.com/miriamroiz","@miriamroiz")</f>
        <v>@miriamroiz</v>
      </c>
      <c r="C8581" s="8" t="s">
        <v>18760</v>
      </c>
      <c r="D8581" s="8" t="s">
        <v>18733</v>
      </c>
      <c r="E8581" s="9" t="str">
        <f aca="false">HYPERLINK("https://twitter.com/miriamroiz/status/923002260379938816","923002260379938816")</f>
        <v>923002260379938816</v>
      </c>
      <c r="F8581" s="10" t="s">
        <v>25</v>
      </c>
      <c r="G8581" s="10" t="n">
        <v>815</v>
      </c>
      <c r="H8581" s="10" t="n">
        <v>1956</v>
      </c>
      <c r="I8581" s="10" t="n">
        <v>28</v>
      </c>
      <c r="J8581" s="10" t="n">
        <v>0</v>
      </c>
      <c r="K8581" s="10" t="s">
        <v>20</v>
      </c>
      <c r="L8581" s="11" t="n">
        <v>40510.4886111111</v>
      </c>
      <c r="M8581" s="12" t="s">
        <v>18761</v>
      </c>
      <c r="N8581" s="12" t="s">
        <v>18762</v>
      </c>
      <c r="O8581" s="9" t="str">
        <f aca="false">HYPERLINK("https://pbs.twimg.com/profile_images/919621740950687744/lmVBDBxq_normal.jpg","View")</f>
        <v>View</v>
      </c>
      <c r="P8581" s="10"/>
    </row>
    <row r="8582" customFormat="false" ht="15.75" hidden="false" customHeight="false" outlineLevel="0" collapsed="false">
      <c r="A8582" s="6" t="n">
        <v>43032.782037037</v>
      </c>
      <c r="B8582" s="7" t="str">
        <f aca="false">HYPERLINK("https://twitter.com/BloombergTV","@BloombergTV")</f>
        <v>@BloombergTV</v>
      </c>
      <c r="C8582" s="8" t="s">
        <v>317</v>
      </c>
      <c r="D8582" s="8" t="s">
        <v>18763</v>
      </c>
      <c r="E8582" s="9" t="str">
        <f aca="false">HYPERLINK("https://twitter.com/BloombergTV/status/923002708331810816","923002708331810816")</f>
        <v>923002708331810816</v>
      </c>
      <c r="F8582" s="10" t="s">
        <v>268</v>
      </c>
      <c r="G8582" s="10" t="n">
        <v>452918</v>
      </c>
      <c r="H8582" s="10" t="n">
        <v>458</v>
      </c>
      <c r="I8582" s="10" t="n">
        <v>6</v>
      </c>
      <c r="J8582" s="10" t="n">
        <v>7</v>
      </c>
      <c r="K8582" s="10" t="s">
        <v>20</v>
      </c>
      <c r="L8582" s="11" t="n">
        <v>39927.4899768519</v>
      </c>
      <c r="M8582" s="12" t="s">
        <v>319</v>
      </c>
      <c r="N8582" s="12" t="s">
        <v>320</v>
      </c>
      <c r="O8582" s="9" t="str">
        <f aca="false">HYPERLINK("https://pbs.twimg.com/profile_images/714801760632770560/7My2hMBt_normal.jpg","View")</f>
        <v>View</v>
      </c>
      <c r="P8582" s="10"/>
    </row>
    <row r="8583" customFormat="false" ht="15.75" hidden="false" customHeight="false" outlineLevel="0" collapsed="false">
      <c r="A8583" s="6" t="n">
        <v>43032.7831018519</v>
      </c>
      <c r="B8583" s="7" t="str">
        <f aca="false">HYPERLINK("https://twitter.com/batt1972","@batt1972")</f>
        <v>@batt1972</v>
      </c>
      <c r="C8583" s="8" t="s">
        <v>18445</v>
      </c>
      <c r="D8583" s="8" t="s">
        <v>18764</v>
      </c>
      <c r="E8583" s="9" t="str">
        <f aca="false">HYPERLINK("https://twitter.com/batt1972/status/923003092034994176","923003092034994176")</f>
        <v>923003092034994176</v>
      </c>
      <c r="F8583" s="10" t="s">
        <v>51</v>
      </c>
      <c r="G8583" s="10" t="n">
        <v>11072</v>
      </c>
      <c r="H8583" s="10" t="n">
        <v>270</v>
      </c>
      <c r="I8583" s="10" t="n">
        <v>6</v>
      </c>
      <c r="J8583" s="10" t="n">
        <v>0</v>
      </c>
      <c r="K8583" s="10" t="s">
        <v>20</v>
      </c>
      <c r="L8583" s="11" t="n">
        <v>41296.7126851852</v>
      </c>
      <c r="M8583" s="12" t="s">
        <v>2296</v>
      </c>
      <c r="N8583" s="12" t="s">
        <v>18446</v>
      </c>
      <c r="O8583" s="9" t="str">
        <f aca="false">HYPERLINK("https://pbs.twimg.com/profile_images/912977788424011776/vDE1yxVm_normal.jpg","View")</f>
        <v>View</v>
      </c>
      <c r="P8583" s="10"/>
    </row>
    <row r="8584" customFormat="false" ht="15.75" hidden="false" customHeight="false" outlineLevel="0" collapsed="false">
      <c r="A8584" s="6" t="n">
        <v>43032.7840509259</v>
      </c>
      <c r="B8584" s="7" t="str">
        <f aca="false">HYPERLINK("https://twitter.com/art_radnaa","@art_radnaa")</f>
        <v>@art_radnaa</v>
      </c>
      <c r="C8584" s="8" t="s">
        <v>18765</v>
      </c>
      <c r="D8584" s="8" t="s">
        <v>18733</v>
      </c>
      <c r="E8584" s="9" t="str">
        <f aca="false">HYPERLINK("https://twitter.com/art_radnaa/status/923003435607138304","923003435607138304")</f>
        <v>923003435607138304</v>
      </c>
      <c r="F8584" s="10" t="s">
        <v>98</v>
      </c>
      <c r="G8584" s="10" t="n">
        <v>7845</v>
      </c>
      <c r="H8584" s="10" t="n">
        <v>601</v>
      </c>
      <c r="I8584" s="10" t="n">
        <v>28</v>
      </c>
      <c r="J8584" s="10" t="n">
        <v>0</v>
      </c>
      <c r="K8584" s="10" t="s">
        <v>20</v>
      </c>
      <c r="L8584" s="11" t="n">
        <v>40913.8371296296</v>
      </c>
      <c r="M8584" s="12" t="s">
        <v>18766</v>
      </c>
      <c r="N8584" s="12" t="s">
        <v>18767</v>
      </c>
      <c r="O8584" s="9" t="str">
        <f aca="false">HYPERLINK("https://pbs.twimg.com/profile_images/482072945657782272/D7v-D_Q2_normal.jpeg","View")</f>
        <v>View</v>
      </c>
      <c r="P8584" s="10"/>
    </row>
    <row r="8585" customFormat="false" ht="15.75" hidden="false" customHeight="false" outlineLevel="0" collapsed="false">
      <c r="A8585" s="6" t="n">
        <v>43032.7841782407</v>
      </c>
      <c r="B8585" s="7" t="str">
        <f aca="false">HYPERLINK("https://twitter.com/HotHonduran","@HotHonduran")</f>
        <v>@HotHonduran</v>
      </c>
      <c r="C8585" s="8" t="s">
        <v>18768</v>
      </c>
      <c r="D8585" s="8" t="s">
        <v>18764</v>
      </c>
      <c r="E8585" s="9" t="str">
        <f aca="false">HYPERLINK("https://twitter.com/HotHonduran/status/923003482457612291","923003482457612291")</f>
        <v>923003482457612291</v>
      </c>
      <c r="F8585" s="10" t="s">
        <v>25</v>
      </c>
      <c r="G8585" s="10" t="n">
        <v>1315</v>
      </c>
      <c r="H8585" s="10" t="n">
        <v>4010</v>
      </c>
      <c r="I8585" s="10" t="n">
        <v>6</v>
      </c>
      <c r="J8585" s="10" t="n">
        <v>0</v>
      </c>
      <c r="K8585" s="10" t="s">
        <v>20</v>
      </c>
      <c r="L8585" s="11" t="n">
        <v>40854.3110532407</v>
      </c>
      <c r="M8585" s="12"/>
      <c r="N8585" s="12" t="s">
        <v>18769</v>
      </c>
      <c r="O8585" s="9" t="str">
        <f aca="false">HYPERLINK("https://pbs.twimg.com/profile_images/378800000303690874/b240639c784f5801645ea4fbda859da0_normal.jpeg","View")</f>
        <v>View</v>
      </c>
      <c r="P8585" s="10"/>
    </row>
    <row r="8586" customFormat="false" ht="15.75" hidden="false" customHeight="false" outlineLevel="0" collapsed="false">
      <c r="A8586" s="6" t="n">
        <v>43032.7847106482</v>
      </c>
      <c r="B8586" s="7" t="str">
        <f aca="false">HYPERLINK("https://twitter.com/exceed007","@exceed007")</f>
        <v>@exceed007</v>
      </c>
      <c r="C8586" s="8" t="s">
        <v>18770</v>
      </c>
      <c r="D8586" s="8" t="s">
        <v>18617</v>
      </c>
      <c r="E8586" s="9" t="str">
        <f aca="false">HYPERLINK("https://twitter.com/exceed007/status/923003675424862210","923003675424862210")</f>
        <v>923003675424862210</v>
      </c>
      <c r="F8586" s="10" t="s">
        <v>51</v>
      </c>
      <c r="G8586" s="10" t="n">
        <v>79</v>
      </c>
      <c r="H8586" s="10" t="n">
        <v>140</v>
      </c>
      <c r="I8586" s="10" t="n">
        <v>47</v>
      </c>
      <c r="J8586" s="10" t="n">
        <v>0</v>
      </c>
      <c r="K8586" s="10" t="s">
        <v>20</v>
      </c>
      <c r="L8586" s="11" t="n">
        <v>41897.9513657407</v>
      </c>
      <c r="M8586" s="12" t="s">
        <v>15242</v>
      </c>
      <c r="N8586" s="13" t="s">
        <v>18771</v>
      </c>
      <c r="O8586" s="9" t="str">
        <f aca="false">HYPERLINK("https://pbs.twimg.com/profile_images/511757977015959552/2ib27XFg_normal.jpeg","View")</f>
        <v>View</v>
      </c>
      <c r="P8586" s="10"/>
    </row>
    <row r="8587" customFormat="false" ht="15.75" hidden="false" customHeight="false" outlineLevel="0" collapsed="false">
      <c r="A8587" s="6" t="n">
        <v>43032.7853587963</v>
      </c>
      <c r="B8587" s="7" t="str">
        <f aca="false">HYPERLINK("https://twitter.com/BeYour0wnLeader","@BeYour0wnLeader")</f>
        <v>@BeYour0wnLeader</v>
      </c>
      <c r="C8587" s="8" t="s">
        <v>18772</v>
      </c>
      <c r="D8587" s="8" t="s">
        <v>18764</v>
      </c>
      <c r="E8587" s="9" t="str">
        <f aca="false">HYPERLINK("https://twitter.com/BeYour0wnLeader/status/923003910557646849","923003910557646849")</f>
        <v>923003910557646849</v>
      </c>
      <c r="F8587" s="10" t="s">
        <v>276</v>
      </c>
      <c r="G8587" s="10" t="n">
        <v>2544</v>
      </c>
      <c r="H8587" s="10" t="n">
        <v>4143</v>
      </c>
      <c r="I8587" s="10" t="n">
        <v>6</v>
      </c>
      <c r="J8587" s="10" t="n">
        <v>0</v>
      </c>
      <c r="K8587" s="10" t="s">
        <v>20</v>
      </c>
      <c r="L8587" s="11" t="n">
        <v>41547.7702893519</v>
      </c>
      <c r="M8587" s="12" t="s">
        <v>18773</v>
      </c>
      <c r="N8587" s="12" t="s">
        <v>18774</v>
      </c>
      <c r="O8587" s="9" t="str">
        <f aca="false">HYPERLINK("https://pbs.twimg.com/profile_images/825161812098158592/6_G2Gcq__normal.jpg","View")</f>
        <v>View</v>
      </c>
      <c r="P8587" s="10"/>
    </row>
    <row r="8588" customFormat="false" ht="15.75" hidden="false" customHeight="false" outlineLevel="0" collapsed="false">
      <c r="A8588" s="6" t="n">
        <v>43032.7868402778</v>
      </c>
      <c r="B8588" s="7" t="str">
        <f aca="false">HYPERLINK("https://twitter.com/vrai777","@vrai777")</f>
        <v>@vrai777</v>
      </c>
      <c r="C8588" s="8" t="s">
        <v>335</v>
      </c>
      <c r="D8588" s="8" t="s">
        <v>18775</v>
      </c>
      <c r="E8588" s="9" t="str">
        <f aca="false">HYPERLINK("https://twitter.com/vrai777/status/923004447319506944","923004447319506944")</f>
        <v>923004447319506944</v>
      </c>
      <c r="F8588" s="10" t="s">
        <v>60</v>
      </c>
      <c r="G8588" s="10" t="n">
        <v>7959</v>
      </c>
      <c r="H8588" s="10" t="n">
        <v>71</v>
      </c>
      <c r="I8588" s="10" t="n">
        <v>0</v>
      </c>
      <c r="J8588" s="10" t="n">
        <v>0</v>
      </c>
      <c r="K8588" s="10" t="s">
        <v>20</v>
      </c>
      <c r="L8588" s="11" t="n">
        <v>39878.7593287037</v>
      </c>
      <c r="M8588" s="12" t="s">
        <v>295</v>
      </c>
      <c r="N8588" s="12" t="s">
        <v>337</v>
      </c>
      <c r="O8588" s="9" t="str">
        <f aca="false">HYPERLINK("https://pbs.twimg.com/profile_images/688775800284266496/qhWTo08H_normal.png","View")</f>
        <v>View</v>
      </c>
      <c r="P8588" s="10"/>
    </row>
    <row r="8589" customFormat="false" ht="15.75" hidden="false" customHeight="false" outlineLevel="0" collapsed="false">
      <c r="A8589" s="6" t="n">
        <v>43032.7877662037</v>
      </c>
      <c r="B8589" s="7" t="str">
        <f aca="false">HYPERLINK("https://twitter.com/TFTCS","@TFTCS")</f>
        <v>@TFTCS</v>
      </c>
      <c r="C8589" s="8" t="s">
        <v>338</v>
      </c>
      <c r="D8589" s="8" t="s">
        <v>18776</v>
      </c>
      <c r="E8589" s="9" t="str">
        <f aca="false">HYPERLINK("https://twitter.com/TFTCS/status/923004783715172357","923004783715172357")</f>
        <v>923004783715172357</v>
      </c>
      <c r="F8589" s="10" t="s">
        <v>60</v>
      </c>
      <c r="G8589" s="10" t="n">
        <v>4435</v>
      </c>
      <c r="H8589" s="10" t="n">
        <v>4613</v>
      </c>
      <c r="I8589" s="10" t="n">
        <v>0</v>
      </c>
      <c r="J8589" s="10" t="n">
        <v>0</v>
      </c>
      <c r="K8589" s="10" t="s">
        <v>20</v>
      </c>
      <c r="L8589" s="11" t="n">
        <v>41868.7681018518</v>
      </c>
      <c r="M8589" s="12" t="s">
        <v>340</v>
      </c>
      <c r="N8589" s="12" t="s">
        <v>341</v>
      </c>
      <c r="O8589" s="9" t="str">
        <f aca="false">HYPERLINK("https://pbs.twimg.com/profile_images/736027772800368640/DdLGgNNU_normal.jpg","View")</f>
        <v>View</v>
      </c>
      <c r="P8589" s="10"/>
    </row>
    <row r="8590" customFormat="false" ht="15.75" hidden="false" customHeight="false" outlineLevel="0" collapsed="false">
      <c r="A8590" s="6" t="n">
        <v>43032.78875</v>
      </c>
      <c r="B8590" s="7" t="str">
        <f aca="false">HYPERLINK("https://twitter.com/TopFiveTraders","@TopFiveTraders")</f>
        <v>@TopFiveTraders</v>
      </c>
      <c r="C8590" s="8" t="s">
        <v>321</v>
      </c>
      <c r="D8590" s="8" t="s">
        <v>18777</v>
      </c>
      <c r="E8590" s="9" t="str">
        <f aca="false">HYPERLINK("https://twitter.com/TopFiveTraders/status/923005139199258624","923005139199258624")</f>
        <v>923005139199258624</v>
      </c>
      <c r="F8590" s="10" t="s">
        <v>60</v>
      </c>
      <c r="G8590" s="10" t="n">
        <v>8181</v>
      </c>
      <c r="H8590" s="10" t="n">
        <v>6774</v>
      </c>
      <c r="I8590" s="10" t="n">
        <v>0</v>
      </c>
      <c r="J8590" s="10" t="n">
        <v>0</v>
      </c>
      <c r="K8590" s="10" t="s">
        <v>20</v>
      </c>
      <c r="L8590" s="11" t="n">
        <v>41573.4842013889</v>
      </c>
      <c r="M8590" s="12" t="s">
        <v>323</v>
      </c>
      <c r="N8590" s="12" t="s">
        <v>324</v>
      </c>
      <c r="O8590" s="9" t="str">
        <f aca="false">HYPERLINK("https://pbs.twimg.com/profile_images/729113141444026370/hi202Ffp_normal.jpg","View")</f>
        <v>View</v>
      </c>
      <c r="P8590" s="10"/>
    </row>
    <row r="8591" customFormat="false" ht="15.75" hidden="false" customHeight="false" outlineLevel="0" collapsed="false">
      <c r="A8591" s="6" t="n">
        <v>43032.7890509259</v>
      </c>
      <c r="B8591" s="7" t="str">
        <f aca="false">HYPERLINK("https://twitter.com/TopFiveTraders","@TopFiveTraders")</f>
        <v>@TopFiveTraders</v>
      </c>
      <c r="C8591" s="8" t="s">
        <v>321</v>
      </c>
      <c r="D8591" s="8" t="s">
        <v>18778</v>
      </c>
      <c r="E8591" s="9" t="str">
        <f aca="false">HYPERLINK("https://twitter.com/TopFiveTraders/status/923005249152884736","923005249152884736")</f>
        <v>923005249152884736</v>
      </c>
      <c r="F8591" s="10" t="s">
        <v>60</v>
      </c>
      <c r="G8591" s="10" t="n">
        <v>8181</v>
      </c>
      <c r="H8591" s="10" t="n">
        <v>6774</v>
      </c>
      <c r="I8591" s="10" t="n">
        <v>0</v>
      </c>
      <c r="J8591" s="10" t="n">
        <v>0</v>
      </c>
      <c r="K8591" s="10" t="s">
        <v>20</v>
      </c>
      <c r="L8591" s="11" t="n">
        <v>41573.4842013889</v>
      </c>
      <c r="M8591" s="12" t="s">
        <v>323</v>
      </c>
      <c r="N8591" s="12" t="s">
        <v>324</v>
      </c>
      <c r="O8591" s="9" t="str">
        <f aca="false">HYPERLINK("https://pbs.twimg.com/profile_images/729113141444026370/hi202Ffp_normal.jpg","View")</f>
        <v>View</v>
      </c>
      <c r="P8591" s="10"/>
    </row>
    <row r="8592" customFormat="false" ht="15.75" hidden="false" customHeight="false" outlineLevel="0" collapsed="false">
      <c r="A8592" s="6" t="n">
        <v>43032.7895833333</v>
      </c>
      <c r="B8592" s="7" t="str">
        <f aca="false">HYPERLINK("https://twitter.com/DavidPapp","@DavidPapp")</f>
        <v>@DavidPapp</v>
      </c>
      <c r="C8592" s="8" t="s">
        <v>15487</v>
      </c>
      <c r="D8592" s="8" t="s">
        <v>18779</v>
      </c>
      <c r="E8592" s="9" t="str">
        <f aca="false">HYPERLINK("https://twitter.com/DavidPapp/status/923005441017200641","923005441017200641")</f>
        <v>923005441017200641</v>
      </c>
      <c r="F8592" s="10" t="s">
        <v>1167</v>
      </c>
      <c r="G8592" s="10" t="n">
        <v>166579</v>
      </c>
      <c r="H8592" s="10" t="n">
        <v>34463</v>
      </c>
      <c r="I8592" s="10" t="n">
        <v>5</v>
      </c>
      <c r="J8592" s="10" t="n">
        <v>4</v>
      </c>
      <c r="K8592" s="10" t="s">
        <v>20</v>
      </c>
      <c r="L8592" s="11" t="n">
        <v>40200.6317361111</v>
      </c>
      <c r="M8592" s="12" t="s">
        <v>15489</v>
      </c>
      <c r="N8592" s="12" t="s">
        <v>15490</v>
      </c>
      <c r="O8592" s="9" t="str">
        <f aca="false">HYPERLINK("https://pbs.twimg.com/profile_images/900849692803702784/c152hboP_normal.jpg","View")</f>
        <v>View</v>
      </c>
      <c r="P8592" s="10"/>
    </row>
    <row r="8593" customFormat="false" ht="15.75" hidden="false" customHeight="false" outlineLevel="0" collapsed="false">
      <c r="A8593" s="6" t="n">
        <v>43032.7910300926</v>
      </c>
      <c r="B8593" s="7" t="str">
        <f aca="false">HYPERLINK("https://twitter.com/CNBCTradersFan","@CNBCTradersFan")</f>
        <v>@CNBCTradersFan</v>
      </c>
      <c r="C8593" s="8" t="s">
        <v>325</v>
      </c>
      <c r="D8593" s="8" t="s">
        <v>18780</v>
      </c>
      <c r="E8593" s="9" t="str">
        <f aca="false">HYPERLINK("https://twitter.com/CNBCTradersFan/status/923005965699444736","923005965699444736")</f>
        <v>923005965699444736</v>
      </c>
      <c r="F8593" s="10" t="s">
        <v>60</v>
      </c>
      <c r="G8593" s="10" t="n">
        <v>17155</v>
      </c>
      <c r="H8593" s="10" t="n">
        <v>11641</v>
      </c>
      <c r="I8593" s="10" t="n">
        <v>0</v>
      </c>
      <c r="J8593" s="10" t="n">
        <v>0</v>
      </c>
      <c r="K8593" s="10" t="s">
        <v>20</v>
      </c>
      <c r="L8593" s="11" t="n">
        <v>40922.5054282407</v>
      </c>
      <c r="M8593" s="12" t="s">
        <v>327</v>
      </c>
      <c r="N8593" s="12" t="s">
        <v>328</v>
      </c>
      <c r="O8593" s="9" t="str">
        <f aca="false">HYPERLINK("https://pbs.twimg.com/profile_images/731870469318684672/Ckf7rDdJ_normal.jpg","View")</f>
        <v>View</v>
      </c>
      <c r="P8593" s="10"/>
    </row>
    <row r="8594" customFormat="false" ht="15.75" hidden="false" customHeight="false" outlineLevel="0" collapsed="false">
      <c r="A8594" s="6" t="n">
        <v>43032.7911342593</v>
      </c>
      <c r="B8594" s="7" t="str">
        <f aca="false">HYPERLINK("https://twitter.com/serge_poznanski","@serge_poznanski")</f>
        <v>@serge_poznanski</v>
      </c>
      <c r="C8594" s="8" t="s">
        <v>212</v>
      </c>
      <c r="D8594" s="8" t="s">
        <v>18781</v>
      </c>
      <c r="E8594" s="9" t="str">
        <f aca="false">HYPERLINK("https://twitter.com/serge_poznanski/status/923006004635111424","923006004635111424")</f>
        <v>923006004635111424</v>
      </c>
      <c r="F8594" s="10" t="s">
        <v>60</v>
      </c>
      <c r="G8594" s="10" t="n">
        <v>1424</v>
      </c>
      <c r="H8594" s="10" t="n">
        <v>2136</v>
      </c>
      <c r="I8594" s="10" t="n">
        <v>0</v>
      </c>
      <c r="J8594" s="10" t="n">
        <v>0</v>
      </c>
      <c r="K8594" s="10" t="s">
        <v>20</v>
      </c>
      <c r="L8594" s="11" t="n">
        <v>42271.4744560185</v>
      </c>
      <c r="M8594" s="12"/>
      <c r="N8594" s="12"/>
      <c r="O8594" s="9" t="str">
        <f aca="false">HYPERLINK("https://pbs.twimg.com/profile_images/647277253240291328/3GezjFCJ_normal.jpg","View")</f>
        <v>View</v>
      </c>
      <c r="P8594" s="10"/>
    </row>
    <row r="8595" customFormat="false" ht="15.75" hidden="false" customHeight="false" outlineLevel="0" collapsed="false">
      <c r="A8595" s="6" t="n">
        <v>43032.7913425926</v>
      </c>
      <c r="B8595" s="7" t="str">
        <f aca="false">HYPERLINK("https://twitter.com/SherryFLRealtor","@SherryFLRealtor")</f>
        <v>@SherryFLRealtor</v>
      </c>
      <c r="C8595" s="8" t="s">
        <v>17585</v>
      </c>
      <c r="D8595" s="8" t="s">
        <v>18764</v>
      </c>
      <c r="E8595" s="9" t="str">
        <f aca="false">HYPERLINK("https://twitter.com/SherryFLRealtor/status/923006080275267584","923006080275267584")</f>
        <v>923006080275267584</v>
      </c>
      <c r="F8595" s="10" t="s">
        <v>51</v>
      </c>
      <c r="G8595" s="10" t="n">
        <v>2246</v>
      </c>
      <c r="H8595" s="10" t="n">
        <v>3582</v>
      </c>
      <c r="I8595" s="10" t="n">
        <v>6</v>
      </c>
      <c r="J8595" s="10" t="n">
        <v>0</v>
      </c>
      <c r="K8595" s="10" t="s">
        <v>20</v>
      </c>
      <c r="L8595" s="11" t="n">
        <v>40542.5513657407</v>
      </c>
      <c r="M8595" s="12" t="s">
        <v>17586</v>
      </c>
      <c r="N8595" s="12" t="s">
        <v>17587</v>
      </c>
      <c r="O8595" s="9" t="str">
        <f aca="false">HYPERLINK("https://pbs.twimg.com/profile_images/669668454505426944/UdLi3uJg_normal.jpg","View")</f>
        <v>View</v>
      </c>
      <c r="P8595" s="10"/>
    </row>
    <row r="8596" customFormat="false" ht="15.75" hidden="false" customHeight="false" outlineLevel="0" collapsed="false">
      <c r="A8596" s="6" t="n">
        <v>43032.7917939815</v>
      </c>
      <c r="B8596" s="7" t="str">
        <f aca="false">HYPERLINK("https://twitter.com/bpolitics","@bpolitics")</f>
        <v>@bpolitics</v>
      </c>
      <c r="C8596" s="8" t="s">
        <v>266</v>
      </c>
      <c r="D8596" s="8" t="s">
        <v>18782</v>
      </c>
      <c r="E8596" s="9" t="str">
        <f aca="false">HYPERLINK("https://twitter.com/bpolitics/status/923006244109008896","923006244109008896")</f>
        <v>923006244109008896</v>
      </c>
      <c r="F8596" s="10" t="s">
        <v>268</v>
      </c>
      <c r="G8596" s="10" t="n">
        <v>221392</v>
      </c>
      <c r="H8596" s="10" t="n">
        <v>868</v>
      </c>
      <c r="I8596" s="10" t="n">
        <v>1</v>
      </c>
      <c r="J8596" s="10" t="n">
        <v>3</v>
      </c>
      <c r="K8596" s="10" t="s">
        <v>20</v>
      </c>
      <c r="L8596" s="11" t="n">
        <v>41025.576400463</v>
      </c>
      <c r="M8596" s="12"/>
      <c r="N8596" s="12" t="s">
        <v>269</v>
      </c>
      <c r="O8596" s="9" t="str">
        <f aca="false">HYPERLINK("https://pbs.twimg.com/profile_images/714804098890133504/cUO4gD1A_normal.jpg","View")</f>
        <v>View</v>
      </c>
      <c r="P8596" s="10"/>
    </row>
    <row r="8597" customFormat="false" ht="15.75" hidden="false" customHeight="false" outlineLevel="0" collapsed="false">
      <c r="A8597" s="6" t="n">
        <v>43032.7920949074</v>
      </c>
      <c r="B8597" s="7" t="str">
        <f aca="false">HYPERLINK("https://twitter.com/dogstar7tweets","@dogstar7tweets")</f>
        <v>@dogstar7tweets</v>
      </c>
      <c r="C8597" s="8" t="s">
        <v>18783</v>
      </c>
      <c r="D8597" s="8" t="s">
        <v>18784</v>
      </c>
      <c r="E8597" s="9" t="str">
        <f aca="false">HYPERLINK("https://twitter.com/dogstar7tweets/status/923006351051247622","923006351051247622")</f>
        <v>923006351051247622</v>
      </c>
      <c r="F8597" s="10" t="s">
        <v>25</v>
      </c>
      <c r="G8597" s="10" t="n">
        <v>2417</v>
      </c>
      <c r="H8597" s="10" t="n">
        <v>3017</v>
      </c>
      <c r="I8597" s="10" t="n">
        <v>5</v>
      </c>
      <c r="J8597" s="10" t="n">
        <v>0</v>
      </c>
      <c r="K8597" s="10" t="s">
        <v>20</v>
      </c>
      <c r="L8597" s="11" t="n">
        <v>39159.8033680556</v>
      </c>
      <c r="M8597" s="12" t="s">
        <v>5461</v>
      </c>
      <c r="N8597" s="12" t="s">
        <v>18785</v>
      </c>
      <c r="O8597" s="9" t="str">
        <f aca="false">HYPERLINK("https://pbs.twimg.com/profile_images/918997630524432384/D0l896NK_normal.jpg","View")</f>
        <v>View</v>
      </c>
      <c r="P8597" s="10"/>
    </row>
    <row r="8598" customFormat="false" ht="15.75" hidden="false" customHeight="false" outlineLevel="0" collapsed="false">
      <c r="A8598" s="6" t="n">
        <v>43032.7928356482</v>
      </c>
      <c r="B8598" s="7" t="str">
        <f aca="false">HYPERLINK("https://twitter.com/NTKRNow","@NTKRNow")</f>
        <v>@NTKRNow</v>
      </c>
      <c r="C8598" s="8" t="s">
        <v>829</v>
      </c>
      <c r="D8598" s="8" t="s">
        <v>18786</v>
      </c>
      <c r="E8598" s="9" t="str">
        <f aca="false">HYPERLINK("https://twitter.com/NTKRNow/status/923006621038419968","923006621038419968")</f>
        <v>923006621038419968</v>
      </c>
      <c r="F8598" s="10" t="s">
        <v>60</v>
      </c>
      <c r="G8598" s="10" t="n">
        <v>610</v>
      </c>
      <c r="H8598" s="10" t="n">
        <v>4</v>
      </c>
      <c r="I8598" s="10" t="n">
        <v>0</v>
      </c>
      <c r="J8598" s="10" t="n">
        <v>0</v>
      </c>
      <c r="K8598" s="10" t="s">
        <v>20</v>
      </c>
      <c r="L8598" s="11" t="n">
        <v>42402.810625</v>
      </c>
      <c r="M8598" s="12"/>
      <c r="N8598" s="12"/>
      <c r="O8598" s="9" t="str">
        <f aca="false">HYPERLINK("https://abs.twimg.com/sticky/default_profile_images/default_profile_normal.png","View")</f>
        <v>View</v>
      </c>
      <c r="P8598" s="10"/>
    </row>
    <row r="8599" customFormat="false" ht="15.75" hidden="false" customHeight="false" outlineLevel="0" collapsed="false">
      <c r="A8599" s="6" t="n">
        <v>43032.7937847222</v>
      </c>
      <c r="B8599" s="7" t="str">
        <f aca="false">HYPERLINK("https://twitter.com/lalauraru777","@lalauraru777")</f>
        <v>@lalauraru777</v>
      </c>
      <c r="C8599" s="8" t="s">
        <v>18787</v>
      </c>
      <c r="D8599" s="8" t="s">
        <v>18589</v>
      </c>
      <c r="E8599" s="9" t="str">
        <f aca="false">HYPERLINK("https://twitter.com/lalauraru777/status/923006965298683905","923006965298683905")</f>
        <v>923006965298683905</v>
      </c>
      <c r="F8599" s="10" t="s">
        <v>39</v>
      </c>
      <c r="G8599" s="10" t="n">
        <v>4344</v>
      </c>
      <c r="H8599" s="10" t="n">
        <v>4990</v>
      </c>
      <c r="I8599" s="10" t="n">
        <v>12</v>
      </c>
      <c r="J8599" s="10" t="n">
        <v>0</v>
      </c>
      <c r="K8599" s="10" t="s">
        <v>20</v>
      </c>
      <c r="L8599" s="11" t="n">
        <v>41619.8027777778</v>
      </c>
      <c r="M8599" s="12"/>
      <c r="N8599" s="12" t="s">
        <v>18788</v>
      </c>
      <c r="O8599" s="9" t="str">
        <f aca="false">HYPERLINK("https://pbs.twimg.com/profile_images/755876074467258368/KAOHKqKc_normal.jpg","View")</f>
        <v>View</v>
      </c>
      <c r="P8599" s="10"/>
    </row>
    <row r="8600" customFormat="false" ht="15.75" hidden="false" customHeight="false" outlineLevel="0" collapsed="false">
      <c r="A8600" s="6" t="n">
        <v>43032.7937962963</v>
      </c>
      <c r="B8600" s="7" t="str">
        <f aca="false">HYPERLINK("https://twitter.com/EY_Transactions","@EY_Transactions")</f>
        <v>@EY_Transactions</v>
      </c>
      <c r="C8600" s="8" t="s">
        <v>18789</v>
      </c>
      <c r="D8600" s="8" t="s">
        <v>18790</v>
      </c>
      <c r="E8600" s="9" t="str">
        <f aca="false">HYPERLINK("https://twitter.com/EY_Transactions/status/923006969341886464","923006969341886464")</f>
        <v>923006969341886464</v>
      </c>
      <c r="F8600" s="9" t="s">
        <v>1147</v>
      </c>
      <c r="G8600" s="10" t="n">
        <v>12</v>
      </c>
      <c r="H8600" s="10" t="n">
        <v>21</v>
      </c>
      <c r="I8600" s="10" t="n">
        <v>0</v>
      </c>
      <c r="J8600" s="10" t="n">
        <v>0</v>
      </c>
      <c r="K8600" s="10" t="s">
        <v>20</v>
      </c>
      <c r="L8600" s="11" t="n">
        <v>42782.3766550926</v>
      </c>
      <c r="M8600" s="12" t="s">
        <v>6443</v>
      </c>
      <c r="N8600" s="12"/>
      <c r="O8600" s="9" t="str">
        <f aca="false">HYPERLINK("https://pbs.twimg.com/profile_images/832276296193474560/lgpZgQ69_normal.jpg","View")</f>
        <v>View</v>
      </c>
      <c r="P8600" s="10"/>
    </row>
    <row r="8601" customFormat="false" ht="15.75" hidden="false" customHeight="false" outlineLevel="0" collapsed="false">
      <c r="A8601" s="6" t="n">
        <v>43032.7944097222</v>
      </c>
      <c r="B8601" s="7" t="str">
        <f aca="false">HYPERLINK("https://twitter.com/cuencanaENtokio","@cuencanaENtokio")</f>
        <v>@cuencanaENtokio</v>
      </c>
      <c r="C8601" s="8" t="s">
        <v>18791</v>
      </c>
      <c r="D8601" s="8" t="s">
        <v>18792</v>
      </c>
      <c r="E8601" s="9" t="str">
        <f aca="false">HYPERLINK("https://twitter.com/cuencanaENtokio/status/923007191442907138","923007191442907138")</f>
        <v>923007191442907138</v>
      </c>
      <c r="F8601" s="10" t="s">
        <v>51</v>
      </c>
      <c r="G8601" s="10" t="n">
        <v>261</v>
      </c>
      <c r="H8601" s="10" t="n">
        <v>603</v>
      </c>
      <c r="I8601" s="10" t="n">
        <v>1</v>
      </c>
      <c r="J8601" s="10" t="n">
        <v>0</v>
      </c>
      <c r="K8601" s="10" t="s">
        <v>20</v>
      </c>
      <c r="L8601" s="11" t="n">
        <v>39870.8619560185</v>
      </c>
      <c r="M8601" s="12" t="s">
        <v>18793</v>
      </c>
      <c r="N8601" s="12" t="s">
        <v>18794</v>
      </c>
      <c r="O8601" s="9" t="str">
        <f aca="false">HYPERLINK("https://pbs.twimg.com/profile_images/592746560192159744/H-xIVkz3_normal.jpg","View")</f>
        <v>View</v>
      </c>
      <c r="P8601" s="10"/>
    </row>
    <row r="8602" customFormat="false" ht="15.75" hidden="false" customHeight="false" outlineLevel="0" collapsed="false">
      <c r="A8602" s="6" t="n">
        <v>43032.7961921296</v>
      </c>
      <c r="B8602" s="7" t="str">
        <f aca="false">HYPERLINK("https://twitter.com/andrewzuniga65","@andrewzuniga65")</f>
        <v>@andrewzuniga65</v>
      </c>
      <c r="C8602" s="8" t="s">
        <v>18795</v>
      </c>
      <c r="D8602" s="8" t="s">
        <v>18784</v>
      </c>
      <c r="E8602" s="9" t="str">
        <f aca="false">HYPERLINK("https://twitter.com/andrewzuniga65/status/923007836019343365","923007836019343365")</f>
        <v>923007836019343365</v>
      </c>
      <c r="F8602" s="10" t="s">
        <v>25</v>
      </c>
      <c r="G8602" s="10" t="n">
        <v>34</v>
      </c>
      <c r="H8602" s="10" t="n">
        <v>1497</v>
      </c>
      <c r="I8602" s="10" t="n">
        <v>5</v>
      </c>
      <c r="J8602" s="10" t="n">
        <v>0</v>
      </c>
      <c r="K8602" s="10" t="s">
        <v>20</v>
      </c>
      <c r="L8602" s="11" t="n">
        <v>41743.2740509259</v>
      </c>
      <c r="M8602" s="12" t="s">
        <v>18796</v>
      </c>
      <c r="N8602" s="12" t="s">
        <v>18797</v>
      </c>
      <c r="O8602" s="9" t="str">
        <f aca="false">HYPERLINK("https://pbs.twimg.com/profile_images/749764622308237312/NOZrfd0S_normal.jpg","View")</f>
        <v>View</v>
      </c>
      <c r="P8602" s="10"/>
    </row>
    <row r="8603" customFormat="false" ht="15.75" hidden="false" customHeight="false" outlineLevel="0" collapsed="false">
      <c r="A8603" s="6" t="n">
        <v>43032.7977546296</v>
      </c>
      <c r="B8603" s="7" t="str">
        <f aca="false">HYPERLINK("https://twitter.com/Mariatweets3","@Mariatweets3")</f>
        <v>@Mariatweets3</v>
      </c>
      <c r="C8603" s="8" t="s">
        <v>18798</v>
      </c>
      <c r="D8603" s="8" t="s">
        <v>18021</v>
      </c>
      <c r="E8603" s="9" t="str">
        <f aca="false">HYPERLINK("https://twitter.com/Mariatweets3/status/923008400727924736","923008400727924736")</f>
        <v>923008400727924736</v>
      </c>
      <c r="F8603" s="10" t="s">
        <v>25</v>
      </c>
      <c r="G8603" s="10" t="n">
        <v>4961</v>
      </c>
      <c r="H8603" s="10" t="n">
        <v>5452</v>
      </c>
      <c r="I8603" s="10" t="n">
        <v>18</v>
      </c>
      <c r="J8603" s="10" t="n">
        <v>0</v>
      </c>
      <c r="K8603" s="10" t="s">
        <v>20</v>
      </c>
      <c r="L8603" s="11" t="n">
        <v>42095.8333796296</v>
      </c>
      <c r="M8603" s="12"/>
      <c r="N8603" s="12" t="s">
        <v>18799</v>
      </c>
      <c r="O8603" s="9" t="str">
        <f aca="false">HYPERLINK("https://pbs.twimg.com/profile_images/863185159016685568/qhQV3lru_normal.jpg","View")</f>
        <v>View</v>
      </c>
      <c r="P8603" s="10"/>
    </row>
    <row r="8604" customFormat="false" ht="15.75" hidden="false" customHeight="false" outlineLevel="0" collapsed="false">
      <c r="A8604" s="6" t="n">
        <v>43032.7978472222</v>
      </c>
      <c r="B8604" s="7" t="str">
        <f aca="false">HYPERLINK("https://twitter.com/sangameshtotapp","@sangameshtotapp")</f>
        <v>@sangameshtotapp</v>
      </c>
      <c r="C8604" s="8" t="s">
        <v>18800</v>
      </c>
      <c r="D8604" s="8" t="s">
        <v>8538</v>
      </c>
      <c r="E8604" s="9" t="str">
        <f aca="false">HYPERLINK("https://twitter.com/sangameshtotapp/status/923008434382954496","923008434382954496")</f>
        <v>923008434382954496</v>
      </c>
      <c r="F8604" s="10" t="s">
        <v>25</v>
      </c>
      <c r="G8604" s="10" t="n">
        <v>251</v>
      </c>
      <c r="H8604" s="10" t="n">
        <v>704</v>
      </c>
      <c r="I8604" s="10" t="n">
        <v>1015</v>
      </c>
      <c r="J8604" s="10" t="n">
        <v>0</v>
      </c>
      <c r="K8604" s="10" t="s">
        <v>20</v>
      </c>
      <c r="L8604" s="11" t="n">
        <v>42244.1316087963</v>
      </c>
      <c r="M8604" s="12" t="s">
        <v>18801</v>
      </c>
      <c r="N8604" s="12" t="s">
        <v>18802</v>
      </c>
      <c r="O8604" s="9" t="str">
        <f aca="false">HYPERLINK("https://pbs.twimg.com/profile_images/904009118934982656/jVmgaJh3_normal.jpg","View")</f>
        <v>View</v>
      </c>
      <c r="P8604" s="10"/>
    </row>
    <row r="8605" customFormat="false" ht="15.75" hidden="false" customHeight="false" outlineLevel="0" collapsed="false">
      <c r="A8605" s="6" t="n">
        <v>43032.8010300926</v>
      </c>
      <c r="B8605" s="7" t="str">
        <f aca="false">HYPERLINK("https://twitter.com/satyajit1986","@satyajit1986")</f>
        <v>@satyajit1986</v>
      </c>
      <c r="C8605" s="8" t="s">
        <v>18803</v>
      </c>
      <c r="D8605" s="8" t="s">
        <v>18804</v>
      </c>
      <c r="E8605" s="9" t="str">
        <f aca="false">HYPERLINK("https://twitter.com/satyajit1986/status/923009588324048897","923009588324048897")</f>
        <v>923009588324048897</v>
      </c>
      <c r="F8605" s="10" t="s">
        <v>8280</v>
      </c>
      <c r="G8605" s="10" t="n">
        <v>2</v>
      </c>
      <c r="H8605" s="10" t="n">
        <v>3</v>
      </c>
      <c r="I8605" s="10" t="n">
        <v>2</v>
      </c>
      <c r="J8605" s="10" t="n">
        <v>0</v>
      </c>
      <c r="K8605" s="10" t="s">
        <v>20</v>
      </c>
      <c r="L8605" s="11" t="n">
        <v>40161.859525463</v>
      </c>
      <c r="M8605" s="12" t="s">
        <v>18805</v>
      </c>
      <c r="N8605" s="12"/>
      <c r="O8605" s="9" t="str">
        <f aca="false">HYPERLINK("https://pbs.twimg.com/profile_images/919842966272802816/vvPcHUZz_normal.jpg","View")</f>
        <v>View</v>
      </c>
      <c r="P8605" s="10"/>
    </row>
    <row r="8606" customFormat="false" ht="15.75" hidden="false" customHeight="false" outlineLevel="0" collapsed="false">
      <c r="A8606" s="6" t="n">
        <v>43032.8014814815</v>
      </c>
      <c r="B8606" s="7" t="str">
        <f aca="false">HYPERLINK("https://twitter.com/gloriaminott","@gloriaminott")</f>
        <v>@gloriaminott</v>
      </c>
      <c r="C8606" s="8" t="s">
        <v>17531</v>
      </c>
      <c r="D8606" s="8" t="s">
        <v>18733</v>
      </c>
      <c r="E8606" s="9" t="str">
        <f aca="false">HYPERLINK("https://twitter.com/gloriaminott/status/923009752048721920","923009752048721920")</f>
        <v>923009752048721920</v>
      </c>
      <c r="F8606" s="10" t="s">
        <v>51</v>
      </c>
      <c r="G8606" s="10" t="n">
        <v>675</v>
      </c>
      <c r="H8606" s="10" t="n">
        <v>240</v>
      </c>
      <c r="I8606" s="10" t="n">
        <v>28</v>
      </c>
      <c r="J8606" s="10" t="n">
        <v>0</v>
      </c>
      <c r="K8606" s="10" t="s">
        <v>20</v>
      </c>
      <c r="L8606" s="11" t="n">
        <v>41748.2110185185</v>
      </c>
      <c r="M8606" s="12" t="s">
        <v>723</v>
      </c>
      <c r="N8606" s="12" t="s">
        <v>17532</v>
      </c>
      <c r="O8606" s="9" t="str">
        <f aca="false">HYPERLINK("https://pbs.twimg.com/profile_images/457497550438678528/M3VM3sE6_normal.png","View")</f>
        <v>View</v>
      </c>
      <c r="P8606" s="10"/>
    </row>
    <row r="8607" customFormat="false" ht="15.75" hidden="false" customHeight="false" outlineLevel="0" collapsed="false">
      <c r="A8607" s="6" t="n">
        <v>43032.8023726852</v>
      </c>
      <c r="B8607" s="7" t="str">
        <f aca="false">HYPERLINK("https://twitter.com/LolShuAngelsOFC","@LolShuAngelsOFC")</f>
        <v>@LolShuAngelsOFC</v>
      </c>
      <c r="C8607" s="8" t="s">
        <v>18806</v>
      </c>
      <c r="D8607" s="8" t="s">
        <v>18784</v>
      </c>
      <c r="E8607" s="9" t="str">
        <f aca="false">HYPERLINK("https://twitter.com/LolShuAngelsOFC/status/923010077472071682","923010077472071682")</f>
        <v>923010077472071682</v>
      </c>
      <c r="F8607" s="10" t="s">
        <v>25</v>
      </c>
      <c r="G8607" s="10" t="n">
        <v>51</v>
      </c>
      <c r="H8607" s="10" t="n">
        <v>2185</v>
      </c>
      <c r="I8607" s="10" t="n">
        <v>5</v>
      </c>
      <c r="J8607" s="10" t="n">
        <v>0</v>
      </c>
      <c r="K8607" s="10" t="s">
        <v>20</v>
      </c>
      <c r="L8607" s="11" t="n">
        <v>41086.3092361111</v>
      </c>
      <c r="M8607" s="12" t="s">
        <v>18807</v>
      </c>
      <c r="N8607" s="12" t="s">
        <v>18808</v>
      </c>
      <c r="O8607" s="9" t="str">
        <f aca="false">HYPERLINK("https://pbs.twimg.com/profile_images/751516828585828352/ocjtvdDK_normal.jpg","View")</f>
        <v>View</v>
      </c>
      <c r="P8607" s="10"/>
    </row>
    <row r="8608" customFormat="false" ht="15.75" hidden="false" customHeight="false" outlineLevel="0" collapsed="false">
      <c r="A8608" s="6" t="n">
        <v>43032.805474537</v>
      </c>
      <c r="B8608" s="7" t="str">
        <f aca="false">HYPERLINK("https://twitter.com/LauraLeeLashes9","@LauraLeeLashes9")</f>
        <v>@LauraLeeLashes9</v>
      </c>
      <c r="C8608" s="8" t="s">
        <v>18809</v>
      </c>
      <c r="D8608" s="8" t="s">
        <v>18784</v>
      </c>
      <c r="E8608" s="9" t="str">
        <f aca="false">HYPERLINK("https://twitter.com/LauraLeeLashes9/status/923011201625239553","923011201625239553")</f>
        <v>923011201625239553</v>
      </c>
      <c r="F8608" s="10" t="s">
        <v>25</v>
      </c>
      <c r="G8608" s="10" t="n">
        <v>32</v>
      </c>
      <c r="H8608" s="10" t="n">
        <v>927</v>
      </c>
      <c r="I8608" s="10" t="n">
        <v>5</v>
      </c>
      <c r="J8608" s="10" t="n">
        <v>0</v>
      </c>
      <c r="K8608" s="10" t="s">
        <v>20</v>
      </c>
      <c r="L8608" s="11" t="n">
        <v>41724.2833333333</v>
      </c>
      <c r="M8608" s="12" t="s">
        <v>8623</v>
      </c>
      <c r="N8608" s="12"/>
      <c r="O8608" s="9" t="str">
        <f aca="false">HYPERLINK("https://pbs.twimg.com/profile_images/750415158284091393/ZH7_CTwR_normal.jpg","View")</f>
        <v>View</v>
      </c>
      <c r="P8608" s="10"/>
    </row>
    <row r="8609" customFormat="false" ht="15.75" hidden="false" customHeight="false" outlineLevel="0" collapsed="false">
      <c r="A8609" s="6" t="n">
        <v>43032.8062152778</v>
      </c>
      <c r="B8609" s="7" t="str">
        <f aca="false">HYPERLINK("https://twitter.com/Casimira8651Har","@Casimira8651Har")</f>
        <v>@Casimira8651Har</v>
      </c>
      <c r="C8609" s="8" t="s">
        <v>18810</v>
      </c>
      <c r="D8609" s="8" t="s">
        <v>18784</v>
      </c>
      <c r="E8609" s="9" t="str">
        <f aca="false">HYPERLINK("https://twitter.com/Casimira8651Har/status/923011469599424512","923011469599424512")</f>
        <v>923011469599424512</v>
      </c>
      <c r="F8609" s="10" t="s">
        <v>25</v>
      </c>
      <c r="G8609" s="10" t="n">
        <v>52</v>
      </c>
      <c r="H8609" s="10" t="n">
        <v>2285</v>
      </c>
      <c r="I8609" s="10" t="n">
        <v>5</v>
      </c>
      <c r="J8609" s="10" t="n">
        <v>0</v>
      </c>
      <c r="K8609" s="10" t="s">
        <v>20</v>
      </c>
      <c r="L8609" s="11" t="n">
        <v>40901.7819097222</v>
      </c>
      <c r="M8609" s="12" t="s">
        <v>18811</v>
      </c>
      <c r="N8609" s="12" t="s">
        <v>18812</v>
      </c>
      <c r="O8609" s="9" t="str">
        <f aca="false">HYPERLINK("https://pbs.twimg.com/profile_images/763017837539647488/KKB4p9vq_normal.jpg","View")</f>
        <v>View</v>
      </c>
      <c r="P8609" s="10"/>
    </row>
    <row r="8610" customFormat="false" ht="15.75" hidden="false" customHeight="false" outlineLevel="0" collapsed="false">
      <c r="A8610" s="6" t="n">
        <v>43032.8088078704</v>
      </c>
      <c r="B8610" s="7" t="str">
        <f aca="false">HYPERLINK("https://twitter.com/zeeshan_shah_dc","@zeeshan_shah_dc")</f>
        <v>@zeeshan_shah_dc</v>
      </c>
      <c r="C8610" s="8" t="s">
        <v>6318</v>
      </c>
      <c r="D8610" s="8" t="s">
        <v>18617</v>
      </c>
      <c r="E8610" s="9" t="str">
        <f aca="false">HYPERLINK("https://twitter.com/zeeshan_shah_dc/status/923012409282871296","923012409282871296")</f>
        <v>923012409282871296</v>
      </c>
      <c r="F8610" s="10" t="s">
        <v>51</v>
      </c>
      <c r="G8610" s="10" t="n">
        <v>2076</v>
      </c>
      <c r="H8610" s="10" t="n">
        <v>278</v>
      </c>
      <c r="I8610" s="10" t="n">
        <v>47</v>
      </c>
      <c r="J8610" s="10" t="n">
        <v>0</v>
      </c>
      <c r="K8610" s="10" t="s">
        <v>20</v>
      </c>
      <c r="L8610" s="11" t="n">
        <v>41057.8802777778</v>
      </c>
      <c r="M8610" s="12" t="s">
        <v>723</v>
      </c>
      <c r="N8610" s="12" t="s">
        <v>6319</v>
      </c>
      <c r="O8610" s="9" t="str">
        <f aca="false">HYPERLINK("https://pbs.twimg.com/profile_images/915766155373170688/aHIu0lVW_normal.jpg","View")</f>
        <v>View</v>
      </c>
      <c r="P8610" s="10"/>
    </row>
    <row r="8611" customFormat="false" ht="15.75" hidden="false" customHeight="false" outlineLevel="0" collapsed="false">
      <c r="A8611" s="6" t="n">
        <v>43032.8190393519</v>
      </c>
      <c r="B8611" s="7" t="str">
        <f aca="false">HYPERLINK("https://twitter.com/market4justice","@market4justice")</f>
        <v>@market4justice</v>
      </c>
      <c r="C8611" s="8" t="s">
        <v>11426</v>
      </c>
      <c r="D8611" s="8" t="s">
        <v>18813</v>
      </c>
      <c r="E8611" s="9" t="str">
        <f aca="false">HYPERLINK("https://twitter.com/market4justice/status/923016117748105216","923016117748105216")</f>
        <v>923016117748105216</v>
      </c>
      <c r="F8611" s="10" t="s">
        <v>60</v>
      </c>
      <c r="G8611" s="10" t="n">
        <v>435</v>
      </c>
      <c r="H8611" s="10" t="n">
        <v>137</v>
      </c>
      <c r="I8611" s="10" t="n">
        <v>0</v>
      </c>
      <c r="J8611" s="10" t="n">
        <v>0</v>
      </c>
      <c r="K8611" s="10" t="s">
        <v>20</v>
      </c>
      <c r="L8611" s="11" t="n">
        <v>42184.4424421296</v>
      </c>
      <c r="M8611" s="12" t="s">
        <v>21</v>
      </c>
      <c r="N8611" s="12" t="s">
        <v>11428</v>
      </c>
      <c r="O8611" s="9" t="str">
        <f aca="false">HYPERLINK("https://pbs.twimg.com/profile_images/615577051399983104/1B-CM5fS_normal.jpg","View")</f>
        <v>View</v>
      </c>
      <c r="P8611" s="10"/>
    </row>
    <row r="8612" customFormat="false" ht="15.75" hidden="false" customHeight="false" outlineLevel="0" collapsed="false">
      <c r="A8612" s="6" t="n">
        <v>43032.8202546296</v>
      </c>
      <c r="B8612" s="7" t="str">
        <f aca="false">HYPERLINK("https://twitter.com/MrRafiqIslamRo1","@MrRafiqIslamRo1")</f>
        <v>@MrRafiqIslamRo1</v>
      </c>
      <c r="C8612" s="8" t="s">
        <v>18814</v>
      </c>
      <c r="D8612" s="8" t="s">
        <v>18815</v>
      </c>
      <c r="E8612" s="9" t="str">
        <f aca="false">HYPERLINK("https://twitter.com/MrRafiqIslamRo1/status/923016555553636352","923016555553636352")</f>
        <v>923016555553636352</v>
      </c>
      <c r="F8612" s="10" t="s">
        <v>25</v>
      </c>
      <c r="G8612" s="10" t="n">
        <v>971</v>
      </c>
      <c r="H8612" s="10" t="n">
        <v>4981</v>
      </c>
      <c r="I8612" s="10" t="n">
        <v>0</v>
      </c>
      <c r="J8612" s="10" t="n">
        <v>0</v>
      </c>
      <c r="K8612" s="10" t="s">
        <v>20</v>
      </c>
      <c r="L8612" s="11" t="n">
        <v>42773.3072916667</v>
      </c>
      <c r="M8612" s="12" t="s">
        <v>2875</v>
      </c>
      <c r="N8612" s="12" t="s">
        <v>730</v>
      </c>
      <c r="O8612" s="9" t="str">
        <f aca="false">HYPERLINK("https://pbs.twimg.com/profile_images/849474066130112512/n0jUEsfw_normal.jpg","View")</f>
        <v>View</v>
      </c>
      <c r="P8612" s="10"/>
    </row>
    <row r="8613" customFormat="false" ht="15.75" hidden="false" customHeight="false" outlineLevel="0" collapsed="false">
      <c r="A8613" s="6" t="n">
        <v>43032.8228125</v>
      </c>
      <c r="B8613" s="7" t="str">
        <f aca="false">HYPERLINK("https://twitter.com/GonzaloBarria","@GonzaloBarria")</f>
        <v>@GonzaloBarria</v>
      </c>
      <c r="C8613" s="8" t="s">
        <v>18816</v>
      </c>
      <c r="D8613" s="8" t="s">
        <v>18733</v>
      </c>
      <c r="E8613" s="9" t="str">
        <f aca="false">HYPERLINK("https://twitter.com/GonzaloBarria/status/923017485137346560","923017485137346560")</f>
        <v>923017485137346560</v>
      </c>
      <c r="F8613" s="10" t="s">
        <v>51</v>
      </c>
      <c r="G8613" s="10" t="n">
        <v>697</v>
      </c>
      <c r="H8613" s="10" t="n">
        <v>78</v>
      </c>
      <c r="I8613" s="10" t="n">
        <v>28</v>
      </c>
      <c r="J8613" s="10" t="n">
        <v>0</v>
      </c>
      <c r="K8613" s="10" t="s">
        <v>20</v>
      </c>
      <c r="L8613" s="11" t="n">
        <v>40072.7254513889</v>
      </c>
      <c r="M8613" s="12" t="s">
        <v>18817</v>
      </c>
      <c r="N8613" s="12" t="s">
        <v>18818</v>
      </c>
      <c r="O8613" s="9" t="str">
        <f aca="false">HYPERLINK("https://pbs.twimg.com/profile_images/626154286410502144/7JdPKeap_normal.jpg","View")</f>
        <v>View</v>
      </c>
      <c r="P8613" s="10"/>
    </row>
    <row r="8614" customFormat="false" ht="15.75" hidden="false" customHeight="false" outlineLevel="0" collapsed="false">
      <c r="A8614" s="6" t="n">
        <v>43032.8266550926</v>
      </c>
      <c r="B8614" s="7" t="str">
        <f aca="false">HYPERLINK("https://twitter.com/asuka_250","@asuka_250")</f>
        <v>@asuka_250</v>
      </c>
      <c r="C8614" s="8" t="s">
        <v>1235</v>
      </c>
      <c r="D8614" s="8" t="s">
        <v>18617</v>
      </c>
      <c r="E8614" s="9" t="str">
        <f aca="false">HYPERLINK("https://twitter.com/asuka_250/status/923018877679763457","923018877679763457")</f>
        <v>923018877679763457</v>
      </c>
      <c r="F8614" s="10" t="s">
        <v>25</v>
      </c>
      <c r="G8614" s="10" t="n">
        <v>30709</v>
      </c>
      <c r="H8614" s="10" t="n">
        <v>30516</v>
      </c>
      <c r="I8614" s="10" t="n">
        <v>47</v>
      </c>
      <c r="J8614" s="10" t="n">
        <v>0</v>
      </c>
      <c r="K8614" s="10" t="s">
        <v>20</v>
      </c>
      <c r="L8614" s="11" t="n">
        <v>41943.1724768519</v>
      </c>
      <c r="M8614" s="12" t="s">
        <v>186</v>
      </c>
      <c r="N8614" s="12" t="s">
        <v>1236</v>
      </c>
      <c r="O8614" s="9" t="str">
        <f aca="false">HYPERLINK("https://pbs.twimg.com/profile_images/576284037486014464/dhYtI1qZ_normal.jpeg","View")</f>
        <v>View</v>
      </c>
      <c r="P8614" s="10"/>
    </row>
    <row r="8615" customFormat="false" ht="15.75" hidden="false" customHeight="false" outlineLevel="0" collapsed="false">
      <c r="A8615" s="6" t="n">
        <v>43032.8284490741</v>
      </c>
      <c r="B8615" s="7" t="str">
        <f aca="false">HYPERLINK("https://twitter.com/kaorumikeko","@kaorumikeko")</f>
        <v>@kaorumikeko</v>
      </c>
      <c r="C8615" s="8" t="s">
        <v>18819</v>
      </c>
      <c r="D8615" s="8" t="s">
        <v>18617</v>
      </c>
      <c r="E8615" s="9" t="str">
        <f aca="false">HYPERLINK("https://twitter.com/kaorumikeko/status/923019526983184384","923019526983184384")</f>
        <v>923019526983184384</v>
      </c>
      <c r="F8615" s="10" t="s">
        <v>51</v>
      </c>
      <c r="G8615" s="10" t="n">
        <v>462</v>
      </c>
      <c r="H8615" s="10" t="n">
        <v>1037</v>
      </c>
      <c r="I8615" s="10" t="n">
        <v>47</v>
      </c>
      <c r="J8615" s="10" t="n">
        <v>0</v>
      </c>
      <c r="K8615" s="10" t="s">
        <v>20</v>
      </c>
      <c r="L8615" s="11" t="n">
        <v>41441.2186574074</v>
      </c>
      <c r="M8615" s="12"/>
      <c r="N8615" s="13" t="s">
        <v>18820</v>
      </c>
      <c r="O8615" s="9" t="str">
        <f aca="false">HYPERLINK("https://pbs.twimg.com/profile_images/830274600416088064/T6lZJifF_normal.jpg","View")</f>
        <v>View</v>
      </c>
      <c r="P8615" s="10"/>
    </row>
    <row r="8616" customFormat="false" ht="15.75" hidden="false" customHeight="false" outlineLevel="0" collapsed="false">
      <c r="A8616" s="6" t="n">
        <v>43032.8286111111</v>
      </c>
      <c r="B8616" s="7" t="str">
        <f aca="false">HYPERLINK("https://twitter.com/TopNyt","@TopNyt")</f>
        <v>@TopNyt</v>
      </c>
      <c r="C8616" s="8" t="s">
        <v>12381</v>
      </c>
      <c r="D8616" s="8" t="s">
        <v>18821</v>
      </c>
      <c r="E8616" s="9" t="str">
        <f aca="false">HYPERLINK("https://twitter.com/TopNyt/status/923019584554364933","923019584554364933")</f>
        <v>923019584554364933</v>
      </c>
      <c r="F8616" s="10" t="s">
        <v>60</v>
      </c>
      <c r="G8616" s="10" t="n">
        <v>85</v>
      </c>
      <c r="H8616" s="10" t="n">
        <v>18</v>
      </c>
      <c r="I8616" s="10" t="n">
        <v>0</v>
      </c>
      <c r="J8616" s="10" t="n">
        <v>0</v>
      </c>
      <c r="K8616" s="10" t="s">
        <v>20</v>
      </c>
      <c r="L8616" s="11" t="n">
        <v>41913.2266435185</v>
      </c>
      <c r="M8616" s="12" t="s">
        <v>12383</v>
      </c>
      <c r="N8616" s="12" t="s">
        <v>12384</v>
      </c>
      <c r="O8616" s="9" t="str">
        <f aca="false">HYPERLINK("https://pbs.twimg.com/profile_images/517316825961357312/ApgK9wz-_normal.jpeg","View")</f>
        <v>View</v>
      </c>
      <c r="P8616" s="10"/>
    </row>
    <row r="8617" customFormat="false" ht="15.75" hidden="false" customHeight="false" outlineLevel="0" collapsed="false">
      <c r="A8617" s="6" t="n">
        <v>43032.8292592593</v>
      </c>
      <c r="B8617" s="7" t="str">
        <f aca="false">HYPERLINK("https://twitter.com/Taro_7604","@Taro_7604")</f>
        <v>@Taro_7604</v>
      </c>
      <c r="C8617" s="8" t="s">
        <v>18822</v>
      </c>
      <c r="D8617" s="8" t="s">
        <v>18733</v>
      </c>
      <c r="E8617" s="9" t="str">
        <f aca="false">HYPERLINK("https://twitter.com/Taro_7604/status/923019817896030208","923019817896030208")</f>
        <v>923019817896030208</v>
      </c>
      <c r="F8617" s="10" t="s">
        <v>51</v>
      </c>
      <c r="G8617" s="10" t="n">
        <v>10</v>
      </c>
      <c r="H8617" s="10" t="n">
        <v>15</v>
      </c>
      <c r="I8617" s="10" t="n">
        <v>28</v>
      </c>
      <c r="J8617" s="10" t="n">
        <v>0</v>
      </c>
      <c r="K8617" s="10" t="s">
        <v>20</v>
      </c>
      <c r="L8617" s="11" t="n">
        <v>42955.6821180556</v>
      </c>
      <c r="M8617" s="12" t="s">
        <v>491</v>
      </c>
      <c r="N8617" s="13" t="s">
        <v>18823</v>
      </c>
      <c r="O8617" s="9" t="str">
        <f aca="false">HYPERLINK("https://abs.twimg.com/sticky/default_profile_images/default_profile_normal.png","View")</f>
        <v>View</v>
      </c>
      <c r="P8617" s="10"/>
    </row>
    <row r="8618" customFormat="false" ht="15.75" hidden="false" customHeight="false" outlineLevel="0" collapsed="false">
      <c r="A8618" s="6" t="n">
        <v>43032.8316203704</v>
      </c>
      <c r="B8618" s="7" t="str">
        <f aca="false">HYPERLINK("https://twitter.com/ketsuaru","@ketsuaru")</f>
        <v>@ketsuaru</v>
      </c>
      <c r="C8618" s="14" t="s">
        <v>1162</v>
      </c>
      <c r="D8618" s="8" t="s">
        <v>18824</v>
      </c>
      <c r="E8618" s="9" t="str">
        <f aca="false">HYPERLINK("https://twitter.com/ketsuaru/status/923020676700823553","923020676700823553")</f>
        <v>923020676700823553</v>
      </c>
      <c r="F8618" s="10" t="s">
        <v>60</v>
      </c>
      <c r="G8618" s="10" t="n">
        <v>4526</v>
      </c>
      <c r="H8618" s="10" t="n">
        <v>5001</v>
      </c>
      <c r="I8618" s="10" t="n">
        <v>0</v>
      </c>
      <c r="J8618" s="10" t="n">
        <v>0</v>
      </c>
      <c r="K8618" s="10" t="s">
        <v>20</v>
      </c>
      <c r="L8618" s="11" t="n">
        <v>40859.9072569445</v>
      </c>
      <c r="M8618" s="12"/>
      <c r="N8618" s="13" t="s">
        <v>12350</v>
      </c>
      <c r="O8618" s="9" t="str">
        <f aca="false">HYPERLINK("https://pbs.twimg.com/profile_images/596930542978797568/DER8Yztf_normal.jpg","View")</f>
        <v>View</v>
      </c>
      <c r="P8618" s="10"/>
    </row>
    <row r="8619" customFormat="false" ht="15.75" hidden="false" customHeight="false" outlineLevel="0" collapsed="false">
      <c r="A8619" s="6" t="n">
        <v>43032.8351273148</v>
      </c>
      <c r="B8619" s="7" t="str">
        <f aca="false">HYPERLINK("https://twitter.com/mbwManzoni","@mbwManzoni")</f>
        <v>@mbwManzoni</v>
      </c>
      <c r="C8619" s="8" t="s">
        <v>45</v>
      </c>
      <c r="D8619" s="8" t="s">
        <v>18825</v>
      </c>
      <c r="E8619" s="9" t="str">
        <f aca="false">HYPERLINK("https://twitter.com/mbwManzoni/status/923021946119491585","923021946119491585")</f>
        <v>923021946119491585</v>
      </c>
      <c r="F8619" s="10" t="s">
        <v>47</v>
      </c>
      <c r="G8619" s="10" t="n">
        <v>503</v>
      </c>
      <c r="H8619" s="10" t="n">
        <v>1161</v>
      </c>
      <c r="I8619" s="10" t="n">
        <v>0</v>
      </c>
      <c r="J8619" s="10" t="n">
        <v>0</v>
      </c>
      <c r="K8619" s="10" t="s">
        <v>20</v>
      </c>
      <c r="L8619" s="11" t="n">
        <v>40440.4984259259</v>
      </c>
      <c r="M8619" s="12" t="s">
        <v>48</v>
      </c>
      <c r="N8619" s="12" t="s">
        <v>49</v>
      </c>
      <c r="O8619" s="9" t="str">
        <f aca="false">HYPERLINK("https://pbs.twimg.com/profile_images/876267141082861569/P5HrOcEH_normal.jpg","View")</f>
        <v>View</v>
      </c>
      <c r="P8619" s="10"/>
    </row>
    <row r="8620" customFormat="false" ht="15.75" hidden="false" customHeight="false" outlineLevel="0" collapsed="false">
      <c r="A8620" s="6" t="n">
        <v>43032.8380092593</v>
      </c>
      <c r="B8620" s="7" t="str">
        <f aca="false">HYPERLINK("https://twitter.com/oke_tara","@oke_tara")</f>
        <v>@oke_tara</v>
      </c>
      <c r="C8620" s="8" t="s">
        <v>18826</v>
      </c>
      <c r="D8620" s="8" t="s">
        <v>18617</v>
      </c>
      <c r="E8620" s="9" t="str">
        <f aca="false">HYPERLINK("https://twitter.com/oke_tara/status/923022992375824384","923022992375824384")</f>
        <v>923022992375824384</v>
      </c>
      <c r="F8620" s="10" t="s">
        <v>98</v>
      </c>
      <c r="G8620" s="10" t="n">
        <v>44</v>
      </c>
      <c r="H8620" s="10" t="n">
        <v>182</v>
      </c>
      <c r="I8620" s="10" t="n">
        <v>47</v>
      </c>
      <c r="J8620" s="10" t="n">
        <v>0</v>
      </c>
      <c r="K8620" s="10" t="s">
        <v>20</v>
      </c>
      <c r="L8620" s="11" t="n">
        <v>42258.5612037037</v>
      </c>
      <c r="M8620" s="12"/>
      <c r="N8620" s="12"/>
      <c r="O8620" s="9" t="str">
        <f aca="false">HYPERLINK("https://abs.twimg.com/sticky/default_profile_images/default_profile_normal.png","View")</f>
        <v>View</v>
      </c>
      <c r="P8620" s="10"/>
    </row>
    <row r="8621" customFormat="false" ht="15.75" hidden="false" customHeight="false" outlineLevel="0" collapsed="false">
      <c r="A8621" s="6" t="n">
        <v>43032.8399768518</v>
      </c>
      <c r="B8621" s="7" t="str">
        <f aca="false">HYPERLINK("https://twitter.com/STcom","@STcom")</f>
        <v>@STcom</v>
      </c>
      <c r="C8621" s="8" t="s">
        <v>3291</v>
      </c>
      <c r="D8621" s="8" t="s">
        <v>18827</v>
      </c>
      <c r="E8621" s="9" t="str">
        <f aca="false">HYPERLINK("https://twitter.com/STcom/status/923023702853279744","923023702853279744")</f>
        <v>923023702853279744</v>
      </c>
      <c r="F8621" s="10" t="s">
        <v>276</v>
      </c>
      <c r="G8621" s="10" t="n">
        <v>957124</v>
      </c>
      <c r="H8621" s="10" t="n">
        <v>126</v>
      </c>
      <c r="I8621" s="10" t="n">
        <v>4</v>
      </c>
      <c r="J8621" s="10" t="n">
        <v>12</v>
      </c>
      <c r="K8621" s="10" t="s">
        <v>20</v>
      </c>
      <c r="L8621" s="11" t="n">
        <v>39937.9919328704</v>
      </c>
      <c r="M8621" s="12" t="s">
        <v>186</v>
      </c>
      <c r="N8621" s="12" t="s">
        <v>3293</v>
      </c>
      <c r="O8621" s="9" t="str">
        <f aca="false">HYPERLINK("https://pbs.twimg.com/profile_images/630988935720648704/HkmsHBTM_normal.jpg","View")</f>
        <v>View</v>
      </c>
      <c r="P8621" s="10"/>
    </row>
    <row r="8622" customFormat="false" ht="15.75" hidden="false" customHeight="false" outlineLevel="0" collapsed="false">
      <c r="A8622" s="6" t="n">
        <v>43032.8403472222</v>
      </c>
      <c r="B8622" s="7" t="str">
        <f aca="false">HYPERLINK("https://twitter.com/TeeKay118","@TeeKay118")</f>
        <v>@TeeKay118</v>
      </c>
      <c r="C8622" s="8" t="s">
        <v>12547</v>
      </c>
      <c r="D8622" s="8" t="s">
        <v>18617</v>
      </c>
      <c r="E8622" s="9" t="str">
        <f aca="false">HYPERLINK("https://twitter.com/TeeKay118/status/923023839692386304","923023839692386304")</f>
        <v>923023839692386304</v>
      </c>
      <c r="F8622" s="10" t="s">
        <v>51</v>
      </c>
      <c r="G8622" s="10" t="n">
        <v>2259</v>
      </c>
      <c r="H8622" s="10" t="n">
        <v>3028</v>
      </c>
      <c r="I8622" s="10" t="n">
        <v>47</v>
      </c>
      <c r="J8622" s="10" t="n">
        <v>0</v>
      </c>
      <c r="K8622" s="10" t="s">
        <v>20</v>
      </c>
      <c r="L8622" s="11" t="n">
        <v>39931.778587963</v>
      </c>
      <c r="M8622" s="12" t="s">
        <v>12548</v>
      </c>
      <c r="N8622" s="12" t="s">
        <v>12549</v>
      </c>
      <c r="O8622" s="9" t="str">
        <f aca="false">HYPERLINK("https://pbs.twimg.com/profile_images/797953344778051586/gC2nA4YE_normal.jpg","View")</f>
        <v>View</v>
      </c>
      <c r="P8622" s="10"/>
    </row>
    <row r="8623" customFormat="false" ht="15.75" hidden="false" customHeight="false" outlineLevel="0" collapsed="false">
      <c r="A8623" s="6" t="n">
        <v>43032.8404050926</v>
      </c>
      <c r="B8623" s="7" t="str">
        <f aca="false">HYPERLINK("https://twitter.com/kristoferkawas","@kristoferkawas")</f>
        <v>@kristoferkawas</v>
      </c>
      <c r="C8623" s="8" t="s">
        <v>2132</v>
      </c>
      <c r="D8623" s="8" t="s">
        <v>18828</v>
      </c>
      <c r="E8623" s="9" t="str">
        <f aca="false">HYPERLINK("https://twitter.com/kristoferkawas/status/923023857149206528","923023857149206528")</f>
        <v>923023857149206528</v>
      </c>
      <c r="F8623" s="10" t="s">
        <v>60</v>
      </c>
      <c r="G8623" s="10" t="n">
        <v>3074</v>
      </c>
      <c r="H8623" s="10" t="n">
        <v>14</v>
      </c>
      <c r="I8623" s="10" t="n">
        <v>0</v>
      </c>
      <c r="J8623" s="10" t="n">
        <v>0</v>
      </c>
      <c r="K8623" s="10" t="s">
        <v>20</v>
      </c>
      <c r="L8623" s="11" t="n">
        <v>40432.4156828704</v>
      </c>
      <c r="M8623" s="12" t="s">
        <v>2134</v>
      </c>
      <c r="N8623" s="12" t="s">
        <v>2135</v>
      </c>
      <c r="O8623" s="9" t="str">
        <f aca="false">HYPERLINK("https://pbs.twimg.com/profile_images/662564447542636544/LvMoxlK3_normal.jpg","View")</f>
        <v>View</v>
      </c>
      <c r="P8623" s="10"/>
    </row>
    <row r="8624" customFormat="false" ht="15.75" hidden="false" customHeight="false" outlineLevel="0" collapsed="false">
      <c r="A8624" s="6" t="n">
        <v>43032.840787037</v>
      </c>
      <c r="B8624" s="7" t="str">
        <f aca="false">HYPERLINK("https://twitter.com/STForeignDesk","@STForeignDesk")</f>
        <v>@STForeignDesk</v>
      </c>
      <c r="C8624" s="8" t="s">
        <v>3288</v>
      </c>
      <c r="D8624" s="8" t="s">
        <v>18829</v>
      </c>
      <c r="E8624" s="9" t="str">
        <f aca="false">HYPERLINK("https://twitter.com/STForeignDesk/status/923023996320235521","923023996320235521")</f>
        <v>923023996320235521</v>
      </c>
      <c r="F8624" s="10" t="s">
        <v>276</v>
      </c>
      <c r="G8624" s="10" t="n">
        <v>39376</v>
      </c>
      <c r="H8624" s="10" t="n">
        <v>109</v>
      </c>
      <c r="I8624" s="10" t="n">
        <v>1</v>
      </c>
      <c r="J8624" s="10" t="n">
        <v>0</v>
      </c>
      <c r="K8624" s="10" t="s">
        <v>20</v>
      </c>
      <c r="L8624" s="11" t="n">
        <v>41303.312025463</v>
      </c>
      <c r="M8624" s="12" t="s">
        <v>186</v>
      </c>
      <c r="N8624" s="12" t="s">
        <v>3290</v>
      </c>
      <c r="O8624" s="9" t="str">
        <f aca="false">HYPERLINK("https://pbs.twimg.com/profile_images/616014877300142080/6I99bogh_normal.jpg","View")</f>
        <v>View</v>
      </c>
      <c r="P8624" s="10"/>
    </row>
    <row r="8625" customFormat="false" ht="15.75" hidden="false" customHeight="false" outlineLevel="0" collapsed="false">
      <c r="A8625" s="6" t="n">
        <v>43032.8411226852</v>
      </c>
      <c r="B8625" s="7" t="str">
        <f aca="false">HYPERLINK("https://twitter.com/renewableworks","@renewableworks")</f>
        <v>@renewableworks</v>
      </c>
      <c r="C8625" s="8" t="s">
        <v>18830</v>
      </c>
      <c r="D8625" s="8" t="s">
        <v>18831</v>
      </c>
      <c r="E8625" s="9" t="str">
        <f aca="false">HYPERLINK("https://twitter.com/renewableworks/status/923024116550111232","923024116550111232")</f>
        <v>923024116550111232</v>
      </c>
      <c r="F8625" s="10" t="s">
        <v>177</v>
      </c>
      <c r="G8625" s="10" t="n">
        <v>580</v>
      </c>
      <c r="H8625" s="10" t="n">
        <v>788</v>
      </c>
      <c r="I8625" s="10" t="n">
        <v>4</v>
      </c>
      <c r="J8625" s="10" t="n">
        <v>0</v>
      </c>
      <c r="K8625" s="10" t="s">
        <v>20</v>
      </c>
      <c r="L8625" s="11" t="n">
        <v>40321.1631597222</v>
      </c>
      <c r="M8625" s="12" t="s">
        <v>18832</v>
      </c>
      <c r="N8625" s="12" t="s">
        <v>18833</v>
      </c>
      <c r="O8625" s="9" t="str">
        <f aca="false">HYPERLINK("https://pbs.twimg.com/profile_images/877516582838317057/w_F8eZM6_normal.jpg","View")</f>
        <v>View</v>
      </c>
      <c r="P8625" s="10"/>
    </row>
    <row r="8626" customFormat="false" ht="15.75" hidden="false" customHeight="false" outlineLevel="0" collapsed="false">
      <c r="A8626" s="6" t="n">
        <v>43032.8430555556</v>
      </c>
      <c r="B8626" s="7" t="str">
        <f aca="false">HYPERLINK("https://twitter.com/condorUD","@condorUD")</f>
        <v>@condorUD</v>
      </c>
      <c r="C8626" s="8" t="s">
        <v>18834</v>
      </c>
      <c r="D8626" s="8" t="s">
        <v>18617</v>
      </c>
      <c r="E8626" s="9" t="str">
        <f aca="false">HYPERLINK("https://twitter.com/condorUD/status/923024820077342721","923024820077342721")</f>
        <v>923024820077342721</v>
      </c>
      <c r="F8626" s="10" t="s">
        <v>39</v>
      </c>
      <c r="G8626" s="10" t="n">
        <v>1920</v>
      </c>
      <c r="H8626" s="10" t="n">
        <v>1143</v>
      </c>
      <c r="I8626" s="10" t="n">
        <v>47</v>
      </c>
      <c r="J8626" s="10" t="n">
        <v>0</v>
      </c>
      <c r="K8626" s="10" t="s">
        <v>20</v>
      </c>
      <c r="L8626" s="11" t="n">
        <v>40647.1117708333</v>
      </c>
      <c r="M8626" s="13" t="s">
        <v>18835</v>
      </c>
      <c r="N8626" s="13" t="s">
        <v>18836</v>
      </c>
      <c r="O8626" s="9" t="str">
        <f aca="false">HYPERLINK("https://pbs.twimg.com/profile_images/900368676246888448/UhpOaTLr_normal.jpg","View")</f>
        <v>View</v>
      </c>
      <c r="P8626" s="10"/>
    </row>
    <row r="8627" customFormat="false" ht="15.75" hidden="false" customHeight="false" outlineLevel="0" collapsed="false">
      <c r="A8627" s="6" t="n">
        <v>43032.8445601852</v>
      </c>
      <c r="B8627" s="7" t="str">
        <f aca="false">HYPERLINK("https://twitter.com/southeastasia4u","@southeastasia4u")</f>
        <v>@southeastasia4u</v>
      </c>
      <c r="C8627" s="8" t="s">
        <v>5391</v>
      </c>
      <c r="D8627" s="8" t="s">
        <v>18837</v>
      </c>
      <c r="E8627" s="9" t="str">
        <f aca="false">HYPERLINK("https://twitter.com/southeastasia4u/status/923025365458735104","923025365458735104")</f>
        <v>923025365458735104</v>
      </c>
      <c r="F8627" s="10" t="s">
        <v>110</v>
      </c>
      <c r="G8627" s="10" t="n">
        <v>10288</v>
      </c>
      <c r="H8627" s="10" t="n">
        <v>262</v>
      </c>
      <c r="I8627" s="10" t="n">
        <v>0</v>
      </c>
      <c r="J8627" s="10" t="n">
        <v>0</v>
      </c>
      <c r="K8627" s="10" t="s">
        <v>20</v>
      </c>
      <c r="L8627" s="11" t="n">
        <v>40501.2558449074</v>
      </c>
      <c r="M8627" s="12"/>
      <c r="N8627" s="12" t="s">
        <v>5393</v>
      </c>
      <c r="O8627" s="9" t="str">
        <f aca="false">HYPERLINK("https://pbs.twimg.com/profile_images/731982571609935872/8_XxaGHF_normal.jpg","View")</f>
        <v>View</v>
      </c>
      <c r="P8627" s="10"/>
    </row>
    <row r="8628" customFormat="false" ht="15.75" hidden="false" customHeight="false" outlineLevel="0" collapsed="false">
      <c r="A8628" s="6" t="n">
        <v>43032.8474652778</v>
      </c>
      <c r="B8628" s="7" t="str">
        <f aca="false">HYPERLINK("https://twitter.com/MexicoNewsBot","@MexicoNewsBot")</f>
        <v>@MexicoNewsBot</v>
      </c>
      <c r="C8628" s="8" t="s">
        <v>53</v>
      </c>
      <c r="D8628" s="8" t="s">
        <v>18838</v>
      </c>
      <c r="E8628" s="9" t="str">
        <f aca="false">HYPERLINK("https://twitter.com/MexicoNewsBot/status/923026418673553408","923026418673553408")</f>
        <v>923026418673553408</v>
      </c>
      <c r="F8628" s="10" t="s">
        <v>55</v>
      </c>
      <c r="G8628" s="10" t="n">
        <v>474</v>
      </c>
      <c r="H8628" s="10" t="n">
        <v>183</v>
      </c>
      <c r="I8628" s="10" t="n">
        <v>0</v>
      </c>
      <c r="J8628" s="10" t="n">
        <v>0</v>
      </c>
      <c r="K8628" s="10" t="s">
        <v>20</v>
      </c>
      <c r="L8628" s="11" t="n">
        <v>41845.7457523148</v>
      </c>
      <c r="M8628" s="12"/>
      <c r="N8628" s="12"/>
      <c r="O8628" s="9" t="str">
        <f aca="false">HYPERLINK("https://pbs.twimg.com/profile_images/492864938445000704/QxvpQrRZ_normal.jpeg","View")</f>
        <v>View</v>
      </c>
      <c r="P8628" s="10"/>
    </row>
    <row r="8629" customFormat="false" ht="15.75" hidden="false" customHeight="false" outlineLevel="0" collapsed="false">
      <c r="A8629" s="6" t="n">
        <v>43032.8482986111</v>
      </c>
      <c r="B8629" s="7" t="str">
        <f aca="false">HYPERLINK("https://twitter.com/MrRafiqIslamRo1","@MrRafiqIslamRo1")</f>
        <v>@MrRafiqIslamRo1</v>
      </c>
      <c r="C8629" s="8" t="s">
        <v>18814</v>
      </c>
      <c r="D8629" s="8" t="s">
        <v>18839</v>
      </c>
      <c r="E8629" s="9" t="str">
        <f aca="false">HYPERLINK("https://twitter.com/MrRafiqIslamRo1/status/923026720998825984","923026720998825984")</f>
        <v>923026720998825984</v>
      </c>
      <c r="F8629" s="10" t="s">
        <v>25</v>
      </c>
      <c r="G8629" s="10" t="n">
        <v>971</v>
      </c>
      <c r="H8629" s="10" t="n">
        <v>4981</v>
      </c>
      <c r="I8629" s="10" t="n">
        <v>0</v>
      </c>
      <c r="J8629" s="10" t="n">
        <v>0</v>
      </c>
      <c r="K8629" s="10" t="s">
        <v>20</v>
      </c>
      <c r="L8629" s="11" t="n">
        <v>42773.3072916667</v>
      </c>
      <c r="M8629" s="12" t="s">
        <v>2875</v>
      </c>
      <c r="N8629" s="12" t="s">
        <v>730</v>
      </c>
      <c r="O8629" s="9" t="str">
        <f aca="false">HYPERLINK("https://pbs.twimg.com/profile_images/849474066130112512/n0jUEsfw_normal.jpg","View")</f>
        <v>View</v>
      </c>
      <c r="P8629" s="10"/>
    </row>
    <row r="8630" customFormat="false" ht="15.75" hidden="false" customHeight="false" outlineLevel="0" collapsed="false">
      <c r="A8630" s="6" t="n">
        <v>43032.8496180556</v>
      </c>
      <c r="B8630" s="7" t="str">
        <f aca="false">HYPERLINK("https://twitter.com/uwNZe8nzkiQJXVa","@uwNZe8nzkiQJXVa")</f>
        <v>@uwNZe8nzkiQJXVa</v>
      </c>
      <c r="C8630" s="14" t="s">
        <v>18840</v>
      </c>
      <c r="D8630" s="8" t="s">
        <v>3991</v>
      </c>
      <c r="E8630" s="9" t="str">
        <f aca="false">HYPERLINK("https://twitter.com/uwNZe8nzkiQJXVa/status/923027198914654208","923027198914654208")</f>
        <v>923027198914654208</v>
      </c>
      <c r="F8630" s="10" t="s">
        <v>51</v>
      </c>
      <c r="G8630" s="10" t="n">
        <v>2708</v>
      </c>
      <c r="H8630" s="10" t="n">
        <v>3312</v>
      </c>
      <c r="I8630" s="10" t="n">
        <v>17</v>
      </c>
      <c r="J8630" s="10" t="n">
        <v>0</v>
      </c>
      <c r="K8630" s="10" t="s">
        <v>20</v>
      </c>
      <c r="L8630" s="11" t="n">
        <v>42583.2798263889</v>
      </c>
      <c r="M8630" s="12" t="s">
        <v>18841</v>
      </c>
      <c r="N8630" s="13" t="s">
        <v>18842</v>
      </c>
      <c r="O8630" s="9" t="str">
        <f aca="false">HYPERLINK("https://pbs.twimg.com/profile_images/891688673737035778/VJ6FOpPX_normal.jpg","View")</f>
        <v>View</v>
      </c>
      <c r="P8630" s="10"/>
    </row>
    <row r="8631" customFormat="false" ht="15.75" hidden="false" customHeight="false" outlineLevel="0" collapsed="false">
      <c r="A8631" s="6" t="n">
        <v>43032.8527199074</v>
      </c>
      <c r="B8631" s="7" t="str">
        <f aca="false">HYPERLINK("https://twitter.com/ishantewari","@ishantewari")</f>
        <v>@ishantewari</v>
      </c>
      <c r="C8631" s="8" t="s">
        <v>18843</v>
      </c>
      <c r="D8631" s="8" t="s">
        <v>18568</v>
      </c>
      <c r="E8631" s="9" t="str">
        <f aca="false">HYPERLINK("https://twitter.com/ishantewari/status/923028321243295744","923028321243295744")</f>
        <v>923028321243295744</v>
      </c>
      <c r="F8631" s="10" t="s">
        <v>51</v>
      </c>
      <c r="G8631" s="10" t="n">
        <v>206</v>
      </c>
      <c r="H8631" s="10" t="n">
        <v>352</v>
      </c>
      <c r="I8631" s="10" t="n">
        <v>8</v>
      </c>
      <c r="J8631" s="10" t="n">
        <v>0</v>
      </c>
      <c r="K8631" s="10" t="s">
        <v>20</v>
      </c>
      <c r="L8631" s="11" t="n">
        <v>39974.1135416667</v>
      </c>
      <c r="M8631" s="12" t="s">
        <v>87</v>
      </c>
      <c r="N8631" s="12" t="s">
        <v>18844</v>
      </c>
      <c r="O8631" s="9" t="str">
        <f aca="false">HYPERLINK("https://pbs.twimg.com/profile_images/640755165130153984/gMM3H6Ju_normal.jpg","View")</f>
        <v>View</v>
      </c>
      <c r="P8631" s="10"/>
    </row>
    <row r="8632" customFormat="false" ht="15.75" hidden="false" customHeight="false" outlineLevel="0" collapsed="false">
      <c r="A8632" s="6" t="n">
        <v>43032.8594097222</v>
      </c>
      <c r="B8632" s="7" t="str">
        <f aca="false">HYPERLINK("https://twitter.com/Nan33S","@Nan33S")</f>
        <v>@Nan33S</v>
      </c>
      <c r="C8632" s="8" t="s">
        <v>18845</v>
      </c>
      <c r="D8632" s="8" t="s">
        <v>18846</v>
      </c>
      <c r="E8632" s="9" t="str">
        <f aca="false">HYPERLINK("https://twitter.com/Nan33S/status/923030743743426560","923030743743426560")</f>
        <v>923030743743426560</v>
      </c>
      <c r="F8632" s="10" t="s">
        <v>51</v>
      </c>
      <c r="G8632" s="10" t="n">
        <v>6220</v>
      </c>
      <c r="H8632" s="10" t="n">
        <v>5618</v>
      </c>
      <c r="I8632" s="10" t="n">
        <v>1</v>
      </c>
      <c r="J8632" s="10" t="n">
        <v>0</v>
      </c>
      <c r="K8632" s="10" t="s">
        <v>20</v>
      </c>
      <c r="L8632" s="11" t="n">
        <v>40688.7316898148</v>
      </c>
      <c r="M8632" s="12" t="s">
        <v>18847</v>
      </c>
      <c r="N8632" s="12" t="s">
        <v>18848</v>
      </c>
      <c r="O8632" s="9" t="str">
        <f aca="false">HYPERLINK("https://pbs.twimg.com/profile_images/894986143703478272/BqiU3RRh_normal.jpg","View")</f>
        <v>View</v>
      </c>
      <c r="P8632" s="10"/>
    </row>
    <row r="8633" customFormat="false" ht="15.75" hidden="false" customHeight="false" outlineLevel="0" collapsed="false">
      <c r="A8633" s="6" t="n">
        <v>43032.8681481482</v>
      </c>
      <c r="B8633" s="7" t="str">
        <f aca="false">HYPERLINK("https://twitter.com/OneNewsPage_UK","@OneNewsPage_UK")</f>
        <v>@OneNewsPage_UK</v>
      </c>
      <c r="C8633" s="8" t="s">
        <v>18849</v>
      </c>
      <c r="D8633" s="8" t="s">
        <v>18850</v>
      </c>
      <c r="E8633" s="9" t="str">
        <f aca="false">HYPERLINK("https://twitter.com/OneNewsPage_UK/status/923033911172706304","923033911172706304")</f>
        <v>923033911172706304</v>
      </c>
      <c r="F8633" s="10" t="s">
        <v>18851</v>
      </c>
      <c r="G8633" s="10" t="n">
        <v>206</v>
      </c>
      <c r="H8633" s="10" t="n">
        <v>2</v>
      </c>
      <c r="I8633" s="10" t="n">
        <v>0</v>
      </c>
      <c r="J8633" s="10" t="n">
        <v>0</v>
      </c>
      <c r="K8633" s="10" t="s">
        <v>20</v>
      </c>
      <c r="L8633" s="11" t="n">
        <v>40164.0267361111</v>
      </c>
      <c r="M8633" s="12" t="s">
        <v>6851</v>
      </c>
      <c r="N8633" s="12" t="s">
        <v>18852</v>
      </c>
      <c r="O8633" s="9" t="str">
        <f aca="false">HYPERLINK("https://pbs.twimg.com/profile_images/578845562/ONPUK_256x256_normal.png","View")</f>
        <v>View</v>
      </c>
      <c r="P8633" s="10"/>
    </row>
    <row r="8634" customFormat="false" ht="15.75" hidden="false" customHeight="false" outlineLevel="0" collapsed="false">
      <c r="A8634" s="6" t="n">
        <v>43032.8753125</v>
      </c>
      <c r="B8634" s="7" t="str">
        <f aca="false">HYPERLINK("https://twitter.com/MrRafiqIslamRo5","@MrRafiqIslamRo5")</f>
        <v>@MrRafiqIslamRo5</v>
      </c>
      <c r="C8634" s="8" t="s">
        <v>18814</v>
      </c>
      <c r="D8634" s="8" t="s">
        <v>18853</v>
      </c>
      <c r="E8634" s="9" t="str">
        <f aca="false">HYPERLINK("https://twitter.com/MrRafiqIslamRo5/status/923036509380403200","923036509380403200")</f>
        <v>923036509380403200</v>
      </c>
      <c r="F8634" s="10" t="s">
        <v>25</v>
      </c>
      <c r="G8634" s="10" t="n">
        <v>590</v>
      </c>
      <c r="H8634" s="10" t="n">
        <v>4991</v>
      </c>
      <c r="I8634" s="10" t="n">
        <v>0</v>
      </c>
      <c r="J8634" s="10" t="n">
        <v>0</v>
      </c>
      <c r="K8634" s="10" t="s">
        <v>20</v>
      </c>
      <c r="L8634" s="11" t="n">
        <v>42848.1424074074</v>
      </c>
      <c r="M8634" s="12" t="s">
        <v>18854</v>
      </c>
      <c r="N8634" s="12" t="s">
        <v>18855</v>
      </c>
      <c r="O8634" s="9" t="str">
        <f aca="false">HYPERLINK("https://pbs.twimg.com/profile_images/860715593556570112/GRry-Mcg_normal.jpg","View")</f>
        <v>View</v>
      </c>
      <c r="P8634" s="10"/>
    </row>
    <row r="8635" customFormat="false" ht="15.75" hidden="false" customHeight="false" outlineLevel="0" collapsed="false">
      <c r="A8635" s="6" t="n">
        <v>43032.8776157407</v>
      </c>
      <c r="B8635" s="7" t="str">
        <f aca="false">HYPERLINK("https://twitter.com/Hachiro","@Hachiro")</f>
        <v>@Hachiro</v>
      </c>
      <c r="C8635" s="8" t="s">
        <v>18856</v>
      </c>
      <c r="D8635" s="8" t="s">
        <v>15302</v>
      </c>
      <c r="E8635" s="9" t="str">
        <f aca="false">HYPERLINK("https://twitter.com/Hachiro/status/923037345250603008","923037345250603008")</f>
        <v>923037345250603008</v>
      </c>
      <c r="F8635" s="10" t="s">
        <v>39</v>
      </c>
      <c r="G8635" s="10" t="n">
        <v>1190</v>
      </c>
      <c r="H8635" s="10" t="n">
        <v>57</v>
      </c>
      <c r="I8635" s="10" t="n">
        <v>11</v>
      </c>
      <c r="J8635" s="10" t="n">
        <v>0</v>
      </c>
      <c r="K8635" s="10" t="s">
        <v>20</v>
      </c>
      <c r="L8635" s="11" t="n">
        <v>39245.7175925926</v>
      </c>
      <c r="M8635" s="12" t="s">
        <v>4301</v>
      </c>
      <c r="N8635" s="12"/>
      <c r="O8635" s="9" t="str">
        <f aca="false">HYPERLINK("https://pbs.twimg.com/profile_images/29722912/lovehachiro_normal.jpg","View")</f>
        <v>View</v>
      </c>
      <c r="P8635" s="10"/>
    </row>
    <row r="8636" customFormat="false" ht="15.75" hidden="false" customHeight="false" outlineLevel="0" collapsed="false">
      <c r="A8636" s="6" t="n">
        <v>43032.8790509259</v>
      </c>
      <c r="B8636" s="7" t="str">
        <f aca="false">HYPERLINK("https://twitter.com/Kevin_851227","@Kevin_851227")</f>
        <v>@Kevin_851227</v>
      </c>
      <c r="C8636" s="8" t="s">
        <v>18857</v>
      </c>
      <c r="D8636" s="8" t="s">
        <v>18764</v>
      </c>
      <c r="E8636" s="9" t="str">
        <f aca="false">HYPERLINK("https://twitter.com/Kevin_851227/status/923037863020605440","923037863020605440")</f>
        <v>923037863020605440</v>
      </c>
      <c r="F8636" s="10" t="s">
        <v>39</v>
      </c>
      <c r="G8636" s="10" t="n">
        <v>8</v>
      </c>
      <c r="H8636" s="10" t="n">
        <v>157</v>
      </c>
      <c r="I8636" s="10" t="n">
        <v>6</v>
      </c>
      <c r="J8636" s="10" t="n">
        <v>0</v>
      </c>
      <c r="K8636" s="10" t="s">
        <v>20</v>
      </c>
      <c r="L8636" s="11" t="n">
        <v>42981.9414467593</v>
      </c>
      <c r="M8636" s="12"/>
      <c r="N8636" s="13" t="s">
        <v>18858</v>
      </c>
      <c r="O8636" s="9" t="str">
        <f aca="false">HYPERLINK("https://pbs.twimg.com/profile_images/904589325089640448/VZppbw1o_normal.jpg","View")</f>
        <v>View</v>
      </c>
      <c r="P8636" s="10"/>
    </row>
    <row r="8637" customFormat="false" ht="15.75" hidden="false" customHeight="false" outlineLevel="0" collapsed="false">
      <c r="A8637" s="6" t="n">
        <v>43032.8815740741</v>
      </c>
      <c r="B8637" s="7" t="str">
        <f aca="false">HYPERLINK("https://twitter.com/dakshink","@dakshink")</f>
        <v>@dakshink</v>
      </c>
      <c r="C8637" s="8" t="s">
        <v>18859</v>
      </c>
      <c r="D8637" s="8" t="s">
        <v>8538</v>
      </c>
      <c r="E8637" s="9" t="str">
        <f aca="false">HYPERLINK("https://twitter.com/dakshink/status/923038776548454400","923038776548454400")</f>
        <v>923038776548454400</v>
      </c>
      <c r="F8637" s="10" t="s">
        <v>51</v>
      </c>
      <c r="G8637" s="10" t="n">
        <v>33</v>
      </c>
      <c r="H8637" s="10" t="n">
        <v>41</v>
      </c>
      <c r="I8637" s="10" t="n">
        <v>1015</v>
      </c>
      <c r="J8637" s="10" t="n">
        <v>0</v>
      </c>
      <c r="K8637" s="10" t="s">
        <v>20</v>
      </c>
      <c r="L8637" s="11" t="n">
        <v>40099.452037037</v>
      </c>
      <c r="M8637" s="12" t="s">
        <v>18860</v>
      </c>
      <c r="N8637" s="12" t="s">
        <v>18861</v>
      </c>
      <c r="O8637" s="9" t="str">
        <f aca="false">HYPERLINK("https://pbs.twimg.com/profile_images/468788539/DakshinLinePicture1_normal.jpg","View")</f>
        <v>View</v>
      </c>
      <c r="P8637" s="10"/>
    </row>
    <row r="8638" customFormat="false" ht="15.75" hidden="false" customHeight="false" outlineLevel="0" collapsed="false">
      <c r="A8638" s="6" t="n">
        <v>43032.8825231481</v>
      </c>
      <c r="B8638" s="7" t="str">
        <f aca="false">HYPERLINK("https://twitter.com/MrRafiqIslamRo5","@MrRafiqIslamRo5")</f>
        <v>@MrRafiqIslamRo5</v>
      </c>
      <c r="C8638" s="8" t="s">
        <v>18814</v>
      </c>
      <c r="D8638" s="8" t="s">
        <v>18862</v>
      </c>
      <c r="E8638" s="9" t="str">
        <f aca="false">HYPERLINK("https://twitter.com/MrRafiqIslamRo5/status/923039120405938181","923039120405938181")</f>
        <v>923039120405938181</v>
      </c>
      <c r="F8638" s="10" t="s">
        <v>25</v>
      </c>
      <c r="G8638" s="10" t="n">
        <v>590</v>
      </c>
      <c r="H8638" s="10" t="n">
        <v>4991</v>
      </c>
      <c r="I8638" s="10" t="n">
        <v>0</v>
      </c>
      <c r="J8638" s="10" t="n">
        <v>0</v>
      </c>
      <c r="K8638" s="10" t="s">
        <v>20</v>
      </c>
      <c r="L8638" s="11" t="n">
        <v>42848.1424074074</v>
      </c>
      <c r="M8638" s="12" t="s">
        <v>18854</v>
      </c>
      <c r="N8638" s="12" t="s">
        <v>18855</v>
      </c>
      <c r="O8638" s="9" t="str">
        <f aca="false">HYPERLINK("https://pbs.twimg.com/profile_images/860715593556570112/GRry-Mcg_normal.jpg","View")</f>
        <v>View</v>
      </c>
      <c r="P8638" s="10"/>
    </row>
    <row r="8639" customFormat="false" ht="15.75" hidden="false" customHeight="false" outlineLevel="0" collapsed="false">
      <c r="A8639" s="6" t="n">
        <v>43032.8833564815</v>
      </c>
      <c r="B8639" s="7" t="str">
        <f aca="false">HYPERLINK("https://twitter.com/golden_venture","@golden_venture")</f>
        <v>@golden_venture</v>
      </c>
      <c r="C8639" s="8" t="s">
        <v>18863</v>
      </c>
      <c r="D8639" s="8" t="s">
        <v>18804</v>
      </c>
      <c r="E8639" s="9" t="str">
        <f aca="false">HYPERLINK("https://twitter.com/golden_venture/status/923039422458630144","923039422458630144")</f>
        <v>923039422458630144</v>
      </c>
      <c r="F8639" s="10" t="s">
        <v>39</v>
      </c>
      <c r="G8639" s="10" t="n">
        <v>4207</v>
      </c>
      <c r="H8639" s="10" t="n">
        <v>4120</v>
      </c>
      <c r="I8639" s="10" t="n">
        <v>2</v>
      </c>
      <c r="J8639" s="10" t="n">
        <v>0</v>
      </c>
      <c r="K8639" s="10" t="s">
        <v>20</v>
      </c>
      <c r="L8639" s="11" t="n">
        <v>42776.4979282407</v>
      </c>
      <c r="M8639" s="12" t="s">
        <v>18864</v>
      </c>
      <c r="N8639" s="12" t="s">
        <v>18865</v>
      </c>
      <c r="O8639" s="9" t="str">
        <f aca="false">HYPERLINK("https://pbs.twimg.com/profile_images/830145801200365568/h0OyjVMv_normal.jpg","View")</f>
        <v>View</v>
      </c>
      <c r="P8639" s="10"/>
    </row>
    <row r="8640" customFormat="false" ht="15.75" hidden="false" customHeight="false" outlineLevel="0" collapsed="false">
      <c r="A8640" s="6" t="n">
        <v>43032.9023263889</v>
      </c>
      <c r="B8640" s="7" t="str">
        <f aca="false">HYPERLINK("https://twitter.com/Midas_TOKYO","@Midas_TOKYO")</f>
        <v>@Midas_TOKYO</v>
      </c>
      <c r="C8640" s="8" t="s">
        <v>18866</v>
      </c>
      <c r="D8640" s="8" t="s">
        <v>17880</v>
      </c>
      <c r="E8640" s="9" t="str">
        <f aca="false">HYPERLINK("https://twitter.com/Midas_TOKYO/status/923046299892457473","923046299892457473")</f>
        <v>923046299892457473</v>
      </c>
      <c r="F8640" s="10" t="s">
        <v>98</v>
      </c>
      <c r="G8640" s="10" t="n">
        <v>1794</v>
      </c>
      <c r="H8640" s="10" t="n">
        <v>3909</v>
      </c>
      <c r="I8640" s="10" t="n">
        <v>27</v>
      </c>
      <c r="J8640" s="10" t="n">
        <v>0</v>
      </c>
      <c r="K8640" s="10" t="s">
        <v>20</v>
      </c>
      <c r="L8640" s="11" t="n">
        <v>41643.6109375</v>
      </c>
      <c r="M8640" s="12"/>
      <c r="N8640" s="12" t="s">
        <v>18867</v>
      </c>
      <c r="O8640" s="9" t="str">
        <f aca="false">HYPERLINK("https://pbs.twimg.com/profile_images/419602780072841217/spA9x0NQ_normal.jpeg","View")</f>
        <v>View</v>
      </c>
      <c r="P8640" s="10"/>
    </row>
    <row r="8641" customFormat="false" ht="15.75" hidden="false" customHeight="false" outlineLevel="0" collapsed="false">
      <c r="A8641" s="6" t="n">
        <v>43032.9050231482</v>
      </c>
      <c r="B8641" s="7" t="str">
        <f aca="false">HYPERLINK("https://twitter.com/melucky873","@melucky873")</f>
        <v>@melucky873</v>
      </c>
      <c r="C8641" s="8" t="s">
        <v>11346</v>
      </c>
      <c r="D8641" s="8" t="s">
        <v>18868</v>
      </c>
      <c r="E8641" s="9" t="str">
        <f aca="false">HYPERLINK("https://twitter.com/melucky873/status/923047277303877632","923047277303877632")</f>
        <v>923047277303877632</v>
      </c>
      <c r="F8641" s="10" t="s">
        <v>60</v>
      </c>
      <c r="G8641" s="10" t="n">
        <v>51</v>
      </c>
      <c r="H8641" s="10" t="n">
        <v>274</v>
      </c>
      <c r="I8641" s="10" t="n">
        <v>0</v>
      </c>
      <c r="J8641" s="10" t="n">
        <v>0</v>
      </c>
      <c r="K8641" s="10" t="s">
        <v>20</v>
      </c>
      <c r="L8641" s="11" t="n">
        <v>42033.0714583333</v>
      </c>
      <c r="M8641" s="12" t="s">
        <v>502</v>
      </c>
      <c r="N8641" s="12" t="s">
        <v>18869</v>
      </c>
      <c r="O8641" s="9" t="str">
        <f aca="false">HYPERLINK("https://pbs.twimg.com/profile_images/694505468601827328/pNQ72eTb_normal.jpg","View")</f>
        <v>View</v>
      </c>
      <c r="P8641" s="10"/>
    </row>
    <row r="8642" customFormat="false" ht="15.75" hidden="false" customHeight="false" outlineLevel="0" collapsed="false">
      <c r="A8642" s="6" t="n">
        <v>43032.9102777778</v>
      </c>
      <c r="B8642" s="7" t="str">
        <f aca="false">HYPERLINK("https://twitter.com/pangyu55911455","@pangyu55911455")</f>
        <v>@pangyu55911455</v>
      </c>
      <c r="C8642" s="8" t="s">
        <v>18870</v>
      </c>
      <c r="D8642" s="8" t="s">
        <v>18871</v>
      </c>
      <c r="E8642" s="9" t="str">
        <f aca="false">HYPERLINK("https://twitter.com/pangyu55911455/status/923049178766249984","923049178766249984")</f>
        <v>923049178766249984</v>
      </c>
      <c r="F8642" s="10" t="s">
        <v>39</v>
      </c>
      <c r="G8642" s="10" t="n">
        <v>6</v>
      </c>
      <c r="H8642" s="10" t="n">
        <v>70</v>
      </c>
      <c r="I8642" s="10" t="n">
        <v>0</v>
      </c>
      <c r="J8642" s="10" t="n">
        <v>0</v>
      </c>
      <c r="K8642" s="10" t="s">
        <v>20</v>
      </c>
      <c r="L8642" s="11" t="n">
        <v>43032.2819791667</v>
      </c>
      <c r="M8642" s="12"/>
      <c r="N8642" s="12"/>
      <c r="O8642" s="9" t="str">
        <f aca="false">HYPERLINK("https://pbs.twimg.com/profile_images/923171048303951873/ynPSHdND_normal.jpg","View")</f>
        <v>View</v>
      </c>
      <c r="P8642" s="10"/>
    </row>
    <row r="8643" customFormat="false" ht="15.75" hidden="false" customHeight="false" outlineLevel="0" collapsed="false">
      <c r="A8643" s="6" t="n">
        <v>43032.9102777778</v>
      </c>
      <c r="B8643" s="7" t="str">
        <f aca="false">HYPERLINK("https://twitter.com/querong92643614","@querong92643614")</f>
        <v>@querong92643614</v>
      </c>
      <c r="C8643" s="8" t="s">
        <v>18872</v>
      </c>
      <c r="D8643" s="8" t="s">
        <v>18873</v>
      </c>
      <c r="E8643" s="9" t="str">
        <f aca="false">HYPERLINK("https://twitter.com/querong92643614/status/923049178871169024","923049178871169024")</f>
        <v>923049178871169024</v>
      </c>
      <c r="F8643" s="10" t="s">
        <v>39</v>
      </c>
      <c r="G8643" s="10" t="n">
        <v>9</v>
      </c>
      <c r="H8643" s="10" t="n">
        <v>72</v>
      </c>
      <c r="I8643" s="10" t="n">
        <v>0</v>
      </c>
      <c r="J8643" s="10" t="n">
        <v>0</v>
      </c>
      <c r="K8643" s="10" t="s">
        <v>20</v>
      </c>
      <c r="L8643" s="11" t="n">
        <v>43032.2873842593</v>
      </c>
      <c r="M8643" s="12"/>
      <c r="N8643" s="12"/>
      <c r="O8643" s="9" t="str">
        <f aca="false">HYPERLINK("https://pbs.twimg.com/profile_images/923171048371003392/Efbng29u_normal.jpg","View")</f>
        <v>View</v>
      </c>
      <c r="P8643" s="10"/>
    </row>
    <row r="8644" customFormat="false" ht="15.75" hidden="false" customHeight="false" outlineLevel="0" collapsed="false">
      <c r="A8644" s="6" t="n">
        <v>43032.9102777778</v>
      </c>
      <c r="B8644" s="7" t="str">
        <f aca="false">HYPERLINK("https://twitter.com/yanghao291462","@yanghao291462")</f>
        <v>@yanghao291462</v>
      </c>
      <c r="C8644" s="8" t="s">
        <v>18874</v>
      </c>
      <c r="D8644" s="8" t="s">
        <v>18875</v>
      </c>
      <c r="E8644" s="9" t="str">
        <f aca="false">HYPERLINK("https://twitter.com/yanghao291462/status/923049178883698688","923049178883698688")</f>
        <v>923049178883698688</v>
      </c>
      <c r="F8644" s="10" t="s">
        <v>39</v>
      </c>
      <c r="G8644" s="10" t="n">
        <v>7</v>
      </c>
      <c r="H8644" s="10" t="n">
        <v>53</v>
      </c>
      <c r="I8644" s="10" t="n">
        <v>0</v>
      </c>
      <c r="J8644" s="10" t="n">
        <v>0</v>
      </c>
      <c r="K8644" s="10" t="s">
        <v>20</v>
      </c>
      <c r="L8644" s="11" t="n">
        <v>43032.2849189815</v>
      </c>
      <c r="M8644" s="12"/>
      <c r="N8644" s="12"/>
      <c r="O8644" s="9" t="str">
        <f aca="false">HYPERLINK("https://pbs.twimg.com/profile_images/923171048299773952/KBfzFCVa_normal.jpg","View")</f>
        <v>View</v>
      </c>
      <c r="P8644" s="10"/>
    </row>
    <row r="8645" customFormat="false" ht="15.75" hidden="false" customHeight="false" outlineLevel="0" collapsed="false">
      <c r="A8645" s="6" t="n">
        <v>43032.9102777778</v>
      </c>
      <c r="B8645" s="7" t="str">
        <f aca="false">HYPERLINK("https://twitter.com/bazai82620561","@bazai82620561")</f>
        <v>@bazai82620561</v>
      </c>
      <c r="C8645" s="8" t="s">
        <v>18876</v>
      </c>
      <c r="D8645" s="8" t="s">
        <v>18877</v>
      </c>
      <c r="E8645" s="9" t="str">
        <f aca="false">HYPERLINK("https://twitter.com/bazai82620561/status/923049179055669248","923049179055669248")</f>
        <v>923049179055669248</v>
      </c>
      <c r="F8645" s="10" t="s">
        <v>39</v>
      </c>
      <c r="G8645" s="10" t="n">
        <v>5</v>
      </c>
      <c r="H8645" s="10" t="n">
        <v>56</v>
      </c>
      <c r="I8645" s="10" t="n">
        <v>0</v>
      </c>
      <c r="J8645" s="10" t="n">
        <v>0</v>
      </c>
      <c r="K8645" s="10" t="s">
        <v>20</v>
      </c>
      <c r="L8645" s="11" t="n">
        <v>43032.2803356482</v>
      </c>
      <c r="M8645" s="12"/>
      <c r="N8645" s="12"/>
      <c r="O8645" s="9" t="str">
        <f aca="false">HYPERLINK("https://pbs.twimg.com/profile_images/923171048320675840/iWPqJfhj_normal.jpg","View")</f>
        <v>View</v>
      </c>
      <c r="P8645" s="10"/>
    </row>
    <row r="8646" customFormat="false" ht="15.75" hidden="false" customHeight="false" outlineLevel="0" collapsed="false">
      <c r="A8646" s="6" t="n">
        <v>43032.9102777778</v>
      </c>
      <c r="B8646" s="7" t="str">
        <f aca="false">HYPERLINK("https://twitter.com/muzhu37954","@muzhu37954")</f>
        <v>@muzhu37954</v>
      </c>
      <c r="C8646" s="8" t="s">
        <v>18878</v>
      </c>
      <c r="D8646" s="8" t="s">
        <v>18879</v>
      </c>
      <c r="E8646" s="9" t="str">
        <f aca="false">HYPERLINK("https://twitter.com/muzhu37954/status/923049179357704194","923049179357704194")</f>
        <v>923049179357704194</v>
      </c>
      <c r="F8646" s="10" t="s">
        <v>39</v>
      </c>
      <c r="G8646" s="10" t="n">
        <v>9</v>
      </c>
      <c r="H8646" s="10" t="n">
        <v>74</v>
      </c>
      <c r="I8646" s="10" t="n">
        <v>0</v>
      </c>
      <c r="J8646" s="10" t="n">
        <v>0</v>
      </c>
      <c r="K8646" s="10" t="s">
        <v>20</v>
      </c>
      <c r="L8646" s="11" t="n">
        <v>43032.2836342593</v>
      </c>
      <c r="M8646" s="12"/>
      <c r="N8646" s="12"/>
      <c r="O8646" s="9" t="str">
        <f aca="false">HYPERLINK("https://pbs.twimg.com/profile_images/923171048341716994/pOufVNZg_normal.jpg","View")</f>
        <v>View</v>
      </c>
      <c r="P8646" s="10"/>
    </row>
    <row r="8647" customFormat="false" ht="15.75" hidden="false" customHeight="false" outlineLevel="0" collapsed="false">
      <c r="A8647" s="6" t="n">
        <v>43032.9245949074</v>
      </c>
      <c r="B8647" s="7" t="str">
        <f aca="false">HYPERLINK("https://twitter.com/New_Narrative","@New_Narrative")</f>
        <v>@New_Narrative</v>
      </c>
      <c r="C8647" s="8" t="s">
        <v>1628</v>
      </c>
      <c r="D8647" s="8" t="s">
        <v>18880</v>
      </c>
      <c r="E8647" s="9" t="str">
        <f aca="false">HYPERLINK("https://twitter.com/New_Narrative/status/923054366474555393","923054366474555393")</f>
        <v>923054366474555393</v>
      </c>
      <c r="F8647" s="10" t="s">
        <v>51</v>
      </c>
      <c r="G8647" s="10" t="n">
        <v>6542</v>
      </c>
      <c r="H8647" s="10" t="n">
        <v>12</v>
      </c>
      <c r="I8647" s="10" t="n">
        <v>0</v>
      </c>
      <c r="J8647" s="10" t="n">
        <v>0</v>
      </c>
      <c r="K8647" s="10" t="s">
        <v>20</v>
      </c>
      <c r="L8647" s="11" t="n">
        <v>40566.3804166667</v>
      </c>
      <c r="M8647" s="12" t="s">
        <v>1630</v>
      </c>
      <c r="N8647" s="12" t="s">
        <v>1631</v>
      </c>
      <c r="O8647" s="9" t="str">
        <f aca="false">HYPERLINK("https://pbs.twimg.com/profile_images/1548673665/megaphone-kid-cropped_normal.jpg","View")</f>
        <v>View</v>
      </c>
      <c r="P8647" s="10"/>
    </row>
    <row r="8648" customFormat="false" ht="15.75" hidden="false" customHeight="false" outlineLevel="0" collapsed="false">
      <c r="A8648" s="6" t="n">
        <v>43032.9341666667</v>
      </c>
      <c r="B8648" s="7" t="str">
        <f aca="false">HYPERLINK("https://twitter.com/sugirtha_paul","@sugirtha_paul")</f>
        <v>@sugirtha_paul</v>
      </c>
      <c r="C8648" s="8" t="s">
        <v>18881</v>
      </c>
      <c r="D8648" s="8" t="s">
        <v>18021</v>
      </c>
      <c r="E8648" s="9" t="str">
        <f aca="false">HYPERLINK("https://twitter.com/sugirtha_paul/status/923057835788845056","923057835788845056")</f>
        <v>923057835788845056</v>
      </c>
      <c r="F8648" s="10" t="s">
        <v>25</v>
      </c>
      <c r="G8648" s="10" t="n">
        <v>70</v>
      </c>
      <c r="H8648" s="10" t="n">
        <v>139</v>
      </c>
      <c r="I8648" s="10" t="n">
        <v>18</v>
      </c>
      <c r="J8648" s="10" t="n">
        <v>0</v>
      </c>
      <c r="K8648" s="10" t="s">
        <v>20</v>
      </c>
      <c r="L8648" s="11" t="n">
        <v>41958.2750810185</v>
      </c>
      <c r="M8648" s="12" t="s">
        <v>72</v>
      </c>
      <c r="N8648" s="12" t="s">
        <v>18882</v>
      </c>
      <c r="O8648" s="9" t="str">
        <f aca="false">HYPERLINK("https://pbs.twimg.com/profile_images/780643860149997568/coBcxZrd_normal.jpg","View")</f>
        <v>View</v>
      </c>
      <c r="P8648" s="10"/>
    </row>
    <row r="8649" customFormat="false" ht="15.75" hidden="false" customHeight="false" outlineLevel="0" collapsed="false">
      <c r="A8649" s="6" t="n">
        <v>43032.9411226852</v>
      </c>
      <c r="B8649" s="7" t="str">
        <f aca="false">HYPERLINK("https://twitter.com/JamieTengan415","@JamieTengan415")</f>
        <v>@JamieTengan415</v>
      </c>
      <c r="C8649" s="8" t="s">
        <v>18883</v>
      </c>
      <c r="D8649" s="8" t="s">
        <v>18121</v>
      </c>
      <c r="E8649" s="9" t="str">
        <f aca="false">HYPERLINK("https://twitter.com/JamieTengan415/status/923060359019167745","923060359019167745")</f>
        <v>923060359019167745</v>
      </c>
      <c r="F8649" s="10" t="s">
        <v>51</v>
      </c>
      <c r="G8649" s="10" t="n">
        <v>824</v>
      </c>
      <c r="H8649" s="10" t="n">
        <v>1576</v>
      </c>
      <c r="I8649" s="10" t="n">
        <v>4</v>
      </c>
      <c r="J8649" s="10" t="n">
        <v>0</v>
      </c>
      <c r="K8649" s="10" t="s">
        <v>20</v>
      </c>
      <c r="L8649" s="11" t="n">
        <v>39829.8592708333</v>
      </c>
      <c r="M8649" s="12" t="s">
        <v>1473</v>
      </c>
      <c r="N8649" s="12" t="s">
        <v>18884</v>
      </c>
      <c r="O8649" s="9" t="str">
        <f aca="false">HYPERLINK("https://pbs.twimg.com/profile_images/705975272365912064/7DZ2qOv__normal.jpg","View")</f>
        <v>View</v>
      </c>
      <c r="P8649" s="10"/>
    </row>
    <row r="8650" customFormat="false" ht="15.75" hidden="false" customHeight="false" outlineLevel="0" collapsed="false">
      <c r="A8650" s="6" t="n">
        <v>43032.9437268519</v>
      </c>
      <c r="B8650" s="7" t="str">
        <f aca="false">HYPERLINK("https://twitter.com/ufcelufcel","@ufcelufcel")</f>
        <v>@ufcelufcel</v>
      </c>
      <c r="C8650" s="14" t="s">
        <v>18885</v>
      </c>
      <c r="D8650" s="8" t="s">
        <v>3991</v>
      </c>
      <c r="E8650" s="9" t="str">
        <f aca="false">HYPERLINK("https://twitter.com/ufcelufcel/status/923061299268878337","923061299268878337")</f>
        <v>923061299268878337</v>
      </c>
      <c r="F8650" s="10" t="s">
        <v>39</v>
      </c>
      <c r="G8650" s="10" t="n">
        <v>1712</v>
      </c>
      <c r="H8650" s="10" t="n">
        <v>1954</v>
      </c>
      <c r="I8650" s="10" t="n">
        <v>17</v>
      </c>
      <c r="J8650" s="10" t="n">
        <v>0</v>
      </c>
      <c r="K8650" s="10" t="s">
        <v>20</v>
      </c>
      <c r="L8650" s="11" t="n">
        <v>42134.1700925926</v>
      </c>
      <c r="M8650" s="12"/>
      <c r="N8650" s="13" t="s">
        <v>18886</v>
      </c>
      <c r="O8650" s="9" t="str">
        <f aca="false">HYPERLINK("https://pbs.twimg.com/profile_images/597371931453591552/0aswd6wn_normal.jpg","View")</f>
        <v>View</v>
      </c>
      <c r="P8650" s="10"/>
    </row>
    <row r="8651" customFormat="false" ht="15.75" hidden="false" customHeight="false" outlineLevel="0" collapsed="false">
      <c r="A8651" s="6" t="n">
        <v>43032.9446180556</v>
      </c>
      <c r="B8651" s="7" t="str">
        <f aca="false">HYPERLINK("https://twitter.com/JSlate__","@JSlate__")</f>
        <v>@JSlate__</v>
      </c>
      <c r="C8651" s="8" t="s">
        <v>17071</v>
      </c>
      <c r="D8651" s="8" t="s">
        <v>18617</v>
      </c>
      <c r="E8651" s="9" t="str">
        <f aca="false">HYPERLINK("https://twitter.com/JSlate__/status/923061622964391936","923061622964391936")</f>
        <v>923061622964391936</v>
      </c>
      <c r="F8651" s="10" t="s">
        <v>51</v>
      </c>
      <c r="G8651" s="10" t="n">
        <v>547</v>
      </c>
      <c r="H8651" s="10" t="n">
        <v>1404</v>
      </c>
      <c r="I8651" s="10" t="n">
        <v>47</v>
      </c>
      <c r="J8651" s="10" t="n">
        <v>0</v>
      </c>
      <c r="K8651" s="10" t="s">
        <v>20</v>
      </c>
      <c r="L8651" s="11" t="n">
        <v>42619.6994675926</v>
      </c>
      <c r="M8651" s="12" t="s">
        <v>17072</v>
      </c>
      <c r="N8651" s="12" t="s">
        <v>17073</v>
      </c>
      <c r="O8651" s="9" t="str">
        <f aca="false">HYPERLINK("https://pbs.twimg.com/profile_images/922102177606393856/zIAuih9T_normal.jpg","View")</f>
        <v>View</v>
      </c>
      <c r="P8651" s="10"/>
    </row>
    <row r="8652" customFormat="false" ht="15.75" hidden="false" customHeight="false" outlineLevel="0" collapsed="false">
      <c r="A8652" s="6" t="n">
        <v>43032.9454513889</v>
      </c>
      <c r="B8652" s="7" t="str">
        <f aca="false">HYPERLINK("https://twitter.com/wannabafreeman","@wannabafreeman")</f>
        <v>@wannabafreeman</v>
      </c>
      <c r="C8652" s="14" t="s">
        <v>18887</v>
      </c>
      <c r="D8652" s="8" t="s">
        <v>18617</v>
      </c>
      <c r="E8652" s="9" t="str">
        <f aca="false">HYPERLINK("https://twitter.com/wannabafreeman/status/923061925272940545","923061925272940545")</f>
        <v>923061925272940545</v>
      </c>
      <c r="F8652" s="10" t="s">
        <v>51</v>
      </c>
      <c r="G8652" s="10" t="n">
        <v>200</v>
      </c>
      <c r="H8652" s="10" t="n">
        <v>663</v>
      </c>
      <c r="I8652" s="10" t="n">
        <v>47</v>
      </c>
      <c r="J8652" s="10" t="n">
        <v>0</v>
      </c>
      <c r="K8652" s="10" t="s">
        <v>20</v>
      </c>
      <c r="L8652" s="11" t="n">
        <v>42656.2894791667</v>
      </c>
      <c r="M8652" s="13" t="s">
        <v>18888</v>
      </c>
      <c r="N8652" s="13" t="s">
        <v>18889</v>
      </c>
      <c r="O8652" s="9" t="str">
        <f aca="false">HYPERLINK("https://pbs.twimg.com/profile_images/789291561762729985/M3gZnJL6_normal.jpg","View")</f>
        <v>View</v>
      </c>
      <c r="P8652" s="10"/>
    </row>
    <row r="8653" customFormat="false" ht="15.75" hidden="false" customHeight="false" outlineLevel="0" collapsed="false">
      <c r="A8653" s="6" t="n">
        <v>43032.9562847222</v>
      </c>
      <c r="B8653" s="7" t="str">
        <f aca="false">HYPERLINK("https://twitter.com/DavidPapp","@DavidPapp")</f>
        <v>@DavidPapp</v>
      </c>
      <c r="C8653" s="8" t="s">
        <v>15487</v>
      </c>
      <c r="D8653" s="8" t="s">
        <v>18890</v>
      </c>
      <c r="E8653" s="9" t="str">
        <f aca="false">HYPERLINK("https://twitter.com/DavidPapp/status/923065850181181440","923065850181181440")</f>
        <v>923065850181181440</v>
      </c>
      <c r="F8653" s="10" t="s">
        <v>1167</v>
      </c>
      <c r="G8653" s="10" t="n">
        <v>166579</v>
      </c>
      <c r="H8653" s="10" t="n">
        <v>34463</v>
      </c>
      <c r="I8653" s="10" t="n">
        <v>1</v>
      </c>
      <c r="J8653" s="10" t="n">
        <v>7</v>
      </c>
      <c r="K8653" s="10" t="s">
        <v>20</v>
      </c>
      <c r="L8653" s="11" t="n">
        <v>40200.6317361111</v>
      </c>
      <c r="M8653" s="12" t="s">
        <v>15489</v>
      </c>
      <c r="N8653" s="12" t="s">
        <v>15490</v>
      </c>
      <c r="O8653" s="9" t="str">
        <f aca="false">HYPERLINK("https://pbs.twimg.com/profile_images/900849692803702784/c152hboP_normal.jpg","View")</f>
        <v>View</v>
      </c>
      <c r="P8653" s="10"/>
    </row>
    <row r="8654" customFormat="false" ht="15.75" hidden="false" customHeight="false" outlineLevel="0" collapsed="false">
      <c r="A8654" s="6" t="n">
        <v>43032.9606365741</v>
      </c>
      <c r="B8654" s="7" t="str">
        <f aca="false">HYPERLINK("https://twitter.com/jemora13","@jemora13")</f>
        <v>@jemora13</v>
      </c>
      <c r="C8654" s="8" t="s">
        <v>18891</v>
      </c>
      <c r="D8654" s="8" t="s">
        <v>18892</v>
      </c>
      <c r="E8654" s="9" t="str">
        <f aca="false">HYPERLINK("https://twitter.com/jemora13/status/923067428598251521","923067428598251521")</f>
        <v>923067428598251521</v>
      </c>
      <c r="F8654" s="10" t="s">
        <v>39</v>
      </c>
      <c r="G8654" s="10" t="n">
        <v>42</v>
      </c>
      <c r="H8654" s="10" t="n">
        <v>235</v>
      </c>
      <c r="I8654" s="10" t="n">
        <v>0</v>
      </c>
      <c r="J8654" s="10" t="n">
        <v>0</v>
      </c>
      <c r="K8654" s="10" t="s">
        <v>20</v>
      </c>
      <c r="L8654" s="11" t="n">
        <v>42791.8449189815</v>
      </c>
      <c r="M8654" s="12" t="s">
        <v>10674</v>
      </c>
      <c r="N8654" s="12" t="s">
        <v>18893</v>
      </c>
      <c r="O8654" s="9" t="str">
        <f aca="false">HYPERLINK("https://pbs.twimg.com/profile_images/914863414807117826/qPiMaeTZ_normal.jpg","View")</f>
        <v>View</v>
      </c>
      <c r="P8654" s="10"/>
    </row>
    <row r="8655" customFormat="false" ht="15.75" hidden="false" customHeight="false" outlineLevel="0" collapsed="false">
      <c r="A8655" s="6" t="n">
        <v>43032.9616782407</v>
      </c>
      <c r="B8655" s="7" t="str">
        <f aca="false">HYPERLINK("https://twitter.com/Gracyvdd","@Gracyvdd")</f>
        <v>@Gracyvdd</v>
      </c>
      <c r="C8655" s="8" t="s">
        <v>18894</v>
      </c>
      <c r="D8655" s="8" t="s">
        <v>16929</v>
      </c>
      <c r="E8655" s="9" t="str">
        <f aca="false">HYPERLINK("https://twitter.com/Gracyvdd/status/923067808459603968","923067808459603968")</f>
        <v>923067808459603968</v>
      </c>
      <c r="F8655" s="10" t="s">
        <v>51</v>
      </c>
      <c r="G8655" s="10" t="n">
        <v>119</v>
      </c>
      <c r="H8655" s="10" t="n">
        <v>78</v>
      </c>
      <c r="I8655" s="10" t="n">
        <v>247</v>
      </c>
      <c r="J8655" s="10" t="n">
        <v>0</v>
      </c>
      <c r="K8655" s="10" t="s">
        <v>20</v>
      </c>
      <c r="L8655" s="11" t="n">
        <v>40414.7888657407</v>
      </c>
      <c r="M8655" s="12" t="s">
        <v>2217</v>
      </c>
      <c r="N8655" s="12" t="s">
        <v>18895</v>
      </c>
      <c r="O8655" s="9" t="str">
        <f aca="false">HYPERLINK("https://pbs.twimg.com/profile_images/707792071801839616/Nic7s6qo_normal.jpg","View")</f>
        <v>View</v>
      </c>
      <c r="P8655" s="10"/>
    </row>
    <row r="8656" customFormat="false" ht="15.75" hidden="false" customHeight="false" outlineLevel="0" collapsed="false">
      <c r="A8656" s="6" t="n">
        <v>43032.9623611111</v>
      </c>
      <c r="B8656" s="7" t="str">
        <f aca="false">HYPERLINK("https://twitter.com/Gracyvdd","@Gracyvdd")</f>
        <v>@Gracyvdd</v>
      </c>
      <c r="C8656" s="8" t="s">
        <v>18894</v>
      </c>
      <c r="D8656" s="8" t="s">
        <v>13114</v>
      </c>
      <c r="E8656" s="9" t="str">
        <f aca="false">HYPERLINK("https://twitter.com/Gracyvdd/status/923068055394983936","923068055394983936")</f>
        <v>923068055394983936</v>
      </c>
      <c r="F8656" s="10" t="s">
        <v>51</v>
      </c>
      <c r="G8656" s="10" t="n">
        <v>119</v>
      </c>
      <c r="H8656" s="10" t="n">
        <v>78</v>
      </c>
      <c r="I8656" s="10" t="n">
        <v>19</v>
      </c>
      <c r="J8656" s="10" t="n">
        <v>0</v>
      </c>
      <c r="K8656" s="10" t="s">
        <v>20</v>
      </c>
      <c r="L8656" s="11" t="n">
        <v>40414.7888657407</v>
      </c>
      <c r="M8656" s="12" t="s">
        <v>2217</v>
      </c>
      <c r="N8656" s="12" t="s">
        <v>18895</v>
      </c>
      <c r="O8656" s="9" t="str">
        <f aca="false">HYPERLINK("https://pbs.twimg.com/profile_images/707792071801839616/Nic7s6qo_normal.jpg","View")</f>
        <v>View</v>
      </c>
      <c r="P8656" s="10"/>
    </row>
    <row r="8657" customFormat="false" ht="15.75" hidden="false" customHeight="false" outlineLevel="0" collapsed="false">
      <c r="A8657" s="6" t="n">
        <v>43032.9631712963</v>
      </c>
      <c r="B8657" s="7" t="str">
        <f aca="false">HYPERLINK("https://twitter.com/Gracyvdd","@Gracyvdd")</f>
        <v>@Gracyvdd</v>
      </c>
      <c r="C8657" s="8" t="s">
        <v>18894</v>
      </c>
      <c r="D8657" s="8" t="s">
        <v>10788</v>
      </c>
      <c r="E8657" s="9" t="str">
        <f aca="false">HYPERLINK("https://twitter.com/Gracyvdd/status/923068345967972352","923068345967972352")</f>
        <v>923068345967972352</v>
      </c>
      <c r="F8657" s="10" t="s">
        <v>51</v>
      </c>
      <c r="G8657" s="10" t="n">
        <v>119</v>
      </c>
      <c r="H8657" s="10" t="n">
        <v>78</v>
      </c>
      <c r="I8657" s="10" t="n">
        <v>18</v>
      </c>
      <c r="J8657" s="10" t="n">
        <v>0</v>
      </c>
      <c r="K8657" s="10" t="s">
        <v>20</v>
      </c>
      <c r="L8657" s="11" t="n">
        <v>40414.7888657407</v>
      </c>
      <c r="M8657" s="12" t="s">
        <v>2217</v>
      </c>
      <c r="N8657" s="12" t="s">
        <v>18895</v>
      </c>
      <c r="O8657" s="9" t="str">
        <f aca="false">HYPERLINK("https://pbs.twimg.com/profile_images/707792071801839616/Nic7s6qo_normal.jpg","View")</f>
        <v>View</v>
      </c>
      <c r="P8657" s="10"/>
    </row>
    <row r="8658" customFormat="false" ht="15.75" hidden="false" customHeight="false" outlineLevel="0" collapsed="false">
      <c r="A8658" s="6" t="n">
        <v>43032.9640740741</v>
      </c>
      <c r="B8658" s="7" t="str">
        <f aca="false">HYPERLINK("https://twitter.com/business","@business")</f>
        <v>@business</v>
      </c>
      <c r="C8658" s="8" t="s">
        <v>196</v>
      </c>
      <c r="D8658" s="8" t="s">
        <v>18896</v>
      </c>
      <c r="E8658" s="9" t="str">
        <f aca="false">HYPERLINK("https://twitter.com/business/status/923068673765658624","923068673765658624")</f>
        <v>923068673765658624</v>
      </c>
      <c r="F8658" s="10" t="s">
        <v>268</v>
      </c>
      <c r="G8658" s="10" t="n">
        <v>4344209</v>
      </c>
      <c r="H8658" s="10" t="n">
        <v>1088</v>
      </c>
      <c r="I8658" s="10" t="n">
        <v>10</v>
      </c>
      <c r="J8658" s="10" t="n">
        <v>24</v>
      </c>
      <c r="K8658" s="10" t="s">
        <v>20</v>
      </c>
      <c r="L8658" s="11" t="n">
        <v>39926.5453356481</v>
      </c>
      <c r="M8658" s="12" t="s">
        <v>199</v>
      </c>
      <c r="N8658" s="12" t="s">
        <v>200</v>
      </c>
      <c r="O8658" s="9" t="str">
        <f aca="false">HYPERLINK("https://pbs.twimg.com/profile_images/714946924105883648/4fgNVF4H_normal.jpg","View")</f>
        <v>View</v>
      </c>
      <c r="P8658" s="10"/>
    </row>
    <row r="8659" customFormat="false" ht="15.75" hidden="false" customHeight="false" outlineLevel="0" collapsed="false">
      <c r="A8659" s="6" t="n">
        <v>43032.9643171296</v>
      </c>
      <c r="B8659" s="7" t="str">
        <f aca="false">HYPERLINK("https://twitter.com/swissifg","@swissifg")</f>
        <v>@swissifg</v>
      </c>
      <c r="C8659" s="8" t="s">
        <v>247</v>
      </c>
      <c r="D8659" s="8" t="s">
        <v>18897</v>
      </c>
      <c r="E8659" s="9" t="str">
        <f aca="false">HYPERLINK("https://twitter.com/swissifg/status/923068764299649024","923068764299649024")</f>
        <v>923068764299649024</v>
      </c>
      <c r="F8659" s="10" t="s">
        <v>60</v>
      </c>
      <c r="G8659" s="10" t="n">
        <v>1202</v>
      </c>
      <c r="H8659" s="10" t="n">
        <v>670</v>
      </c>
      <c r="I8659" s="10" t="n">
        <v>0</v>
      </c>
      <c r="J8659" s="10" t="n">
        <v>0</v>
      </c>
      <c r="K8659" s="10" t="s">
        <v>20</v>
      </c>
      <c r="L8659" s="11" t="n">
        <v>42499.2341087963</v>
      </c>
      <c r="M8659" s="12" t="s">
        <v>249</v>
      </c>
      <c r="N8659" s="12" t="s">
        <v>250</v>
      </c>
      <c r="O8659" s="9" t="str">
        <f aca="false">HYPERLINK("https://pbs.twimg.com/profile_images/729681805088063489/N4ls5vb8_normal.jpg","View")</f>
        <v>View</v>
      </c>
      <c r="P8659" s="10"/>
    </row>
    <row r="8660" customFormat="false" ht="15.75" hidden="false" customHeight="false" outlineLevel="0" collapsed="false">
      <c r="A8660" s="6" t="n">
        <v>43032.9647337963</v>
      </c>
      <c r="B8660" s="7" t="str">
        <f aca="false">HYPERLINK("https://twitter.com/FallySomboNkhwa","@FallySomboNkhwa")</f>
        <v>@FallySomboNkhwa</v>
      </c>
      <c r="C8660" s="8" t="s">
        <v>260</v>
      </c>
      <c r="D8660" s="8" t="s">
        <v>18898</v>
      </c>
      <c r="E8660" s="9" t="str">
        <f aca="false">HYPERLINK("https://twitter.com/FallySomboNkhwa/status/923068914044690432","923068914044690432")</f>
        <v>923068914044690432</v>
      </c>
      <c r="F8660" s="10" t="s">
        <v>60</v>
      </c>
      <c r="G8660" s="10" t="n">
        <v>421</v>
      </c>
      <c r="H8660" s="10" t="n">
        <v>2195</v>
      </c>
      <c r="I8660" s="10" t="n">
        <v>0</v>
      </c>
      <c r="J8660" s="10" t="n">
        <v>0</v>
      </c>
      <c r="K8660" s="10" t="s">
        <v>20</v>
      </c>
      <c r="L8660" s="11" t="n">
        <v>41551.8204166667</v>
      </c>
      <c r="M8660" s="12" t="s">
        <v>262</v>
      </c>
      <c r="N8660" s="12" t="s">
        <v>263</v>
      </c>
      <c r="O8660" s="9" t="str">
        <f aca="false">HYPERLINK("https://pbs.twimg.com/profile_images/543761133505503235/pKcg8bc2_normal.jpeg","View")</f>
        <v>View</v>
      </c>
      <c r="P8660" s="10"/>
    </row>
    <row r="8661" customFormat="false" ht="15.75" hidden="false" customHeight="false" outlineLevel="0" collapsed="false">
      <c r="A8661" s="6" t="n">
        <v>43032.9647800926</v>
      </c>
      <c r="B8661" s="7" t="str">
        <f aca="false">HYPERLINK("https://twitter.com/alexis_parado","@alexis_parado")</f>
        <v>@alexis_parado</v>
      </c>
      <c r="C8661" s="8" t="s">
        <v>18899</v>
      </c>
      <c r="D8661" s="8" t="s">
        <v>18900</v>
      </c>
      <c r="E8661" s="9" t="str">
        <f aca="false">HYPERLINK("https://twitter.com/alexis_parado/status/923068930213797888","923068930213797888")</f>
        <v>923068930213797888</v>
      </c>
      <c r="F8661" s="10" t="s">
        <v>25</v>
      </c>
      <c r="G8661" s="10" t="n">
        <v>533</v>
      </c>
      <c r="H8661" s="10" t="n">
        <v>4902</v>
      </c>
      <c r="I8661" s="10" t="n">
        <v>10</v>
      </c>
      <c r="J8661" s="10" t="n">
        <v>0</v>
      </c>
      <c r="K8661" s="10" t="s">
        <v>20</v>
      </c>
      <c r="L8661" s="11" t="n">
        <v>40665.0488773148</v>
      </c>
      <c r="M8661" s="12" t="s">
        <v>18901</v>
      </c>
      <c r="N8661" s="12" t="s">
        <v>18902</v>
      </c>
      <c r="O8661" s="9" t="str">
        <f aca="false">HYPERLINK("https://pbs.twimg.com/profile_images/814164762070315008/1pqdloXO_normal.jpg","View")</f>
        <v>View</v>
      </c>
      <c r="P8661" s="10"/>
    </row>
    <row r="8662" customFormat="false" ht="15.75" hidden="false" customHeight="false" outlineLevel="0" collapsed="false">
      <c r="A8662" s="6" t="n">
        <v>43032.9648032407</v>
      </c>
      <c r="B8662" s="7" t="str">
        <f aca="false">HYPERLINK("https://twitter.com/bdnews24","@bdnews24")</f>
        <v>@bdnews24</v>
      </c>
      <c r="C8662" s="8" t="s">
        <v>216</v>
      </c>
      <c r="D8662" s="8" t="s">
        <v>18903</v>
      </c>
      <c r="E8662" s="9" t="str">
        <f aca="false">HYPERLINK("https://twitter.com/bdnews24/status/923068938879225856","923068938879225856")</f>
        <v>923068938879225856</v>
      </c>
      <c r="F8662" s="10" t="s">
        <v>60</v>
      </c>
      <c r="G8662" s="10" t="n">
        <v>215604</v>
      </c>
      <c r="H8662" s="10" t="n">
        <v>67887</v>
      </c>
      <c r="I8662" s="10" t="n">
        <v>0</v>
      </c>
      <c r="J8662" s="10" t="n">
        <v>1</v>
      </c>
      <c r="K8662" s="10" t="s">
        <v>20</v>
      </c>
      <c r="L8662" s="11" t="n">
        <v>39844.4680439815</v>
      </c>
      <c r="M8662" s="12" t="s">
        <v>218</v>
      </c>
      <c r="N8662" s="12" t="s">
        <v>219</v>
      </c>
      <c r="O8662" s="9" t="str">
        <f aca="false">HYPERLINK("https://pbs.twimg.com/profile_images/718433521509994497/4iW9RC_r_normal.jpg","View")</f>
        <v>View</v>
      </c>
      <c r="P8662" s="10"/>
    </row>
    <row r="8663" customFormat="false" ht="15.75" hidden="false" customHeight="false" outlineLevel="0" collapsed="false">
      <c r="A8663" s="6" t="n">
        <v>43032.9650810185</v>
      </c>
      <c r="B8663" s="7" t="str">
        <f aca="false">HYPERLINK("https://twitter.com/grey_whistle","@grey_whistle")</f>
        <v>@grey_whistle</v>
      </c>
      <c r="C8663" s="8" t="s">
        <v>18904</v>
      </c>
      <c r="D8663" s="8" t="s">
        <v>18900</v>
      </c>
      <c r="E8663" s="9" t="str">
        <f aca="false">HYPERLINK("https://twitter.com/grey_whistle/status/923069037604569088","923069037604569088")</f>
        <v>923069037604569088</v>
      </c>
      <c r="F8663" s="10" t="s">
        <v>51</v>
      </c>
      <c r="G8663" s="10" t="n">
        <v>287</v>
      </c>
      <c r="H8663" s="10" t="n">
        <v>338</v>
      </c>
      <c r="I8663" s="10" t="n">
        <v>10</v>
      </c>
      <c r="J8663" s="10" t="n">
        <v>0</v>
      </c>
      <c r="K8663" s="10" t="s">
        <v>20</v>
      </c>
      <c r="L8663" s="11" t="n">
        <v>40568.0997222222</v>
      </c>
      <c r="M8663" s="12" t="s">
        <v>1473</v>
      </c>
      <c r="N8663" s="12" t="s">
        <v>18905</v>
      </c>
      <c r="O8663" s="9" t="str">
        <f aca="false">HYPERLINK("https://pbs.twimg.com/profile_images/569514803241050112/20HuXeXY_normal.jpeg","View")</f>
        <v>View</v>
      </c>
      <c r="P8663" s="10"/>
    </row>
    <row r="8664" customFormat="false" ht="15.75" hidden="false" customHeight="false" outlineLevel="0" collapsed="false">
      <c r="A8664" s="6" t="n">
        <v>43032.9653240741</v>
      </c>
      <c r="B8664" s="7" t="str">
        <f aca="false">HYPERLINK("https://twitter.com/mapocoloco","@mapocoloco")</f>
        <v>@mapocoloco</v>
      </c>
      <c r="C8664" s="8" t="s">
        <v>18906</v>
      </c>
      <c r="D8664" s="8" t="s">
        <v>18900</v>
      </c>
      <c r="E8664" s="9" t="str">
        <f aca="false">HYPERLINK("https://twitter.com/mapocoloco/status/923069128520491009","923069128520491009")</f>
        <v>923069128520491009</v>
      </c>
      <c r="F8664" s="10" t="s">
        <v>51</v>
      </c>
      <c r="G8664" s="10" t="n">
        <v>1318</v>
      </c>
      <c r="H8664" s="10" t="n">
        <v>1624</v>
      </c>
      <c r="I8664" s="10" t="n">
        <v>10</v>
      </c>
      <c r="J8664" s="10" t="n">
        <v>0</v>
      </c>
      <c r="K8664" s="10" t="s">
        <v>20</v>
      </c>
      <c r="L8664" s="11" t="n">
        <v>40410.8521990741</v>
      </c>
      <c r="M8664" s="12" t="s">
        <v>18907</v>
      </c>
      <c r="N8664" s="12" t="s">
        <v>18908</v>
      </c>
      <c r="O8664" s="9" t="str">
        <f aca="false">HYPERLINK("https://pbs.twimg.com/profile_images/734078983722139648/0aXHc8BL_normal.jpg","View")</f>
        <v>View</v>
      </c>
      <c r="P8664" s="10"/>
    </row>
    <row r="8665" customFormat="false" ht="15.75" hidden="false" customHeight="false" outlineLevel="0" collapsed="false">
      <c r="A8665" s="6" t="n">
        <v>43032.9655439815</v>
      </c>
      <c r="B8665" s="7" t="str">
        <f aca="false">HYPERLINK("https://twitter.com/Kingmakertweet","@Kingmakertweet")</f>
        <v>@Kingmakertweet</v>
      </c>
      <c r="C8665" s="8" t="s">
        <v>719</v>
      </c>
      <c r="D8665" s="8" t="s">
        <v>18900</v>
      </c>
      <c r="E8665" s="9" t="str">
        <f aca="false">HYPERLINK("https://twitter.com/Kingmakertweet/status/923069205808685058","923069205808685058")</f>
        <v>923069205808685058</v>
      </c>
      <c r="F8665" s="10" t="s">
        <v>25</v>
      </c>
      <c r="G8665" s="10" t="n">
        <v>139</v>
      </c>
      <c r="H8665" s="10" t="n">
        <v>67</v>
      </c>
      <c r="I8665" s="10" t="n">
        <v>10</v>
      </c>
      <c r="J8665" s="10" t="n">
        <v>0</v>
      </c>
      <c r="K8665" s="10" t="s">
        <v>20</v>
      </c>
      <c r="L8665" s="11" t="n">
        <v>41053.0465046296</v>
      </c>
      <c r="M8665" s="12"/>
      <c r="N8665" s="13" t="s">
        <v>720</v>
      </c>
      <c r="O8665" s="9" t="str">
        <f aca="false">HYPERLINK("https://pbs.twimg.com/profile_images/836959111707123712/vw98l-VT_normal.jpg","View")</f>
        <v>View</v>
      </c>
      <c r="P8665" s="10"/>
    </row>
    <row r="8666" customFormat="false" ht="15.75" hidden="false" customHeight="false" outlineLevel="0" collapsed="false">
      <c r="A8666" s="6" t="n">
        <v>43032.9662847222</v>
      </c>
      <c r="B8666" s="7" t="str">
        <f aca="false">HYPERLINK("https://twitter.com/beeasy1028","@beeasy1028")</f>
        <v>@beeasy1028</v>
      </c>
      <c r="C8666" s="8" t="s">
        <v>18909</v>
      </c>
      <c r="D8666" s="8" t="s">
        <v>18900</v>
      </c>
      <c r="E8666" s="9" t="str">
        <f aca="false">HYPERLINK("https://twitter.com/beeasy1028/status/923069476139966464","923069476139966464")</f>
        <v>923069476139966464</v>
      </c>
      <c r="F8666" s="10" t="s">
        <v>25</v>
      </c>
      <c r="G8666" s="10" t="n">
        <v>2626</v>
      </c>
      <c r="H8666" s="10" t="n">
        <v>2943</v>
      </c>
      <c r="I8666" s="10" t="n">
        <v>10</v>
      </c>
      <c r="J8666" s="10" t="n">
        <v>0</v>
      </c>
      <c r="K8666" s="10" t="s">
        <v>20</v>
      </c>
      <c r="L8666" s="11" t="n">
        <v>40782.4588194444</v>
      </c>
      <c r="M8666" s="12" t="s">
        <v>18910</v>
      </c>
      <c r="N8666" s="12" t="s">
        <v>18911</v>
      </c>
      <c r="O8666" s="9" t="str">
        <f aca="false">HYPERLINK("https://pbs.twimg.com/profile_images/905975074284462080/fR22MkO5_normal.jpg","View")</f>
        <v>View</v>
      </c>
      <c r="P8666" s="10"/>
    </row>
    <row r="8667" customFormat="false" ht="15.75" hidden="false" customHeight="false" outlineLevel="0" collapsed="false">
      <c r="A8667" s="6" t="n">
        <v>43032.9664467593</v>
      </c>
      <c r="B8667" s="7" t="str">
        <f aca="false">HYPERLINK("https://twitter.com/BSAFunds","@BSAFunds")</f>
        <v>@BSAFunds</v>
      </c>
      <c r="C8667" s="8" t="s">
        <v>924</v>
      </c>
      <c r="D8667" s="8" t="s">
        <v>18912</v>
      </c>
      <c r="E8667" s="9" t="str">
        <f aca="false">HYPERLINK("https://twitter.com/BSAFunds/status/923069533501448192","923069533501448192")</f>
        <v>923069533501448192</v>
      </c>
      <c r="F8667" s="10" t="s">
        <v>60</v>
      </c>
      <c r="G8667" s="10" t="n">
        <v>20871</v>
      </c>
      <c r="H8667" s="10" t="n">
        <v>8926</v>
      </c>
      <c r="I8667" s="10" t="n">
        <v>0</v>
      </c>
      <c r="J8667" s="10" t="n">
        <v>0</v>
      </c>
      <c r="K8667" s="10" t="s">
        <v>20</v>
      </c>
      <c r="L8667" s="11" t="n">
        <v>42601.9481828704</v>
      </c>
      <c r="M8667" s="12" t="s">
        <v>312</v>
      </c>
      <c r="N8667" s="12" t="s">
        <v>926</v>
      </c>
      <c r="O8667" s="9" t="str">
        <f aca="false">HYPERLINK("https://pbs.twimg.com/profile_images/912769166960033792/N4LAmrTs_normal.jpg","View")</f>
        <v>View</v>
      </c>
      <c r="P8667" s="10"/>
    </row>
    <row r="8668" customFormat="false" ht="15.75" hidden="false" customHeight="false" outlineLevel="0" collapsed="false">
      <c r="A8668" s="6" t="n">
        <v>43032.9668055556</v>
      </c>
      <c r="B8668" s="7" t="str">
        <f aca="false">HYPERLINK("https://twitter.com/userpko","@userpko")</f>
        <v>@userpko</v>
      </c>
      <c r="C8668" s="8" t="s">
        <v>18913</v>
      </c>
      <c r="D8668" s="8" t="s">
        <v>18900</v>
      </c>
      <c r="E8668" s="9" t="str">
        <f aca="false">HYPERLINK("https://twitter.com/userpko/status/923069666339176448","923069666339176448")</f>
        <v>923069666339176448</v>
      </c>
      <c r="F8668" s="10" t="s">
        <v>25</v>
      </c>
      <c r="G8668" s="10" t="n">
        <v>62</v>
      </c>
      <c r="H8668" s="10" t="n">
        <v>156</v>
      </c>
      <c r="I8668" s="10" t="n">
        <v>10</v>
      </c>
      <c r="J8668" s="10" t="n">
        <v>0</v>
      </c>
      <c r="K8668" s="10" t="s">
        <v>20</v>
      </c>
      <c r="L8668" s="11" t="n">
        <v>40689.1171527778</v>
      </c>
      <c r="M8668" s="12"/>
      <c r="N8668" s="12"/>
      <c r="O8668" s="9" t="str">
        <f aca="false">HYPERLINK("https://abs.twimg.com/sticky/default_profile_images/default_profile_normal.png","View")</f>
        <v>View</v>
      </c>
      <c r="P8668" s="10"/>
    </row>
    <row r="8669" customFormat="false" ht="15.75" hidden="false" customHeight="false" outlineLevel="0" collapsed="false">
      <c r="A8669" s="6" t="n">
        <v>43032.9672453704</v>
      </c>
      <c r="B8669" s="7" t="str">
        <f aca="false">HYPERLINK("https://twitter.com/ma527681","@ma527681")</f>
        <v>@ma527681</v>
      </c>
      <c r="C8669" s="8" t="s">
        <v>18914</v>
      </c>
      <c r="D8669" s="8" t="s">
        <v>10525</v>
      </c>
      <c r="E8669" s="9" t="str">
        <f aca="false">HYPERLINK("https://twitter.com/ma527681/status/923069825328414720","923069825328414720")</f>
        <v>923069825328414720</v>
      </c>
      <c r="F8669" s="10" t="s">
        <v>39</v>
      </c>
      <c r="G8669" s="10" t="n">
        <v>242</v>
      </c>
      <c r="H8669" s="10" t="n">
        <v>287</v>
      </c>
      <c r="I8669" s="10" t="n">
        <v>16</v>
      </c>
      <c r="J8669" s="10" t="n">
        <v>0</v>
      </c>
      <c r="K8669" s="10" t="s">
        <v>20</v>
      </c>
      <c r="L8669" s="11" t="n">
        <v>39969.634212963</v>
      </c>
      <c r="M8669" s="12" t="s">
        <v>18197</v>
      </c>
      <c r="N8669" s="12" t="s">
        <v>18915</v>
      </c>
      <c r="O8669" s="9" t="str">
        <f aca="false">HYPERLINK("https://pbs.twimg.com/profile_images/755211235923156992/WxbB86Yk_normal.jpg","View")</f>
        <v>View</v>
      </c>
      <c r="P8669" s="10"/>
    </row>
    <row r="8670" customFormat="false" ht="15.75" hidden="false" customHeight="false" outlineLevel="0" collapsed="false">
      <c r="A8670" s="6" t="n">
        <v>43032.9681018519</v>
      </c>
      <c r="B8670" s="7" t="str">
        <f aca="false">HYPERLINK("https://twitter.com/jimenezana","@jimenezana")</f>
        <v>@jimenezana</v>
      </c>
      <c r="C8670" s="8" t="s">
        <v>18916</v>
      </c>
      <c r="D8670" s="8" t="s">
        <v>18900</v>
      </c>
      <c r="E8670" s="9" t="str">
        <f aca="false">HYPERLINK("https://twitter.com/jimenezana/status/923070132833812480","923070132833812480")</f>
        <v>923070132833812480</v>
      </c>
      <c r="F8670" s="10" t="s">
        <v>51</v>
      </c>
      <c r="G8670" s="10" t="n">
        <v>1723</v>
      </c>
      <c r="H8670" s="10" t="n">
        <v>1046</v>
      </c>
      <c r="I8670" s="10" t="n">
        <v>10</v>
      </c>
      <c r="J8670" s="10" t="n">
        <v>0</v>
      </c>
      <c r="K8670" s="10" t="s">
        <v>20</v>
      </c>
      <c r="L8670" s="11" t="n">
        <v>39970.6548148148</v>
      </c>
      <c r="M8670" s="12" t="s">
        <v>18917</v>
      </c>
      <c r="N8670" s="12" t="s">
        <v>18918</v>
      </c>
      <c r="O8670" s="9" t="str">
        <f aca="false">HYPERLINK("https://pbs.twimg.com/profile_images/909068545614422016/LW5EWg-L_normal.jpg","View")</f>
        <v>View</v>
      </c>
      <c r="P8670" s="10"/>
    </row>
    <row r="8671" customFormat="false" ht="15.75" hidden="false" customHeight="false" outlineLevel="0" collapsed="false">
      <c r="A8671" s="6" t="n">
        <v>43032.9691782407</v>
      </c>
      <c r="B8671" s="7" t="str">
        <f aca="false">HYPERLINK("https://twitter.com/Bullish","@Bullish")</f>
        <v>@Bullish</v>
      </c>
      <c r="C8671" s="8" t="s">
        <v>223</v>
      </c>
      <c r="D8671" s="8" t="s">
        <v>18919</v>
      </c>
      <c r="E8671" s="9" t="str">
        <f aca="false">HYPERLINK("https://twitter.com/Bullish/status/923070523810164736","923070523810164736")</f>
        <v>923070523810164736</v>
      </c>
      <c r="F8671" s="10" t="s">
        <v>60</v>
      </c>
      <c r="G8671" s="10" t="n">
        <v>184</v>
      </c>
      <c r="H8671" s="10" t="n">
        <v>87</v>
      </c>
      <c r="I8671" s="10" t="n">
        <v>0</v>
      </c>
      <c r="J8671" s="10" t="n">
        <v>0</v>
      </c>
      <c r="K8671" s="10" t="s">
        <v>20</v>
      </c>
      <c r="L8671" s="11" t="n">
        <v>42618.7530439815</v>
      </c>
      <c r="M8671" s="12"/>
      <c r="N8671" s="12"/>
      <c r="O8671" s="9" t="str">
        <f aca="false">HYPERLINK("https://pbs.twimg.com/profile_images/798692093736599552/UikI9dNE_normal.jpg","View")</f>
        <v>View</v>
      </c>
      <c r="P8671" s="10"/>
    </row>
    <row r="8672" customFormat="false" ht="15.75" hidden="false" customHeight="false" outlineLevel="0" collapsed="false">
      <c r="A8672" s="6" t="n">
        <v>43032.969212963</v>
      </c>
      <c r="B8672" s="7" t="str">
        <f aca="false">HYPERLINK("https://twitter.com/jaimeotero_","@jaimeotero_")</f>
        <v>@jaimeotero_</v>
      </c>
      <c r="C8672" s="8" t="s">
        <v>205</v>
      </c>
      <c r="D8672" s="8" t="s">
        <v>18920</v>
      </c>
      <c r="E8672" s="9" t="str">
        <f aca="false">HYPERLINK("https://twitter.com/jaimeotero_/status/923070538045689856","923070538045689856")</f>
        <v>923070538045689856</v>
      </c>
      <c r="F8672" s="10" t="s">
        <v>60</v>
      </c>
      <c r="G8672" s="10" t="n">
        <v>34492</v>
      </c>
      <c r="H8672" s="10" t="n">
        <v>31252</v>
      </c>
      <c r="I8672" s="10" t="n">
        <v>0</v>
      </c>
      <c r="J8672" s="10" t="n">
        <v>0</v>
      </c>
      <c r="K8672" s="10" t="s">
        <v>20</v>
      </c>
      <c r="L8672" s="11" t="n">
        <v>42531.0121990741</v>
      </c>
      <c r="M8672" s="12" t="s">
        <v>207</v>
      </c>
      <c r="N8672" s="12" t="s">
        <v>208</v>
      </c>
      <c r="O8672" s="9" t="str">
        <f aca="false">HYPERLINK("https://pbs.twimg.com/profile_images/849817561281818626/acAU04SD_normal.jpg","View")</f>
        <v>View</v>
      </c>
      <c r="P8672" s="10"/>
    </row>
    <row r="8673" customFormat="false" ht="15.75" hidden="false" customHeight="false" outlineLevel="0" collapsed="false">
      <c r="A8673" s="6" t="n">
        <v>43032.9697222222</v>
      </c>
      <c r="B8673" s="7" t="str">
        <f aca="false">HYPERLINK("https://twitter.com/shailendra_nair","@shailendra_nair")</f>
        <v>@shailendra_nair</v>
      </c>
      <c r="C8673" s="8" t="s">
        <v>251</v>
      </c>
      <c r="D8673" s="8" t="s">
        <v>18921</v>
      </c>
      <c r="E8673" s="9" t="str">
        <f aca="false">HYPERLINK("https://twitter.com/shailendra_nair/status/923070719986159617","923070719986159617")</f>
        <v>923070719986159617</v>
      </c>
      <c r="F8673" s="10" t="s">
        <v>60</v>
      </c>
      <c r="G8673" s="10" t="n">
        <v>3987</v>
      </c>
      <c r="H8673" s="10" t="n">
        <v>1042</v>
      </c>
      <c r="I8673" s="10" t="n">
        <v>0</v>
      </c>
      <c r="J8673" s="10" t="n">
        <v>0</v>
      </c>
      <c r="K8673" s="10" t="s">
        <v>20</v>
      </c>
      <c r="L8673" s="11" t="n">
        <v>40362.4379861111</v>
      </c>
      <c r="M8673" s="12" t="s">
        <v>253</v>
      </c>
      <c r="N8673" s="12" t="s">
        <v>254</v>
      </c>
      <c r="O8673" s="9" t="str">
        <f aca="false">HYPERLINK("https://pbs.twimg.com/profile_images/884758468879466497/M_w6UjD3_normal.jpg","View")</f>
        <v>View</v>
      </c>
      <c r="P8673" s="10"/>
    </row>
    <row r="8674" customFormat="false" ht="15.75" hidden="false" customHeight="false" outlineLevel="0" collapsed="false">
      <c r="A8674" s="6" t="n">
        <v>43032.9701851852</v>
      </c>
      <c r="B8674" s="7" t="str">
        <f aca="false">HYPERLINK("https://twitter.com/mlnangalama","@mlnangalama")</f>
        <v>@mlnangalama</v>
      </c>
      <c r="C8674" s="8" t="s">
        <v>255</v>
      </c>
      <c r="D8674" s="8" t="s">
        <v>18922</v>
      </c>
      <c r="E8674" s="9" t="str">
        <f aca="false">HYPERLINK("https://twitter.com/mlnangalama/status/923070889876443136","923070889876443136")</f>
        <v>923070889876443136</v>
      </c>
      <c r="F8674" s="10" t="s">
        <v>60</v>
      </c>
      <c r="G8674" s="10" t="n">
        <v>2370</v>
      </c>
      <c r="H8674" s="10" t="n">
        <v>1584</v>
      </c>
      <c r="I8674" s="10" t="n">
        <v>0</v>
      </c>
      <c r="J8674" s="10" t="n">
        <v>0</v>
      </c>
      <c r="K8674" s="10" t="s">
        <v>20</v>
      </c>
      <c r="L8674" s="11" t="n">
        <v>41041.5437847222</v>
      </c>
      <c r="M8674" s="12" t="s">
        <v>257</v>
      </c>
      <c r="N8674" s="12" t="s">
        <v>258</v>
      </c>
      <c r="O8674" s="9" t="str">
        <f aca="false">HYPERLINK("https://pbs.twimg.com/profile_images/900915882444173313/biUHzvpx_normal.jpg","View")</f>
        <v>View</v>
      </c>
      <c r="P8674" s="10"/>
    </row>
    <row r="8675" customFormat="false" ht="15.75" hidden="false" customHeight="false" outlineLevel="0" collapsed="false">
      <c r="A8675" s="6" t="n">
        <v>43032.9716782407</v>
      </c>
      <c r="B8675" s="7" t="str">
        <f aca="false">HYPERLINK("https://twitter.com/serge_poznanski","@serge_poznanski")</f>
        <v>@serge_poznanski</v>
      </c>
      <c r="C8675" s="8" t="s">
        <v>212</v>
      </c>
      <c r="D8675" s="8" t="s">
        <v>18923</v>
      </c>
      <c r="E8675" s="9" t="str">
        <f aca="false">HYPERLINK("https://twitter.com/serge_poznanski/status/923071431327481857","923071431327481857")</f>
        <v>923071431327481857</v>
      </c>
      <c r="F8675" s="10" t="s">
        <v>60</v>
      </c>
      <c r="G8675" s="10" t="n">
        <v>1424</v>
      </c>
      <c r="H8675" s="10" t="n">
        <v>2136</v>
      </c>
      <c r="I8675" s="10" t="n">
        <v>0</v>
      </c>
      <c r="J8675" s="10" t="n">
        <v>0</v>
      </c>
      <c r="K8675" s="10" t="s">
        <v>20</v>
      </c>
      <c r="L8675" s="11" t="n">
        <v>42271.4744560185</v>
      </c>
      <c r="M8675" s="12"/>
      <c r="N8675" s="12"/>
      <c r="O8675" s="9" t="str">
        <f aca="false">HYPERLINK("https://pbs.twimg.com/profile_images/647277253240291328/3GezjFCJ_normal.jpg","View")</f>
        <v>View</v>
      </c>
      <c r="P8675" s="10"/>
    </row>
    <row r="8676" customFormat="false" ht="15.75" hidden="false" customHeight="false" outlineLevel="0" collapsed="false">
      <c r="A8676" s="6" t="n">
        <v>43032.971712963</v>
      </c>
      <c r="B8676" s="7" t="str">
        <f aca="false">HYPERLINK("https://twitter.com/prepzilla","@prepzilla")</f>
        <v>@prepzilla</v>
      </c>
      <c r="C8676" s="8" t="s">
        <v>235</v>
      </c>
      <c r="D8676" s="8" t="s">
        <v>18924</v>
      </c>
      <c r="E8676" s="9" t="str">
        <f aca="false">HYPERLINK("https://twitter.com/prepzilla/status/923071442358546435","923071442358546435")</f>
        <v>923071442358546435</v>
      </c>
      <c r="F8676" s="10" t="s">
        <v>60</v>
      </c>
      <c r="G8676" s="10" t="n">
        <v>7686</v>
      </c>
      <c r="H8676" s="10" t="n">
        <v>477</v>
      </c>
      <c r="I8676" s="10" t="n">
        <v>0</v>
      </c>
      <c r="J8676" s="10" t="n">
        <v>0</v>
      </c>
      <c r="K8676" s="10" t="s">
        <v>20</v>
      </c>
      <c r="L8676" s="11" t="n">
        <v>41299.7417361111</v>
      </c>
      <c r="M8676" s="12" t="s">
        <v>237</v>
      </c>
      <c r="N8676" s="12" t="s">
        <v>238</v>
      </c>
      <c r="O8676" s="9" t="str">
        <f aca="false">HYPERLINK("https://pbs.twimg.com/profile_images/900797880516005888/1bWN5qbC_normal.jpg","View")</f>
        <v>View</v>
      </c>
      <c r="P8676" s="10"/>
    </row>
    <row r="8677" customFormat="false" ht="15.75" hidden="false" customHeight="false" outlineLevel="0" collapsed="false">
      <c r="A8677" s="6" t="n">
        <v>43032.9746180556</v>
      </c>
      <c r="B8677" s="7" t="str">
        <f aca="false">HYPERLINK("https://twitter.com/Tekki_VR","@Tekki_VR")</f>
        <v>@Tekki_VR</v>
      </c>
      <c r="C8677" s="8" t="s">
        <v>225</v>
      </c>
      <c r="D8677" s="8" t="s">
        <v>18925</v>
      </c>
      <c r="E8677" s="9" t="str">
        <f aca="false">HYPERLINK("https://twitter.com/Tekki_VR/status/923072494294241280","923072494294241280")</f>
        <v>923072494294241280</v>
      </c>
      <c r="F8677" s="10" t="s">
        <v>60</v>
      </c>
      <c r="G8677" s="10" t="n">
        <v>1895</v>
      </c>
      <c r="H8677" s="10" t="n">
        <v>2479</v>
      </c>
      <c r="I8677" s="10" t="n">
        <v>0</v>
      </c>
      <c r="J8677" s="10" t="n">
        <v>0</v>
      </c>
      <c r="K8677" s="10" t="s">
        <v>20</v>
      </c>
      <c r="L8677" s="11" t="n">
        <v>42263.5455324074</v>
      </c>
      <c r="M8677" s="12" t="s">
        <v>227</v>
      </c>
      <c r="N8677" s="12" t="s">
        <v>228</v>
      </c>
      <c r="O8677" s="9" t="str">
        <f aca="false">HYPERLINK("https://pbs.twimg.com/profile_images/760662770694098944/h1nSBfE8_normal.jpg","View")</f>
        <v>View</v>
      </c>
      <c r="P8677" s="10"/>
    </row>
    <row r="8678" customFormat="false" ht="15.75" hidden="false" customHeight="false" outlineLevel="0" collapsed="false">
      <c r="A8678" s="6" t="n">
        <v>43032.9801851852</v>
      </c>
      <c r="B8678" s="7" t="str">
        <f aca="false">HYPERLINK("https://twitter.com/urFUKNlghtmare","@urFUKNlghtmare")</f>
        <v>@urFUKNlghtmare</v>
      </c>
      <c r="C8678" s="8" t="s">
        <v>18926</v>
      </c>
      <c r="D8678" s="8" t="s">
        <v>18927</v>
      </c>
      <c r="E8678" s="9" t="str">
        <f aca="false">HYPERLINK("https://twitter.com/urFUKNlghtmare/status/923074513063022592","923074513063022592")</f>
        <v>923074513063022592</v>
      </c>
      <c r="F8678" s="10" t="s">
        <v>25</v>
      </c>
      <c r="G8678" s="10" t="n">
        <v>72</v>
      </c>
      <c r="H8678" s="10" t="n">
        <v>2265</v>
      </c>
      <c r="I8678" s="10" t="n">
        <v>1</v>
      </c>
      <c r="J8678" s="10" t="n">
        <v>0</v>
      </c>
      <c r="K8678" s="10" t="s">
        <v>20</v>
      </c>
      <c r="L8678" s="11" t="n">
        <v>40864.1503240741</v>
      </c>
      <c r="M8678" s="12" t="s">
        <v>18928</v>
      </c>
      <c r="N8678" s="12" t="s">
        <v>18929</v>
      </c>
      <c r="O8678" s="9" t="str">
        <f aca="false">HYPERLINK("https://pbs.twimg.com/profile_images/764943104692588544/_wccNGpQ_normal.jpg","View")</f>
        <v>View</v>
      </c>
      <c r="P8678" s="10"/>
    </row>
    <row r="8679" customFormat="false" ht="15.75" hidden="false" customHeight="false" outlineLevel="0" collapsed="false">
      <c r="A8679" s="6" t="n">
        <v>43032.9821296296</v>
      </c>
      <c r="B8679" s="7" t="str">
        <f aca="false">HYPERLINK("https://twitter.com/gtlang74","@gtlang74")</f>
        <v>@gtlang74</v>
      </c>
      <c r="C8679" s="8" t="s">
        <v>18930</v>
      </c>
      <c r="D8679" s="8" t="s">
        <v>10525</v>
      </c>
      <c r="E8679" s="9" t="str">
        <f aca="false">HYPERLINK("https://twitter.com/gtlang74/status/923075219044085760","923075219044085760")</f>
        <v>923075219044085760</v>
      </c>
      <c r="F8679" s="10" t="s">
        <v>25</v>
      </c>
      <c r="G8679" s="10" t="n">
        <v>2415</v>
      </c>
      <c r="H8679" s="10" t="n">
        <v>5001</v>
      </c>
      <c r="I8679" s="10" t="n">
        <v>16</v>
      </c>
      <c r="J8679" s="10" t="n">
        <v>0</v>
      </c>
      <c r="K8679" s="10" t="s">
        <v>20</v>
      </c>
      <c r="L8679" s="11" t="n">
        <v>41903.3347222222</v>
      </c>
      <c r="M8679" s="12" t="s">
        <v>1148</v>
      </c>
      <c r="N8679" s="12" t="s">
        <v>18931</v>
      </c>
      <c r="O8679" s="9" t="str">
        <f aca="false">HYPERLINK("https://pbs.twimg.com/profile_images/540658473449824258/uWdCsEYT_normal.jpeg","View")</f>
        <v>View</v>
      </c>
      <c r="P8679" s="10"/>
    </row>
    <row r="8680" customFormat="false" ht="15.75" hidden="false" customHeight="false" outlineLevel="0" collapsed="false">
      <c r="A8680" s="6" t="n">
        <v>43032.9829513889</v>
      </c>
      <c r="B8680" s="7" t="str">
        <f aca="false">HYPERLINK("https://twitter.com/goodboy51093548","@goodboy51093548")</f>
        <v>@goodboy51093548</v>
      </c>
      <c r="C8680" s="8" t="s">
        <v>18932</v>
      </c>
      <c r="D8680" s="8" t="s">
        <v>18900</v>
      </c>
      <c r="E8680" s="9" t="str">
        <f aca="false">HYPERLINK("https://twitter.com/goodboy51093548/status/923075513932845058","923075513932845058")</f>
        <v>923075513932845058</v>
      </c>
      <c r="F8680" s="10" t="s">
        <v>51</v>
      </c>
      <c r="G8680" s="10" t="n">
        <v>4</v>
      </c>
      <c r="H8680" s="10" t="n">
        <v>39</v>
      </c>
      <c r="I8680" s="10" t="n">
        <v>10</v>
      </c>
      <c r="J8680" s="10" t="n">
        <v>0</v>
      </c>
      <c r="K8680" s="10" t="s">
        <v>20</v>
      </c>
      <c r="L8680" s="11" t="n">
        <v>43014.3867592593</v>
      </c>
      <c r="M8680" s="12"/>
      <c r="N8680" s="12"/>
      <c r="O8680" s="9" t="str">
        <f aca="false">HYPERLINK("https://abs.twimg.com/sticky/default_profile_images/default_profile_normal.png","View")</f>
        <v>View</v>
      </c>
      <c r="P8680" s="10"/>
    </row>
    <row r="8681" customFormat="false" ht="15.75" hidden="false" customHeight="false" outlineLevel="0" collapsed="false">
      <c r="A8681" s="6" t="n">
        <v>43032.9873263889</v>
      </c>
      <c r="B8681" s="7" t="str">
        <f aca="false">HYPERLINK("https://twitter.com/goodboy51093548","@goodboy51093548")</f>
        <v>@goodboy51093548</v>
      </c>
      <c r="C8681" s="8" t="s">
        <v>18932</v>
      </c>
      <c r="D8681" s="8" t="s">
        <v>16413</v>
      </c>
      <c r="E8681" s="9" t="str">
        <f aca="false">HYPERLINK("https://twitter.com/goodboy51093548/status/923077099161657344","923077099161657344")</f>
        <v>923077099161657344</v>
      </c>
      <c r="F8681" s="10" t="s">
        <v>51</v>
      </c>
      <c r="G8681" s="10" t="n">
        <v>4</v>
      </c>
      <c r="H8681" s="10" t="n">
        <v>39</v>
      </c>
      <c r="I8681" s="10" t="n">
        <v>46</v>
      </c>
      <c r="J8681" s="10" t="n">
        <v>0</v>
      </c>
      <c r="K8681" s="10" t="s">
        <v>20</v>
      </c>
      <c r="L8681" s="11" t="n">
        <v>43014.3867592593</v>
      </c>
      <c r="M8681" s="12"/>
      <c r="N8681" s="12"/>
      <c r="O8681" s="9" t="str">
        <f aca="false">HYPERLINK("https://abs.twimg.com/sticky/default_profile_images/default_profile_normal.png","View")</f>
        <v>View</v>
      </c>
      <c r="P8681" s="10"/>
    </row>
    <row r="8682" customFormat="false" ht="15.75" hidden="false" customHeight="false" outlineLevel="0" collapsed="false">
      <c r="A8682" s="6" t="n">
        <v>43032.9982986111</v>
      </c>
      <c r="B8682" s="7" t="str">
        <f aca="false">HYPERLINK("https://twitter.com/BloombergAsia","@BloombergAsia")</f>
        <v>@BloombergAsia</v>
      </c>
      <c r="C8682" s="8" t="s">
        <v>1399</v>
      </c>
      <c r="D8682" s="8" t="s">
        <v>18933</v>
      </c>
      <c r="E8682" s="9" t="str">
        <f aca="false">HYPERLINK("https://twitter.com/BloombergAsia/status/923081078440648704","923081078440648704")</f>
        <v>923081078440648704</v>
      </c>
      <c r="F8682" s="10" t="s">
        <v>268</v>
      </c>
      <c r="G8682" s="10" t="n">
        <v>28824</v>
      </c>
      <c r="H8682" s="10" t="n">
        <v>97</v>
      </c>
      <c r="I8682" s="10" t="n">
        <v>0</v>
      </c>
      <c r="J8682" s="10" t="n">
        <v>0</v>
      </c>
      <c r="K8682" s="10" t="s">
        <v>20</v>
      </c>
      <c r="L8682" s="11" t="n">
        <v>41052.2384837963</v>
      </c>
      <c r="M8682" s="12"/>
      <c r="N8682" s="12" t="s">
        <v>1401</v>
      </c>
      <c r="O8682" s="9" t="str">
        <f aca="false">HYPERLINK("https://pbs.twimg.com/profile_images/778129630284902401/gXjFkqGM_normal.jpg","View")</f>
        <v>View</v>
      </c>
      <c r="P8682" s="10"/>
    </row>
    <row r="8683" customFormat="false" ht="15.75" hidden="false" customHeight="false" outlineLevel="0" collapsed="false">
      <c r="A8683" s="6" t="n">
        <v>43033.0008680556</v>
      </c>
      <c r="B8683" s="7" t="str">
        <f aca="false">HYPERLINK("https://twitter.com/sitifatimahnet","@sitifatimahnet")</f>
        <v>@sitifatimahnet</v>
      </c>
      <c r="C8683" s="8" t="s">
        <v>11184</v>
      </c>
      <c r="D8683" s="8" t="s">
        <v>18934</v>
      </c>
      <c r="E8683" s="9" t="str">
        <f aca="false">HYPERLINK("https://twitter.com/sitifatimahnet/status/923082009571885056","923082009571885056")</f>
        <v>923082009571885056</v>
      </c>
      <c r="F8683" s="10" t="s">
        <v>60</v>
      </c>
      <c r="G8683" s="10" t="n">
        <v>312</v>
      </c>
      <c r="H8683" s="10" t="n">
        <v>27</v>
      </c>
      <c r="I8683" s="10" t="n">
        <v>0</v>
      </c>
      <c r="J8683" s="10" t="n">
        <v>0</v>
      </c>
      <c r="K8683" s="10" t="s">
        <v>20</v>
      </c>
      <c r="L8683" s="11" t="n">
        <v>42698.4371990741</v>
      </c>
      <c r="M8683" s="12" t="s">
        <v>11186</v>
      </c>
      <c r="N8683" s="12" t="s">
        <v>11187</v>
      </c>
      <c r="O8683" s="9" t="str">
        <f aca="false">HYPERLINK("https://pbs.twimg.com/profile_images/897683241594912769/-rSDzg9T_normal.jpg","View")</f>
        <v>View</v>
      </c>
      <c r="P8683" s="10"/>
    </row>
    <row r="8684" customFormat="false" ht="15.75" hidden="false" customHeight="false" outlineLevel="0" collapsed="false">
      <c r="A8684" s="6" t="n">
        <v>43033.0034490741</v>
      </c>
      <c r="B8684" s="7" t="str">
        <f aca="false">HYPERLINK("https://twitter.com/BitcoinCryptos","@BitcoinCryptos")</f>
        <v>@BitcoinCryptos</v>
      </c>
      <c r="C8684" s="8" t="s">
        <v>18935</v>
      </c>
      <c r="D8684" s="8" t="s">
        <v>18936</v>
      </c>
      <c r="E8684" s="9" t="str">
        <f aca="false">HYPERLINK("https://twitter.com/BitcoinCryptos/status/923082944868175872","923082944868175872")</f>
        <v>923082944868175872</v>
      </c>
      <c r="F8684" s="10" t="s">
        <v>60</v>
      </c>
      <c r="G8684" s="10" t="n">
        <v>1180</v>
      </c>
      <c r="H8684" s="10" t="n">
        <v>23</v>
      </c>
      <c r="I8684" s="10" t="n">
        <v>0</v>
      </c>
      <c r="J8684" s="10" t="n">
        <v>0</v>
      </c>
      <c r="K8684" s="10" t="s">
        <v>20</v>
      </c>
      <c r="L8684" s="11" t="n">
        <v>42216.8784375</v>
      </c>
      <c r="M8684" s="12" t="s">
        <v>752</v>
      </c>
      <c r="N8684" s="12" t="s">
        <v>18937</v>
      </c>
      <c r="O8684" s="9" t="str">
        <f aca="false">HYPERLINK("https://pbs.twimg.com/profile_images/627329478105169920/_ySclOX0_normal.jpg","View")</f>
        <v>View</v>
      </c>
      <c r="P8684" s="10"/>
    </row>
    <row r="8685" customFormat="false" ht="15.75" hidden="false" customHeight="false" outlineLevel="0" collapsed="false">
      <c r="A8685" s="6" t="n">
        <v>43033.0038657407</v>
      </c>
      <c r="B8685" s="7" t="str">
        <f aca="false">HYPERLINK("https://twitter.com/NaseriCanovas","@NaseriCanovas")</f>
        <v>@NaseriCanovas</v>
      </c>
      <c r="C8685" s="8" t="s">
        <v>18938</v>
      </c>
      <c r="D8685" s="8" t="s">
        <v>18831</v>
      </c>
      <c r="E8685" s="9" t="str">
        <f aca="false">HYPERLINK("https://twitter.com/NaseriCanovas/status/923083093090750465","923083093090750465")</f>
        <v>923083093090750465</v>
      </c>
      <c r="F8685" s="10" t="s">
        <v>25</v>
      </c>
      <c r="G8685" s="10" t="n">
        <v>30</v>
      </c>
      <c r="H8685" s="10" t="n">
        <v>506</v>
      </c>
      <c r="I8685" s="10" t="n">
        <v>4</v>
      </c>
      <c r="J8685" s="10" t="n">
        <v>0</v>
      </c>
      <c r="K8685" s="10" t="s">
        <v>20</v>
      </c>
      <c r="L8685" s="11" t="n">
        <v>42941.5571990741</v>
      </c>
      <c r="M8685" s="12" t="s">
        <v>18939</v>
      </c>
      <c r="N8685" s="12" t="s">
        <v>18940</v>
      </c>
      <c r="O8685" s="9" t="str">
        <f aca="false">HYPERLINK("https://pbs.twimg.com/profile_images/911297018815029250/7BytlS3j_normal.jpg","View")</f>
        <v>View</v>
      </c>
      <c r="P8685" s="10"/>
    </row>
    <row r="8686" customFormat="false" ht="15.75" hidden="false" customHeight="false" outlineLevel="0" collapsed="false">
      <c r="A8686" s="6" t="n">
        <v>43033.0097916667</v>
      </c>
      <c r="B8686" s="7" t="str">
        <f aca="false">HYPERLINK("https://twitter.com/BitcoinCryptos","@BitcoinCryptos")</f>
        <v>@BitcoinCryptos</v>
      </c>
      <c r="C8686" s="8" t="s">
        <v>18935</v>
      </c>
      <c r="D8686" s="8" t="s">
        <v>18941</v>
      </c>
      <c r="E8686" s="9" t="str">
        <f aca="false">HYPERLINK("https://twitter.com/BitcoinCryptos/status/923085242562482179","923085242562482179")</f>
        <v>923085242562482179</v>
      </c>
      <c r="F8686" s="10" t="s">
        <v>60</v>
      </c>
      <c r="G8686" s="10" t="n">
        <v>1180</v>
      </c>
      <c r="H8686" s="10" t="n">
        <v>23</v>
      </c>
      <c r="I8686" s="10" t="n">
        <v>0</v>
      </c>
      <c r="J8686" s="10" t="n">
        <v>0</v>
      </c>
      <c r="K8686" s="10" t="s">
        <v>20</v>
      </c>
      <c r="L8686" s="11" t="n">
        <v>42216.8784375</v>
      </c>
      <c r="M8686" s="12" t="s">
        <v>752</v>
      </c>
      <c r="N8686" s="12" t="s">
        <v>18937</v>
      </c>
      <c r="O8686" s="9" t="str">
        <f aca="false">HYPERLINK("https://pbs.twimg.com/profile_images/627329478105169920/_ySclOX0_normal.jpg","View")</f>
        <v>View</v>
      </c>
      <c r="P8686" s="10"/>
    </row>
    <row r="8687" customFormat="false" ht="15.75" hidden="false" customHeight="false" outlineLevel="0" collapsed="false">
      <c r="A8687" s="6" t="n">
        <v>43033.0206134259</v>
      </c>
      <c r="B8687" s="7" t="str">
        <f aca="false">HYPERLINK("https://twitter.com/market4justice","@market4justice")</f>
        <v>@market4justice</v>
      </c>
      <c r="C8687" s="8" t="s">
        <v>11426</v>
      </c>
      <c r="D8687" s="8" t="s">
        <v>18942</v>
      </c>
      <c r="E8687" s="9" t="str">
        <f aca="false">HYPERLINK("https://twitter.com/market4justice/status/923089162932285440","923089162932285440")</f>
        <v>923089162932285440</v>
      </c>
      <c r="F8687" s="10" t="s">
        <v>60</v>
      </c>
      <c r="G8687" s="10" t="n">
        <v>435</v>
      </c>
      <c r="H8687" s="10" t="n">
        <v>137</v>
      </c>
      <c r="I8687" s="10" t="n">
        <v>0</v>
      </c>
      <c r="J8687" s="10" t="n">
        <v>0</v>
      </c>
      <c r="K8687" s="10" t="s">
        <v>20</v>
      </c>
      <c r="L8687" s="11" t="n">
        <v>42184.4424421296</v>
      </c>
      <c r="M8687" s="12" t="s">
        <v>21</v>
      </c>
      <c r="N8687" s="12" t="s">
        <v>11428</v>
      </c>
      <c r="O8687" s="9" t="str">
        <f aca="false">HYPERLINK("https://pbs.twimg.com/profile_images/615577051399983104/1B-CM5fS_normal.jpg","View")</f>
        <v>View</v>
      </c>
      <c r="P8687" s="10"/>
    </row>
    <row r="8688" customFormat="false" ht="15.75" hidden="false" customHeight="false" outlineLevel="0" collapsed="false">
      <c r="A8688" s="6" t="n">
        <v>43033.0237152778</v>
      </c>
      <c r="B8688" s="7" t="str">
        <f aca="false">HYPERLINK("https://twitter.com/watsupeurope","@watsupeurope")</f>
        <v>@watsupeurope</v>
      </c>
      <c r="C8688" s="8" t="s">
        <v>1632</v>
      </c>
      <c r="D8688" s="8" t="s">
        <v>18943</v>
      </c>
      <c r="E8688" s="9" t="str">
        <f aca="false">HYPERLINK("https://twitter.com/watsupeurope/status/923090286120718336","923090286120718336")</f>
        <v>923090286120718336</v>
      </c>
      <c r="F8688" s="10" t="s">
        <v>1634</v>
      </c>
      <c r="G8688" s="10" t="n">
        <v>4230</v>
      </c>
      <c r="H8688" s="10" t="n">
        <v>3115</v>
      </c>
      <c r="I8688" s="10" t="n">
        <v>0</v>
      </c>
      <c r="J8688" s="10" t="n">
        <v>0</v>
      </c>
      <c r="K8688" s="10" t="s">
        <v>20</v>
      </c>
      <c r="L8688" s="11" t="n">
        <v>42178.4099421296</v>
      </c>
      <c r="M8688" s="12" t="s">
        <v>1635</v>
      </c>
      <c r="N8688" s="12" t="s">
        <v>1636</v>
      </c>
      <c r="O8688" s="9" t="str">
        <f aca="false">HYPERLINK("https://pbs.twimg.com/profile_images/613389327758815233/tfFM56SD_normal.jpg","View")</f>
        <v>View</v>
      </c>
      <c r="P8688" s="10"/>
    </row>
    <row r="8689" customFormat="false" ht="15.75" hidden="false" customHeight="false" outlineLevel="0" collapsed="false">
      <c r="A8689" s="6" t="n">
        <v>43033.0243055556</v>
      </c>
      <c r="B8689" s="7" t="str">
        <f aca="false">HYPERLINK("https://twitter.com/NDIparties","@NDIparties")</f>
        <v>@NDIparties</v>
      </c>
      <c r="C8689" s="8" t="s">
        <v>18944</v>
      </c>
      <c r="D8689" s="8" t="s">
        <v>18945</v>
      </c>
      <c r="E8689" s="9" t="str">
        <f aca="false">HYPERLINK("https://twitter.com/NDIparties/status/923090502945312768","923090502945312768")</f>
        <v>923090502945312768</v>
      </c>
      <c r="F8689" s="10" t="s">
        <v>276</v>
      </c>
      <c r="G8689" s="10" t="n">
        <v>2307</v>
      </c>
      <c r="H8689" s="10" t="n">
        <v>790</v>
      </c>
      <c r="I8689" s="10" t="n">
        <v>0</v>
      </c>
      <c r="J8689" s="10" t="n">
        <v>0</v>
      </c>
      <c r="K8689" s="10" t="s">
        <v>20</v>
      </c>
      <c r="L8689" s="11" t="n">
        <v>41592.4698148148</v>
      </c>
      <c r="M8689" s="12" t="s">
        <v>7170</v>
      </c>
      <c r="N8689" s="12" t="s">
        <v>18946</v>
      </c>
      <c r="O8689" s="9" t="str">
        <f aca="false">HYPERLINK("https://pbs.twimg.com/profile_images/378800000775801158/5f34a72efe5c793a41939a7be85fc8d6_normal.png","View")</f>
        <v>View</v>
      </c>
      <c r="P8689" s="10"/>
    </row>
    <row r="8690" customFormat="false" ht="15.75" hidden="false" customHeight="false" outlineLevel="0" collapsed="false">
      <c r="A8690" s="6" t="n">
        <v>43033.0289467593</v>
      </c>
      <c r="B8690" s="7" t="str">
        <f aca="false">HYPERLINK("https://twitter.com/realSoraMorita","@realSoraMorita")</f>
        <v>@realSoraMorita</v>
      </c>
      <c r="C8690" s="8" t="s">
        <v>18947</v>
      </c>
      <c r="D8690" s="8" t="s">
        <v>18948</v>
      </c>
      <c r="E8690" s="9" t="str">
        <f aca="false">HYPERLINK("https://twitter.com/realSoraMorita/status/923092183166496768","923092183166496768")</f>
        <v>923092183166496768</v>
      </c>
      <c r="F8690" s="10" t="s">
        <v>25</v>
      </c>
      <c r="G8690" s="10" t="n">
        <v>123</v>
      </c>
      <c r="H8690" s="10" t="n">
        <v>253</v>
      </c>
      <c r="I8690" s="10" t="n">
        <v>0</v>
      </c>
      <c r="J8690" s="10" t="n">
        <v>1</v>
      </c>
      <c r="K8690" s="10" t="s">
        <v>20</v>
      </c>
      <c r="L8690" s="11" t="n">
        <v>42910.3302777778</v>
      </c>
      <c r="M8690" s="12" t="s">
        <v>3254</v>
      </c>
      <c r="N8690" s="12" t="s">
        <v>18949</v>
      </c>
      <c r="O8690" s="9" t="str">
        <f aca="false">HYPERLINK("https://pbs.twimg.com/profile_images/895551709426073601/tk7aRAcs_normal.jpg","View")</f>
        <v>View</v>
      </c>
      <c r="P8690" s="10"/>
    </row>
    <row r="8691" customFormat="false" ht="15.75" hidden="false" customHeight="false" outlineLevel="0" collapsed="false">
      <c r="A8691" s="6" t="n">
        <v>43033.0328703704</v>
      </c>
      <c r="B8691" s="7" t="str">
        <f aca="false">HYPERLINK("https://twitter.com/newsoneplace","@newsoneplace")</f>
        <v>@newsoneplace</v>
      </c>
      <c r="C8691" s="7" t="s">
        <v>3248</v>
      </c>
      <c r="D8691" s="8" t="s">
        <v>18950</v>
      </c>
      <c r="E8691" s="9" t="str">
        <f aca="false">HYPERLINK("https://twitter.com/newsoneplace/status/923093604343611392","923093604343611392")</f>
        <v>923093604343611392</v>
      </c>
      <c r="F8691" s="10" t="s">
        <v>3250</v>
      </c>
      <c r="G8691" s="10" t="n">
        <v>1002</v>
      </c>
      <c r="H8691" s="10" t="n">
        <v>108</v>
      </c>
      <c r="I8691" s="10" t="n">
        <v>0</v>
      </c>
      <c r="J8691" s="10" t="n">
        <v>0</v>
      </c>
      <c r="K8691" s="10" t="s">
        <v>20</v>
      </c>
      <c r="L8691" s="11" t="n">
        <v>42250.2606712963</v>
      </c>
      <c r="M8691" s="12"/>
      <c r="N8691" s="12" t="s">
        <v>3251</v>
      </c>
      <c r="O8691" s="9" t="str">
        <f aca="false">HYPERLINK("https://pbs.twimg.com/profile_images/743969278483963904/25yd5Un3_normal.jpg","View")</f>
        <v>View</v>
      </c>
      <c r="P8691" s="10"/>
    </row>
    <row r="8692" customFormat="false" ht="15.75" hidden="false" customHeight="false" outlineLevel="0" collapsed="false">
      <c r="A8692" s="6" t="n">
        <v>43033.0409259259</v>
      </c>
      <c r="B8692" s="7" t="str">
        <f aca="false">HYPERLINK("https://twitter.com/MauroMilano95","@MauroMilano95")</f>
        <v>@MauroMilano95</v>
      </c>
      <c r="C8692" s="8" t="s">
        <v>18951</v>
      </c>
      <c r="D8692" s="8" t="s">
        <v>17933</v>
      </c>
      <c r="E8692" s="9" t="str">
        <f aca="false">HYPERLINK("https://twitter.com/MauroMilano95/status/923096525688983553","923096525688983553")</f>
        <v>923096525688983553</v>
      </c>
      <c r="F8692" s="10" t="s">
        <v>51</v>
      </c>
      <c r="G8692" s="10" t="n">
        <v>934</v>
      </c>
      <c r="H8692" s="10" t="n">
        <v>2085</v>
      </c>
      <c r="I8692" s="10" t="n">
        <v>6</v>
      </c>
      <c r="J8692" s="10" t="n">
        <v>0</v>
      </c>
      <c r="K8692" s="10" t="s">
        <v>20</v>
      </c>
      <c r="L8692" s="11" t="n">
        <v>41205.5885648148</v>
      </c>
      <c r="M8692" s="12" t="s">
        <v>18952</v>
      </c>
      <c r="N8692" s="12" t="s">
        <v>18953</v>
      </c>
      <c r="O8692" s="9" t="str">
        <f aca="false">HYPERLINK("https://pbs.twimg.com/profile_images/378800000483821271/12c53e1a123072fc516bb7082c620959_normal.jpeg","View")</f>
        <v>View</v>
      </c>
      <c r="P8692" s="10"/>
    </row>
    <row r="8693" customFormat="false" ht="15.75" hidden="false" customHeight="false" outlineLevel="0" collapsed="false">
      <c r="A8693" s="6" t="n">
        <v>43033.0594212963</v>
      </c>
      <c r="B8693" s="7" t="str">
        <f aca="false">HYPERLINK("https://twitter.com/guptasuman1541","@guptasuman1541")</f>
        <v>@guptasuman1541</v>
      </c>
      <c r="C8693" s="8" t="s">
        <v>18954</v>
      </c>
      <c r="D8693" s="8" t="s">
        <v>18955</v>
      </c>
      <c r="E8693" s="9" t="str">
        <f aca="false">HYPERLINK("https://twitter.com/guptasuman1541/status/923103227834281984","923103227834281984")</f>
        <v>923103227834281984</v>
      </c>
      <c r="F8693" s="10" t="s">
        <v>39</v>
      </c>
      <c r="G8693" s="10" t="n">
        <v>44</v>
      </c>
      <c r="H8693" s="10" t="n">
        <v>24</v>
      </c>
      <c r="I8693" s="10" t="n">
        <v>0</v>
      </c>
      <c r="J8693" s="10" t="n">
        <v>0</v>
      </c>
      <c r="K8693" s="10" t="s">
        <v>20</v>
      </c>
      <c r="L8693" s="11" t="n">
        <v>42845.1264583333</v>
      </c>
      <c r="M8693" s="12" t="s">
        <v>8609</v>
      </c>
      <c r="N8693" s="12" t="s">
        <v>18956</v>
      </c>
      <c r="O8693" s="9" t="str">
        <f aca="false">HYPERLINK("https://pbs.twimg.com/profile_images/854998985236295680/TcsvJi0s_normal.jpg","View")</f>
        <v>View</v>
      </c>
      <c r="P8693" s="10"/>
    </row>
    <row r="8694" customFormat="false" ht="15.75" hidden="false" customHeight="false" outlineLevel="0" collapsed="false">
      <c r="A8694" s="6" t="n">
        <v>43033.0750810185</v>
      </c>
      <c r="B8694" s="7" t="str">
        <f aca="false">HYPERLINK("https://twitter.com/NewswithRachel","@NewswithRachel")</f>
        <v>@NewswithRachel</v>
      </c>
      <c r="C8694" s="8" t="s">
        <v>9373</v>
      </c>
      <c r="D8694" s="8" t="s">
        <v>18957</v>
      </c>
      <c r="E8694" s="9" t="str">
        <f aca="false">HYPERLINK("https://twitter.com/NewswithRachel/status/923108902014738433","923108902014738433")</f>
        <v>923108902014738433</v>
      </c>
      <c r="F8694" s="10" t="s">
        <v>39</v>
      </c>
      <c r="G8694" s="10" t="n">
        <v>452</v>
      </c>
      <c r="H8694" s="10" t="n">
        <v>590</v>
      </c>
      <c r="I8694" s="10" t="n">
        <v>0</v>
      </c>
      <c r="J8694" s="10" t="n">
        <v>0</v>
      </c>
      <c r="K8694" s="10" t="s">
        <v>20</v>
      </c>
      <c r="L8694" s="11" t="n">
        <v>42227.7586458333</v>
      </c>
      <c r="M8694" s="12" t="s">
        <v>9375</v>
      </c>
      <c r="N8694" s="12" t="s">
        <v>9376</v>
      </c>
      <c r="O8694" s="9" t="str">
        <f aca="false">HYPERLINK("https://pbs.twimg.com/profile_images/727693302301077504/3C-r_XGm_normal.jpg","View")</f>
        <v>View</v>
      </c>
      <c r="P8694" s="10"/>
    </row>
    <row r="8695" customFormat="false" ht="15.75" hidden="false" customHeight="false" outlineLevel="0" collapsed="false">
      <c r="A8695" s="6" t="n">
        <v>43033.0959722222</v>
      </c>
      <c r="B8695" s="7" t="str">
        <f aca="false">HYPERLINK("https://twitter.com/The_Oilholic","@The_Oilholic")</f>
        <v>@The_Oilholic</v>
      </c>
      <c r="C8695" s="8" t="s">
        <v>3238</v>
      </c>
      <c r="D8695" s="8" t="s">
        <v>18958</v>
      </c>
      <c r="E8695" s="9" t="str">
        <f aca="false">HYPERLINK("https://twitter.com/The_Oilholic/status/923116473580642304","923116473580642304")</f>
        <v>923116473580642304</v>
      </c>
      <c r="F8695" s="10" t="s">
        <v>39</v>
      </c>
      <c r="G8695" s="10" t="n">
        <v>1441</v>
      </c>
      <c r="H8695" s="10" t="n">
        <v>397</v>
      </c>
      <c r="I8695" s="10" t="n">
        <v>4</v>
      </c>
      <c r="J8695" s="10" t="n">
        <v>2</v>
      </c>
      <c r="K8695" s="10" t="s">
        <v>20</v>
      </c>
      <c r="L8695" s="11" t="n">
        <v>41294.2786921296</v>
      </c>
      <c r="M8695" s="12" t="s">
        <v>1319</v>
      </c>
      <c r="N8695" s="12" t="s">
        <v>3240</v>
      </c>
      <c r="O8695" s="9" t="str">
        <f aca="false">HYPERLINK("https://pbs.twimg.com/profile_images/3134162476/fb23f37c3859e1adc0e8bd5b8961908e_normal.jpeg","View")</f>
        <v>View</v>
      </c>
      <c r="P8695" s="10"/>
    </row>
    <row r="8696" customFormat="false" ht="15.75" hidden="false" customHeight="false" outlineLevel="0" collapsed="false">
      <c r="A8696" s="6" t="n">
        <v>43033.0968865741</v>
      </c>
      <c r="B8696" s="7" t="str">
        <f aca="false">HYPERLINK("https://twitter.com/IBTimesUKBiz","@IBTimesUKBiz")</f>
        <v>@IBTimesUKBiz</v>
      </c>
      <c r="C8696" s="8" t="s">
        <v>3463</v>
      </c>
      <c r="D8696" s="8" t="s">
        <v>18959</v>
      </c>
      <c r="E8696" s="9" t="str">
        <f aca="false">HYPERLINK("https://twitter.com/IBTimesUKBiz/status/923116806293700608","923116806293700608")</f>
        <v>923116806293700608</v>
      </c>
      <c r="F8696" s="10" t="s">
        <v>39</v>
      </c>
      <c r="G8696" s="10" t="n">
        <v>1667</v>
      </c>
      <c r="H8696" s="10" t="n">
        <v>228</v>
      </c>
      <c r="I8696" s="10" t="n">
        <v>4</v>
      </c>
      <c r="J8696" s="10" t="n">
        <v>0</v>
      </c>
      <c r="K8696" s="10" t="s">
        <v>20</v>
      </c>
      <c r="L8696" s="11" t="n">
        <v>41032.2300462963</v>
      </c>
      <c r="M8696" s="12" t="s">
        <v>893</v>
      </c>
      <c r="N8696" s="12" t="s">
        <v>3465</v>
      </c>
      <c r="O8696" s="9" t="str">
        <f aca="false">HYPERLINK("https://pbs.twimg.com/profile_images/696672865291259904/fRobKsFo_normal.jpg","View")</f>
        <v>View</v>
      </c>
      <c r="P8696" s="10"/>
    </row>
    <row r="8697" customFormat="false" ht="15.75" hidden="false" customHeight="false" outlineLevel="0" collapsed="false">
      <c r="A8697" s="6" t="n">
        <v>43033.097349537</v>
      </c>
      <c r="B8697" s="7" t="str">
        <f aca="false">HYPERLINK("https://twitter.com/bpolitics","@bpolitics")</f>
        <v>@bpolitics</v>
      </c>
      <c r="C8697" s="8" t="s">
        <v>266</v>
      </c>
      <c r="D8697" s="8" t="s">
        <v>18960</v>
      </c>
      <c r="E8697" s="9" t="str">
        <f aca="false">HYPERLINK("https://twitter.com/bpolitics/status/923116973273354240","923116973273354240")</f>
        <v>923116973273354240</v>
      </c>
      <c r="F8697" s="10" t="s">
        <v>268</v>
      </c>
      <c r="G8697" s="10" t="n">
        <v>221392</v>
      </c>
      <c r="H8697" s="10" t="n">
        <v>868</v>
      </c>
      <c r="I8697" s="10" t="n">
        <v>2</v>
      </c>
      <c r="J8697" s="10" t="n">
        <v>3</v>
      </c>
      <c r="K8697" s="10" t="s">
        <v>20</v>
      </c>
      <c r="L8697" s="11" t="n">
        <v>41025.576400463</v>
      </c>
      <c r="M8697" s="12"/>
      <c r="N8697" s="12" t="s">
        <v>269</v>
      </c>
      <c r="O8697" s="9" t="str">
        <f aca="false">HYPERLINK("https://pbs.twimg.com/profile_images/714804098890133504/cUO4gD1A_normal.jpg","View")</f>
        <v>View</v>
      </c>
      <c r="P8697" s="10"/>
    </row>
    <row r="8698" customFormat="false" ht="15.75" hidden="false" customHeight="false" outlineLevel="0" collapsed="false">
      <c r="A8698" s="6" t="n">
        <v>43033.0978240741</v>
      </c>
      <c r="B8698" s="7" t="str">
        <f aca="false">HYPERLINK("https://twitter.com/IBTimesUKBiz","@IBTimesUKBiz")</f>
        <v>@IBTimesUKBiz</v>
      </c>
      <c r="C8698" s="8" t="s">
        <v>3463</v>
      </c>
      <c r="D8698" s="8" t="s">
        <v>18961</v>
      </c>
      <c r="E8698" s="9" t="str">
        <f aca="false">HYPERLINK("https://twitter.com/IBTimesUKBiz/status/923117143830413312","923117143830413312")</f>
        <v>923117143830413312</v>
      </c>
      <c r="F8698" s="10" t="s">
        <v>39</v>
      </c>
      <c r="G8698" s="10" t="n">
        <v>1667</v>
      </c>
      <c r="H8698" s="10" t="n">
        <v>228</v>
      </c>
      <c r="I8698" s="10" t="n">
        <v>0</v>
      </c>
      <c r="J8698" s="10" t="n">
        <v>1</v>
      </c>
      <c r="K8698" s="10" t="s">
        <v>20</v>
      </c>
      <c r="L8698" s="11" t="n">
        <v>41032.2300462963</v>
      </c>
      <c r="M8698" s="12" t="s">
        <v>893</v>
      </c>
      <c r="N8698" s="12" t="s">
        <v>3465</v>
      </c>
      <c r="O8698" s="9" t="str">
        <f aca="false">HYPERLINK("https://pbs.twimg.com/profile_images/696672865291259904/fRobKsFo_normal.jpg","View")</f>
        <v>View</v>
      </c>
      <c r="P8698" s="10"/>
    </row>
    <row r="8699" customFormat="false" ht="15.75" hidden="false" customHeight="false" outlineLevel="0" collapsed="false">
      <c r="A8699" s="6" t="n">
        <v>43033.100775463</v>
      </c>
      <c r="B8699" s="7" t="str">
        <f aca="false">HYPERLINK("https://twitter.com/IBTimesUK","@IBTimesUK")</f>
        <v>@IBTimesUK</v>
      </c>
      <c r="C8699" s="8" t="s">
        <v>3202</v>
      </c>
      <c r="D8699" s="8" t="s">
        <v>18962</v>
      </c>
      <c r="E8699" s="9" t="str">
        <f aca="false">HYPERLINK("https://twitter.com/IBTimesUK/status/923118213126328320","923118213126328320")</f>
        <v>923118213126328320</v>
      </c>
      <c r="F8699" s="10" t="s">
        <v>268</v>
      </c>
      <c r="G8699" s="10" t="n">
        <v>32277</v>
      </c>
      <c r="H8699" s="10" t="n">
        <v>1068</v>
      </c>
      <c r="I8699" s="10" t="n">
        <v>1</v>
      </c>
      <c r="J8699" s="10" t="n">
        <v>0</v>
      </c>
      <c r="K8699" s="10" t="s">
        <v>20</v>
      </c>
      <c r="L8699" s="11" t="n">
        <v>39981.1365740741</v>
      </c>
      <c r="M8699" s="12" t="s">
        <v>893</v>
      </c>
      <c r="N8699" s="12" t="s">
        <v>3204</v>
      </c>
      <c r="O8699" s="9" t="str">
        <f aca="false">HYPERLINK("https://pbs.twimg.com/profile_images/856922877018468362/O1xt2dpN_normal.jpg","View")</f>
        <v>View</v>
      </c>
      <c r="P8699" s="10"/>
    </row>
    <row r="8700" customFormat="false" ht="15.75" hidden="false" customHeight="false" outlineLevel="0" collapsed="false">
      <c r="A8700" s="6" t="n">
        <v>43033.1011689815</v>
      </c>
      <c r="B8700" s="7" t="str">
        <f aca="false">HYPERLINK("https://twitter.com/Jahovathadon","@Jahovathadon")</f>
        <v>@Jahovathadon</v>
      </c>
      <c r="C8700" s="8" t="s">
        <v>18963</v>
      </c>
      <c r="D8700" s="8" t="s">
        <v>18964</v>
      </c>
      <c r="E8700" s="9" t="str">
        <f aca="false">HYPERLINK("https://twitter.com/Jahovathadon/status/923118356034719745","923118356034719745")</f>
        <v>923118356034719745</v>
      </c>
      <c r="F8700" s="10" t="s">
        <v>1024</v>
      </c>
      <c r="G8700" s="10" t="n">
        <v>626</v>
      </c>
      <c r="H8700" s="10" t="n">
        <v>2395</v>
      </c>
      <c r="I8700" s="10" t="n">
        <v>2</v>
      </c>
      <c r="J8700" s="10" t="n">
        <v>0</v>
      </c>
      <c r="K8700" s="10" t="s">
        <v>20</v>
      </c>
      <c r="L8700" s="11" t="n">
        <v>40561.8007638889</v>
      </c>
      <c r="M8700" s="12"/>
      <c r="N8700" s="12"/>
      <c r="O8700" s="9" t="str">
        <f aca="false">HYPERLINK("https://pbs.twimg.com/profile_images/880175536043175939/zz1sjYL4_normal.jpg","View")</f>
        <v>View</v>
      </c>
      <c r="P8700" s="10"/>
    </row>
    <row r="8701" customFormat="false" ht="15.75" hidden="false" customHeight="false" outlineLevel="0" collapsed="false">
      <c r="A8701" s="6" t="n">
        <v>43033.1018402778</v>
      </c>
      <c r="B8701" s="7" t="str">
        <f aca="false">HYPERLINK("https://twitter.com/kanazawakyoko","@kanazawakyoko")</f>
        <v>@kanazawakyoko</v>
      </c>
      <c r="C8701" s="14" t="s">
        <v>18728</v>
      </c>
      <c r="D8701" s="14" t="s">
        <v>18965</v>
      </c>
      <c r="E8701" s="9" t="str">
        <f aca="false">HYPERLINK("https://twitter.com/kanazawakyoko/status/923118597559304193","923118597559304193")</f>
        <v>923118597559304193</v>
      </c>
      <c r="F8701" s="10" t="s">
        <v>39</v>
      </c>
      <c r="G8701" s="10" t="n">
        <v>4953</v>
      </c>
      <c r="H8701" s="10" t="n">
        <v>5175</v>
      </c>
      <c r="I8701" s="10" t="n">
        <v>1</v>
      </c>
      <c r="J8701" s="10" t="n">
        <v>3</v>
      </c>
      <c r="K8701" s="10" t="s">
        <v>20</v>
      </c>
      <c r="L8701" s="11" t="n">
        <v>40743.8238888889</v>
      </c>
      <c r="M8701" s="13" t="s">
        <v>18729</v>
      </c>
      <c r="N8701" s="13" t="s">
        <v>18730</v>
      </c>
      <c r="O8701" s="9" t="str">
        <f aca="false">HYPERLINK("https://pbs.twimg.com/profile_images/922345590519762944/OIoxCx_h_normal.jpg","View")</f>
        <v>View</v>
      </c>
      <c r="P8701" s="10"/>
    </row>
    <row r="8702" customFormat="false" ht="15.75" hidden="false" customHeight="false" outlineLevel="0" collapsed="false">
      <c r="A8702" s="6" t="n">
        <v>43033.1030208333</v>
      </c>
      <c r="B8702" s="7" t="str">
        <f aca="false">HYPERLINK("https://twitter.com/mikihairo","@mikihairo")</f>
        <v>@mikihairo</v>
      </c>
      <c r="C8702" s="14" t="s">
        <v>18966</v>
      </c>
      <c r="D8702" s="8" t="s">
        <v>18967</v>
      </c>
      <c r="E8702" s="9" t="str">
        <f aca="false">HYPERLINK("https://twitter.com/mikihairo/status/923119028289249280","923119028289249280")</f>
        <v>923119028289249280</v>
      </c>
      <c r="F8702" s="10" t="s">
        <v>39</v>
      </c>
      <c r="G8702" s="10" t="n">
        <v>3095</v>
      </c>
      <c r="H8702" s="10" t="n">
        <v>3011</v>
      </c>
      <c r="I8702" s="10" t="n">
        <v>1</v>
      </c>
      <c r="J8702" s="10" t="n">
        <v>0</v>
      </c>
      <c r="K8702" s="10" t="s">
        <v>20</v>
      </c>
      <c r="L8702" s="11" t="n">
        <v>40995.0388194445</v>
      </c>
      <c r="M8702" s="12"/>
      <c r="N8702" s="13" t="s">
        <v>18968</v>
      </c>
      <c r="O8702" s="9" t="str">
        <f aca="false">HYPERLINK("https://pbs.twimg.com/profile_images/602956471693758464/VONZgU8V_normal.jpg","View")</f>
        <v>View</v>
      </c>
      <c r="P8702" s="10"/>
    </row>
    <row r="8703" customFormat="false" ht="15.75" hidden="false" customHeight="false" outlineLevel="0" collapsed="false">
      <c r="A8703" s="6" t="n">
        <v>43033.1071180556</v>
      </c>
      <c r="B8703" s="7" t="str">
        <f aca="false">HYPERLINK("https://twitter.com/uk_listings","@uk_listings")</f>
        <v>@uk_listings</v>
      </c>
      <c r="C8703" s="8" t="s">
        <v>18969</v>
      </c>
      <c r="D8703" s="8" t="s">
        <v>18970</v>
      </c>
      <c r="E8703" s="9" t="str">
        <f aca="false">HYPERLINK("https://twitter.com/uk_listings/status/923120513945423872","923120513945423872")</f>
        <v>923120513945423872</v>
      </c>
      <c r="F8703" s="10" t="s">
        <v>18971</v>
      </c>
      <c r="G8703" s="10" t="n">
        <v>27599</v>
      </c>
      <c r="H8703" s="10" t="n">
        <v>14878</v>
      </c>
      <c r="I8703" s="10" t="n">
        <v>0</v>
      </c>
      <c r="J8703" s="10" t="n">
        <v>0</v>
      </c>
      <c r="K8703" s="10" t="s">
        <v>20</v>
      </c>
      <c r="L8703" s="11" t="n">
        <v>42503.3791087963</v>
      </c>
      <c r="M8703" s="12" t="s">
        <v>18972</v>
      </c>
      <c r="N8703" s="12" t="s">
        <v>18973</v>
      </c>
      <c r="O8703" s="9" t="str">
        <f aca="false">HYPERLINK("https://pbs.twimg.com/profile_images/731155303316766721/DxrvH0AI_normal.jpg","View")</f>
        <v>View</v>
      </c>
      <c r="P8703" s="10"/>
    </row>
    <row r="8704" customFormat="false" ht="15.75" hidden="false" customHeight="false" outlineLevel="0" collapsed="false">
      <c r="A8704" s="6" t="n">
        <v>43033.1091203704</v>
      </c>
      <c r="B8704" s="7" t="str">
        <f aca="false">HYPERLINK("https://twitter.com/NRyassa","@NRyassa")</f>
        <v>@NRyassa</v>
      </c>
      <c r="C8704" s="8" t="s">
        <v>18974</v>
      </c>
      <c r="D8704" s="8" t="s">
        <v>18964</v>
      </c>
      <c r="E8704" s="9" t="str">
        <f aca="false">HYPERLINK("https://twitter.com/NRyassa/status/923121238247165952","923121238247165952")</f>
        <v>923121238247165952</v>
      </c>
      <c r="F8704" s="10" t="s">
        <v>25</v>
      </c>
      <c r="G8704" s="10" t="n">
        <v>44</v>
      </c>
      <c r="H8704" s="10" t="n">
        <v>257</v>
      </c>
      <c r="I8704" s="10" t="n">
        <v>2</v>
      </c>
      <c r="J8704" s="10" t="n">
        <v>0</v>
      </c>
      <c r="K8704" s="10" t="s">
        <v>20</v>
      </c>
      <c r="L8704" s="11" t="n">
        <v>43024.0890277778</v>
      </c>
      <c r="M8704" s="12"/>
      <c r="N8704" s="12" t="s">
        <v>18975</v>
      </c>
      <c r="O8704" s="9" t="str">
        <f aca="false">HYPERLINK("https://pbs.twimg.com/profile_images/919935862275756033/LfgU9DLB_normal.jpg","View")</f>
        <v>View</v>
      </c>
      <c r="P8704" s="10"/>
    </row>
    <row r="8705" customFormat="false" ht="15.75" hidden="false" customHeight="false" outlineLevel="0" collapsed="false">
      <c r="A8705" s="6" t="n">
        <v>43033.1139236111</v>
      </c>
      <c r="B8705" s="7" t="str">
        <f aca="false">HYPERLINK("https://twitter.com/LudovicaIaccino","@LudovicaIaccino")</f>
        <v>@LudovicaIaccino</v>
      </c>
      <c r="C8705" s="8" t="s">
        <v>18976</v>
      </c>
      <c r="D8705" s="8" t="s">
        <v>18959</v>
      </c>
      <c r="E8705" s="9" t="str">
        <f aca="false">HYPERLINK("https://twitter.com/LudovicaIaccino/status/923122980263284736","923122980263284736")</f>
        <v>923122980263284736</v>
      </c>
      <c r="F8705" s="10" t="s">
        <v>39</v>
      </c>
      <c r="G8705" s="10" t="n">
        <v>6784</v>
      </c>
      <c r="H8705" s="10" t="n">
        <v>3765</v>
      </c>
      <c r="I8705" s="10" t="n">
        <v>4</v>
      </c>
      <c r="J8705" s="10" t="n">
        <v>0</v>
      </c>
      <c r="K8705" s="10" t="s">
        <v>20</v>
      </c>
      <c r="L8705" s="11" t="n">
        <v>40901.1505208333</v>
      </c>
      <c r="M8705" s="12" t="s">
        <v>182</v>
      </c>
      <c r="N8705" s="12" t="s">
        <v>18977</v>
      </c>
      <c r="O8705" s="9" t="str">
        <f aca="false">HYPERLINK("https://pbs.twimg.com/profile_images/877425863058436096/J1MZE3mV_normal.jpg","View")</f>
        <v>View</v>
      </c>
      <c r="P8705" s="10"/>
    </row>
    <row r="8706" customFormat="false" ht="15.75" hidden="false" customHeight="false" outlineLevel="0" collapsed="false">
      <c r="A8706" s="6" t="n">
        <v>43033.1142361111</v>
      </c>
      <c r="B8706" s="7" t="str">
        <f aca="false">HYPERLINK("https://twitter.com/vrai777","@vrai777")</f>
        <v>@vrai777</v>
      </c>
      <c r="C8706" s="8" t="s">
        <v>335</v>
      </c>
      <c r="D8706" s="8" t="s">
        <v>18978</v>
      </c>
      <c r="E8706" s="9" t="str">
        <f aca="false">HYPERLINK("https://twitter.com/vrai777/status/923123093048086528","923123093048086528")</f>
        <v>923123093048086528</v>
      </c>
      <c r="F8706" s="10" t="s">
        <v>60</v>
      </c>
      <c r="G8706" s="10" t="n">
        <v>7959</v>
      </c>
      <c r="H8706" s="10" t="n">
        <v>71</v>
      </c>
      <c r="I8706" s="10" t="n">
        <v>0</v>
      </c>
      <c r="J8706" s="10" t="n">
        <v>0</v>
      </c>
      <c r="K8706" s="10" t="s">
        <v>20</v>
      </c>
      <c r="L8706" s="11" t="n">
        <v>39878.7593287037</v>
      </c>
      <c r="M8706" s="12" t="s">
        <v>295</v>
      </c>
      <c r="N8706" s="12" t="s">
        <v>337</v>
      </c>
      <c r="O8706" s="9" t="str">
        <f aca="false">HYPERLINK("https://pbs.twimg.com/profile_images/688775800284266496/qhWTo08H_normal.png","View")</f>
        <v>View</v>
      </c>
      <c r="P8706" s="10"/>
    </row>
    <row r="8707" customFormat="false" ht="15.75" hidden="false" customHeight="false" outlineLevel="0" collapsed="false">
      <c r="A8707" s="6" t="n">
        <v>43033.1167592593</v>
      </c>
      <c r="B8707" s="7" t="str">
        <f aca="false">HYPERLINK("https://twitter.com/Student4_Life","@Student4_Life")</f>
        <v>@Student4_Life</v>
      </c>
      <c r="C8707" s="8" t="s">
        <v>18979</v>
      </c>
      <c r="D8707" s="8" t="s">
        <v>8538</v>
      </c>
      <c r="E8707" s="9" t="str">
        <f aca="false">HYPERLINK("https://twitter.com/Student4_Life/status/923124004906352640","923124004906352640")</f>
        <v>923124004906352640</v>
      </c>
      <c r="F8707" s="10" t="s">
        <v>39</v>
      </c>
      <c r="G8707" s="10" t="n">
        <v>1464</v>
      </c>
      <c r="H8707" s="10" t="n">
        <v>4481</v>
      </c>
      <c r="I8707" s="10" t="n">
        <v>1015</v>
      </c>
      <c r="J8707" s="10" t="n">
        <v>0</v>
      </c>
      <c r="K8707" s="10" t="s">
        <v>20</v>
      </c>
      <c r="L8707" s="11" t="n">
        <v>41685.9783217593</v>
      </c>
      <c r="M8707" s="12" t="s">
        <v>72</v>
      </c>
      <c r="N8707" s="12" t="s">
        <v>18980</v>
      </c>
      <c r="O8707" s="9" t="str">
        <f aca="false">HYPERLINK("https://pbs.twimg.com/profile_images/434979641929895936/dp9uI6-h_normal.jpeg","View")</f>
        <v>View</v>
      </c>
      <c r="P8707" s="10"/>
    </row>
    <row r="8708" customFormat="false" ht="15.75" hidden="false" customHeight="false" outlineLevel="0" collapsed="false">
      <c r="A8708" s="6" t="n">
        <v>43033.1268402778</v>
      </c>
      <c r="B8708" s="7" t="str">
        <f aca="false">HYPERLINK("https://twitter.com/art7003","@art7003")</f>
        <v>@art7003</v>
      </c>
      <c r="C8708" s="8" t="s">
        <v>18981</v>
      </c>
      <c r="D8708" s="8" t="s">
        <v>18021</v>
      </c>
      <c r="E8708" s="9" t="str">
        <f aca="false">HYPERLINK("https://twitter.com/art7003/status/923127659193872384","923127659193872384")</f>
        <v>923127659193872384</v>
      </c>
      <c r="F8708" s="10" t="s">
        <v>51</v>
      </c>
      <c r="G8708" s="10" t="n">
        <v>1123</v>
      </c>
      <c r="H8708" s="10" t="n">
        <v>5001</v>
      </c>
      <c r="I8708" s="10" t="n">
        <v>18</v>
      </c>
      <c r="J8708" s="10" t="n">
        <v>0</v>
      </c>
      <c r="K8708" s="10" t="s">
        <v>20</v>
      </c>
      <c r="L8708" s="11" t="n">
        <v>41931.187037037</v>
      </c>
      <c r="M8708" s="12" t="s">
        <v>18982</v>
      </c>
      <c r="N8708" s="12"/>
      <c r="O8708" s="9" t="str">
        <f aca="false">HYPERLINK("https://pbs.twimg.com/profile_images/639135289831587840/Viy1-wqK_normal.jpg","View")</f>
        <v>View</v>
      </c>
      <c r="P8708" s="10"/>
    </row>
    <row r="8709" customFormat="false" ht="15.75" hidden="false" customHeight="false" outlineLevel="0" collapsed="false">
      <c r="A8709" s="6" t="n">
        <v>43033.135775463</v>
      </c>
      <c r="B8709" s="7" t="str">
        <f aca="false">HYPERLINK("https://twitter.com/IBTimesUK","@IBTimesUK")</f>
        <v>@IBTimesUK</v>
      </c>
      <c r="C8709" s="8" t="s">
        <v>3202</v>
      </c>
      <c r="D8709" s="8" t="s">
        <v>18983</v>
      </c>
      <c r="E8709" s="9" t="str">
        <f aca="false">HYPERLINK("https://twitter.com/IBTimesUK/status/923130898748530689","923130898748530689")</f>
        <v>923130898748530689</v>
      </c>
      <c r="F8709" s="10" t="s">
        <v>268</v>
      </c>
      <c r="G8709" s="10" t="n">
        <v>32277</v>
      </c>
      <c r="H8709" s="10" t="n">
        <v>1068</v>
      </c>
      <c r="I8709" s="10" t="n">
        <v>0</v>
      </c>
      <c r="J8709" s="10" t="n">
        <v>1</v>
      </c>
      <c r="K8709" s="10" t="s">
        <v>20</v>
      </c>
      <c r="L8709" s="11" t="n">
        <v>39981.1365740741</v>
      </c>
      <c r="M8709" s="12" t="s">
        <v>893</v>
      </c>
      <c r="N8709" s="12" t="s">
        <v>3204</v>
      </c>
      <c r="O8709" s="9" t="str">
        <f aca="false">HYPERLINK("https://pbs.twimg.com/profile_images/856922877018468362/O1xt2dpN_normal.jpg","View")</f>
        <v>View</v>
      </c>
      <c r="P8709" s="10"/>
    </row>
    <row r="8710" customFormat="false" ht="15.75" hidden="false" customHeight="false" outlineLevel="0" collapsed="false">
      <c r="A8710" s="6" t="n">
        <v>43033.1423032407</v>
      </c>
      <c r="B8710" s="7" t="str">
        <f aca="false">HYPERLINK("https://twitter.com/markets","@markets")</f>
        <v>@markets</v>
      </c>
      <c r="C8710" s="8" t="s">
        <v>546</v>
      </c>
      <c r="D8710" s="8" t="s">
        <v>18733</v>
      </c>
      <c r="E8710" s="9" t="str">
        <f aca="false">HYPERLINK("https://twitter.com/markets/status/923133261466996743","923133261466996743")</f>
        <v>923133261466996743</v>
      </c>
      <c r="F8710" s="10" t="s">
        <v>268</v>
      </c>
      <c r="G8710" s="10" t="n">
        <v>362513</v>
      </c>
      <c r="H8710" s="10" t="n">
        <v>281</v>
      </c>
      <c r="I8710" s="10" t="n">
        <v>28</v>
      </c>
      <c r="J8710" s="10" t="n">
        <v>0</v>
      </c>
      <c r="K8710" s="10" t="s">
        <v>20</v>
      </c>
      <c r="L8710" s="11" t="n">
        <v>40053.3699305556</v>
      </c>
      <c r="M8710" s="12" t="s">
        <v>319</v>
      </c>
      <c r="N8710" s="12" t="s">
        <v>548</v>
      </c>
      <c r="O8710" s="9" t="str">
        <f aca="false">HYPERLINK("https://pbs.twimg.com/profile_images/714805129472512001/hO92rmSH_normal.jpg","View")</f>
        <v>View</v>
      </c>
      <c r="P8710" s="10"/>
    </row>
    <row r="8711" customFormat="false" ht="15.75" hidden="false" customHeight="false" outlineLevel="0" collapsed="false">
      <c r="A8711" s="6" t="n">
        <v>43033.1424421296</v>
      </c>
      <c r="B8711" s="7" t="str">
        <f aca="false">HYPERLINK("https://twitter.com/onlinetraderbiz","@onlinetraderbiz")</f>
        <v>@onlinetraderbiz</v>
      </c>
      <c r="C8711" s="8" t="s">
        <v>570</v>
      </c>
      <c r="D8711" s="8" t="s">
        <v>18984</v>
      </c>
      <c r="E8711" s="9" t="str">
        <f aca="false">HYPERLINK("https://twitter.com/onlinetraderbiz/status/923133315003113472","923133315003113472")</f>
        <v>923133315003113472</v>
      </c>
      <c r="F8711" s="10" t="s">
        <v>60</v>
      </c>
      <c r="G8711" s="10" t="n">
        <v>3803</v>
      </c>
      <c r="H8711" s="10" t="n">
        <v>4086</v>
      </c>
      <c r="I8711" s="10" t="n">
        <v>0</v>
      </c>
      <c r="J8711" s="10" t="n">
        <v>0</v>
      </c>
      <c r="K8711" s="10" t="s">
        <v>20</v>
      </c>
      <c r="L8711" s="11" t="n">
        <v>42675.3969212963</v>
      </c>
      <c r="M8711" s="12"/>
      <c r="N8711" s="12" t="s">
        <v>572</v>
      </c>
      <c r="O8711" s="9" t="str">
        <f aca="false">HYPERLINK("https://pbs.twimg.com/profile_images/886916551969984512/MQRHXfl1_normal.jpg","View")</f>
        <v>View</v>
      </c>
      <c r="P8711" s="10"/>
    </row>
    <row r="8712" customFormat="false" ht="15.75" hidden="false" customHeight="false" outlineLevel="0" collapsed="false">
      <c r="A8712" s="6" t="n">
        <v>43033.1425810185</v>
      </c>
      <c r="B8712" s="7" t="str">
        <f aca="false">HYPERLINK("https://twitter.com/CibelesCapital","@CibelesCapital")</f>
        <v>@CibelesCapital</v>
      </c>
      <c r="C8712" s="8" t="s">
        <v>549</v>
      </c>
      <c r="D8712" s="8" t="s">
        <v>18985</v>
      </c>
      <c r="E8712" s="9" t="str">
        <f aca="false">HYPERLINK("https://twitter.com/CibelesCapital/status/923133362310664192","923133362310664192")</f>
        <v>923133362310664192</v>
      </c>
      <c r="F8712" s="10" t="s">
        <v>60</v>
      </c>
      <c r="G8712" s="10" t="n">
        <v>46</v>
      </c>
      <c r="H8712" s="10" t="n">
        <v>100</v>
      </c>
      <c r="I8712" s="10" t="n">
        <v>0</v>
      </c>
      <c r="J8712" s="10" t="n">
        <v>0</v>
      </c>
      <c r="K8712" s="10" t="s">
        <v>20</v>
      </c>
      <c r="L8712" s="11" t="n">
        <v>42907.4726157407</v>
      </c>
      <c r="M8712" s="12" t="s">
        <v>551</v>
      </c>
      <c r="N8712" s="12" t="s">
        <v>552</v>
      </c>
      <c r="O8712" s="9" t="str">
        <f aca="false">HYPERLINK("https://pbs.twimg.com/profile_images/877593223430098948/xclx5ZR9_normal.jpg","View")</f>
        <v>View</v>
      </c>
      <c r="P8712" s="10"/>
    </row>
    <row r="8713" customFormat="false" ht="15.75" hidden="false" customHeight="false" outlineLevel="0" collapsed="false">
      <c r="A8713" s="6" t="n">
        <v>43033.1436805556</v>
      </c>
      <c r="B8713" s="7" t="str">
        <f aca="false">HYPERLINK("https://twitter.com/x1__5x","@x1__5x")</f>
        <v>@x1__5x</v>
      </c>
      <c r="C8713" s="8" t="s">
        <v>259</v>
      </c>
      <c r="D8713" s="8" t="s">
        <v>18733</v>
      </c>
      <c r="E8713" s="9" t="str">
        <f aca="false">HYPERLINK("https://twitter.com/x1__5x/status/923133763986624513","923133763986624513")</f>
        <v>923133763986624513</v>
      </c>
      <c r="F8713" s="10" t="s">
        <v>51</v>
      </c>
      <c r="G8713" s="10" t="n">
        <v>35</v>
      </c>
      <c r="H8713" s="10" t="n">
        <v>120</v>
      </c>
      <c r="I8713" s="10" t="n">
        <v>28</v>
      </c>
      <c r="J8713" s="10" t="n">
        <v>0</v>
      </c>
      <c r="K8713" s="10" t="s">
        <v>20</v>
      </c>
      <c r="L8713" s="11" t="n">
        <v>41880.2024652778</v>
      </c>
      <c r="M8713" s="12"/>
      <c r="N8713" s="12"/>
      <c r="O8713" s="9" t="str">
        <f aca="false">HYPERLINK("https://pbs.twimg.com/profile_images/910313671867486214/vzZtZT6L_normal.jpg","View")</f>
        <v>View</v>
      </c>
      <c r="P8713" s="10"/>
    </row>
    <row r="8714" customFormat="false" ht="15.75" hidden="false" customHeight="false" outlineLevel="0" collapsed="false">
      <c r="A8714" s="6" t="n">
        <v>43033.1439583333</v>
      </c>
      <c r="B8714" s="7" t="str">
        <f aca="false">HYPERLINK("https://twitter.com/tehSausages","@tehSausages")</f>
        <v>@tehSausages</v>
      </c>
      <c r="C8714" s="8" t="s">
        <v>18986</v>
      </c>
      <c r="D8714" s="8" t="s">
        <v>18733</v>
      </c>
      <c r="E8714" s="9" t="str">
        <f aca="false">HYPERLINK("https://twitter.com/tehSausages/status/923133861957009408","923133861957009408")</f>
        <v>923133861957009408</v>
      </c>
      <c r="F8714" s="10" t="s">
        <v>51</v>
      </c>
      <c r="G8714" s="10" t="n">
        <v>372</v>
      </c>
      <c r="H8714" s="10" t="n">
        <v>302</v>
      </c>
      <c r="I8714" s="10" t="n">
        <v>28</v>
      </c>
      <c r="J8714" s="10" t="n">
        <v>0</v>
      </c>
      <c r="K8714" s="10" t="s">
        <v>20</v>
      </c>
      <c r="L8714" s="11" t="n">
        <v>40931.7928703704</v>
      </c>
      <c r="M8714" s="12"/>
      <c r="N8714" s="12" t="s">
        <v>18987</v>
      </c>
      <c r="O8714" s="9" t="str">
        <f aca="false">HYPERLINK("https://pbs.twimg.com/profile_images/885300484675837952/V8MFciZg_normal.jpg","View")</f>
        <v>View</v>
      </c>
      <c r="P8714" s="10"/>
    </row>
    <row r="8715" customFormat="false" ht="15.75" hidden="false" customHeight="false" outlineLevel="0" collapsed="false">
      <c r="A8715" s="6" t="n">
        <v>43033.1439699074</v>
      </c>
      <c r="B8715" s="7" t="str">
        <f aca="false">HYPERLINK("https://twitter.com/nekoya_3","@nekoya_3")</f>
        <v>@nekoya_3</v>
      </c>
      <c r="C8715" s="14" t="s">
        <v>18988</v>
      </c>
      <c r="D8715" s="8" t="s">
        <v>18733</v>
      </c>
      <c r="E8715" s="9" t="str">
        <f aca="false">HYPERLINK("https://twitter.com/nekoya_3/status/923133868391260161","923133868391260161")</f>
        <v>923133868391260161</v>
      </c>
      <c r="F8715" s="10" t="s">
        <v>39</v>
      </c>
      <c r="G8715" s="10" t="n">
        <v>1194</v>
      </c>
      <c r="H8715" s="10" t="n">
        <v>71</v>
      </c>
      <c r="I8715" s="10" t="n">
        <v>28</v>
      </c>
      <c r="J8715" s="10" t="n">
        <v>0</v>
      </c>
      <c r="K8715" s="10" t="s">
        <v>20</v>
      </c>
      <c r="L8715" s="11" t="n">
        <v>41146.1315972222</v>
      </c>
      <c r="M8715" s="12" t="s">
        <v>567</v>
      </c>
      <c r="N8715" s="13" t="s">
        <v>18989</v>
      </c>
      <c r="O8715" s="9" t="str">
        <f aca="false">HYPERLINK("https://pbs.twimg.com/profile_images/572557586113650688/kWaWM64v_normal.jpeg","View")</f>
        <v>View</v>
      </c>
      <c r="P8715" s="10"/>
    </row>
    <row r="8716" customFormat="false" ht="15.75" hidden="false" customHeight="false" outlineLevel="0" collapsed="false">
      <c r="A8716" s="6" t="n">
        <v>43033.1441203704</v>
      </c>
      <c r="B8716" s="7" t="str">
        <f aca="false">HYPERLINK("https://twitter.com/WUMoneyClub","@WUMoneyClub")</f>
        <v>@WUMoneyClub</v>
      </c>
      <c r="C8716" s="8" t="s">
        <v>559</v>
      </c>
      <c r="D8716" s="8" t="s">
        <v>18990</v>
      </c>
      <c r="E8716" s="9" t="str">
        <f aca="false">HYPERLINK("https://twitter.com/WUMoneyClub/status/923133923173060608","923133923173060608")</f>
        <v>923133923173060608</v>
      </c>
      <c r="F8716" s="10" t="s">
        <v>60</v>
      </c>
      <c r="G8716" s="10" t="n">
        <v>233</v>
      </c>
      <c r="H8716" s="10" t="n">
        <v>146</v>
      </c>
      <c r="I8716" s="10" t="n">
        <v>0</v>
      </c>
      <c r="J8716" s="10" t="n">
        <v>0</v>
      </c>
      <c r="K8716" s="10" t="s">
        <v>20</v>
      </c>
      <c r="L8716" s="11" t="n">
        <v>42816.4741666667</v>
      </c>
      <c r="M8716" s="12" t="s">
        <v>561</v>
      </c>
      <c r="N8716" s="12" t="s">
        <v>562</v>
      </c>
      <c r="O8716" s="9" t="str">
        <f aca="false">HYPERLINK("https://pbs.twimg.com/profile_images/844673346134519812/_6GMOztt_normal.jpg","View")</f>
        <v>View</v>
      </c>
      <c r="P8716" s="10"/>
    </row>
    <row r="8717" customFormat="false" ht="15.75" hidden="false" customHeight="false" outlineLevel="0" collapsed="false">
      <c r="A8717" s="6" t="n">
        <v>43033.1448958333</v>
      </c>
      <c r="B8717" s="7" t="str">
        <f aca="false">HYPERLINK("https://twitter.com/ChikeChijioke","@ChikeChijioke")</f>
        <v>@ChikeChijioke</v>
      </c>
      <c r="C8717" s="8" t="s">
        <v>18991</v>
      </c>
      <c r="D8717" s="8" t="s">
        <v>18959</v>
      </c>
      <c r="E8717" s="9" t="str">
        <f aca="false">HYPERLINK("https://twitter.com/ChikeChijioke/status/923134204090748928","923134204090748928")</f>
        <v>923134204090748928</v>
      </c>
      <c r="F8717" s="10" t="s">
        <v>25</v>
      </c>
      <c r="G8717" s="10" t="n">
        <v>57</v>
      </c>
      <c r="H8717" s="10" t="n">
        <v>89</v>
      </c>
      <c r="I8717" s="10" t="n">
        <v>4</v>
      </c>
      <c r="J8717" s="10" t="n">
        <v>0</v>
      </c>
      <c r="K8717" s="10" t="s">
        <v>20</v>
      </c>
      <c r="L8717" s="11" t="n">
        <v>41784.7767361111</v>
      </c>
      <c r="M8717" s="12"/>
      <c r="N8717" s="12"/>
      <c r="O8717" s="9" t="str">
        <f aca="false">HYPERLINK("https://abs.twimg.com/sticky/default_profile_images/default_profile_normal.png","View")</f>
        <v>View</v>
      </c>
      <c r="P8717" s="10"/>
    </row>
    <row r="8718" customFormat="false" ht="15.75" hidden="false" customHeight="false" outlineLevel="0" collapsed="false">
      <c r="A8718" s="6" t="n">
        <v>43033.1753819444</v>
      </c>
      <c r="B8718" s="7" t="str">
        <f aca="false">HYPERLINK("https://twitter.com/OmotolaAriyo_","@OmotolaAriyo_")</f>
        <v>@OmotolaAriyo_</v>
      </c>
      <c r="C8718" s="8" t="s">
        <v>18992</v>
      </c>
      <c r="D8718" s="8" t="s">
        <v>18733</v>
      </c>
      <c r="E8718" s="9" t="str">
        <f aca="false">HYPERLINK("https://twitter.com/OmotolaAriyo_/status/923145250801152000","923145250801152000")</f>
        <v>923145250801152000</v>
      </c>
      <c r="F8718" s="10" t="s">
        <v>51</v>
      </c>
      <c r="G8718" s="10" t="n">
        <v>574</v>
      </c>
      <c r="H8718" s="10" t="n">
        <v>198</v>
      </c>
      <c r="I8718" s="10" t="n">
        <v>28</v>
      </c>
      <c r="J8718" s="10" t="n">
        <v>0</v>
      </c>
      <c r="K8718" s="10" t="s">
        <v>20</v>
      </c>
      <c r="L8718" s="11" t="n">
        <v>40073.2536921296</v>
      </c>
      <c r="M8718" s="12" t="s">
        <v>893</v>
      </c>
      <c r="N8718" s="12" t="s">
        <v>18993</v>
      </c>
      <c r="O8718" s="9" t="str">
        <f aca="false">HYPERLINK("https://pbs.twimg.com/profile_images/914604482918576128/QIVIBwSH_normal.jpg","View")</f>
        <v>View</v>
      </c>
      <c r="P8718" s="10"/>
    </row>
    <row r="8719" customFormat="false" ht="15.75" hidden="false" customHeight="false" outlineLevel="0" collapsed="false">
      <c r="A8719" s="6" t="n">
        <v>43033.1822685185</v>
      </c>
      <c r="B8719" s="7" t="str">
        <f aca="false">HYPERLINK("https://twitter.com/deaeteyokattana","@deaeteyokattana")</f>
        <v>@deaeteyokattana</v>
      </c>
      <c r="C8719" s="14" t="s">
        <v>18994</v>
      </c>
      <c r="D8719" s="8" t="s">
        <v>18617</v>
      </c>
      <c r="E8719" s="9" t="str">
        <f aca="false">HYPERLINK("https://twitter.com/deaeteyokattana/status/923147744922935296","923147744922935296")</f>
        <v>923147744922935296</v>
      </c>
      <c r="F8719" s="10" t="s">
        <v>51</v>
      </c>
      <c r="G8719" s="10" t="n">
        <v>1755</v>
      </c>
      <c r="H8719" s="10" t="n">
        <v>2155</v>
      </c>
      <c r="I8719" s="10" t="n">
        <v>47</v>
      </c>
      <c r="J8719" s="10" t="n">
        <v>0</v>
      </c>
      <c r="K8719" s="10" t="s">
        <v>20</v>
      </c>
      <c r="L8719" s="11" t="n">
        <v>40391.1414814815</v>
      </c>
      <c r="M8719" s="12" t="s">
        <v>18995</v>
      </c>
      <c r="N8719" s="13" t="s">
        <v>18996</v>
      </c>
      <c r="O8719" s="9" t="str">
        <f aca="false">HYPERLINK("https://pbs.twimg.com/profile_images/1308298928/3631bc05-65df-4e97-b24d-783e7697110d_normal.png","View")</f>
        <v>View</v>
      </c>
      <c r="P8719" s="10"/>
    </row>
    <row r="8720" customFormat="false" ht="15.75" hidden="false" customHeight="false" outlineLevel="0" collapsed="false">
      <c r="A8720" s="6" t="n">
        <v>43033.193900463</v>
      </c>
      <c r="B8720" s="7" t="str">
        <f aca="false">HYPERLINK("https://twitter.com/irinakoroleva68","@irinakoroleva68")</f>
        <v>@irinakoroleva68</v>
      </c>
      <c r="C8720" s="8" t="s">
        <v>18997</v>
      </c>
      <c r="D8720" s="8" t="s">
        <v>12764</v>
      </c>
      <c r="E8720" s="9" t="str">
        <f aca="false">HYPERLINK("https://twitter.com/irinakoroleva68/status/923151962496909317","923151962496909317")</f>
        <v>923151962496909317</v>
      </c>
      <c r="F8720" s="10" t="s">
        <v>39</v>
      </c>
      <c r="G8720" s="10" t="n">
        <v>6</v>
      </c>
      <c r="H8720" s="10" t="n">
        <v>3</v>
      </c>
      <c r="I8720" s="10" t="n">
        <v>170</v>
      </c>
      <c r="J8720" s="10" t="n">
        <v>0</v>
      </c>
      <c r="K8720" s="10" t="s">
        <v>20</v>
      </c>
      <c r="L8720" s="11" t="n">
        <v>43021.3480555556</v>
      </c>
      <c r="M8720" s="12"/>
      <c r="N8720" s="12"/>
      <c r="O8720" s="9" t="str">
        <f aca="false">HYPERLINK("https://pbs.twimg.com/profile_images/923156737288318976/l91jmazJ_normal.jpg","View")</f>
        <v>View</v>
      </c>
      <c r="P8720" s="10"/>
    </row>
    <row r="8721" customFormat="false" ht="15.75" hidden="false" customHeight="false" outlineLevel="0" collapsed="false">
      <c r="A8721" s="6" t="n">
        <v>43033.1944675926</v>
      </c>
      <c r="B8721" s="7" t="str">
        <f aca="false">HYPERLINK("https://twitter.com/omarDgreat22","@omarDgreat22")</f>
        <v>@omarDgreat22</v>
      </c>
      <c r="C8721" s="8" t="s">
        <v>18998</v>
      </c>
      <c r="D8721" s="8" t="s">
        <v>4124</v>
      </c>
      <c r="E8721" s="9" t="str">
        <f aca="false">HYPERLINK("https://twitter.com/omarDgreat22/status/923152167891902465","923152167891902465")</f>
        <v>923152167891902465</v>
      </c>
      <c r="F8721" s="10" t="s">
        <v>25</v>
      </c>
      <c r="G8721" s="10" t="n">
        <v>442</v>
      </c>
      <c r="H8721" s="10" t="n">
        <v>5003</v>
      </c>
      <c r="I8721" s="10" t="n">
        <v>111</v>
      </c>
      <c r="J8721" s="10" t="n">
        <v>0</v>
      </c>
      <c r="K8721" s="10" t="s">
        <v>20</v>
      </c>
      <c r="L8721" s="11" t="n">
        <v>40139.1437152778</v>
      </c>
      <c r="M8721" s="12" t="s">
        <v>18999</v>
      </c>
      <c r="N8721" s="12" t="s">
        <v>19000</v>
      </c>
      <c r="O8721" s="9" t="str">
        <f aca="false">HYPERLINK("https://pbs.twimg.com/profile_images/749358500816367616/dS1wWM_1_normal.jpg","View")</f>
        <v>View</v>
      </c>
      <c r="P8721" s="10"/>
    </row>
    <row r="8722" customFormat="false" ht="15.75" hidden="false" customHeight="false" outlineLevel="0" collapsed="false">
      <c r="A8722" s="6" t="n">
        <v>43033.1965625</v>
      </c>
      <c r="B8722" s="7" t="str">
        <f aca="false">HYPERLINK("https://twitter.com/amalags","@amalags")</f>
        <v>@amalags</v>
      </c>
      <c r="C8722" s="14" t="s">
        <v>19001</v>
      </c>
      <c r="D8722" s="8" t="s">
        <v>19002</v>
      </c>
      <c r="E8722" s="9" t="str">
        <f aca="false">HYPERLINK("https://twitter.com/amalags/status/923152923982405632","923152923982405632")</f>
        <v>923152923982405632</v>
      </c>
      <c r="F8722" s="10" t="s">
        <v>177</v>
      </c>
      <c r="G8722" s="10" t="n">
        <v>686</v>
      </c>
      <c r="H8722" s="10" t="n">
        <v>615</v>
      </c>
      <c r="I8722" s="10" t="n">
        <v>1</v>
      </c>
      <c r="J8722" s="10" t="n">
        <v>0</v>
      </c>
      <c r="K8722" s="10" t="s">
        <v>20</v>
      </c>
      <c r="L8722" s="11" t="n">
        <v>40123.2302314815</v>
      </c>
      <c r="M8722" s="13" t="s">
        <v>19003</v>
      </c>
      <c r="N8722" s="12" t="s">
        <v>19004</v>
      </c>
      <c r="O8722" s="9" t="str">
        <f aca="false">HYPERLINK("https://pbs.twimg.com/profile_images/906025351393959937/nON-Qhwc_normal.jpg","View")</f>
        <v>View</v>
      </c>
      <c r="P8722" s="10"/>
    </row>
    <row r="8723" customFormat="false" ht="15.75" hidden="false" customHeight="false" outlineLevel="0" collapsed="false">
      <c r="A8723" s="6" t="n">
        <v>43033.211712963</v>
      </c>
      <c r="B8723" s="7" t="str">
        <f aca="false">HYPERLINK("https://twitter.com/knut_gamsun","@knut_gamsun")</f>
        <v>@knut_gamsun</v>
      </c>
      <c r="C8723" s="8" t="s">
        <v>19005</v>
      </c>
      <c r="D8723" s="8" t="s">
        <v>18617</v>
      </c>
      <c r="E8723" s="9" t="str">
        <f aca="false">HYPERLINK("https://twitter.com/knut_gamsun/status/923158415454633984","923158415454633984")</f>
        <v>923158415454633984</v>
      </c>
      <c r="F8723" s="10" t="s">
        <v>25</v>
      </c>
      <c r="G8723" s="10" t="n">
        <v>256</v>
      </c>
      <c r="H8723" s="10" t="n">
        <v>1599</v>
      </c>
      <c r="I8723" s="10" t="n">
        <v>47</v>
      </c>
      <c r="J8723" s="10" t="n">
        <v>0</v>
      </c>
      <c r="K8723" s="10" t="s">
        <v>20</v>
      </c>
      <c r="L8723" s="11" t="n">
        <v>41763.4368634259</v>
      </c>
      <c r="M8723" s="12"/>
      <c r="N8723" s="12"/>
      <c r="O8723" s="9" t="str">
        <f aca="false">HYPERLINK("https://pbs.twimg.com/profile_images/624843716721803264/CkKtWhBc_normal.png","View")</f>
        <v>View</v>
      </c>
      <c r="P8723" s="10"/>
    </row>
    <row r="8724" customFormat="false" ht="15.75" hidden="false" customHeight="false" outlineLevel="0" collapsed="false">
      <c r="A8724" s="6" t="n">
        <v>43033.2387268519</v>
      </c>
      <c r="B8724" s="7" t="str">
        <f aca="false">HYPERLINK("https://twitter.com/markdoka0601","@markdoka0601")</f>
        <v>@markdoka0601</v>
      </c>
      <c r="C8724" s="8" t="s">
        <v>19006</v>
      </c>
      <c r="D8724" s="8" t="s">
        <v>10987</v>
      </c>
      <c r="E8724" s="9" t="str">
        <f aca="false">HYPERLINK("https://twitter.com/markdoka0601/status/923168204481896448","923168204481896448")</f>
        <v>923168204481896448</v>
      </c>
      <c r="F8724" s="10" t="s">
        <v>39</v>
      </c>
      <c r="G8724" s="10" t="n">
        <v>1329</v>
      </c>
      <c r="H8724" s="10" t="n">
        <v>3223</v>
      </c>
      <c r="I8724" s="10" t="n">
        <v>9</v>
      </c>
      <c r="J8724" s="10" t="n">
        <v>0</v>
      </c>
      <c r="K8724" s="10" t="s">
        <v>20</v>
      </c>
      <c r="L8724" s="11" t="n">
        <v>41044.0404398148</v>
      </c>
      <c r="M8724" s="12"/>
      <c r="N8724" s="12" t="s">
        <v>19007</v>
      </c>
      <c r="O8724" s="9" t="str">
        <f aca="false">HYPERLINK("https://pbs.twimg.com/profile_images/917779281366867969/DvZzZp-X_normal.jpg","View")</f>
        <v>View</v>
      </c>
      <c r="P8724" s="10"/>
    </row>
    <row r="8725" customFormat="false" ht="15.75" hidden="false" customHeight="false" outlineLevel="0" collapsed="false">
      <c r="A8725" s="6" t="n">
        <v>43033.2499074074</v>
      </c>
      <c r="B8725" s="7" t="str">
        <f aca="false">HYPERLINK("https://twitter.com/TheDeliaAspect","@TheDeliaAspect")</f>
        <v>@TheDeliaAspect</v>
      </c>
      <c r="C8725" s="8" t="s">
        <v>19008</v>
      </c>
      <c r="D8725" s="8" t="s">
        <v>17978</v>
      </c>
      <c r="E8725" s="9" t="str">
        <f aca="false">HYPERLINK("https://twitter.com/TheDeliaAspect/status/923172258662768640","923172258662768640")</f>
        <v>923172258662768640</v>
      </c>
      <c r="F8725" s="10" t="s">
        <v>51</v>
      </c>
      <c r="G8725" s="10" t="n">
        <v>2580</v>
      </c>
      <c r="H8725" s="10" t="n">
        <v>2542</v>
      </c>
      <c r="I8725" s="10" t="n">
        <v>12</v>
      </c>
      <c r="J8725" s="10" t="n">
        <v>0</v>
      </c>
      <c r="K8725" s="10" t="s">
        <v>20</v>
      </c>
      <c r="L8725" s="11" t="n">
        <v>42669.7720138889</v>
      </c>
      <c r="M8725" s="12" t="s">
        <v>2217</v>
      </c>
      <c r="N8725" s="12" t="s">
        <v>19009</v>
      </c>
      <c r="O8725" s="9" t="str">
        <f aca="false">HYPERLINK("https://pbs.twimg.com/profile_images/811400484116381696/s8BEyZJ9_normal.jpg","View")</f>
        <v>View</v>
      </c>
      <c r="P8725" s="10"/>
    </row>
    <row r="8726" customFormat="false" ht="15.75" hidden="false" customHeight="false" outlineLevel="0" collapsed="false">
      <c r="A8726" s="6" t="n">
        <v>43033.2559490741</v>
      </c>
      <c r="B8726" s="7" t="str">
        <f aca="false">HYPERLINK("https://twitter.com/sharebossindia","@sharebossindia")</f>
        <v>@sharebossindia</v>
      </c>
      <c r="C8726" s="7" t="s">
        <v>917</v>
      </c>
      <c r="D8726" s="8" t="s">
        <v>19010</v>
      </c>
      <c r="E8726" s="9" t="str">
        <f aca="false">HYPERLINK("https://twitter.com/sharebossindia/status/923174445438582784","923174445438582784")</f>
        <v>923174445438582784</v>
      </c>
      <c r="F8726" s="10" t="s">
        <v>919</v>
      </c>
      <c r="G8726" s="10" t="n">
        <v>1210</v>
      </c>
      <c r="H8726" s="10" t="n">
        <v>1</v>
      </c>
      <c r="I8726" s="10" t="n">
        <v>0</v>
      </c>
      <c r="J8726" s="10" t="n">
        <v>0</v>
      </c>
      <c r="K8726" s="10" t="s">
        <v>20</v>
      </c>
      <c r="L8726" s="11" t="n">
        <v>42262.3224305556</v>
      </c>
      <c r="M8726" s="12"/>
      <c r="N8726" s="12" t="s">
        <v>920</v>
      </c>
      <c r="O8726" s="9" t="str">
        <f aca="false">HYPERLINK("https://pbs.twimg.com/profile_images/691477939880202244/-eW65KbB_normal.jpg","View")</f>
        <v>View</v>
      </c>
      <c r="P8726" s="10"/>
    </row>
    <row r="8727" customFormat="false" ht="15.75" hidden="false" customHeight="false" outlineLevel="0" collapsed="false">
      <c r="A8727" s="6" t="n">
        <v>43033.2586921296</v>
      </c>
      <c r="B8727" s="7" t="str">
        <f aca="false">HYPERLINK("https://twitter.com/guanyinmiao","@guanyinmiao")</f>
        <v>@guanyinmiao</v>
      </c>
      <c r="C8727" s="8" t="s">
        <v>19011</v>
      </c>
      <c r="D8727" s="8" t="s">
        <v>18733</v>
      </c>
      <c r="E8727" s="9" t="str">
        <f aca="false">HYPERLINK("https://twitter.com/guanyinmiao/status/923175438784061441","923175438784061441")</f>
        <v>923175438784061441</v>
      </c>
      <c r="F8727" s="10" t="s">
        <v>51</v>
      </c>
      <c r="G8727" s="10" t="n">
        <v>1065</v>
      </c>
      <c r="H8727" s="10" t="n">
        <v>242</v>
      </c>
      <c r="I8727" s="10" t="n">
        <v>28</v>
      </c>
      <c r="J8727" s="10" t="n">
        <v>0</v>
      </c>
      <c r="K8727" s="10" t="s">
        <v>20</v>
      </c>
      <c r="L8727" s="11" t="n">
        <v>39934.9179166667</v>
      </c>
      <c r="M8727" s="12" t="s">
        <v>19012</v>
      </c>
      <c r="N8727" s="12" t="s">
        <v>19013</v>
      </c>
      <c r="O8727" s="9" t="str">
        <f aca="false">HYPERLINK("https://pbs.twimg.com/profile_images/518027838100746241/hqleyzau_normal.jpeg","View")</f>
        <v>View</v>
      </c>
      <c r="P8727" s="10"/>
    </row>
    <row r="8728" customFormat="false" ht="15.75" hidden="false" customHeight="false" outlineLevel="0" collapsed="false">
      <c r="A8728" s="6" t="n">
        <v>43033.2592824074</v>
      </c>
      <c r="B8728" s="7" t="str">
        <f aca="false">HYPERLINK("https://twitter.com/anah_kingsley","@anah_kingsley")</f>
        <v>@anah_kingsley</v>
      </c>
      <c r="C8728" s="8" t="s">
        <v>19014</v>
      </c>
      <c r="D8728" s="8" t="s">
        <v>18959</v>
      </c>
      <c r="E8728" s="9" t="str">
        <f aca="false">HYPERLINK("https://twitter.com/anah_kingsley/status/923175653167517696","923175653167517696")</f>
        <v>923175653167517696</v>
      </c>
      <c r="F8728" s="10" t="s">
        <v>98</v>
      </c>
      <c r="G8728" s="10" t="n">
        <v>385</v>
      </c>
      <c r="H8728" s="10" t="n">
        <v>26</v>
      </c>
      <c r="I8728" s="10" t="n">
        <v>4</v>
      </c>
      <c r="J8728" s="10" t="n">
        <v>0</v>
      </c>
      <c r="K8728" s="10" t="s">
        <v>20</v>
      </c>
      <c r="L8728" s="11" t="n">
        <v>42776.2539814815</v>
      </c>
      <c r="M8728" s="12"/>
      <c r="N8728" s="12"/>
      <c r="O8728" s="9" t="str">
        <f aca="false">HYPERLINK("https://pbs.twimg.com/profile_images/840166789329879040/TxiEwbu9_normal.jpg","View")</f>
        <v>View</v>
      </c>
      <c r="P8728" s="10"/>
    </row>
    <row r="8729" customFormat="false" ht="15.75" hidden="false" customHeight="false" outlineLevel="0" collapsed="false">
      <c r="A8729" s="6" t="n">
        <v>43033.2661574074</v>
      </c>
      <c r="B8729" s="7" t="str">
        <f aca="false">HYPERLINK("https://twitter.com/jorgepelayoa","@jorgepelayoa")</f>
        <v>@jorgepelayoa</v>
      </c>
      <c r="C8729" s="8" t="s">
        <v>19015</v>
      </c>
      <c r="D8729" s="8" t="s">
        <v>18617</v>
      </c>
      <c r="E8729" s="9" t="str">
        <f aca="false">HYPERLINK("https://twitter.com/jorgepelayoa/status/923178145741668352","923178145741668352")</f>
        <v>923178145741668352</v>
      </c>
      <c r="F8729" s="10" t="s">
        <v>51</v>
      </c>
      <c r="G8729" s="10" t="n">
        <v>91</v>
      </c>
      <c r="H8729" s="10" t="n">
        <v>336</v>
      </c>
      <c r="I8729" s="10" t="n">
        <v>47</v>
      </c>
      <c r="J8729" s="10" t="n">
        <v>0</v>
      </c>
      <c r="K8729" s="10" t="s">
        <v>20</v>
      </c>
      <c r="L8729" s="11" t="n">
        <v>40771.8753935185</v>
      </c>
      <c r="M8729" s="12" t="s">
        <v>19016</v>
      </c>
      <c r="N8729" s="12" t="s">
        <v>19017</v>
      </c>
      <c r="O8729" s="9" t="str">
        <f aca="false">HYPERLINK("https://pbs.twimg.com/profile_images/538187381686280193/jMpVkLaI_normal.jpeg","View")</f>
        <v>View</v>
      </c>
      <c r="P8729" s="10"/>
    </row>
    <row r="8730" customFormat="false" ht="15.75" hidden="false" customHeight="false" outlineLevel="0" collapsed="false">
      <c r="A8730" s="6" t="n">
        <v>43033.2708564815</v>
      </c>
      <c r="B8730" s="7" t="str">
        <f aca="false">HYPERLINK("https://twitter.com/AU_SIS","@AU_SIS")</f>
        <v>@AU_SIS</v>
      </c>
      <c r="C8730" s="8" t="s">
        <v>19018</v>
      </c>
      <c r="D8730" s="8" t="s">
        <v>19019</v>
      </c>
      <c r="E8730" s="9" t="str">
        <f aca="false">HYPERLINK("https://twitter.com/AU_SIS/status/923179849539379200","923179849539379200")</f>
        <v>923179849539379200</v>
      </c>
      <c r="F8730" s="10" t="s">
        <v>1167</v>
      </c>
      <c r="G8730" s="10" t="n">
        <v>6488</v>
      </c>
      <c r="H8730" s="10" t="n">
        <v>387</v>
      </c>
      <c r="I8730" s="10" t="n">
        <v>0</v>
      </c>
      <c r="J8730" s="10" t="n">
        <v>0</v>
      </c>
      <c r="K8730" s="10" t="s">
        <v>20</v>
      </c>
      <c r="L8730" s="11" t="n">
        <v>40696.4628472222</v>
      </c>
      <c r="M8730" s="12" t="s">
        <v>723</v>
      </c>
      <c r="N8730" s="12" t="s">
        <v>19020</v>
      </c>
      <c r="O8730" s="9" t="str">
        <f aca="false">HYPERLINK("https://pbs.twimg.com/profile_images/798586814529413120/SGSERZB1_normal.jpg","View")</f>
        <v>View</v>
      </c>
      <c r="P8730" s="10"/>
    </row>
    <row r="8731" customFormat="false" ht="15.75" hidden="false" customHeight="false" outlineLevel="0" collapsed="false">
      <c r="A8731" s="6" t="n">
        <v>43033.2779050926</v>
      </c>
      <c r="B8731" s="7" t="str">
        <f aca="false">HYPERLINK("https://twitter.com/julialevpolsci","@julialevpolsci")</f>
        <v>@julialevpolsci</v>
      </c>
      <c r="C8731" s="8" t="s">
        <v>19021</v>
      </c>
      <c r="D8731" s="8" t="s">
        <v>19022</v>
      </c>
      <c r="E8731" s="9" t="str">
        <f aca="false">HYPERLINK("https://twitter.com/julialevpolsci/status/923182403505610754","923182403505610754")</f>
        <v>923182403505610754</v>
      </c>
      <c r="F8731" s="10" t="s">
        <v>39</v>
      </c>
      <c r="G8731" s="10" t="n">
        <v>1</v>
      </c>
      <c r="H8731" s="10" t="n">
        <v>5</v>
      </c>
      <c r="I8731" s="10" t="n">
        <v>0</v>
      </c>
      <c r="J8731" s="10" t="n">
        <v>0</v>
      </c>
      <c r="K8731" s="10" t="s">
        <v>20</v>
      </c>
      <c r="L8731" s="11" t="n">
        <v>41590.7642939815</v>
      </c>
      <c r="M8731" s="12" t="s">
        <v>4756</v>
      </c>
      <c r="N8731" s="12" t="s">
        <v>19023</v>
      </c>
      <c r="O8731" s="9" t="str">
        <f aca="false">HYPERLINK("https://pbs.twimg.com/profile_images/903349933092298752/mHg4mgwF_normal.jpg","View")</f>
        <v>View</v>
      </c>
      <c r="P8731" s="10"/>
    </row>
    <row r="8732" customFormat="false" ht="15.75" hidden="false" customHeight="false" outlineLevel="0" collapsed="false">
      <c r="A8732" s="6" t="n">
        <v>43033.2821064815</v>
      </c>
      <c r="B8732" s="7" t="str">
        <f aca="false">HYPERLINK("https://twitter.com/Photo_On_Arata","@Photo_On_Arata")</f>
        <v>@Photo_On_Arata</v>
      </c>
      <c r="C8732" s="14" t="s">
        <v>19024</v>
      </c>
      <c r="D8732" s="8" t="s">
        <v>18617</v>
      </c>
      <c r="E8732" s="9" t="str">
        <f aca="false">HYPERLINK("https://twitter.com/Photo_On_Arata/status/923183924699738119","923183924699738119")</f>
        <v>923183924699738119</v>
      </c>
      <c r="F8732" s="10" t="s">
        <v>39</v>
      </c>
      <c r="G8732" s="10" t="n">
        <v>1446</v>
      </c>
      <c r="H8732" s="10" t="n">
        <v>333</v>
      </c>
      <c r="I8732" s="10" t="n">
        <v>47</v>
      </c>
      <c r="J8732" s="10" t="n">
        <v>0</v>
      </c>
      <c r="K8732" s="10" t="s">
        <v>20</v>
      </c>
      <c r="L8732" s="11" t="n">
        <v>40336.3019791667</v>
      </c>
      <c r="M8732" s="13" t="s">
        <v>19025</v>
      </c>
      <c r="N8732" s="13" t="s">
        <v>19026</v>
      </c>
      <c r="O8732" s="9" t="str">
        <f aca="false">HYPERLINK("https://pbs.twimg.com/profile_images/1101120188/prof1-titter_normal.jpg","View")</f>
        <v>View</v>
      </c>
      <c r="P8732" s="10"/>
    </row>
    <row r="8733" customFormat="false" ht="15.75" hidden="false" customHeight="false" outlineLevel="0" collapsed="false">
      <c r="A8733" s="6" t="n">
        <v>43033.2922453704</v>
      </c>
      <c r="B8733" s="7" t="str">
        <f aca="false">HYPERLINK("https://twitter.com/CHAsiaProg","@CHAsiaProg")</f>
        <v>@CHAsiaProg</v>
      </c>
      <c r="C8733" s="8" t="s">
        <v>19027</v>
      </c>
      <c r="D8733" s="8" t="s">
        <v>18347</v>
      </c>
      <c r="E8733" s="9" t="str">
        <f aca="false">HYPERLINK("https://twitter.com/CHAsiaProg/status/923187600004927488","923187600004927488")</f>
        <v>923187600004927488</v>
      </c>
      <c r="F8733" s="10" t="s">
        <v>39</v>
      </c>
      <c r="G8733" s="10" t="n">
        <v>3031</v>
      </c>
      <c r="H8733" s="10" t="n">
        <v>420</v>
      </c>
      <c r="I8733" s="10" t="n">
        <v>3</v>
      </c>
      <c r="J8733" s="10" t="n">
        <v>0</v>
      </c>
      <c r="K8733" s="10" t="s">
        <v>20</v>
      </c>
      <c r="L8733" s="11" t="n">
        <v>41354.1488541667</v>
      </c>
      <c r="M8733" s="12" t="s">
        <v>893</v>
      </c>
      <c r="N8733" s="12" t="s">
        <v>19028</v>
      </c>
      <c r="O8733" s="9" t="str">
        <f aca="false">HYPERLINK("https://pbs.twimg.com/profile_images/882925705918644225/JxfL1QpF_normal.jpg","View")</f>
        <v>View</v>
      </c>
      <c r="P8733" s="10"/>
    </row>
    <row r="8734" customFormat="false" ht="15.75" hidden="false" customHeight="false" outlineLevel="0" collapsed="false">
      <c r="A8734" s="6" t="n">
        <v>43033.3058217593</v>
      </c>
      <c r="B8734" s="7" t="str">
        <f aca="false">HYPERLINK("https://twitter.com/mammeri14828361","@mammeri14828361")</f>
        <v>@mammeri14828361</v>
      </c>
      <c r="C8734" s="8" t="s">
        <v>8227</v>
      </c>
      <c r="D8734" s="8" t="s">
        <v>18617</v>
      </c>
      <c r="E8734" s="9" t="str">
        <f aca="false">HYPERLINK("https://twitter.com/mammeri14828361/status/923192520246480897","923192520246480897")</f>
        <v>923192520246480897</v>
      </c>
      <c r="F8734" s="10" t="s">
        <v>25</v>
      </c>
      <c r="G8734" s="10" t="n">
        <v>1198</v>
      </c>
      <c r="H8734" s="10" t="n">
        <v>3912</v>
      </c>
      <c r="I8734" s="10" t="n">
        <v>47</v>
      </c>
      <c r="J8734" s="10" t="n">
        <v>0</v>
      </c>
      <c r="K8734" s="10" t="s">
        <v>20</v>
      </c>
      <c r="L8734" s="11" t="n">
        <v>43019.4796412037</v>
      </c>
      <c r="M8734" s="12" t="s">
        <v>8228</v>
      </c>
      <c r="N8734" s="12" t="s">
        <v>8229</v>
      </c>
      <c r="O8734" s="9" t="str">
        <f aca="false">HYPERLINK("https://pbs.twimg.com/profile_images/918460128994709505/kmCxXmEM_normal.jpg","View")</f>
        <v>View</v>
      </c>
      <c r="P8734" s="10"/>
    </row>
    <row r="8735" customFormat="false" ht="15.75" hidden="false" customHeight="false" outlineLevel="0" collapsed="false">
      <c r="A8735" s="6" t="n">
        <v>43033.3184143519</v>
      </c>
      <c r="B8735" s="7" t="str">
        <f aca="false">HYPERLINK("https://twitter.com/lomeza","@lomeza")</f>
        <v>@lomeza</v>
      </c>
      <c r="C8735" s="8" t="s">
        <v>19029</v>
      </c>
      <c r="D8735" s="8" t="s">
        <v>18568</v>
      </c>
      <c r="E8735" s="9" t="str">
        <f aca="false">HYPERLINK("https://twitter.com/lomeza/status/923197084253196288","923197084253196288")</f>
        <v>923197084253196288</v>
      </c>
      <c r="F8735" s="10" t="s">
        <v>25</v>
      </c>
      <c r="G8735" s="10" t="n">
        <v>840</v>
      </c>
      <c r="H8735" s="10" t="n">
        <v>5000</v>
      </c>
      <c r="I8735" s="10" t="n">
        <v>8</v>
      </c>
      <c r="J8735" s="10" t="n">
        <v>0</v>
      </c>
      <c r="K8735" s="10" t="s">
        <v>20</v>
      </c>
      <c r="L8735" s="11" t="n">
        <v>39688.2275347222</v>
      </c>
      <c r="M8735" s="12" t="s">
        <v>19030</v>
      </c>
      <c r="N8735" s="12"/>
      <c r="O8735" s="9" t="str">
        <f aca="false">HYPERLINK("https://pbs.twimg.com/profile_images/378800000808990639/9f57b8b880432be3359104d79c7ca13b_normal.jpeg","View")</f>
        <v>View</v>
      </c>
      <c r="P8735" s="10"/>
    </row>
    <row r="8736" customFormat="false" ht="15.75" hidden="false" customHeight="false" outlineLevel="0" collapsed="false">
      <c r="A8736" s="6" t="n">
        <v>43033.3209490741</v>
      </c>
      <c r="B8736" s="7" t="str">
        <f aca="false">HYPERLINK("https://twitter.com/nicocarral","@nicocarral")</f>
        <v>@nicocarral</v>
      </c>
      <c r="C8736" s="8" t="s">
        <v>19031</v>
      </c>
      <c r="D8736" s="8" t="s">
        <v>18680</v>
      </c>
      <c r="E8736" s="9" t="str">
        <f aca="false">HYPERLINK("https://twitter.com/nicocarral/status/923198003082432512","923198003082432512")</f>
        <v>923198003082432512</v>
      </c>
      <c r="F8736" s="10" t="s">
        <v>51</v>
      </c>
      <c r="G8736" s="10" t="n">
        <v>580</v>
      </c>
      <c r="H8736" s="10" t="n">
        <v>828</v>
      </c>
      <c r="I8736" s="10" t="n">
        <v>11</v>
      </c>
      <c r="J8736" s="10" t="n">
        <v>0</v>
      </c>
      <c r="K8736" s="10" t="s">
        <v>20</v>
      </c>
      <c r="L8736" s="11" t="n">
        <v>40272.9355787037</v>
      </c>
      <c r="M8736" s="12" t="s">
        <v>1335</v>
      </c>
      <c r="N8736" s="12" t="s">
        <v>19032</v>
      </c>
      <c r="O8736" s="9" t="str">
        <f aca="false">HYPERLINK("https://pbs.twimg.com/profile_images/918880025998376960/xbO1XU2e_normal.jpg","View")</f>
        <v>View</v>
      </c>
      <c r="P8736" s="10"/>
    </row>
    <row r="8737" customFormat="false" ht="15.75" hidden="false" customHeight="false" outlineLevel="0" collapsed="false">
      <c r="A8737" s="6" t="n">
        <v>43033.354212963</v>
      </c>
      <c r="B8737" s="7" t="str">
        <f aca="false">HYPERLINK("https://twitter.com/uraniumnet","@uraniumnet")</f>
        <v>@uraniumnet</v>
      </c>
      <c r="C8737" s="8" t="s">
        <v>19033</v>
      </c>
      <c r="D8737" s="8" t="s">
        <v>19034</v>
      </c>
      <c r="E8737" s="9" t="str">
        <f aca="false">HYPERLINK("https://twitter.com/uraniumnet/status/923210054630752256","923210054630752256")</f>
        <v>923210054630752256</v>
      </c>
      <c r="F8737" s="10" t="s">
        <v>39</v>
      </c>
      <c r="G8737" s="10" t="n">
        <v>64</v>
      </c>
      <c r="H8737" s="10" t="n">
        <v>63</v>
      </c>
      <c r="I8737" s="10" t="n">
        <v>0</v>
      </c>
      <c r="J8737" s="10" t="n">
        <v>1</v>
      </c>
      <c r="K8737" s="10" t="s">
        <v>20</v>
      </c>
      <c r="L8737" s="11" t="n">
        <v>42900.0740046296</v>
      </c>
      <c r="M8737" s="12" t="s">
        <v>12851</v>
      </c>
      <c r="N8737" s="12" t="s">
        <v>19035</v>
      </c>
      <c r="O8737" s="9" t="str">
        <f aca="false">HYPERLINK("https://pbs.twimg.com/profile_images/890667806173167616/WwvpcIJy_normal.jpg","View")</f>
        <v>View</v>
      </c>
      <c r="P8737" s="10"/>
    </row>
    <row r="8738" customFormat="false" ht="15.75" hidden="false" customHeight="false" outlineLevel="0" collapsed="false">
      <c r="A8738" s="6" t="n">
        <v>43033.3659953704</v>
      </c>
      <c r="B8738" s="7" t="str">
        <f aca="false">HYPERLINK("https://twitter.com/edjaworska","@edjaworska")</f>
        <v>@edjaworska</v>
      </c>
      <c r="C8738" s="8" t="s">
        <v>19036</v>
      </c>
      <c r="D8738" s="8" t="s">
        <v>19037</v>
      </c>
      <c r="E8738" s="9" t="str">
        <f aca="false">HYPERLINK("https://twitter.com/edjaworska/status/923214325120151554","923214325120151554")</f>
        <v>923214325120151554</v>
      </c>
      <c r="F8738" s="10" t="s">
        <v>39</v>
      </c>
      <c r="G8738" s="10" t="n">
        <v>2017</v>
      </c>
      <c r="H8738" s="10" t="n">
        <v>2220</v>
      </c>
      <c r="I8738" s="10" t="n">
        <v>0</v>
      </c>
      <c r="J8738" s="10" t="n">
        <v>0</v>
      </c>
      <c r="K8738" s="10" t="s">
        <v>20</v>
      </c>
      <c r="L8738" s="11" t="n">
        <v>40415.280462963</v>
      </c>
      <c r="M8738" s="12" t="s">
        <v>19038</v>
      </c>
      <c r="N8738" s="12" t="s">
        <v>19039</v>
      </c>
      <c r="O8738" s="9" t="str">
        <f aca="false">HYPERLINK("https://pbs.twimg.com/profile_images/1840899649/PICTURE19X_EDJ_a_normal.jpg","View")</f>
        <v>View</v>
      </c>
      <c r="P8738" s="10"/>
    </row>
    <row r="8739" customFormat="false" ht="15.75" hidden="false" customHeight="false" outlineLevel="0" collapsed="false">
      <c r="A8739" s="6" t="n">
        <v>43033.4040972222</v>
      </c>
      <c r="B8739" s="7" t="str">
        <f aca="false">HYPERLINK("https://twitter.com/BrandOneCulture","@BrandOneCulture")</f>
        <v>@BrandOneCulture</v>
      </c>
      <c r="C8739" s="8" t="s">
        <v>19040</v>
      </c>
      <c r="D8739" s="8" t="s">
        <v>18021</v>
      </c>
      <c r="E8739" s="9" t="str">
        <f aca="false">HYPERLINK("https://twitter.com/BrandOneCulture/status/923228134240952320","923228134240952320")</f>
        <v>923228134240952320</v>
      </c>
      <c r="F8739" s="10" t="s">
        <v>11396</v>
      </c>
      <c r="G8739" s="10" t="n">
        <v>4342</v>
      </c>
      <c r="H8739" s="10" t="n">
        <v>465</v>
      </c>
      <c r="I8739" s="10" t="n">
        <v>18</v>
      </c>
      <c r="J8739" s="10" t="n">
        <v>0</v>
      </c>
      <c r="K8739" s="10" t="s">
        <v>20</v>
      </c>
      <c r="L8739" s="11" t="n">
        <v>39750.6505671296</v>
      </c>
      <c r="M8739" s="12" t="s">
        <v>19041</v>
      </c>
      <c r="N8739" s="12" t="s">
        <v>19042</v>
      </c>
      <c r="O8739" s="9" t="str">
        <f aca="false">HYPERLINK("https://pbs.twimg.com/profile_images/1154806083/MBC_logo_normal.jpg","View")</f>
        <v>View</v>
      </c>
      <c r="P8739" s="10"/>
    </row>
    <row r="8740" customFormat="false" ht="15.75" hidden="false" customHeight="false" outlineLevel="0" collapsed="false">
      <c r="A8740" s="6" t="n">
        <v>43033.4124074074</v>
      </c>
      <c r="B8740" s="7" t="str">
        <f aca="false">HYPERLINK("https://twitter.com/Reply2world","@Reply2world")</f>
        <v>@Reply2world</v>
      </c>
      <c r="C8740" s="8" t="s">
        <v>11640</v>
      </c>
      <c r="D8740" s="8" t="s">
        <v>19043</v>
      </c>
      <c r="E8740" s="9" t="str">
        <f aca="false">HYPERLINK("https://twitter.com/Reply2world/status/923231146808397825","923231146808397825")</f>
        <v>923231146808397825</v>
      </c>
      <c r="F8740" s="10" t="s">
        <v>51</v>
      </c>
      <c r="G8740" s="10" t="n">
        <v>1228</v>
      </c>
      <c r="H8740" s="10" t="n">
        <v>263</v>
      </c>
      <c r="I8740" s="10" t="n">
        <v>0</v>
      </c>
      <c r="J8740" s="10" t="n">
        <v>0</v>
      </c>
      <c r="K8740" s="10" t="s">
        <v>20</v>
      </c>
      <c r="L8740" s="11" t="n">
        <v>41840.1163078704</v>
      </c>
      <c r="M8740" s="12" t="s">
        <v>1670</v>
      </c>
      <c r="N8740" s="12" t="s">
        <v>11642</v>
      </c>
      <c r="O8740" s="9" t="str">
        <f aca="false">HYPERLINK("https://pbs.twimg.com/profile_images/918716080452861952/wfrkgpwg_normal.jpg","View")</f>
        <v>View</v>
      </c>
      <c r="P8740" s="10"/>
    </row>
    <row r="8741" customFormat="false" ht="15.75" hidden="false" customHeight="false" outlineLevel="0" collapsed="false">
      <c r="A8741" s="6" t="n">
        <v>43033.4150115741</v>
      </c>
      <c r="B8741" s="7" t="str">
        <f aca="false">HYPERLINK("https://twitter.com/chanticoglobal","@chanticoglobal")</f>
        <v>@chanticoglobal</v>
      </c>
      <c r="C8741" s="8" t="s">
        <v>19044</v>
      </c>
      <c r="D8741" s="8" t="s">
        <v>13114</v>
      </c>
      <c r="E8741" s="9" t="str">
        <f aca="false">HYPERLINK("https://twitter.com/chanticoglobal/status/923232088467283968","923232088467283968")</f>
        <v>923232088467283968</v>
      </c>
      <c r="F8741" s="10" t="s">
        <v>51</v>
      </c>
      <c r="G8741" s="10" t="n">
        <v>54</v>
      </c>
      <c r="H8741" s="10" t="n">
        <v>235</v>
      </c>
      <c r="I8741" s="10" t="n">
        <v>19</v>
      </c>
      <c r="J8741" s="10" t="n">
        <v>0</v>
      </c>
      <c r="K8741" s="10" t="s">
        <v>20</v>
      </c>
      <c r="L8741" s="11" t="n">
        <v>42558.2363773148</v>
      </c>
      <c r="M8741" s="12" t="s">
        <v>19045</v>
      </c>
      <c r="N8741" s="12" t="s">
        <v>19046</v>
      </c>
      <c r="O8741" s="9" t="str">
        <f aca="false">HYPERLINK("https://pbs.twimg.com/profile_images/751034934014382080/IKsdBTcV_normal.jpg","View")</f>
        <v>View</v>
      </c>
      <c r="P8741" s="10"/>
    </row>
    <row r="8742" customFormat="false" ht="15.75" hidden="false" customHeight="false" outlineLevel="0" collapsed="false">
      <c r="A8742" s="6" t="n">
        <v>43033.4166087963</v>
      </c>
      <c r="B8742" s="7" t="str">
        <f aca="false">HYPERLINK("https://twitter.com/samooguru","@samooguru")</f>
        <v>@samooguru</v>
      </c>
      <c r="C8742" s="8" t="s">
        <v>19047</v>
      </c>
      <c r="D8742" s="8" t="s">
        <v>3295</v>
      </c>
      <c r="E8742" s="9" t="str">
        <f aca="false">HYPERLINK("https://twitter.com/samooguru/status/923232668963176454","923232668963176454")</f>
        <v>923232668963176454</v>
      </c>
      <c r="F8742" s="10" t="s">
        <v>25</v>
      </c>
      <c r="G8742" s="10" t="n">
        <v>541</v>
      </c>
      <c r="H8742" s="10" t="n">
        <v>1056</v>
      </c>
      <c r="I8742" s="10" t="n">
        <v>71</v>
      </c>
      <c r="J8742" s="10" t="n">
        <v>0</v>
      </c>
      <c r="K8742" s="10" t="s">
        <v>20</v>
      </c>
      <c r="L8742" s="11" t="n">
        <v>40618.2696875</v>
      </c>
      <c r="M8742" s="12" t="s">
        <v>19048</v>
      </c>
      <c r="N8742" s="12" t="s">
        <v>19049</v>
      </c>
      <c r="O8742" s="9" t="str">
        <f aca="false">HYPERLINK("https://pbs.twimg.com/profile_images/503493774623117313/nRCDqwW5_normal.jpeg","View")</f>
        <v>View</v>
      </c>
      <c r="P8742" s="10"/>
    </row>
    <row r="8743" customFormat="false" ht="15.75" hidden="false" customHeight="false" outlineLevel="0" collapsed="false">
      <c r="A8743" s="6" t="n">
        <v>43033.4248726852</v>
      </c>
      <c r="B8743" s="7" t="str">
        <f aca="false">HYPERLINK("https://twitter.com/LikeASexMachine","@LikeASexMachine")</f>
        <v>@LikeASexMachine</v>
      </c>
      <c r="C8743" s="8" t="s">
        <v>19050</v>
      </c>
      <c r="D8743" s="8" t="s">
        <v>19051</v>
      </c>
      <c r="E8743" s="9" t="str">
        <f aca="false">HYPERLINK("https://twitter.com/LikeASexMachine/status/923235662215593984","923235662215593984")</f>
        <v>923235662215593984</v>
      </c>
      <c r="F8743" s="10" t="s">
        <v>25</v>
      </c>
      <c r="G8743" s="10" t="n">
        <v>2272</v>
      </c>
      <c r="H8743" s="10" t="n">
        <v>2945</v>
      </c>
      <c r="I8743" s="10" t="n">
        <v>1</v>
      </c>
      <c r="J8743" s="10" t="n">
        <v>1</v>
      </c>
      <c r="K8743" s="10" t="s">
        <v>20</v>
      </c>
      <c r="L8743" s="11" t="n">
        <v>40497.315775463</v>
      </c>
      <c r="M8743" s="12"/>
      <c r="N8743" s="12" t="s">
        <v>19052</v>
      </c>
      <c r="O8743" s="9" t="str">
        <f aca="false">HYPERLINK("https://pbs.twimg.com/profile_images/1533938296/fight_the_power_2_normal.jpg","View")</f>
        <v>View</v>
      </c>
      <c r="P8743" s="10"/>
    </row>
    <row r="8744" customFormat="false" ht="15.75" hidden="false" customHeight="false" outlineLevel="0" collapsed="false">
      <c r="A8744" s="6" t="n">
        <v>43033.4277662037</v>
      </c>
      <c r="B8744" s="7" t="str">
        <f aca="false">HYPERLINK("https://twitter.com/obrienwada","@obrienwada")</f>
        <v>@obrienwada</v>
      </c>
      <c r="C8744" s="14" t="s">
        <v>19053</v>
      </c>
      <c r="D8744" s="8" t="s">
        <v>19054</v>
      </c>
      <c r="E8744" s="9" t="str">
        <f aca="false">HYPERLINK("https://twitter.com/obrienwada/status/923236710648913920","923236710648913920")</f>
        <v>923236710648913920</v>
      </c>
      <c r="F8744" s="10" t="s">
        <v>39</v>
      </c>
      <c r="G8744" s="10" t="n">
        <v>2228</v>
      </c>
      <c r="H8744" s="10" t="n">
        <v>2037</v>
      </c>
      <c r="I8744" s="10" t="n">
        <v>1</v>
      </c>
      <c r="J8744" s="10" t="n">
        <v>0</v>
      </c>
      <c r="K8744" s="10" t="s">
        <v>20</v>
      </c>
      <c r="L8744" s="11" t="n">
        <v>40028.1365046296</v>
      </c>
      <c r="M8744" s="13" t="s">
        <v>19055</v>
      </c>
      <c r="N8744" s="13" t="s">
        <v>19056</v>
      </c>
      <c r="O8744" s="9" t="str">
        <f aca="false">HYPERLINK("https://pbs.twimg.com/profile_images/1840048193/colmmeaneystartrek2_normal.jpg","View")</f>
        <v>View</v>
      </c>
      <c r="P8744" s="10"/>
    </row>
    <row r="8745" customFormat="false" ht="15.75" hidden="false" customHeight="false" outlineLevel="0" collapsed="false">
      <c r="A8745" s="6" t="n">
        <v>43033.4285763889</v>
      </c>
      <c r="B8745" s="7" t="str">
        <f aca="false">HYPERLINK("https://twitter.com/zjkms1","@zjkms1")</f>
        <v>@zjkms1</v>
      </c>
      <c r="C8745" s="8" t="s">
        <v>19057</v>
      </c>
      <c r="D8745" s="8" t="s">
        <v>18733</v>
      </c>
      <c r="E8745" s="9" t="str">
        <f aca="false">HYPERLINK("https://twitter.com/zjkms1/status/923237006263513088","923237006263513088")</f>
        <v>923237006263513088</v>
      </c>
      <c r="F8745" s="10" t="s">
        <v>39</v>
      </c>
      <c r="G8745" s="10" t="n">
        <v>10</v>
      </c>
      <c r="H8745" s="10" t="n">
        <v>98</v>
      </c>
      <c r="I8745" s="10" t="n">
        <v>28</v>
      </c>
      <c r="J8745" s="10" t="n">
        <v>0</v>
      </c>
      <c r="K8745" s="10" t="s">
        <v>20</v>
      </c>
      <c r="L8745" s="11" t="n">
        <v>42938.3479976852</v>
      </c>
      <c r="M8745" s="12"/>
      <c r="N8745" s="12"/>
      <c r="O8745" s="9" t="str">
        <f aca="false">HYPERLINK("https://pbs.twimg.com/profile_images/888800485007872004/atpZHt9C_normal.jpg","View")</f>
        <v>View</v>
      </c>
      <c r="P8745" s="10"/>
    </row>
    <row r="8746" customFormat="false" ht="15.75" hidden="false" customHeight="false" outlineLevel="0" collapsed="false">
      <c r="A8746" s="6" t="n">
        <v>43033.4477430556</v>
      </c>
      <c r="B8746" s="7" t="str">
        <f aca="false">HYPERLINK("https://twitter.com/Athbheochan","@Athbheochan")</f>
        <v>@Athbheochan</v>
      </c>
      <c r="C8746" s="8" t="s">
        <v>19058</v>
      </c>
      <c r="D8746" s="8" t="s">
        <v>19059</v>
      </c>
      <c r="E8746" s="9" t="str">
        <f aca="false">HYPERLINK("https://twitter.com/Athbheochan/status/923243952173547521","923243952173547521")</f>
        <v>923243952173547521</v>
      </c>
      <c r="F8746" s="10" t="s">
        <v>39</v>
      </c>
      <c r="G8746" s="10" t="n">
        <v>62</v>
      </c>
      <c r="H8746" s="10" t="n">
        <v>343</v>
      </c>
      <c r="I8746" s="10" t="n">
        <v>0</v>
      </c>
      <c r="J8746" s="10" t="n">
        <v>0</v>
      </c>
      <c r="K8746" s="10" t="s">
        <v>20</v>
      </c>
      <c r="L8746" s="11" t="n">
        <v>41722.5500925926</v>
      </c>
      <c r="M8746" s="12" t="s">
        <v>1814</v>
      </c>
      <c r="N8746" s="12" t="s">
        <v>19060</v>
      </c>
      <c r="O8746" s="9" t="str">
        <f aca="false">HYPERLINK("https://pbs.twimg.com/profile_images/745358535744098305/eACnzEiZ_normal.jpg","View")</f>
        <v>View</v>
      </c>
      <c r="P8746" s="10"/>
    </row>
    <row r="8747" customFormat="false" ht="15.75" hidden="false" customHeight="false" outlineLevel="0" collapsed="false">
      <c r="A8747" s="6" t="n">
        <v>43033.4749074074</v>
      </c>
      <c r="B8747" s="7" t="str">
        <f aca="false">HYPERLINK("https://twitter.com/YourAnonRevolt","@YourAnonRevolt")</f>
        <v>@YourAnonRevolt</v>
      </c>
      <c r="C8747" s="8" t="s">
        <v>2284</v>
      </c>
      <c r="D8747" s="8" t="s">
        <v>19061</v>
      </c>
      <c r="E8747" s="9" t="str">
        <f aca="false">HYPERLINK("https://twitter.com/YourAnonRevolt/status/923253796330921984","923253796330921984")</f>
        <v>923253796330921984</v>
      </c>
      <c r="F8747" s="10" t="s">
        <v>39</v>
      </c>
      <c r="G8747" s="10" t="n">
        <v>11181</v>
      </c>
      <c r="H8747" s="10" t="n">
        <v>4106</v>
      </c>
      <c r="I8747" s="10" t="n">
        <v>1</v>
      </c>
      <c r="J8747" s="10" t="n">
        <v>3</v>
      </c>
      <c r="K8747" s="10" t="s">
        <v>20</v>
      </c>
      <c r="L8747" s="11" t="n">
        <v>42478.1002199074</v>
      </c>
      <c r="M8747" s="12" t="s">
        <v>2285</v>
      </c>
      <c r="N8747" s="12" t="s">
        <v>2286</v>
      </c>
      <c r="O8747" s="9" t="str">
        <f aca="false">HYPERLINK("https://pbs.twimg.com/profile_images/881398153030713344/FN9uhI_M_normal.jpg","View")</f>
        <v>View</v>
      </c>
      <c r="P8747" s="10"/>
    </row>
    <row r="8748" customFormat="false" ht="15.75" hidden="false" customHeight="false" outlineLevel="0" collapsed="false">
      <c r="A8748" s="6" t="n">
        <v>43033.4753819444</v>
      </c>
      <c r="B8748" s="7" t="str">
        <f aca="false">HYPERLINK("https://twitter.com/YourAnonRevolt","@YourAnonRevolt")</f>
        <v>@YourAnonRevolt</v>
      </c>
      <c r="C8748" s="8" t="s">
        <v>2284</v>
      </c>
      <c r="D8748" s="8" t="s">
        <v>19062</v>
      </c>
      <c r="E8748" s="9" t="str">
        <f aca="false">HYPERLINK("https://twitter.com/YourAnonRevolt/status/923253967315800065","923253967315800065")</f>
        <v>923253967315800065</v>
      </c>
      <c r="F8748" s="10" t="s">
        <v>39</v>
      </c>
      <c r="G8748" s="10" t="n">
        <v>11181</v>
      </c>
      <c r="H8748" s="10" t="n">
        <v>4106</v>
      </c>
      <c r="I8748" s="10" t="n">
        <v>1</v>
      </c>
      <c r="J8748" s="10" t="n">
        <v>0</v>
      </c>
      <c r="K8748" s="10" t="s">
        <v>20</v>
      </c>
      <c r="L8748" s="11" t="n">
        <v>42478.1002199074</v>
      </c>
      <c r="M8748" s="12" t="s">
        <v>2285</v>
      </c>
      <c r="N8748" s="12" t="s">
        <v>2286</v>
      </c>
      <c r="O8748" s="9" t="str">
        <f aca="false">HYPERLINK("https://pbs.twimg.com/profile_images/881398153030713344/FN9uhI_M_normal.jpg","View")</f>
        <v>View</v>
      </c>
      <c r="P8748" s="10"/>
    </row>
    <row r="8749" customFormat="false" ht="15.75" hidden="false" customHeight="false" outlineLevel="0" collapsed="false">
      <c r="A8749" s="6" t="n">
        <v>43033.4819907407</v>
      </c>
      <c r="B8749" s="7" t="str">
        <f aca="false">HYPERLINK("https://twitter.com/invent_therapy","@invent_therapy")</f>
        <v>@invent_therapy</v>
      </c>
      <c r="C8749" s="8" t="s">
        <v>2808</v>
      </c>
      <c r="D8749" s="8" t="s">
        <v>19063</v>
      </c>
      <c r="E8749" s="9" t="str">
        <f aca="false">HYPERLINK("https://twitter.com/invent_therapy/status/923256362066251776","923256362066251776")</f>
        <v>923256362066251776</v>
      </c>
      <c r="F8749" s="9" t="s">
        <v>1147</v>
      </c>
      <c r="G8749" s="10" t="n">
        <v>62160</v>
      </c>
      <c r="H8749" s="10" t="n">
        <v>1943</v>
      </c>
      <c r="I8749" s="10" t="n">
        <v>0</v>
      </c>
      <c r="J8749" s="10" t="n">
        <v>0</v>
      </c>
      <c r="K8749" s="10" t="s">
        <v>20</v>
      </c>
      <c r="L8749" s="11" t="n">
        <v>39878.7376157407</v>
      </c>
      <c r="M8749" s="12" t="s">
        <v>752</v>
      </c>
      <c r="N8749" s="12" t="s">
        <v>2810</v>
      </c>
      <c r="O8749" s="9" t="str">
        <f aca="false">HYPERLINK("https://pbs.twimg.com/profile_images/738788282771771393/smAfi3r__normal.jpg","View")</f>
        <v>View</v>
      </c>
      <c r="P8749" s="10"/>
    </row>
    <row r="8750" customFormat="false" ht="15.75" hidden="false" customHeight="false" outlineLevel="0" collapsed="false">
      <c r="A8750" s="6" t="n">
        <v>43033.497025463</v>
      </c>
      <c r="B8750" s="7" t="str">
        <f aca="false">HYPERLINK("https://twitter.com/je_no_we","@je_no_we")</f>
        <v>@je_no_we</v>
      </c>
      <c r="C8750" s="8" t="s">
        <v>19064</v>
      </c>
      <c r="D8750" s="8" t="s">
        <v>18831</v>
      </c>
      <c r="E8750" s="9" t="str">
        <f aca="false">HYPERLINK("https://twitter.com/je_no_we/status/923261809326305280","923261809326305280")</f>
        <v>923261809326305280</v>
      </c>
      <c r="F8750" s="10" t="s">
        <v>25</v>
      </c>
      <c r="G8750" s="10" t="n">
        <v>345</v>
      </c>
      <c r="H8750" s="10" t="n">
        <v>456</v>
      </c>
      <c r="I8750" s="10" t="n">
        <v>4</v>
      </c>
      <c r="J8750" s="10" t="n">
        <v>0</v>
      </c>
      <c r="K8750" s="10" t="s">
        <v>20</v>
      </c>
      <c r="L8750" s="11" t="n">
        <v>40042.6055208333</v>
      </c>
      <c r="M8750" s="12" t="s">
        <v>19065</v>
      </c>
      <c r="N8750" s="12" t="s">
        <v>19066</v>
      </c>
      <c r="O8750" s="9" t="str">
        <f aca="false">HYPERLINK("https://pbs.twimg.com/profile_images/605080865316564992/LqyfQDKK_normal.jpg","View")</f>
        <v>View</v>
      </c>
      <c r="P8750" s="10"/>
    </row>
    <row r="8751" customFormat="false" ht="15.75" hidden="false" customHeight="false" outlineLevel="0" collapsed="false">
      <c r="A8751" s="6" t="n">
        <v>43033.5041203704</v>
      </c>
      <c r="B8751" s="7" t="str">
        <f aca="false">HYPERLINK("https://twitter.com/norlynn49","@norlynn49")</f>
        <v>@norlynn49</v>
      </c>
      <c r="C8751" s="8" t="s">
        <v>19067</v>
      </c>
      <c r="D8751" s="8" t="s">
        <v>16929</v>
      </c>
      <c r="E8751" s="9" t="str">
        <f aca="false">HYPERLINK("https://twitter.com/norlynn49/status/923264381919645696","923264381919645696")</f>
        <v>923264381919645696</v>
      </c>
      <c r="F8751" s="10" t="s">
        <v>177</v>
      </c>
      <c r="G8751" s="10" t="n">
        <v>99</v>
      </c>
      <c r="H8751" s="10" t="n">
        <v>909</v>
      </c>
      <c r="I8751" s="10" t="n">
        <v>247</v>
      </c>
      <c r="J8751" s="10" t="n">
        <v>0</v>
      </c>
      <c r="K8751" s="10" t="s">
        <v>20</v>
      </c>
      <c r="L8751" s="11" t="n">
        <v>41187.5694097222</v>
      </c>
      <c r="M8751" s="12"/>
      <c r="N8751" s="12"/>
      <c r="O8751" s="9" t="str">
        <f aca="false">HYPERLINK("https://pbs.twimg.com/profile_images/731675511890579456/rwKfnC8L_normal.jpg","View")</f>
        <v>View</v>
      </c>
      <c r="P8751" s="10"/>
    </row>
    <row r="8752" customFormat="false" ht="15.75" hidden="false" customHeight="false" outlineLevel="0" collapsed="false">
      <c r="A8752" s="6" t="n">
        <v>43033.5060300926</v>
      </c>
      <c r="B8752" s="7" t="str">
        <f aca="false">HYPERLINK("https://twitter.com/RonaldReagan98","@RonaldReagan98")</f>
        <v>@RonaldReagan98</v>
      </c>
      <c r="C8752" s="8" t="s">
        <v>19068</v>
      </c>
      <c r="D8752" s="8" t="s">
        <v>16929</v>
      </c>
      <c r="E8752" s="9" t="str">
        <f aca="false">HYPERLINK("https://twitter.com/RonaldReagan98/status/923265071702331392","923265071702331392")</f>
        <v>923265071702331392</v>
      </c>
      <c r="F8752" s="10" t="s">
        <v>25</v>
      </c>
      <c r="G8752" s="10" t="n">
        <v>447</v>
      </c>
      <c r="H8752" s="10" t="n">
        <v>95</v>
      </c>
      <c r="I8752" s="10" t="n">
        <v>247</v>
      </c>
      <c r="J8752" s="10" t="n">
        <v>0</v>
      </c>
      <c r="K8752" s="10" t="s">
        <v>20</v>
      </c>
      <c r="L8752" s="11" t="n">
        <v>42879.5928125</v>
      </c>
      <c r="M8752" s="12"/>
      <c r="N8752" s="12" t="s">
        <v>19069</v>
      </c>
      <c r="O8752" s="9" t="str">
        <f aca="false">HYPERLINK("https://pbs.twimg.com/profile_images/899676059154743297/WK-wZgg2_normal.jpg","View")</f>
        <v>View</v>
      </c>
      <c r="P8752" s="10"/>
    </row>
    <row r="8753" customFormat="false" ht="15.75" hidden="false" customHeight="false" outlineLevel="0" collapsed="false">
      <c r="A8753" s="6" t="n">
        <v>43033.5178703704</v>
      </c>
      <c r="B8753" s="7" t="str">
        <f aca="false">HYPERLINK("https://twitter.com/querong92643614","@querong92643614")</f>
        <v>@querong92643614</v>
      </c>
      <c r="C8753" s="8" t="s">
        <v>18872</v>
      </c>
      <c r="D8753" s="8" t="s">
        <v>19070</v>
      </c>
      <c r="E8753" s="9" t="str">
        <f aca="false">HYPERLINK("https://twitter.com/querong92643614/status/923269362047369216","923269362047369216")</f>
        <v>923269362047369216</v>
      </c>
      <c r="F8753" s="10" t="s">
        <v>39</v>
      </c>
      <c r="G8753" s="10" t="n">
        <v>9</v>
      </c>
      <c r="H8753" s="10" t="n">
        <v>72</v>
      </c>
      <c r="I8753" s="10" t="n">
        <v>0</v>
      </c>
      <c r="J8753" s="10" t="n">
        <v>0</v>
      </c>
      <c r="K8753" s="10" t="s">
        <v>20</v>
      </c>
      <c r="L8753" s="11" t="n">
        <v>43032.2873842593</v>
      </c>
      <c r="M8753" s="12"/>
      <c r="N8753" s="12"/>
      <c r="O8753" s="9" t="str">
        <f aca="false">HYPERLINK("https://pbs.twimg.com/profile_images/923171048371003392/Efbng29u_normal.jpg","View")</f>
        <v>View</v>
      </c>
      <c r="P8753" s="10"/>
    </row>
    <row r="8754" customFormat="false" ht="15.75" hidden="false" customHeight="false" outlineLevel="0" collapsed="false">
      <c r="A8754" s="6" t="n">
        <v>43033.5178703704</v>
      </c>
      <c r="B8754" s="7" t="str">
        <f aca="false">HYPERLINK("https://twitter.com/yanghao291462","@yanghao291462")</f>
        <v>@yanghao291462</v>
      </c>
      <c r="C8754" s="8" t="s">
        <v>18874</v>
      </c>
      <c r="D8754" s="8" t="s">
        <v>19071</v>
      </c>
      <c r="E8754" s="9" t="str">
        <f aca="false">HYPERLINK("https://twitter.com/yanghao291462/status/923269362361942017","923269362361942017")</f>
        <v>923269362361942017</v>
      </c>
      <c r="F8754" s="10" t="s">
        <v>39</v>
      </c>
      <c r="G8754" s="10" t="n">
        <v>7</v>
      </c>
      <c r="H8754" s="10" t="n">
        <v>53</v>
      </c>
      <c r="I8754" s="10" t="n">
        <v>0</v>
      </c>
      <c r="J8754" s="10" t="n">
        <v>0</v>
      </c>
      <c r="K8754" s="10" t="s">
        <v>20</v>
      </c>
      <c r="L8754" s="11" t="n">
        <v>43032.2849189815</v>
      </c>
      <c r="M8754" s="12"/>
      <c r="N8754" s="12"/>
      <c r="O8754" s="9" t="str">
        <f aca="false">HYPERLINK("https://pbs.twimg.com/profile_images/923171048299773952/KBfzFCVa_normal.jpg","View")</f>
        <v>View</v>
      </c>
      <c r="P8754" s="10"/>
    </row>
    <row r="8755" customFormat="false" ht="15.75" hidden="false" customHeight="false" outlineLevel="0" collapsed="false">
      <c r="A8755" s="6" t="n">
        <v>43033.5178703704</v>
      </c>
      <c r="B8755" s="7" t="str">
        <f aca="false">HYPERLINK("https://twitter.com/pangyu55911455","@pangyu55911455")</f>
        <v>@pangyu55911455</v>
      </c>
      <c r="C8755" s="8" t="s">
        <v>18870</v>
      </c>
      <c r="D8755" s="8" t="s">
        <v>19072</v>
      </c>
      <c r="E8755" s="9" t="str">
        <f aca="false">HYPERLINK("https://twitter.com/pangyu55911455/status/923269362433253376","923269362433253376")</f>
        <v>923269362433253376</v>
      </c>
      <c r="F8755" s="10" t="s">
        <v>39</v>
      </c>
      <c r="G8755" s="10" t="n">
        <v>6</v>
      </c>
      <c r="H8755" s="10" t="n">
        <v>70</v>
      </c>
      <c r="I8755" s="10" t="n">
        <v>0</v>
      </c>
      <c r="J8755" s="10" t="n">
        <v>0</v>
      </c>
      <c r="K8755" s="10" t="s">
        <v>20</v>
      </c>
      <c r="L8755" s="11" t="n">
        <v>43032.2819791667</v>
      </c>
      <c r="M8755" s="12"/>
      <c r="N8755" s="12"/>
      <c r="O8755" s="9" t="str">
        <f aca="false">HYPERLINK("https://pbs.twimg.com/profile_images/923171048303951873/ynPSHdND_normal.jpg","View")</f>
        <v>View</v>
      </c>
      <c r="P8755" s="10"/>
    </row>
    <row r="8756" customFormat="false" ht="15.75" hidden="false" customHeight="false" outlineLevel="0" collapsed="false">
      <c r="A8756" s="6" t="n">
        <v>43033.5178703704</v>
      </c>
      <c r="B8756" s="7" t="str">
        <f aca="false">HYPERLINK("https://twitter.com/bazai82620561","@bazai82620561")</f>
        <v>@bazai82620561</v>
      </c>
      <c r="C8756" s="8" t="s">
        <v>18876</v>
      </c>
      <c r="D8756" s="8" t="s">
        <v>19073</v>
      </c>
      <c r="E8756" s="9" t="str">
        <f aca="false">HYPERLINK("https://twitter.com/bazai82620561/status/923269362601009152","923269362601009152")</f>
        <v>923269362601009152</v>
      </c>
      <c r="F8756" s="10" t="s">
        <v>39</v>
      </c>
      <c r="G8756" s="10" t="n">
        <v>5</v>
      </c>
      <c r="H8756" s="10" t="n">
        <v>56</v>
      </c>
      <c r="I8756" s="10" t="n">
        <v>0</v>
      </c>
      <c r="J8756" s="10" t="n">
        <v>0</v>
      </c>
      <c r="K8756" s="10" t="s">
        <v>20</v>
      </c>
      <c r="L8756" s="11" t="n">
        <v>43032.2803356482</v>
      </c>
      <c r="M8756" s="12"/>
      <c r="N8756" s="12"/>
      <c r="O8756" s="9" t="str">
        <f aca="false">HYPERLINK("https://pbs.twimg.com/profile_images/923171048320675840/iWPqJfhj_normal.jpg","View")</f>
        <v>View</v>
      </c>
      <c r="P8756" s="10"/>
    </row>
    <row r="8757" customFormat="false" ht="15.75" hidden="false" customHeight="false" outlineLevel="0" collapsed="false">
      <c r="A8757" s="6" t="n">
        <v>43033.5178703704</v>
      </c>
      <c r="B8757" s="7" t="str">
        <f aca="false">HYPERLINK("https://twitter.com/muzhu37954","@muzhu37954")</f>
        <v>@muzhu37954</v>
      </c>
      <c r="C8757" s="8" t="s">
        <v>18878</v>
      </c>
      <c r="D8757" s="8" t="s">
        <v>19074</v>
      </c>
      <c r="E8757" s="9" t="str">
        <f aca="false">HYPERLINK("https://twitter.com/muzhu37954/status/923269362802245632","923269362802245632")</f>
        <v>923269362802245632</v>
      </c>
      <c r="F8757" s="10" t="s">
        <v>39</v>
      </c>
      <c r="G8757" s="10" t="n">
        <v>9</v>
      </c>
      <c r="H8757" s="10" t="n">
        <v>74</v>
      </c>
      <c r="I8757" s="10" t="n">
        <v>0</v>
      </c>
      <c r="J8757" s="10" t="n">
        <v>0</v>
      </c>
      <c r="K8757" s="10" t="s">
        <v>20</v>
      </c>
      <c r="L8757" s="11" t="n">
        <v>43032.2836342593</v>
      </c>
      <c r="M8757" s="12"/>
      <c r="N8757" s="12"/>
      <c r="O8757" s="9" t="str">
        <f aca="false">HYPERLINK("https://pbs.twimg.com/profile_images/923171048341716994/pOufVNZg_normal.jpg","View")</f>
        <v>View</v>
      </c>
      <c r="P8757" s="10"/>
    </row>
    <row r="8758" customFormat="false" ht="15.75" hidden="false" customHeight="false" outlineLevel="0" collapsed="false">
      <c r="A8758" s="6" t="n">
        <v>43033.5180555556</v>
      </c>
      <c r="B8758" s="7" t="str">
        <f aca="false">HYPERLINK("https://twitter.com/stopthatjunk","@stopthatjunk")</f>
        <v>@stopthatjunk</v>
      </c>
      <c r="C8758" s="8" t="s">
        <v>19075</v>
      </c>
      <c r="D8758" s="8" t="s">
        <v>10414</v>
      </c>
      <c r="E8758" s="9" t="str">
        <f aca="false">HYPERLINK("https://twitter.com/stopthatjunk/status/923269429592342528","923269429592342528")</f>
        <v>923269429592342528</v>
      </c>
      <c r="F8758" s="10" t="s">
        <v>39</v>
      </c>
      <c r="G8758" s="10" t="n">
        <v>2225</v>
      </c>
      <c r="H8758" s="10" t="n">
        <v>2157</v>
      </c>
      <c r="I8758" s="10" t="n">
        <v>14</v>
      </c>
      <c r="J8758" s="10" t="n">
        <v>0</v>
      </c>
      <c r="K8758" s="10" t="s">
        <v>20</v>
      </c>
      <c r="L8758" s="11" t="n">
        <v>41008.5555439815</v>
      </c>
      <c r="M8758" s="12"/>
      <c r="N8758" s="12" t="s">
        <v>19076</v>
      </c>
      <c r="O8758" s="9" t="str">
        <f aca="false">HYPERLINK("https://pbs.twimg.com/profile_images/807025569535692800/jkLjSjXB_normal.jpg","View")</f>
        <v>View</v>
      </c>
      <c r="P8758" s="10"/>
    </row>
    <row r="8759" customFormat="false" ht="15.75" hidden="false" customHeight="false" outlineLevel="0" collapsed="false">
      <c r="A8759" s="6" t="n">
        <v>43033.5299305556</v>
      </c>
      <c r="B8759" s="7" t="str">
        <f aca="false">HYPERLINK("https://twitter.com/flaviajackson","@flaviajackson")</f>
        <v>@flaviajackson</v>
      </c>
      <c r="C8759" s="8" t="s">
        <v>19077</v>
      </c>
      <c r="D8759" s="8" t="s">
        <v>18589</v>
      </c>
      <c r="E8759" s="9" t="str">
        <f aca="false">HYPERLINK("https://twitter.com/flaviajackson/status/923273734949138432","923273734949138432")</f>
        <v>923273734949138432</v>
      </c>
      <c r="F8759" s="10" t="s">
        <v>25</v>
      </c>
      <c r="G8759" s="10" t="n">
        <v>2526</v>
      </c>
      <c r="H8759" s="10" t="n">
        <v>1075</v>
      </c>
      <c r="I8759" s="10" t="n">
        <v>12</v>
      </c>
      <c r="J8759" s="10" t="n">
        <v>0</v>
      </c>
      <c r="K8759" s="10" t="s">
        <v>20</v>
      </c>
      <c r="L8759" s="11" t="n">
        <v>40140.3377777778</v>
      </c>
      <c r="M8759" s="12" t="s">
        <v>19078</v>
      </c>
      <c r="N8759" s="12" t="s">
        <v>19079</v>
      </c>
      <c r="O8759" s="9" t="str">
        <f aca="false">HYPERLINK("https://pbs.twimg.com/profile_images/2111575938/fkjbeach_normal.jpg","View")</f>
        <v>View</v>
      </c>
      <c r="P8759" s="10"/>
    </row>
    <row r="8760" customFormat="false" ht="15.75" hidden="false" customHeight="false" outlineLevel="0" collapsed="false">
      <c r="A8760" s="6" t="n">
        <v>43033.5304861111</v>
      </c>
      <c r="B8760" s="7" t="str">
        <f aca="false">HYPERLINK("https://twitter.com/b2byookay","@b2byookay")</f>
        <v>@b2byookay</v>
      </c>
      <c r="C8760" s="8" t="s">
        <v>19080</v>
      </c>
      <c r="D8760" s="8" t="s">
        <v>19081</v>
      </c>
      <c r="E8760" s="9" t="str">
        <f aca="false">HYPERLINK("https://twitter.com/b2byookay/status/923273937492107264","923273937492107264")</f>
        <v>923273937492107264</v>
      </c>
      <c r="F8760" s="10" t="s">
        <v>19082</v>
      </c>
      <c r="G8760" s="10" t="n">
        <v>53872</v>
      </c>
      <c r="H8760" s="10" t="n">
        <v>31097</v>
      </c>
      <c r="I8760" s="10" t="n">
        <v>0</v>
      </c>
      <c r="J8760" s="10" t="n">
        <v>0</v>
      </c>
      <c r="K8760" s="10" t="s">
        <v>20</v>
      </c>
      <c r="L8760" s="11" t="n">
        <v>41865.5420949074</v>
      </c>
      <c r="M8760" s="12" t="s">
        <v>19083</v>
      </c>
      <c r="N8760" s="12" t="s">
        <v>19084</v>
      </c>
      <c r="O8760" s="9" t="str">
        <f aca="false">HYPERLINK("https://pbs.twimg.com/profile_images/595639839225176064/6ISpdvZM_normal.jpg","View")</f>
        <v>View</v>
      </c>
      <c r="P8760" s="10"/>
    </row>
    <row r="8761" customFormat="false" ht="15.75" hidden="false" customHeight="false" outlineLevel="0" collapsed="false">
      <c r="A8761" s="6" t="n">
        <v>43033.537349537</v>
      </c>
      <c r="B8761" s="7" t="str">
        <f aca="false">HYPERLINK("https://twitter.com/dora_sumida","@dora_sumida")</f>
        <v>@dora_sumida</v>
      </c>
      <c r="C8761" s="8" t="s">
        <v>19085</v>
      </c>
      <c r="D8761" s="8" t="s">
        <v>12764</v>
      </c>
      <c r="E8761" s="9" t="str">
        <f aca="false">HYPERLINK("https://twitter.com/dora_sumida/status/923276423867043843","923276423867043843")</f>
        <v>923276423867043843</v>
      </c>
      <c r="F8761" s="10" t="s">
        <v>51</v>
      </c>
      <c r="G8761" s="10" t="n">
        <v>28</v>
      </c>
      <c r="H8761" s="10" t="n">
        <v>100</v>
      </c>
      <c r="I8761" s="10" t="n">
        <v>170</v>
      </c>
      <c r="J8761" s="10" t="n">
        <v>0</v>
      </c>
      <c r="K8761" s="10" t="s">
        <v>20</v>
      </c>
      <c r="L8761" s="11" t="n">
        <v>42982.387337963</v>
      </c>
      <c r="M8761" s="12" t="s">
        <v>19086</v>
      </c>
      <c r="N8761" s="12" t="s">
        <v>19087</v>
      </c>
      <c r="O8761" s="9" t="str">
        <f aca="false">HYPERLINK("https://pbs.twimg.com/profile_images/905396501920321536/2U-Ra-PA_normal.jpg","View")</f>
        <v>View</v>
      </c>
      <c r="P8761" s="10"/>
    </row>
    <row r="8762" customFormat="false" ht="15.75" hidden="false" customHeight="false" outlineLevel="0" collapsed="false">
      <c r="A8762" s="6" t="n">
        <v>43033.5833564815</v>
      </c>
      <c r="B8762" s="7" t="str">
        <f aca="false">HYPERLINK("https://twitter.com/truthout","@truthout")</f>
        <v>@truthout</v>
      </c>
      <c r="C8762" s="8" t="s">
        <v>19088</v>
      </c>
      <c r="D8762" s="8" t="s">
        <v>19089</v>
      </c>
      <c r="E8762" s="9" t="str">
        <f aca="false">HYPERLINK("https://twitter.com/truthout/status/923293093985701888","923293093985701888")</f>
        <v>923293093985701888</v>
      </c>
      <c r="F8762" s="10" t="s">
        <v>276</v>
      </c>
      <c r="G8762" s="10" t="n">
        <v>161396</v>
      </c>
      <c r="H8762" s="10" t="n">
        <v>50036</v>
      </c>
      <c r="I8762" s="10" t="n">
        <v>3</v>
      </c>
      <c r="J8762" s="10" t="n">
        <v>3</v>
      </c>
      <c r="K8762" s="10" t="s">
        <v>20</v>
      </c>
      <c r="L8762" s="11" t="n">
        <v>39840.428912037</v>
      </c>
      <c r="M8762" s="12" t="s">
        <v>230</v>
      </c>
      <c r="N8762" s="12" t="s">
        <v>19090</v>
      </c>
      <c r="O8762" s="9" t="str">
        <f aca="false">HYPERLINK("https://pbs.twimg.com/profile_images/880563448463142914/LSLFltuq_normal.jpg","View")</f>
        <v>View</v>
      </c>
      <c r="P8762" s="10"/>
    </row>
    <row r="8763" customFormat="false" ht="15.75" hidden="false" customHeight="false" outlineLevel="0" collapsed="false">
      <c r="A8763" s="6" t="n">
        <v>43033.5904976852</v>
      </c>
      <c r="B8763" s="7" t="str">
        <f aca="false">HYPERLINK("https://twitter.com/Kenlenkirk","@Kenlenkirk")</f>
        <v>@Kenlenkirk</v>
      </c>
      <c r="C8763" s="8" t="s">
        <v>7504</v>
      </c>
      <c r="D8763" s="8" t="s">
        <v>19091</v>
      </c>
      <c r="E8763" s="9" t="str">
        <f aca="false">HYPERLINK("https://twitter.com/Kenlenkirk/status/923295683142025218","923295683142025218")</f>
        <v>923295683142025218</v>
      </c>
      <c r="F8763" s="10" t="s">
        <v>60</v>
      </c>
      <c r="G8763" s="10" t="n">
        <v>180757</v>
      </c>
      <c r="H8763" s="10" t="n">
        <v>1322</v>
      </c>
      <c r="I8763" s="10" t="n">
        <v>0</v>
      </c>
      <c r="J8763" s="10" t="n">
        <v>0</v>
      </c>
      <c r="K8763" s="10" t="s">
        <v>20</v>
      </c>
      <c r="L8763" s="11" t="n">
        <v>40353.5123148148</v>
      </c>
      <c r="M8763" s="15" t="s">
        <v>7506</v>
      </c>
      <c r="N8763" s="12" t="s">
        <v>7507</v>
      </c>
      <c r="O8763" s="9" t="str">
        <f aca="false">HYPERLINK("https://pbs.twimg.com/profile_images/1823640681/Doc_Reefer_by_Nicky_Crop_Orange_NDP_Leaves_normal.jpg","View")</f>
        <v>View</v>
      </c>
      <c r="P8763" s="10"/>
    </row>
    <row r="8764" customFormat="false" ht="15.75" hidden="false" customHeight="false" outlineLevel="0" collapsed="false">
      <c r="A8764" s="6" t="n">
        <v>43033.5919791667</v>
      </c>
      <c r="B8764" s="7" t="str">
        <f aca="false">HYPERLINK("https://twitter.com/Kenlenkirk","@Kenlenkirk")</f>
        <v>@Kenlenkirk</v>
      </c>
      <c r="C8764" s="8" t="s">
        <v>7504</v>
      </c>
      <c r="D8764" s="8" t="s">
        <v>19091</v>
      </c>
      <c r="E8764" s="9" t="str">
        <f aca="false">HYPERLINK("https://twitter.com/Kenlenkirk/status/923296220210020352","923296220210020352")</f>
        <v>923296220210020352</v>
      </c>
      <c r="F8764" s="10" t="s">
        <v>60</v>
      </c>
      <c r="G8764" s="10" t="n">
        <v>180757</v>
      </c>
      <c r="H8764" s="10" t="n">
        <v>1322</v>
      </c>
      <c r="I8764" s="10" t="n">
        <v>0</v>
      </c>
      <c r="J8764" s="10" t="n">
        <v>0</v>
      </c>
      <c r="K8764" s="10" t="s">
        <v>20</v>
      </c>
      <c r="L8764" s="11" t="n">
        <v>40353.5123148148</v>
      </c>
      <c r="M8764" s="15" t="s">
        <v>7506</v>
      </c>
      <c r="N8764" s="12" t="s">
        <v>7507</v>
      </c>
      <c r="O8764" s="9" t="str">
        <f aca="false">HYPERLINK("https://pbs.twimg.com/profile_images/1823640681/Doc_Reefer_by_Nicky_Crop_Orange_NDP_Leaves_normal.jpg","View")</f>
        <v>View</v>
      </c>
      <c r="P8764" s="10"/>
    </row>
    <row r="8765" customFormat="false" ht="15.75" hidden="false" customHeight="false" outlineLevel="0" collapsed="false">
      <c r="A8765" s="6" t="n">
        <v>43033.5928356482</v>
      </c>
      <c r="B8765" s="7" t="str">
        <f aca="false">HYPERLINK("https://twitter.com/Singh_Harsh90","@Singh_Harsh90")</f>
        <v>@Singh_Harsh90</v>
      </c>
      <c r="C8765" s="8" t="s">
        <v>19092</v>
      </c>
      <c r="D8765" s="8" t="s">
        <v>8538</v>
      </c>
      <c r="E8765" s="9" t="str">
        <f aca="false">HYPERLINK("https://twitter.com/Singh_Harsh90/status/923296529812619264","923296529812619264")</f>
        <v>923296529812619264</v>
      </c>
      <c r="F8765" s="10" t="s">
        <v>25</v>
      </c>
      <c r="G8765" s="10" t="n">
        <v>249</v>
      </c>
      <c r="H8765" s="10" t="n">
        <v>384</v>
      </c>
      <c r="I8765" s="10" t="n">
        <v>1015</v>
      </c>
      <c r="J8765" s="10" t="n">
        <v>0</v>
      </c>
      <c r="K8765" s="10" t="s">
        <v>20</v>
      </c>
      <c r="L8765" s="11" t="n">
        <v>42102.612650463</v>
      </c>
      <c r="M8765" s="12" t="s">
        <v>19093</v>
      </c>
      <c r="N8765" s="12" t="s">
        <v>19094</v>
      </c>
      <c r="O8765" s="9" t="str">
        <f aca="false">HYPERLINK("https://pbs.twimg.com/profile_images/799523317858369536/q3RjJgWb_normal.jpg","View")</f>
        <v>View</v>
      </c>
      <c r="P8765" s="10"/>
    </row>
    <row r="8766" customFormat="false" ht="15.75" hidden="false" customHeight="false" outlineLevel="0" collapsed="false">
      <c r="A8766" s="6" t="n">
        <v>43033.5930208333</v>
      </c>
      <c r="B8766" s="7" t="str">
        <f aca="false">HYPERLINK("https://twitter.com/livechannelfeed","@livechannelfeed")</f>
        <v>@livechannelfeed</v>
      </c>
      <c r="C8766" s="8" t="s">
        <v>2384</v>
      </c>
      <c r="D8766" s="8" t="s">
        <v>19095</v>
      </c>
      <c r="E8766" s="9" t="str">
        <f aca="false">HYPERLINK("https://twitter.com/livechannelfeed/status/923296597965864960","923296597965864960")</f>
        <v>923296597965864960</v>
      </c>
      <c r="F8766" s="10" t="s">
        <v>60</v>
      </c>
      <c r="G8766" s="10" t="n">
        <v>3925</v>
      </c>
      <c r="H8766" s="10" t="n">
        <v>3266</v>
      </c>
      <c r="I8766" s="10" t="n">
        <v>0</v>
      </c>
      <c r="J8766" s="10" t="n">
        <v>0</v>
      </c>
      <c r="K8766" s="10" t="s">
        <v>20</v>
      </c>
      <c r="L8766" s="11" t="n">
        <v>42710.8456365741</v>
      </c>
      <c r="M8766" s="12" t="s">
        <v>312</v>
      </c>
      <c r="N8766" s="12" t="s">
        <v>2386</v>
      </c>
      <c r="O8766" s="9" t="str">
        <f aca="false">HYPERLINK("https://pbs.twimg.com/profile_images/806606820504731649/rCR1WeBs_normal.jpg","View")</f>
        <v>View</v>
      </c>
      <c r="P8766" s="10"/>
    </row>
    <row r="8767" customFormat="false" ht="15.75" hidden="false" customHeight="false" outlineLevel="0" collapsed="false">
      <c r="A8767" s="6" t="n">
        <v>43033.5989351852</v>
      </c>
      <c r="B8767" s="7" t="str">
        <f aca="false">HYPERLINK("https://twitter.com/Luperez624530","@Luperez624530")</f>
        <v>@Luperez624530</v>
      </c>
      <c r="C8767" s="8" t="s">
        <v>19096</v>
      </c>
      <c r="D8767" s="8" t="s">
        <v>19097</v>
      </c>
      <c r="E8767" s="9" t="str">
        <f aca="false">HYPERLINK("https://twitter.com/Luperez624530/status/923298739120357377","923298739120357377")</f>
        <v>923298739120357377</v>
      </c>
      <c r="F8767" s="10" t="s">
        <v>25</v>
      </c>
      <c r="G8767" s="10" t="n">
        <v>25</v>
      </c>
      <c r="H8767" s="10" t="n">
        <v>45</v>
      </c>
      <c r="I8767" s="10" t="n">
        <v>1</v>
      </c>
      <c r="J8767" s="10" t="n">
        <v>0</v>
      </c>
      <c r="K8767" s="10" t="s">
        <v>20</v>
      </c>
      <c r="L8767" s="11" t="n">
        <v>42819.2519444445</v>
      </c>
      <c r="M8767" s="12" t="s">
        <v>19098</v>
      </c>
      <c r="N8767" s="12" t="s">
        <v>19099</v>
      </c>
      <c r="O8767" s="9" t="str">
        <f aca="false">HYPERLINK("https://pbs.twimg.com/profile_images/901197331625893888/TCDJtJEp_normal.jpg","View")</f>
        <v>View</v>
      </c>
      <c r="P8767" s="10"/>
    </row>
    <row r="8768" customFormat="false" ht="15.75" hidden="false" customHeight="false" outlineLevel="0" collapsed="false">
      <c r="A8768" s="6" t="n">
        <v>43033.6112384259</v>
      </c>
      <c r="B8768" s="7" t="str">
        <f aca="false">HYPERLINK("https://twitter.com/JudeDaShiell","@JudeDaShiell")</f>
        <v>@JudeDaShiell</v>
      </c>
      <c r="C8768" s="8" t="s">
        <v>19100</v>
      </c>
      <c r="D8768" s="8" t="s">
        <v>19101</v>
      </c>
      <c r="E8768" s="9" t="str">
        <f aca="false">HYPERLINK("https://twitter.com/JudeDaShiell/status/923303201197252609","923303201197252609")</f>
        <v>923303201197252609</v>
      </c>
      <c r="F8768" s="10" t="s">
        <v>19102</v>
      </c>
      <c r="G8768" s="10" t="n">
        <v>231</v>
      </c>
      <c r="H8768" s="10" t="n">
        <v>182</v>
      </c>
      <c r="I8768" s="10" t="n">
        <v>3</v>
      </c>
      <c r="J8768" s="10" t="n">
        <v>0</v>
      </c>
      <c r="K8768" s="10" t="s">
        <v>20</v>
      </c>
      <c r="L8768" s="11" t="n">
        <v>40148.5099189815</v>
      </c>
      <c r="M8768" s="12" t="s">
        <v>19103</v>
      </c>
      <c r="N8768" s="12" t="s">
        <v>19104</v>
      </c>
      <c r="O8768" s="9" t="str">
        <f aca="false">HYPERLINK("https://pbs.twimg.com/profile_images/572683972372647936/scruKCtZ_normal.jpeg","View")</f>
        <v>View</v>
      </c>
      <c r="P8768" s="10"/>
    </row>
    <row r="8769" customFormat="false" ht="15.75" hidden="false" customHeight="false" outlineLevel="0" collapsed="false">
      <c r="A8769" s="6" t="n">
        <v>43033.6165972222</v>
      </c>
      <c r="B8769" s="7" t="str">
        <f aca="false">HYPERLINK("https://twitter.com/psmccusker","@psmccusker")</f>
        <v>@psmccusker</v>
      </c>
      <c r="C8769" s="8" t="s">
        <v>19105</v>
      </c>
      <c r="D8769" s="8" t="s">
        <v>18764</v>
      </c>
      <c r="E8769" s="9" t="str">
        <f aca="false">HYPERLINK("https://twitter.com/psmccusker/status/923305139892641792","923305139892641792")</f>
        <v>923305139892641792</v>
      </c>
      <c r="F8769" s="10" t="s">
        <v>177</v>
      </c>
      <c r="G8769" s="10" t="n">
        <v>748</v>
      </c>
      <c r="H8769" s="10" t="n">
        <v>1051</v>
      </c>
      <c r="I8769" s="10" t="n">
        <v>6</v>
      </c>
      <c r="J8769" s="10" t="n">
        <v>0</v>
      </c>
      <c r="K8769" s="10" t="s">
        <v>20</v>
      </c>
      <c r="L8769" s="11" t="n">
        <v>40857.8000578704</v>
      </c>
      <c r="M8769" s="12" t="s">
        <v>19106</v>
      </c>
      <c r="N8769" s="12"/>
      <c r="O8769" s="9" t="str">
        <f aca="false">HYPERLINK("https://pbs.twimg.com/profile_images/714641068361428993/9kkxjtGA_normal.jpg","View")</f>
        <v>View</v>
      </c>
      <c r="P8769" s="10"/>
    </row>
    <row r="8770" customFormat="false" ht="15.75" hidden="false" customHeight="false" outlineLevel="0" collapsed="false">
      <c r="A8770" s="6" t="n">
        <v>43033.6259606481</v>
      </c>
      <c r="B8770" s="7" t="str">
        <f aca="false">HYPERLINK("https://twitter.com/angelbeastster","@angelbeastster")</f>
        <v>@angelbeastster</v>
      </c>
      <c r="C8770" s="8" t="s">
        <v>19107</v>
      </c>
      <c r="D8770" s="8" t="s">
        <v>19101</v>
      </c>
      <c r="E8770" s="9" t="str">
        <f aca="false">HYPERLINK("https://twitter.com/angelbeastster/status/923308533545930755","923308533545930755")</f>
        <v>923308533545930755</v>
      </c>
      <c r="F8770" s="10" t="s">
        <v>51</v>
      </c>
      <c r="G8770" s="10" t="n">
        <v>202</v>
      </c>
      <c r="H8770" s="10" t="n">
        <v>722</v>
      </c>
      <c r="I8770" s="10" t="n">
        <v>3</v>
      </c>
      <c r="J8770" s="10" t="n">
        <v>0</v>
      </c>
      <c r="K8770" s="10" t="s">
        <v>20</v>
      </c>
      <c r="L8770" s="11" t="n">
        <v>40292.2647106481</v>
      </c>
      <c r="M8770" s="12" t="s">
        <v>6859</v>
      </c>
      <c r="N8770" s="12" t="s">
        <v>19108</v>
      </c>
      <c r="O8770" s="9" t="str">
        <f aca="false">HYPERLINK("https://pbs.twimg.com/profile_images/724982532022910976/FUaSbRS2_normal.jpg","View")</f>
        <v>View</v>
      </c>
      <c r="P8770" s="10"/>
    </row>
    <row r="8771" customFormat="false" ht="15.75" hidden="false" customHeight="false" outlineLevel="0" collapsed="false">
      <c r="A8771" s="6" t="n">
        <v>43033.6349537037</v>
      </c>
      <c r="B8771" s="7" t="str">
        <f aca="false">HYPERLINK("https://twitter.com/ceci11e","@ceci11e")</f>
        <v>@ceci11e</v>
      </c>
      <c r="C8771" s="8" t="s">
        <v>19109</v>
      </c>
      <c r="D8771" s="8" t="s">
        <v>19101</v>
      </c>
      <c r="E8771" s="9" t="str">
        <f aca="false">HYPERLINK("https://twitter.com/ceci11e/status/923311794206240770","923311794206240770")</f>
        <v>923311794206240770</v>
      </c>
      <c r="F8771" s="10" t="s">
        <v>177</v>
      </c>
      <c r="G8771" s="10" t="n">
        <v>32</v>
      </c>
      <c r="H8771" s="10" t="n">
        <v>225</v>
      </c>
      <c r="I8771" s="10" t="n">
        <v>3</v>
      </c>
      <c r="J8771" s="10" t="n">
        <v>0</v>
      </c>
      <c r="K8771" s="10" t="s">
        <v>20</v>
      </c>
      <c r="L8771" s="11" t="n">
        <v>41508.292349537</v>
      </c>
      <c r="M8771" s="12"/>
      <c r="N8771" s="12" t="s">
        <v>19110</v>
      </c>
      <c r="O8771" s="9" t="str">
        <f aca="false">HYPERLINK("https://pbs.twimg.com/profile_images/862816415451164672/WodmSQei_normal.jpg","View")</f>
        <v>View</v>
      </c>
      <c r="P8771" s="10"/>
    </row>
    <row r="8772" customFormat="false" ht="15.75" hidden="false" customHeight="false" outlineLevel="0" collapsed="false">
      <c r="A8772" s="6" t="n">
        <v>43033.6536226852</v>
      </c>
      <c r="B8772" s="7" t="str">
        <f aca="false">HYPERLINK("https://twitter.com/culture_japan","@culture_japan")</f>
        <v>@culture_japan</v>
      </c>
      <c r="C8772" s="8" t="s">
        <v>99</v>
      </c>
      <c r="D8772" s="8" t="s">
        <v>19111</v>
      </c>
      <c r="E8772" s="9" t="str">
        <f aca="false">HYPERLINK("https://twitter.com/culture_japan/status/923318557043195904","923318557043195904")</f>
        <v>923318557043195904</v>
      </c>
      <c r="F8772" s="10" t="s">
        <v>101</v>
      </c>
      <c r="G8772" s="10" t="n">
        <v>214</v>
      </c>
      <c r="H8772" s="10" t="n">
        <v>368</v>
      </c>
      <c r="I8772" s="10" t="n">
        <v>0</v>
      </c>
      <c r="J8772" s="10" t="n">
        <v>0</v>
      </c>
      <c r="K8772" s="10" t="s">
        <v>20</v>
      </c>
      <c r="L8772" s="11" t="n">
        <v>42985.2149189815</v>
      </c>
      <c r="M8772" s="12" t="s">
        <v>102</v>
      </c>
      <c r="N8772" s="12" t="s">
        <v>103</v>
      </c>
      <c r="O8772" s="9" t="str">
        <f aca="false">HYPERLINK("https://pbs.twimg.com/profile_images/905765841622495233/8kPmmi5H_normal.jpg","View")</f>
        <v>View</v>
      </c>
      <c r="P8772" s="10"/>
    </row>
    <row r="8773" customFormat="false" ht="15.75" hidden="false" customHeight="false" outlineLevel="0" collapsed="false">
      <c r="A8773" s="6" t="n">
        <v>43033.7028125</v>
      </c>
      <c r="B8773" s="7" t="str">
        <f aca="false">HYPERLINK("https://twitter.com/gary_burnison","@gary_burnison")</f>
        <v>@gary_burnison</v>
      </c>
      <c r="C8773" s="8" t="s">
        <v>19112</v>
      </c>
      <c r="D8773" s="8" t="s">
        <v>19113</v>
      </c>
      <c r="E8773" s="9" t="str">
        <f aca="false">HYPERLINK("https://twitter.com/gary_burnison/status/923336385066541056","923336385066541056")</f>
        <v>923336385066541056</v>
      </c>
      <c r="F8773" s="10" t="s">
        <v>1658</v>
      </c>
      <c r="G8773" s="10" t="n">
        <v>418</v>
      </c>
      <c r="H8773" s="10" t="n">
        <v>45</v>
      </c>
      <c r="I8773" s="10" t="n">
        <v>0</v>
      </c>
      <c r="J8773" s="10" t="n">
        <v>0</v>
      </c>
      <c r="K8773" s="10" t="s">
        <v>20</v>
      </c>
      <c r="L8773" s="11" t="n">
        <v>41044.689375</v>
      </c>
      <c r="M8773" s="12" t="s">
        <v>752</v>
      </c>
      <c r="N8773" s="12" t="s">
        <v>19114</v>
      </c>
      <c r="O8773" s="9" t="str">
        <f aca="false">HYPERLINK("https://pbs.twimg.com/profile_images/892082056594833408/Z0P7W-O5_normal.jpg","View")</f>
        <v>View</v>
      </c>
      <c r="P8773" s="10"/>
    </row>
    <row r="8774" customFormat="false" ht="15.75" hidden="false" customHeight="false" outlineLevel="0" collapsed="false">
      <c r="A8774" s="6" t="n">
        <v>43033.7317592593</v>
      </c>
      <c r="B8774" s="7" t="str">
        <f aca="false">HYPERLINK("https://twitter.com/AsieAlbertson","@AsieAlbertson")</f>
        <v>@AsieAlbertson</v>
      </c>
      <c r="C8774" s="8" t="s">
        <v>19115</v>
      </c>
      <c r="D8774" s="8" t="s">
        <v>19116</v>
      </c>
      <c r="E8774" s="9" t="str">
        <f aca="false">HYPERLINK("https://twitter.com/AsieAlbertson/status/923346873540403200","923346873540403200")</f>
        <v>923346873540403200</v>
      </c>
      <c r="F8774" s="10" t="s">
        <v>110</v>
      </c>
      <c r="G8774" s="10" t="n">
        <v>10</v>
      </c>
      <c r="H8774" s="10" t="n">
        <v>55</v>
      </c>
      <c r="I8774" s="10" t="n">
        <v>0</v>
      </c>
      <c r="J8774" s="10" t="n">
        <v>1</v>
      </c>
      <c r="K8774" s="10" t="s">
        <v>20</v>
      </c>
      <c r="L8774" s="11" t="n">
        <v>42773.5400694444</v>
      </c>
      <c r="M8774" s="12"/>
      <c r="N8774" s="12"/>
      <c r="O8774" s="9" t="str">
        <f aca="false">HYPERLINK("https://pbs.twimg.com/profile_images/829073437880520704/12zG-gS0_normal.jpg","View")</f>
        <v>View</v>
      </c>
      <c r="P8774" s="10"/>
    </row>
    <row r="8775" customFormat="false" ht="15.75" hidden="false" customHeight="false" outlineLevel="0" collapsed="false">
      <c r="A8775" s="6" t="n">
        <v>43033.7319560185</v>
      </c>
      <c r="B8775" s="7" t="str">
        <f aca="false">HYPERLINK("https://twitter.com/BenBazinsky","@BenBazinsky")</f>
        <v>@BenBazinsky</v>
      </c>
      <c r="C8775" s="8" t="s">
        <v>19117</v>
      </c>
      <c r="D8775" s="8" t="s">
        <v>19118</v>
      </c>
      <c r="E8775" s="9" t="str">
        <f aca="false">HYPERLINK("https://twitter.com/BenBazinsky/status/923346944327643136","923346944327643136")</f>
        <v>923346944327643136</v>
      </c>
      <c r="F8775" s="10" t="s">
        <v>110</v>
      </c>
      <c r="G8775" s="10" t="n">
        <v>2</v>
      </c>
      <c r="H8775" s="10" t="n">
        <v>30</v>
      </c>
      <c r="I8775" s="10" t="n">
        <v>0</v>
      </c>
      <c r="J8775" s="10" t="n">
        <v>0</v>
      </c>
      <c r="K8775" s="10" t="s">
        <v>20</v>
      </c>
      <c r="L8775" s="11" t="n">
        <v>42881.3628356482</v>
      </c>
      <c r="M8775" s="12"/>
      <c r="N8775" s="12"/>
      <c r="O8775" s="9" t="str">
        <f aca="false">HYPERLINK("https://pbs.twimg.com/profile_images/870084838799269888/l9qTb5lQ_normal.jpg","View")</f>
        <v>View</v>
      </c>
      <c r="P8775" s="10"/>
    </row>
    <row r="8776" customFormat="false" ht="15.75" hidden="false" customHeight="false" outlineLevel="0" collapsed="false">
      <c r="A8776" s="6" t="n">
        <v>43033.7324537037</v>
      </c>
      <c r="B8776" s="7" t="str">
        <f aca="false">HYPERLINK("https://twitter.com/NamVietNetwork","@NamVietNetwork")</f>
        <v>@NamVietNetwork</v>
      </c>
      <c r="C8776" s="8" t="s">
        <v>2489</v>
      </c>
      <c r="D8776" s="8" t="s">
        <v>19119</v>
      </c>
      <c r="E8776" s="9" t="str">
        <f aca="false">HYPERLINK("https://twitter.com/NamVietNetwork/status/923347127945912321","923347127945912321")</f>
        <v>923347127945912321</v>
      </c>
      <c r="F8776" s="10" t="s">
        <v>55</v>
      </c>
      <c r="G8776" s="10" t="n">
        <v>1540</v>
      </c>
      <c r="H8776" s="10" t="n">
        <v>147</v>
      </c>
      <c r="I8776" s="10" t="n">
        <v>0</v>
      </c>
      <c r="J8776" s="10" t="n">
        <v>0</v>
      </c>
      <c r="K8776" s="10" t="s">
        <v>20</v>
      </c>
      <c r="L8776" s="11" t="n">
        <v>40189.0717476852</v>
      </c>
      <c r="M8776" s="12" t="s">
        <v>2491</v>
      </c>
      <c r="N8776" s="12" t="s">
        <v>2492</v>
      </c>
      <c r="O8776" s="9" t="str">
        <f aca="false">HYPERLINK("https://pbs.twimg.com/profile_images/2509866256/6fjgs8rtts7014kqe70t_normal.jpeg","View")</f>
        <v>View</v>
      </c>
      <c r="P8776" s="10"/>
    </row>
    <row r="8777" customFormat="false" ht="15.75" hidden="false" customHeight="false" outlineLevel="0" collapsed="false">
      <c r="A8777" s="6" t="n">
        <v>43033.7651736111</v>
      </c>
      <c r="B8777" s="7" t="str">
        <f aca="false">HYPERLINK("https://twitter.com/asimamdv","@asimamdv")</f>
        <v>@asimamdv</v>
      </c>
      <c r="C8777" s="8" t="s">
        <v>19120</v>
      </c>
      <c r="D8777" s="8" t="s">
        <v>18733</v>
      </c>
      <c r="E8777" s="9" t="str">
        <f aca="false">HYPERLINK("https://twitter.com/asimamdv/status/923358984211329024","923358984211329024")</f>
        <v>923358984211329024</v>
      </c>
      <c r="F8777" s="10" t="s">
        <v>25</v>
      </c>
      <c r="G8777" s="10" t="n">
        <v>942</v>
      </c>
      <c r="H8777" s="10" t="n">
        <v>505</v>
      </c>
      <c r="I8777" s="10" t="n">
        <v>28</v>
      </c>
      <c r="J8777" s="10" t="n">
        <v>0</v>
      </c>
      <c r="K8777" s="10" t="s">
        <v>20</v>
      </c>
      <c r="L8777" s="11" t="n">
        <v>41565.4253472222</v>
      </c>
      <c r="M8777" s="12"/>
      <c r="N8777" s="12" t="s">
        <v>19121</v>
      </c>
      <c r="O8777" s="9" t="str">
        <f aca="false">HYPERLINK("https://pbs.twimg.com/profile_images/633137439494664192/LsPjhwH7_normal.jpg","View")</f>
        <v>View</v>
      </c>
      <c r="P8777" s="10"/>
    </row>
    <row r="8778" customFormat="false" ht="15.75" hidden="false" customHeight="false" outlineLevel="0" collapsed="false">
      <c r="A8778" s="6" t="n">
        <v>43033.7937152778</v>
      </c>
      <c r="B8778" s="7" t="str">
        <f aca="false">HYPERLINK("https://twitter.com/ramana1729","@ramana1729")</f>
        <v>@ramana1729</v>
      </c>
      <c r="C8778" s="8" t="s">
        <v>19122</v>
      </c>
      <c r="D8778" s="8" t="s">
        <v>8538</v>
      </c>
      <c r="E8778" s="9" t="str">
        <f aca="false">HYPERLINK("https://twitter.com/ramana1729/status/923369324953374721","923369324953374721")</f>
        <v>923369324953374721</v>
      </c>
      <c r="F8778" s="10" t="s">
        <v>25</v>
      </c>
      <c r="G8778" s="10" t="n">
        <v>3142</v>
      </c>
      <c r="H8778" s="10" t="n">
        <v>3797</v>
      </c>
      <c r="I8778" s="10" t="n">
        <v>1015</v>
      </c>
      <c r="J8778" s="10" t="n">
        <v>0</v>
      </c>
      <c r="K8778" s="10" t="s">
        <v>20</v>
      </c>
      <c r="L8778" s="11" t="n">
        <v>39943.6178009259</v>
      </c>
      <c r="M8778" s="12" t="s">
        <v>19123</v>
      </c>
      <c r="N8778" s="12" t="s">
        <v>19124</v>
      </c>
      <c r="O8778" s="9" t="str">
        <f aca="false">HYPERLINK("https://pbs.twimg.com/profile_images/827248035021336577/0k_cpGTj_normal.jpg","View")</f>
        <v>View</v>
      </c>
      <c r="P8778" s="10"/>
    </row>
    <row r="8779" customFormat="false" ht="15.75" hidden="false" customHeight="false" outlineLevel="0" collapsed="false">
      <c r="A8779" s="6" t="n">
        <v>43033.794849537</v>
      </c>
      <c r="B8779" s="7" t="str">
        <f aca="false">HYPERLINK("https://twitter.com/NamVietNetwork","@NamVietNetwork")</f>
        <v>@NamVietNetwork</v>
      </c>
      <c r="C8779" s="8" t="s">
        <v>2489</v>
      </c>
      <c r="D8779" s="8" t="s">
        <v>19125</v>
      </c>
      <c r="E8779" s="9" t="str">
        <f aca="false">HYPERLINK("https://twitter.com/NamVietNetwork/status/923369739384221696","923369739384221696")</f>
        <v>923369739384221696</v>
      </c>
      <c r="F8779" s="10" t="s">
        <v>55</v>
      </c>
      <c r="G8779" s="10" t="n">
        <v>1540</v>
      </c>
      <c r="H8779" s="10" t="n">
        <v>147</v>
      </c>
      <c r="I8779" s="10" t="n">
        <v>0</v>
      </c>
      <c r="J8779" s="10" t="n">
        <v>0</v>
      </c>
      <c r="K8779" s="10" t="s">
        <v>20</v>
      </c>
      <c r="L8779" s="11" t="n">
        <v>40189.0717476852</v>
      </c>
      <c r="M8779" s="12" t="s">
        <v>2491</v>
      </c>
      <c r="N8779" s="12" t="s">
        <v>2492</v>
      </c>
      <c r="O8779" s="9" t="str">
        <f aca="false">HYPERLINK("https://pbs.twimg.com/profile_images/2509866256/6fjgs8rtts7014kqe70t_normal.jpeg","View")</f>
        <v>View</v>
      </c>
      <c r="P8779" s="10"/>
    </row>
    <row r="8780" customFormat="false" ht="15.75" hidden="false" customHeight="false" outlineLevel="0" collapsed="false">
      <c r="A8780" s="6" t="n">
        <v>43033.8158680556</v>
      </c>
      <c r="B8780" s="7" t="str">
        <f aca="false">HYPERLINK("https://twitter.com/netralenglish","@netralenglish")</f>
        <v>@netralenglish</v>
      </c>
      <c r="C8780" s="8" t="s">
        <v>19126</v>
      </c>
      <c r="D8780" s="8" t="s">
        <v>19127</v>
      </c>
      <c r="E8780" s="9" t="str">
        <f aca="false">HYPERLINK("https://twitter.com/netralenglish/status/923377356189835265","923377356189835265")</f>
        <v>923377356189835265</v>
      </c>
      <c r="F8780" s="10" t="s">
        <v>39</v>
      </c>
      <c r="G8780" s="10" t="n">
        <v>70</v>
      </c>
      <c r="H8780" s="10" t="n">
        <v>15</v>
      </c>
      <c r="I8780" s="10" t="n">
        <v>0</v>
      </c>
      <c r="J8780" s="10" t="n">
        <v>0</v>
      </c>
      <c r="K8780" s="10" t="s">
        <v>20</v>
      </c>
      <c r="L8780" s="11" t="n">
        <v>42738.8742013889</v>
      </c>
      <c r="M8780" s="12"/>
      <c r="N8780" s="12"/>
      <c r="O8780" s="9" t="str">
        <f aca="false">HYPERLINK("https://pbs.twimg.com/profile_images/826694869569597440/9gZefBZP_normal.jpg","View")</f>
        <v>View</v>
      </c>
      <c r="P8780" s="10"/>
    </row>
    <row r="8781" customFormat="false" ht="15.75" hidden="false" customHeight="false" outlineLevel="0" collapsed="false">
      <c r="A8781" s="6" t="n">
        <v>43033.8394907407</v>
      </c>
      <c r="B8781" s="7" t="str">
        <f aca="false">HYPERLINK("https://twitter.com/BJPTHONDAN","@BJPTHONDAN")</f>
        <v>@BJPTHONDAN</v>
      </c>
      <c r="C8781" s="8" t="s">
        <v>19128</v>
      </c>
      <c r="D8781" s="8" t="s">
        <v>8538</v>
      </c>
      <c r="E8781" s="9" t="str">
        <f aca="false">HYPERLINK("https://twitter.com/BJPTHONDAN/status/923385914558001152","923385914558001152")</f>
        <v>923385914558001152</v>
      </c>
      <c r="F8781" s="10" t="s">
        <v>25</v>
      </c>
      <c r="G8781" s="10" t="n">
        <v>4753</v>
      </c>
      <c r="H8781" s="10" t="n">
        <v>4207</v>
      </c>
      <c r="I8781" s="10" t="n">
        <v>1015</v>
      </c>
      <c r="J8781" s="10" t="n">
        <v>0</v>
      </c>
      <c r="K8781" s="10" t="s">
        <v>20</v>
      </c>
      <c r="L8781" s="11" t="n">
        <v>41158.2398726852</v>
      </c>
      <c r="M8781" s="12" t="s">
        <v>19129</v>
      </c>
      <c r="N8781" s="12" t="s">
        <v>19130</v>
      </c>
      <c r="O8781" s="9" t="str">
        <f aca="false">HYPERLINK("https://pbs.twimg.com/profile_images/497107076909252608/doLXHD2m_normal.jpeg","View")</f>
        <v>View</v>
      </c>
      <c r="P8781" s="10"/>
    </row>
    <row r="8782" customFormat="false" ht="15.75" hidden="false" customHeight="false" outlineLevel="0" collapsed="false">
      <c r="A8782" s="6" t="n">
        <v>43033.8402083333</v>
      </c>
      <c r="B8782" s="7" t="str">
        <f aca="false">HYPERLINK("https://twitter.com/uaprabhu","@uaprabhu")</f>
        <v>@uaprabhu</v>
      </c>
      <c r="C8782" s="8" t="s">
        <v>19131</v>
      </c>
      <c r="D8782" s="8" t="s">
        <v>8538</v>
      </c>
      <c r="E8782" s="9" t="str">
        <f aca="false">HYPERLINK("https://twitter.com/uaprabhu/status/923386173199929349","923386173199929349")</f>
        <v>923386173199929349</v>
      </c>
      <c r="F8782" s="10" t="s">
        <v>25</v>
      </c>
      <c r="G8782" s="10" t="n">
        <v>84</v>
      </c>
      <c r="H8782" s="10" t="n">
        <v>135</v>
      </c>
      <c r="I8782" s="10" t="n">
        <v>1015</v>
      </c>
      <c r="J8782" s="10" t="n">
        <v>0</v>
      </c>
      <c r="K8782" s="10" t="s">
        <v>20</v>
      </c>
      <c r="L8782" s="11" t="n">
        <v>40284.3545486111</v>
      </c>
      <c r="M8782" s="12" t="s">
        <v>253</v>
      </c>
      <c r="N8782" s="12"/>
      <c r="O8782" s="9" t="str">
        <f aca="false">HYPERLINK("https://pbs.twimg.com/profile_images/1624251493/Photo0145_normal.jpg","View")</f>
        <v>View</v>
      </c>
      <c r="P8782" s="10"/>
    </row>
    <row r="8783" customFormat="false" ht="15.75" hidden="false" customHeight="false" outlineLevel="0" collapsed="false">
      <c r="A8783" s="6" t="n">
        <v>43033.841875</v>
      </c>
      <c r="B8783" s="7" t="str">
        <f aca="false">HYPERLINK("https://twitter.com/Mahbub_Ibrahim","@Mahbub_Ibrahim")</f>
        <v>@Mahbub_Ibrahim</v>
      </c>
      <c r="C8783" s="8" t="s">
        <v>19132</v>
      </c>
      <c r="D8783" s="8" t="s">
        <v>19133</v>
      </c>
      <c r="E8783" s="9" t="str">
        <f aca="false">HYPERLINK("https://twitter.com/Mahbub_Ibrahim/status/923386777792065537","923386777792065537")</f>
        <v>923386777792065537</v>
      </c>
      <c r="F8783" s="10" t="s">
        <v>39</v>
      </c>
      <c r="G8783" s="10" t="n">
        <v>7003</v>
      </c>
      <c r="H8783" s="10" t="n">
        <v>4804</v>
      </c>
      <c r="I8783" s="10" t="n">
        <v>0</v>
      </c>
      <c r="J8783" s="10" t="n">
        <v>0</v>
      </c>
      <c r="K8783" s="10" t="s">
        <v>20</v>
      </c>
      <c r="L8783" s="11" t="n">
        <v>41951.1424305556</v>
      </c>
      <c r="M8783" s="12" t="s">
        <v>19134</v>
      </c>
      <c r="N8783" s="12" t="s">
        <v>19135</v>
      </c>
      <c r="O8783" s="9" t="str">
        <f aca="false">HYPERLINK("https://pbs.twimg.com/profile_images/920553408687427584/dN4zceF4_normal.jpg","View")</f>
        <v>View</v>
      </c>
      <c r="P8783" s="10"/>
    </row>
    <row r="8784" customFormat="false" ht="15.75" hidden="false" customHeight="false" outlineLevel="0" collapsed="false">
      <c r="A8784" s="6" t="n">
        <v>43033.8916782407</v>
      </c>
      <c r="B8784" s="7" t="str">
        <f aca="false">HYPERLINK("https://twitter.com/NPurev","@NPurev")</f>
        <v>@NPurev</v>
      </c>
      <c r="C8784" s="8" t="s">
        <v>19136</v>
      </c>
      <c r="D8784" s="8" t="s">
        <v>19137</v>
      </c>
      <c r="E8784" s="9" t="str">
        <f aca="false">HYPERLINK("https://twitter.com/NPurev/status/923404828440535041","923404828440535041")</f>
        <v>923404828440535041</v>
      </c>
      <c r="F8784" s="10" t="s">
        <v>39</v>
      </c>
      <c r="G8784" s="10" t="n">
        <v>1376</v>
      </c>
      <c r="H8784" s="10" t="n">
        <v>2401</v>
      </c>
      <c r="I8784" s="10" t="n">
        <v>0</v>
      </c>
      <c r="J8784" s="10" t="n">
        <v>0</v>
      </c>
      <c r="K8784" s="10" t="s">
        <v>20</v>
      </c>
      <c r="L8784" s="11" t="n">
        <v>41398.8574768519</v>
      </c>
      <c r="M8784" s="12" t="s">
        <v>2296</v>
      </c>
      <c r="N8784" s="12" t="s">
        <v>19138</v>
      </c>
      <c r="O8784" s="9" t="str">
        <f aca="false">HYPERLINK("https://pbs.twimg.com/profile_images/3615530678/8a0dc4810b58f7d92a2a47865e0e9bf5_normal.jpeg","View")</f>
        <v>View</v>
      </c>
      <c r="P8784" s="10"/>
    </row>
    <row r="8785" customFormat="false" ht="15.75" hidden="false" customHeight="false" outlineLevel="0" collapsed="false">
      <c r="A8785" s="6" t="n">
        <v>43033.9425578704</v>
      </c>
      <c r="B8785" s="7" t="str">
        <f aca="false">HYPERLINK("https://twitter.com/JohnRobertFinch","@JohnRobertFinch")</f>
        <v>@JohnRobertFinch</v>
      </c>
      <c r="C8785" s="8" t="s">
        <v>19139</v>
      </c>
      <c r="D8785" s="8" t="s">
        <v>10525</v>
      </c>
      <c r="E8785" s="9" t="str">
        <f aca="false">HYPERLINK("https://twitter.com/JohnRobertFinch/status/923423266722668544","923423266722668544")</f>
        <v>923423266722668544</v>
      </c>
      <c r="F8785" s="10" t="s">
        <v>25</v>
      </c>
      <c r="G8785" s="10" t="n">
        <v>426</v>
      </c>
      <c r="H8785" s="10" t="n">
        <v>664</v>
      </c>
      <c r="I8785" s="10" t="n">
        <v>9</v>
      </c>
      <c r="J8785" s="10" t="n">
        <v>0</v>
      </c>
      <c r="K8785" s="10" t="s">
        <v>20</v>
      </c>
      <c r="L8785" s="11" t="n">
        <v>40022.4898726852</v>
      </c>
      <c r="M8785" s="12" t="s">
        <v>19140</v>
      </c>
      <c r="N8785" s="12" t="s">
        <v>19141</v>
      </c>
      <c r="O8785" s="9" t="str">
        <f aca="false">HYPERLINK("https://pbs.twimg.com/profile_images/1132998937/thumbnailCA8QH7Z5_normal.jpg","View")</f>
        <v>View</v>
      </c>
      <c r="P8785" s="10"/>
    </row>
    <row r="8786" customFormat="false" ht="15.75" hidden="false" customHeight="false" outlineLevel="0" collapsed="false">
      <c r="A8786" s="6" t="n">
        <v>43033.9571180556</v>
      </c>
      <c r="B8786" s="7" t="str">
        <f aca="false">HYPERLINK("https://twitter.com/JPN_PMO","@JPN_PMO")</f>
        <v>@JPN_PMO</v>
      </c>
      <c r="C8786" s="8" t="s">
        <v>19142</v>
      </c>
      <c r="D8786" s="8" t="s">
        <v>15821</v>
      </c>
      <c r="E8786" s="9" t="str">
        <f aca="false">HYPERLINK("https://twitter.com/JPN_PMO/status/923428539776499713","923428539776499713")</f>
        <v>923428539776499713</v>
      </c>
      <c r="F8786" s="10" t="s">
        <v>39</v>
      </c>
      <c r="G8786" s="10" t="n">
        <v>201118</v>
      </c>
      <c r="H8786" s="10" t="n">
        <v>116</v>
      </c>
      <c r="I8786" s="10" t="n">
        <v>41</v>
      </c>
      <c r="J8786" s="10" t="n">
        <v>0</v>
      </c>
      <c r="K8786" s="10" t="s">
        <v>20</v>
      </c>
      <c r="L8786" s="11" t="n">
        <v>40617.8941435185</v>
      </c>
      <c r="M8786" s="12" t="s">
        <v>1529</v>
      </c>
      <c r="N8786" s="12" t="s">
        <v>19143</v>
      </c>
      <c r="O8786" s="9" t="str">
        <f aca="false">HYPERLINK("https://pbs.twimg.com/profile_images/896994122426220545/IL7zNLB3_normal.jpg","View")</f>
        <v>View</v>
      </c>
      <c r="P8786" s="10"/>
    </row>
    <row r="8787" customFormat="false" ht="15.75" hidden="false" customHeight="false" outlineLevel="0" collapsed="false">
      <c r="A8787" s="6" t="n">
        <v>43033.962337963</v>
      </c>
      <c r="B8787" s="7" t="str">
        <f aca="false">HYPERLINK("https://twitter.com/Mari5HK","@Mari5HK")</f>
        <v>@Mari5HK</v>
      </c>
      <c r="C8787" s="8" t="s">
        <v>19144</v>
      </c>
      <c r="D8787" s="8" t="s">
        <v>15821</v>
      </c>
      <c r="E8787" s="9" t="str">
        <f aca="false">HYPERLINK("https://twitter.com/Mari5HK/status/923430433869762561","923430433869762561")</f>
        <v>923430433869762561</v>
      </c>
      <c r="F8787" s="10" t="s">
        <v>39</v>
      </c>
      <c r="G8787" s="10" t="n">
        <v>403</v>
      </c>
      <c r="H8787" s="10" t="n">
        <v>268</v>
      </c>
      <c r="I8787" s="10" t="n">
        <v>41</v>
      </c>
      <c r="J8787" s="10" t="n">
        <v>0</v>
      </c>
      <c r="K8787" s="10" t="s">
        <v>20</v>
      </c>
      <c r="L8787" s="11" t="n">
        <v>39895.955162037</v>
      </c>
      <c r="M8787" s="12" t="s">
        <v>19145</v>
      </c>
      <c r="N8787" s="12" t="s">
        <v>19146</v>
      </c>
      <c r="O8787" s="9" t="str">
        <f aca="false">HYPERLINK("https://pbs.twimg.com/profile_images/575352712654536704/Ad7Bfsf8_normal.jpeg","View")</f>
        <v>View</v>
      </c>
      <c r="P8787" s="10"/>
    </row>
    <row r="8788" customFormat="false" ht="15.75" hidden="false" customHeight="false" outlineLevel="0" collapsed="false">
      <c r="A8788" s="6" t="n">
        <v>43033.97125</v>
      </c>
      <c r="B8788" s="7" t="str">
        <f aca="false">HYPERLINK("https://twitter.com/harupuko","@harupuko")</f>
        <v>@harupuko</v>
      </c>
      <c r="C8788" s="8" t="s">
        <v>19147</v>
      </c>
      <c r="D8788" s="8" t="s">
        <v>16226</v>
      </c>
      <c r="E8788" s="9" t="str">
        <f aca="false">HYPERLINK("https://twitter.com/harupuko/status/923433662921633793","923433662921633793")</f>
        <v>923433662921633793</v>
      </c>
      <c r="F8788" s="10" t="s">
        <v>51</v>
      </c>
      <c r="G8788" s="10" t="n">
        <v>39</v>
      </c>
      <c r="H8788" s="10" t="n">
        <v>26</v>
      </c>
      <c r="I8788" s="10" t="n">
        <v>19</v>
      </c>
      <c r="J8788" s="10" t="n">
        <v>0</v>
      </c>
      <c r="K8788" s="10" t="s">
        <v>20</v>
      </c>
      <c r="L8788" s="11" t="n">
        <v>41094.9826273148</v>
      </c>
      <c r="M8788" s="12"/>
      <c r="N8788" s="12" t="s">
        <v>19148</v>
      </c>
      <c r="O8788" s="9" t="str">
        <f aca="false">HYPERLINK("https://pbs.twimg.com/profile_images/757166762055995393/8dRaLHvq_normal.jpg","View")</f>
        <v>View</v>
      </c>
      <c r="P8788" s="10"/>
    </row>
    <row r="8789" customFormat="false" ht="15.75" hidden="false" customHeight="false" outlineLevel="0" collapsed="false">
      <c r="A8789" s="6" t="n">
        <v>43034.0236342593</v>
      </c>
      <c r="B8789" s="7" t="str">
        <f aca="false">HYPERLINK("https://twitter.com/azrael_bexter","@azrael_bexter")</f>
        <v>@azrael_bexter</v>
      </c>
      <c r="C8789" s="8" t="s">
        <v>19149</v>
      </c>
      <c r="D8789" s="8" t="s">
        <v>19150</v>
      </c>
      <c r="E8789" s="9" t="str">
        <f aca="false">HYPERLINK("https://twitter.com/azrael_bexter/status/923452645037215744","923452645037215744")</f>
        <v>923452645037215744</v>
      </c>
      <c r="F8789" s="10" t="s">
        <v>19151</v>
      </c>
      <c r="G8789" s="10" t="n">
        <v>1412</v>
      </c>
      <c r="H8789" s="10" t="n">
        <v>274</v>
      </c>
      <c r="I8789" s="10" t="n">
        <v>0</v>
      </c>
      <c r="J8789" s="10" t="n">
        <v>0</v>
      </c>
      <c r="K8789" s="10" t="s">
        <v>20</v>
      </c>
      <c r="L8789" s="11" t="n">
        <v>42693.6753240741</v>
      </c>
      <c r="M8789" s="12"/>
      <c r="N8789" s="12" t="s">
        <v>19152</v>
      </c>
      <c r="O8789" s="9" t="str">
        <f aca="false">HYPERLINK("https://pbs.twimg.com/profile_images/800140522228547584/ES0dSXVH_normal.jpg","View")</f>
        <v>View</v>
      </c>
      <c r="P8789" s="10"/>
    </row>
    <row r="8790" customFormat="false" ht="15.75" hidden="false" customHeight="false" outlineLevel="0" collapsed="false">
      <c r="A8790" s="6" t="n">
        <v>43034.0300810185</v>
      </c>
      <c r="B8790" s="7" t="str">
        <f aca="false">HYPERLINK("https://twitter.com/japansinleiden","@japansinleiden")</f>
        <v>@japansinleiden</v>
      </c>
      <c r="C8790" s="8" t="s">
        <v>19153</v>
      </c>
      <c r="D8790" s="8" t="s">
        <v>19154</v>
      </c>
      <c r="E8790" s="9" t="str">
        <f aca="false">HYPERLINK("https://twitter.com/japansinleiden/status/923454983412043776","923454983412043776")</f>
        <v>923454983412043776</v>
      </c>
      <c r="F8790" s="10" t="s">
        <v>47</v>
      </c>
      <c r="G8790" s="10" t="n">
        <v>317</v>
      </c>
      <c r="H8790" s="10" t="n">
        <v>10</v>
      </c>
      <c r="I8790" s="10" t="n">
        <v>0</v>
      </c>
      <c r="J8790" s="10" t="n">
        <v>0</v>
      </c>
      <c r="K8790" s="10" t="s">
        <v>20</v>
      </c>
      <c r="L8790" s="11" t="n">
        <v>41105.1802546296</v>
      </c>
      <c r="M8790" s="12" t="s">
        <v>19155</v>
      </c>
      <c r="N8790" s="12" t="s">
        <v>19156</v>
      </c>
      <c r="O8790" s="9" t="str">
        <f aca="false">HYPERLINK("https://pbs.twimg.com/profile_images/2673870111/8c963087ed447205e3dd7e1517a97d8f_normal.jpeg","View")</f>
        <v>View</v>
      </c>
      <c r="P8790" s="10"/>
    </row>
    <row r="8791" customFormat="false" ht="15.75" hidden="false" customHeight="false" outlineLevel="0" collapsed="false">
      <c r="A8791" s="6" t="n">
        <v>43034.031875</v>
      </c>
      <c r="B8791" s="7" t="str">
        <f aca="false">HYPERLINK("https://twitter.com/mahesh_gulab","@mahesh_gulab")</f>
        <v>@mahesh_gulab</v>
      </c>
      <c r="C8791" s="8" t="s">
        <v>19157</v>
      </c>
      <c r="D8791" s="8" t="s">
        <v>19158</v>
      </c>
      <c r="E8791" s="9" t="str">
        <f aca="false">HYPERLINK("https://twitter.com/mahesh_gulab/status/923455633889693697","923455633889693697")</f>
        <v>923455633889693697</v>
      </c>
      <c r="F8791" s="10" t="s">
        <v>25</v>
      </c>
      <c r="G8791" s="10" t="n">
        <v>593</v>
      </c>
      <c r="H8791" s="10" t="n">
        <v>553</v>
      </c>
      <c r="I8791" s="10" t="n">
        <v>0</v>
      </c>
      <c r="J8791" s="10" t="n">
        <v>0</v>
      </c>
      <c r="K8791" s="10" t="s">
        <v>20</v>
      </c>
      <c r="L8791" s="11" t="n">
        <v>41154.0499189815</v>
      </c>
      <c r="M8791" s="12" t="s">
        <v>253</v>
      </c>
      <c r="N8791" s="12" t="s">
        <v>19159</v>
      </c>
      <c r="O8791" s="9" t="str">
        <f aca="false">HYPERLINK("https://pbs.twimg.com/profile_images/917442610041462784/6yg_b5gm_normal.jpg","View")</f>
        <v>View</v>
      </c>
      <c r="P8791" s="10"/>
    </row>
    <row r="8792" customFormat="false" ht="15.75" hidden="false" customHeight="false" outlineLevel="0" collapsed="false">
      <c r="A8792" s="6" t="n">
        <v>43034.0630902778</v>
      </c>
      <c r="B8792" s="7" t="str">
        <f aca="false">HYPERLINK("https://twitter.com/CentralMirror","@CentralMirror")</f>
        <v>@CentralMirror</v>
      </c>
      <c r="C8792" s="8" t="s">
        <v>19160</v>
      </c>
      <c r="D8792" s="8" t="s">
        <v>19161</v>
      </c>
      <c r="E8792" s="9" t="str">
        <f aca="false">HYPERLINK("https://twitter.com/CentralMirror/status/923466943755182080","923466943755182080")</f>
        <v>923466943755182080</v>
      </c>
      <c r="F8792" s="9" t="s">
        <v>979</v>
      </c>
      <c r="G8792" s="10" t="n">
        <v>311</v>
      </c>
      <c r="H8792" s="10" t="n">
        <v>1026</v>
      </c>
      <c r="I8792" s="10" t="n">
        <v>0</v>
      </c>
      <c r="J8792" s="10" t="n">
        <v>0</v>
      </c>
      <c r="K8792" s="10" t="s">
        <v>20</v>
      </c>
      <c r="L8792" s="11" t="n">
        <v>42206.2870833333</v>
      </c>
      <c r="M8792" s="12"/>
      <c r="N8792" s="12"/>
      <c r="O8792" s="9" t="str">
        <f aca="false">HYPERLINK("https://pbs.twimg.com/profile_images/870904845632327680/hX-sFlO6_normal.jpg","View")</f>
        <v>View</v>
      </c>
      <c r="P8792" s="10"/>
    </row>
    <row r="8793" customFormat="false" ht="15.75" hidden="false" customHeight="false" outlineLevel="0" collapsed="false">
      <c r="A8793" s="6" t="n">
        <v>43034.0706018519</v>
      </c>
      <c r="B8793" s="7" t="str">
        <f aca="false">HYPERLINK("https://twitter.com/sashalom","@sashalom")</f>
        <v>@sashalom</v>
      </c>
      <c r="C8793" s="8" t="s">
        <v>19162</v>
      </c>
      <c r="D8793" s="8" t="s">
        <v>10525</v>
      </c>
      <c r="E8793" s="9" t="str">
        <f aca="false">HYPERLINK("https://twitter.com/sashalom/status/923469667737497600","923469667737497600")</f>
        <v>923469667737497600</v>
      </c>
      <c r="F8793" s="10" t="s">
        <v>51</v>
      </c>
      <c r="G8793" s="10" t="n">
        <v>2658</v>
      </c>
      <c r="H8793" s="10" t="n">
        <v>2266</v>
      </c>
      <c r="I8793" s="10" t="n">
        <v>9</v>
      </c>
      <c r="J8793" s="10" t="n">
        <v>0</v>
      </c>
      <c r="K8793" s="10" t="s">
        <v>20</v>
      </c>
      <c r="L8793" s="11" t="n">
        <v>39986.3680555556</v>
      </c>
      <c r="M8793" s="12" t="s">
        <v>989</v>
      </c>
      <c r="N8793" s="12" t="s">
        <v>19163</v>
      </c>
      <c r="O8793" s="9" t="str">
        <f aca="false">HYPERLINK("https://pbs.twimg.com/profile_images/792831609900793858/9mnuFhHL_normal.jpg","View")</f>
        <v>View</v>
      </c>
      <c r="P8793" s="10"/>
    </row>
    <row r="8794" customFormat="false" ht="15.75" hidden="false" customHeight="false" outlineLevel="0" collapsed="false">
      <c r="A8794" s="6" t="n">
        <v>43034.0840509259</v>
      </c>
      <c r="B8794" s="7" t="str">
        <f aca="false">HYPERLINK("https://twitter.com/PrescientSite","@PrescientSite")</f>
        <v>@PrescientSite</v>
      </c>
      <c r="C8794" s="8" t="s">
        <v>19151</v>
      </c>
      <c r="D8794" s="8" t="s">
        <v>19164</v>
      </c>
      <c r="E8794" s="9" t="str">
        <f aca="false">HYPERLINK("https://twitter.com/PrescientSite/status/923474542005235712","923474542005235712")</f>
        <v>923474542005235712</v>
      </c>
      <c r="F8794" s="10" t="s">
        <v>19151</v>
      </c>
      <c r="G8794" s="10" t="n">
        <v>2405</v>
      </c>
      <c r="H8794" s="10" t="n">
        <v>365</v>
      </c>
      <c r="I8794" s="10" t="n">
        <v>0</v>
      </c>
      <c r="J8794" s="10" t="n">
        <v>0</v>
      </c>
      <c r="K8794" s="10" t="s">
        <v>20</v>
      </c>
      <c r="L8794" s="11" t="n">
        <v>40781.6874074074</v>
      </c>
      <c r="M8794" s="12" t="s">
        <v>370</v>
      </c>
      <c r="N8794" s="12" t="s">
        <v>19165</v>
      </c>
      <c r="O8794" s="9" t="str">
        <f aca="false">HYPERLINK("https://pbs.twimg.com/profile_images/790753685978488833/KwDZwMgg_normal.jpg","View")</f>
        <v>View</v>
      </c>
      <c r="P8794" s="10"/>
    </row>
    <row r="8795" customFormat="false" ht="15.75" hidden="false" customHeight="false" outlineLevel="0" collapsed="false">
      <c r="A8795" s="6" t="n">
        <v>43034.1050578704</v>
      </c>
      <c r="B8795" s="7" t="str">
        <f aca="false">HYPERLINK("https://twitter.com/conejitonoel","@conejitonoel")</f>
        <v>@conejitonoel</v>
      </c>
      <c r="C8795" s="8" t="s">
        <v>2378</v>
      </c>
      <c r="D8795" s="8" t="s">
        <v>18617</v>
      </c>
      <c r="E8795" s="9" t="str">
        <f aca="false">HYPERLINK("https://twitter.com/conejitonoel/status/923482151470776320","923482151470776320")</f>
        <v>923482151470776320</v>
      </c>
      <c r="F8795" s="10" t="s">
        <v>51</v>
      </c>
      <c r="G8795" s="10" t="n">
        <v>679</v>
      </c>
      <c r="H8795" s="10" t="n">
        <v>96</v>
      </c>
      <c r="I8795" s="10" t="n">
        <v>47</v>
      </c>
      <c r="J8795" s="10" t="n">
        <v>0</v>
      </c>
      <c r="K8795" s="10" t="s">
        <v>20</v>
      </c>
      <c r="L8795" s="11" t="n">
        <v>40723.1965277778</v>
      </c>
      <c r="M8795" s="12" t="s">
        <v>574</v>
      </c>
      <c r="N8795" s="13" t="s">
        <v>2379</v>
      </c>
      <c r="O8795" s="9" t="str">
        <f aca="false">HYPERLINK("https://pbs.twimg.com/profile_images/894728723680829440/dsPrCOvM_normal.jpg","View")</f>
        <v>View</v>
      </c>
      <c r="P8795" s="10"/>
    </row>
    <row r="8796" customFormat="false" ht="15.75" hidden="false" customHeight="false" outlineLevel="0" collapsed="false">
      <c r="A8796" s="6" t="n">
        <v>43034.1581481482</v>
      </c>
      <c r="B8796" s="7" t="str">
        <f aca="false">HYPERLINK("https://twitter.com/paagalpogba","@paagalpogba")</f>
        <v>@paagalpogba</v>
      </c>
      <c r="C8796" s="8" t="s">
        <v>19166</v>
      </c>
      <c r="D8796" s="8" t="s">
        <v>8538</v>
      </c>
      <c r="E8796" s="9" t="str">
        <f aca="false">HYPERLINK("https://twitter.com/paagalpogba/status/923501394262241280","923501394262241280")</f>
        <v>923501394262241280</v>
      </c>
      <c r="F8796" s="10" t="s">
        <v>25</v>
      </c>
      <c r="G8796" s="10" t="n">
        <v>366</v>
      </c>
      <c r="H8796" s="10" t="n">
        <v>2306</v>
      </c>
      <c r="I8796" s="10" t="n">
        <v>1015</v>
      </c>
      <c r="J8796" s="10" t="n">
        <v>0</v>
      </c>
      <c r="K8796" s="10" t="s">
        <v>20</v>
      </c>
      <c r="L8796" s="11" t="n">
        <v>40093.4960185185</v>
      </c>
      <c r="M8796" s="12"/>
      <c r="N8796" s="12"/>
      <c r="O8796" s="9" t="str">
        <f aca="false">HYPERLINK("https://pbs.twimg.com/profile_images/463700870073286657/q_E--iip_normal.png","View")</f>
        <v>View</v>
      </c>
      <c r="P8796" s="10"/>
    </row>
    <row r="8797" customFormat="false" ht="15.75" hidden="false" customHeight="false" outlineLevel="0" collapsed="false">
      <c r="A8797" s="6" t="n">
        <v>43034.2030787037</v>
      </c>
      <c r="B8797" s="7" t="str">
        <f aca="false">HYPERLINK("https://twitter.com/TIMEWorld","@TIMEWorld")</f>
        <v>@TIMEWorld</v>
      </c>
      <c r="C8797" s="8" t="s">
        <v>937</v>
      </c>
      <c r="D8797" s="8" t="s">
        <v>19167</v>
      </c>
      <c r="E8797" s="9" t="str">
        <f aca="false">HYPERLINK("https://twitter.com/TIMEWorld/status/923517673463574529","923517673463574529")</f>
        <v>923517673463574529</v>
      </c>
      <c r="F8797" s="10" t="s">
        <v>268</v>
      </c>
      <c r="G8797" s="10" t="n">
        <v>63956</v>
      </c>
      <c r="H8797" s="10" t="n">
        <v>117</v>
      </c>
      <c r="I8797" s="10" t="n">
        <v>0</v>
      </c>
      <c r="J8797" s="10" t="n">
        <v>0</v>
      </c>
      <c r="K8797" s="10" t="s">
        <v>20</v>
      </c>
      <c r="L8797" s="11" t="n">
        <v>39664.3483912037</v>
      </c>
      <c r="M8797" s="12"/>
      <c r="N8797" s="12" t="s">
        <v>939</v>
      </c>
      <c r="O8797" s="9" t="str">
        <f aca="false">HYPERLINK("https://pbs.twimg.com/profile_images/481138361441079298/97ZgTF1Y_normal.jpeg","View")</f>
        <v>View</v>
      </c>
      <c r="P8797" s="10"/>
    </row>
    <row r="8798" customFormat="false" ht="15.75" hidden="false" customHeight="false" outlineLevel="0" collapsed="false">
      <c r="A8798" s="6" t="n">
        <v>43034.2205555556</v>
      </c>
      <c r="B8798" s="7" t="str">
        <f aca="false">HYPERLINK("https://twitter.com/economytweets","@economytweets")</f>
        <v>@economytweets</v>
      </c>
      <c r="C8798" s="8" t="s">
        <v>19168</v>
      </c>
      <c r="D8798" s="8" t="s">
        <v>19169</v>
      </c>
      <c r="E8798" s="9" t="str">
        <f aca="false">HYPERLINK("https://twitter.com/economytweets/status/923524006409637889","923524006409637889")</f>
        <v>923524006409637889</v>
      </c>
      <c r="F8798" s="10" t="s">
        <v>47</v>
      </c>
      <c r="G8798" s="10" t="n">
        <v>15277</v>
      </c>
      <c r="H8798" s="10" t="n">
        <v>525</v>
      </c>
      <c r="I8798" s="10" t="n">
        <v>1</v>
      </c>
      <c r="J8798" s="10" t="n">
        <v>0</v>
      </c>
      <c r="K8798" s="10" t="s">
        <v>20</v>
      </c>
      <c r="L8798" s="11" t="n">
        <v>39839.4071990741</v>
      </c>
      <c r="M8798" s="12" t="s">
        <v>19170</v>
      </c>
      <c r="N8798" s="12" t="s">
        <v>19171</v>
      </c>
      <c r="O8798" s="9" t="str">
        <f aca="false">HYPERLINK("https://pbs.twimg.com/profile_images/795028194986430464/RyVWy1Vy_normal.jpg","View")</f>
        <v>View</v>
      </c>
      <c r="P8798" s="10"/>
    </row>
    <row r="8799" customFormat="false" ht="15.75" hidden="false" customHeight="false" outlineLevel="0" collapsed="false">
      <c r="A8799" s="6" t="n">
        <v>43034.2222106482</v>
      </c>
      <c r="B8799" s="7" t="str">
        <f aca="false">HYPERLINK("https://twitter.com/wittich","@wittich")</f>
        <v>@wittich</v>
      </c>
      <c r="C8799" s="8" t="s">
        <v>1151</v>
      </c>
      <c r="D8799" s="8" t="s">
        <v>19172</v>
      </c>
      <c r="E8799" s="9" t="str">
        <f aca="false">HYPERLINK("https://twitter.com/wittich/status/923524607214260224","923524607214260224")</f>
        <v>923524607214260224</v>
      </c>
      <c r="F8799" s="10" t="s">
        <v>55</v>
      </c>
      <c r="G8799" s="10" t="n">
        <v>2611</v>
      </c>
      <c r="H8799" s="10" t="n">
        <v>1727</v>
      </c>
      <c r="I8799" s="10" t="n">
        <v>0</v>
      </c>
      <c r="J8799" s="10" t="n">
        <v>0</v>
      </c>
      <c r="K8799" s="10" t="s">
        <v>20</v>
      </c>
      <c r="L8799" s="11" t="n">
        <v>39375.5249768519</v>
      </c>
      <c r="M8799" s="12" t="s">
        <v>1153</v>
      </c>
      <c r="N8799" s="12" t="s">
        <v>1154</v>
      </c>
      <c r="O8799" s="9" t="str">
        <f aca="false">HYPERLINK("https://pbs.twimg.com/profile_images/840685455729446912/M8OlVjm3_normal.jpg","View")</f>
        <v>View</v>
      </c>
      <c r="P8799" s="10"/>
    </row>
    <row r="8800" customFormat="false" ht="15.75" hidden="false" customHeight="false" outlineLevel="0" collapsed="false">
      <c r="A8800" s="6" t="n">
        <v>43034.2364351852</v>
      </c>
      <c r="B8800" s="7" t="str">
        <f aca="false">HYPERLINK("https://twitter.com/ParamitaMaitra","@ParamitaMaitra")</f>
        <v>@ParamitaMaitra</v>
      </c>
      <c r="C8800" s="8" t="s">
        <v>19173</v>
      </c>
      <c r="D8800" s="8" t="s">
        <v>8538</v>
      </c>
      <c r="E8800" s="9" t="str">
        <f aca="false">HYPERLINK("https://twitter.com/ParamitaMaitra/status/923529763028836353","923529763028836353")</f>
        <v>923529763028836353</v>
      </c>
      <c r="F8800" s="10" t="s">
        <v>51</v>
      </c>
      <c r="G8800" s="10" t="n">
        <v>655</v>
      </c>
      <c r="H8800" s="10" t="n">
        <v>543</v>
      </c>
      <c r="I8800" s="10" t="n">
        <v>1015</v>
      </c>
      <c r="J8800" s="10" t="n">
        <v>0</v>
      </c>
      <c r="K8800" s="10" t="s">
        <v>20</v>
      </c>
      <c r="L8800" s="11" t="n">
        <v>41175.3521296296</v>
      </c>
      <c r="M8800" s="12"/>
      <c r="N8800" s="12" t="s">
        <v>19174</v>
      </c>
      <c r="O8800" s="9" t="str">
        <f aca="false">HYPERLINK("https://pbs.twimg.com/profile_images/916950986496761856/ZI5szAeM_normal.jpg","View")</f>
        <v>View</v>
      </c>
      <c r="P8800" s="10"/>
    </row>
    <row r="8801" customFormat="false" ht="15.75" hidden="false" customHeight="false" outlineLevel="0" collapsed="false">
      <c r="A8801" s="6" t="n">
        <v>43034.257349537</v>
      </c>
      <c r="B8801" s="7" t="str">
        <f aca="false">HYPERLINK("https://twitter.com/PoliticsNewz","@PoliticsNewz")</f>
        <v>@PoliticsNewz</v>
      </c>
      <c r="C8801" s="8" t="s">
        <v>1132</v>
      </c>
      <c r="D8801" s="8" t="s">
        <v>19175</v>
      </c>
      <c r="E8801" s="9" t="str">
        <f aca="false">HYPERLINK("https://twitter.com/PoliticsNewz/status/923537340399849473","923537340399849473")</f>
        <v>923537340399849473</v>
      </c>
      <c r="F8801" s="10" t="s">
        <v>1134</v>
      </c>
      <c r="G8801" s="10" t="n">
        <v>56467</v>
      </c>
      <c r="H8801" s="10" t="n">
        <v>48950</v>
      </c>
      <c r="I8801" s="10" t="n">
        <v>0</v>
      </c>
      <c r="J8801" s="10" t="n">
        <v>1</v>
      </c>
      <c r="K8801" s="10" t="s">
        <v>20</v>
      </c>
      <c r="L8801" s="11" t="n">
        <v>40980.5404976852</v>
      </c>
      <c r="M8801" s="12" t="s">
        <v>230</v>
      </c>
      <c r="N8801" s="12" t="s">
        <v>1124</v>
      </c>
      <c r="O8801" s="9" t="str">
        <f aca="false">HYPERLINK("https://pbs.twimg.com/profile_images/1892022292/logo-politicnewz_normal.jpg","View")</f>
        <v>View</v>
      </c>
      <c r="P8801" s="10"/>
    </row>
    <row r="8802" customFormat="false" ht="15.75" hidden="false" customHeight="false" outlineLevel="0" collapsed="false">
      <c r="A8802" s="6" t="n">
        <v>43034.2772453704</v>
      </c>
      <c r="B8802" s="7" t="str">
        <f aca="false">HYPERLINK("https://twitter.com/Lulli_1225","@Lulli_1225")</f>
        <v>@Lulli_1225</v>
      </c>
      <c r="C8802" s="14" t="s">
        <v>19176</v>
      </c>
      <c r="D8802" s="8" t="s">
        <v>14466</v>
      </c>
      <c r="E8802" s="9" t="str">
        <f aca="false">HYPERLINK("https://twitter.com/Lulli_1225/status/923544550215315456","923544550215315456")</f>
        <v>923544550215315456</v>
      </c>
      <c r="F8802" s="10" t="s">
        <v>25</v>
      </c>
      <c r="G8802" s="10" t="n">
        <v>141</v>
      </c>
      <c r="H8802" s="10" t="n">
        <v>353</v>
      </c>
      <c r="I8802" s="10" t="n">
        <v>51</v>
      </c>
      <c r="J8802" s="10" t="n">
        <v>0</v>
      </c>
      <c r="K8802" s="10" t="s">
        <v>20</v>
      </c>
      <c r="L8802" s="11" t="n">
        <v>42470.3633912037</v>
      </c>
      <c r="M8802" s="12"/>
      <c r="N8802" s="13" t="s">
        <v>19177</v>
      </c>
      <c r="O8802" s="9" t="str">
        <f aca="false">HYPERLINK("https://pbs.twimg.com/profile_images/890280691891486720/4HNeVVb1_normal.jpg","View")</f>
        <v>View</v>
      </c>
      <c r="P8802" s="10"/>
    </row>
    <row r="8803" customFormat="false" ht="15.75" hidden="false" customHeight="false" outlineLevel="0" collapsed="false">
      <c r="A8803" s="6" t="n">
        <v>43034.2888888889</v>
      </c>
      <c r="B8803" s="7" t="str">
        <f aca="false">HYPERLINK("https://twitter.com/MarketBriefings","@MarketBriefings")</f>
        <v>@MarketBriefings</v>
      </c>
      <c r="C8803" s="8" t="s">
        <v>19178</v>
      </c>
      <c r="D8803" s="8" t="s">
        <v>13114</v>
      </c>
      <c r="E8803" s="9" t="str">
        <f aca="false">HYPERLINK("https://twitter.com/MarketBriefings/status/923548771073617922","923548771073617922")</f>
        <v>923548771073617922</v>
      </c>
      <c r="F8803" s="10" t="s">
        <v>98</v>
      </c>
      <c r="G8803" s="10" t="n">
        <v>24</v>
      </c>
      <c r="H8803" s="10" t="n">
        <v>94</v>
      </c>
      <c r="I8803" s="10" t="n">
        <v>19</v>
      </c>
      <c r="J8803" s="10" t="n">
        <v>0</v>
      </c>
      <c r="K8803" s="10" t="s">
        <v>20</v>
      </c>
      <c r="L8803" s="11" t="n">
        <v>41528.3741550926</v>
      </c>
      <c r="M8803" s="12" t="s">
        <v>1466</v>
      </c>
      <c r="N8803" s="12" t="s">
        <v>19179</v>
      </c>
      <c r="O8803" s="9" t="str">
        <f aca="false">HYPERLINK("https://pbs.twimg.com/profile_images/464697028933472256/KN03qo25_normal.png","View")</f>
        <v>View</v>
      </c>
      <c r="P8803" s="10"/>
    </row>
    <row r="8804" customFormat="false" ht="15.75" hidden="false" customHeight="false" outlineLevel="0" collapsed="false">
      <c r="A8804" s="6" t="n">
        <v>43034.2987615741</v>
      </c>
      <c r="B8804" s="7" t="str">
        <f aca="false">HYPERLINK("https://twitter.com/sgbreakingnews","@sgbreakingnews")</f>
        <v>@sgbreakingnews</v>
      </c>
      <c r="C8804" s="8" t="s">
        <v>14525</v>
      </c>
      <c r="D8804" s="8" t="s">
        <v>19180</v>
      </c>
      <c r="E8804" s="9" t="str">
        <f aca="false">HYPERLINK("https://twitter.com/sgbreakingnews/status/923552347963510784","923552347963510784")</f>
        <v>923552347963510784</v>
      </c>
      <c r="F8804" s="10" t="s">
        <v>60</v>
      </c>
      <c r="G8804" s="10" t="n">
        <v>4255</v>
      </c>
      <c r="H8804" s="10" t="n">
        <v>50</v>
      </c>
      <c r="I8804" s="10" t="n">
        <v>0</v>
      </c>
      <c r="J8804" s="10" t="n">
        <v>0</v>
      </c>
      <c r="K8804" s="10" t="s">
        <v>20</v>
      </c>
      <c r="L8804" s="11" t="n">
        <v>40208.2123958333</v>
      </c>
      <c r="M8804" s="12" t="s">
        <v>186</v>
      </c>
      <c r="N8804" s="12" t="s">
        <v>14527</v>
      </c>
      <c r="O8804" s="9" t="str">
        <f aca="false">HYPERLINK("https://pbs.twimg.com/profile_images/667203471/singapore-breaking-news_normal.jpg","View")</f>
        <v>View</v>
      </c>
      <c r="P8804" s="10"/>
    </row>
    <row r="8805" customFormat="false" ht="15.75" hidden="false" customHeight="false" outlineLevel="0" collapsed="false">
      <c r="A8805" s="6" t="n">
        <v>43034.3237962963</v>
      </c>
      <c r="B8805" s="7" t="str">
        <f aca="false">HYPERLINK("https://twitter.com/Net_chief","@Net_chief")</f>
        <v>@Net_chief</v>
      </c>
      <c r="C8805" s="8" t="s">
        <v>19181</v>
      </c>
      <c r="D8805" s="8" t="s">
        <v>19182</v>
      </c>
      <c r="E8805" s="9" t="str">
        <f aca="false">HYPERLINK("https://twitter.com/Net_chief/status/923561420909940744","923561420909940744")</f>
        <v>923561420909940744</v>
      </c>
      <c r="F8805" s="9" t="s">
        <v>979</v>
      </c>
      <c r="G8805" s="10" t="n">
        <v>19</v>
      </c>
      <c r="H8805" s="10" t="n">
        <v>29</v>
      </c>
      <c r="I8805" s="10" t="n">
        <v>0</v>
      </c>
      <c r="J8805" s="10" t="n">
        <v>0</v>
      </c>
      <c r="K8805" s="10" t="s">
        <v>20</v>
      </c>
      <c r="L8805" s="11" t="n">
        <v>41468.8027083333</v>
      </c>
      <c r="M8805" s="12"/>
      <c r="N8805" s="12" t="s">
        <v>19183</v>
      </c>
      <c r="O8805" s="9" t="str">
        <f aca="false">HYPERLINK("https://pbs.twimg.com/profile_images/378800000130978370/0b6ff3dbaa693324e6e7247155944f27_normal.jpeg","View")</f>
        <v>View</v>
      </c>
      <c r="P8805" s="10"/>
    </row>
    <row r="8806" customFormat="false" ht="15.75" hidden="false" customHeight="false" outlineLevel="0" collapsed="false">
      <c r="A8806" s="6" t="n">
        <v>43034.355162037</v>
      </c>
      <c r="B8806" s="7" t="str">
        <f aca="false">HYPERLINK("https://twitter.com/Karakororinn","@Karakororinn")</f>
        <v>@Karakororinn</v>
      </c>
      <c r="C8806" s="14" t="s">
        <v>19184</v>
      </c>
      <c r="D8806" s="8" t="s">
        <v>19185</v>
      </c>
      <c r="E8806" s="9" t="str">
        <f aca="false">HYPERLINK("https://twitter.com/Karakororinn/status/923572789553926145","923572789553926145")</f>
        <v>923572789553926145</v>
      </c>
      <c r="F8806" s="10" t="s">
        <v>39</v>
      </c>
      <c r="G8806" s="10" t="n">
        <v>32</v>
      </c>
      <c r="H8806" s="10" t="n">
        <v>131</v>
      </c>
      <c r="I8806" s="10" t="n">
        <v>0</v>
      </c>
      <c r="J8806" s="10" t="n">
        <v>0</v>
      </c>
      <c r="K8806" s="10" t="s">
        <v>20</v>
      </c>
      <c r="L8806" s="11" t="n">
        <v>42954.8079282407</v>
      </c>
      <c r="M8806" s="12"/>
      <c r="N8806" s="13" t="s">
        <v>19186</v>
      </c>
      <c r="O8806" s="9" t="str">
        <f aca="false">HYPERLINK("https://pbs.twimg.com/profile_images/920663721696825344/YIDRbY27_normal.jpg","View")</f>
        <v>View</v>
      </c>
      <c r="P8806" s="10"/>
    </row>
    <row r="8807" customFormat="false" ht="15.75" hidden="false" customHeight="false" outlineLevel="0" collapsed="false">
      <c r="A8807" s="6" t="n">
        <v>43034.3632407407</v>
      </c>
      <c r="B8807" s="7" t="str">
        <f aca="false">HYPERLINK("https://twitter.com/Nofearnofavors4","@Nofearnofavors4")</f>
        <v>@Nofearnofavors4</v>
      </c>
      <c r="C8807" s="8" t="s">
        <v>19187</v>
      </c>
      <c r="D8807" s="8" t="s">
        <v>16929</v>
      </c>
      <c r="E8807" s="9" t="str">
        <f aca="false">HYPERLINK("https://twitter.com/Nofearnofavors4/status/923575714753982464","923575714753982464")</f>
        <v>923575714753982464</v>
      </c>
      <c r="F8807" s="10" t="s">
        <v>98</v>
      </c>
      <c r="G8807" s="10" t="n">
        <v>1240</v>
      </c>
      <c r="H8807" s="10" t="n">
        <v>3816</v>
      </c>
      <c r="I8807" s="10" t="n">
        <v>247</v>
      </c>
      <c r="J8807" s="10" t="n">
        <v>0</v>
      </c>
      <c r="K8807" s="10" t="s">
        <v>20</v>
      </c>
      <c r="L8807" s="11" t="n">
        <v>42705.9379861111</v>
      </c>
      <c r="M8807" s="12"/>
      <c r="N8807" s="12" t="s">
        <v>19188</v>
      </c>
      <c r="O8807" s="9" t="str">
        <f aca="false">HYPERLINK("https://pbs.twimg.com/profile_images/918649176824647680/3LTBXEB4_normal.jpg","View")</f>
        <v>View</v>
      </c>
      <c r="P8807" s="10"/>
    </row>
    <row r="8808" customFormat="false" ht="15.75" hidden="false" customHeight="false" outlineLevel="0" collapsed="false">
      <c r="A8808" s="6" t="n">
        <v>43034.3946643519</v>
      </c>
      <c r="B8808" s="7" t="str">
        <f aca="false">HYPERLINK("https://twitter.com/curuncuncunio","@curuncuncunio")</f>
        <v>@curuncuncunio</v>
      </c>
      <c r="C8808" s="8" t="s">
        <v>19189</v>
      </c>
      <c r="D8808" s="8" t="s">
        <v>19190</v>
      </c>
      <c r="E8808" s="9" t="str">
        <f aca="false">HYPERLINK("https://twitter.com/curuncuncunio/status/923587103631577088","923587103631577088")</f>
        <v>923587103631577088</v>
      </c>
      <c r="F8808" s="10" t="s">
        <v>39</v>
      </c>
      <c r="G8808" s="10" t="n">
        <v>4894</v>
      </c>
      <c r="H8808" s="10" t="n">
        <v>5275</v>
      </c>
      <c r="I8808" s="10" t="n">
        <v>0</v>
      </c>
      <c r="J8808" s="10" t="n">
        <v>0</v>
      </c>
      <c r="K8808" s="10" t="s">
        <v>20</v>
      </c>
      <c r="L8808" s="11" t="n">
        <v>40624.4801851852</v>
      </c>
      <c r="M8808" s="12"/>
      <c r="N8808" s="12" t="s">
        <v>19191</v>
      </c>
      <c r="O8808" s="9" t="str">
        <f aca="false">HYPERLINK("https://pbs.twimg.com/profile_images/857105981188317185/OnWxTFR4_normal.jpg","View")</f>
        <v>View</v>
      </c>
      <c r="P8808" s="10"/>
    </row>
    <row r="8809" customFormat="false" ht="15.75" hidden="false" customHeight="false" outlineLevel="0" collapsed="false">
      <c r="A8809" s="6" t="n">
        <v>43034.4192939815</v>
      </c>
      <c r="B8809" s="7" t="str">
        <f aca="false">HYPERLINK("https://twitter.com/NewsJunkie60","@NewsJunkie60")</f>
        <v>@NewsJunkie60</v>
      </c>
      <c r="C8809" s="8" t="s">
        <v>19192</v>
      </c>
      <c r="D8809" s="8" t="s">
        <v>18617</v>
      </c>
      <c r="E8809" s="9" t="str">
        <f aca="false">HYPERLINK("https://twitter.com/NewsJunkie60/status/923596029236273152","923596029236273152")</f>
        <v>923596029236273152</v>
      </c>
      <c r="F8809" s="10" t="s">
        <v>51</v>
      </c>
      <c r="G8809" s="10" t="n">
        <v>1505</v>
      </c>
      <c r="H8809" s="10" t="n">
        <v>1364</v>
      </c>
      <c r="I8809" s="10" t="n">
        <v>47</v>
      </c>
      <c r="J8809" s="10" t="n">
        <v>0</v>
      </c>
      <c r="K8809" s="10" t="s">
        <v>20</v>
      </c>
      <c r="L8809" s="11" t="n">
        <v>41806.550625</v>
      </c>
      <c r="M8809" s="12" t="s">
        <v>230</v>
      </c>
      <c r="N8809" s="12" t="s">
        <v>19193</v>
      </c>
      <c r="O8809" s="9" t="str">
        <f aca="false">HYPERLINK("https://pbs.twimg.com/profile_images/917830665839828992/jhky8_nR_normal.jpg","View")</f>
        <v>View</v>
      </c>
      <c r="P8809" s="10"/>
    </row>
    <row r="8810" customFormat="false" ht="15.75" hidden="false" customHeight="false" outlineLevel="0" collapsed="false">
      <c r="A8810" s="6" t="n">
        <v>43034.4233680556</v>
      </c>
      <c r="B8810" s="7" t="str">
        <f aca="false">HYPERLINK("https://twitter.com/banggenn","@banggenn")</f>
        <v>@banggenn</v>
      </c>
      <c r="C8810" s="8" t="s">
        <v>19194</v>
      </c>
      <c r="D8810" s="8" t="s">
        <v>19195</v>
      </c>
      <c r="E8810" s="9" t="str">
        <f aca="false">HYPERLINK("https://twitter.com/banggenn/status/923597505417199616","923597505417199616")</f>
        <v>923597505417199616</v>
      </c>
      <c r="F8810" s="10" t="s">
        <v>39</v>
      </c>
      <c r="G8810" s="10" t="n">
        <v>748</v>
      </c>
      <c r="H8810" s="10" t="n">
        <v>400</v>
      </c>
      <c r="I8810" s="10" t="n">
        <v>0</v>
      </c>
      <c r="J8810" s="10" t="n">
        <v>0</v>
      </c>
      <c r="K8810" s="10" t="s">
        <v>20</v>
      </c>
      <c r="L8810" s="11" t="n">
        <v>40549.4674537037</v>
      </c>
      <c r="M8810" s="12" t="s">
        <v>19196</v>
      </c>
      <c r="N8810" s="12"/>
      <c r="O8810" s="9" t="str">
        <f aca="false">HYPERLINK("https://pbs.twimg.com/profile_images/769261718044221440/FLRtkNVJ_normal.jpg","View")</f>
        <v>View</v>
      </c>
      <c r="P8810" s="10"/>
    </row>
    <row r="8811" customFormat="false" ht="15.75" hidden="false" customHeight="false" outlineLevel="0" collapsed="false">
      <c r="A8811" s="6" t="n">
        <v>43034.4462152778</v>
      </c>
      <c r="B8811" s="7" t="str">
        <f aca="false">HYPERLINK("https://twitter.com/WSjp_insight","@WSjp_insight")</f>
        <v>@WSjp_insight</v>
      </c>
      <c r="C8811" s="8" t="s">
        <v>19197</v>
      </c>
      <c r="D8811" s="8" t="s">
        <v>9519</v>
      </c>
      <c r="E8811" s="9" t="str">
        <f aca="false">HYPERLINK("https://twitter.com/WSjp_insight/status/923605783752749056","923605783752749056")</f>
        <v>923605783752749056</v>
      </c>
      <c r="F8811" s="10" t="s">
        <v>39</v>
      </c>
      <c r="G8811" s="10" t="n">
        <v>356</v>
      </c>
      <c r="H8811" s="10" t="n">
        <v>291</v>
      </c>
      <c r="I8811" s="10" t="n">
        <v>11</v>
      </c>
      <c r="J8811" s="10" t="n">
        <v>0</v>
      </c>
      <c r="K8811" s="10" t="s">
        <v>20</v>
      </c>
      <c r="L8811" s="11" t="n">
        <v>42508.2059027778</v>
      </c>
      <c r="M8811" s="12"/>
      <c r="N8811" s="12" t="s">
        <v>19198</v>
      </c>
      <c r="O8811" s="9" t="str">
        <f aca="false">HYPERLINK("https://pbs.twimg.com/profile_images/732911647614853129/5eHJvVJy_normal.jpg","View")</f>
        <v>View</v>
      </c>
      <c r="P8811" s="10"/>
    </row>
    <row r="8812" customFormat="false" ht="15.75" hidden="false" customHeight="false" outlineLevel="0" collapsed="false">
      <c r="A8812" s="6" t="n">
        <v>43034.4801388889</v>
      </c>
      <c r="B8812" s="7" t="str">
        <f aca="false">HYPERLINK("https://twitter.com/ravsd88","@ravsd88")</f>
        <v>@ravsd88</v>
      </c>
      <c r="C8812" s="8" t="s">
        <v>19199</v>
      </c>
      <c r="D8812" s="8" t="s">
        <v>8538</v>
      </c>
      <c r="E8812" s="9" t="str">
        <f aca="false">HYPERLINK("https://twitter.com/ravsd88/status/923618077190758400","923618077190758400")</f>
        <v>923618077190758400</v>
      </c>
      <c r="F8812" s="10" t="s">
        <v>25</v>
      </c>
      <c r="G8812" s="10" t="n">
        <v>845</v>
      </c>
      <c r="H8812" s="10" t="n">
        <v>5001</v>
      </c>
      <c r="I8812" s="10" t="n">
        <v>1015</v>
      </c>
      <c r="J8812" s="10" t="n">
        <v>0</v>
      </c>
      <c r="K8812" s="10" t="s">
        <v>20</v>
      </c>
      <c r="L8812" s="11" t="n">
        <v>40237.1716203704</v>
      </c>
      <c r="M8812" s="12"/>
      <c r="N8812" s="12" t="s">
        <v>19200</v>
      </c>
      <c r="O8812" s="9" t="str">
        <f aca="false">HYPERLINK("https://pbs.twimg.com/profile_images/860601399289065472/xYe7NasH_normal.jpg","View")</f>
        <v>View</v>
      </c>
      <c r="P8812" s="10"/>
    </row>
    <row r="8813" customFormat="false" ht="15.75" hidden="false" customHeight="false" outlineLevel="0" collapsed="false">
      <c r="A8813" s="6" t="n">
        <v>43034.5002893519</v>
      </c>
      <c r="B8813" s="7" t="str">
        <f aca="false">HYPERLINK("https://twitter.com/TIME","@TIME")</f>
        <v>@TIME</v>
      </c>
      <c r="C8813" s="8" t="s">
        <v>1003</v>
      </c>
      <c r="D8813" s="8" t="s">
        <v>19201</v>
      </c>
      <c r="E8813" s="9" t="str">
        <f aca="false">HYPERLINK("https://twitter.com/TIME/status/923625379734196225","923625379734196225")</f>
        <v>923625379734196225</v>
      </c>
      <c r="F8813" s="10" t="s">
        <v>268</v>
      </c>
      <c r="G8813" s="10" t="n">
        <v>14839784</v>
      </c>
      <c r="H8813" s="10" t="n">
        <v>848</v>
      </c>
      <c r="I8813" s="10" t="n">
        <v>42</v>
      </c>
      <c r="J8813" s="10" t="n">
        <v>78</v>
      </c>
      <c r="K8813" s="10" t="s">
        <v>20</v>
      </c>
      <c r="L8813" s="11" t="n">
        <v>39541.2878472222</v>
      </c>
      <c r="M8813" s="12"/>
      <c r="N8813" s="12" t="s">
        <v>1005</v>
      </c>
      <c r="O8813" s="9" t="str">
        <f aca="false">HYPERLINK("https://pbs.twimg.com/profile_images/1700796190/Picture_24_normal.png","View")</f>
        <v>View</v>
      </c>
      <c r="P8813" s="10"/>
    </row>
    <row r="8814" customFormat="false" ht="15.75" hidden="false" customHeight="false" outlineLevel="0" collapsed="false">
      <c r="A8814" s="6" t="n">
        <v>43034.5004976852</v>
      </c>
      <c r="B8814" s="7" t="str">
        <f aca="false">HYPERLINK("https://twitter.com/the__himanish","@the__himanish")</f>
        <v>@the__himanish</v>
      </c>
      <c r="C8814" s="8" t="s">
        <v>382</v>
      </c>
      <c r="D8814" s="8" t="s">
        <v>19202</v>
      </c>
      <c r="E8814" s="9" t="str">
        <f aca="false">HYPERLINK("https://twitter.com/the__himanish/status/923625455793639425","923625455793639425")</f>
        <v>923625455793639425</v>
      </c>
      <c r="F8814" s="10" t="s">
        <v>60</v>
      </c>
      <c r="G8814" s="10" t="n">
        <v>1811</v>
      </c>
      <c r="H8814" s="10" t="n">
        <v>1625</v>
      </c>
      <c r="I8814" s="10" t="n">
        <v>0</v>
      </c>
      <c r="J8814" s="10" t="n">
        <v>0</v>
      </c>
      <c r="K8814" s="10" t="s">
        <v>20</v>
      </c>
      <c r="L8814" s="11" t="n">
        <v>40222.1517824074</v>
      </c>
      <c r="M8814" s="12" t="s">
        <v>87</v>
      </c>
      <c r="N8814" s="12" t="s">
        <v>384</v>
      </c>
      <c r="O8814" s="9" t="str">
        <f aca="false">HYPERLINK("https://pbs.twimg.com/profile_images/914165533918015489/A6iR_gz2_normal.jpg","View")</f>
        <v>View</v>
      </c>
      <c r="P8814" s="10"/>
    </row>
    <row r="8815" customFormat="false" ht="15.75" hidden="false" customHeight="false" outlineLevel="0" collapsed="false">
      <c r="A8815" s="6" t="n">
        <v>43034.5011226852</v>
      </c>
      <c r="B8815" s="7" t="str">
        <f aca="false">HYPERLINK("https://twitter.com/18Chirat","@18Chirat")</f>
        <v>@18Chirat</v>
      </c>
      <c r="C8815" s="8" t="s">
        <v>19203</v>
      </c>
      <c r="D8815" s="8" t="s">
        <v>19204</v>
      </c>
      <c r="E8815" s="9" t="str">
        <f aca="false">HYPERLINK("https://twitter.com/18Chirat/status/923625683074498560","923625683074498560")</f>
        <v>923625683074498560</v>
      </c>
      <c r="F8815" s="10" t="s">
        <v>39</v>
      </c>
      <c r="G8815" s="10" t="n">
        <v>16</v>
      </c>
      <c r="H8815" s="10" t="n">
        <v>304</v>
      </c>
      <c r="I8815" s="10" t="n">
        <v>42</v>
      </c>
      <c r="J8815" s="10" t="n">
        <v>0</v>
      </c>
      <c r="K8815" s="10" t="s">
        <v>20</v>
      </c>
      <c r="L8815" s="11" t="n">
        <v>41741.9861342593</v>
      </c>
      <c r="M8815" s="12"/>
      <c r="N8815" s="12"/>
      <c r="O8815" s="9" t="str">
        <f aca="false">HYPERLINK("https://pbs.twimg.com/profile_images/469424752897949696/Ys67qbvf_normal.jpeg","View")</f>
        <v>View</v>
      </c>
      <c r="P8815" s="10"/>
    </row>
    <row r="8816" customFormat="false" ht="15.75" hidden="false" customHeight="false" outlineLevel="0" collapsed="false">
      <c r="A8816" s="6" t="n">
        <v>43034.5011458333</v>
      </c>
      <c r="B8816" s="7" t="str">
        <f aca="false">HYPERLINK("https://twitter.com/nakanoken","@nakanoken")</f>
        <v>@nakanoken</v>
      </c>
      <c r="C8816" s="14" t="s">
        <v>19205</v>
      </c>
      <c r="D8816" s="8" t="s">
        <v>19206</v>
      </c>
      <c r="E8816" s="9" t="str">
        <f aca="false">HYPERLINK("https://twitter.com/nakanoken/status/923625689823113216","923625689823113216")</f>
        <v>923625689823113216</v>
      </c>
      <c r="F8816" s="10" t="s">
        <v>39</v>
      </c>
      <c r="G8816" s="10" t="n">
        <v>1264</v>
      </c>
      <c r="H8816" s="10" t="n">
        <v>2768</v>
      </c>
      <c r="I8816" s="10" t="n">
        <v>0</v>
      </c>
      <c r="J8816" s="10" t="n">
        <v>0</v>
      </c>
      <c r="K8816" s="10" t="s">
        <v>20</v>
      </c>
      <c r="L8816" s="11" t="n">
        <v>40021.8751041667</v>
      </c>
      <c r="M8816" s="13" t="s">
        <v>19207</v>
      </c>
      <c r="N8816" s="13" t="s">
        <v>19208</v>
      </c>
      <c r="O8816" s="9" t="str">
        <f aca="false">HYPERLINK("https://pbs.twimg.com/profile_images/780943033164455936/IJCUgVW5_normal.jpg","View")</f>
        <v>View</v>
      </c>
      <c r="P8816" s="10"/>
    </row>
    <row r="8817" customFormat="false" ht="15.75" hidden="false" customHeight="false" outlineLevel="0" collapsed="false">
      <c r="A8817" s="6" t="n">
        <v>43034.5012731481</v>
      </c>
      <c r="B8817" s="7" t="str">
        <f aca="false">HYPERLINK("https://twitter.com/Sumboty","@Sumboty")</f>
        <v>@Sumboty</v>
      </c>
      <c r="C8817" s="8" t="s">
        <v>15169</v>
      </c>
      <c r="D8817" s="8" t="s">
        <v>19204</v>
      </c>
      <c r="E8817" s="9" t="str">
        <f aca="false">HYPERLINK("https://twitter.com/Sumboty/status/923625737986375681","923625737986375681")</f>
        <v>923625737986375681</v>
      </c>
      <c r="F8817" s="10" t="s">
        <v>25</v>
      </c>
      <c r="G8817" s="10" t="n">
        <v>492</v>
      </c>
      <c r="H8817" s="10" t="n">
        <v>343</v>
      </c>
      <c r="I8817" s="10" t="n">
        <v>42</v>
      </c>
      <c r="J8817" s="10" t="n">
        <v>0</v>
      </c>
      <c r="K8817" s="10" t="s">
        <v>20</v>
      </c>
      <c r="L8817" s="11" t="n">
        <v>40801.0244791667</v>
      </c>
      <c r="M8817" s="12" t="s">
        <v>15170</v>
      </c>
      <c r="N8817" s="12" t="s">
        <v>15171</v>
      </c>
      <c r="O8817" s="9" t="str">
        <f aca="false">HYPERLINK("https://pbs.twimg.com/profile_images/604530321292468224/V8CK3xoH_normal.jpg","View")</f>
        <v>View</v>
      </c>
      <c r="P8817" s="10"/>
    </row>
    <row r="8818" customFormat="false" ht="15.75" hidden="false" customHeight="false" outlineLevel="0" collapsed="false">
      <c r="A8818" s="6" t="n">
        <v>43034.5013541667</v>
      </c>
      <c r="B8818" s="7" t="str">
        <f aca="false">HYPERLINK("https://twitter.com/0DGMETHHAZE666","@0DGMETHHAZE666")</f>
        <v>@0DGMETHHAZE666</v>
      </c>
      <c r="C8818" s="8" t="s">
        <v>19209</v>
      </c>
      <c r="D8818" s="8" t="s">
        <v>19204</v>
      </c>
      <c r="E8818" s="9" t="str">
        <f aca="false">HYPERLINK("https://twitter.com/0DGMETHHAZE666/status/923625766381932544","923625766381932544")</f>
        <v>923625766381932544</v>
      </c>
      <c r="F8818" s="10" t="s">
        <v>39</v>
      </c>
      <c r="G8818" s="10" t="n">
        <v>138</v>
      </c>
      <c r="H8818" s="10" t="n">
        <v>303</v>
      </c>
      <c r="I8818" s="10" t="n">
        <v>42</v>
      </c>
      <c r="J8818" s="10" t="n">
        <v>0</v>
      </c>
      <c r="K8818" s="10" t="s">
        <v>20</v>
      </c>
      <c r="L8818" s="11" t="n">
        <v>43023.4553819444</v>
      </c>
      <c r="M8818" s="12" t="s">
        <v>19210</v>
      </c>
      <c r="N8818" s="12" t="s">
        <v>19211</v>
      </c>
      <c r="O8818" s="9" t="str">
        <f aca="false">HYPERLINK("https://pbs.twimg.com/profile_images/919627465206763521/skgRrml2_normal.jpg","View")</f>
        <v>View</v>
      </c>
      <c r="P8818" s="10"/>
    </row>
    <row r="8819" customFormat="false" ht="15.75" hidden="false" customHeight="false" outlineLevel="0" collapsed="false">
      <c r="A8819" s="6" t="n">
        <v>43034.5014351852</v>
      </c>
      <c r="B8819" s="7" t="str">
        <f aca="false">HYPERLINK("https://twitter.com/OsSastre","@OsSastre")</f>
        <v>@OsSastre</v>
      </c>
      <c r="C8819" s="8" t="s">
        <v>19212</v>
      </c>
      <c r="D8819" s="8" t="s">
        <v>19204</v>
      </c>
      <c r="E8819" s="9" t="str">
        <f aca="false">HYPERLINK("https://twitter.com/OsSastre/status/923625796899614722","923625796899614722")</f>
        <v>923625796899614722</v>
      </c>
      <c r="F8819" s="10" t="s">
        <v>25</v>
      </c>
      <c r="G8819" s="10" t="n">
        <v>605</v>
      </c>
      <c r="H8819" s="10" t="n">
        <v>2362</v>
      </c>
      <c r="I8819" s="10" t="n">
        <v>42</v>
      </c>
      <c r="J8819" s="10" t="n">
        <v>0</v>
      </c>
      <c r="K8819" s="10" t="s">
        <v>20</v>
      </c>
      <c r="L8819" s="11" t="n">
        <v>42480.5278935185</v>
      </c>
      <c r="M8819" s="12"/>
      <c r="N8819" s="12"/>
      <c r="O8819" s="9" t="str">
        <f aca="false">HYPERLINK("https://pbs.twimg.com/profile_images/722929647130959872/poSCIT65_normal.jpg","View")</f>
        <v>View</v>
      </c>
      <c r="P8819" s="10"/>
    </row>
    <row r="8820" customFormat="false" ht="15.75" hidden="false" customHeight="false" outlineLevel="0" collapsed="false">
      <c r="A8820" s="6" t="n">
        <v>43034.5015162037</v>
      </c>
      <c r="B8820" s="7" t="str">
        <f aca="false">HYPERLINK("https://twitter.com/TroutPoetHeart","@TroutPoetHeart")</f>
        <v>@TroutPoetHeart</v>
      </c>
      <c r="C8820" s="8" t="s">
        <v>19213</v>
      </c>
      <c r="D8820" s="8" t="s">
        <v>19204</v>
      </c>
      <c r="E8820" s="9" t="str">
        <f aca="false">HYPERLINK("https://twitter.com/TroutPoetHeart/status/923625824992903168","923625824992903168")</f>
        <v>923625824992903168</v>
      </c>
      <c r="F8820" s="10" t="s">
        <v>39</v>
      </c>
      <c r="G8820" s="10" t="n">
        <v>76</v>
      </c>
      <c r="H8820" s="10" t="n">
        <v>513</v>
      </c>
      <c r="I8820" s="10" t="n">
        <v>42</v>
      </c>
      <c r="J8820" s="10" t="n">
        <v>0</v>
      </c>
      <c r="K8820" s="10" t="s">
        <v>20</v>
      </c>
      <c r="L8820" s="11" t="n">
        <v>43029.2927430556</v>
      </c>
      <c r="M8820" s="12" t="s">
        <v>19214</v>
      </c>
      <c r="N8820" s="12" t="s">
        <v>19215</v>
      </c>
      <c r="O8820" s="9" t="str">
        <f aca="false">HYPERLINK("https://pbs.twimg.com/profile_images/921741012027842560/n-eglj2W_normal.jpg","View")</f>
        <v>View</v>
      </c>
      <c r="P8820" s="10"/>
    </row>
    <row r="8821" customFormat="false" ht="15.75" hidden="false" customHeight="false" outlineLevel="0" collapsed="false">
      <c r="A8821" s="6" t="n">
        <v>43034.5015162037</v>
      </c>
      <c r="B8821" s="7" t="str">
        <f aca="false">HYPERLINK("https://twitter.com/lolbigda","@lolbigda")</f>
        <v>@lolbigda</v>
      </c>
      <c r="C8821" s="8" t="s">
        <v>19216</v>
      </c>
      <c r="D8821" s="8" t="s">
        <v>19217</v>
      </c>
      <c r="E8821" s="9" t="str">
        <f aca="false">HYPERLINK("https://twitter.com/lolbigda/status/923625826452758528","923625826452758528")</f>
        <v>923625826452758528</v>
      </c>
      <c r="F8821" s="10" t="s">
        <v>60</v>
      </c>
      <c r="G8821" s="10" t="n">
        <v>2</v>
      </c>
      <c r="H8821" s="10" t="n">
        <v>1</v>
      </c>
      <c r="I8821" s="10" t="n">
        <v>0</v>
      </c>
      <c r="J8821" s="10" t="n">
        <v>0</v>
      </c>
      <c r="K8821" s="10" t="s">
        <v>20</v>
      </c>
      <c r="L8821" s="11" t="n">
        <v>43010.5580208333</v>
      </c>
      <c r="M8821" s="12"/>
      <c r="N8821" s="12"/>
      <c r="O8821" s="9" t="str">
        <f aca="false">HYPERLINK("https://pbs.twimg.com/profile_images/923506820706066432/HWWDN_tX_normal.jpg","View")</f>
        <v>View</v>
      </c>
      <c r="P8821" s="10"/>
    </row>
    <row r="8822" customFormat="false" ht="15.75" hidden="false" customHeight="false" outlineLevel="0" collapsed="false">
      <c r="A8822" s="6" t="n">
        <v>43034.5016898148</v>
      </c>
      <c r="B8822" s="7" t="str">
        <f aca="false">HYPERLINK("https://twitter.com/peggyodomyahoo1","@peggyodomyahoo1")</f>
        <v>@peggyodomyahoo1</v>
      </c>
      <c r="C8822" s="8" t="s">
        <v>19218</v>
      </c>
      <c r="D8822" s="8" t="s">
        <v>19204</v>
      </c>
      <c r="E8822" s="9" t="str">
        <f aca="false">HYPERLINK("https://twitter.com/peggyodomyahoo1/status/923625889073713157","923625889073713157")</f>
        <v>923625889073713157</v>
      </c>
      <c r="F8822" s="10" t="s">
        <v>98</v>
      </c>
      <c r="G8822" s="10" t="n">
        <v>71</v>
      </c>
      <c r="H8822" s="10" t="n">
        <v>20</v>
      </c>
      <c r="I8822" s="10" t="n">
        <v>42</v>
      </c>
      <c r="J8822" s="10" t="n">
        <v>0</v>
      </c>
      <c r="K8822" s="10" t="s">
        <v>20</v>
      </c>
      <c r="L8822" s="11" t="n">
        <v>42725.4837847222</v>
      </c>
      <c r="M8822" s="12"/>
      <c r="N8822" s="12" t="s">
        <v>19219</v>
      </c>
      <c r="O8822" s="9" t="str">
        <f aca="false">HYPERLINK("https://abs.twimg.com/sticky/default_profile_images/default_profile_normal.png","View")</f>
        <v>View</v>
      </c>
      <c r="P8822" s="10"/>
    </row>
    <row r="8823" customFormat="false" ht="15.75" hidden="false" customHeight="false" outlineLevel="0" collapsed="false">
      <c r="A8823" s="6" t="n">
        <v>43034.5021296296</v>
      </c>
      <c r="B8823" s="7" t="str">
        <f aca="false">HYPERLINK("https://twitter.com/LakshyaAdvani","@LakshyaAdvani")</f>
        <v>@LakshyaAdvani</v>
      </c>
      <c r="C8823" s="8" t="s">
        <v>19220</v>
      </c>
      <c r="D8823" s="8" t="s">
        <v>19204</v>
      </c>
      <c r="E8823" s="9" t="str">
        <f aca="false">HYPERLINK("https://twitter.com/LakshyaAdvani/status/923626049346224129","923626049346224129")</f>
        <v>923626049346224129</v>
      </c>
      <c r="F8823" s="10" t="s">
        <v>25</v>
      </c>
      <c r="G8823" s="10" t="n">
        <v>777</v>
      </c>
      <c r="H8823" s="10" t="n">
        <v>677</v>
      </c>
      <c r="I8823" s="10" t="n">
        <v>42</v>
      </c>
      <c r="J8823" s="10" t="n">
        <v>0</v>
      </c>
      <c r="K8823" s="10" t="s">
        <v>20</v>
      </c>
      <c r="L8823" s="11" t="n">
        <v>40250.2971180556</v>
      </c>
      <c r="M8823" s="12" t="s">
        <v>253</v>
      </c>
      <c r="N8823" s="12" t="s">
        <v>19221</v>
      </c>
      <c r="O8823" s="9" t="str">
        <f aca="false">HYPERLINK("https://pbs.twimg.com/profile_images/919258078977056769/vNWas87s_normal.jpg","View")</f>
        <v>View</v>
      </c>
      <c r="P8823" s="10"/>
    </row>
    <row r="8824" customFormat="false" ht="15.75" hidden="false" customHeight="false" outlineLevel="0" collapsed="false">
      <c r="A8824" s="6" t="n">
        <v>43034.5025347222</v>
      </c>
      <c r="B8824" s="7" t="str">
        <f aca="false">HYPERLINK("https://twitter.com/patches6591","@patches6591")</f>
        <v>@patches6591</v>
      </c>
      <c r="C8824" s="8" t="s">
        <v>19222</v>
      </c>
      <c r="D8824" s="8" t="s">
        <v>19204</v>
      </c>
      <c r="E8824" s="9" t="str">
        <f aca="false">HYPERLINK("https://twitter.com/patches6591/status/923626193047425024","923626193047425024")</f>
        <v>923626193047425024</v>
      </c>
      <c r="F8824" s="10" t="s">
        <v>51</v>
      </c>
      <c r="G8824" s="10" t="n">
        <v>25</v>
      </c>
      <c r="H8824" s="10" t="n">
        <v>212</v>
      </c>
      <c r="I8824" s="10" t="n">
        <v>42</v>
      </c>
      <c r="J8824" s="10" t="n">
        <v>0</v>
      </c>
      <c r="K8824" s="10" t="s">
        <v>20</v>
      </c>
      <c r="L8824" s="11" t="n">
        <v>42948.1673958333</v>
      </c>
      <c r="M8824" s="12" t="s">
        <v>19223</v>
      </c>
      <c r="N8824" s="12"/>
      <c r="O8824" s="9" t="str">
        <f aca="false">HYPERLINK("https://pbs.twimg.com/profile_images/892342376727019520/9DKwkAmg_normal.jpg","View")</f>
        <v>View</v>
      </c>
      <c r="P8824" s="10"/>
    </row>
    <row r="8825" customFormat="false" ht="15.75" hidden="false" customHeight="false" outlineLevel="0" collapsed="false">
      <c r="A8825" s="6" t="n">
        <v>43034.5025347222</v>
      </c>
      <c r="B8825" s="7" t="str">
        <f aca="false">HYPERLINK("https://twitter.com/SocialLifeMiami","@SocialLifeMiami")</f>
        <v>@SocialLifeMiami</v>
      </c>
      <c r="C8825" s="8" t="s">
        <v>1047</v>
      </c>
      <c r="D8825" s="8" t="s">
        <v>19224</v>
      </c>
      <c r="E8825" s="9" t="str">
        <f aca="false">HYPERLINK("https://twitter.com/SocialLifeMiami/status/923626193437552640","923626193437552640")</f>
        <v>923626193437552640</v>
      </c>
      <c r="F8825" s="10" t="s">
        <v>60</v>
      </c>
      <c r="G8825" s="10" t="n">
        <v>567</v>
      </c>
      <c r="H8825" s="10" t="n">
        <v>792</v>
      </c>
      <c r="I8825" s="10" t="n">
        <v>0</v>
      </c>
      <c r="J8825" s="10" t="n">
        <v>0</v>
      </c>
      <c r="K8825" s="10" t="s">
        <v>20</v>
      </c>
      <c r="L8825" s="11" t="n">
        <v>42603.6747106482</v>
      </c>
      <c r="M8825" s="12" t="s">
        <v>476</v>
      </c>
      <c r="N8825" s="12" t="s">
        <v>753</v>
      </c>
      <c r="O8825" s="9" t="str">
        <f aca="false">HYPERLINK("https://pbs.twimg.com/profile_images/767547452878647296/oD-Hg_jO_normal.jpg","View")</f>
        <v>View</v>
      </c>
      <c r="P8825" s="10"/>
    </row>
    <row r="8826" customFormat="false" ht="15.75" hidden="false" customHeight="false" outlineLevel="0" collapsed="false">
      <c r="A8826" s="6" t="n">
        <v>43034.5028240741</v>
      </c>
      <c r="B8826" s="7" t="str">
        <f aca="false">HYPERLINK("https://twitter.com/jeduardoromero","@jeduardoromero")</f>
        <v>@jeduardoromero</v>
      </c>
      <c r="C8826" s="8" t="s">
        <v>19225</v>
      </c>
      <c r="D8826" s="8" t="s">
        <v>19204</v>
      </c>
      <c r="E8826" s="9" t="str">
        <f aca="false">HYPERLINK("https://twitter.com/jeduardoromero/status/923626297439404032","923626297439404032")</f>
        <v>923626297439404032</v>
      </c>
      <c r="F8826" s="10" t="s">
        <v>51</v>
      </c>
      <c r="G8826" s="10" t="n">
        <v>2195</v>
      </c>
      <c r="H8826" s="10" t="n">
        <v>706</v>
      </c>
      <c r="I8826" s="10" t="n">
        <v>42</v>
      </c>
      <c r="J8826" s="10" t="n">
        <v>0</v>
      </c>
      <c r="K8826" s="10" t="s">
        <v>20</v>
      </c>
      <c r="L8826" s="11" t="n">
        <v>40267.3643171296</v>
      </c>
      <c r="M8826" s="12" t="s">
        <v>19226</v>
      </c>
      <c r="N8826" s="12" t="s">
        <v>19227</v>
      </c>
      <c r="O8826" s="9" t="str">
        <f aca="false">HYPERLINK("https://pbs.twimg.com/profile_images/811088766643228672/FO0tCkBs_normal.jpg","View")</f>
        <v>View</v>
      </c>
      <c r="P8826" s="10"/>
    </row>
    <row r="8827" customFormat="false" ht="15.75" hidden="false" customHeight="false" outlineLevel="0" collapsed="false">
      <c r="A8827" s="6" t="n">
        <v>43034.5028819444</v>
      </c>
      <c r="B8827" s="7" t="str">
        <f aca="false">HYPERLINK("https://twitter.com/jennaughty","@jennaughty")</f>
        <v>@jennaughty</v>
      </c>
      <c r="C8827" s="8" t="s">
        <v>19228</v>
      </c>
      <c r="D8827" s="8" t="s">
        <v>19204</v>
      </c>
      <c r="E8827" s="9" t="str">
        <f aca="false">HYPERLINK("https://twitter.com/jennaughty/status/923626320361267200","923626320361267200")</f>
        <v>923626320361267200</v>
      </c>
      <c r="F8827" s="10" t="s">
        <v>98</v>
      </c>
      <c r="G8827" s="10" t="n">
        <v>62</v>
      </c>
      <c r="H8827" s="10" t="n">
        <v>190</v>
      </c>
      <c r="I8827" s="10" t="n">
        <v>42</v>
      </c>
      <c r="J8827" s="10" t="n">
        <v>0</v>
      </c>
      <c r="K8827" s="10" t="s">
        <v>20</v>
      </c>
      <c r="L8827" s="11" t="n">
        <v>40359.8892592593</v>
      </c>
      <c r="M8827" s="12" t="s">
        <v>7740</v>
      </c>
      <c r="N8827" s="12" t="s">
        <v>19229</v>
      </c>
      <c r="O8827" s="9" t="str">
        <f aca="false">HYPERLINK("https://pbs.twimg.com/profile_images/889582256125116416/Ofbz5D0m_normal.jpg","View")</f>
        <v>View</v>
      </c>
      <c r="P8827" s="10"/>
    </row>
    <row r="8828" customFormat="false" ht="15.75" hidden="false" customHeight="false" outlineLevel="0" collapsed="false">
      <c r="A8828" s="6" t="n">
        <v>43034.5031134259</v>
      </c>
      <c r="B8828" s="7" t="str">
        <f aca="false">HYPERLINK("https://twitter.com/BanankoJanko","@BanankoJanko")</f>
        <v>@BanankoJanko</v>
      </c>
      <c r="C8828" s="8" t="s">
        <v>1034</v>
      </c>
      <c r="D8828" s="8" t="s">
        <v>19230</v>
      </c>
      <c r="E8828" s="9" t="str">
        <f aca="false">HYPERLINK("https://twitter.com/BanankoJanko/status/923626403702169600","923626403702169600")</f>
        <v>923626403702169600</v>
      </c>
      <c r="F8828" s="10" t="s">
        <v>60</v>
      </c>
      <c r="G8828" s="10" t="n">
        <v>87</v>
      </c>
      <c r="H8828" s="10" t="n">
        <v>53</v>
      </c>
      <c r="I8828" s="10" t="n">
        <v>0</v>
      </c>
      <c r="J8828" s="10" t="n">
        <v>0</v>
      </c>
      <c r="K8828" s="10" t="s">
        <v>20</v>
      </c>
      <c r="L8828" s="11" t="n">
        <v>42837.1011458333</v>
      </c>
      <c r="M8828" s="12"/>
      <c r="N8828" s="15" t="s">
        <v>1036</v>
      </c>
      <c r="O8828" s="9" t="str">
        <f aca="false">HYPERLINK("https://pbs.twimg.com/profile_images/852669910123675651/CVUt6bXC_normal.jpg","View")</f>
        <v>View</v>
      </c>
      <c r="P8828" s="10"/>
    </row>
    <row r="8829" customFormat="false" ht="15.75" hidden="false" customHeight="false" outlineLevel="0" collapsed="false">
      <c r="A8829" s="6" t="n">
        <v>43034.5034953704</v>
      </c>
      <c r="B8829" s="7" t="str">
        <f aca="false">HYPERLINK("https://twitter.com/PrivateTeacher","@PrivateTeacher")</f>
        <v>@PrivateTeacher</v>
      </c>
      <c r="C8829" s="8" t="s">
        <v>1006</v>
      </c>
      <c r="D8829" s="8" t="s">
        <v>19231</v>
      </c>
      <c r="E8829" s="9" t="str">
        <f aca="false">HYPERLINK("https://twitter.com/PrivateTeacher/status/923626544135835648","923626544135835648")</f>
        <v>923626544135835648</v>
      </c>
      <c r="F8829" s="10" t="s">
        <v>60</v>
      </c>
      <c r="G8829" s="10" t="n">
        <v>79306</v>
      </c>
      <c r="H8829" s="10" t="n">
        <v>72454</v>
      </c>
      <c r="I8829" s="10" t="n">
        <v>0</v>
      </c>
      <c r="J8829" s="10" t="n">
        <v>0</v>
      </c>
      <c r="K8829" s="10" t="s">
        <v>20</v>
      </c>
      <c r="L8829" s="11" t="n">
        <v>40013.4946296296</v>
      </c>
      <c r="M8829" s="12" t="s">
        <v>1008</v>
      </c>
      <c r="N8829" s="12" t="s">
        <v>1009</v>
      </c>
      <c r="O8829" s="9" t="str">
        <f aca="false">HYPERLINK("https://pbs.twimg.com/profile_images/795794703337816065/ji5gptzj_normal.jpg","View")</f>
        <v>View</v>
      </c>
      <c r="P8829" s="10"/>
    </row>
    <row r="8830" customFormat="false" ht="15.75" hidden="false" customHeight="false" outlineLevel="0" collapsed="false">
      <c r="A8830" s="6" t="n">
        <v>43034.5036226852</v>
      </c>
      <c r="B8830" s="7" t="str">
        <f aca="false">HYPERLINK("https://twitter.com/CFTNI","@CFTNI")</f>
        <v>@CFTNI</v>
      </c>
      <c r="C8830" s="8" t="s">
        <v>19232</v>
      </c>
      <c r="D8830" s="8" t="s">
        <v>19233</v>
      </c>
      <c r="E8830" s="9" t="str">
        <f aca="false">HYPERLINK("https://twitter.com/CFTNI/status/923626589077766144","923626589077766144")</f>
        <v>923626589077766144</v>
      </c>
      <c r="F8830" s="10" t="s">
        <v>1167</v>
      </c>
      <c r="G8830" s="10" t="n">
        <v>1528</v>
      </c>
      <c r="H8830" s="10" t="n">
        <v>1310</v>
      </c>
      <c r="I8830" s="10" t="n">
        <v>1</v>
      </c>
      <c r="J8830" s="10" t="n">
        <v>1</v>
      </c>
      <c r="K8830" s="10" t="s">
        <v>20</v>
      </c>
      <c r="L8830" s="11" t="n">
        <v>41541.3332407407</v>
      </c>
      <c r="M8830" s="12" t="s">
        <v>723</v>
      </c>
      <c r="N8830" s="12" t="s">
        <v>19234</v>
      </c>
      <c r="O8830" s="9" t="str">
        <f aca="false">HYPERLINK("https://pbs.twimg.com/profile_images/864515885377101824/XJdL-DQ__normal.jpg","View")</f>
        <v>View</v>
      </c>
      <c r="P8830" s="10"/>
    </row>
    <row r="8831" customFormat="false" ht="15.75" hidden="false" customHeight="false" outlineLevel="0" collapsed="false">
      <c r="A8831" s="6" t="n">
        <v>43034.5039351852</v>
      </c>
      <c r="B8831" s="7" t="str">
        <f aca="false">HYPERLINK("https://twitter.com/karimova1228","@karimova1228")</f>
        <v>@karimova1228</v>
      </c>
      <c r="C8831" s="8" t="s">
        <v>19235</v>
      </c>
      <c r="D8831" s="8" t="s">
        <v>19236</v>
      </c>
      <c r="E8831" s="9" t="str">
        <f aca="false">HYPERLINK("https://twitter.com/karimova1228/status/923626702533726208","923626702533726208")</f>
        <v>923626702533726208</v>
      </c>
      <c r="F8831" s="10" t="s">
        <v>60</v>
      </c>
      <c r="G8831" s="10" t="n">
        <v>1</v>
      </c>
      <c r="H8831" s="10" t="n">
        <v>0</v>
      </c>
      <c r="I8831" s="10" t="n">
        <v>0</v>
      </c>
      <c r="J8831" s="10" t="n">
        <v>0</v>
      </c>
      <c r="K8831" s="10" t="s">
        <v>20</v>
      </c>
      <c r="L8831" s="11" t="n">
        <v>43005.4363194444</v>
      </c>
      <c r="M8831" s="12"/>
      <c r="N8831" s="12"/>
      <c r="O8831" s="9" t="str">
        <f aca="false">HYPERLINK("https://pbs.twimg.com/profile_images/922768251427241985/2mn3wgXz_normal.jpg","View")</f>
        <v>View</v>
      </c>
      <c r="P8831" s="10"/>
    </row>
    <row r="8832" customFormat="false" ht="15.75" hidden="false" customHeight="false" outlineLevel="0" collapsed="false">
      <c r="A8832" s="6" t="n">
        <v>43034.5039930555</v>
      </c>
      <c r="B8832" s="7" t="str">
        <f aca="false">HYPERLINK("https://twitter.com/zhenekbobrov252","@zhenekbobrov252")</f>
        <v>@zhenekbobrov252</v>
      </c>
      <c r="C8832" s="8" t="s">
        <v>19237</v>
      </c>
      <c r="D8832" s="8" t="s">
        <v>19238</v>
      </c>
      <c r="E8832" s="9" t="str">
        <f aca="false">HYPERLINK("https://twitter.com/zhenekbobrov252/status/923626722972655616","923626722972655616")</f>
        <v>923626722972655616</v>
      </c>
      <c r="F8832" s="10" t="s">
        <v>60</v>
      </c>
      <c r="G8832" s="10" t="n">
        <v>1</v>
      </c>
      <c r="H8832" s="10" t="n">
        <v>0</v>
      </c>
      <c r="I8832" s="10" t="n">
        <v>0</v>
      </c>
      <c r="J8832" s="10" t="n">
        <v>0</v>
      </c>
      <c r="K8832" s="10" t="s">
        <v>20</v>
      </c>
      <c r="L8832" s="11" t="n">
        <v>43010.3092708333</v>
      </c>
      <c r="M8832" s="12"/>
      <c r="N8832" s="12"/>
      <c r="O8832" s="9" t="str">
        <f aca="false">HYPERLINK("https://pbs.twimg.com/profile_images/923578423485673472/pHpO-ouZ_normal.jpg","View")</f>
        <v>View</v>
      </c>
      <c r="P8832" s="10"/>
    </row>
    <row r="8833" customFormat="false" ht="15.75" hidden="false" customHeight="false" outlineLevel="0" collapsed="false">
      <c r="A8833" s="6" t="n">
        <v>43034.5044791667</v>
      </c>
      <c r="B8833" s="7" t="str">
        <f aca="false">HYPERLINK("https://twitter.com/elenabo98716831","@elenabo98716831")</f>
        <v>@elenabo98716831</v>
      </c>
      <c r="C8833" s="8" t="s">
        <v>19239</v>
      </c>
      <c r="D8833" s="8" t="s">
        <v>19240</v>
      </c>
      <c r="E8833" s="9" t="str">
        <f aca="false">HYPERLINK("https://twitter.com/elenabo98716831/status/923626900861472768","923626900861472768")</f>
        <v>923626900861472768</v>
      </c>
      <c r="F8833" s="10" t="s">
        <v>60</v>
      </c>
      <c r="G8833" s="10" t="n">
        <v>0</v>
      </c>
      <c r="H8833" s="10" t="n">
        <v>0</v>
      </c>
      <c r="I8833" s="10" t="n">
        <v>0</v>
      </c>
      <c r="J8833" s="10" t="n">
        <v>0</v>
      </c>
      <c r="K8833" s="10" t="s">
        <v>20</v>
      </c>
      <c r="L8833" s="11" t="n">
        <v>43005.5290393519</v>
      </c>
      <c r="M8833" s="12"/>
      <c r="N8833" s="12"/>
      <c r="O8833" s="9" t="str">
        <f aca="false">HYPERLINK("https://pbs.twimg.com/profile_images/922769009090600960/HsHB0UqD_normal.jpg","View")</f>
        <v>View</v>
      </c>
      <c r="P8833" s="10"/>
    </row>
    <row r="8834" customFormat="false" ht="15.75" hidden="false" customHeight="false" outlineLevel="0" collapsed="false">
      <c r="A8834" s="6" t="n">
        <v>43034.5044907407</v>
      </c>
      <c r="B8834" s="7" t="str">
        <f aca="false">HYPERLINK("https://twitter.com/shmags_zeus","@shmags_zeus")</f>
        <v>@shmags_zeus</v>
      </c>
      <c r="C8834" s="8" t="s">
        <v>19241</v>
      </c>
      <c r="D8834" s="8" t="s">
        <v>19204</v>
      </c>
      <c r="E8834" s="9" t="str">
        <f aca="false">HYPERLINK("https://twitter.com/shmags_zeus/status/923626904766296069","923626904766296069")</f>
        <v>923626904766296069</v>
      </c>
      <c r="F8834" s="10" t="s">
        <v>25</v>
      </c>
      <c r="G8834" s="10" t="n">
        <v>2386</v>
      </c>
      <c r="H8834" s="10" t="n">
        <v>2207</v>
      </c>
      <c r="I8834" s="10" t="n">
        <v>42</v>
      </c>
      <c r="J8834" s="10" t="n">
        <v>0</v>
      </c>
      <c r="K8834" s="10" t="s">
        <v>20</v>
      </c>
      <c r="L8834" s="11" t="n">
        <v>40801.6536805556</v>
      </c>
      <c r="M8834" s="12" t="s">
        <v>19242</v>
      </c>
      <c r="N8834" s="12" t="s">
        <v>19243</v>
      </c>
      <c r="O8834" s="9" t="str">
        <f aca="false">HYPERLINK("https://pbs.twimg.com/profile_images/917038434799190016/fkRqy0xk_normal.jpg","View")</f>
        <v>View</v>
      </c>
      <c r="P8834" s="10"/>
    </row>
    <row r="8835" customFormat="false" ht="15.75" hidden="false" customHeight="false" outlineLevel="0" collapsed="false">
      <c r="A8835" s="6" t="n">
        <v>43034.5045138889</v>
      </c>
      <c r="B8835" s="7" t="str">
        <f aca="false">HYPERLINK("https://twitter.com/artemtarasov574","@artemtarasov574")</f>
        <v>@artemtarasov574</v>
      </c>
      <c r="C8835" s="8" t="s">
        <v>19244</v>
      </c>
      <c r="D8835" s="8" t="s">
        <v>19245</v>
      </c>
      <c r="E8835" s="9" t="str">
        <f aca="false">HYPERLINK("https://twitter.com/artemtarasov574/status/923626911305273344","923626911305273344")</f>
        <v>923626911305273344</v>
      </c>
      <c r="F8835" s="10" t="s">
        <v>60</v>
      </c>
      <c r="G8835" s="10" t="n">
        <v>0</v>
      </c>
      <c r="H8835" s="10" t="n">
        <v>0</v>
      </c>
      <c r="I8835" s="10" t="n">
        <v>0</v>
      </c>
      <c r="J8835" s="10" t="n">
        <v>0</v>
      </c>
      <c r="K8835" s="10" t="s">
        <v>20</v>
      </c>
      <c r="L8835" s="11" t="n">
        <v>43005.7670023148</v>
      </c>
      <c r="M8835" s="12"/>
      <c r="N8835" s="12"/>
      <c r="O8835" s="9" t="str">
        <f aca="false">HYPERLINK("https://pbs.twimg.com/profile_images/922766162617712640/UjjEieJB_normal.jpg","View")</f>
        <v>View</v>
      </c>
      <c r="P8835" s="10"/>
    </row>
    <row r="8836" customFormat="false" ht="15.75" hidden="false" customHeight="false" outlineLevel="0" collapsed="false">
      <c r="A8836" s="6" t="n">
        <v>43034.5045949074</v>
      </c>
      <c r="B8836" s="7" t="str">
        <f aca="false">HYPERLINK("https://twitter.com/RodrigoCA11","@RodrigoCA11")</f>
        <v>@RodrigoCA11</v>
      </c>
      <c r="C8836" s="8" t="s">
        <v>19246</v>
      </c>
      <c r="D8836" s="8" t="s">
        <v>19204</v>
      </c>
      <c r="E8836" s="9" t="str">
        <f aca="false">HYPERLINK("https://twitter.com/RodrigoCA11/status/923626942108012545","923626942108012545")</f>
        <v>923626942108012545</v>
      </c>
      <c r="F8836" s="10" t="s">
        <v>51</v>
      </c>
      <c r="G8836" s="10" t="n">
        <v>205</v>
      </c>
      <c r="H8836" s="10" t="n">
        <v>201</v>
      </c>
      <c r="I8836" s="10" t="n">
        <v>42</v>
      </c>
      <c r="J8836" s="10" t="n">
        <v>0</v>
      </c>
      <c r="K8836" s="10" t="s">
        <v>20</v>
      </c>
      <c r="L8836" s="11" t="n">
        <v>40079.9089699074</v>
      </c>
      <c r="M8836" s="12" t="s">
        <v>19247</v>
      </c>
      <c r="N8836" s="12" t="s">
        <v>19248</v>
      </c>
      <c r="O8836" s="9" t="str">
        <f aca="false">HYPERLINK("https://pbs.twimg.com/profile_images/745687880060678144/tPhbJaI2_normal.jpg","View")</f>
        <v>View</v>
      </c>
      <c r="P8836" s="10"/>
    </row>
    <row r="8837" customFormat="false" ht="15.75" hidden="false" customHeight="false" outlineLevel="0" collapsed="false">
      <c r="A8837" s="6" t="n">
        <v>43034.5048148148</v>
      </c>
      <c r="B8837" s="7" t="str">
        <f aca="false">HYPERLINK("https://twitter.com/salimjavedAB","@salimjavedAB")</f>
        <v>@salimjavedAB</v>
      </c>
      <c r="C8837" s="8" t="s">
        <v>13917</v>
      </c>
      <c r="D8837" s="8" t="s">
        <v>19204</v>
      </c>
      <c r="E8837" s="9" t="str">
        <f aca="false">HYPERLINK("https://twitter.com/salimjavedAB/status/923627021095374855","923627021095374855")</f>
        <v>923627021095374855</v>
      </c>
      <c r="F8837" s="10" t="s">
        <v>51</v>
      </c>
      <c r="G8837" s="10" t="n">
        <v>1784</v>
      </c>
      <c r="H8837" s="10" t="n">
        <v>514</v>
      </c>
      <c r="I8837" s="10" t="n">
        <v>42</v>
      </c>
      <c r="J8837" s="10" t="n">
        <v>0</v>
      </c>
      <c r="K8837" s="10" t="s">
        <v>20</v>
      </c>
      <c r="L8837" s="11" t="n">
        <v>42140.4253472222</v>
      </c>
      <c r="M8837" s="12" t="s">
        <v>253</v>
      </c>
      <c r="N8837" s="12" t="s">
        <v>13918</v>
      </c>
      <c r="O8837" s="9" t="str">
        <f aca="false">HYPERLINK("https://pbs.twimg.com/profile_images/730401024884641796/8wIJHYZC_normal.jpg","View")</f>
        <v>View</v>
      </c>
      <c r="P8837" s="10"/>
    </row>
    <row r="8838" customFormat="false" ht="15.75" hidden="false" customHeight="false" outlineLevel="0" collapsed="false">
      <c r="A8838" s="6" t="n">
        <v>43034.5052314815</v>
      </c>
      <c r="B8838" s="7" t="str">
        <f aca="false">HYPERLINK("https://twitter.com/NTKRNow","@NTKRNow")</f>
        <v>@NTKRNow</v>
      </c>
      <c r="C8838" s="8" t="s">
        <v>829</v>
      </c>
      <c r="D8838" s="8" t="s">
        <v>19249</v>
      </c>
      <c r="E8838" s="9" t="str">
        <f aca="false">HYPERLINK("https://twitter.com/NTKRNow/status/923627172639764481","923627172639764481")</f>
        <v>923627172639764481</v>
      </c>
      <c r="F8838" s="10" t="s">
        <v>60</v>
      </c>
      <c r="G8838" s="10" t="n">
        <v>610</v>
      </c>
      <c r="H8838" s="10" t="n">
        <v>4</v>
      </c>
      <c r="I8838" s="10" t="n">
        <v>0</v>
      </c>
      <c r="J8838" s="10" t="n">
        <v>0</v>
      </c>
      <c r="K8838" s="10" t="s">
        <v>20</v>
      </c>
      <c r="L8838" s="11" t="n">
        <v>42402.810625</v>
      </c>
      <c r="M8838" s="12"/>
      <c r="N8838" s="12"/>
      <c r="O8838" s="9" t="str">
        <f aca="false">HYPERLINK("https://abs.twimg.com/sticky/default_profile_images/default_profile_normal.png","View")</f>
        <v>View</v>
      </c>
      <c r="P8838" s="10"/>
    </row>
    <row r="8839" customFormat="false" ht="15.75" hidden="false" customHeight="false" outlineLevel="0" collapsed="false">
      <c r="A8839" s="6" t="n">
        <v>43034.5053356482</v>
      </c>
      <c r="B8839" s="7" t="str">
        <f aca="false">HYPERLINK("https://twitter.com/Ob6868","@Ob6868")</f>
        <v>@Ob6868</v>
      </c>
      <c r="C8839" s="8" t="s">
        <v>19250</v>
      </c>
      <c r="D8839" s="8" t="s">
        <v>19204</v>
      </c>
      <c r="E8839" s="9" t="str">
        <f aca="false">HYPERLINK("https://twitter.com/Ob6868/status/923627207188205570","923627207188205570")</f>
        <v>923627207188205570</v>
      </c>
      <c r="F8839" s="10" t="s">
        <v>51</v>
      </c>
      <c r="G8839" s="10" t="n">
        <v>235</v>
      </c>
      <c r="H8839" s="10" t="n">
        <v>214</v>
      </c>
      <c r="I8839" s="10" t="n">
        <v>42</v>
      </c>
      <c r="J8839" s="10" t="n">
        <v>0</v>
      </c>
      <c r="K8839" s="10" t="s">
        <v>20</v>
      </c>
      <c r="L8839" s="11" t="n">
        <v>40070.7616898148</v>
      </c>
      <c r="M8839" s="12" t="s">
        <v>17709</v>
      </c>
      <c r="N8839" s="12" t="s">
        <v>19251</v>
      </c>
      <c r="O8839" s="9" t="str">
        <f aca="false">HYPERLINK("https://pbs.twimg.com/profile_images/883917005392412672/BO5W2_WR_normal.jpg","View")</f>
        <v>View</v>
      </c>
      <c r="P8839" s="10"/>
    </row>
    <row r="8840" customFormat="false" ht="15.75" hidden="false" customHeight="false" outlineLevel="0" collapsed="false">
      <c r="A8840" s="6" t="n">
        <v>43034.5061226852</v>
      </c>
      <c r="B8840" s="7" t="str">
        <f aca="false">HYPERLINK("https://twitter.com/eve_goes_local","@eve_goes_local")</f>
        <v>@eve_goes_local</v>
      </c>
      <c r="C8840" s="8" t="s">
        <v>19252</v>
      </c>
      <c r="D8840" s="8" t="s">
        <v>19204</v>
      </c>
      <c r="E8840" s="9" t="str">
        <f aca="false">HYPERLINK("https://twitter.com/eve_goes_local/status/923627493755670529","923627493755670529")</f>
        <v>923627493755670529</v>
      </c>
      <c r="F8840" s="10" t="s">
        <v>51</v>
      </c>
      <c r="G8840" s="10" t="n">
        <v>2454</v>
      </c>
      <c r="H8840" s="10" t="n">
        <v>3926</v>
      </c>
      <c r="I8840" s="10" t="n">
        <v>42</v>
      </c>
      <c r="J8840" s="10" t="n">
        <v>0</v>
      </c>
      <c r="K8840" s="10" t="s">
        <v>20</v>
      </c>
      <c r="L8840" s="11" t="n">
        <v>42576.8244328704</v>
      </c>
      <c r="M8840" s="12" t="s">
        <v>14055</v>
      </c>
      <c r="N8840" s="12" t="s">
        <v>19253</v>
      </c>
      <c r="O8840" s="9" t="str">
        <f aca="false">HYPERLINK("https://pbs.twimg.com/profile_images/757773037823520768/NYsnsk33_normal.jpg","View")</f>
        <v>View</v>
      </c>
      <c r="P8840" s="10"/>
    </row>
    <row r="8841" customFormat="false" ht="15.75" hidden="false" customHeight="false" outlineLevel="0" collapsed="false">
      <c r="A8841" s="6" t="n">
        <v>43034.5061921296</v>
      </c>
      <c r="B8841" s="7" t="str">
        <f aca="false">HYPERLINK("https://twitter.com/richardupuy","@richardupuy")</f>
        <v>@richardupuy</v>
      </c>
      <c r="C8841" s="8" t="s">
        <v>19254</v>
      </c>
      <c r="D8841" s="8" t="s">
        <v>19204</v>
      </c>
      <c r="E8841" s="9" t="str">
        <f aca="false">HYPERLINK("https://twitter.com/richardupuy/status/923627519500345344","923627519500345344")</f>
        <v>923627519500345344</v>
      </c>
      <c r="F8841" s="10" t="s">
        <v>39</v>
      </c>
      <c r="G8841" s="10" t="n">
        <v>638</v>
      </c>
      <c r="H8841" s="10" t="n">
        <v>230</v>
      </c>
      <c r="I8841" s="10" t="n">
        <v>42</v>
      </c>
      <c r="J8841" s="10" t="n">
        <v>0</v>
      </c>
      <c r="K8841" s="10" t="s">
        <v>20</v>
      </c>
      <c r="L8841" s="11" t="n">
        <v>39928.7025115741</v>
      </c>
      <c r="M8841" s="12"/>
      <c r="N8841" s="12"/>
      <c r="O8841" s="9" t="str">
        <f aca="false">HYPERLINK("https://pbs.twimg.com/profile_images/724395864412790784/3-wJyZMl_normal.jpg","View")</f>
        <v>View</v>
      </c>
      <c r="P8841" s="10"/>
    </row>
    <row r="8842" customFormat="false" ht="15.75" hidden="false" customHeight="false" outlineLevel="0" collapsed="false">
      <c r="A8842" s="6" t="n">
        <v>43034.5071180556</v>
      </c>
      <c r="B8842" s="7" t="str">
        <f aca="false">HYPERLINK("https://twitter.com/_yasuzo_jp","@_yasuzo_jp")</f>
        <v>@_yasuzo_jp</v>
      </c>
      <c r="C8842" s="14" t="s">
        <v>19255</v>
      </c>
      <c r="D8842" s="8" t="s">
        <v>19256</v>
      </c>
      <c r="E8842" s="9" t="str">
        <f aca="false">HYPERLINK("https://twitter.com/_yasuzo_jp/status/923627853425475584","923627853425475584")</f>
        <v>923627853425475584</v>
      </c>
      <c r="F8842" s="10" t="s">
        <v>39</v>
      </c>
      <c r="G8842" s="10" t="n">
        <v>479</v>
      </c>
      <c r="H8842" s="10" t="n">
        <v>475</v>
      </c>
      <c r="I8842" s="10" t="n">
        <v>0</v>
      </c>
      <c r="J8842" s="10" t="n">
        <v>0</v>
      </c>
      <c r="K8842" s="10" t="s">
        <v>20</v>
      </c>
      <c r="L8842" s="11" t="n">
        <v>40957.1970601852</v>
      </c>
      <c r="M8842" s="13" t="s">
        <v>19257</v>
      </c>
      <c r="N8842" s="12" t="s">
        <v>19258</v>
      </c>
      <c r="O8842" s="9" t="str">
        <f aca="false">HYPERLINK("https://pbs.twimg.com/profile_images/812387268564434944/1B30_BE7_normal.jpg","View")</f>
        <v>View</v>
      </c>
      <c r="P8842" s="10"/>
    </row>
    <row r="8843" customFormat="false" ht="15.75" hidden="false" customHeight="false" outlineLevel="0" collapsed="false">
      <c r="A8843" s="6" t="n">
        <v>43034.5072685185</v>
      </c>
      <c r="B8843" s="7" t="str">
        <f aca="false">HYPERLINK("https://twitter.com/ostasegara","@ostasegara")</f>
        <v>@ostasegara</v>
      </c>
      <c r="C8843" s="8" t="s">
        <v>19259</v>
      </c>
      <c r="D8843" s="8" t="s">
        <v>19204</v>
      </c>
      <c r="E8843" s="9" t="str">
        <f aca="false">HYPERLINK("https://twitter.com/ostasegara/status/923627909574619136","923627909574619136")</f>
        <v>923627909574619136</v>
      </c>
      <c r="F8843" s="10" t="s">
        <v>51</v>
      </c>
      <c r="G8843" s="10" t="n">
        <v>491</v>
      </c>
      <c r="H8843" s="10" t="n">
        <v>681</v>
      </c>
      <c r="I8843" s="10" t="n">
        <v>42</v>
      </c>
      <c r="J8843" s="10" t="n">
        <v>0</v>
      </c>
      <c r="K8843" s="10" t="s">
        <v>20</v>
      </c>
      <c r="L8843" s="11" t="n">
        <v>40179.8504976852</v>
      </c>
      <c r="M8843" s="12" t="s">
        <v>19260</v>
      </c>
      <c r="N8843" s="12" t="s">
        <v>19261</v>
      </c>
      <c r="O8843" s="9" t="str">
        <f aca="false">HYPERLINK("https://pbs.twimg.com/profile_images/921960852965679104/pMM9W3iq_normal.jpg","View")</f>
        <v>View</v>
      </c>
      <c r="P8843" s="10"/>
    </row>
    <row r="8844" customFormat="false" ht="15.75" hidden="false" customHeight="false" outlineLevel="0" collapsed="false">
      <c r="A8844" s="6" t="n">
        <v>43034.5074074074</v>
      </c>
      <c r="B8844" s="7" t="str">
        <f aca="false">HYPERLINK("https://twitter.com/SocialLifeLA","@SocialLifeLA")</f>
        <v>@SocialLifeLA</v>
      </c>
      <c r="C8844" s="8" t="s">
        <v>750</v>
      </c>
      <c r="D8844" s="8" t="s">
        <v>19262</v>
      </c>
      <c r="E8844" s="9" t="str">
        <f aca="false">HYPERLINK("https://twitter.com/SocialLifeLA/status/923627961567326210","923627961567326210")</f>
        <v>923627961567326210</v>
      </c>
      <c r="F8844" s="10" t="s">
        <v>60</v>
      </c>
      <c r="G8844" s="10" t="n">
        <v>200</v>
      </c>
      <c r="H8844" s="10" t="n">
        <v>60</v>
      </c>
      <c r="I8844" s="10" t="n">
        <v>0</v>
      </c>
      <c r="J8844" s="10" t="n">
        <v>0</v>
      </c>
      <c r="K8844" s="10" t="s">
        <v>20</v>
      </c>
      <c r="L8844" s="11" t="n">
        <v>42604.7538078704</v>
      </c>
      <c r="M8844" s="12" t="s">
        <v>752</v>
      </c>
      <c r="N8844" s="12" t="s">
        <v>753</v>
      </c>
      <c r="O8844" s="9" t="str">
        <f aca="false">HYPERLINK("https://pbs.twimg.com/profile_images/767891928948023296/dUdnMBLO_normal.jpg","View")</f>
        <v>View</v>
      </c>
      <c r="P8844" s="10"/>
    </row>
    <row r="8845" customFormat="false" ht="15.75" hidden="false" customHeight="false" outlineLevel="0" collapsed="false">
      <c r="A8845" s="6" t="n">
        <v>43034.5080787037</v>
      </c>
      <c r="B8845" s="7" t="str">
        <f aca="false">HYPERLINK("https://twitter.com/jochanjohnny","@jochanjohnny")</f>
        <v>@jochanjohnny</v>
      </c>
      <c r="C8845" s="8" t="s">
        <v>19263</v>
      </c>
      <c r="D8845" s="8" t="s">
        <v>19204</v>
      </c>
      <c r="E8845" s="9" t="str">
        <f aca="false">HYPERLINK("https://twitter.com/jochanjohnny/status/923628205243641856","923628205243641856")</f>
        <v>923628205243641856</v>
      </c>
      <c r="F8845" s="10" t="s">
        <v>51</v>
      </c>
      <c r="G8845" s="10" t="n">
        <v>72</v>
      </c>
      <c r="H8845" s="10" t="n">
        <v>100</v>
      </c>
      <c r="I8845" s="10" t="n">
        <v>42</v>
      </c>
      <c r="J8845" s="10" t="n">
        <v>0</v>
      </c>
      <c r="K8845" s="10" t="s">
        <v>20</v>
      </c>
      <c r="L8845" s="11" t="n">
        <v>41979.4008564815</v>
      </c>
      <c r="M8845" s="12"/>
      <c r="N8845" s="12"/>
      <c r="O8845" s="9" t="str">
        <f aca="false">HYPERLINK("https://pbs.twimg.com/profile_images/702269849213411328/j-mKD-OJ_normal.jpg","View")</f>
        <v>View</v>
      </c>
      <c r="P8845" s="10"/>
    </row>
    <row r="8846" customFormat="false" ht="15.75" hidden="false" customHeight="false" outlineLevel="0" collapsed="false">
      <c r="A8846" s="6" t="n">
        <v>43034.5092592593</v>
      </c>
      <c r="B8846" s="7" t="str">
        <f aca="false">HYPERLINK("https://twitter.com/FW9KZ","@FW9KZ")</f>
        <v>@FW9KZ</v>
      </c>
      <c r="C8846" s="8" t="s">
        <v>19264</v>
      </c>
      <c r="D8846" s="8" t="s">
        <v>19204</v>
      </c>
      <c r="E8846" s="9" t="str">
        <f aca="false">HYPERLINK("https://twitter.com/FW9KZ/status/923628631812796419","923628631812796419")</f>
        <v>923628631812796419</v>
      </c>
      <c r="F8846" s="10" t="s">
        <v>98</v>
      </c>
      <c r="G8846" s="10" t="n">
        <v>1155</v>
      </c>
      <c r="H8846" s="10" t="n">
        <v>3772</v>
      </c>
      <c r="I8846" s="10" t="n">
        <v>42</v>
      </c>
      <c r="J8846" s="10" t="n">
        <v>0</v>
      </c>
      <c r="K8846" s="10" t="s">
        <v>20</v>
      </c>
      <c r="L8846" s="11" t="n">
        <v>40433.1635648148</v>
      </c>
      <c r="M8846" s="12"/>
      <c r="N8846" s="13" t="s">
        <v>19265</v>
      </c>
      <c r="O8846" s="9" t="str">
        <f aca="false">HYPERLINK("https://pbs.twimg.com/profile_images/378800000843487041/a9b6b3d632975a97e642878526d685a9_normal.jpeg","View")</f>
        <v>View</v>
      </c>
      <c r="P8846" s="10"/>
    </row>
    <row r="8847" customFormat="false" ht="15.75" hidden="false" customHeight="false" outlineLevel="0" collapsed="false">
      <c r="A8847" s="6" t="n">
        <v>43034.5099768519</v>
      </c>
      <c r="B8847" s="7" t="str">
        <f aca="false">HYPERLINK("https://twitter.com/osman1982ozguv","@osman1982ozguv")</f>
        <v>@osman1982ozguv</v>
      </c>
      <c r="C8847" s="8" t="s">
        <v>19266</v>
      </c>
      <c r="D8847" s="8" t="s">
        <v>19204</v>
      </c>
      <c r="E8847" s="9" t="str">
        <f aca="false">HYPERLINK("https://twitter.com/osman1982ozguv/status/923628893172649984","923628893172649984")</f>
        <v>923628893172649984</v>
      </c>
      <c r="F8847" s="10" t="s">
        <v>39</v>
      </c>
      <c r="G8847" s="10" t="n">
        <v>684</v>
      </c>
      <c r="H8847" s="10" t="n">
        <v>149</v>
      </c>
      <c r="I8847" s="10" t="n">
        <v>42</v>
      </c>
      <c r="J8847" s="10" t="n">
        <v>0</v>
      </c>
      <c r="K8847" s="10" t="s">
        <v>20</v>
      </c>
      <c r="L8847" s="11" t="n">
        <v>42409.4520717593</v>
      </c>
      <c r="M8847" s="12" t="s">
        <v>6580</v>
      </c>
      <c r="N8847" s="12" t="s">
        <v>19267</v>
      </c>
      <c r="O8847" s="9" t="str">
        <f aca="false">HYPERLINK("https://pbs.twimg.com/profile_images/901046645282021377/WAYYZ-y3_normal.jpg","View")</f>
        <v>View</v>
      </c>
      <c r="P8847" s="10"/>
    </row>
    <row r="8848" customFormat="false" ht="15.75" hidden="false" customHeight="false" outlineLevel="0" collapsed="false">
      <c r="A8848" s="6" t="n">
        <v>43034.5105324074</v>
      </c>
      <c r="B8848" s="7" t="str">
        <f aca="false">HYPERLINK("https://twitter.com/jimmyhoshi","@jimmyhoshi")</f>
        <v>@jimmyhoshi</v>
      </c>
      <c r="C8848" s="8" t="s">
        <v>1651</v>
      </c>
      <c r="D8848" s="8" t="s">
        <v>19268</v>
      </c>
      <c r="E8848" s="9" t="str">
        <f aca="false">HYPERLINK("https://twitter.com/jimmyhoshi/status/923629090828980224","923629090828980224")</f>
        <v>923629090828980224</v>
      </c>
      <c r="F8848" s="10" t="s">
        <v>1653</v>
      </c>
      <c r="G8848" s="10" t="n">
        <v>8715</v>
      </c>
      <c r="H8848" s="10" t="n">
        <v>8482</v>
      </c>
      <c r="I8848" s="10" t="n">
        <v>0</v>
      </c>
      <c r="J8848" s="10" t="n">
        <v>1</v>
      </c>
      <c r="K8848" s="10" t="s">
        <v>20</v>
      </c>
      <c r="L8848" s="11" t="n">
        <v>41922.7041087963</v>
      </c>
      <c r="M8848" s="12" t="s">
        <v>1654</v>
      </c>
      <c r="N8848" s="12" t="s">
        <v>1655</v>
      </c>
      <c r="O8848" s="9" t="str">
        <f aca="false">HYPERLINK("https://pbs.twimg.com/profile_images/525551979565555712/q1hl0v2W_normal.png","View")</f>
        <v>View</v>
      </c>
      <c r="P8848" s="10"/>
    </row>
    <row r="8849" customFormat="false" ht="15.75" hidden="false" customHeight="false" outlineLevel="0" collapsed="false">
      <c r="A8849" s="6" t="n">
        <v>43034.5121296296</v>
      </c>
      <c r="B8849" s="7" t="str">
        <f aca="false">HYPERLINK("https://twitter.com/lalahearttwit","@lalahearttwit")</f>
        <v>@lalahearttwit</v>
      </c>
      <c r="C8849" s="14" t="s">
        <v>19269</v>
      </c>
      <c r="D8849" s="8" t="s">
        <v>19204</v>
      </c>
      <c r="E8849" s="9" t="str">
        <f aca="false">HYPERLINK("https://twitter.com/lalahearttwit/status/923629669945094145","923629669945094145")</f>
        <v>923629669945094145</v>
      </c>
      <c r="F8849" s="10" t="s">
        <v>51</v>
      </c>
      <c r="G8849" s="10" t="n">
        <v>6112</v>
      </c>
      <c r="H8849" s="10" t="n">
        <v>511</v>
      </c>
      <c r="I8849" s="10" t="n">
        <v>42</v>
      </c>
      <c r="J8849" s="10" t="n">
        <v>0</v>
      </c>
      <c r="K8849" s="10" t="s">
        <v>20</v>
      </c>
      <c r="L8849" s="11" t="n">
        <v>40289.936099537</v>
      </c>
      <c r="M8849" s="12" t="s">
        <v>502</v>
      </c>
      <c r="N8849" s="12" t="s">
        <v>19270</v>
      </c>
      <c r="O8849" s="9" t="str">
        <f aca="false">HYPERLINK("https://pbs.twimg.com/profile_images/1205190766/twit_normal.jpg","View")</f>
        <v>View</v>
      </c>
      <c r="P8849" s="10"/>
    </row>
    <row r="8850" customFormat="false" ht="15.75" hidden="false" customHeight="false" outlineLevel="0" collapsed="false">
      <c r="A8850" s="6" t="n">
        <v>43034.5125</v>
      </c>
      <c r="B8850" s="7" t="str">
        <f aca="false">HYPERLINK("https://twitter.com/CORYROZAY","@CORYROZAY")</f>
        <v>@CORYROZAY</v>
      </c>
      <c r="C8850" s="8" t="s">
        <v>19271</v>
      </c>
      <c r="D8850" s="8" t="s">
        <v>19204</v>
      </c>
      <c r="E8850" s="9" t="str">
        <f aca="false">HYPERLINK("https://twitter.com/CORYROZAY/status/923629806419398657","923629806419398657")</f>
        <v>923629806419398657</v>
      </c>
      <c r="F8850" s="10" t="s">
        <v>51</v>
      </c>
      <c r="G8850" s="10" t="n">
        <v>788</v>
      </c>
      <c r="H8850" s="10" t="n">
        <v>355</v>
      </c>
      <c r="I8850" s="10" t="n">
        <v>42</v>
      </c>
      <c r="J8850" s="10" t="n">
        <v>0</v>
      </c>
      <c r="K8850" s="10" t="s">
        <v>20</v>
      </c>
      <c r="L8850" s="11" t="n">
        <v>40585.1909375</v>
      </c>
      <c r="M8850" s="12" t="s">
        <v>19272</v>
      </c>
      <c r="N8850" s="12" t="s">
        <v>19273</v>
      </c>
      <c r="O8850" s="9" t="str">
        <f aca="false">HYPERLINK("https://pbs.twimg.com/profile_images/920073418632040448/_s3rJSPk_normal.jpg","View")</f>
        <v>View</v>
      </c>
      <c r="P8850" s="10"/>
    </row>
    <row r="8851" customFormat="false" ht="15.75" hidden="false" customHeight="false" outlineLevel="0" collapsed="false">
      <c r="A8851" s="6" t="n">
        <v>43034.5143402778</v>
      </c>
      <c r="B8851" s="7" t="str">
        <f aca="false">HYPERLINK("https://twitter.com/PrimastutiH","@PrimastutiH")</f>
        <v>@PrimastutiH</v>
      </c>
      <c r="C8851" s="8" t="s">
        <v>19274</v>
      </c>
      <c r="D8851" s="8" t="s">
        <v>19204</v>
      </c>
      <c r="E8851" s="9" t="str">
        <f aca="false">HYPERLINK("https://twitter.com/PrimastutiH/status/923630470902018049","923630470902018049")</f>
        <v>923630470902018049</v>
      </c>
      <c r="F8851" s="10" t="s">
        <v>51</v>
      </c>
      <c r="G8851" s="10" t="n">
        <v>1061</v>
      </c>
      <c r="H8851" s="10" t="n">
        <v>303</v>
      </c>
      <c r="I8851" s="10" t="n">
        <v>42</v>
      </c>
      <c r="J8851" s="10" t="n">
        <v>0</v>
      </c>
      <c r="K8851" s="10" t="s">
        <v>20</v>
      </c>
      <c r="L8851" s="11" t="n">
        <v>39948.118912037</v>
      </c>
      <c r="M8851" s="12"/>
      <c r="N8851" s="12" t="s">
        <v>19275</v>
      </c>
      <c r="O8851" s="9" t="str">
        <f aca="false">HYPERLINK("https://pbs.twimg.com/profile_images/1569235052/Tianjin01_normal.jpg","View")</f>
        <v>View</v>
      </c>
      <c r="P8851" s="10"/>
    </row>
    <row r="8852" customFormat="false" ht="15.75" hidden="false" customHeight="false" outlineLevel="0" collapsed="false">
      <c r="A8852" s="6" t="n">
        <v>43034.5220486111</v>
      </c>
      <c r="B8852" s="7" t="str">
        <f aca="false">HYPERLINK("https://twitter.com/virgosiempre1","@virgosiempre1")</f>
        <v>@virgosiempre1</v>
      </c>
      <c r="C8852" s="8" t="s">
        <v>19276</v>
      </c>
      <c r="D8852" s="8" t="s">
        <v>16929</v>
      </c>
      <c r="E8852" s="9" t="str">
        <f aca="false">HYPERLINK("https://twitter.com/virgosiempre1/status/923633266938253312","923633266938253312")</f>
        <v>923633266938253312</v>
      </c>
      <c r="F8852" s="10" t="s">
        <v>51</v>
      </c>
      <c r="G8852" s="10" t="n">
        <v>170</v>
      </c>
      <c r="H8852" s="10" t="n">
        <v>750</v>
      </c>
      <c r="I8852" s="10" t="n">
        <v>247</v>
      </c>
      <c r="J8852" s="10" t="n">
        <v>0</v>
      </c>
      <c r="K8852" s="10" t="s">
        <v>20</v>
      </c>
      <c r="L8852" s="11" t="n">
        <v>42057.8820601852</v>
      </c>
      <c r="M8852" s="12" t="s">
        <v>491</v>
      </c>
      <c r="N8852" s="12" t="s">
        <v>19277</v>
      </c>
      <c r="O8852" s="9" t="str">
        <f aca="false">HYPERLINK("https://pbs.twimg.com/profile_images/709882177413111808/qnB0l-S9_normal.jpg","View")</f>
        <v>View</v>
      </c>
      <c r="P8852" s="10"/>
    </row>
    <row r="8853" customFormat="false" ht="15.75" hidden="false" customHeight="false" outlineLevel="0" collapsed="false">
      <c r="A8853" s="6" t="n">
        <v>43034.531712963</v>
      </c>
      <c r="B8853" s="7" t="str">
        <f aca="false">HYPERLINK("https://twitter.com/imaxstone","@imaxstone")</f>
        <v>@imaxstone</v>
      </c>
      <c r="C8853" s="8" t="s">
        <v>19278</v>
      </c>
      <c r="D8853" s="8" t="s">
        <v>19204</v>
      </c>
      <c r="E8853" s="9" t="str">
        <f aca="false">HYPERLINK("https://twitter.com/imaxstone/status/923636767198269440","923636767198269440")</f>
        <v>923636767198269440</v>
      </c>
      <c r="F8853" s="10" t="s">
        <v>51</v>
      </c>
      <c r="G8853" s="10" t="n">
        <v>47</v>
      </c>
      <c r="H8853" s="10" t="n">
        <v>426</v>
      </c>
      <c r="I8853" s="10" t="n">
        <v>42</v>
      </c>
      <c r="J8853" s="10" t="n">
        <v>0</v>
      </c>
      <c r="K8853" s="10" t="s">
        <v>20</v>
      </c>
      <c r="L8853" s="11" t="n">
        <v>42957.8274421296</v>
      </c>
      <c r="M8853" s="12"/>
      <c r="N8853" s="12"/>
      <c r="O8853" s="9" t="str">
        <f aca="false">HYPERLINK("https://abs.twimg.com/sticky/default_profile_images/default_profile_normal.png","View")</f>
        <v>View</v>
      </c>
      <c r="P8853" s="10"/>
    </row>
    <row r="8854" customFormat="false" ht="15.75" hidden="false" customHeight="false" outlineLevel="0" collapsed="false">
      <c r="A8854" s="6" t="n">
        <v>43034.5508333333</v>
      </c>
      <c r="B8854" s="7" t="str">
        <f aca="false">HYPERLINK("https://twitter.com/MarthaDillon12","@MarthaDillon12")</f>
        <v>@MarthaDillon12</v>
      </c>
      <c r="C8854" s="8" t="s">
        <v>19279</v>
      </c>
      <c r="D8854" s="8" t="s">
        <v>19204</v>
      </c>
      <c r="E8854" s="9" t="str">
        <f aca="false">HYPERLINK("https://twitter.com/MarthaDillon12/status/923643698709065728","923643698709065728")</f>
        <v>923643698709065728</v>
      </c>
      <c r="F8854" s="10" t="s">
        <v>25</v>
      </c>
      <c r="G8854" s="10" t="n">
        <v>114</v>
      </c>
      <c r="H8854" s="10" t="n">
        <v>230</v>
      </c>
      <c r="I8854" s="10" t="n">
        <v>42</v>
      </c>
      <c r="J8854" s="10" t="n">
        <v>0</v>
      </c>
      <c r="K8854" s="10" t="s">
        <v>20</v>
      </c>
      <c r="L8854" s="11" t="n">
        <v>42433.8497800926</v>
      </c>
      <c r="M8854" s="12"/>
      <c r="N8854" s="12"/>
      <c r="O8854" s="9" t="str">
        <f aca="false">HYPERLINK("https://pbs.twimg.com/profile_images/923026060081541120/UiugpX5J_normal.jpg","View")</f>
        <v>View</v>
      </c>
      <c r="P8854" s="10"/>
    </row>
    <row r="8855" customFormat="false" ht="15.75" hidden="false" customHeight="false" outlineLevel="0" collapsed="false">
      <c r="A8855" s="6" t="n">
        <v>43034.5538773148</v>
      </c>
      <c r="B8855" s="7" t="str">
        <f aca="false">HYPERLINK("https://twitter.com/MoreShamLessWow","@MoreShamLessWow")</f>
        <v>@MoreShamLessWow</v>
      </c>
      <c r="C8855" s="8" t="s">
        <v>12028</v>
      </c>
      <c r="D8855" s="8" t="s">
        <v>19204</v>
      </c>
      <c r="E8855" s="9" t="str">
        <f aca="false">HYPERLINK("https://twitter.com/MoreShamLessWow/status/923644798480904192","923644798480904192")</f>
        <v>923644798480904192</v>
      </c>
      <c r="F8855" s="10" t="s">
        <v>12029</v>
      </c>
      <c r="G8855" s="10" t="n">
        <v>476</v>
      </c>
      <c r="H8855" s="10" t="n">
        <v>3620</v>
      </c>
      <c r="I8855" s="10" t="n">
        <v>42</v>
      </c>
      <c r="J8855" s="10" t="n">
        <v>0</v>
      </c>
      <c r="K8855" s="10" t="s">
        <v>20</v>
      </c>
      <c r="L8855" s="11" t="n">
        <v>43015.9462037037</v>
      </c>
      <c r="M8855" s="12"/>
      <c r="N8855" s="12" t="s">
        <v>12030</v>
      </c>
      <c r="O8855" s="9" t="str">
        <f aca="false">HYPERLINK("https://pbs.twimg.com/profile_images/917071167441244165/JhCl4xz1_normal.jpg","View")</f>
        <v>View</v>
      </c>
      <c r="P8855" s="10"/>
    </row>
    <row r="8856" customFormat="false" ht="15.75" hidden="false" customHeight="false" outlineLevel="0" collapsed="false">
      <c r="A8856" s="6" t="n">
        <v>43034.5581597222</v>
      </c>
      <c r="B8856" s="7" t="str">
        <f aca="false">HYPERLINK("https://twitter.com/abechanjuicy","@abechanjuicy")</f>
        <v>@abechanjuicy</v>
      </c>
      <c r="C8856" s="14" t="s">
        <v>19280</v>
      </c>
      <c r="D8856" s="8" t="s">
        <v>19204</v>
      </c>
      <c r="E8856" s="9" t="str">
        <f aca="false">HYPERLINK("https://twitter.com/abechanjuicy/status/923646353435082752","923646353435082752")</f>
        <v>923646353435082752</v>
      </c>
      <c r="F8856" s="10" t="s">
        <v>25</v>
      </c>
      <c r="G8856" s="10" t="n">
        <v>953</v>
      </c>
      <c r="H8856" s="10" t="n">
        <v>536</v>
      </c>
      <c r="I8856" s="10" t="n">
        <v>42</v>
      </c>
      <c r="J8856" s="10" t="n">
        <v>0</v>
      </c>
      <c r="K8856" s="10" t="s">
        <v>20</v>
      </c>
      <c r="L8856" s="11" t="n">
        <v>42386.1175925926</v>
      </c>
      <c r="M8856" s="12"/>
      <c r="N8856" s="13" t="s">
        <v>19281</v>
      </c>
      <c r="O8856" s="9" t="str">
        <f aca="false">HYPERLINK("https://pbs.twimg.com/profile_images/705481969442795520/pMagjVZ__normal.jpg","View")</f>
        <v>View</v>
      </c>
      <c r="P8856" s="10"/>
    </row>
    <row r="8857" customFormat="false" ht="15.75" hidden="false" customHeight="false" outlineLevel="0" collapsed="false">
      <c r="A8857" s="6" t="n">
        <v>43034.5687615741</v>
      </c>
      <c r="B8857" s="7" t="str">
        <f aca="false">HYPERLINK("https://twitter.com/russmove","@russmove")</f>
        <v>@russmove</v>
      </c>
      <c r="C8857" s="8" t="s">
        <v>19282</v>
      </c>
      <c r="D8857" s="8" t="s">
        <v>19204</v>
      </c>
      <c r="E8857" s="9" t="str">
        <f aca="false">HYPERLINK("https://twitter.com/russmove/status/923650194159357953","923650194159357953")</f>
        <v>923650194159357953</v>
      </c>
      <c r="F8857" s="10" t="s">
        <v>51</v>
      </c>
      <c r="G8857" s="10" t="n">
        <v>8160</v>
      </c>
      <c r="H8857" s="10" t="n">
        <v>8308</v>
      </c>
      <c r="I8857" s="10" t="n">
        <v>42</v>
      </c>
      <c r="J8857" s="10" t="n">
        <v>0</v>
      </c>
      <c r="K8857" s="10" t="s">
        <v>20</v>
      </c>
      <c r="L8857" s="11" t="n">
        <v>40944.8635648148</v>
      </c>
      <c r="M8857" s="12" t="s">
        <v>19283</v>
      </c>
      <c r="N8857" s="12" t="s">
        <v>19284</v>
      </c>
      <c r="O8857" s="9" t="str">
        <f aca="false">HYPERLINK("https://pbs.twimg.com/profile_images/662679448710348800/a-bNXKlu_normal.jpg","View")</f>
        <v>View</v>
      </c>
      <c r="P8857" s="10"/>
    </row>
    <row r="8858" customFormat="false" ht="15.75" hidden="false" customHeight="false" outlineLevel="0" collapsed="false">
      <c r="A8858" s="6" t="n">
        <v>43034.5725578704</v>
      </c>
      <c r="B8858" s="7" t="str">
        <f aca="false">HYPERLINK("https://twitter.com/Riptyko","@Riptyko")</f>
        <v>@Riptyko</v>
      </c>
      <c r="C8858" s="14" t="s">
        <v>19285</v>
      </c>
      <c r="D8858" s="8" t="s">
        <v>19204</v>
      </c>
      <c r="E8858" s="9" t="str">
        <f aca="false">HYPERLINK("https://twitter.com/Riptyko/status/923651571375681536","923651571375681536")</f>
        <v>923651571375681536</v>
      </c>
      <c r="F8858" s="10" t="s">
        <v>25</v>
      </c>
      <c r="G8858" s="10" t="n">
        <v>157</v>
      </c>
      <c r="H8858" s="10" t="n">
        <v>184</v>
      </c>
      <c r="I8858" s="10" t="n">
        <v>42</v>
      </c>
      <c r="J8858" s="10" t="n">
        <v>0</v>
      </c>
      <c r="K8858" s="10" t="s">
        <v>20</v>
      </c>
      <c r="L8858" s="11" t="n">
        <v>42710.2989236111</v>
      </c>
      <c r="M8858" s="12"/>
      <c r="N8858" s="13" t="s">
        <v>19286</v>
      </c>
      <c r="O8858" s="9" t="str">
        <f aca="false">HYPERLINK("https://pbs.twimg.com/profile_images/889492588691988480/JEi_YcRV_normal.jpg","View")</f>
        <v>View</v>
      </c>
      <c r="P8858" s="10"/>
    </row>
    <row r="8859" customFormat="false" ht="15.75" hidden="false" customHeight="false" outlineLevel="0" collapsed="false">
      <c r="A8859" s="6" t="n">
        <v>43034.6153125</v>
      </c>
      <c r="B8859" s="7" t="str">
        <f aca="false">HYPERLINK("https://twitter.com/Up37404022","@Up37404022")</f>
        <v>@Up37404022</v>
      </c>
      <c r="C8859" s="8" t="s">
        <v>19287</v>
      </c>
      <c r="D8859" s="8" t="s">
        <v>19204</v>
      </c>
      <c r="E8859" s="9" t="str">
        <f aca="false">HYPERLINK("https://twitter.com/Up37404022/status/923667063415046144","923667063415046144")</f>
        <v>923667063415046144</v>
      </c>
      <c r="F8859" s="10" t="s">
        <v>51</v>
      </c>
      <c r="G8859" s="10" t="n">
        <v>96</v>
      </c>
      <c r="H8859" s="10" t="n">
        <v>41</v>
      </c>
      <c r="I8859" s="10" t="n">
        <v>42</v>
      </c>
      <c r="J8859" s="10" t="n">
        <v>0</v>
      </c>
      <c r="K8859" s="10" t="s">
        <v>20</v>
      </c>
      <c r="L8859" s="11" t="n">
        <v>42842.2449884259</v>
      </c>
      <c r="M8859" s="13" t="s">
        <v>19288</v>
      </c>
      <c r="N8859" s="12" t="s">
        <v>19289</v>
      </c>
      <c r="O8859" s="9" t="str">
        <f aca="false">HYPERLINK("https://pbs.twimg.com/profile_images/878736116752371714/6K7E7wrV_normal.jpg","View")</f>
        <v>View</v>
      </c>
      <c r="P8859" s="10"/>
    </row>
    <row r="8860" customFormat="false" ht="15.75" hidden="false" customHeight="false" outlineLevel="0" collapsed="false">
      <c r="A8860" s="6" t="n">
        <v>43034.6387384259</v>
      </c>
      <c r="B8860" s="7" t="str">
        <f aca="false">HYPERLINK("https://twitter.com/menteconcreta","@menteconcreta")</f>
        <v>@menteconcreta</v>
      </c>
      <c r="C8860" s="14" t="s">
        <v>19290</v>
      </c>
      <c r="D8860" s="8" t="s">
        <v>19204</v>
      </c>
      <c r="E8860" s="9" t="str">
        <f aca="false">HYPERLINK("https://twitter.com/menteconcreta/status/923675551843454976","923675551843454976")</f>
        <v>923675551843454976</v>
      </c>
      <c r="F8860" s="10" t="s">
        <v>39</v>
      </c>
      <c r="G8860" s="10" t="n">
        <v>102</v>
      </c>
      <c r="H8860" s="10" t="n">
        <v>188</v>
      </c>
      <c r="I8860" s="10" t="n">
        <v>42</v>
      </c>
      <c r="J8860" s="10" t="n">
        <v>0</v>
      </c>
      <c r="K8860" s="10" t="s">
        <v>20</v>
      </c>
      <c r="L8860" s="11" t="n">
        <v>41927.7901388889</v>
      </c>
      <c r="M8860" s="12" t="s">
        <v>19291</v>
      </c>
      <c r="N8860" s="13" t="s">
        <v>19292</v>
      </c>
      <c r="O8860" s="9" t="str">
        <f aca="false">HYPERLINK("https://pbs.twimg.com/profile_images/905995613556191232/lPVZxCID_normal.jpg","View")</f>
        <v>View</v>
      </c>
      <c r="P8860" s="10"/>
    </row>
    <row r="8861" customFormat="false" ht="15.75" hidden="false" customHeight="false" outlineLevel="0" collapsed="false">
      <c r="A8861" s="6" t="n">
        <v>43034.6486458333</v>
      </c>
      <c r="B8861" s="7" t="str">
        <f aca="false">HYPERLINK("https://twitter.com/a_d_fensom","@a_d_fensom")</f>
        <v>@a_d_fensom</v>
      </c>
      <c r="C8861" s="8" t="s">
        <v>10692</v>
      </c>
      <c r="D8861" s="8" t="s">
        <v>19293</v>
      </c>
      <c r="E8861" s="9" t="str">
        <f aca="false">HYPERLINK("https://twitter.com/a_d_fensom/status/923679141320212481","923679141320212481")</f>
        <v>923679141320212481</v>
      </c>
      <c r="F8861" s="10" t="s">
        <v>51</v>
      </c>
      <c r="G8861" s="10" t="n">
        <v>3162</v>
      </c>
      <c r="H8861" s="10" t="n">
        <v>3963</v>
      </c>
      <c r="I8861" s="10" t="n">
        <v>1</v>
      </c>
      <c r="J8861" s="10" t="n">
        <v>0</v>
      </c>
      <c r="K8861" s="10" t="s">
        <v>20</v>
      </c>
      <c r="L8861" s="11" t="n">
        <v>40380.0813194444</v>
      </c>
      <c r="M8861" s="12" t="s">
        <v>10693</v>
      </c>
      <c r="N8861" s="12" t="s">
        <v>10694</v>
      </c>
      <c r="O8861" s="9" t="str">
        <f aca="false">HYPERLINK("https://pbs.twimg.com/profile_images/537086933793374208/_m6f0THo_normal.jpeg","View")</f>
        <v>View</v>
      </c>
      <c r="P8861" s="10"/>
    </row>
    <row r="8862" customFormat="false" ht="15.75" hidden="false" customHeight="false" outlineLevel="0" collapsed="false">
      <c r="A8862" s="6" t="n">
        <v>43034.6982638889</v>
      </c>
      <c r="B8862" s="7" t="str">
        <f aca="false">HYPERLINK("https://twitter.com/sorekaradoushit","@sorekaradoushit")</f>
        <v>@sorekaradoushit</v>
      </c>
      <c r="C8862" s="8" t="s">
        <v>19294</v>
      </c>
      <c r="D8862" s="8" t="s">
        <v>19204</v>
      </c>
      <c r="E8862" s="9" t="str">
        <f aca="false">HYPERLINK("https://twitter.com/sorekaradoushit/status/923697125170364417","923697125170364417")</f>
        <v>923697125170364417</v>
      </c>
      <c r="F8862" s="10" t="s">
        <v>39</v>
      </c>
      <c r="G8862" s="10" t="n">
        <v>1502</v>
      </c>
      <c r="H8862" s="10" t="n">
        <v>1825</v>
      </c>
      <c r="I8862" s="10" t="n">
        <v>42</v>
      </c>
      <c r="J8862" s="10" t="n">
        <v>0</v>
      </c>
      <c r="K8862" s="10" t="s">
        <v>20</v>
      </c>
      <c r="L8862" s="11" t="n">
        <v>41787.7781481482</v>
      </c>
      <c r="M8862" s="12"/>
      <c r="N8862" s="13" t="s">
        <v>19295</v>
      </c>
      <c r="O8862" s="9" t="str">
        <f aca="false">HYPERLINK("https://pbs.twimg.com/profile_images/547906851673612288/eVJitpbh_normal.jpeg","View")</f>
        <v>View</v>
      </c>
      <c r="P8862" s="10"/>
    </row>
    <row r="8863" customFormat="false" ht="15.75" hidden="false" customHeight="false" outlineLevel="0" collapsed="false">
      <c r="A8863" s="6" t="n">
        <v>43034.719375</v>
      </c>
      <c r="B8863" s="7" t="str">
        <f aca="false">HYPERLINK("https://twitter.com/_rjardon","@_rjardon")</f>
        <v>@_rjardon</v>
      </c>
      <c r="C8863" s="8" t="s">
        <v>19296</v>
      </c>
      <c r="D8863" s="8" t="s">
        <v>19297</v>
      </c>
      <c r="E8863" s="9" t="str">
        <f aca="false">HYPERLINK("https://twitter.com/_rjardon/status/923704776323248128","923704776323248128")</f>
        <v>923704776323248128</v>
      </c>
      <c r="F8863" s="10" t="s">
        <v>39</v>
      </c>
      <c r="G8863" s="10" t="n">
        <v>6811</v>
      </c>
      <c r="H8863" s="10" t="n">
        <v>6444</v>
      </c>
      <c r="I8863" s="10" t="n">
        <v>1</v>
      </c>
      <c r="J8863" s="10" t="n">
        <v>0</v>
      </c>
      <c r="K8863" s="10" t="s">
        <v>20</v>
      </c>
      <c r="L8863" s="11" t="n">
        <v>41178.2592013889</v>
      </c>
      <c r="M8863" s="12" t="s">
        <v>5052</v>
      </c>
      <c r="N8863" s="12" t="s">
        <v>19298</v>
      </c>
      <c r="O8863" s="9" t="str">
        <f aca="false">HYPERLINK("https://pbs.twimg.com/profile_images/2651627110/d8fa8f18c90426d8d9b62dadc5f5c8b9_normal.jpeg","View")</f>
        <v>View</v>
      </c>
      <c r="P8863" s="10"/>
    </row>
    <row r="8864" customFormat="false" ht="15.75" hidden="false" customHeight="false" outlineLevel="0" collapsed="false">
      <c r="A8864" s="6" t="n">
        <v>43034.7409837963</v>
      </c>
      <c r="B8864" s="7" t="str">
        <f aca="false">HYPERLINK("https://twitter.com/Alma_5555","@Alma_5555")</f>
        <v>@Alma_5555</v>
      </c>
      <c r="C8864" s="14" t="s">
        <v>19299</v>
      </c>
      <c r="D8864" s="8" t="s">
        <v>19204</v>
      </c>
      <c r="E8864" s="9" t="str">
        <f aca="false">HYPERLINK("https://twitter.com/Alma_5555/status/923712606396760064","923712606396760064")</f>
        <v>923712606396760064</v>
      </c>
      <c r="F8864" s="10" t="s">
        <v>51</v>
      </c>
      <c r="G8864" s="10" t="n">
        <v>35</v>
      </c>
      <c r="H8864" s="10" t="n">
        <v>58</v>
      </c>
      <c r="I8864" s="10" t="n">
        <v>42</v>
      </c>
      <c r="J8864" s="10" t="n">
        <v>0</v>
      </c>
      <c r="K8864" s="10" t="s">
        <v>20</v>
      </c>
      <c r="L8864" s="11" t="n">
        <v>42746.1567476852</v>
      </c>
      <c r="M8864" s="12"/>
      <c r="N8864" s="13" t="s">
        <v>19300</v>
      </c>
      <c r="O8864" s="9" t="str">
        <f aca="false">HYPERLINK("https://pbs.twimg.com/profile_images/906691552671444992/jZHWiub5_normal.jpg","View")</f>
        <v>View</v>
      </c>
      <c r="P8864" s="10"/>
    </row>
    <row r="8865" customFormat="false" ht="15.75" hidden="false" customHeight="false" outlineLevel="0" collapsed="false">
      <c r="A8865" s="6" t="n">
        <v>43034.7460763889</v>
      </c>
      <c r="B8865" s="7" t="str">
        <f aca="false">HYPERLINK("https://twitter.com/Fashy_dutz_neez","@Fashy_dutz_neez")</f>
        <v>@Fashy_dutz_neez</v>
      </c>
      <c r="C8865" s="8" t="s">
        <v>19301</v>
      </c>
      <c r="D8865" s="8" t="s">
        <v>10987</v>
      </c>
      <c r="E8865" s="9" t="str">
        <f aca="false">HYPERLINK("https://twitter.com/Fashy_dutz_neez/status/923714448979832832","923714448979832832")</f>
        <v>923714448979832832</v>
      </c>
      <c r="F8865" s="10" t="s">
        <v>25</v>
      </c>
      <c r="G8865" s="10" t="n">
        <v>1038</v>
      </c>
      <c r="H8865" s="10" t="n">
        <v>3746</v>
      </c>
      <c r="I8865" s="10" t="n">
        <v>9</v>
      </c>
      <c r="J8865" s="10" t="n">
        <v>0</v>
      </c>
      <c r="K8865" s="10" t="s">
        <v>20</v>
      </c>
      <c r="L8865" s="11" t="n">
        <v>42723.8231712963</v>
      </c>
      <c r="M8865" s="12"/>
      <c r="N8865" s="12" t="s">
        <v>19302</v>
      </c>
      <c r="O8865" s="9" t="str">
        <f aca="false">HYPERLINK("https://pbs.twimg.com/profile_images/922636426751217665/0S00tZcA_normal.jpg","View")</f>
        <v>View</v>
      </c>
      <c r="P8865" s="10"/>
    </row>
    <row r="8866" customFormat="false" ht="15.75" hidden="false" customHeight="false" outlineLevel="0" collapsed="false">
      <c r="A8866" s="6" t="n">
        <v>43034.790474537</v>
      </c>
      <c r="B8866" s="7" t="str">
        <f aca="false">HYPERLINK("https://twitter.com/SandipanSarangi","@SandipanSarangi")</f>
        <v>@SandipanSarangi</v>
      </c>
      <c r="C8866" s="8" t="s">
        <v>19303</v>
      </c>
      <c r="D8866" s="8" t="s">
        <v>19204</v>
      </c>
      <c r="E8866" s="9" t="str">
        <f aca="false">HYPERLINK("https://twitter.com/SandipanSarangi/status/923730540426969088","923730540426969088")</f>
        <v>923730540426969088</v>
      </c>
      <c r="F8866" s="10" t="s">
        <v>25</v>
      </c>
      <c r="G8866" s="10" t="n">
        <v>567</v>
      </c>
      <c r="H8866" s="10" t="n">
        <v>618</v>
      </c>
      <c r="I8866" s="10" t="n">
        <v>42</v>
      </c>
      <c r="J8866" s="10" t="n">
        <v>0</v>
      </c>
      <c r="K8866" s="10" t="s">
        <v>20</v>
      </c>
      <c r="L8866" s="11" t="n">
        <v>40166.7578587963</v>
      </c>
      <c r="M8866" s="12" t="s">
        <v>72</v>
      </c>
      <c r="N8866" s="12" t="s">
        <v>19304</v>
      </c>
      <c r="O8866" s="9" t="str">
        <f aca="false">HYPERLINK("https://pbs.twimg.com/profile_images/483234547761287169/6OObV9fo_normal.jpeg","View")</f>
        <v>View</v>
      </c>
      <c r="P8866" s="10"/>
    </row>
    <row r="8867" customFormat="false" ht="15.75" hidden="false" customHeight="false" outlineLevel="0" collapsed="false">
      <c r="A8867" s="6" t="n">
        <v>43034.7907175926</v>
      </c>
      <c r="B8867" s="7" t="str">
        <f aca="false">HYPERLINK("https://twitter.com/Real_Infinity95","@Real_Infinity95")</f>
        <v>@Real_Infinity95</v>
      </c>
      <c r="C8867" s="8" t="s">
        <v>1216</v>
      </c>
      <c r="D8867" s="8" t="s">
        <v>19204</v>
      </c>
      <c r="E8867" s="9" t="str">
        <f aca="false">HYPERLINK("https://twitter.com/Real_Infinity95/status/923730627756724230","923730627756724230")</f>
        <v>923730627756724230</v>
      </c>
      <c r="F8867" s="10" t="s">
        <v>51</v>
      </c>
      <c r="G8867" s="10" t="n">
        <v>1984</v>
      </c>
      <c r="H8867" s="10" t="n">
        <v>2145</v>
      </c>
      <c r="I8867" s="10" t="n">
        <v>42</v>
      </c>
      <c r="J8867" s="10" t="n">
        <v>0</v>
      </c>
      <c r="K8867" s="10" t="s">
        <v>20</v>
      </c>
      <c r="L8867" s="11" t="n">
        <v>42467.7428356481</v>
      </c>
      <c r="M8867" s="12" t="s">
        <v>1217</v>
      </c>
      <c r="N8867" s="12" t="s">
        <v>1218</v>
      </c>
      <c r="O8867" s="9" t="str">
        <f aca="false">HYPERLINK("https://pbs.twimg.com/profile_images/913895542165528582/D5_giAB-_normal.jpg","View")</f>
        <v>View</v>
      </c>
      <c r="P8867" s="10"/>
    </row>
    <row r="8868" customFormat="false" ht="15.75" hidden="false" customHeight="false" outlineLevel="0" collapsed="false">
      <c r="A8868" s="6" t="n">
        <v>43034.8603240741</v>
      </c>
      <c r="B8868" s="7" t="str">
        <f aca="false">HYPERLINK("https://twitter.com/wm88wm88","@wm88wm88")</f>
        <v>@wm88wm88</v>
      </c>
      <c r="C8868" s="14" t="s">
        <v>19305</v>
      </c>
      <c r="D8868" s="8" t="s">
        <v>19204</v>
      </c>
      <c r="E8868" s="9" t="str">
        <f aca="false">HYPERLINK("https://twitter.com/wm88wm88/status/923755854091902976","923755854091902976")</f>
        <v>923755854091902976</v>
      </c>
      <c r="F8868" s="10" t="s">
        <v>51</v>
      </c>
      <c r="G8868" s="10" t="n">
        <v>482</v>
      </c>
      <c r="H8868" s="10" t="n">
        <v>240</v>
      </c>
      <c r="I8868" s="10" t="n">
        <v>42</v>
      </c>
      <c r="J8868" s="10" t="n">
        <v>0</v>
      </c>
      <c r="K8868" s="10" t="s">
        <v>20</v>
      </c>
      <c r="L8868" s="11" t="n">
        <v>40875.4364583333</v>
      </c>
      <c r="M8868" s="13" t="s">
        <v>19306</v>
      </c>
      <c r="N8868" s="12" t="s">
        <v>19307</v>
      </c>
      <c r="O8868" s="9" t="str">
        <f aca="false">HYPERLINK("https://pbs.twimg.com/profile_images/922996808837558272/1rObWUwK_normal.jpg","View")</f>
        <v>View</v>
      </c>
      <c r="P8868" s="10"/>
    </row>
    <row r="8869" customFormat="false" ht="15.75" hidden="false" customHeight="false" outlineLevel="0" collapsed="false">
      <c r="A8869" s="6" t="n">
        <v>43034.8723958333</v>
      </c>
      <c r="B8869" s="7" t="str">
        <f aca="false">HYPERLINK("https://twitter.com/Catcando5","@Catcando5")</f>
        <v>@Catcando5</v>
      </c>
      <c r="C8869" s="8" t="s">
        <v>19308</v>
      </c>
      <c r="D8869" s="8" t="s">
        <v>10525</v>
      </c>
      <c r="E8869" s="9" t="str">
        <f aca="false">HYPERLINK("https://twitter.com/Catcando5/status/923760228528619521","923760228528619521")</f>
        <v>923760228528619521</v>
      </c>
      <c r="F8869" s="10" t="s">
        <v>25</v>
      </c>
      <c r="G8869" s="10" t="n">
        <v>721</v>
      </c>
      <c r="H8869" s="10" t="n">
        <v>1000</v>
      </c>
      <c r="I8869" s="10" t="n">
        <v>16</v>
      </c>
      <c r="J8869" s="10" t="n">
        <v>0</v>
      </c>
      <c r="K8869" s="10" t="s">
        <v>20</v>
      </c>
      <c r="L8869" s="11" t="n">
        <v>42794.4143865741</v>
      </c>
      <c r="M8869" s="12" t="s">
        <v>502</v>
      </c>
      <c r="N8869" s="12" t="s">
        <v>9525</v>
      </c>
      <c r="O8869" s="9" t="str">
        <f aca="false">HYPERLINK("https://pbs.twimg.com/profile_images/852226493384015872/HUBcSB7w_normal.jpg","View")</f>
        <v>View</v>
      </c>
      <c r="P8869" s="10"/>
    </row>
    <row r="8870" customFormat="false" ht="15.75" hidden="false" customHeight="false" outlineLevel="0" collapsed="false">
      <c r="A8870" s="6" t="n">
        <v>43034.9552199074</v>
      </c>
      <c r="B8870" s="7" t="str">
        <f aca="false">HYPERLINK("https://twitter.com/KazimotoBaraka3","@KazimotoBaraka3")</f>
        <v>@KazimotoBaraka3</v>
      </c>
      <c r="C8870" s="8" t="s">
        <v>6059</v>
      </c>
      <c r="D8870" s="8" t="s">
        <v>19204</v>
      </c>
      <c r="E8870" s="9" t="str">
        <f aca="false">HYPERLINK("https://twitter.com/KazimotoBaraka3/status/923790242259374080","923790242259374080")</f>
        <v>923790242259374080</v>
      </c>
      <c r="F8870" s="10" t="s">
        <v>25</v>
      </c>
      <c r="G8870" s="10" t="n">
        <v>482</v>
      </c>
      <c r="H8870" s="10" t="n">
        <v>5000</v>
      </c>
      <c r="I8870" s="10" t="n">
        <v>42</v>
      </c>
      <c r="J8870" s="10" t="n">
        <v>0</v>
      </c>
      <c r="K8870" s="10" t="s">
        <v>20</v>
      </c>
      <c r="L8870" s="11" t="n">
        <v>42834.0741319445</v>
      </c>
      <c r="M8870" s="12" t="s">
        <v>5398</v>
      </c>
      <c r="N8870" s="12" t="s">
        <v>6060</v>
      </c>
      <c r="O8870" s="9" t="str">
        <f aca="false">HYPERLINK("https://pbs.twimg.com/profile_images/912565184815882240/RnjIyacP_normal.jpg","View")</f>
        <v>View</v>
      </c>
      <c r="P8870" s="10"/>
    </row>
    <row r="8871" customFormat="false" ht="15.75" hidden="false" customHeight="false" outlineLevel="0" collapsed="false">
      <c r="A8871" s="6" t="n">
        <v>43034.9572569444</v>
      </c>
      <c r="B8871" s="7" t="str">
        <f aca="false">HYPERLINK("https://twitter.com/business","@business")</f>
        <v>@business</v>
      </c>
      <c r="C8871" s="8" t="s">
        <v>196</v>
      </c>
      <c r="D8871" s="8" t="s">
        <v>19309</v>
      </c>
      <c r="E8871" s="9" t="str">
        <f aca="false">HYPERLINK("https://twitter.com/business/status/923790979584417792","923790979584417792")</f>
        <v>923790979584417792</v>
      </c>
      <c r="F8871" s="10" t="s">
        <v>268</v>
      </c>
      <c r="G8871" s="10" t="n">
        <v>4344209</v>
      </c>
      <c r="H8871" s="10" t="n">
        <v>1088</v>
      </c>
      <c r="I8871" s="10" t="n">
        <v>11</v>
      </c>
      <c r="J8871" s="10" t="n">
        <v>14</v>
      </c>
      <c r="K8871" s="10" t="s">
        <v>20</v>
      </c>
      <c r="L8871" s="11" t="n">
        <v>39926.5453356481</v>
      </c>
      <c r="M8871" s="12" t="s">
        <v>199</v>
      </c>
      <c r="N8871" s="12" t="s">
        <v>200</v>
      </c>
      <c r="O8871" s="9" t="str">
        <f aca="false">HYPERLINK("https://pbs.twimg.com/profile_images/714946924105883648/4fgNVF4H_normal.jpg","View")</f>
        <v>View</v>
      </c>
      <c r="P8871" s="10"/>
    </row>
    <row r="8872" customFormat="false" ht="15.75" hidden="false" customHeight="false" outlineLevel="0" collapsed="false">
      <c r="A8872" s="6" t="n">
        <v>43034.9575115741</v>
      </c>
      <c r="B8872" s="7" t="str">
        <f aca="false">HYPERLINK("https://twitter.com/chicago2503","@chicago2503")</f>
        <v>@chicago2503</v>
      </c>
      <c r="C8872" s="8" t="s">
        <v>17654</v>
      </c>
      <c r="D8872" s="8" t="s">
        <v>19310</v>
      </c>
      <c r="E8872" s="9" t="str">
        <f aca="false">HYPERLINK("https://twitter.com/chicago2503/status/923791073968877568","923791073968877568")</f>
        <v>923791073968877568</v>
      </c>
      <c r="F8872" s="10" t="s">
        <v>51</v>
      </c>
      <c r="G8872" s="10" t="n">
        <v>769</v>
      </c>
      <c r="H8872" s="10" t="n">
        <v>2250</v>
      </c>
      <c r="I8872" s="10" t="n">
        <v>11</v>
      </c>
      <c r="J8872" s="10" t="n">
        <v>0</v>
      </c>
      <c r="K8872" s="10" t="s">
        <v>20</v>
      </c>
      <c r="L8872" s="11" t="n">
        <v>39933.9713194444</v>
      </c>
      <c r="M8872" s="12"/>
      <c r="N8872" s="12" t="s">
        <v>17655</v>
      </c>
      <c r="O8872" s="9" t="str">
        <f aca="false">HYPERLINK("https://pbs.twimg.com/profile_images/704715063492530177/GZkIRQrd_normal.jpg","View")</f>
        <v>View</v>
      </c>
      <c r="P8872" s="10"/>
    </row>
    <row r="8873" customFormat="false" ht="15.75" hidden="false" customHeight="false" outlineLevel="0" collapsed="false">
      <c r="A8873" s="6" t="n">
        <v>43034.9579166667</v>
      </c>
      <c r="B8873" s="7" t="str">
        <f aca="false">HYPERLINK("https://twitter.com/FallySomboNkhwa","@FallySomboNkhwa")</f>
        <v>@FallySomboNkhwa</v>
      </c>
      <c r="C8873" s="8" t="s">
        <v>260</v>
      </c>
      <c r="D8873" s="8" t="s">
        <v>19311</v>
      </c>
      <c r="E8873" s="9" t="str">
        <f aca="false">HYPERLINK("https://twitter.com/FallySomboNkhwa/status/923791218936549376","923791218936549376")</f>
        <v>923791218936549376</v>
      </c>
      <c r="F8873" s="10" t="s">
        <v>60</v>
      </c>
      <c r="G8873" s="10" t="n">
        <v>421</v>
      </c>
      <c r="H8873" s="10" t="n">
        <v>2195</v>
      </c>
      <c r="I8873" s="10" t="n">
        <v>0</v>
      </c>
      <c r="J8873" s="10" t="n">
        <v>0</v>
      </c>
      <c r="K8873" s="10" t="s">
        <v>20</v>
      </c>
      <c r="L8873" s="11" t="n">
        <v>41551.8204166667</v>
      </c>
      <c r="M8873" s="12" t="s">
        <v>262</v>
      </c>
      <c r="N8873" s="12" t="s">
        <v>263</v>
      </c>
      <c r="O8873" s="9" t="str">
        <f aca="false">HYPERLINK("https://pbs.twimg.com/profile_images/543761133505503235/pKcg8bc2_normal.jpeg","View")</f>
        <v>View</v>
      </c>
      <c r="P8873" s="10"/>
    </row>
    <row r="8874" customFormat="false" ht="15.75" hidden="false" customHeight="false" outlineLevel="0" collapsed="false">
      <c r="A8874" s="6" t="n">
        <v>43034.9579861111</v>
      </c>
      <c r="B8874" s="7" t="str">
        <f aca="false">HYPERLINK("https://twitter.com/prepzilla","@prepzilla")</f>
        <v>@prepzilla</v>
      </c>
      <c r="C8874" s="8" t="s">
        <v>235</v>
      </c>
      <c r="D8874" s="8" t="s">
        <v>19312</v>
      </c>
      <c r="E8874" s="9" t="str">
        <f aca="false">HYPERLINK("https://twitter.com/prepzilla/status/923791245452939264","923791245452939264")</f>
        <v>923791245452939264</v>
      </c>
      <c r="F8874" s="10" t="s">
        <v>60</v>
      </c>
      <c r="G8874" s="10" t="n">
        <v>7686</v>
      </c>
      <c r="H8874" s="10" t="n">
        <v>477</v>
      </c>
      <c r="I8874" s="10" t="n">
        <v>0</v>
      </c>
      <c r="J8874" s="10" t="n">
        <v>0</v>
      </c>
      <c r="K8874" s="10" t="s">
        <v>20</v>
      </c>
      <c r="L8874" s="11" t="n">
        <v>41299.7417361111</v>
      </c>
      <c r="M8874" s="12" t="s">
        <v>237</v>
      </c>
      <c r="N8874" s="12" t="s">
        <v>238</v>
      </c>
      <c r="O8874" s="9" t="str">
        <f aca="false">HYPERLINK("https://pbs.twimg.com/profile_images/900797880516005888/1bWN5qbC_normal.jpg","View")</f>
        <v>View</v>
      </c>
      <c r="P8874" s="10"/>
    </row>
    <row r="8875" customFormat="false" ht="15.75" hidden="false" customHeight="false" outlineLevel="0" collapsed="false">
      <c r="A8875" s="6" t="n">
        <v>43034.9580555556</v>
      </c>
      <c r="B8875" s="7" t="str">
        <f aca="false">HYPERLINK("https://twitter.com/bdnews24","@bdnews24")</f>
        <v>@bdnews24</v>
      </c>
      <c r="C8875" s="8" t="s">
        <v>216</v>
      </c>
      <c r="D8875" s="8" t="s">
        <v>19313</v>
      </c>
      <c r="E8875" s="9" t="str">
        <f aca="false">HYPERLINK("https://twitter.com/bdnews24/status/923791268643303424","923791268643303424")</f>
        <v>923791268643303424</v>
      </c>
      <c r="F8875" s="10" t="s">
        <v>60</v>
      </c>
      <c r="G8875" s="10" t="n">
        <v>215604</v>
      </c>
      <c r="H8875" s="10" t="n">
        <v>67887</v>
      </c>
      <c r="I8875" s="10" t="n">
        <v>0</v>
      </c>
      <c r="J8875" s="10" t="n">
        <v>1</v>
      </c>
      <c r="K8875" s="10" t="s">
        <v>20</v>
      </c>
      <c r="L8875" s="11" t="n">
        <v>39844.4680439815</v>
      </c>
      <c r="M8875" s="12" t="s">
        <v>218</v>
      </c>
      <c r="N8875" s="12" t="s">
        <v>219</v>
      </c>
      <c r="O8875" s="9" t="str">
        <f aca="false">HYPERLINK("https://pbs.twimg.com/profile_images/718433521509994497/4iW9RC_r_normal.jpg","View")</f>
        <v>View</v>
      </c>
      <c r="P8875" s="10"/>
    </row>
    <row r="8876" customFormat="false" ht="15.75" hidden="false" customHeight="false" outlineLevel="0" collapsed="false">
      <c r="A8876" s="6" t="n">
        <v>43034.9580902778</v>
      </c>
      <c r="B8876" s="7" t="str">
        <f aca="false">HYPERLINK("https://twitter.com/BSAFunds","@BSAFunds")</f>
        <v>@BSAFunds</v>
      </c>
      <c r="C8876" s="8" t="s">
        <v>924</v>
      </c>
      <c r="D8876" s="8" t="s">
        <v>19314</v>
      </c>
      <c r="E8876" s="9" t="str">
        <f aca="false">HYPERLINK("https://twitter.com/BSAFunds/status/923791280487968768","923791280487968768")</f>
        <v>923791280487968768</v>
      </c>
      <c r="F8876" s="10" t="s">
        <v>60</v>
      </c>
      <c r="G8876" s="10" t="n">
        <v>20871</v>
      </c>
      <c r="H8876" s="10" t="n">
        <v>8926</v>
      </c>
      <c r="I8876" s="10" t="n">
        <v>0</v>
      </c>
      <c r="J8876" s="10" t="n">
        <v>0</v>
      </c>
      <c r="K8876" s="10" t="s">
        <v>20</v>
      </c>
      <c r="L8876" s="11" t="n">
        <v>42601.9481828704</v>
      </c>
      <c r="M8876" s="12" t="s">
        <v>312</v>
      </c>
      <c r="N8876" s="12" t="s">
        <v>926</v>
      </c>
      <c r="O8876" s="9" t="str">
        <f aca="false">HYPERLINK("https://pbs.twimg.com/profile_images/912769166960033792/N4LAmrTs_normal.jpg","View")</f>
        <v>View</v>
      </c>
      <c r="P8876" s="10"/>
    </row>
    <row r="8877" customFormat="false" ht="15.75" hidden="false" customHeight="false" outlineLevel="0" collapsed="false">
      <c r="A8877" s="6" t="n">
        <v>43034.9584606482</v>
      </c>
      <c r="B8877" s="7" t="str">
        <f aca="false">HYPERLINK("https://twitter.com/News365247live","@News365247live")</f>
        <v>@News365247live</v>
      </c>
      <c r="C8877" s="8" t="s">
        <v>376</v>
      </c>
      <c r="D8877" s="8" t="s">
        <v>19310</v>
      </c>
      <c r="E8877" s="9" t="str">
        <f aca="false">HYPERLINK("https://twitter.com/News365247live/status/923791415884136449","923791415884136449")</f>
        <v>923791415884136449</v>
      </c>
      <c r="F8877" s="10" t="s">
        <v>377</v>
      </c>
      <c r="G8877" s="10" t="n">
        <v>1536</v>
      </c>
      <c r="H8877" s="10" t="n">
        <v>5001</v>
      </c>
      <c r="I8877" s="10" t="n">
        <v>11</v>
      </c>
      <c r="J8877" s="10" t="n">
        <v>0</v>
      </c>
      <c r="K8877" s="10" t="s">
        <v>20</v>
      </c>
      <c r="L8877" s="11" t="n">
        <v>42728.3420949074</v>
      </c>
      <c r="M8877" s="12" t="s">
        <v>357</v>
      </c>
      <c r="N8877" s="12" t="s">
        <v>378</v>
      </c>
      <c r="O8877" s="9" t="str">
        <f aca="false">HYPERLINK("https://pbs.twimg.com/profile_images/813047771091472384/ZtakiWrG_normal.jpg","View")</f>
        <v>View</v>
      </c>
      <c r="P8877" s="10"/>
    </row>
    <row r="8878" customFormat="false" ht="15.75" hidden="false" customHeight="false" outlineLevel="0" collapsed="false">
      <c r="A8878" s="6" t="n">
        <v>43034.9586226852</v>
      </c>
      <c r="B8878" s="7" t="str">
        <f aca="false">HYPERLINK("https://twitter.com/Kingmakertweet","@Kingmakertweet")</f>
        <v>@Kingmakertweet</v>
      </c>
      <c r="C8878" s="8" t="s">
        <v>719</v>
      </c>
      <c r="D8878" s="8" t="s">
        <v>19310</v>
      </c>
      <c r="E8878" s="9" t="str">
        <f aca="false">HYPERLINK("https://twitter.com/Kingmakertweet/status/923791475392909344","923791475392909344")</f>
        <v>923791475392909344</v>
      </c>
      <c r="F8878" s="10" t="s">
        <v>25</v>
      </c>
      <c r="G8878" s="10" t="n">
        <v>139</v>
      </c>
      <c r="H8878" s="10" t="n">
        <v>67</v>
      </c>
      <c r="I8878" s="10" t="n">
        <v>11</v>
      </c>
      <c r="J8878" s="10" t="n">
        <v>0</v>
      </c>
      <c r="K8878" s="10" t="s">
        <v>20</v>
      </c>
      <c r="L8878" s="11" t="n">
        <v>41053.0465046296</v>
      </c>
      <c r="M8878" s="12"/>
      <c r="N8878" s="13" t="s">
        <v>720</v>
      </c>
      <c r="O8878" s="9" t="str">
        <f aca="false">HYPERLINK("https://pbs.twimg.com/profile_images/836959111707123712/vw98l-VT_normal.jpg","View")</f>
        <v>View</v>
      </c>
      <c r="P8878" s="10"/>
    </row>
    <row r="8879" customFormat="false" ht="15.75" hidden="false" customHeight="false" outlineLevel="0" collapsed="false">
      <c r="A8879" s="6" t="n">
        <v>43034.9596064815</v>
      </c>
      <c r="B8879" s="7" t="str">
        <f aca="false">HYPERLINK("https://twitter.com/shailendra_nair","@shailendra_nair")</f>
        <v>@shailendra_nair</v>
      </c>
      <c r="C8879" s="8" t="s">
        <v>251</v>
      </c>
      <c r="D8879" s="8" t="s">
        <v>19315</v>
      </c>
      <c r="E8879" s="9" t="str">
        <f aca="false">HYPERLINK("https://twitter.com/shailendra_nair/status/923791829966999552","923791829966999552")</f>
        <v>923791829966999552</v>
      </c>
      <c r="F8879" s="10" t="s">
        <v>60</v>
      </c>
      <c r="G8879" s="10" t="n">
        <v>3987</v>
      </c>
      <c r="H8879" s="10" t="n">
        <v>1042</v>
      </c>
      <c r="I8879" s="10" t="n">
        <v>0</v>
      </c>
      <c r="J8879" s="10" t="n">
        <v>0</v>
      </c>
      <c r="K8879" s="10" t="s">
        <v>20</v>
      </c>
      <c r="L8879" s="11" t="n">
        <v>40362.4379861111</v>
      </c>
      <c r="M8879" s="12" t="s">
        <v>253</v>
      </c>
      <c r="N8879" s="12" t="s">
        <v>254</v>
      </c>
      <c r="O8879" s="9" t="str">
        <f aca="false">HYPERLINK("https://pbs.twimg.com/profile_images/884758468879466497/M_w6UjD3_normal.jpg","View")</f>
        <v>View</v>
      </c>
      <c r="P8879" s="10"/>
    </row>
    <row r="8880" customFormat="false" ht="15.75" hidden="false" customHeight="false" outlineLevel="0" collapsed="false">
      <c r="A8880" s="6" t="n">
        <v>43034.9601041667</v>
      </c>
      <c r="B8880" s="7" t="str">
        <f aca="false">HYPERLINK("https://twitter.com/serge_poznanski","@serge_poznanski")</f>
        <v>@serge_poznanski</v>
      </c>
      <c r="C8880" s="8" t="s">
        <v>212</v>
      </c>
      <c r="D8880" s="8" t="s">
        <v>19316</v>
      </c>
      <c r="E8880" s="9" t="str">
        <f aca="false">HYPERLINK("https://twitter.com/serge_poznanski/status/923792012708663296","923792012708663296")</f>
        <v>923792012708663296</v>
      </c>
      <c r="F8880" s="10" t="s">
        <v>60</v>
      </c>
      <c r="G8880" s="10" t="n">
        <v>1424</v>
      </c>
      <c r="H8880" s="10" t="n">
        <v>2136</v>
      </c>
      <c r="I8880" s="10" t="n">
        <v>0</v>
      </c>
      <c r="J8880" s="10" t="n">
        <v>0</v>
      </c>
      <c r="K8880" s="10" t="s">
        <v>20</v>
      </c>
      <c r="L8880" s="11" t="n">
        <v>42271.4744560185</v>
      </c>
      <c r="M8880" s="12"/>
      <c r="N8880" s="12"/>
      <c r="O8880" s="9" t="str">
        <f aca="false">HYPERLINK("https://pbs.twimg.com/profile_images/647277253240291328/3GezjFCJ_normal.jpg","View")</f>
        <v>View</v>
      </c>
      <c r="P8880" s="10"/>
    </row>
    <row r="8881" customFormat="false" ht="15.75" hidden="false" customHeight="false" outlineLevel="0" collapsed="false">
      <c r="A8881" s="6" t="n">
        <v>43034.9609490741</v>
      </c>
      <c r="B8881" s="7" t="str">
        <f aca="false">HYPERLINK("https://twitter.com/swissifg","@swissifg")</f>
        <v>@swissifg</v>
      </c>
      <c r="C8881" s="8" t="s">
        <v>247</v>
      </c>
      <c r="D8881" s="8" t="s">
        <v>19317</v>
      </c>
      <c r="E8881" s="9" t="str">
        <f aca="false">HYPERLINK("https://twitter.com/swissifg/status/923792318062350336","923792318062350336")</f>
        <v>923792318062350336</v>
      </c>
      <c r="F8881" s="10" t="s">
        <v>60</v>
      </c>
      <c r="G8881" s="10" t="n">
        <v>1202</v>
      </c>
      <c r="H8881" s="10" t="n">
        <v>670</v>
      </c>
      <c r="I8881" s="10" t="n">
        <v>0</v>
      </c>
      <c r="J8881" s="10" t="n">
        <v>0</v>
      </c>
      <c r="K8881" s="10" t="s">
        <v>20</v>
      </c>
      <c r="L8881" s="11" t="n">
        <v>42499.2341087963</v>
      </c>
      <c r="M8881" s="12" t="s">
        <v>249</v>
      </c>
      <c r="N8881" s="12" t="s">
        <v>250</v>
      </c>
      <c r="O8881" s="9" t="str">
        <f aca="false">HYPERLINK("https://pbs.twimg.com/profile_images/729681805088063489/N4ls5vb8_normal.jpg","View")</f>
        <v>View</v>
      </c>
      <c r="P8881" s="10"/>
    </row>
    <row r="8882" customFormat="false" ht="15.75" hidden="false" customHeight="false" outlineLevel="0" collapsed="false">
      <c r="A8882" s="6" t="n">
        <v>43034.9614583333</v>
      </c>
      <c r="B8882" s="7" t="str">
        <f aca="false">HYPERLINK("https://twitter.com/Danfaullim","@Danfaullim")</f>
        <v>@Danfaullim</v>
      </c>
      <c r="C8882" s="8" t="s">
        <v>19318</v>
      </c>
      <c r="D8882" s="8" t="s">
        <v>19310</v>
      </c>
      <c r="E8882" s="9" t="str">
        <f aca="false">HYPERLINK("https://twitter.com/Danfaullim/status/923792504465616897","923792504465616897")</f>
        <v>923792504465616897</v>
      </c>
      <c r="F8882" s="10" t="s">
        <v>51</v>
      </c>
      <c r="G8882" s="10" t="n">
        <v>593</v>
      </c>
      <c r="H8882" s="10" t="n">
        <v>571</v>
      </c>
      <c r="I8882" s="10" t="n">
        <v>11</v>
      </c>
      <c r="J8882" s="10" t="n">
        <v>0</v>
      </c>
      <c r="K8882" s="10" t="s">
        <v>20</v>
      </c>
      <c r="L8882" s="11" t="n">
        <v>40784.5207060185</v>
      </c>
      <c r="M8882" s="12" t="s">
        <v>19319</v>
      </c>
      <c r="N8882" s="12" t="s">
        <v>19320</v>
      </c>
      <c r="O8882" s="9" t="str">
        <f aca="false">HYPERLINK("https://pbs.twimg.com/profile_images/911989236395593728/zHyTym35_normal.jpg","View")</f>
        <v>View</v>
      </c>
      <c r="P8882" s="10"/>
    </row>
    <row r="8883" customFormat="false" ht="15.75" hidden="false" customHeight="false" outlineLevel="0" collapsed="false">
      <c r="A8883" s="6" t="n">
        <v>43034.9621875</v>
      </c>
      <c r="B8883" s="7" t="str">
        <f aca="false">HYPERLINK("https://twitter.com/jaimeotero_","@jaimeotero_")</f>
        <v>@jaimeotero_</v>
      </c>
      <c r="C8883" s="8" t="s">
        <v>205</v>
      </c>
      <c r="D8883" s="8" t="s">
        <v>19321</v>
      </c>
      <c r="E8883" s="9" t="str">
        <f aca="false">HYPERLINK("https://twitter.com/jaimeotero_/status/923792765368094720","923792765368094720")</f>
        <v>923792765368094720</v>
      </c>
      <c r="F8883" s="10" t="s">
        <v>60</v>
      </c>
      <c r="G8883" s="10" t="n">
        <v>34492</v>
      </c>
      <c r="H8883" s="10" t="n">
        <v>31252</v>
      </c>
      <c r="I8883" s="10" t="n">
        <v>0</v>
      </c>
      <c r="J8883" s="10" t="n">
        <v>0</v>
      </c>
      <c r="K8883" s="10" t="s">
        <v>20</v>
      </c>
      <c r="L8883" s="11" t="n">
        <v>42531.0121990741</v>
      </c>
      <c r="M8883" s="12" t="s">
        <v>207</v>
      </c>
      <c r="N8883" s="12" t="s">
        <v>208</v>
      </c>
      <c r="O8883" s="9" t="str">
        <f aca="false">HYPERLINK("https://pbs.twimg.com/profile_images/849817561281818626/acAU04SD_normal.jpg","View")</f>
        <v>View</v>
      </c>
      <c r="P8883" s="10"/>
    </row>
    <row r="8884" customFormat="false" ht="15.75" hidden="false" customHeight="false" outlineLevel="0" collapsed="false">
      <c r="A8884" s="6" t="n">
        <v>43034.9625578704</v>
      </c>
      <c r="B8884" s="7" t="str">
        <f aca="false">HYPERLINK("https://twitter.com/lawya_jp","@lawya_jp")</f>
        <v>@lawya_jp</v>
      </c>
      <c r="C8884" s="14" t="s">
        <v>19322</v>
      </c>
      <c r="D8884" s="8" t="s">
        <v>19310</v>
      </c>
      <c r="E8884" s="9" t="str">
        <f aca="false">HYPERLINK("https://twitter.com/lawya_jp/status/923792900915208192","923792900915208192")</f>
        <v>923792900915208192</v>
      </c>
      <c r="F8884" s="10" t="s">
        <v>51</v>
      </c>
      <c r="G8884" s="10" t="n">
        <v>2643</v>
      </c>
      <c r="H8884" s="10" t="n">
        <v>543</v>
      </c>
      <c r="I8884" s="10" t="n">
        <v>11</v>
      </c>
      <c r="J8884" s="10" t="n">
        <v>0</v>
      </c>
      <c r="K8884" s="10" t="s">
        <v>20</v>
      </c>
      <c r="L8884" s="11" t="n">
        <v>40346.9975578704</v>
      </c>
      <c r="M8884" s="12"/>
      <c r="N8884" s="13" t="s">
        <v>19323</v>
      </c>
      <c r="O8884" s="9" t="str">
        <f aca="false">HYPERLINK("https://pbs.twimg.com/profile_images/876739324947054593/SgBhF4B4_normal.jpg","View")</f>
        <v>View</v>
      </c>
      <c r="P8884" s="10"/>
    </row>
    <row r="8885" customFormat="false" ht="15.75" hidden="false" customHeight="false" outlineLevel="0" collapsed="false">
      <c r="A8885" s="6" t="n">
        <v>43034.9626388889</v>
      </c>
      <c r="B8885" s="7" t="str">
        <f aca="false">HYPERLINK("https://twitter.com/Bullish","@Bullish")</f>
        <v>@Bullish</v>
      </c>
      <c r="C8885" s="8" t="s">
        <v>223</v>
      </c>
      <c r="D8885" s="8" t="s">
        <v>19324</v>
      </c>
      <c r="E8885" s="9" t="str">
        <f aca="false">HYPERLINK("https://twitter.com/Bullish/status/923792929860325376","923792929860325376")</f>
        <v>923792929860325376</v>
      </c>
      <c r="F8885" s="10" t="s">
        <v>60</v>
      </c>
      <c r="G8885" s="10" t="n">
        <v>184</v>
      </c>
      <c r="H8885" s="10" t="n">
        <v>87</v>
      </c>
      <c r="I8885" s="10" t="n">
        <v>0</v>
      </c>
      <c r="J8885" s="10" t="n">
        <v>1</v>
      </c>
      <c r="K8885" s="10" t="s">
        <v>20</v>
      </c>
      <c r="L8885" s="11" t="n">
        <v>42618.7530439815</v>
      </c>
      <c r="M8885" s="12"/>
      <c r="N8885" s="12"/>
      <c r="O8885" s="9" t="str">
        <f aca="false">HYPERLINK("https://pbs.twimg.com/profile_images/798692093736599552/UikI9dNE_normal.jpg","View")</f>
        <v>View</v>
      </c>
      <c r="P8885" s="10"/>
    </row>
    <row r="8886" customFormat="false" ht="15.75" hidden="false" customHeight="false" outlineLevel="0" collapsed="false">
      <c r="A8886" s="6" t="n">
        <v>43034.9634722222</v>
      </c>
      <c r="B8886" s="7" t="str">
        <f aca="false">HYPERLINK("https://twitter.com/mlnangalama","@mlnangalama")</f>
        <v>@mlnangalama</v>
      </c>
      <c r="C8886" s="8" t="s">
        <v>255</v>
      </c>
      <c r="D8886" s="8" t="s">
        <v>19325</v>
      </c>
      <c r="E8886" s="9" t="str">
        <f aca="false">HYPERLINK("https://twitter.com/mlnangalama/status/923793234278735872","923793234278735872")</f>
        <v>923793234278735872</v>
      </c>
      <c r="F8886" s="10" t="s">
        <v>60</v>
      </c>
      <c r="G8886" s="10" t="n">
        <v>2370</v>
      </c>
      <c r="H8886" s="10" t="n">
        <v>1584</v>
      </c>
      <c r="I8886" s="10" t="n">
        <v>0</v>
      </c>
      <c r="J8886" s="10" t="n">
        <v>0</v>
      </c>
      <c r="K8886" s="10" t="s">
        <v>20</v>
      </c>
      <c r="L8886" s="11" t="n">
        <v>41041.5437847222</v>
      </c>
      <c r="M8886" s="12" t="s">
        <v>257</v>
      </c>
      <c r="N8886" s="12" t="s">
        <v>258</v>
      </c>
      <c r="O8886" s="9" t="str">
        <f aca="false">HYPERLINK("https://pbs.twimg.com/profile_images/900915882444173313/biUHzvpx_normal.jpg","View")</f>
        <v>View</v>
      </c>
      <c r="P8886" s="10"/>
    </row>
    <row r="8887" customFormat="false" ht="15.75" hidden="false" customHeight="false" outlineLevel="0" collapsed="false">
      <c r="A8887" s="6" t="n">
        <v>43034.9646412037</v>
      </c>
      <c r="B8887" s="7" t="str">
        <f aca="false">HYPERLINK("https://twitter.com/Tekki_VR","@Tekki_VR")</f>
        <v>@Tekki_VR</v>
      </c>
      <c r="C8887" s="8" t="s">
        <v>225</v>
      </c>
      <c r="D8887" s="8" t="s">
        <v>19326</v>
      </c>
      <c r="E8887" s="9" t="str">
        <f aca="false">HYPERLINK("https://twitter.com/Tekki_VR/status/923793654308884480","923793654308884480")</f>
        <v>923793654308884480</v>
      </c>
      <c r="F8887" s="10" t="s">
        <v>60</v>
      </c>
      <c r="G8887" s="10" t="n">
        <v>1895</v>
      </c>
      <c r="H8887" s="10" t="n">
        <v>2479</v>
      </c>
      <c r="I8887" s="10" t="n">
        <v>0</v>
      </c>
      <c r="J8887" s="10" t="n">
        <v>0</v>
      </c>
      <c r="K8887" s="10" t="s">
        <v>20</v>
      </c>
      <c r="L8887" s="11" t="n">
        <v>42263.5455324074</v>
      </c>
      <c r="M8887" s="12" t="s">
        <v>227</v>
      </c>
      <c r="N8887" s="12" t="s">
        <v>228</v>
      </c>
      <c r="O8887" s="9" t="str">
        <f aca="false">HYPERLINK("https://pbs.twimg.com/profile_images/760662770694098944/h1nSBfE8_normal.jpg","View")</f>
        <v>View</v>
      </c>
      <c r="P8887" s="10"/>
    </row>
    <row r="8888" customFormat="false" ht="15.75" hidden="false" customHeight="false" outlineLevel="0" collapsed="false">
      <c r="A8888" s="6" t="n">
        <v>43034.9680671296</v>
      </c>
      <c r="B8888" s="7" t="str">
        <f aca="false">HYPERLINK("https://twitter.com/grantsclark","@grantsclark")</f>
        <v>@grantsclark</v>
      </c>
      <c r="C8888" s="8" t="s">
        <v>19327</v>
      </c>
      <c r="D8888" s="8" t="s">
        <v>19310</v>
      </c>
      <c r="E8888" s="9" t="str">
        <f aca="false">HYPERLINK("https://twitter.com/grantsclark/status/923794896875433984","923794896875433984")</f>
        <v>923794896875433984</v>
      </c>
      <c r="F8888" s="10" t="s">
        <v>276</v>
      </c>
      <c r="G8888" s="10" t="n">
        <v>59</v>
      </c>
      <c r="H8888" s="10" t="n">
        <v>156</v>
      </c>
      <c r="I8888" s="10" t="n">
        <v>11</v>
      </c>
      <c r="J8888" s="10" t="n">
        <v>0</v>
      </c>
      <c r="K8888" s="10" t="s">
        <v>20</v>
      </c>
      <c r="L8888" s="11" t="n">
        <v>41051.7950231482</v>
      </c>
      <c r="M8888" s="12" t="s">
        <v>186</v>
      </c>
      <c r="N8888" s="12" t="s">
        <v>19328</v>
      </c>
      <c r="O8888" s="9" t="str">
        <f aca="false">HYPERLINK("https://pbs.twimg.com/profile_images/710695260901347328/IkKV1Sa6_normal.jpg","View")</f>
        <v>View</v>
      </c>
      <c r="P8888" s="10"/>
    </row>
    <row r="8889" customFormat="false" ht="15.75" hidden="false" customHeight="false" outlineLevel="0" collapsed="false">
      <c r="A8889" s="6" t="n">
        <v>43034.9742592593</v>
      </c>
      <c r="B8889" s="7" t="str">
        <f aca="false">HYPERLINK("https://twitter.com/MANDYTHEALPHA","@MANDYTHEALPHA")</f>
        <v>@MANDYTHEALPHA</v>
      </c>
      <c r="C8889" s="8" t="s">
        <v>19329</v>
      </c>
      <c r="D8889" s="8" t="s">
        <v>19310</v>
      </c>
      <c r="E8889" s="9" t="str">
        <f aca="false">HYPERLINK("https://twitter.com/MANDYTHEALPHA/status/923797140530397184","923797140530397184")</f>
        <v>923797140530397184</v>
      </c>
      <c r="F8889" s="10" t="s">
        <v>39</v>
      </c>
      <c r="G8889" s="10" t="n">
        <v>1093</v>
      </c>
      <c r="H8889" s="10" t="n">
        <v>1677</v>
      </c>
      <c r="I8889" s="10" t="n">
        <v>11</v>
      </c>
      <c r="J8889" s="10" t="n">
        <v>0</v>
      </c>
      <c r="K8889" s="10" t="s">
        <v>20</v>
      </c>
      <c r="L8889" s="11" t="n">
        <v>40007.6525462963</v>
      </c>
      <c r="M8889" s="12" t="s">
        <v>19330</v>
      </c>
      <c r="N8889" s="12" t="s">
        <v>19331</v>
      </c>
      <c r="O8889" s="9" t="str">
        <f aca="false">HYPERLINK("https://pbs.twimg.com/profile_images/388973513/mandy_the_alpha_dogcropped_normal.jpg","View")</f>
        <v>View</v>
      </c>
      <c r="P8889" s="10"/>
    </row>
    <row r="8890" customFormat="false" ht="15.75" hidden="false" customHeight="false" outlineLevel="0" collapsed="false">
      <c r="A8890" s="6" t="n">
        <v>43034.9759606482</v>
      </c>
      <c r="B8890" s="7" t="str">
        <f aca="false">HYPERLINK("https://twitter.com/somethingnew447","@somethingnew447")</f>
        <v>@somethingnew447</v>
      </c>
      <c r="C8890" s="8" t="s">
        <v>19332</v>
      </c>
      <c r="D8890" s="8" t="s">
        <v>19310</v>
      </c>
      <c r="E8890" s="9" t="str">
        <f aca="false">HYPERLINK("https://twitter.com/somethingnew447/status/923797758062014465","923797758062014465")</f>
        <v>923797758062014465</v>
      </c>
      <c r="F8890" s="10" t="s">
        <v>25</v>
      </c>
      <c r="G8890" s="10" t="n">
        <v>43</v>
      </c>
      <c r="H8890" s="10" t="n">
        <v>222</v>
      </c>
      <c r="I8890" s="10" t="n">
        <v>11</v>
      </c>
      <c r="J8890" s="10" t="n">
        <v>0</v>
      </c>
      <c r="K8890" s="10" t="s">
        <v>20</v>
      </c>
      <c r="L8890" s="11" t="n">
        <v>43033.7092824074</v>
      </c>
      <c r="M8890" s="12"/>
      <c r="N8890" s="12"/>
      <c r="O8890" s="9" t="str">
        <f aca="false">HYPERLINK("https://pbs.twimg.com/profile_images/923342486130577408/fpWgrUQT_normal.jpg","View")</f>
        <v>View</v>
      </c>
      <c r="P8890" s="10"/>
    </row>
    <row r="8891" customFormat="false" ht="15.75" hidden="false" customHeight="false" outlineLevel="0" collapsed="false">
      <c r="A8891" s="6" t="n">
        <v>43034.9940162037</v>
      </c>
      <c r="B8891" s="7" t="str">
        <f aca="false">HYPERLINK("https://twitter.com/market4justice","@market4justice")</f>
        <v>@market4justice</v>
      </c>
      <c r="C8891" s="8" t="s">
        <v>11426</v>
      </c>
      <c r="D8891" s="8" t="s">
        <v>19333</v>
      </c>
      <c r="E8891" s="9" t="str">
        <f aca="false">HYPERLINK("https://twitter.com/market4justice/status/923804299217506304","923804299217506304")</f>
        <v>923804299217506304</v>
      </c>
      <c r="F8891" s="10" t="s">
        <v>60</v>
      </c>
      <c r="G8891" s="10" t="n">
        <v>435</v>
      </c>
      <c r="H8891" s="10" t="n">
        <v>137</v>
      </c>
      <c r="I8891" s="10" t="n">
        <v>0</v>
      </c>
      <c r="J8891" s="10" t="n">
        <v>0</v>
      </c>
      <c r="K8891" s="10" t="s">
        <v>20</v>
      </c>
      <c r="L8891" s="11" t="n">
        <v>42184.4424421296</v>
      </c>
      <c r="M8891" s="12" t="s">
        <v>21</v>
      </c>
      <c r="N8891" s="12" t="s">
        <v>11428</v>
      </c>
      <c r="O8891" s="9" t="str">
        <f aca="false">HYPERLINK("https://pbs.twimg.com/profile_images/615577051399983104/1B-CM5fS_normal.jpg","View")</f>
        <v>View</v>
      </c>
      <c r="P8891" s="10"/>
    </row>
    <row r="8892" customFormat="false" ht="15.75" hidden="false" customHeight="false" outlineLevel="0" collapsed="false">
      <c r="A8892" s="6" t="n">
        <v>43035.0372685185</v>
      </c>
      <c r="B8892" s="7" t="str">
        <f aca="false">HYPERLINK("https://twitter.com/painterman7777","@painterman7777")</f>
        <v>@painterman7777</v>
      </c>
      <c r="C8892" s="8" t="s">
        <v>19334</v>
      </c>
      <c r="D8892" s="8" t="s">
        <v>2518</v>
      </c>
      <c r="E8892" s="9" t="str">
        <f aca="false">HYPERLINK("https://twitter.com/painterman7777/status/923819976301178880","923819976301178880")</f>
        <v>923819976301178880</v>
      </c>
      <c r="F8892" s="10" t="s">
        <v>25</v>
      </c>
      <c r="G8892" s="10" t="n">
        <v>97</v>
      </c>
      <c r="H8892" s="10" t="n">
        <v>620</v>
      </c>
      <c r="I8892" s="10" t="n">
        <v>14</v>
      </c>
      <c r="J8892" s="10" t="n">
        <v>0</v>
      </c>
      <c r="K8892" s="10" t="s">
        <v>20</v>
      </c>
      <c r="L8892" s="11" t="n">
        <v>40108.4598958333</v>
      </c>
      <c r="M8892" s="12" t="s">
        <v>3695</v>
      </c>
      <c r="N8892" s="12"/>
      <c r="O8892" s="9" t="str">
        <f aca="false">HYPERLINK("https://pbs.twimg.com/profile_images/470230900094287873/H_Ol3_Wv_normal.jpeg","View")</f>
        <v>View</v>
      </c>
      <c r="P8892" s="10"/>
    </row>
    <row r="8893" customFormat="false" ht="15.75" hidden="false" customHeight="false" outlineLevel="0" collapsed="false">
      <c r="A8893" s="6" t="n">
        <v>43035.066400463</v>
      </c>
      <c r="B8893" s="7" t="str">
        <f aca="false">HYPERLINK("https://twitter.com/Taigaa001","@Taigaa001")</f>
        <v>@Taigaa001</v>
      </c>
      <c r="C8893" s="14" t="s">
        <v>19335</v>
      </c>
      <c r="D8893" s="8" t="s">
        <v>4984</v>
      </c>
      <c r="E8893" s="9" t="str">
        <f aca="false">HYPERLINK("https://twitter.com/Taigaa001/status/923830533796216833","923830533796216833")</f>
        <v>923830533796216833</v>
      </c>
      <c r="F8893" s="10" t="s">
        <v>39</v>
      </c>
      <c r="G8893" s="10" t="n">
        <v>1864</v>
      </c>
      <c r="H8893" s="10" t="n">
        <v>4795</v>
      </c>
      <c r="I8893" s="10" t="n">
        <v>187</v>
      </c>
      <c r="J8893" s="10" t="n">
        <v>0</v>
      </c>
      <c r="K8893" s="10" t="s">
        <v>20</v>
      </c>
      <c r="L8893" s="11" t="n">
        <v>40319.2527662037</v>
      </c>
      <c r="M8893" s="12"/>
      <c r="N8893" s="12" t="s">
        <v>19336</v>
      </c>
      <c r="O8893" s="9" t="str">
        <f aca="false">HYPERLINK("https://abs.twimg.com/sticky/default_profile_images/default_profile_normal.png","View")</f>
        <v>View</v>
      </c>
      <c r="P8893" s="10"/>
    </row>
    <row r="8894" customFormat="false" ht="15.75" hidden="false" customHeight="false" outlineLevel="0" collapsed="false">
      <c r="A8894" s="6" t="n">
        <v>43035.0815972222</v>
      </c>
      <c r="B8894" s="7" t="str">
        <f aca="false">HYPERLINK("https://twitter.com/asuka_250","@asuka_250")</f>
        <v>@asuka_250</v>
      </c>
      <c r="C8894" s="8" t="s">
        <v>1235</v>
      </c>
      <c r="D8894" s="8" t="s">
        <v>19204</v>
      </c>
      <c r="E8894" s="9" t="str">
        <f aca="false">HYPERLINK("https://twitter.com/asuka_250/status/923836039986216960","923836039986216960")</f>
        <v>923836039986216960</v>
      </c>
      <c r="F8894" s="10" t="s">
        <v>25</v>
      </c>
      <c r="G8894" s="10" t="n">
        <v>30709</v>
      </c>
      <c r="H8894" s="10" t="n">
        <v>30516</v>
      </c>
      <c r="I8894" s="10" t="n">
        <v>42</v>
      </c>
      <c r="J8894" s="10" t="n">
        <v>0</v>
      </c>
      <c r="K8894" s="10" t="s">
        <v>20</v>
      </c>
      <c r="L8894" s="11" t="n">
        <v>41943.1724768519</v>
      </c>
      <c r="M8894" s="12" t="s">
        <v>186</v>
      </c>
      <c r="N8894" s="12" t="s">
        <v>1236</v>
      </c>
      <c r="O8894" s="9" t="str">
        <f aca="false">HYPERLINK("https://pbs.twimg.com/profile_images/576284037486014464/dhYtI1qZ_normal.jpeg","View")</f>
        <v>View</v>
      </c>
      <c r="P8894" s="10"/>
    </row>
    <row r="8895" customFormat="false" ht="15.75" hidden="false" customHeight="false" outlineLevel="0" collapsed="false">
      <c r="A8895" s="6" t="n">
        <v>43035.1040046296</v>
      </c>
      <c r="B8895" s="7" t="str">
        <f aca="false">HYPERLINK("https://twitter.com/clara111","@clara111")</f>
        <v>@clara111</v>
      </c>
      <c r="C8895" s="8" t="s">
        <v>12487</v>
      </c>
      <c r="D8895" s="8" t="s">
        <v>19337</v>
      </c>
      <c r="E8895" s="9" t="str">
        <f aca="false">HYPERLINK("https://twitter.com/clara111/status/923844158317613056","923844158317613056")</f>
        <v>923844158317613056</v>
      </c>
      <c r="F8895" s="10" t="s">
        <v>39</v>
      </c>
      <c r="G8895" s="10" t="n">
        <v>8407</v>
      </c>
      <c r="H8895" s="10" t="n">
        <v>5590</v>
      </c>
      <c r="I8895" s="10" t="n">
        <v>2</v>
      </c>
      <c r="J8895" s="10" t="n">
        <v>5</v>
      </c>
      <c r="K8895" s="10" t="s">
        <v>20</v>
      </c>
      <c r="L8895" s="11" t="n">
        <v>40233.2248148148</v>
      </c>
      <c r="M8895" s="12"/>
      <c r="N8895" s="12" t="s">
        <v>12489</v>
      </c>
      <c r="O8895" s="9" t="str">
        <f aca="false">HYPERLINK("https://pbs.twimg.com/profile_images/870158636219236352/Di-Vel_D_normal.jpg","View")</f>
        <v>View</v>
      </c>
      <c r="P8895" s="10"/>
    </row>
    <row r="8896" customFormat="false" ht="15.75" hidden="false" customHeight="false" outlineLevel="0" collapsed="false">
      <c r="A8896" s="6" t="n">
        <v>43035.1187268519</v>
      </c>
      <c r="B8896" s="7" t="str">
        <f aca="false">HYPERLINK("https://twitter.com/theTrumpet_com","@theTrumpet_com")</f>
        <v>@theTrumpet_com</v>
      </c>
      <c r="C8896" s="7" t="s">
        <v>19338</v>
      </c>
      <c r="D8896" s="8" t="s">
        <v>19339</v>
      </c>
      <c r="E8896" s="9" t="str">
        <f aca="false">HYPERLINK("https://twitter.com/theTrumpet_com/status/923849496064339968","923849496064339968")</f>
        <v>923849496064339968</v>
      </c>
      <c r="F8896" s="10" t="s">
        <v>39</v>
      </c>
      <c r="G8896" s="10" t="n">
        <v>5287</v>
      </c>
      <c r="H8896" s="10" t="n">
        <v>29</v>
      </c>
      <c r="I8896" s="10" t="n">
        <v>5</v>
      </c>
      <c r="J8896" s="10" t="n">
        <v>10</v>
      </c>
      <c r="K8896" s="10" t="s">
        <v>20</v>
      </c>
      <c r="L8896" s="11" t="n">
        <v>40196.7688773148</v>
      </c>
      <c r="M8896" s="12" t="s">
        <v>19340</v>
      </c>
      <c r="N8896" s="12" t="s">
        <v>19341</v>
      </c>
      <c r="O8896" s="9" t="str">
        <f aca="false">HYPERLINK("https://pbs.twimg.com/profile_images/554726601665949697/LnyYamBQ_normal.png","View")</f>
        <v>View</v>
      </c>
      <c r="P8896" s="10"/>
    </row>
    <row r="8897" customFormat="false" ht="15.75" hidden="false" customHeight="false" outlineLevel="0" collapsed="false">
      <c r="A8897" s="6" t="n">
        <v>43035.1601273148</v>
      </c>
      <c r="B8897" s="7" t="str">
        <f aca="false">HYPERLINK("https://twitter.com/asuka_250","@asuka_250")</f>
        <v>@asuka_250</v>
      </c>
      <c r="C8897" s="8" t="s">
        <v>1235</v>
      </c>
      <c r="D8897" s="8" t="s">
        <v>19342</v>
      </c>
      <c r="E8897" s="9" t="str">
        <f aca="false">HYPERLINK("https://twitter.com/asuka_250/status/923864496744964096","923864496744964096")</f>
        <v>923864496744964096</v>
      </c>
      <c r="F8897" s="10" t="s">
        <v>25</v>
      </c>
      <c r="G8897" s="10" t="n">
        <v>30709</v>
      </c>
      <c r="H8897" s="10" t="n">
        <v>30516</v>
      </c>
      <c r="I8897" s="10" t="n">
        <v>7</v>
      </c>
      <c r="J8897" s="10" t="n">
        <v>3</v>
      </c>
      <c r="K8897" s="10" t="s">
        <v>20</v>
      </c>
      <c r="L8897" s="11" t="n">
        <v>41943.1724768519</v>
      </c>
      <c r="M8897" s="12" t="s">
        <v>186</v>
      </c>
      <c r="N8897" s="12" t="s">
        <v>1236</v>
      </c>
      <c r="O8897" s="9" t="str">
        <f aca="false">HYPERLINK("https://pbs.twimg.com/profile_images/576284037486014464/dhYtI1qZ_normal.jpeg","View")</f>
        <v>View</v>
      </c>
      <c r="P8897" s="10"/>
    </row>
    <row r="8898" customFormat="false" ht="15.75" hidden="false" customHeight="false" outlineLevel="0" collapsed="false">
      <c r="A8898" s="6" t="n">
        <v>43035.1604976852</v>
      </c>
      <c r="B8898" s="7" t="str">
        <f aca="false">HYPERLINK("https://twitter.com/JOTA_4683","@JOTA_4683")</f>
        <v>@JOTA_4683</v>
      </c>
      <c r="C8898" s="14" t="s">
        <v>1747</v>
      </c>
      <c r="D8898" s="8" t="s">
        <v>19343</v>
      </c>
      <c r="E8898" s="9" t="str">
        <f aca="false">HYPERLINK("https://twitter.com/JOTA_4683/status/923864632078372864","923864632078372864")</f>
        <v>923864632078372864</v>
      </c>
      <c r="F8898" s="10" t="s">
        <v>51</v>
      </c>
      <c r="G8898" s="10" t="n">
        <v>651</v>
      </c>
      <c r="H8898" s="10" t="n">
        <v>554</v>
      </c>
      <c r="I8898" s="10" t="n">
        <v>7</v>
      </c>
      <c r="J8898" s="10" t="n">
        <v>0</v>
      </c>
      <c r="K8898" s="10" t="s">
        <v>20</v>
      </c>
      <c r="L8898" s="11" t="n">
        <v>40814.3605787037</v>
      </c>
      <c r="M8898" s="12"/>
      <c r="N8898" s="12"/>
      <c r="O8898" s="9" t="str">
        <f aca="false">HYPERLINK("https://pbs.twimg.com/profile_images/378800000839702070/2bf26f3be0992fd006bcafeab072af4e_normal.jpeg","View")</f>
        <v>View</v>
      </c>
      <c r="P8898" s="10"/>
    </row>
    <row r="8899" customFormat="false" ht="15.75" hidden="false" customHeight="false" outlineLevel="0" collapsed="false">
      <c r="A8899" s="6" t="n">
        <v>43035.1650925926</v>
      </c>
      <c r="B8899" s="7" t="str">
        <f aca="false">HYPERLINK("https://twitter.com/m7m5ea","@m7m5ea")</f>
        <v>@m7m5ea</v>
      </c>
      <c r="C8899" s="8" t="s">
        <v>5840</v>
      </c>
      <c r="D8899" s="8" t="s">
        <v>19343</v>
      </c>
      <c r="E8899" s="9" t="str">
        <f aca="false">HYPERLINK("https://twitter.com/m7m5ea/status/923866297049350144","923866297049350144")</f>
        <v>923866297049350144</v>
      </c>
      <c r="F8899" s="10" t="s">
        <v>25</v>
      </c>
      <c r="G8899" s="10" t="n">
        <v>146</v>
      </c>
      <c r="H8899" s="10" t="n">
        <v>810</v>
      </c>
      <c r="I8899" s="10" t="n">
        <v>7</v>
      </c>
      <c r="J8899" s="10" t="n">
        <v>0</v>
      </c>
      <c r="K8899" s="10" t="s">
        <v>20</v>
      </c>
      <c r="L8899" s="11" t="n">
        <v>42568.2016203704</v>
      </c>
      <c r="M8899" s="12"/>
      <c r="N8899" s="12" t="s">
        <v>5841</v>
      </c>
      <c r="O8899" s="9" t="str">
        <f aca="false">HYPERLINK("https://pbs.twimg.com/profile_images/856484077456601088/sUHTZafL_normal.jpg","View")</f>
        <v>View</v>
      </c>
      <c r="P8899" s="10"/>
    </row>
    <row r="8900" customFormat="false" ht="15.75" hidden="false" customHeight="false" outlineLevel="0" collapsed="false">
      <c r="A8900" s="6" t="n">
        <v>43035.1663194444</v>
      </c>
      <c r="B8900" s="7" t="str">
        <f aca="false">HYPERLINK("https://twitter.com/YourAnonRevolt","@YourAnonRevolt")</f>
        <v>@YourAnonRevolt</v>
      </c>
      <c r="C8900" s="8" t="s">
        <v>2284</v>
      </c>
      <c r="D8900" s="8" t="s">
        <v>19343</v>
      </c>
      <c r="E8900" s="9" t="str">
        <f aca="false">HYPERLINK("https://twitter.com/YourAnonRevolt/status/923866740571783169","923866740571783169")</f>
        <v>923866740571783169</v>
      </c>
      <c r="F8900" s="10" t="s">
        <v>39</v>
      </c>
      <c r="G8900" s="10" t="n">
        <v>11181</v>
      </c>
      <c r="H8900" s="10" t="n">
        <v>4106</v>
      </c>
      <c r="I8900" s="10" t="n">
        <v>7</v>
      </c>
      <c r="J8900" s="10" t="n">
        <v>0</v>
      </c>
      <c r="K8900" s="10" t="s">
        <v>20</v>
      </c>
      <c r="L8900" s="11" t="n">
        <v>42478.1002199074</v>
      </c>
      <c r="M8900" s="12" t="s">
        <v>2285</v>
      </c>
      <c r="N8900" s="12" t="s">
        <v>2286</v>
      </c>
      <c r="O8900" s="9" t="str">
        <f aca="false">HYPERLINK("https://pbs.twimg.com/profile_images/881398153030713344/FN9uhI_M_normal.jpg","View")</f>
        <v>View</v>
      </c>
      <c r="P8900" s="10"/>
    </row>
    <row r="8901" customFormat="false" ht="15.75" hidden="false" customHeight="false" outlineLevel="0" collapsed="false">
      <c r="A8901" s="6" t="n">
        <v>43035.1664814815</v>
      </c>
      <c r="B8901" s="7" t="str">
        <f aca="false">HYPERLINK("https://twitter.com/jmhamiltonblog","@jmhamiltonblog")</f>
        <v>@jmhamiltonblog</v>
      </c>
      <c r="C8901" s="8" t="s">
        <v>1155</v>
      </c>
      <c r="D8901" s="8" t="s">
        <v>19310</v>
      </c>
      <c r="E8901" s="9" t="str">
        <f aca="false">HYPERLINK("https://twitter.com/jmhamiltonblog/status/923866800303075329","923866800303075329")</f>
        <v>923866800303075329</v>
      </c>
      <c r="F8901" s="10" t="s">
        <v>39</v>
      </c>
      <c r="G8901" s="10" t="n">
        <v>5960</v>
      </c>
      <c r="H8901" s="10" t="n">
        <v>5484</v>
      </c>
      <c r="I8901" s="10" t="n">
        <v>11</v>
      </c>
      <c r="J8901" s="10" t="n">
        <v>0</v>
      </c>
      <c r="K8901" s="10" t="s">
        <v>20</v>
      </c>
      <c r="L8901" s="11" t="n">
        <v>40565.4844675926</v>
      </c>
      <c r="M8901" s="12" t="s">
        <v>1156</v>
      </c>
      <c r="N8901" s="12" t="s">
        <v>1157</v>
      </c>
      <c r="O8901" s="9" t="str">
        <f aca="false">HYPERLINK("https://pbs.twimg.com/profile_images/1261161568/Camera_Phone_009_normal.jpg","View")</f>
        <v>View</v>
      </c>
      <c r="P8901" s="10"/>
    </row>
    <row r="8902" customFormat="false" ht="15.75" hidden="false" customHeight="false" outlineLevel="0" collapsed="false">
      <c r="A8902" s="6" t="n">
        <v>43035.1749305556</v>
      </c>
      <c r="B8902" s="7" t="str">
        <f aca="false">HYPERLINK("https://twitter.com/asp_lankaze","@asp_lankaze")</f>
        <v>@asp_lankaze</v>
      </c>
      <c r="C8902" s="8" t="s">
        <v>2514</v>
      </c>
      <c r="D8902" s="8" t="s">
        <v>19343</v>
      </c>
      <c r="E8902" s="9" t="str">
        <f aca="false">HYPERLINK("https://twitter.com/asp_lankaze/status/923869861104689153","923869861104689153")</f>
        <v>923869861104689153</v>
      </c>
      <c r="F8902" s="10" t="s">
        <v>51</v>
      </c>
      <c r="G8902" s="10" t="n">
        <v>1143</v>
      </c>
      <c r="H8902" s="10" t="n">
        <v>840</v>
      </c>
      <c r="I8902" s="10" t="n">
        <v>7</v>
      </c>
      <c r="J8902" s="10" t="n">
        <v>0</v>
      </c>
      <c r="K8902" s="10" t="s">
        <v>20</v>
      </c>
      <c r="L8902" s="11" t="n">
        <v>41504.3161458333</v>
      </c>
      <c r="M8902" s="12" t="s">
        <v>2515</v>
      </c>
      <c r="N8902" s="12" t="s">
        <v>2516</v>
      </c>
      <c r="O8902" s="9" t="str">
        <f aca="false">HYPERLINK("https://pbs.twimg.com/profile_images/798886204578013184/yKE-7gNp_normal.jpg","View")</f>
        <v>View</v>
      </c>
      <c r="P8902" s="10"/>
    </row>
    <row r="8903" customFormat="false" ht="15.75" hidden="false" customHeight="false" outlineLevel="0" collapsed="false">
      <c r="A8903" s="6" t="n">
        <v>43035.1756365741</v>
      </c>
      <c r="B8903" s="7" t="str">
        <f aca="false">HYPERLINK("https://twitter.com/adjacencypair","@adjacencypair")</f>
        <v>@adjacencypair</v>
      </c>
      <c r="C8903" s="14" t="s">
        <v>19344</v>
      </c>
      <c r="D8903" s="8" t="s">
        <v>19343</v>
      </c>
      <c r="E8903" s="9" t="str">
        <f aca="false">HYPERLINK("https://twitter.com/adjacencypair/status/923870117133299712","923870117133299712")</f>
        <v>923870117133299712</v>
      </c>
      <c r="F8903" s="10" t="s">
        <v>51</v>
      </c>
      <c r="G8903" s="10" t="n">
        <v>1344</v>
      </c>
      <c r="H8903" s="10" t="n">
        <v>494</v>
      </c>
      <c r="I8903" s="10" t="n">
        <v>7</v>
      </c>
      <c r="J8903" s="10" t="n">
        <v>0</v>
      </c>
      <c r="K8903" s="10" t="s">
        <v>20</v>
      </c>
      <c r="L8903" s="11" t="n">
        <v>40619.1197106481</v>
      </c>
      <c r="M8903" s="12"/>
      <c r="N8903" s="13" t="s">
        <v>19345</v>
      </c>
      <c r="O8903" s="9" t="str">
        <f aca="false">HYPERLINK("https://pbs.twimg.com/profile_images/917694943233155073/H1E-zG-I_normal.jpg","View")</f>
        <v>View</v>
      </c>
      <c r="P8903" s="10"/>
    </row>
    <row r="8904" customFormat="false" ht="15.75" hidden="false" customHeight="false" outlineLevel="0" collapsed="false">
      <c r="A8904" s="6" t="n">
        <v>43035.1864930556</v>
      </c>
      <c r="B8904" s="7" t="str">
        <f aca="false">HYPERLINK("https://twitter.com/nexus7japan","@nexus7japan")</f>
        <v>@nexus7japan</v>
      </c>
      <c r="C8904" s="8" t="s">
        <v>19346</v>
      </c>
      <c r="D8904" s="8" t="s">
        <v>16929</v>
      </c>
      <c r="E8904" s="9" t="str">
        <f aca="false">HYPERLINK("https://twitter.com/nexus7japan/status/923874052191559680","923874052191559680")</f>
        <v>923874052191559680</v>
      </c>
      <c r="F8904" s="10" t="s">
        <v>276</v>
      </c>
      <c r="G8904" s="10" t="n">
        <v>551</v>
      </c>
      <c r="H8904" s="10" t="n">
        <v>547</v>
      </c>
      <c r="I8904" s="10" t="n">
        <v>247</v>
      </c>
      <c r="J8904" s="10" t="n">
        <v>0</v>
      </c>
      <c r="K8904" s="10" t="s">
        <v>20</v>
      </c>
      <c r="L8904" s="11" t="n">
        <v>41130.9037152778</v>
      </c>
      <c r="M8904" s="13" t="s">
        <v>13604</v>
      </c>
      <c r="N8904" s="13" t="s">
        <v>19347</v>
      </c>
      <c r="O8904" s="9" t="str">
        <f aca="false">HYPERLINK("https://pbs.twimg.com/profile_images/2491322182/jyk0h2v4zwnazxtqag3r_normal.jpeg","View")</f>
        <v>View</v>
      </c>
      <c r="P8904" s="10"/>
    </row>
    <row r="8905" customFormat="false" ht="15.75" hidden="false" customHeight="false" outlineLevel="0" collapsed="false">
      <c r="A8905" s="6" t="n">
        <v>43035.1915856482</v>
      </c>
      <c r="B8905" s="7" t="str">
        <f aca="false">HYPERLINK("https://twitter.com/M97070329","@M97070329")</f>
        <v>@M97070329</v>
      </c>
      <c r="C8905" s="8" t="s">
        <v>19348</v>
      </c>
      <c r="D8905" s="8" t="s">
        <v>19343</v>
      </c>
      <c r="E8905" s="9" t="str">
        <f aca="false">HYPERLINK("https://twitter.com/M97070329/status/923875897966444545","923875897966444545")</f>
        <v>923875897966444545</v>
      </c>
      <c r="F8905" s="10" t="s">
        <v>51</v>
      </c>
      <c r="G8905" s="10" t="n">
        <v>460</v>
      </c>
      <c r="H8905" s="10" t="n">
        <v>93</v>
      </c>
      <c r="I8905" s="10" t="n">
        <v>7</v>
      </c>
      <c r="J8905" s="10" t="n">
        <v>0</v>
      </c>
      <c r="K8905" s="10" t="s">
        <v>20</v>
      </c>
      <c r="L8905" s="11" t="n">
        <v>42202.4304976852</v>
      </c>
      <c r="M8905" s="13" t="s">
        <v>19349</v>
      </c>
      <c r="N8905" s="13" t="s">
        <v>19350</v>
      </c>
      <c r="O8905" s="9" t="str">
        <f aca="false">HYPERLINK("https://pbs.twimg.com/profile_images/914705883669577728/K0X2S35O_normal.jpg","View")</f>
        <v>View</v>
      </c>
      <c r="P8905" s="10"/>
    </row>
    <row r="8906" customFormat="false" ht="15.75" hidden="false" customHeight="false" outlineLevel="0" collapsed="false">
      <c r="A8906" s="6" t="n">
        <v>43035.2008796296</v>
      </c>
      <c r="B8906" s="7" t="str">
        <f aca="false">HYPERLINK("https://twitter.com/newlyjacky","@newlyjacky")</f>
        <v>@newlyjacky</v>
      </c>
      <c r="C8906" s="8" t="s">
        <v>497</v>
      </c>
      <c r="D8906" s="8" t="s">
        <v>19351</v>
      </c>
      <c r="E8906" s="9" t="str">
        <f aca="false">HYPERLINK("https://twitter.com/newlyjacky/status/923879265732620289","923879265732620289")</f>
        <v>923879265732620289</v>
      </c>
      <c r="F8906" s="10" t="s">
        <v>51</v>
      </c>
      <c r="G8906" s="10" t="n">
        <v>258</v>
      </c>
      <c r="H8906" s="10" t="n">
        <v>1867</v>
      </c>
      <c r="I8906" s="10" t="n">
        <v>2</v>
      </c>
      <c r="J8906" s="10" t="n">
        <v>0</v>
      </c>
      <c r="K8906" s="10" t="s">
        <v>20</v>
      </c>
      <c r="L8906" s="11" t="n">
        <v>41557.4584606482</v>
      </c>
      <c r="M8906" s="12" t="s">
        <v>498</v>
      </c>
      <c r="N8906" s="12" t="s">
        <v>499</v>
      </c>
      <c r="O8906" s="9" t="str">
        <f aca="false">HYPERLINK("https://pbs.twimg.com/profile_images/444812983642767360/g7TWxzMz_normal.jpeg","View")</f>
        <v>View</v>
      </c>
      <c r="P8906" s="10"/>
    </row>
    <row r="8907" customFormat="false" ht="15.75" hidden="false" customHeight="false" outlineLevel="0" collapsed="false">
      <c r="A8907" s="6" t="n">
        <v>43035.206875</v>
      </c>
      <c r="B8907" s="7" t="str">
        <f aca="false">HYPERLINK("https://twitter.com/ilyfe444","@ilyfe444")</f>
        <v>@ilyfe444</v>
      </c>
      <c r="C8907" s="8" t="s">
        <v>13410</v>
      </c>
      <c r="D8907" s="8" t="s">
        <v>19352</v>
      </c>
      <c r="E8907" s="9" t="str">
        <f aca="false">HYPERLINK("https://twitter.com/ilyfe444/status/923881437908164608","923881437908164608")</f>
        <v>923881437908164608</v>
      </c>
      <c r="F8907" s="10" t="s">
        <v>51</v>
      </c>
      <c r="G8907" s="10" t="n">
        <v>27894</v>
      </c>
      <c r="H8907" s="10" t="n">
        <v>28790</v>
      </c>
      <c r="I8907" s="10" t="n">
        <v>5</v>
      </c>
      <c r="J8907" s="10" t="n">
        <v>0</v>
      </c>
      <c r="K8907" s="10" t="s">
        <v>20</v>
      </c>
      <c r="L8907" s="11" t="n">
        <v>40799.5850694444</v>
      </c>
      <c r="M8907" s="12"/>
      <c r="N8907" s="12" t="s">
        <v>13410</v>
      </c>
      <c r="O8907" s="9" t="str">
        <f aca="false">HYPERLINK("https://pbs.twimg.com/profile_images/850018383877644288/Ah5CBOhp_normal.jpg","View")</f>
        <v>View</v>
      </c>
      <c r="P8907" s="10"/>
    </row>
    <row r="8908" customFormat="false" ht="15.75" hidden="false" customHeight="false" outlineLevel="0" collapsed="false">
      <c r="A8908" s="6" t="n">
        <v>43035.2100231482</v>
      </c>
      <c r="B8908" s="7" t="str">
        <f aca="false">HYPERLINK("https://twitter.com/Love_Deluxe_YY","@Love_Deluxe_YY")</f>
        <v>@Love_Deluxe_YY</v>
      </c>
      <c r="C8908" s="14" t="s">
        <v>19353</v>
      </c>
      <c r="D8908" s="8" t="s">
        <v>19351</v>
      </c>
      <c r="E8908" s="9" t="str">
        <f aca="false">HYPERLINK("https://twitter.com/Love_Deluxe_YY/status/923882578842566656","923882578842566656")</f>
        <v>923882578842566656</v>
      </c>
      <c r="F8908" s="10" t="s">
        <v>39</v>
      </c>
      <c r="G8908" s="10" t="n">
        <v>13186</v>
      </c>
      <c r="H8908" s="10" t="n">
        <v>13156</v>
      </c>
      <c r="I8908" s="10" t="n">
        <v>2</v>
      </c>
      <c r="J8908" s="10" t="n">
        <v>0</v>
      </c>
      <c r="K8908" s="10" t="s">
        <v>20</v>
      </c>
      <c r="L8908" s="11" t="n">
        <v>40702.7322453704</v>
      </c>
      <c r="M8908" s="13" t="s">
        <v>14345</v>
      </c>
      <c r="N8908" s="13" t="s">
        <v>19354</v>
      </c>
      <c r="O8908" s="9" t="str">
        <f aca="false">HYPERLINK("https://pbs.twimg.com/profile_images/922505575140794370/4iqmrfFw_normal.jpg","View")</f>
        <v>View</v>
      </c>
      <c r="P8908" s="10"/>
    </row>
    <row r="8909" customFormat="false" ht="15.75" hidden="false" customHeight="false" outlineLevel="0" collapsed="false">
      <c r="A8909" s="6" t="n">
        <v>43035.2138078704</v>
      </c>
      <c r="B8909" s="7" t="str">
        <f aca="false">HYPERLINK("https://twitter.com/asgerrojle","@asgerrojle")</f>
        <v>@asgerrojle</v>
      </c>
      <c r="C8909" s="8" t="s">
        <v>10238</v>
      </c>
      <c r="D8909" s="8" t="s">
        <v>19355</v>
      </c>
      <c r="E8909" s="9" t="str">
        <f aca="false">HYPERLINK("https://twitter.com/asgerrojle/status/923883952934236161","923883952934236161")</f>
        <v>923883952934236161</v>
      </c>
      <c r="F8909" s="10" t="s">
        <v>39</v>
      </c>
      <c r="G8909" s="10" t="n">
        <v>1580</v>
      </c>
      <c r="H8909" s="10" t="n">
        <v>1963</v>
      </c>
      <c r="I8909" s="10" t="n">
        <v>0</v>
      </c>
      <c r="J8909" s="10" t="n">
        <v>0</v>
      </c>
      <c r="K8909" s="10" t="s">
        <v>20</v>
      </c>
      <c r="L8909" s="11" t="n">
        <v>39873.0715856481</v>
      </c>
      <c r="M8909" s="12" t="s">
        <v>10240</v>
      </c>
      <c r="N8909" s="12" t="s">
        <v>10241</v>
      </c>
      <c r="O8909" s="9" t="str">
        <f aca="false">HYPERLINK("https://pbs.twimg.com/profile_images/1627188655/kabukicho_normal.jpg","View")</f>
        <v>View</v>
      </c>
      <c r="P8909" s="10"/>
    </row>
    <row r="8910" customFormat="false" ht="15.75" hidden="false" customHeight="false" outlineLevel="0" collapsed="false">
      <c r="A8910" s="6" t="n">
        <v>43035.218599537</v>
      </c>
      <c r="B8910" s="7" t="str">
        <f aca="false">HYPERLINK("https://twitter.com/EdeRothschild","@EdeRothschild")</f>
        <v>@EdeRothschild</v>
      </c>
      <c r="C8910" s="8" t="s">
        <v>19356</v>
      </c>
      <c r="D8910" s="8" t="s">
        <v>19357</v>
      </c>
      <c r="E8910" s="9" t="str">
        <f aca="false">HYPERLINK("https://twitter.com/EdeRothschild/status/923885688596107264","923885688596107264")</f>
        <v>923885688596107264</v>
      </c>
      <c r="F8910" s="10" t="s">
        <v>276</v>
      </c>
      <c r="G8910" s="10" t="n">
        <v>7658</v>
      </c>
      <c r="H8910" s="10" t="n">
        <v>589</v>
      </c>
      <c r="I8910" s="10" t="n">
        <v>4</v>
      </c>
      <c r="J8910" s="10" t="n">
        <v>3</v>
      </c>
      <c r="K8910" s="10" t="s">
        <v>20</v>
      </c>
      <c r="L8910" s="11" t="n">
        <v>41730.2558796296</v>
      </c>
      <c r="M8910" s="12" t="s">
        <v>19358</v>
      </c>
      <c r="N8910" s="12" t="s">
        <v>19359</v>
      </c>
      <c r="O8910" s="9" t="str">
        <f aca="false">HYPERLINK("https://pbs.twimg.com/profile_images/473507604803510272/7YHU_O8S_normal.png","View")</f>
        <v>View</v>
      </c>
      <c r="P8910" s="10"/>
    </row>
    <row r="8911" customFormat="false" ht="15.75" hidden="false" customHeight="false" outlineLevel="0" collapsed="false">
      <c r="A8911" s="6" t="n">
        <v>43035.2292361111</v>
      </c>
      <c r="B8911" s="7" t="str">
        <f aca="false">HYPERLINK("https://twitter.com/TomorrowNews357","@TomorrowNews357")</f>
        <v>@TomorrowNews357</v>
      </c>
      <c r="C8911" s="8" t="s">
        <v>19360</v>
      </c>
      <c r="D8911" s="8" t="s">
        <v>19352</v>
      </c>
      <c r="E8911" s="9" t="str">
        <f aca="false">HYPERLINK("https://twitter.com/TomorrowNews357/status/923889542524035079","923889542524035079")</f>
        <v>923889542524035079</v>
      </c>
      <c r="F8911" s="10" t="s">
        <v>25</v>
      </c>
      <c r="G8911" s="10" t="n">
        <v>9</v>
      </c>
      <c r="H8911" s="10" t="n">
        <v>94</v>
      </c>
      <c r="I8911" s="10" t="n">
        <v>5</v>
      </c>
      <c r="J8911" s="10" t="n">
        <v>0</v>
      </c>
      <c r="K8911" s="10" t="s">
        <v>20</v>
      </c>
      <c r="L8911" s="11" t="n">
        <v>43025.5700925926</v>
      </c>
      <c r="M8911" s="12" t="s">
        <v>230</v>
      </c>
      <c r="N8911" s="12" t="s">
        <v>19361</v>
      </c>
      <c r="O8911" s="9" t="str">
        <f aca="false">HYPERLINK("https://pbs.twimg.com/profile_images/920390855055331328/0CZKmjU6_normal.jpg","View")</f>
        <v>View</v>
      </c>
      <c r="P8911" s="10"/>
    </row>
    <row r="8912" customFormat="false" ht="15.75" hidden="false" customHeight="false" outlineLevel="0" collapsed="false">
      <c r="A8912" s="6" t="n">
        <v>43035.2340740741</v>
      </c>
      <c r="B8912" s="7" t="str">
        <f aca="false">HYPERLINK("https://twitter.com/katsuko_dolphin","@katsuko_dolphin")</f>
        <v>@katsuko_dolphin</v>
      </c>
      <c r="C8912" s="8" t="s">
        <v>19362</v>
      </c>
      <c r="D8912" s="8" t="s">
        <v>19363</v>
      </c>
      <c r="E8912" s="9" t="str">
        <f aca="false">HYPERLINK("https://twitter.com/katsuko_dolphin/status/923891296099430402","923891296099430402")</f>
        <v>923891296099430402</v>
      </c>
      <c r="F8912" s="10" t="s">
        <v>39</v>
      </c>
      <c r="G8912" s="10" t="n">
        <v>401</v>
      </c>
      <c r="H8912" s="10" t="n">
        <v>541</v>
      </c>
      <c r="I8912" s="10" t="n">
        <v>0</v>
      </c>
      <c r="J8912" s="10" t="n">
        <v>0</v>
      </c>
      <c r="K8912" s="10" t="s">
        <v>20</v>
      </c>
      <c r="L8912" s="11" t="n">
        <v>40648.1337731482</v>
      </c>
      <c r="M8912" s="12"/>
      <c r="N8912" s="13" t="s">
        <v>19364</v>
      </c>
      <c r="O8912" s="9" t="str">
        <f aca="false">HYPERLINK("https://pbs.twimg.com/profile_images/1535818682/_____________normal.jpg","View")</f>
        <v>View</v>
      </c>
      <c r="P8912" s="10"/>
    </row>
    <row r="8913" customFormat="false" ht="15.75" hidden="false" customHeight="false" outlineLevel="0" collapsed="false">
      <c r="A8913" s="6" t="n">
        <v>43035.2348148148</v>
      </c>
      <c r="B8913" s="7" t="str">
        <f aca="false">HYPERLINK("https://twitter.com/economics","@economics")</f>
        <v>@economics</v>
      </c>
      <c r="C8913" s="8" t="s">
        <v>19365</v>
      </c>
      <c r="D8913" s="8" t="s">
        <v>19366</v>
      </c>
      <c r="E8913" s="9" t="str">
        <f aca="false">HYPERLINK("https://twitter.com/economics/status/923891562542714880","923891562542714880")</f>
        <v>923891562542714880</v>
      </c>
      <c r="F8913" s="10" t="s">
        <v>268</v>
      </c>
      <c r="G8913" s="10" t="n">
        <v>36282</v>
      </c>
      <c r="H8913" s="10" t="n">
        <v>694</v>
      </c>
      <c r="I8913" s="10" t="n">
        <v>0</v>
      </c>
      <c r="J8913" s="10" t="n">
        <v>0</v>
      </c>
      <c r="K8913" s="10" t="s">
        <v>20</v>
      </c>
      <c r="L8913" s="11" t="n">
        <v>40313.5631712963</v>
      </c>
      <c r="M8913" s="12" t="s">
        <v>491</v>
      </c>
      <c r="N8913" s="12" t="s">
        <v>19367</v>
      </c>
      <c r="O8913" s="9" t="str">
        <f aca="false">HYPERLINK("https://pbs.twimg.com/profile_images/744990714803658752/OUUyUw4F_normal.jpg","View")</f>
        <v>View</v>
      </c>
      <c r="P8913" s="10"/>
    </row>
    <row r="8914" customFormat="false" ht="15.75" hidden="false" customHeight="false" outlineLevel="0" collapsed="false">
      <c r="A8914" s="6" t="n">
        <v>43035.2375694445</v>
      </c>
      <c r="B8914" s="7" t="str">
        <f aca="false">HYPERLINK("https://twitter.com/pulpmarkets","@pulpmarkets")</f>
        <v>@pulpmarkets</v>
      </c>
      <c r="C8914" s="8" t="s">
        <v>19368</v>
      </c>
      <c r="D8914" s="8" t="s">
        <v>19369</v>
      </c>
      <c r="E8914" s="9" t="str">
        <f aca="false">HYPERLINK("https://twitter.com/pulpmarkets/status/923892561395306497","923892561395306497")</f>
        <v>923892561395306497</v>
      </c>
      <c r="F8914" s="10" t="s">
        <v>60</v>
      </c>
      <c r="G8914" s="10" t="n">
        <v>743</v>
      </c>
      <c r="H8914" s="10" t="n">
        <v>454</v>
      </c>
      <c r="I8914" s="10" t="n">
        <v>0</v>
      </c>
      <c r="J8914" s="10" t="n">
        <v>0</v>
      </c>
      <c r="K8914" s="10" t="s">
        <v>20</v>
      </c>
      <c r="L8914" s="11" t="n">
        <v>42335.4166203704</v>
      </c>
      <c r="M8914" s="12"/>
      <c r="N8914" s="12" t="s">
        <v>19370</v>
      </c>
      <c r="O8914" s="9" t="str">
        <f aca="false">HYPERLINK("https://pbs.twimg.com/profile_images/788305268195069954/fUGRJM3e_normal.jpg","View")</f>
        <v>View</v>
      </c>
      <c r="P8914" s="10"/>
    </row>
    <row r="8915" customFormat="false" ht="15.75" hidden="false" customHeight="false" outlineLevel="0" collapsed="false">
      <c r="A8915" s="6" t="n">
        <v>43035.2379050926</v>
      </c>
      <c r="B8915" s="7" t="str">
        <f aca="false">HYPERLINK("https://twitter.com/onlinelords","@onlinelords")</f>
        <v>@onlinelords</v>
      </c>
      <c r="C8915" s="8" t="s">
        <v>3710</v>
      </c>
      <c r="D8915" s="8" t="s">
        <v>19371</v>
      </c>
      <c r="E8915" s="9" t="str">
        <f aca="false">HYPERLINK("https://twitter.com/onlinelords/status/923892684745592833","923892684745592833")</f>
        <v>923892684745592833</v>
      </c>
      <c r="F8915" s="10" t="s">
        <v>60</v>
      </c>
      <c r="G8915" s="10" t="n">
        <v>510</v>
      </c>
      <c r="H8915" s="10" t="n">
        <v>1816</v>
      </c>
      <c r="I8915" s="10" t="n">
        <v>0</v>
      </c>
      <c r="J8915" s="10" t="n">
        <v>0</v>
      </c>
      <c r="K8915" s="10" t="s">
        <v>20</v>
      </c>
      <c r="L8915" s="11" t="n">
        <v>42910.4271412037</v>
      </c>
      <c r="M8915" s="12" t="s">
        <v>3712</v>
      </c>
      <c r="N8915" s="12" t="s">
        <v>3713</v>
      </c>
      <c r="O8915" s="9" t="str">
        <f aca="false">HYPERLINK("https://pbs.twimg.com/profile_images/919643248817254400/z8AUB3Qm_normal.jpg","View")</f>
        <v>View</v>
      </c>
      <c r="P8915" s="10"/>
    </row>
    <row r="8916" customFormat="false" ht="15.75" hidden="false" customHeight="false" outlineLevel="0" collapsed="false">
      <c r="A8916" s="6" t="n">
        <v>43035.2390393519</v>
      </c>
      <c r="B8916" s="7" t="str">
        <f aca="false">HYPERLINK("https://twitter.com/cuscorepublica","@cuscorepublica")</f>
        <v>@cuscorepublica</v>
      </c>
      <c r="C8916" s="8" t="s">
        <v>19372</v>
      </c>
      <c r="D8916" s="8" t="s">
        <v>19373</v>
      </c>
      <c r="E8916" s="9" t="str">
        <f aca="false">HYPERLINK("https://twitter.com/cuscorepublica/status/923893095602835456","923893095602835456")</f>
        <v>923893095602835456</v>
      </c>
      <c r="F8916" s="10" t="s">
        <v>25</v>
      </c>
      <c r="G8916" s="10" t="n">
        <v>401</v>
      </c>
      <c r="H8916" s="10" t="n">
        <v>227</v>
      </c>
      <c r="I8916" s="10" t="n">
        <v>4</v>
      </c>
      <c r="J8916" s="10" t="n">
        <v>0</v>
      </c>
      <c r="K8916" s="10" t="s">
        <v>20</v>
      </c>
      <c r="L8916" s="11" t="n">
        <v>42636.8632523148</v>
      </c>
      <c r="M8916" s="12" t="s">
        <v>17899</v>
      </c>
      <c r="N8916" s="12" t="s">
        <v>19374</v>
      </c>
      <c r="O8916" s="9" t="str">
        <f aca="false">HYPERLINK("https://pbs.twimg.com/profile_images/780134443365330946/hvHxDL3p_normal.jpg","View")</f>
        <v>View</v>
      </c>
      <c r="P8916" s="10"/>
    </row>
    <row r="8917" customFormat="false" ht="15.75" hidden="false" customHeight="false" outlineLevel="0" collapsed="false">
      <c r="A8917" s="6" t="n">
        <v>43035.251400463</v>
      </c>
      <c r="B8917" s="7" t="str">
        <f aca="false">HYPERLINK("https://twitter.com/BloombergAsia","@BloombergAsia")</f>
        <v>@BloombergAsia</v>
      </c>
      <c r="C8917" s="8" t="s">
        <v>1399</v>
      </c>
      <c r="D8917" s="8" t="s">
        <v>19375</v>
      </c>
      <c r="E8917" s="9" t="str">
        <f aca="false">HYPERLINK("https://twitter.com/BloombergAsia/status/923897573605330944","923897573605330944")</f>
        <v>923897573605330944</v>
      </c>
      <c r="F8917" s="10" t="s">
        <v>268</v>
      </c>
      <c r="G8917" s="10" t="n">
        <v>28824</v>
      </c>
      <c r="H8917" s="10" t="n">
        <v>97</v>
      </c>
      <c r="I8917" s="10" t="n">
        <v>0</v>
      </c>
      <c r="J8917" s="10" t="n">
        <v>1</v>
      </c>
      <c r="K8917" s="10" t="s">
        <v>20</v>
      </c>
      <c r="L8917" s="11" t="n">
        <v>41052.2384837963</v>
      </c>
      <c r="M8917" s="12"/>
      <c r="N8917" s="12" t="s">
        <v>1401</v>
      </c>
      <c r="O8917" s="9" t="str">
        <f aca="false">HYPERLINK("https://pbs.twimg.com/profile_images/778129630284902401/gXjFkqGM_normal.jpg","View")</f>
        <v>View</v>
      </c>
      <c r="P8917" s="10"/>
    </row>
    <row r="8918" customFormat="false" ht="15.75" hidden="false" customHeight="false" outlineLevel="0" collapsed="false">
      <c r="A8918" s="6" t="n">
        <v>43035.2532638889</v>
      </c>
      <c r="B8918" s="7" t="str">
        <f aca="false">HYPERLINK("https://twitter.com/sitifatimahnet","@sitifatimahnet")</f>
        <v>@sitifatimahnet</v>
      </c>
      <c r="C8918" s="8" t="s">
        <v>11184</v>
      </c>
      <c r="D8918" s="8" t="s">
        <v>19376</v>
      </c>
      <c r="E8918" s="9" t="str">
        <f aca="false">HYPERLINK("https://twitter.com/sitifatimahnet/status/923898248582123521","923898248582123521")</f>
        <v>923898248582123521</v>
      </c>
      <c r="F8918" s="10" t="s">
        <v>60</v>
      </c>
      <c r="G8918" s="10" t="n">
        <v>312</v>
      </c>
      <c r="H8918" s="10" t="n">
        <v>27</v>
      </c>
      <c r="I8918" s="10" t="n">
        <v>0</v>
      </c>
      <c r="J8918" s="10" t="n">
        <v>0</v>
      </c>
      <c r="K8918" s="10" t="s">
        <v>20</v>
      </c>
      <c r="L8918" s="11" t="n">
        <v>42698.4371990741</v>
      </c>
      <c r="M8918" s="12" t="s">
        <v>11186</v>
      </c>
      <c r="N8918" s="12" t="s">
        <v>11187</v>
      </c>
      <c r="O8918" s="9" t="str">
        <f aca="false">HYPERLINK("https://pbs.twimg.com/profile_images/897683241594912769/-rSDzg9T_normal.jpg","View")</f>
        <v>View</v>
      </c>
      <c r="P8918" s="10"/>
    </row>
    <row r="8919" customFormat="false" ht="15.75" hidden="false" customHeight="false" outlineLevel="0" collapsed="false">
      <c r="A8919" s="6" t="n">
        <v>43035.262337963</v>
      </c>
      <c r="B8919" s="7" t="str">
        <f aca="false">HYPERLINK("https://twitter.com/brindledyouth","@brindledyouth")</f>
        <v>@brindledyouth</v>
      </c>
      <c r="C8919" s="8" t="s">
        <v>19377</v>
      </c>
      <c r="D8919" s="8" t="s">
        <v>19373</v>
      </c>
      <c r="E8919" s="9" t="str">
        <f aca="false">HYPERLINK("https://twitter.com/brindledyouth/status/923901538711625729","923901538711625729")</f>
        <v>923901538711625729</v>
      </c>
      <c r="F8919" s="10" t="s">
        <v>177</v>
      </c>
      <c r="G8919" s="10" t="n">
        <v>81</v>
      </c>
      <c r="H8919" s="10" t="n">
        <v>33</v>
      </c>
      <c r="I8919" s="10" t="n">
        <v>4</v>
      </c>
      <c r="J8919" s="10" t="n">
        <v>0</v>
      </c>
      <c r="K8919" s="10" t="s">
        <v>20</v>
      </c>
      <c r="L8919" s="11" t="n">
        <v>40575.5919791667</v>
      </c>
      <c r="M8919" s="12" t="s">
        <v>491</v>
      </c>
      <c r="N8919" s="12"/>
      <c r="O8919" s="9" t="str">
        <f aca="false">HYPERLINK("https://abs.twimg.com/sticky/default_profile_images/default_profile_normal.png","View")</f>
        <v>View</v>
      </c>
      <c r="P8919" s="10"/>
    </row>
    <row r="8920" customFormat="false" ht="15.75" hidden="false" customHeight="false" outlineLevel="0" collapsed="false">
      <c r="A8920" s="6" t="n">
        <v>43035.2725810185</v>
      </c>
      <c r="B8920" s="7" t="str">
        <f aca="false">HYPERLINK("https://twitter.com/CianGaia","@CianGaia")</f>
        <v>@CianGaia</v>
      </c>
      <c r="C8920" s="8" t="s">
        <v>19378</v>
      </c>
      <c r="D8920" s="8" t="s">
        <v>19373</v>
      </c>
      <c r="E8920" s="9" t="str">
        <f aca="false">HYPERLINK("https://twitter.com/CianGaia/status/923905248653201408","923905248653201408")</f>
        <v>923905248653201408</v>
      </c>
      <c r="F8920" s="10" t="s">
        <v>39</v>
      </c>
      <c r="G8920" s="10" t="n">
        <v>87</v>
      </c>
      <c r="H8920" s="10" t="n">
        <v>170</v>
      </c>
      <c r="I8920" s="10" t="n">
        <v>4</v>
      </c>
      <c r="J8920" s="10" t="n">
        <v>0</v>
      </c>
      <c r="K8920" s="10" t="s">
        <v>20</v>
      </c>
      <c r="L8920" s="11" t="n">
        <v>42605.5675231481</v>
      </c>
      <c r="M8920" s="12"/>
      <c r="N8920" s="12" t="s">
        <v>19379</v>
      </c>
      <c r="O8920" s="9" t="str">
        <f aca="false">HYPERLINK("https://pbs.twimg.com/profile_images/867960883066044416/xR1vm7CX_normal.jpg","View")</f>
        <v>View</v>
      </c>
      <c r="P8920" s="10"/>
    </row>
    <row r="8921" customFormat="false" ht="15.75" hidden="false" customHeight="false" outlineLevel="0" collapsed="false">
      <c r="A8921" s="6" t="n">
        <v>43035.2954050926</v>
      </c>
      <c r="B8921" s="7" t="str">
        <f aca="false">HYPERLINK("https://twitter.com/business","@business")</f>
        <v>@business</v>
      </c>
      <c r="C8921" s="8" t="s">
        <v>196</v>
      </c>
      <c r="D8921" s="8" t="s">
        <v>19380</v>
      </c>
      <c r="E8921" s="9" t="str">
        <f aca="false">HYPERLINK("https://twitter.com/business/status/923913522156883968","923913522156883968")</f>
        <v>923913522156883968</v>
      </c>
      <c r="F8921" s="10" t="s">
        <v>268</v>
      </c>
      <c r="G8921" s="10" t="n">
        <v>4344209</v>
      </c>
      <c r="H8921" s="10" t="n">
        <v>1088</v>
      </c>
      <c r="I8921" s="10" t="n">
        <v>11</v>
      </c>
      <c r="J8921" s="10" t="n">
        <v>14</v>
      </c>
      <c r="K8921" s="10" t="s">
        <v>20</v>
      </c>
      <c r="L8921" s="11" t="n">
        <v>39926.5453356481</v>
      </c>
      <c r="M8921" s="12" t="s">
        <v>199</v>
      </c>
      <c r="N8921" s="12" t="s">
        <v>200</v>
      </c>
      <c r="O8921" s="9" t="str">
        <f aca="false">HYPERLINK("https://pbs.twimg.com/profile_images/714946924105883648/4fgNVF4H_normal.jpg","View")</f>
        <v>View</v>
      </c>
      <c r="P8921" s="10"/>
    </row>
    <row r="8922" customFormat="false" ht="15.75" hidden="false" customHeight="false" outlineLevel="0" collapsed="false">
      <c r="A8922" s="6" t="n">
        <v>43035.29625</v>
      </c>
      <c r="B8922" s="7" t="str">
        <f aca="false">HYPERLINK("https://twitter.com/Bullish","@Bullish")</f>
        <v>@Bullish</v>
      </c>
      <c r="C8922" s="8" t="s">
        <v>223</v>
      </c>
      <c r="D8922" s="8" t="s">
        <v>19381</v>
      </c>
      <c r="E8922" s="9" t="str">
        <f aca="false">HYPERLINK("https://twitter.com/Bullish/status/923913826575187970","923913826575187970")</f>
        <v>923913826575187970</v>
      </c>
      <c r="F8922" s="10" t="s">
        <v>60</v>
      </c>
      <c r="G8922" s="10" t="n">
        <v>184</v>
      </c>
      <c r="H8922" s="10" t="n">
        <v>87</v>
      </c>
      <c r="I8922" s="10" t="n">
        <v>0</v>
      </c>
      <c r="J8922" s="10" t="n">
        <v>0</v>
      </c>
      <c r="K8922" s="10" t="s">
        <v>20</v>
      </c>
      <c r="L8922" s="11" t="n">
        <v>42618.7530439815</v>
      </c>
      <c r="M8922" s="12"/>
      <c r="N8922" s="12"/>
      <c r="O8922" s="9" t="str">
        <f aca="false">HYPERLINK("https://pbs.twimg.com/profile_images/798692093736599552/UikI9dNE_normal.jpg","View")</f>
        <v>View</v>
      </c>
      <c r="P8922" s="10"/>
    </row>
    <row r="8923" customFormat="false" ht="15.75" hidden="false" customHeight="false" outlineLevel="0" collapsed="false">
      <c r="A8923" s="6" t="n">
        <v>43035.2962615741</v>
      </c>
      <c r="B8923" s="7" t="str">
        <f aca="false">HYPERLINK("https://twitter.com/FallySomboNkhwa","@FallySomboNkhwa")</f>
        <v>@FallySomboNkhwa</v>
      </c>
      <c r="C8923" s="8" t="s">
        <v>260</v>
      </c>
      <c r="D8923" s="8" t="s">
        <v>19382</v>
      </c>
      <c r="E8923" s="9" t="str">
        <f aca="false">HYPERLINK("https://twitter.com/FallySomboNkhwa/status/923913829993545729","923913829993545729")</f>
        <v>923913829993545729</v>
      </c>
      <c r="F8923" s="10" t="s">
        <v>60</v>
      </c>
      <c r="G8923" s="10" t="n">
        <v>421</v>
      </c>
      <c r="H8923" s="10" t="n">
        <v>2195</v>
      </c>
      <c r="I8923" s="10" t="n">
        <v>0</v>
      </c>
      <c r="J8923" s="10" t="n">
        <v>0</v>
      </c>
      <c r="K8923" s="10" t="s">
        <v>20</v>
      </c>
      <c r="L8923" s="11" t="n">
        <v>41551.8204166667</v>
      </c>
      <c r="M8923" s="12" t="s">
        <v>262</v>
      </c>
      <c r="N8923" s="12" t="s">
        <v>263</v>
      </c>
      <c r="O8923" s="9" t="str">
        <f aca="false">HYPERLINK("https://pbs.twimg.com/profile_images/543761133505503235/pKcg8bc2_normal.jpeg","View")</f>
        <v>View</v>
      </c>
      <c r="P8923" s="10"/>
    </row>
    <row r="8924" customFormat="false" ht="15.75" hidden="false" customHeight="false" outlineLevel="0" collapsed="false">
      <c r="A8924" s="6" t="n">
        <v>43035.2962615741</v>
      </c>
      <c r="B8924" s="7" t="str">
        <f aca="false">HYPERLINK("https://twitter.com/shailendra_nair","@shailendra_nair")</f>
        <v>@shailendra_nair</v>
      </c>
      <c r="C8924" s="8" t="s">
        <v>251</v>
      </c>
      <c r="D8924" s="8" t="s">
        <v>19383</v>
      </c>
      <c r="E8924" s="9" t="str">
        <f aca="false">HYPERLINK("https://twitter.com/shailendra_nair/status/923913831067287553","923913831067287553")</f>
        <v>923913831067287553</v>
      </c>
      <c r="F8924" s="10" t="s">
        <v>60</v>
      </c>
      <c r="G8924" s="10" t="n">
        <v>3987</v>
      </c>
      <c r="H8924" s="10" t="n">
        <v>1042</v>
      </c>
      <c r="I8924" s="10" t="n">
        <v>0</v>
      </c>
      <c r="J8924" s="10" t="n">
        <v>0</v>
      </c>
      <c r="K8924" s="10" t="s">
        <v>20</v>
      </c>
      <c r="L8924" s="11" t="n">
        <v>40362.4379861111</v>
      </c>
      <c r="M8924" s="12" t="s">
        <v>253</v>
      </c>
      <c r="N8924" s="12" t="s">
        <v>254</v>
      </c>
      <c r="O8924" s="9" t="str">
        <f aca="false">HYPERLINK("https://pbs.twimg.com/profile_images/884758468879466497/M_w6UjD3_normal.jpg","View")</f>
        <v>View</v>
      </c>
      <c r="P8924" s="10"/>
    </row>
    <row r="8925" customFormat="false" ht="15.75" hidden="false" customHeight="false" outlineLevel="0" collapsed="false">
      <c r="A8925" s="6" t="n">
        <v>43035.2968055556</v>
      </c>
      <c r="B8925" s="7" t="str">
        <f aca="false">HYPERLINK("https://twitter.com/mlnangalama","@mlnangalama")</f>
        <v>@mlnangalama</v>
      </c>
      <c r="C8925" s="8" t="s">
        <v>255</v>
      </c>
      <c r="D8925" s="8" t="s">
        <v>19384</v>
      </c>
      <c r="E8925" s="9" t="str">
        <f aca="false">HYPERLINK("https://twitter.com/mlnangalama/status/923914028287741958","923914028287741958")</f>
        <v>923914028287741958</v>
      </c>
      <c r="F8925" s="10" t="s">
        <v>60</v>
      </c>
      <c r="G8925" s="10" t="n">
        <v>2370</v>
      </c>
      <c r="H8925" s="10" t="n">
        <v>1584</v>
      </c>
      <c r="I8925" s="10" t="n">
        <v>0</v>
      </c>
      <c r="J8925" s="10" t="n">
        <v>0</v>
      </c>
      <c r="K8925" s="10" t="s">
        <v>20</v>
      </c>
      <c r="L8925" s="11" t="n">
        <v>41041.5437847222</v>
      </c>
      <c r="M8925" s="12" t="s">
        <v>257</v>
      </c>
      <c r="N8925" s="12" t="s">
        <v>258</v>
      </c>
      <c r="O8925" s="9" t="str">
        <f aca="false">HYPERLINK("https://pbs.twimg.com/profile_images/900915882444173313/biUHzvpx_normal.jpg","View")</f>
        <v>View</v>
      </c>
      <c r="P8925" s="10"/>
    </row>
    <row r="8926" customFormat="false" ht="15.75" hidden="false" customHeight="false" outlineLevel="0" collapsed="false">
      <c r="A8926" s="6" t="n">
        <v>43035.2970486111</v>
      </c>
      <c r="B8926" s="7" t="str">
        <f aca="false">HYPERLINK("https://twitter.com/masterguchi","@masterguchi")</f>
        <v>@masterguchi</v>
      </c>
      <c r="C8926" s="8" t="s">
        <v>19385</v>
      </c>
      <c r="D8926" s="8" t="s">
        <v>19386</v>
      </c>
      <c r="E8926" s="9" t="str">
        <f aca="false">HYPERLINK("https://twitter.com/masterguchi/status/923914116816805888","923914116816805888")</f>
        <v>923914116816805888</v>
      </c>
      <c r="F8926" s="10" t="s">
        <v>51</v>
      </c>
      <c r="G8926" s="10" t="n">
        <v>623</v>
      </c>
      <c r="H8926" s="10" t="n">
        <v>621</v>
      </c>
      <c r="I8926" s="10" t="n">
        <v>11</v>
      </c>
      <c r="J8926" s="10" t="n">
        <v>0</v>
      </c>
      <c r="K8926" s="10" t="s">
        <v>20</v>
      </c>
      <c r="L8926" s="11" t="n">
        <v>40180.0912152778</v>
      </c>
      <c r="M8926" s="12"/>
      <c r="N8926" s="13" t="s">
        <v>19387</v>
      </c>
      <c r="O8926" s="9" t="str">
        <f aca="false">HYPERLINK("https://pbs.twimg.com/profile_images/762126933/MasterGuchi_Logo1_normal.jpg","View")</f>
        <v>View</v>
      </c>
      <c r="P8926" s="10"/>
    </row>
    <row r="8927" customFormat="false" ht="15.75" hidden="false" customHeight="false" outlineLevel="0" collapsed="false">
      <c r="A8927" s="6" t="n">
        <v>43035.2973726852</v>
      </c>
      <c r="B8927" s="7" t="str">
        <f aca="false">HYPERLINK("https://twitter.com/sebastianvg91","@sebastianvg91")</f>
        <v>@sebastianvg91</v>
      </c>
      <c r="C8927" s="8" t="s">
        <v>19388</v>
      </c>
      <c r="D8927" s="8" t="s">
        <v>19386</v>
      </c>
      <c r="E8927" s="9" t="str">
        <f aca="false">HYPERLINK("https://twitter.com/sebastianvg91/status/923914235624570882","923914235624570882")</f>
        <v>923914235624570882</v>
      </c>
      <c r="F8927" s="10" t="s">
        <v>39</v>
      </c>
      <c r="G8927" s="10" t="n">
        <v>51</v>
      </c>
      <c r="H8927" s="10" t="n">
        <v>177</v>
      </c>
      <c r="I8927" s="10" t="n">
        <v>11</v>
      </c>
      <c r="J8927" s="10" t="n">
        <v>0</v>
      </c>
      <c r="K8927" s="10" t="s">
        <v>20</v>
      </c>
      <c r="L8927" s="11" t="n">
        <v>42185.3590740741</v>
      </c>
      <c r="M8927" s="12"/>
      <c r="N8927" s="12" t="s">
        <v>19389</v>
      </c>
      <c r="O8927" s="9" t="str">
        <f aca="false">HYPERLINK("https://pbs.twimg.com/profile_images/615908193248522242/VoBOgXfQ_normal.jpg","View")</f>
        <v>View</v>
      </c>
      <c r="P8927" s="10"/>
    </row>
    <row r="8928" customFormat="false" ht="15.75" hidden="false" customHeight="false" outlineLevel="0" collapsed="false">
      <c r="A8928" s="6" t="n">
        <v>43035.2976041667</v>
      </c>
      <c r="B8928" s="7" t="str">
        <f aca="false">HYPERLINK("https://twitter.com/minikurowa","@minikurowa")</f>
        <v>@minikurowa</v>
      </c>
      <c r="C8928" s="14" t="s">
        <v>19390</v>
      </c>
      <c r="D8928" s="8" t="s">
        <v>19386</v>
      </c>
      <c r="E8928" s="9" t="str">
        <f aca="false">HYPERLINK("https://twitter.com/minikurowa/status/923914316985724928","923914316985724928")</f>
        <v>923914316985724928</v>
      </c>
      <c r="F8928" s="10" t="s">
        <v>39</v>
      </c>
      <c r="G8928" s="10" t="n">
        <v>1094</v>
      </c>
      <c r="H8928" s="10" t="n">
        <v>2539</v>
      </c>
      <c r="I8928" s="10" t="n">
        <v>11</v>
      </c>
      <c r="J8928" s="10" t="n">
        <v>0</v>
      </c>
      <c r="K8928" s="10" t="s">
        <v>20</v>
      </c>
      <c r="L8928" s="11" t="n">
        <v>40840.8499189815</v>
      </c>
      <c r="M8928" s="13" t="s">
        <v>19391</v>
      </c>
      <c r="N8928" s="13" t="s">
        <v>19392</v>
      </c>
      <c r="O8928" s="9" t="str">
        <f aca="false">HYPERLINK("https://pbs.twimg.com/profile_images/597874190323097600/0qHw3mLt_normal.jpg","View")</f>
        <v>View</v>
      </c>
      <c r="P8928" s="10"/>
    </row>
    <row r="8929" customFormat="false" ht="15.75" hidden="false" customHeight="false" outlineLevel="0" collapsed="false">
      <c r="A8929" s="6" t="n">
        <v>43035.2977083333</v>
      </c>
      <c r="B8929" s="7" t="str">
        <f aca="false">HYPERLINK("https://twitter.com/swissifg","@swissifg")</f>
        <v>@swissifg</v>
      </c>
      <c r="C8929" s="8" t="s">
        <v>247</v>
      </c>
      <c r="D8929" s="8" t="s">
        <v>19393</v>
      </c>
      <c r="E8929" s="9" t="str">
        <f aca="false">HYPERLINK("https://twitter.com/swissifg/status/923914354365550592","923914354365550592")</f>
        <v>923914354365550592</v>
      </c>
      <c r="F8929" s="10" t="s">
        <v>60</v>
      </c>
      <c r="G8929" s="10" t="n">
        <v>1202</v>
      </c>
      <c r="H8929" s="10" t="n">
        <v>670</v>
      </c>
      <c r="I8929" s="10" t="n">
        <v>0</v>
      </c>
      <c r="J8929" s="10" t="n">
        <v>0</v>
      </c>
      <c r="K8929" s="10" t="s">
        <v>20</v>
      </c>
      <c r="L8929" s="11" t="n">
        <v>42499.2341087963</v>
      </c>
      <c r="M8929" s="12" t="s">
        <v>249</v>
      </c>
      <c r="N8929" s="12" t="s">
        <v>250</v>
      </c>
      <c r="O8929" s="9" t="str">
        <f aca="false">HYPERLINK("https://pbs.twimg.com/profile_images/729681805088063489/N4ls5vb8_normal.jpg","View")</f>
        <v>View</v>
      </c>
      <c r="P8929" s="10"/>
    </row>
    <row r="8930" customFormat="false" ht="15.75" hidden="false" customHeight="false" outlineLevel="0" collapsed="false">
      <c r="A8930" s="6" t="n">
        <v>43035.2980092593</v>
      </c>
      <c r="B8930" s="7" t="str">
        <f aca="false">HYPERLINK("https://twitter.com/siddarthpaim","@siddarthpaim")</f>
        <v>@siddarthpaim</v>
      </c>
      <c r="C8930" s="8" t="s">
        <v>19394</v>
      </c>
      <c r="D8930" s="8" t="s">
        <v>19386</v>
      </c>
      <c r="E8930" s="9" t="str">
        <f aca="false">HYPERLINK("https://twitter.com/siddarthpaim/status/923914466009296897","923914466009296897")</f>
        <v>923914466009296897</v>
      </c>
      <c r="F8930" s="10" t="s">
        <v>25</v>
      </c>
      <c r="G8930" s="10" t="n">
        <v>12871</v>
      </c>
      <c r="H8930" s="10" t="n">
        <v>1912</v>
      </c>
      <c r="I8930" s="10" t="n">
        <v>11</v>
      </c>
      <c r="J8930" s="10" t="n">
        <v>0</v>
      </c>
      <c r="K8930" s="10" t="s">
        <v>20</v>
      </c>
      <c r="L8930" s="11" t="n">
        <v>40615.935474537</v>
      </c>
      <c r="M8930" s="12" t="s">
        <v>19395</v>
      </c>
      <c r="N8930" s="12" t="s">
        <v>19396</v>
      </c>
      <c r="O8930" s="9" t="str">
        <f aca="false">HYPERLINK("https://pbs.twimg.com/profile_images/922831185402765312/97FkXPAu_normal.jpg","View")</f>
        <v>View</v>
      </c>
      <c r="P8930" s="10"/>
    </row>
    <row r="8931" customFormat="false" ht="15.75" hidden="false" customHeight="false" outlineLevel="0" collapsed="false">
      <c r="A8931" s="6" t="n">
        <v>43035.2982291667</v>
      </c>
      <c r="B8931" s="7" t="str">
        <f aca="false">HYPERLINK("https://twitter.com/prepzilla","@prepzilla")</f>
        <v>@prepzilla</v>
      </c>
      <c r="C8931" s="8" t="s">
        <v>235</v>
      </c>
      <c r="D8931" s="8" t="s">
        <v>19397</v>
      </c>
      <c r="E8931" s="9" t="str">
        <f aca="false">HYPERLINK("https://twitter.com/prepzilla/status/923914543545372672","923914543545372672")</f>
        <v>923914543545372672</v>
      </c>
      <c r="F8931" s="10" t="s">
        <v>60</v>
      </c>
      <c r="G8931" s="10" t="n">
        <v>7686</v>
      </c>
      <c r="H8931" s="10" t="n">
        <v>477</v>
      </c>
      <c r="I8931" s="10" t="n">
        <v>0</v>
      </c>
      <c r="J8931" s="10" t="n">
        <v>0</v>
      </c>
      <c r="K8931" s="10" t="s">
        <v>20</v>
      </c>
      <c r="L8931" s="11" t="n">
        <v>41299.7417361111</v>
      </c>
      <c r="M8931" s="12" t="s">
        <v>237</v>
      </c>
      <c r="N8931" s="12" t="s">
        <v>238</v>
      </c>
      <c r="O8931" s="9" t="str">
        <f aca="false">HYPERLINK("https://pbs.twimg.com/profile_images/900797880516005888/1bWN5qbC_normal.jpg","View")</f>
        <v>View</v>
      </c>
      <c r="P8931" s="10"/>
    </row>
    <row r="8932" customFormat="false" ht="15.75" hidden="false" customHeight="false" outlineLevel="0" collapsed="false">
      <c r="A8932" s="6" t="n">
        <v>43035.2996875</v>
      </c>
      <c r="B8932" s="7" t="str">
        <f aca="false">HYPERLINK("https://twitter.com/Kingmakertweet","@Kingmakertweet")</f>
        <v>@Kingmakertweet</v>
      </c>
      <c r="C8932" s="8" t="s">
        <v>719</v>
      </c>
      <c r="D8932" s="8" t="s">
        <v>19386</v>
      </c>
      <c r="E8932" s="9" t="str">
        <f aca="false">HYPERLINK("https://twitter.com/Kingmakertweet/status/923915071847219200","923915071847219200")</f>
        <v>923915071847219200</v>
      </c>
      <c r="F8932" s="10" t="s">
        <v>25</v>
      </c>
      <c r="G8932" s="10" t="n">
        <v>139</v>
      </c>
      <c r="H8932" s="10" t="n">
        <v>67</v>
      </c>
      <c r="I8932" s="10" t="n">
        <v>11</v>
      </c>
      <c r="J8932" s="10" t="n">
        <v>0</v>
      </c>
      <c r="K8932" s="10" t="s">
        <v>20</v>
      </c>
      <c r="L8932" s="11" t="n">
        <v>41053.0465046296</v>
      </c>
      <c r="M8932" s="12"/>
      <c r="N8932" s="13" t="s">
        <v>720</v>
      </c>
      <c r="O8932" s="9" t="str">
        <f aca="false">HYPERLINK("https://pbs.twimg.com/profile_images/836959111707123712/vw98l-VT_normal.jpg","View")</f>
        <v>View</v>
      </c>
      <c r="P8932" s="10"/>
    </row>
    <row r="8933" customFormat="false" ht="15.75" hidden="false" customHeight="false" outlineLevel="0" collapsed="false">
      <c r="A8933" s="6" t="n">
        <v>43035.3003356482</v>
      </c>
      <c r="B8933" s="7" t="str">
        <f aca="false">HYPERLINK("https://twitter.com/vijyantjoshi","@vijyantjoshi")</f>
        <v>@vijyantjoshi</v>
      </c>
      <c r="C8933" s="8" t="s">
        <v>19398</v>
      </c>
      <c r="D8933" s="8" t="s">
        <v>19386</v>
      </c>
      <c r="E8933" s="9" t="str">
        <f aca="false">HYPERLINK("https://twitter.com/vijyantjoshi/status/923915309567819776","923915309567819776")</f>
        <v>923915309567819776</v>
      </c>
      <c r="F8933" s="10" t="s">
        <v>51</v>
      </c>
      <c r="G8933" s="10" t="n">
        <v>146</v>
      </c>
      <c r="H8933" s="10" t="n">
        <v>241</v>
      </c>
      <c r="I8933" s="10" t="n">
        <v>11</v>
      </c>
      <c r="J8933" s="10" t="n">
        <v>0</v>
      </c>
      <c r="K8933" s="10" t="s">
        <v>20</v>
      </c>
      <c r="L8933" s="11" t="n">
        <v>40233.6856944444</v>
      </c>
      <c r="M8933" s="12" t="s">
        <v>72</v>
      </c>
      <c r="N8933" s="12" t="s">
        <v>19399</v>
      </c>
      <c r="O8933" s="9" t="str">
        <f aca="false">HYPERLINK("https://pbs.twimg.com/profile_images/923085551275618304/NEppuWRd_normal.jpg","View")</f>
        <v>View</v>
      </c>
      <c r="P8933" s="10"/>
    </row>
    <row r="8934" customFormat="false" ht="15.75" hidden="false" customHeight="false" outlineLevel="0" collapsed="false">
      <c r="A8934" s="6" t="n">
        <v>43035.3015972222</v>
      </c>
      <c r="B8934" s="7" t="str">
        <f aca="false">HYPERLINK("https://twitter.com/bdnews24","@bdnews24")</f>
        <v>@bdnews24</v>
      </c>
      <c r="C8934" s="8" t="s">
        <v>216</v>
      </c>
      <c r="D8934" s="8" t="s">
        <v>19400</v>
      </c>
      <c r="E8934" s="9" t="str">
        <f aca="false">HYPERLINK("https://twitter.com/bdnews24/status/923915765174202368","923915765174202368")</f>
        <v>923915765174202368</v>
      </c>
      <c r="F8934" s="10" t="s">
        <v>60</v>
      </c>
      <c r="G8934" s="10" t="n">
        <v>215604</v>
      </c>
      <c r="H8934" s="10" t="n">
        <v>67887</v>
      </c>
      <c r="I8934" s="10" t="n">
        <v>0</v>
      </c>
      <c r="J8934" s="10" t="n">
        <v>0</v>
      </c>
      <c r="K8934" s="10" t="s">
        <v>20</v>
      </c>
      <c r="L8934" s="11" t="n">
        <v>39844.4680439815</v>
      </c>
      <c r="M8934" s="12" t="s">
        <v>218</v>
      </c>
      <c r="N8934" s="12" t="s">
        <v>219</v>
      </c>
      <c r="O8934" s="9" t="str">
        <f aca="false">HYPERLINK("https://pbs.twimg.com/profile_images/718433521509994497/4iW9RC_r_normal.jpg","View")</f>
        <v>View</v>
      </c>
      <c r="P8934" s="10"/>
    </row>
    <row r="8935" customFormat="false" ht="15.75" hidden="false" customHeight="false" outlineLevel="0" collapsed="false">
      <c r="A8935" s="6" t="n">
        <v>43035.3037847222</v>
      </c>
      <c r="B8935" s="7" t="str">
        <f aca="false">HYPERLINK("https://twitter.com/xhertx","@xhertx")</f>
        <v>@xhertx</v>
      </c>
      <c r="C8935" s="8" t="s">
        <v>7694</v>
      </c>
      <c r="D8935" s="8" t="s">
        <v>19386</v>
      </c>
      <c r="E8935" s="9" t="str">
        <f aca="false">HYPERLINK("https://twitter.com/xhertx/status/923916557071380486","923916557071380486")</f>
        <v>923916557071380486</v>
      </c>
      <c r="F8935" s="10" t="s">
        <v>51</v>
      </c>
      <c r="G8935" s="10" t="n">
        <v>6669</v>
      </c>
      <c r="H8935" s="10" t="n">
        <v>5316</v>
      </c>
      <c r="I8935" s="10" t="n">
        <v>11</v>
      </c>
      <c r="J8935" s="10" t="n">
        <v>0</v>
      </c>
      <c r="K8935" s="10" t="s">
        <v>20</v>
      </c>
      <c r="L8935" s="11" t="n">
        <v>41797.3004513889</v>
      </c>
      <c r="M8935" s="12" t="s">
        <v>7695</v>
      </c>
      <c r="N8935" s="12" t="s">
        <v>7696</v>
      </c>
      <c r="O8935" s="9" t="str">
        <f aca="false">HYPERLINK("https://pbs.twimg.com/profile_images/490506969791221760/N1bMfNgD_normal.jpeg","View")</f>
        <v>View</v>
      </c>
      <c r="P8935" s="10"/>
    </row>
    <row r="8936" customFormat="false" ht="15.75" hidden="false" customHeight="false" outlineLevel="0" collapsed="false">
      <c r="A8936" s="6" t="n">
        <v>43035.3039236111</v>
      </c>
      <c r="B8936" s="7" t="str">
        <f aca="false">HYPERLINK("https://twitter.com/matrix____","@matrix____")</f>
        <v>@matrix____</v>
      </c>
      <c r="C8936" s="8" t="s">
        <v>3429</v>
      </c>
      <c r="D8936" s="8" t="s">
        <v>19386</v>
      </c>
      <c r="E8936" s="9" t="str">
        <f aca="false">HYPERLINK("https://twitter.com/matrix____/status/923916606316560384","923916606316560384")</f>
        <v>923916606316560384</v>
      </c>
      <c r="F8936" s="10" t="s">
        <v>39</v>
      </c>
      <c r="G8936" s="10" t="n">
        <v>3025</v>
      </c>
      <c r="H8936" s="10" t="n">
        <v>99</v>
      </c>
      <c r="I8936" s="10" t="n">
        <v>11</v>
      </c>
      <c r="J8936" s="10" t="n">
        <v>0</v>
      </c>
      <c r="K8936" s="10" t="s">
        <v>20</v>
      </c>
      <c r="L8936" s="11" t="n">
        <v>40899.4175231482</v>
      </c>
      <c r="M8936" s="12"/>
      <c r="N8936" s="12" t="s">
        <v>3430</v>
      </c>
      <c r="O8936" s="9" t="str">
        <f aca="false">HYPERLINK("https://pbs.twimg.com/profile_images/2562735424/xehron89ogped2vk6umj_normal.jpeg","View")</f>
        <v>View</v>
      </c>
      <c r="P8936" s="10"/>
    </row>
    <row r="8937" customFormat="false" ht="15.75" hidden="false" customHeight="false" outlineLevel="0" collapsed="false">
      <c r="A8937" s="6" t="n">
        <v>43035.3039583333</v>
      </c>
      <c r="B8937" s="7" t="str">
        <f aca="false">HYPERLINK("https://twitter.com/serge_poznanski","@serge_poznanski")</f>
        <v>@serge_poznanski</v>
      </c>
      <c r="C8937" s="8" t="s">
        <v>212</v>
      </c>
      <c r="D8937" s="8" t="s">
        <v>19401</v>
      </c>
      <c r="E8937" s="9" t="str">
        <f aca="false">HYPERLINK("https://twitter.com/serge_poznanski/status/923916621768527872","923916621768527872")</f>
        <v>923916621768527872</v>
      </c>
      <c r="F8937" s="10" t="s">
        <v>60</v>
      </c>
      <c r="G8937" s="10" t="n">
        <v>1424</v>
      </c>
      <c r="H8937" s="10" t="n">
        <v>2136</v>
      </c>
      <c r="I8937" s="10" t="n">
        <v>0</v>
      </c>
      <c r="J8937" s="10" t="n">
        <v>0</v>
      </c>
      <c r="K8937" s="10" t="s">
        <v>20</v>
      </c>
      <c r="L8937" s="11" t="n">
        <v>42271.4744560185</v>
      </c>
      <c r="M8937" s="12"/>
      <c r="N8937" s="12"/>
      <c r="O8937" s="9" t="str">
        <f aca="false">HYPERLINK("https://pbs.twimg.com/profile_images/647277253240291328/3GezjFCJ_normal.jpg","View")</f>
        <v>View</v>
      </c>
      <c r="P8937" s="10"/>
    </row>
    <row r="8938" customFormat="false" ht="15.75" hidden="false" customHeight="false" outlineLevel="0" collapsed="false">
      <c r="A8938" s="6" t="n">
        <v>43035.3061342593</v>
      </c>
      <c r="B8938" s="7" t="str">
        <f aca="false">HYPERLINK("https://twitter.com/ClarkElif","@ClarkElif")</f>
        <v>@ClarkElif</v>
      </c>
      <c r="C8938" s="8" t="s">
        <v>19402</v>
      </c>
      <c r="D8938" s="8" t="s">
        <v>19386</v>
      </c>
      <c r="E8938" s="9" t="str">
        <f aca="false">HYPERLINK("https://twitter.com/ClarkElif/status/923917407881695233","923917407881695233")</f>
        <v>923917407881695233</v>
      </c>
      <c r="F8938" s="10" t="s">
        <v>51</v>
      </c>
      <c r="G8938" s="10" t="n">
        <v>2027</v>
      </c>
      <c r="H8938" s="10" t="n">
        <v>2134</v>
      </c>
      <c r="I8938" s="10" t="n">
        <v>11</v>
      </c>
      <c r="J8938" s="10" t="n">
        <v>0</v>
      </c>
      <c r="K8938" s="10" t="s">
        <v>20</v>
      </c>
      <c r="L8938" s="11" t="n">
        <v>41432.2558796296</v>
      </c>
      <c r="M8938" s="12"/>
      <c r="N8938" s="12" t="s">
        <v>19403</v>
      </c>
      <c r="O8938" s="9" t="str">
        <f aca="false">HYPERLINK("https://pbs.twimg.com/profile_images/448519806971830272/Zv9YG0Cy_normal.jpeg","View")</f>
        <v>View</v>
      </c>
      <c r="P8938" s="10"/>
    </row>
    <row r="8939" customFormat="false" ht="15.75" hidden="false" customHeight="false" outlineLevel="0" collapsed="false">
      <c r="A8939" s="6" t="n">
        <v>43035.3095486111</v>
      </c>
      <c r="B8939" s="7" t="str">
        <f aca="false">HYPERLINK("https://twitter.com/jaimeotero_","@jaimeotero_")</f>
        <v>@jaimeotero_</v>
      </c>
      <c r="C8939" s="8" t="s">
        <v>205</v>
      </c>
      <c r="D8939" s="8" t="s">
        <v>19404</v>
      </c>
      <c r="E8939" s="9" t="str">
        <f aca="false">HYPERLINK("https://twitter.com/jaimeotero_/status/923918644739964929","923918644739964929")</f>
        <v>923918644739964929</v>
      </c>
      <c r="F8939" s="10" t="s">
        <v>60</v>
      </c>
      <c r="G8939" s="10" t="n">
        <v>34492</v>
      </c>
      <c r="H8939" s="10" t="n">
        <v>31252</v>
      </c>
      <c r="I8939" s="10" t="n">
        <v>0</v>
      </c>
      <c r="J8939" s="10" t="n">
        <v>0</v>
      </c>
      <c r="K8939" s="10" t="s">
        <v>20</v>
      </c>
      <c r="L8939" s="11" t="n">
        <v>42531.0121990741</v>
      </c>
      <c r="M8939" s="12" t="s">
        <v>207</v>
      </c>
      <c r="N8939" s="12" t="s">
        <v>208</v>
      </c>
      <c r="O8939" s="9" t="str">
        <f aca="false">HYPERLINK("https://pbs.twimg.com/profile_images/849817561281818626/acAU04SD_normal.jpg","View")</f>
        <v>View</v>
      </c>
      <c r="P8939" s="10"/>
    </row>
    <row r="8940" customFormat="false" ht="15.75" hidden="false" customHeight="false" outlineLevel="0" collapsed="false">
      <c r="A8940" s="6" t="n">
        <v>43035.3148842593</v>
      </c>
      <c r="B8940" s="7" t="str">
        <f aca="false">HYPERLINK("https://twitter.com/Tekki_VR","@Tekki_VR")</f>
        <v>@Tekki_VR</v>
      </c>
      <c r="C8940" s="8" t="s">
        <v>225</v>
      </c>
      <c r="D8940" s="8" t="s">
        <v>19405</v>
      </c>
      <c r="E8940" s="9" t="str">
        <f aca="false">HYPERLINK("https://twitter.com/Tekki_VR/status/923920578532306944","923920578532306944")</f>
        <v>923920578532306944</v>
      </c>
      <c r="F8940" s="10" t="s">
        <v>60</v>
      </c>
      <c r="G8940" s="10" t="n">
        <v>1895</v>
      </c>
      <c r="H8940" s="10" t="n">
        <v>2479</v>
      </c>
      <c r="I8940" s="10" t="n">
        <v>0</v>
      </c>
      <c r="J8940" s="10" t="n">
        <v>0</v>
      </c>
      <c r="K8940" s="10" t="s">
        <v>20</v>
      </c>
      <c r="L8940" s="11" t="n">
        <v>42263.5455324074</v>
      </c>
      <c r="M8940" s="12" t="s">
        <v>227</v>
      </c>
      <c r="N8940" s="12" t="s">
        <v>228</v>
      </c>
      <c r="O8940" s="9" t="str">
        <f aca="false">HYPERLINK("https://pbs.twimg.com/profile_images/760662770694098944/h1nSBfE8_normal.jpg","View")</f>
        <v>View</v>
      </c>
      <c r="P8940" s="10"/>
    </row>
    <row r="8941" customFormat="false" ht="15.75" hidden="false" customHeight="false" outlineLevel="0" collapsed="false">
      <c r="A8941" s="6" t="n">
        <v>43035.3274884259</v>
      </c>
      <c r="B8941" s="7" t="str">
        <f aca="false">HYPERLINK("https://twitter.com/market4justice","@market4justice")</f>
        <v>@market4justice</v>
      </c>
      <c r="C8941" s="8" t="s">
        <v>11426</v>
      </c>
      <c r="D8941" s="8" t="s">
        <v>19406</v>
      </c>
      <c r="E8941" s="9" t="str">
        <f aca="false">HYPERLINK("https://twitter.com/market4justice/status/923925146016116736","923925146016116736")</f>
        <v>923925146016116736</v>
      </c>
      <c r="F8941" s="10" t="s">
        <v>60</v>
      </c>
      <c r="G8941" s="10" t="n">
        <v>435</v>
      </c>
      <c r="H8941" s="10" t="n">
        <v>137</v>
      </c>
      <c r="I8941" s="10" t="n">
        <v>0</v>
      </c>
      <c r="J8941" s="10" t="n">
        <v>0</v>
      </c>
      <c r="K8941" s="10" t="s">
        <v>20</v>
      </c>
      <c r="L8941" s="11" t="n">
        <v>42184.4424421296</v>
      </c>
      <c r="M8941" s="12" t="s">
        <v>21</v>
      </c>
      <c r="N8941" s="12" t="s">
        <v>11428</v>
      </c>
      <c r="O8941" s="9" t="str">
        <f aca="false">HYPERLINK("https://pbs.twimg.com/profile_images/615577051399983104/1B-CM5fS_normal.jpg","View")</f>
        <v>View</v>
      </c>
      <c r="P8941" s="10"/>
    </row>
    <row r="8942" customFormat="false" ht="15.75" hidden="false" customHeight="false" outlineLevel="0" collapsed="false">
      <c r="A8942" s="6" t="n">
        <v>43035.3494907407</v>
      </c>
      <c r="B8942" s="7" t="str">
        <f aca="false">HYPERLINK("https://twitter.com/DharmaYuddha","@DharmaYuddha")</f>
        <v>@DharmaYuddha</v>
      </c>
      <c r="C8942" s="8" t="s">
        <v>19407</v>
      </c>
      <c r="D8942" s="8" t="s">
        <v>8538</v>
      </c>
      <c r="E8942" s="9" t="str">
        <f aca="false">HYPERLINK("https://twitter.com/DharmaYuddha/status/923933122617532417","923933122617532417")</f>
        <v>923933122617532417</v>
      </c>
      <c r="F8942" s="10" t="s">
        <v>25</v>
      </c>
      <c r="G8942" s="10" t="n">
        <v>2191</v>
      </c>
      <c r="H8942" s="10" t="n">
        <v>796</v>
      </c>
      <c r="I8942" s="10" t="n">
        <v>1015</v>
      </c>
      <c r="J8942" s="10" t="n">
        <v>0</v>
      </c>
      <c r="K8942" s="10" t="s">
        <v>20</v>
      </c>
      <c r="L8942" s="11" t="n">
        <v>40018.311412037</v>
      </c>
      <c r="M8942" s="12" t="s">
        <v>72</v>
      </c>
      <c r="N8942" s="12" t="s">
        <v>19408</v>
      </c>
      <c r="O8942" s="9" t="str">
        <f aca="false">HYPERLINK("https://pbs.twimg.com/profile_images/468587485388230657/Ol45AMBF_normal.jpeg","View")</f>
        <v>View</v>
      </c>
      <c r="P8942" s="10"/>
    </row>
    <row r="8943" customFormat="false" ht="15.75" hidden="false" customHeight="false" outlineLevel="0" collapsed="false">
      <c r="A8943" s="6" t="n">
        <v>43035.3542013889</v>
      </c>
      <c r="B8943" s="7" t="str">
        <f aca="false">HYPERLINK("https://twitter.com/TIMEPolitics","@TIMEPolitics")</f>
        <v>@TIMEPolitics</v>
      </c>
      <c r="C8943" s="8" t="s">
        <v>19409</v>
      </c>
      <c r="D8943" s="8" t="s">
        <v>19410</v>
      </c>
      <c r="E8943" s="9" t="str">
        <f aca="false">HYPERLINK("https://twitter.com/TIMEPolitics/status/923934827069321217","923934827069321217")</f>
        <v>923934827069321217</v>
      </c>
      <c r="F8943" s="10" t="s">
        <v>276</v>
      </c>
      <c r="G8943" s="10" t="n">
        <v>51327</v>
      </c>
      <c r="H8943" s="10" t="n">
        <v>767</v>
      </c>
      <c r="I8943" s="10" t="n">
        <v>1</v>
      </c>
      <c r="J8943" s="10" t="n">
        <v>0</v>
      </c>
      <c r="K8943" s="10" t="s">
        <v>20</v>
      </c>
      <c r="L8943" s="11" t="n">
        <v>39664.3490162037</v>
      </c>
      <c r="M8943" s="12"/>
      <c r="N8943" s="12" t="s">
        <v>19411</v>
      </c>
      <c r="O8943" s="9" t="str">
        <f aca="false">HYPERLINK("https://pbs.twimg.com/profile_images/481148089399398401/h_6VWChc_normal.jpeg","View")</f>
        <v>View</v>
      </c>
      <c r="P8943" s="10"/>
    </row>
    <row r="8944" customFormat="false" ht="15.75" hidden="false" customHeight="false" outlineLevel="0" collapsed="false">
      <c r="A8944" s="6" t="n">
        <v>43035.3561226852</v>
      </c>
      <c r="B8944" s="7" t="str">
        <f aca="false">HYPERLINK("https://twitter.com/JonathonSnyder","@JonathonSnyder")</f>
        <v>@JonathonSnyder</v>
      </c>
      <c r="C8944" s="8" t="s">
        <v>19412</v>
      </c>
      <c r="D8944" s="8" t="s">
        <v>19413</v>
      </c>
      <c r="E8944" s="9" t="str">
        <f aca="false">HYPERLINK("https://twitter.com/JonathonSnyder/status/923935524083167234","923935524083167234")</f>
        <v>923935524083167234</v>
      </c>
      <c r="F8944" s="10" t="s">
        <v>51</v>
      </c>
      <c r="G8944" s="10" t="n">
        <v>1545</v>
      </c>
      <c r="H8944" s="10" t="n">
        <v>2924</v>
      </c>
      <c r="I8944" s="10" t="n">
        <v>1</v>
      </c>
      <c r="J8944" s="10" t="n">
        <v>0</v>
      </c>
      <c r="K8944" s="10" t="s">
        <v>20</v>
      </c>
      <c r="L8944" s="11" t="n">
        <v>39624.3477083333</v>
      </c>
      <c r="M8944" s="12" t="s">
        <v>8594</v>
      </c>
      <c r="N8944" s="12" t="s">
        <v>19414</v>
      </c>
      <c r="O8944" s="9" t="str">
        <f aca="false">HYPERLINK("https://pbs.twimg.com/profile_images/758880367663165441/jvTQ5xV4_normal.jpg","View")</f>
        <v>View</v>
      </c>
      <c r="P8944" s="10"/>
    </row>
    <row r="8945" customFormat="false" ht="15.75" hidden="false" customHeight="false" outlineLevel="0" collapsed="false">
      <c r="A8945" s="6" t="n">
        <v>43035.4072337963</v>
      </c>
      <c r="B8945" s="7" t="str">
        <f aca="false">HYPERLINK("https://twitter.com/OnderKaraogLan","@OnderKaraogLan")</f>
        <v>@OnderKaraogLan</v>
      </c>
      <c r="C8945" s="8" t="s">
        <v>19415</v>
      </c>
      <c r="D8945" s="8" t="s">
        <v>19373</v>
      </c>
      <c r="E8945" s="9" t="str">
        <f aca="false">HYPERLINK("https://twitter.com/OnderKaraogLan/status/923954045538185217","923954045538185217")</f>
        <v>923954045538185217</v>
      </c>
      <c r="F8945" s="10" t="s">
        <v>25</v>
      </c>
      <c r="G8945" s="10" t="n">
        <v>1152</v>
      </c>
      <c r="H8945" s="10" t="n">
        <v>4902</v>
      </c>
      <c r="I8945" s="10" t="n">
        <v>4</v>
      </c>
      <c r="J8945" s="10" t="n">
        <v>0</v>
      </c>
      <c r="K8945" s="10" t="s">
        <v>20</v>
      </c>
      <c r="L8945" s="11" t="n">
        <v>42919.5309837963</v>
      </c>
      <c r="M8945" s="12" t="s">
        <v>19416</v>
      </c>
      <c r="N8945" s="12" t="s">
        <v>19417</v>
      </c>
      <c r="O8945" s="9" t="str">
        <f aca="false">HYPERLINK("https://pbs.twimg.com/profile_images/881966601398091776/inmZ8Hnw_normal.jpg","View")</f>
        <v>View</v>
      </c>
      <c r="P8945" s="10"/>
    </row>
    <row r="8946" customFormat="false" ht="12.8" hidden="false" customHeight="false" outlineLevel="0" collapsed="false"/>
    <row r="8947" customFormat="false" ht="12.8" hidden="false" customHeight="false" outlineLevel="0" collapsed="false"/>
    <row r="8948" customFormat="false" ht="12.8" hidden="false" customHeight="false" outlineLevel="0" collapsed="false"/>
    <row r="8949" customFormat="false" ht="12.8" hidden="false" customHeight="false" outlineLevel="0" collapsed="false"/>
    <row r="8950" customFormat="false" ht="12.8" hidden="false" customHeight="false" outlineLevel="0" collapsed="false"/>
    <row r="8951" customFormat="false" ht="12.8" hidden="false" customHeight="false" outlineLevel="0" collapsed="false"/>
    <row r="8952" customFormat="false" ht="12.8" hidden="false" customHeight="false" outlineLevel="0" collapsed="false"/>
    <row r="8953" customFormat="false" ht="12.8" hidden="false" customHeight="false" outlineLevel="0" collapsed="false"/>
    <row r="8954" customFormat="false" ht="12.8" hidden="false" customHeight="false" outlineLevel="0" collapsed="false"/>
    <row r="8955" customFormat="false" ht="12.8" hidden="false" customHeight="false" outlineLevel="0" collapsed="false"/>
    <row r="8956" customFormat="false" ht="12.8" hidden="false" customHeight="false" outlineLevel="0" collapsed="false"/>
    <row r="8957" customFormat="false" ht="12.8" hidden="false" customHeight="false" outlineLevel="0" collapsed="false"/>
    <row r="8958" customFormat="false" ht="12.8" hidden="false" customHeight="false" outlineLevel="0" collapsed="false"/>
    <row r="8959" customFormat="false" ht="12.8" hidden="false" customHeight="false" outlineLevel="0" collapsed="false"/>
    <row r="8960" customFormat="false" ht="12.8" hidden="false" customHeight="false" outlineLevel="0" collapsed="false"/>
    <row r="8961" customFormat="false" ht="12.8" hidden="false" customHeight="false" outlineLevel="0" collapsed="false"/>
    <row r="8962" customFormat="false" ht="12.8" hidden="false" customHeight="false" outlineLevel="0" collapsed="false"/>
    <row r="8963" customFormat="false" ht="12.8" hidden="false" customHeight="false" outlineLevel="0" collapsed="false"/>
    <row r="8964" customFormat="false" ht="12.8" hidden="false" customHeight="false" outlineLevel="0" collapsed="false"/>
    <row r="8965" customFormat="false" ht="12.8" hidden="false" customHeight="false" outlineLevel="0" collapsed="false"/>
    <row r="8966" customFormat="false" ht="12.8" hidden="false" customHeight="false" outlineLevel="0" collapsed="false"/>
    <row r="8967" customFormat="false" ht="12.8" hidden="false" customHeight="false" outlineLevel="0" collapsed="false"/>
    <row r="8968" customFormat="false" ht="12.8" hidden="false" customHeight="false" outlineLevel="0" collapsed="false"/>
    <row r="8969" customFormat="false" ht="12.8" hidden="false" customHeight="false" outlineLevel="0" collapsed="false"/>
    <row r="8970" customFormat="false" ht="12.8" hidden="false" customHeight="false" outlineLevel="0" collapsed="false"/>
    <row r="8971" customFormat="false" ht="12.8" hidden="false" customHeight="false" outlineLevel="0" collapsed="false"/>
    <row r="8972" customFormat="false" ht="12.8" hidden="false" customHeight="false" outlineLevel="0" collapsed="false"/>
    <row r="8973" customFormat="false" ht="12.8" hidden="false" customHeight="false" outlineLevel="0" collapsed="false"/>
    <row r="8974" customFormat="false" ht="12.8" hidden="false" customHeight="false" outlineLevel="0" collapsed="false"/>
    <row r="8975" customFormat="false" ht="12.8" hidden="false" customHeight="false" outlineLevel="0" collapsed="false"/>
    <row r="8976" customFormat="false" ht="12.8" hidden="false" customHeight="false" outlineLevel="0" collapsed="false"/>
    <row r="8977" customFormat="false" ht="12.8" hidden="false" customHeight="false" outlineLevel="0" collapsed="false"/>
    <row r="8978" customFormat="false" ht="12.8" hidden="false" customHeight="false" outlineLevel="0" collapsed="false"/>
    <row r="8979" customFormat="false" ht="12.8" hidden="false" customHeight="false" outlineLevel="0" collapsed="false"/>
    <row r="8980" customFormat="false" ht="12.8" hidden="false" customHeight="false" outlineLevel="0" collapsed="false"/>
    <row r="8981" customFormat="false" ht="12.8" hidden="false" customHeight="false" outlineLevel="0" collapsed="false"/>
    <row r="8982" customFormat="false" ht="12.8" hidden="false" customHeight="false" outlineLevel="0" collapsed="false"/>
    <row r="8983" customFormat="false" ht="12.8" hidden="false" customHeight="false" outlineLevel="0" collapsed="false"/>
    <row r="8984" customFormat="false" ht="12.8" hidden="false" customHeight="false" outlineLevel="0" collapsed="false"/>
    <row r="8985" customFormat="false" ht="12.8" hidden="false" customHeight="false" outlineLevel="0" collapsed="false"/>
    <row r="8986" customFormat="false" ht="12.8" hidden="false" customHeight="false" outlineLevel="0" collapsed="false"/>
    <row r="8987" customFormat="false" ht="12.8" hidden="false" customHeight="false" outlineLevel="0" collapsed="false"/>
    <row r="8988" customFormat="false" ht="12.8" hidden="false" customHeight="false" outlineLevel="0" collapsed="false"/>
    <row r="8989" customFormat="false" ht="12.8" hidden="false" customHeight="false" outlineLevel="0" collapsed="false"/>
    <row r="8990" customFormat="false" ht="12.8" hidden="false" customHeight="false" outlineLevel="0" collapsed="false"/>
    <row r="8991" customFormat="false" ht="12.8" hidden="false" customHeight="false" outlineLevel="0" collapsed="false"/>
    <row r="8992" customFormat="false" ht="12.8" hidden="false" customHeight="false" outlineLevel="0" collapsed="false"/>
    <row r="8993" customFormat="false" ht="12.8" hidden="false" customHeight="false" outlineLevel="0" collapsed="false"/>
    <row r="8994" customFormat="false" ht="12.8" hidden="false" customHeight="false" outlineLevel="0" collapsed="false"/>
    <row r="8995" customFormat="false" ht="12.8" hidden="false" customHeight="false" outlineLevel="0" collapsed="false"/>
    <row r="8996" customFormat="false" ht="12.8" hidden="false" customHeight="false" outlineLevel="0" collapsed="false"/>
    <row r="8997" customFormat="false" ht="12.8" hidden="false" customHeight="false" outlineLevel="0" collapsed="false"/>
    <row r="8998" customFormat="false" ht="12.8" hidden="false" customHeight="false" outlineLevel="0" collapsed="false"/>
    <row r="8999" customFormat="false" ht="12.8" hidden="false" customHeight="false" outlineLevel="0" collapsed="false"/>
    <row r="9000" customFormat="false" ht="12.8" hidden="false" customHeight="false" outlineLevel="0" collapsed="false"/>
    <row r="9001" customFormat="false" ht="12.8" hidden="false" customHeight="false" outlineLevel="0" collapsed="false"/>
    <row r="9002" customFormat="false" ht="12.8" hidden="false" customHeight="false" outlineLevel="0" collapsed="false"/>
    <row r="9003" customFormat="false" ht="12.8" hidden="false" customHeight="false" outlineLevel="0" collapsed="false"/>
    <row r="9004" customFormat="false" ht="12.8" hidden="false" customHeight="false" outlineLevel="0" collapsed="false"/>
    <row r="9005" customFormat="false" ht="12.8" hidden="false" customHeight="false" outlineLevel="0" collapsed="false"/>
    <row r="9006" customFormat="false" ht="12.8" hidden="false" customHeight="false" outlineLevel="0" collapsed="false"/>
    <row r="9007" customFormat="false" ht="12.8" hidden="false" customHeight="false" outlineLevel="0" collapsed="false"/>
    <row r="9008" customFormat="false" ht="12.8" hidden="false" customHeight="false" outlineLevel="0" collapsed="false"/>
    <row r="9009" customFormat="false" ht="12.8" hidden="false" customHeight="false" outlineLevel="0" collapsed="false"/>
    <row r="9010" customFormat="false" ht="12.8" hidden="false" customHeight="false" outlineLevel="0" collapsed="false"/>
    <row r="9011" customFormat="false" ht="12.8" hidden="false" customHeight="false" outlineLevel="0" collapsed="false"/>
    <row r="9012" customFormat="false" ht="12.8" hidden="false" customHeight="false" outlineLevel="0" collapsed="false"/>
    <row r="9013" customFormat="false" ht="12.8" hidden="false" customHeight="false" outlineLevel="0" collapsed="false"/>
    <row r="9014" customFormat="false" ht="12.8" hidden="false" customHeight="false" outlineLevel="0" collapsed="false"/>
    <row r="9015" customFormat="false" ht="12.8" hidden="false" customHeight="false" outlineLevel="0" collapsed="false"/>
    <row r="9016" customFormat="false" ht="12.8" hidden="false" customHeight="false" outlineLevel="0" collapsed="false"/>
    <row r="9017" customFormat="false" ht="12.8" hidden="false" customHeight="false" outlineLevel="0" collapsed="false"/>
    <row r="9018" customFormat="false" ht="12.8" hidden="false" customHeight="false" outlineLevel="0" collapsed="false"/>
    <row r="9019" customFormat="false" ht="12.8" hidden="false" customHeight="false" outlineLevel="0" collapsed="false"/>
    <row r="9020" customFormat="false" ht="12.8" hidden="false" customHeight="false" outlineLevel="0" collapsed="false"/>
    <row r="9021" customFormat="false" ht="12.8" hidden="false" customHeight="false" outlineLevel="0" collapsed="false"/>
    <row r="9022" customFormat="false" ht="12.8" hidden="false" customHeight="false" outlineLevel="0" collapsed="false"/>
    <row r="9023" customFormat="false" ht="12.8" hidden="false" customHeight="false" outlineLevel="0" collapsed="false"/>
    <row r="9024" customFormat="false" ht="12.8" hidden="false" customHeight="false" outlineLevel="0" collapsed="false"/>
    <row r="9025" customFormat="false" ht="12.8" hidden="false" customHeight="false" outlineLevel="0" collapsed="false"/>
    <row r="9026" customFormat="false" ht="12.8" hidden="false" customHeight="false" outlineLevel="0" collapsed="false"/>
    <row r="9027" customFormat="false" ht="12.8" hidden="false" customHeight="false" outlineLevel="0" collapsed="false"/>
    <row r="9028" customFormat="false" ht="12.8" hidden="false" customHeight="false" outlineLevel="0" collapsed="false"/>
    <row r="9029" customFormat="false" ht="12.8" hidden="false" customHeight="false" outlineLevel="0" collapsed="false"/>
    <row r="9030" customFormat="false" ht="12.8" hidden="false" customHeight="false" outlineLevel="0" collapsed="false"/>
    <row r="9031" customFormat="false" ht="12.8" hidden="false" customHeight="false" outlineLevel="0" collapsed="false"/>
    <row r="9032" customFormat="false" ht="12.8" hidden="false" customHeight="false" outlineLevel="0" collapsed="false"/>
    <row r="9033" customFormat="false" ht="12.8" hidden="false" customHeight="false" outlineLevel="0" collapsed="false"/>
    <row r="9034" customFormat="false" ht="12.8" hidden="false" customHeight="false" outlineLevel="0" collapsed="false"/>
    <row r="9035" customFormat="false" ht="12.8" hidden="false" customHeight="false" outlineLevel="0" collapsed="false"/>
    <row r="9036" customFormat="false" ht="12.8" hidden="false" customHeight="false" outlineLevel="0" collapsed="false"/>
    <row r="9037" customFormat="false" ht="12.8" hidden="false" customHeight="false" outlineLevel="0" collapsed="false"/>
    <row r="9038" customFormat="false" ht="12.8" hidden="false" customHeight="false" outlineLevel="0" collapsed="false"/>
    <row r="9039" customFormat="false" ht="12.8" hidden="false" customHeight="false" outlineLevel="0" collapsed="false"/>
    <row r="9040" customFormat="false" ht="12.8" hidden="false" customHeight="false" outlineLevel="0" collapsed="false"/>
    <row r="9041" customFormat="false" ht="12.8" hidden="false" customHeight="false" outlineLevel="0" collapsed="false"/>
    <row r="9042" customFormat="false" ht="12.8" hidden="false" customHeight="false" outlineLevel="0" collapsed="false"/>
    <row r="9043" customFormat="false" ht="12.8" hidden="false" customHeight="false" outlineLevel="0" collapsed="false"/>
    <row r="9044" customFormat="false" ht="12.8" hidden="false" customHeight="false" outlineLevel="0" collapsed="false"/>
    <row r="9045" customFormat="false" ht="12.8" hidden="false" customHeight="false" outlineLevel="0" collapsed="false"/>
    <row r="9046" customFormat="false" ht="12.8" hidden="false" customHeight="false" outlineLevel="0" collapsed="false"/>
    <row r="9047" customFormat="false" ht="12.8" hidden="false" customHeight="false" outlineLevel="0" collapsed="false"/>
    <row r="9048" customFormat="false" ht="12.8" hidden="false" customHeight="false" outlineLevel="0" collapsed="false"/>
    <row r="9049" customFormat="false" ht="12.8" hidden="false" customHeight="false" outlineLevel="0" collapsed="false"/>
    <row r="9050" customFormat="false" ht="12.8" hidden="false" customHeight="false" outlineLevel="0" collapsed="false"/>
    <row r="9051" customFormat="false" ht="12.8" hidden="false" customHeight="false" outlineLevel="0" collapsed="false"/>
    <row r="9052" customFormat="false" ht="12.8" hidden="false" customHeight="false" outlineLevel="0" collapsed="false"/>
    <row r="9053" customFormat="false" ht="12.8" hidden="false" customHeight="false" outlineLevel="0" collapsed="false"/>
    <row r="9054" customFormat="false" ht="12.8" hidden="false" customHeight="false" outlineLevel="0" collapsed="false"/>
    <row r="9055" customFormat="false" ht="12.8" hidden="false" customHeight="false" outlineLevel="0" collapsed="false"/>
    <row r="9056" customFormat="false" ht="12.8" hidden="false" customHeight="false" outlineLevel="0" collapsed="false"/>
    <row r="9057" customFormat="false" ht="12.8" hidden="false" customHeight="false" outlineLevel="0" collapsed="false"/>
    <row r="9058" customFormat="false" ht="12.8" hidden="false" customHeight="false" outlineLevel="0" collapsed="false"/>
    <row r="9059" customFormat="false" ht="12.8" hidden="false" customHeight="false" outlineLevel="0" collapsed="false"/>
    <row r="9060" customFormat="false" ht="12.8" hidden="false" customHeight="false" outlineLevel="0" collapsed="false"/>
    <row r="9061" customFormat="false" ht="12.8" hidden="false" customHeight="false" outlineLevel="0" collapsed="false"/>
    <row r="9062" customFormat="false" ht="12.8" hidden="false" customHeight="false" outlineLevel="0" collapsed="false"/>
    <row r="9063" customFormat="false" ht="12.8" hidden="false" customHeight="false" outlineLevel="0" collapsed="false"/>
    <row r="9064" customFormat="false" ht="12.8" hidden="false" customHeight="false" outlineLevel="0" collapsed="false"/>
    <row r="9065" customFormat="false" ht="12.8" hidden="false" customHeight="false" outlineLevel="0" collapsed="false"/>
    <row r="9066" customFormat="false" ht="12.8" hidden="false" customHeight="false" outlineLevel="0" collapsed="false"/>
    <row r="9067" customFormat="false" ht="12.8" hidden="false" customHeight="false" outlineLevel="0" collapsed="false"/>
    <row r="9068" customFormat="false" ht="12.8" hidden="false" customHeight="false" outlineLevel="0" collapsed="false"/>
    <row r="9069" customFormat="false" ht="12.8" hidden="false" customHeight="false" outlineLevel="0" collapsed="false"/>
    <row r="9070" customFormat="false" ht="12.8" hidden="false" customHeight="false" outlineLevel="0" collapsed="false"/>
    <row r="9071" customFormat="false" ht="12.8" hidden="false" customHeight="false" outlineLevel="0" collapsed="false"/>
    <row r="9072" customFormat="false" ht="12.8" hidden="false" customHeight="false" outlineLevel="0" collapsed="false"/>
    <row r="9073" customFormat="false" ht="12.8" hidden="false" customHeight="false" outlineLevel="0" collapsed="false"/>
    <row r="9074" customFormat="false" ht="12.8" hidden="false" customHeight="false" outlineLevel="0" collapsed="false"/>
    <row r="9075" customFormat="false" ht="12.8" hidden="false" customHeight="false" outlineLevel="0" collapsed="false"/>
    <row r="9076" customFormat="false" ht="12.8" hidden="false" customHeight="false" outlineLevel="0" collapsed="false"/>
    <row r="9077" customFormat="false" ht="12.8" hidden="false" customHeight="false" outlineLevel="0" collapsed="false"/>
    <row r="9078" customFormat="false" ht="12.8" hidden="false" customHeight="false" outlineLevel="0" collapsed="false"/>
    <row r="9079" customFormat="false" ht="12.8" hidden="false" customHeight="false" outlineLevel="0" collapsed="false"/>
    <row r="9080" customFormat="false" ht="12.8" hidden="false" customHeight="false" outlineLevel="0" collapsed="false"/>
    <row r="9081" customFormat="false" ht="12.8" hidden="false" customHeight="false" outlineLevel="0" collapsed="false"/>
    <row r="9082" customFormat="false" ht="12.8" hidden="false" customHeight="false" outlineLevel="0" collapsed="false"/>
    <row r="9083" customFormat="false" ht="12.8" hidden="false" customHeight="false" outlineLevel="0" collapsed="false"/>
    <row r="9084" customFormat="false" ht="12.8" hidden="false" customHeight="false" outlineLevel="0" collapsed="false"/>
    <row r="9085" customFormat="false" ht="12.8" hidden="false" customHeight="false" outlineLevel="0" collapsed="false"/>
    <row r="9086" customFormat="false" ht="12.8" hidden="false" customHeight="false" outlineLevel="0" collapsed="false"/>
    <row r="9087" customFormat="false" ht="12.8" hidden="false" customHeight="false" outlineLevel="0" collapsed="false"/>
    <row r="9088" customFormat="false" ht="12.8" hidden="false" customHeight="false" outlineLevel="0" collapsed="false"/>
    <row r="9089" customFormat="false" ht="12.8" hidden="false" customHeight="false" outlineLevel="0" collapsed="false"/>
    <row r="9090" customFormat="false" ht="12.8" hidden="false" customHeight="false" outlineLevel="0" collapsed="false"/>
    <row r="9091" customFormat="false" ht="12.8" hidden="false" customHeight="false" outlineLevel="0" collapsed="false"/>
    <row r="9092" customFormat="false" ht="12.8" hidden="false" customHeight="false" outlineLevel="0" collapsed="false"/>
    <row r="9093" customFormat="false" ht="12.8" hidden="false" customHeight="false" outlineLevel="0" collapsed="false"/>
    <row r="9094" customFormat="false" ht="12.8" hidden="false" customHeight="false" outlineLevel="0" collapsed="false"/>
    <row r="9095" customFormat="false" ht="12.8" hidden="false" customHeight="false" outlineLevel="0" collapsed="false"/>
    <row r="9096" customFormat="false" ht="12.8" hidden="false" customHeight="false" outlineLevel="0" collapsed="false"/>
    <row r="9097" customFormat="false" ht="12.8" hidden="false" customHeight="false" outlineLevel="0" collapsed="false"/>
    <row r="9098" customFormat="false" ht="12.8" hidden="false" customHeight="false" outlineLevel="0" collapsed="false"/>
    <row r="9099" customFormat="false" ht="12.8" hidden="false" customHeight="false" outlineLevel="0" collapsed="false"/>
    <row r="9100" customFormat="false" ht="12.8" hidden="false" customHeight="false" outlineLevel="0" collapsed="false"/>
    <row r="9101" customFormat="false" ht="12.8" hidden="false" customHeight="false" outlineLevel="0" collapsed="false"/>
    <row r="9102" customFormat="false" ht="12.8" hidden="false" customHeight="false" outlineLevel="0" collapsed="false"/>
    <row r="9103" customFormat="false" ht="12.8" hidden="false" customHeight="false" outlineLevel="0" collapsed="false"/>
    <row r="9104" customFormat="false" ht="12.8" hidden="false" customHeight="false" outlineLevel="0" collapsed="false"/>
    <row r="9105" customFormat="false" ht="12.8" hidden="false" customHeight="false" outlineLevel="0" collapsed="false"/>
    <row r="9106" customFormat="false" ht="12.8" hidden="false" customHeight="false" outlineLevel="0" collapsed="false"/>
    <row r="9107" customFormat="false" ht="12.8" hidden="false" customHeight="false" outlineLevel="0" collapsed="false"/>
    <row r="9108" customFormat="false" ht="12.8" hidden="false" customHeight="false" outlineLevel="0" collapsed="false"/>
    <row r="9109" customFormat="false" ht="12.8" hidden="false" customHeight="false" outlineLevel="0" collapsed="false"/>
    <row r="9110" customFormat="false" ht="12.8" hidden="false" customHeight="false" outlineLevel="0" collapsed="false"/>
    <row r="9111" customFormat="false" ht="12.8" hidden="false" customHeight="false" outlineLevel="0" collapsed="false"/>
    <row r="9112" customFormat="false" ht="12.8" hidden="false" customHeight="false" outlineLevel="0" collapsed="false"/>
    <row r="9113" customFormat="false" ht="12.8" hidden="false" customHeight="false" outlineLevel="0" collapsed="false"/>
    <row r="9114" customFormat="false" ht="12.8" hidden="false" customHeight="false" outlineLevel="0" collapsed="false"/>
    <row r="9115" customFormat="false" ht="12.8" hidden="false" customHeight="false" outlineLevel="0" collapsed="false"/>
    <row r="9116" customFormat="false" ht="12.8" hidden="false" customHeight="false" outlineLevel="0" collapsed="false"/>
    <row r="9117" customFormat="false" ht="12.8" hidden="false" customHeight="false" outlineLevel="0" collapsed="false"/>
    <row r="9118" customFormat="false" ht="12.8" hidden="false" customHeight="false" outlineLevel="0" collapsed="false"/>
    <row r="9119" customFormat="false" ht="12.8" hidden="false" customHeight="false" outlineLevel="0" collapsed="false"/>
    <row r="9120" customFormat="false" ht="12.8" hidden="false" customHeight="false" outlineLevel="0" collapsed="false"/>
    <row r="9121" customFormat="false" ht="12.8" hidden="false" customHeight="false" outlineLevel="0" collapsed="false"/>
    <row r="9122" customFormat="false" ht="12.8" hidden="false" customHeight="false" outlineLevel="0" collapsed="false"/>
    <row r="9123" customFormat="false" ht="12.8" hidden="false" customHeight="false" outlineLevel="0" collapsed="false"/>
    <row r="9124" customFormat="false" ht="12.8" hidden="false" customHeight="false" outlineLevel="0" collapsed="false"/>
    <row r="9125" customFormat="false" ht="12.8" hidden="false" customHeight="false" outlineLevel="0" collapsed="false"/>
    <row r="9126" customFormat="false" ht="12.8" hidden="false" customHeight="false" outlineLevel="0" collapsed="false"/>
    <row r="9127" customFormat="false" ht="12.8" hidden="false" customHeight="false" outlineLevel="0" collapsed="false"/>
    <row r="9128" customFormat="false" ht="12.8" hidden="false" customHeight="false" outlineLevel="0" collapsed="false"/>
    <row r="9129" customFormat="false" ht="12.8" hidden="false" customHeight="false" outlineLevel="0" collapsed="false"/>
    <row r="9130" customFormat="false" ht="12.8" hidden="false" customHeight="false" outlineLevel="0" collapsed="false"/>
    <row r="9131" customFormat="false" ht="12.8" hidden="false" customHeight="false" outlineLevel="0" collapsed="false"/>
    <row r="9132" customFormat="false" ht="12.8" hidden="false" customHeight="false" outlineLevel="0" collapsed="false"/>
    <row r="9133" customFormat="false" ht="12.8" hidden="false" customHeight="false" outlineLevel="0" collapsed="false"/>
    <row r="9134" customFormat="false" ht="12.8" hidden="false" customHeight="false" outlineLevel="0" collapsed="false"/>
    <row r="9135" customFormat="false" ht="12.8" hidden="false" customHeight="false" outlineLevel="0" collapsed="false"/>
    <row r="9136" customFormat="false" ht="12.8" hidden="false" customHeight="false" outlineLevel="0" collapsed="false"/>
    <row r="9137" customFormat="false" ht="12.8" hidden="false" customHeight="false" outlineLevel="0" collapsed="false"/>
    <row r="9138" customFormat="false" ht="12.8" hidden="false" customHeight="false" outlineLevel="0" collapsed="false"/>
    <row r="9139" customFormat="false" ht="12.8" hidden="false" customHeight="false" outlineLevel="0" collapsed="false"/>
    <row r="9140" customFormat="false" ht="12.8" hidden="false" customHeight="false" outlineLevel="0" collapsed="false"/>
    <row r="9141" customFormat="false" ht="12.8" hidden="false" customHeight="false" outlineLevel="0" collapsed="false"/>
    <row r="9142" customFormat="false" ht="12.8" hidden="false" customHeight="false" outlineLevel="0" collapsed="false"/>
    <row r="9143" customFormat="false" ht="12.8" hidden="false" customHeight="false" outlineLevel="0" collapsed="false"/>
    <row r="9144" customFormat="false" ht="12.8" hidden="false" customHeight="false" outlineLevel="0" collapsed="false"/>
    <row r="9145" customFormat="false" ht="12.8" hidden="false" customHeight="false" outlineLevel="0" collapsed="false"/>
    <row r="9146" customFormat="false" ht="12.8" hidden="false" customHeight="false" outlineLevel="0" collapsed="false"/>
    <row r="9147" customFormat="false" ht="12.8" hidden="false" customHeight="false" outlineLevel="0" collapsed="false"/>
    <row r="9148" customFormat="false" ht="12.8" hidden="false" customHeight="false" outlineLevel="0" collapsed="false"/>
    <row r="9149" customFormat="false" ht="12.8" hidden="false" customHeight="false" outlineLevel="0" collapsed="false"/>
    <row r="9150" customFormat="false" ht="12.8" hidden="false" customHeight="false" outlineLevel="0" collapsed="false"/>
    <row r="9151" customFormat="false" ht="12.8" hidden="false" customHeight="false" outlineLevel="0" collapsed="false"/>
    <row r="9152" customFormat="false" ht="12.8" hidden="false" customHeight="false" outlineLevel="0" collapsed="false"/>
    <row r="9153" customFormat="false" ht="12.8" hidden="false" customHeight="false" outlineLevel="0" collapsed="false"/>
    <row r="9154" customFormat="false" ht="12.8" hidden="false" customHeight="false" outlineLevel="0" collapsed="false"/>
    <row r="9155" customFormat="false" ht="12.8" hidden="false" customHeight="false" outlineLevel="0" collapsed="false"/>
    <row r="9156" customFormat="false" ht="12.8" hidden="false" customHeight="false" outlineLevel="0" collapsed="false"/>
    <row r="9157" customFormat="false" ht="12.8" hidden="false" customHeight="false" outlineLevel="0" collapsed="false"/>
    <row r="9158" customFormat="false" ht="12.8" hidden="false" customHeight="false" outlineLevel="0" collapsed="false"/>
    <row r="9159" customFormat="false" ht="12.8" hidden="false" customHeight="false" outlineLevel="0" collapsed="false"/>
    <row r="9160" customFormat="false" ht="12.8" hidden="false" customHeight="false" outlineLevel="0" collapsed="false"/>
    <row r="9161" customFormat="false" ht="12.8" hidden="false" customHeight="false" outlineLevel="0" collapsed="false"/>
    <row r="9162" customFormat="false" ht="12.8" hidden="false" customHeight="false" outlineLevel="0" collapsed="false"/>
    <row r="9163" customFormat="false" ht="12.8" hidden="false" customHeight="false" outlineLevel="0" collapsed="false"/>
    <row r="9164" customFormat="false" ht="12.8" hidden="false" customHeight="false" outlineLevel="0" collapsed="false"/>
    <row r="9165" customFormat="false" ht="12.8" hidden="false" customHeight="false" outlineLevel="0" collapsed="false"/>
    <row r="9166" customFormat="false" ht="12.8" hidden="false" customHeight="false" outlineLevel="0" collapsed="false"/>
    <row r="9167" customFormat="false" ht="12.8" hidden="false" customHeight="false" outlineLevel="0" collapsed="false"/>
    <row r="9168" customFormat="false" ht="12.8" hidden="false" customHeight="false" outlineLevel="0" collapsed="false"/>
    <row r="9169" customFormat="false" ht="12.8" hidden="false" customHeight="false" outlineLevel="0" collapsed="false"/>
    <row r="9170" customFormat="false" ht="12.8" hidden="false" customHeight="false" outlineLevel="0" collapsed="false"/>
    <row r="9171" customFormat="false" ht="12.8" hidden="false" customHeight="false" outlineLevel="0" collapsed="false"/>
    <row r="9172" customFormat="false" ht="12.8" hidden="false" customHeight="false" outlineLevel="0" collapsed="false"/>
    <row r="9173" customFormat="false" ht="12.8" hidden="false" customHeight="false" outlineLevel="0" collapsed="false"/>
    <row r="9174" customFormat="false" ht="12.8" hidden="false" customHeight="false" outlineLevel="0" collapsed="false"/>
    <row r="9175" customFormat="false" ht="12.8" hidden="false" customHeight="false" outlineLevel="0" collapsed="false"/>
    <row r="9176" customFormat="false" ht="12.8" hidden="false" customHeight="false" outlineLevel="0" collapsed="false"/>
    <row r="9177" customFormat="false" ht="12.8" hidden="false" customHeight="false" outlineLevel="0" collapsed="false"/>
    <row r="9178" customFormat="false" ht="12.8" hidden="false" customHeight="false" outlineLevel="0" collapsed="false"/>
    <row r="9179" customFormat="false" ht="12.8" hidden="false" customHeight="false" outlineLevel="0" collapsed="false"/>
    <row r="9180" customFormat="false" ht="12.8" hidden="false" customHeight="false" outlineLevel="0" collapsed="false"/>
    <row r="9181" customFormat="false" ht="12.8" hidden="false" customHeight="false" outlineLevel="0" collapsed="false"/>
    <row r="9182" customFormat="false" ht="12.8" hidden="false" customHeight="false" outlineLevel="0" collapsed="false"/>
    <row r="9183" customFormat="false" ht="12.8" hidden="false" customHeight="false" outlineLevel="0" collapsed="false"/>
    <row r="9184" customFormat="false" ht="12.8" hidden="false" customHeight="false" outlineLevel="0" collapsed="false"/>
    <row r="9185" customFormat="false" ht="12.8" hidden="false" customHeight="false" outlineLevel="0" collapsed="false"/>
    <row r="9186" customFormat="false" ht="12.8" hidden="false" customHeight="false" outlineLevel="0" collapsed="false"/>
    <row r="9187" customFormat="false" ht="12.8" hidden="false" customHeight="false" outlineLevel="0" collapsed="false"/>
    <row r="9188" customFormat="false" ht="12.8" hidden="false" customHeight="false" outlineLevel="0" collapsed="false"/>
    <row r="9189" customFormat="false" ht="12.8" hidden="false" customHeight="false" outlineLevel="0" collapsed="false"/>
    <row r="9190" customFormat="false" ht="12.8" hidden="false" customHeight="false" outlineLevel="0" collapsed="false"/>
    <row r="9191" customFormat="false" ht="12.8" hidden="false" customHeight="false" outlineLevel="0" collapsed="false"/>
    <row r="9192" customFormat="false" ht="12.8" hidden="false" customHeight="false" outlineLevel="0" collapsed="false"/>
    <row r="9193" customFormat="false" ht="12.8" hidden="false" customHeight="false" outlineLevel="0" collapsed="false"/>
    <row r="9194" customFormat="false" ht="12.8" hidden="false" customHeight="false" outlineLevel="0" collapsed="false"/>
    <row r="9195" customFormat="false" ht="12.8" hidden="false" customHeight="false" outlineLevel="0" collapsed="false"/>
    <row r="9196" customFormat="false" ht="12.8" hidden="false" customHeight="false" outlineLevel="0" collapsed="false"/>
    <row r="9197" customFormat="false" ht="12.8" hidden="false" customHeight="false" outlineLevel="0" collapsed="false"/>
    <row r="9198" customFormat="false" ht="12.8" hidden="false" customHeight="false" outlineLevel="0" collapsed="false"/>
    <row r="9199" customFormat="false" ht="12.8" hidden="false" customHeight="false" outlineLevel="0" collapsed="false"/>
    <row r="9200" customFormat="false" ht="12.8" hidden="false" customHeight="false" outlineLevel="0" collapsed="false"/>
    <row r="9201" customFormat="false" ht="12.8" hidden="false" customHeight="false" outlineLevel="0" collapsed="false"/>
    <row r="9202" customFormat="false" ht="12.8" hidden="false" customHeight="false" outlineLevel="0" collapsed="false"/>
    <row r="9203" customFormat="false" ht="12.8" hidden="false" customHeight="false" outlineLevel="0" collapsed="false"/>
    <row r="9204" customFormat="false" ht="12.8" hidden="false" customHeight="false" outlineLevel="0" collapsed="false"/>
    <row r="9205" customFormat="false" ht="12.8" hidden="false" customHeight="false" outlineLevel="0" collapsed="false"/>
    <row r="9206" customFormat="false" ht="12.8" hidden="false" customHeight="false" outlineLevel="0" collapsed="false"/>
    <row r="9207" customFormat="false" ht="12.8" hidden="false" customHeight="false" outlineLevel="0" collapsed="false"/>
    <row r="9208" customFormat="false" ht="12.8" hidden="false" customHeight="false" outlineLevel="0" collapsed="false"/>
    <row r="9209" customFormat="false" ht="12.8" hidden="false" customHeight="false" outlineLevel="0" collapsed="false"/>
    <row r="9210" customFormat="false" ht="12.8" hidden="false" customHeight="false" outlineLevel="0" collapsed="false"/>
    <row r="9211" customFormat="false" ht="12.8" hidden="false" customHeight="false" outlineLevel="0" collapsed="false"/>
    <row r="9212" customFormat="false" ht="12.8" hidden="false" customHeight="false" outlineLevel="0" collapsed="false"/>
    <row r="9213" customFormat="false" ht="12.8" hidden="false" customHeight="false" outlineLevel="0" collapsed="false"/>
    <row r="9214" customFormat="false" ht="12.8" hidden="false" customHeight="false" outlineLevel="0" collapsed="false"/>
    <row r="9215" customFormat="false" ht="12.8" hidden="false" customHeight="false" outlineLevel="0" collapsed="false"/>
    <row r="9216" customFormat="false" ht="12.8" hidden="false" customHeight="false" outlineLevel="0" collapsed="false"/>
    <row r="9217" customFormat="false" ht="12.8" hidden="false" customHeight="false" outlineLevel="0" collapsed="false"/>
    <row r="9218" customFormat="false" ht="12.8" hidden="false" customHeight="false" outlineLevel="0" collapsed="false"/>
    <row r="9219" customFormat="false" ht="12.8" hidden="false" customHeight="false" outlineLevel="0" collapsed="false"/>
    <row r="9220" customFormat="false" ht="12.8" hidden="false" customHeight="false" outlineLevel="0" collapsed="false"/>
    <row r="9221" customFormat="false" ht="12.8" hidden="false" customHeight="false" outlineLevel="0" collapsed="false"/>
    <row r="9222" customFormat="false" ht="12.8" hidden="false" customHeight="false" outlineLevel="0" collapsed="false"/>
    <row r="9223" customFormat="false" ht="12.8" hidden="false" customHeight="false" outlineLevel="0" collapsed="false"/>
    <row r="9224" customFormat="false" ht="12.8" hidden="false" customHeight="false" outlineLevel="0" collapsed="false"/>
    <row r="9225" customFormat="false" ht="12.8" hidden="false" customHeight="false" outlineLevel="0" collapsed="false"/>
    <row r="9226" customFormat="false" ht="12.8" hidden="false" customHeight="false" outlineLevel="0" collapsed="false"/>
    <row r="9227" customFormat="false" ht="12.8" hidden="false" customHeight="false" outlineLevel="0" collapsed="false"/>
    <row r="9228" customFormat="false" ht="12.8" hidden="false" customHeight="false" outlineLevel="0" collapsed="false"/>
    <row r="9229" customFormat="false" ht="12.8" hidden="false" customHeight="false" outlineLevel="0" collapsed="false"/>
    <row r="9230" customFormat="false" ht="12.8" hidden="false" customHeight="false" outlineLevel="0" collapsed="false"/>
    <row r="9231" customFormat="false" ht="12.8" hidden="false" customHeight="false" outlineLevel="0" collapsed="false"/>
    <row r="9232" customFormat="false" ht="12.8" hidden="false" customHeight="false" outlineLevel="0" collapsed="false"/>
    <row r="9233" customFormat="false" ht="12.8" hidden="false" customHeight="false" outlineLevel="0" collapsed="false"/>
    <row r="1048576" customFormat="false" ht="15.75" hidden="false" customHeight="true" outlineLevel="0" collapsed="false"/>
  </sheetData>
  <mergeCells count="2">
    <mergeCell ref="A1:F1"/>
    <mergeCell ref="G1:O1"/>
  </mergeCells>
  <hyperlinks>
    <hyperlink ref="F5" r:id="rId1" display="SocialReport.com"/>
    <hyperlink ref="F7" r:id="rId2" display="SocialReport.com"/>
    <hyperlink ref="M47" r:id="rId3" display="http://www.zyite.com/"/>
    <hyperlink ref="F53" r:id="rId4" display="SnappyTV.com"/>
    <hyperlink ref="M83" r:id="rId5" display="http://www.zyite.com/"/>
    <hyperlink ref="F84" r:id="rId6" display="SnappyTV.com"/>
    <hyperlink ref="M93" r:id="rId7" display="http://www.zyite.com/"/>
    <hyperlink ref="F96" r:id="rId8" display="SnappyTV.com"/>
    <hyperlink ref="C159" r:id="rId9" display="PIPSFINDER.COM"/>
    <hyperlink ref="C180" r:id="rId10" display="PIPSFINDER.COM"/>
    <hyperlink ref="C280" r:id="rId11" display="AllStartups.in"/>
    <hyperlink ref="C288" r:id="rId12" display="nternet.in"/>
    <hyperlink ref="F288" r:id="rId13" display="Nternet.in"/>
    <hyperlink ref="M289" r:id="rId14" display="http://www.zyite.com/"/>
    <hyperlink ref="C315" r:id="rId15" display="ShareBoss.in"/>
    <hyperlink ref="F333" r:id="rId16" display="WordPress.com"/>
    <hyperlink ref="N354" r:id="rId17" display="https://t.co/1d0DNM2ac0"/>
    <hyperlink ref="F373" r:id="rId18" display="WordPress.com"/>
    <hyperlink ref="N376" r:id="rId19" display="https://t.co/1d0DNM2ac0"/>
    <hyperlink ref="F398" r:id="rId20" display="dlvr.it"/>
    <hyperlink ref="F441" r:id="rId21" display="WordPress.com"/>
    <hyperlink ref="F442" r:id="rId22" display="dlvr.it"/>
    <hyperlink ref="F465" r:id="rId23" display="twittbot.net"/>
    <hyperlink ref="F471" r:id="rId24" display="dlvr.it"/>
    <hyperlink ref="F476" r:id="rId25" display="WordPress.com"/>
    <hyperlink ref="C543" r:id="rId26" display="AllStartups.in"/>
    <hyperlink ref="M548" r:id="rId27" display="http://www.zyite.com/"/>
    <hyperlink ref="F550" r:id="rId28" display="SnappyTV.com"/>
    <hyperlink ref="F553" r:id="rId29" display="SnappyTV.com"/>
    <hyperlink ref="C569" r:id="rId30" display="ShareBoss.in"/>
    <hyperlink ref="C571" r:id="rId31" display="nternet.in"/>
    <hyperlink ref="F571" r:id="rId32" display="Nternet.in"/>
    <hyperlink ref="F574" r:id="rId33" display="WordPress.com"/>
    <hyperlink ref="F579" r:id="rId34" display="XaniaTube.com"/>
    <hyperlink ref="F610" r:id="rId35" display="WordPress.com"/>
    <hyperlink ref="F611" r:id="rId36" display="WordPress.com"/>
    <hyperlink ref="F612" r:id="rId37" display="WordPress.com"/>
    <hyperlink ref="F620" r:id="rId38" display="dlvr.it"/>
    <hyperlink ref="F621" r:id="rId39" display="dlvr.it"/>
    <hyperlink ref="F625" r:id="rId40" display="dlvr.it"/>
    <hyperlink ref="M637" r:id="rId41" display="http://www.zyite.com/"/>
    <hyperlink ref="F644" r:id="rId42" display="dlvr.it"/>
    <hyperlink ref="M650" r:id="rId43" display="http://www.zyite.com/"/>
    <hyperlink ref="F661" r:id="rId44" display="dlvr.it"/>
    <hyperlink ref="F694" r:id="rId45" display="WordPress.com"/>
    <hyperlink ref="F707" r:id="rId46" display="NewsInn.org"/>
    <hyperlink ref="F708" r:id="rId47" display="dlvr.it"/>
    <hyperlink ref="F709" r:id="rId48" display="dlvr.it"/>
    <hyperlink ref="F714" r:id="rId49" display="dlvr.it"/>
    <hyperlink ref="F719" r:id="rId50" display="SnappyTV.com"/>
    <hyperlink ref="C736" r:id="rId51" display="NewsTwe.com"/>
    <hyperlink ref="F738" r:id="rId52" display="dlvr.it"/>
    <hyperlink ref="F739" r:id="rId53" display="WordPress.com"/>
    <hyperlink ref="F740" r:id="rId54" display="dlvr.it"/>
    <hyperlink ref="N748" r:id="rId55" display="https://t.co/xGFIpE4BxO"/>
    <hyperlink ref="F774" r:id="rId56" display="Twibble.io"/>
    <hyperlink ref="M775" r:id="rId57" display="http://www.zyite.com/"/>
    <hyperlink ref="M792" r:id="rId58" display="http://www.zyite.com/"/>
    <hyperlink ref="C824" r:id="rId59" display="Lankanewsweb.net"/>
    <hyperlink ref="F840" r:id="rId60" display="WordPress.com"/>
    <hyperlink ref="F841" r:id="rId61" display="WordPress.com"/>
    <hyperlink ref="F853" r:id="rId62" display="dlvr.it"/>
    <hyperlink ref="F877" r:id="rId63" display="dlvr.it"/>
    <hyperlink ref="F906" r:id="rId64" display="dlvr.it"/>
    <hyperlink ref="F939" r:id="rId65" display="dlvr.it"/>
    <hyperlink ref="F950" r:id="rId66" display="dlvr.it"/>
    <hyperlink ref="F951" r:id="rId67" display="dlvr.it"/>
    <hyperlink ref="F952" r:id="rId68" display="dlvr.it"/>
    <hyperlink ref="F953" r:id="rId69" display="dlvr.it"/>
    <hyperlink ref="F954" r:id="rId70" display="dlvr.it"/>
    <hyperlink ref="F958" r:id="rId71" display="Twibble.io"/>
    <hyperlink ref="C963" r:id="rId72" display="Politics4All.com"/>
    <hyperlink ref="F965" r:id="rId73" display="WordPress.com"/>
    <hyperlink ref="F966" r:id="rId74" display="WordPress.com"/>
    <hyperlink ref="F981" r:id="rId75" display="WordPress.com"/>
    <hyperlink ref="F993" r:id="rId76" display="WordPress.com"/>
    <hyperlink ref="F995" r:id="rId77" display="WordPress.com"/>
    <hyperlink ref="F996" r:id="rId78" display="WordPress.com"/>
    <hyperlink ref="F997" r:id="rId79" display="WordPress.com"/>
    <hyperlink ref="F1000" r:id="rId80" display="WordPress.com"/>
    <hyperlink ref="F1001" r:id="rId81" display="WordPress.com"/>
    <hyperlink ref="F1006" r:id="rId82" display="WordPress.com"/>
    <hyperlink ref="F1007" r:id="rId83" display="WordPress.com"/>
    <hyperlink ref="F1011" r:id="rId84" display="WordPress.com"/>
    <hyperlink ref="F1012" r:id="rId85" display="WordPress.com"/>
    <hyperlink ref="F1014" r:id="rId86" display="WordPress.com"/>
    <hyperlink ref="C1015" r:id="rId87" display="SaleSpree.com"/>
    <hyperlink ref="F1015" r:id="rId88" display="WordPress.com"/>
    <hyperlink ref="N1015" r:id="rId89" display="https://t.co/mLYW8jplny"/>
    <hyperlink ref="M1016" r:id="rId90" display="www.Publicitymag.com"/>
    <hyperlink ref="F1021" r:id="rId91" display="dlvr.it"/>
    <hyperlink ref="F1022" r:id="rId92" display="dlvr.it"/>
    <hyperlink ref="C1024" r:id="rId93" display="ShareBoss.in"/>
    <hyperlink ref="F1025" r:id="rId94" display="WordPress.com"/>
    <hyperlink ref="F1029" r:id="rId95" display="ai-newz.com"/>
    <hyperlink ref="F1034" r:id="rId96" display="dlvr.it"/>
    <hyperlink ref="F1044" r:id="rId97" display="dlvr.it"/>
    <hyperlink ref="C1072" r:id="rId98" display="NewsBoss.in"/>
    <hyperlink ref="F1072" r:id="rId99" display="NewsBoss.in"/>
    <hyperlink ref="F1074" r:id="rId100" display="rsstweeter.com"/>
    <hyperlink ref="F1086" r:id="rId101" display="WordPress.com"/>
    <hyperlink ref="C1090" r:id="rId102" display="gatherdom.com"/>
    <hyperlink ref="F1090" r:id="rId103" display="rsstweeter.com"/>
    <hyperlink ref="M1101" r:id="rId104" display="http://www.zyite.com/"/>
    <hyperlink ref="F1102" r:id="rId105" display="dlvr.it"/>
    <hyperlink ref="F1103" r:id="rId106" display="dlvr.it"/>
    <hyperlink ref="F1106" r:id="rId107" display="dlvr.it"/>
    <hyperlink ref="F1109" r:id="rId108" display="dlvr.it"/>
    <hyperlink ref="F1110" r:id="rId109" display="dlvr.it"/>
    <hyperlink ref="F1112" r:id="rId110" display="dlvr.it"/>
    <hyperlink ref="M1127" r:id="rId111" display="http://www.zyite.com/"/>
    <hyperlink ref="F1138" r:id="rId112" display="dlvr.it"/>
    <hyperlink ref="F1141" r:id="rId113" display="dlvr.it"/>
    <hyperlink ref="F1171" r:id="rId114" display="dlvr.it"/>
    <hyperlink ref="F1172" r:id="rId115" display="dlvr.it"/>
    <hyperlink ref="F1207" r:id="rId116" display="WordPress.com"/>
    <hyperlink ref="C1225" r:id="rId117" display="NewsOnePlace.com"/>
    <hyperlink ref="N1231" r:id="rId118" display="http://t.co/AVEhqKK4m1"/>
    <hyperlink ref="N1232" r:id="rId119" display="http://t.co/AVEhqKK4m1"/>
    <hyperlink ref="C1278" r:id="rId120" display="Needlehole.com"/>
    <hyperlink ref="F1285" r:id="rId121" display="WordPress.com"/>
    <hyperlink ref="F1295" r:id="rId122" display="WordPress.com"/>
    <hyperlink ref="F1311" r:id="rId123" display="dlvr.it"/>
    <hyperlink ref="F1322" r:id="rId124" display="WordPress.com"/>
    <hyperlink ref="F1384" r:id="rId125" display="dlvr.it"/>
    <hyperlink ref="F1401" r:id="rId126" display="WordPress.com"/>
    <hyperlink ref="F1455" r:id="rId127" display="dlvr.it"/>
    <hyperlink ref="M1469" r:id="rId128" display="http://www.zyite.com/"/>
    <hyperlink ref="F1486" r:id="rId129" display="Twibble.io"/>
    <hyperlink ref="F1495" r:id="rId130" display="dlvr.it"/>
    <hyperlink ref="F1497" r:id="rId131" display="dlvr.it"/>
    <hyperlink ref="N1499" r:id="rId132" display="https://t.co/1d0DNM2ac0"/>
    <hyperlink ref="F1526" r:id="rId133" display="dlvr.it"/>
    <hyperlink ref="F1549" r:id="rId134" display="WordPress.com"/>
    <hyperlink ref="F1566" r:id="rId135" display="WordPress.com"/>
    <hyperlink ref="F1568" r:id="rId136" display="WordPress.com"/>
    <hyperlink ref="F1569" r:id="rId137" display="WordPress.com"/>
    <hyperlink ref="F1654" r:id="rId138" display="Twibble.io"/>
    <hyperlink ref="N1668" r:id="rId139" display="https://t.co/BQu9x52LC6"/>
    <hyperlink ref="C1679" r:id="rId140" display="JC4DSOF.IT"/>
    <hyperlink ref="F1734" r:id="rId141" display="dlvr.it"/>
    <hyperlink ref="F1777" r:id="rId142" display="WordPress.com"/>
    <hyperlink ref="F1948" r:id="rId143" display="dlvr.it"/>
    <hyperlink ref="F1952" r:id="rId144" display="WordPress.com"/>
    <hyperlink ref="F1960" r:id="rId145" display="Twibble.io"/>
    <hyperlink ref="F1968" r:id="rId146" display="dlvr.it"/>
    <hyperlink ref="F1978" r:id="rId147" display="dlvr.it"/>
    <hyperlink ref="F1980" r:id="rId148" display="dlvr.it"/>
    <hyperlink ref="F1981" r:id="rId149" display="dlvr.it"/>
    <hyperlink ref="F1983" r:id="rId150" display="dlvr.it"/>
    <hyperlink ref="F1985" r:id="rId151" display="twittbot.net"/>
    <hyperlink ref="F1986" r:id="rId152" display="dlvr.it"/>
    <hyperlink ref="F1988" r:id="rId153" display="WordPress.com"/>
    <hyperlink ref="F1994" r:id="rId154" display="twittbot.net"/>
    <hyperlink ref="F2023" r:id="rId155" display="WordPress.com"/>
    <hyperlink ref="F2024" r:id="rId156" display="dlvr.it"/>
    <hyperlink ref="F2054" r:id="rId157" display="dlvr.it"/>
    <hyperlink ref="F2096" r:id="rId158" display="dlvr.it"/>
    <hyperlink ref="F2097" r:id="rId159" display="dlvr.it"/>
    <hyperlink ref="F2100" r:id="rId160" display="dlvr.it"/>
    <hyperlink ref="F2106" r:id="rId161" display="WordPress.com"/>
    <hyperlink ref="F2109" r:id="rId162" display="dlvr.it"/>
    <hyperlink ref="F2110" r:id="rId163" display="dlvr.it"/>
    <hyperlink ref="F2162" r:id="rId164" display="dlvr.it"/>
    <hyperlink ref="F2165" r:id="rId165" display="dlvr.it"/>
    <hyperlink ref="F2171" r:id="rId166" display="dlvr.it"/>
    <hyperlink ref="F2173" r:id="rId167" display="dlvr.it"/>
    <hyperlink ref="F2182" r:id="rId168" display="dlvr.it"/>
    <hyperlink ref="F2183" r:id="rId169" display="dlvr.it"/>
    <hyperlink ref="F2202" r:id="rId170" display="dlvr.it"/>
    <hyperlink ref="F2203" r:id="rId171" display="dlvr.it"/>
    <hyperlink ref="F2204" r:id="rId172" display="dlvr.it"/>
    <hyperlink ref="F2206" r:id="rId173" display="dlvr.it"/>
    <hyperlink ref="F2207" r:id="rId174" display="dlvr.it"/>
    <hyperlink ref="F2208" r:id="rId175" display="dlvr.it"/>
    <hyperlink ref="F2231" r:id="rId176" display="radio3.io"/>
    <hyperlink ref="F2232" r:id="rId177" display="dlvr.it"/>
    <hyperlink ref="C2241" r:id="rId178" display="dusuncekahvesi.org"/>
    <hyperlink ref="F2259" r:id="rId179" display="dlvr.it"/>
    <hyperlink ref="F2260" r:id="rId180" display="dlvr.it"/>
    <hyperlink ref="C2262" r:id="rId181" display="NewsBoss.in"/>
    <hyperlink ref="F2262" r:id="rId182" display="NewsBoss.in"/>
    <hyperlink ref="C2277" r:id="rId183" display="Pong.Ma"/>
    <hyperlink ref="F2300" r:id="rId184" display="dlvr.it"/>
    <hyperlink ref="F2302" r:id="rId185" display="dlvr.it"/>
    <hyperlink ref="F2338" r:id="rId186" display="WordPress.com"/>
    <hyperlink ref="F2340" r:id="rId187" display="WordPress.com"/>
    <hyperlink ref="F2342" r:id="rId188" display="dlvr.it"/>
    <hyperlink ref="F2343" r:id="rId189" display="dlvr.it"/>
    <hyperlink ref="F2344" r:id="rId190" display="dlvr.it"/>
    <hyperlink ref="F2345" r:id="rId191" display="dlvr.it"/>
    <hyperlink ref="M2348" r:id="rId192" display="http://urbanwronski.com"/>
    <hyperlink ref="C2353" r:id="rId193" display="TheMeanBlog.Com"/>
    <hyperlink ref="F2353" r:id="rId194" display="WordPress.com"/>
    <hyperlink ref="F2363" r:id="rId195" display="dlvr.it"/>
    <hyperlink ref="F2368" r:id="rId196" display="WordPress.com"/>
    <hyperlink ref="F2379" r:id="rId197" display="dlvr.it"/>
    <hyperlink ref="F2382" r:id="rId198" display="dlvr.it"/>
    <hyperlink ref="C2391" r:id="rId199" display="EurACC.eu"/>
    <hyperlink ref="F2393" r:id="rId200" display="dlvr.it"/>
    <hyperlink ref="F2400" r:id="rId201" display="dlvr.it"/>
    <hyperlink ref="F2408" r:id="rId202" display="dlvr.it"/>
    <hyperlink ref="F2409" r:id="rId203" display="dlvr.it"/>
    <hyperlink ref="F2410" r:id="rId204" display="dlvr.it"/>
    <hyperlink ref="F2411" r:id="rId205" display="dlvr.it"/>
    <hyperlink ref="F2426" r:id="rId206" display="dlvr.it"/>
    <hyperlink ref="M2434" r:id="rId207" display="http://www.zyite.com/"/>
    <hyperlink ref="M2436" r:id="rId208" display="http://www.zyite.com/"/>
    <hyperlink ref="F2441" r:id="rId209" display="dlvr.it"/>
    <hyperlink ref="F2471" r:id="rId210" display="dlvr.it"/>
    <hyperlink ref="F2490" r:id="rId211" display="FictioNews.com"/>
    <hyperlink ref="M2498" r:id="rId212" display="http://www.zyite.com/"/>
    <hyperlink ref="F2527" r:id="rId213" display="dlvr.it"/>
    <hyperlink ref="N2543" r:id="rId214" display="https://t.co/xGFIpE4BxO"/>
    <hyperlink ref="F2568" r:id="rId215" display="dlvr.it"/>
    <hyperlink ref="F2578" r:id="rId216" display="dlvr.it"/>
    <hyperlink ref="N2579" r:id="rId217" display="https://t.co/xGFIpE4BxO"/>
    <hyperlink ref="C2606" r:id="rId218" display="AllStartups.in"/>
    <hyperlink ref="F2635" r:id="rId219" display="dlvr.it"/>
    <hyperlink ref="F2642" r:id="rId220" display="dlvr.it"/>
    <hyperlink ref="F2646" r:id="rId221" display="WordPress.com"/>
    <hyperlink ref="F2668" r:id="rId222" display="dlvr.it"/>
    <hyperlink ref="F2696" r:id="rId223" display="Twibble.io"/>
    <hyperlink ref="F2712" r:id="rId224" display="dlvr.it"/>
    <hyperlink ref="M2737" r:id="rId225" display="http://www.zyite.com/"/>
    <hyperlink ref="N2738" r:id="rId226" display="https://t.co/xGFIpE4BxO"/>
    <hyperlink ref="C2768" r:id="rId227" display="NewsOnePlace.com"/>
    <hyperlink ref="F2799" r:id="rId228" display="dlvr.it"/>
    <hyperlink ref="F2800" r:id="rId229" display="dlvr.it"/>
    <hyperlink ref="F2804" r:id="rId230" display="dlvr.it"/>
    <hyperlink ref="F2851" r:id="rId231" display="dlvr.it"/>
    <hyperlink ref="F2852" r:id="rId232" display="dlvr.it"/>
    <hyperlink ref="C2872" r:id="rId233" display="nigerianbulletin.com"/>
    <hyperlink ref="F2876" r:id="rId234" display="dlvr.it"/>
    <hyperlink ref="F2891" r:id="rId235" display="Twibble.io"/>
    <hyperlink ref="F2915" r:id="rId236" display="dlvr.it"/>
    <hyperlink ref="F2925" r:id="rId237" display="dlvr.it"/>
    <hyperlink ref="F3027" r:id="rId238" display="dlvr.it"/>
    <hyperlink ref="M3042" r:id="rId239" display="www.facebook.com/doctorreefer/"/>
    <hyperlink ref="M3044" r:id="rId240" display="www.facebook.com/doctorreefer/"/>
    <hyperlink ref="F3065" r:id="rId241" display="dlvr.it"/>
    <hyperlink ref="F3140" r:id="rId242" display="dlvr.it"/>
    <hyperlink ref="F3150" r:id="rId243" display="Twibble.io"/>
    <hyperlink ref="C3153" r:id="rId244" display="ShareBoss.in"/>
    <hyperlink ref="F3201" r:id="rId245" display="XaniaTube.com"/>
    <hyperlink ref="F3308" r:id="rId246" display="Twibble.io"/>
    <hyperlink ref="F3312" r:id="rId247" display="dlvr.it"/>
    <hyperlink ref="F3328" r:id="rId248" display="WordPress.com"/>
    <hyperlink ref="C3360" r:id="rId249" display="EagleStar.NET"/>
    <hyperlink ref="F3377" r:id="rId250" display="dlvr.it"/>
    <hyperlink ref="F3378" r:id="rId251" display="dlvr.it"/>
    <hyperlink ref="C3421" r:id="rId252" display="EagleStar.NET"/>
    <hyperlink ref="C3549" r:id="rId253" display="gab.ai/samir_patil"/>
    <hyperlink ref="C3558" r:id="rId254" display="JustBigNews.com"/>
    <hyperlink ref="F3709" r:id="rId255" display="dlvr.it"/>
    <hyperlink ref="F3710" r:id="rId256" display="dlvr.it"/>
    <hyperlink ref="F3711" r:id="rId257" display="dlvr.it"/>
    <hyperlink ref="F3750" r:id="rId258" display="dlvr.it"/>
    <hyperlink ref="F3752" r:id="rId259" display="dlvr.it"/>
    <hyperlink ref="F3757" r:id="rId260" display="dlvr.it"/>
    <hyperlink ref="F3758" r:id="rId261" display="dlvr.it"/>
    <hyperlink ref="F3760" r:id="rId262" display="WordPress.com"/>
    <hyperlink ref="F3811" r:id="rId263" display="dlvr.it"/>
    <hyperlink ref="F3837" r:id="rId264" display="dlvr.it"/>
    <hyperlink ref="F3973" r:id="rId265" display="WordPress.com"/>
    <hyperlink ref="F3999" r:id="rId266" display="dlvr.it"/>
    <hyperlink ref="M4013" r:id="rId267" display="https://www.youtube.com/channel/UCwv6FQb2U8yJFDwlvW4JXCw/videos?disable_polymer=1"/>
    <hyperlink ref="N4013" r:id="rId268" display="https://t.co/KTZuBxuUPc"/>
    <hyperlink ref="C4019" r:id="rId269" display="EagleStar.NET"/>
    <hyperlink ref="F4027" r:id="rId270" display="SnappyTV.com"/>
    <hyperlink ref="F4055" r:id="rId271" display="dlvr.it"/>
    <hyperlink ref="F4075" r:id="rId272" display="Twibble.io"/>
    <hyperlink ref="C4080" r:id="rId273" display="NewsBoss.in"/>
    <hyperlink ref="F4080" r:id="rId274" display="NewsBoss.in"/>
    <hyperlink ref="F4096" r:id="rId275" display="SnappyTV.com"/>
    <hyperlink ref="C4113" r:id="rId276" display="EagleStar.NET"/>
    <hyperlink ref="F4152" r:id="rId277" display="dlvr.it"/>
    <hyperlink ref="F4161" r:id="rId278" display="WordPress.com"/>
    <hyperlink ref="C4235" r:id="rId279" display="Globalnews.ca"/>
    <hyperlink ref="N4343" r:id="rId280" display="https://t.co/ASWEnpVdfW"/>
    <hyperlink ref="F4351" r:id="rId281" display="SnappyTV.com"/>
    <hyperlink ref="F4370" r:id="rId282" display="dlvr.it"/>
    <hyperlink ref="F4385" r:id="rId283" display="dlvr.it"/>
    <hyperlink ref="F4393" r:id="rId284" display="dlvr.it"/>
    <hyperlink ref="F4400" r:id="rId285" display="dlvr.it"/>
    <hyperlink ref="F4402" r:id="rId286" display="Twibble.io"/>
    <hyperlink ref="F4405" r:id="rId287" display="dlvr.it"/>
    <hyperlink ref="F4407" r:id="rId288" display="dlvr.it"/>
    <hyperlink ref="F4408" r:id="rId289" display="dlvr.it"/>
    <hyperlink ref="F4409" r:id="rId290" display="dlvr.it"/>
    <hyperlink ref="F4431" r:id="rId291" display="dlvr.it"/>
    <hyperlink ref="F4443" r:id="rId292" display="dlvr.it"/>
    <hyperlink ref="F4455" r:id="rId293" display="dlvr.it"/>
    <hyperlink ref="F4530" r:id="rId294" display="dlvr.it"/>
    <hyperlink ref="F4550" r:id="rId295" display="dlvr.it"/>
    <hyperlink ref="F4554" r:id="rId296" display="dlvr.it"/>
    <hyperlink ref="F4572" r:id="rId297" display="dlvr.it"/>
    <hyperlink ref="F4686" r:id="rId298" display="Twibble.io"/>
    <hyperlink ref="F4687" r:id="rId299" display="Twibble.io"/>
    <hyperlink ref="N4769" r:id="rId300" display="https://t.co/D0cz6C8q4U"/>
    <hyperlink ref="F4815" r:id="rId301" display="dlvr.it"/>
    <hyperlink ref="F4832" r:id="rId302" display="XaniaTube.com"/>
    <hyperlink ref="F4875" r:id="rId303" display="WordPress.com"/>
    <hyperlink ref="F4878" r:id="rId304" display="WordPress.com"/>
    <hyperlink ref="F4926" r:id="rId305" display="WordPress.com"/>
    <hyperlink ref="F4945" r:id="rId306" display="NewsInn.org"/>
    <hyperlink ref="F4978" r:id="rId307" display="SnappyTV.com"/>
    <hyperlink ref="F4985" r:id="rId308" display="dlvr.it"/>
    <hyperlink ref="F4986" r:id="rId309" display="dlvr.it"/>
    <hyperlink ref="F4995" r:id="rId310" display="dlvr.it"/>
    <hyperlink ref="F5002" r:id="rId311" display="dlvr.it"/>
    <hyperlink ref="F5058" r:id="rId312" display="dlvr.it"/>
    <hyperlink ref="F5104" r:id="rId313" display="dlvr.it"/>
    <hyperlink ref="C5130" r:id="rId314" display="factsfeeding.com"/>
    <hyperlink ref="F5130" r:id="rId315" display="WordPress.com"/>
    <hyperlink ref="C5141" r:id="rId316" display="JustBigNews.com"/>
    <hyperlink ref="F5161" r:id="rId317" display="dlvr.it"/>
    <hyperlink ref="F5180" r:id="rId318" display="dlvr.it"/>
    <hyperlink ref="F5181" r:id="rId319" display="dlvr.it"/>
    <hyperlink ref="F5182" r:id="rId320" display="dlvr.it"/>
    <hyperlink ref="C5186" r:id="rId321" display="AllStartups.in"/>
    <hyperlink ref="F5188" r:id="rId322" display="dlvr.it"/>
    <hyperlink ref="C5195" r:id="rId323" display="WLST.com"/>
    <hyperlink ref="F5206" r:id="rId324" display="WordPress.com"/>
    <hyperlink ref="N5224" r:id="rId325" display="https://t.co/DmV15TKpZ8"/>
    <hyperlink ref="F5229" r:id="rId326" display="dlvr.it"/>
    <hyperlink ref="F5231" r:id="rId327" display="dlvr.it"/>
    <hyperlink ref="F5232" r:id="rId328" display="dlvr.it"/>
    <hyperlink ref="F5233" r:id="rId329" display="dlvr.it"/>
    <hyperlink ref="F5267" r:id="rId330" display="dlvr.it"/>
    <hyperlink ref="F5273" r:id="rId331" display="dlvr.it"/>
    <hyperlink ref="F5279" r:id="rId332" display="WordPress.com"/>
    <hyperlink ref="F5280" r:id="rId333" display="WordPress.com"/>
    <hyperlink ref="F5313" r:id="rId334" display="WordPress.com"/>
    <hyperlink ref="F5324" r:id="rId335" display="dlvr.it"/>
    <hyperlink ref="F5392" r:id="rId336" display="NewsInn.org"/>
    <hyperlink ref="F5393" r:id="rId337" display="Twibble.io"/>
    <hyperlink ref="F5397" r:id="rId338" display="dlvr.it"/>
    <hyperlink ref="F5398" r:id="rId339" display="dlvr.it"/>
    <hyperlink ref="M5442" r:id="rId340" display="http://www.zyite.com/"/>
    <hyperlink ref="F5445" r:id="rId341" display="dlvr.it"/>
    <hyperlink ref="F5448" r:id="rId342" display="twittbot.net"/>
    <hyperlink ref="C5469" r:id="rId343" display="NewsBoss.in"/>
    <hyperlink ref="F5469" r:id="rId344" display="NewsBoss.in"/>
    <hyperlink ref="F5472" r:id="rId345" display="WordPress.com"/>
    <hyperlink ref="F5473" r:id="rId346" display="WordPress.com"/>
    <hyperlink ref="F5508" r:id="rId347" display="twittbot.net"/>
    <hyperlink ref="N5518" r:id="rId348" display="https://t.co/HKKJOrlh9H"/>
    <hyperlink ref="F5588" r:id="rId349" display="twittbot.net"/>
    <hyperlink ref="F5594" r:id="rId350" display="dlvr.it"/>
    <hyperlink ref="C5638" r:id="rId351" display="TheJournal.ie"/>
    <hyperlink ref="M5642" r:id="rId352" display="instagram.com/lindayueh"/>
    <hyperlink ref="F5648" r:id="rId353" display="twittbot.net"/>
    <hyperlink ref="C5654" r:id="rId354" display="ShareBoss.in"/>
    <hyperlink ref="C5655" r:id="rId355" display="ShareBoss.in"/>
    <hyperlink ref="C5699" r:id="rId356" display="ShareBoss.in"/>
    <hyperlink ref="F5706" r:id="rId357" display="twittbot.net"/>
    <hyperlink ref="C5745" r:id="rId358" display="Needlehole.com"/>
    <hyperlink ref="C5771" r:id="rId359" display="Tibet.net"/>
    <hyperlink ref="C5779" r:id="rId360" display="StoriesFlow.com"/>
    <hyperlink ref="C5788" r:id="rId361" display="GoaTrance.NET"/>
    <hyperlink ref="F5796" r:id="rId362" display="twittbot.net"/>
    <hyperlink ref="F5854" r:id="rId363" display="dlvr.it"/>
    <hyperlink ref="F5856" r:id="rId364" display="dlvr.it"/>
    <hyperlink ref="F5869" r:id="rId365" display="Twibble.io"/>
    <hyperlink ref="F5889" r:id="rId366" display="dlvr.it"/>
    <hyperlink ref="N5940" r:id="rId367" display="https://t.co/W0pL7gQLng"/>
    <hyperlink ref="F5943" r:id="rId368" display="dlvr.it"/>
    <hyperlink ref="F6018" r:id="rId369" display="dlvr.it"/>
    <hyperlink ref="F6019" r:id="rId370" display="dlvr.it"/>
    <hyperlink ref="F6020" r:id="rId371" display="dlvr.it"/>
    <hyperlink ref="F6146" r:id="rId372" display="WordPress.com"/>
    <hyperlink ref="N6146" r:id="rId373" display="http://t.co/MuN1RHEaBX"/>
    <hyperlink ref="F6161" r:id="rId374" display="dlvr.it"/>
    <hyperlink ref="F6285" r:id="rId375" display="WordPress.com"/>
    <hyperlink ref="M6290" r:id="rId376" display="http://www.zyite.com/"/>
    <hyperlink ref="F6312" r:id="rId377" display="Zapier.com"/>
    <hyperlink ref="F6398" r:id="rId378" display="WordPress.com"/>
    <hyperlink ref="F6413" r:id="rId379" display="SnappyTV.com"/>
    <hyperlink ref="F6414" r:id="rId380" display="SnappyTV.com"/>
    <hyperlink ref="C6416" r:id="rId381" display="NewsNumber.Com"/>
    <hyperlink ref="F6450" r:id="rId382" display="WordPress.com"/>
    <hyperlink ref="F6459" r:id="rId383" display="SnappyTV.com"/>
    <hyperlink ref="F6460" r:id="rId384" display="SnappyTV.com"/>
    <hyperlink ref="F6463" r:id="rId385" display="dlvr.it"/>
    <hyperlink ref="F6465" r:id="rId386" display="SnappyTV.com"/>
    <hyperlink ref="F6554" r:id="rId387" display="SnappyTV.com"/>
    <hyperlink ref="F6611" r:id="rId388" display="dlvr.it"/>
    <hyperlink ref="C6632" r:id="rId389" display="Sokodirectory.com"/>
    <hyperlink ref="F6669" r:id="rId390" display="WordPress.com"/>
    <hyperlink ref="F6687" r:id="rId391" display="WordPress.com"/>
    <hyperlink ref="F6688" r:id="rId392" display="dlvr.it"/>
    <hyperlink ref="F6697" r:id="rId393" display="dlvr.it"/>
    <hyperlink ref="F6727" r:id="rId394" display="dlvr.it"/>
    <hyperlink ref="F6754" r:id="rId395" display="twittbot.net"/>
    <hyperlink ref="F6755" r:id="rId396" display="SnappyTV.com"/>
    <hyperlink ref="F6775" r:id="rId397" display="twittbot.net"/>
    <hyperlink ref="M6787" r:id="rId398" display="http://www.linkedin.com/pub/da"/>
    <hyperlink ref="F6852" r:id="rId399" display="dlvr.it"/>
    <hyperlink ref="F6899" r:id="rId400" display="dlvr.it"/>
    <hyperlink ref="F6938" r:id="rId401" display="WordPress.com"/>
    <hyperlink ref="F6949" r:id="rId402" display="WordPress.com"/>
    <hyperlink ref="F6972" r:id="rId403" display="WordPress.com"/>
    <hyperlink ref="C6994" r:id="rId404" display="AllStartups.in"/>
    <hyperlink ref="C7019" r:id="rId405" display="Abusidiqu.com"/>
    <hyperlink ref="N7032" r:id="rId406" display="https://t.co/nuAY1hJI3u"/>
    <hyperlink ref="C7085" r:id="rId407" display="EnLawded.com"/>
    <hyperlink ref="N7096" r:id="rId408" display="https://t.co/1d0DNM2ac0"/>
    <hyperlink ref="F7200" r:id="rId409" display="dlvr.it"/>
    <hyperlink ref="F7220" r:id="rId410" display="dlvr.it"/>
    <hyperlink ref="F7353" r:id="rId411" display="WordPress.com"/>
    <hyperlink ref="F7354" r:id="rId412" display="WordPress.com"/>
    <hyperlink ref="F7364" r:id="rId413" display="dlvr.it"/>
    <hyperlink ref="F7367" r:id="rId414" display="WordPress.com"/>
    <hyperlink ref="F7374" r:id="rId415" display="dlvr.it"/>
    <hyperlink ref="F7382" r:id="rId416" display="WordPress.com"/>
    <hyperlink ref="F7391" r:id="rId417" display="dlvr.it"/>
    <hyperlink ref="C7429" r:id="rId418" display="Hamassenger.com"/>
    <hyperlink ref="F7429" r:id="rId419" display="Hamassenger.com"/>
    <hyperlink ref="F7437" r:id="rId420" display="Zapier.com"/>
    <hyperlink ref="F7454" r:id="rId421" display="dlvr.it"/>
    <hyperlink ref="F7487" r:id="rId422" display="dlvr.it"/>
    <hyperlink ref="C7488" r:id="rId423" display="Abusidiqu.com"/>
    <hyperlink ref="F7488" r:id="rId424" display="dlvr.it"/>
    <hyperlink ref="F7513" r:id="rId425" display="dlvr.it"/>
    <hyperlink ref="C7514" r:id="rId426" display="Abusidiqu.com"/>
    <hyperlink ref="F7514" r:id="rId427" display="dlvr.it"/>
    <hyperlink ref="F7515" r:id="rId428" display="dlvr.it"/>
    <hyperlink ref="F7519" r:id="rId429" display="dlvr.it"/>
    <hyperlink ref="F7520" r:id="rId430" display="dlvr.it"/>
    <hyperlink ref="F7541" r:id="rId431" display="dlvr.it"/>
    <hyperlink ref="F7747" r:id="rId432" display="BIGSpacer.com"/>
    <hyperlink ref="C7780" r:id="rId433" display="ShareBoss.in"/>
    <hyperlink ref="C7785" r:id="rId434" display="AllStartups.in"/>
    <hyperlink ref="F7996" r:id="rId435" display="dlvr.it"/>
    <hyperlink ref="F7997" r:id="rId436" display="dlvr.it"/>
    <hyperlink ref="F8035" r:id="rId437" display="WordPress.com"/>
    <hyperlink ref="F8096" r:id="rId438" display="WordPress.com"/>
    <hyperlink ref="F8118" r:id="rId439" display="SnappyTV.com"/>
    <hyperlink ref="F8119" r:id="rId440" display="SnappyTV.com"/>
    <hyperlink ref="F8140" r:id="rId441" display="SnappyTV.com"/>
    <hyperlink ref="F8169" r:id="rId442" display="SnappyTV.com"/>
    <hyperlink ref="C8354" r:id="rId443" display="Googlemystyle.com"/>
    <hyperlink ref="F8600" r:id="rId444" display="dlvr.it"/>
    <hyperlink ref="C8691" r:id="rId445" display="NewsOnePlace.com"/>
    <hyperlink ref="C8726" r:id="rId446" display="ShareBoss.in"/>
    <hyperlink ref="F8749" r:id="rId447" display="dlvr.it"/>
    <hyperlink ref="M8763" r:id="rId448" display="www.facebook.com/doctorreefer/"/>
    <hyperlink ref="M8764" r:id="rId449" display="www.facebook.com/doctorreefer/"/>
    <hyperlink ref="F8792" r:id="rId450" display="WordPress.com"/>
    <hyperlink ref="F8805" r:id="rId451" display="WordPress.com"/>
    <hyperlink ref="N8828" r:id="rId452" display="https://t.co/1d0DNM2ac0"/>
    <hyperlink ref="C8896" r:id="rId453" display="theTrumpet.com"/>
  </hyperlink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G6553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B3" activeCellId="1" sqref="A8946:P9233 B3"/>
    </sheetView>
  </sheetViews>
  <sheetFormatPr defaultRowHeight="15.75" zeroHeight="false" outlineLevelRow="0" outlineLevelCol="0"/>
  <cols>
    <col collapsed="false" customWidth="true" hidden="false" outlineLevel="0" max="2" min="1" style="0" width="22.7"/>
    <col collapsed="false" customWidth="true" hidden="false" outlineLevel="0" max="7" min="3" style="0" width="19.71"/>
    <col collapsed="false" customWidth="true" hidden="false" outlineLevel="0" max="1025" min="8" style="0" width="14.43"/>
  </cols>
  <sheetData>
    <row r="1" customFormat="false" ht="24" hidden="false" customHeight="true" outlineLevel="0" collapsed="false">
      <c r="A1" s="19" t="s">
        <v>2</v>
      </c>
      <c r="B1" s="19" t="s">
        <v>19418</v>
      </c>
      <c r="C1" s="19" t="s">
        <v>19419</v>
      </c>
      <c r="D1" s="19"/>
      <c r="E1" s="19"/>
      <c r="F1" s="19"/>
      <c r="G1" s="19"/>
    </row>
    <row r="2" customFormat="false" ht="15.75" hidden="false" customHeight="false" outlineLevel="0" collapsed="false">
      <c r="A2" s="20" t="n">
        <v>43035.4146691782</v>
      </c>
      <c r="B2" s="21" t="s">
        <v>19420</v>
      </c>
      <c r="C2" s="21"/>
      <c r="D2" s="21"/>
      <c r="E2" s="22"/>
      <c r="F2" s="21"/>
      <c r="G2" s="21"/>
    </row>
    <row r="3" customFormat="false" ht="15.75" hidden="false" customHeight="false" outlineLevel="0" collapsed="false">
      <c r="A3" s="23" t="s">
        <v>19421</v>
      </c>
      <c r="B3" s="21" t="s">
        <v>19422</v>
      </c>
      <c r="C3" s="21"/>
      <c r="D3" s="21"/>
      <c r="E3" s="22"/>
      <c r="F3" s="21"/>
      <c r="G3" s="21"/>
    </row>
    <row r="4" customFormat="false" ht="15.75" hidden="false" customHeight="false" outlineLevel="0" collapsed="false">
      <c r="A4" s="23" t="s">
        <v>19423</v>
      </c>
      <c r="B4" s="21" t="s">
        <v>19424</v>
      </c>
      <c r="C4" s="21"/>
      <c r="D4" s="21"/>
      <c r="E4" s="22"/>
      <c r="F4" s="21"/>
      <c r="G4" s="21"/>
    </row>
    <row r="5" customFormat="false" ht="15.75" hidden="false" customHeight="false" outlineLevel="0" collapsed="false">
      <c r="A5" s="23" t="s">
        <v>19425</v>
      </c>
      <c r="B5" s="21" t="s">
        <v>19426</v>
      </c>
      <c r="C5" s="21"/>
      <c r="D5" s="21"/>
      <c r="E5" s="22"/>
      <c r="F5" s="21"/>
      <c r="G5" s="21"/>
    </row>
    <row r="6" customFormat="false" ht="15.75" hidden="false" customHeight="false" outlineLevel="0" collapsed="false">
      <c r="A6" s="23" t="s">
        <v>19427</v>
      </c>
      <c r="B6" s="21" t="s">
        <v>19428</v>
      </c>
      <c r="C6" s="21"/>
      <c r="D6" s="21"/>
      <c r="E6" s="22"/>
      <c r="F6" s="21"/>
      <c r="G6" s="21"/>
    </row>
    <row r="1048576" customFormat="false" ht="15.75" hidden="false" customHeight="true" outlineLevel="0" collapsed="false"/>
  </sheetData>
  <mergeCells count="1">
    <mergeCell ref="C1:G1"/>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16</TotalTime>
  <Application>LibreOffice/5.3.1.2$Linux_X86_64 LibreOffice_project/30m0$Build-2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
  <dcterms:modified xsi:type="dcterms:W3CDTF">2017-10-28T01:46:01Z</dcterms:modified>
  <cp:revision>1</cp:revision>
  <dc:subject/>
  <dc:title/>
</cp:coreProperties>
</file>